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16.xml" ContentType="application/vnd.openxmlformats-officedocument.spreadsheetml.comments+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45" tabRatio="915"/>
  </bookViews>
  <sheets>
    <sheet name="PORTADA" sheetId="1" r:id="rId1"/>
    <sheet name="TDGES" sheetId="438" state="hidden" r:id="rId2"/>
    <sheet name="TDCORRUP" sheetId="443" state="hidden" r:id="rId3"/>
    <sheet name="PRESENTACION" sheetId="594" state="hidden" r:id="rId4"/>
    <sheet name="INVENTARIO" sheetId="437" state="hidden" r:id="rId5"/>
    <sheet name="OBJETIVOS E" sheetId="436" state="hidden" r:id="rId6"/>
    <sheet name="ESCALAS" sheetId="232" r:id="rId7"/>
    <sheet name="M FACTIBILIDAD" sheetId="554" r:id="rId8"/>
    <sheet name="M VALORIZACION" sheetId="556" r:id="rId9"/>
    <sheet name="M DISEÑO P." sheetId="552" r:id="rId10"/>
    <sheet name="M PREDIAL" sheetId="548" r:id="rId11"/>
    <sheet name="M EJECUCION O." sheetId="561" r:id="rId12"/>
    <sheet name="M CONSERVACION-DTM" sheetId="592" r:id="rId13"/>
    <sheet name="M CONSERVACION-DTAI" sheetId="542" r:id="rId14"/>
    <sheet name="E PLANEACION" sheetId="551" r:id="rId15"/>
    <sheet name="E INNOVACION" sheetId="555" r:id="rId16"/>
    <sheet name="E GESTION SOCIAL" sheetId="549" r:id="rId17"/>
    <sheet name="E INTERINSTITUCIONAL" sheetId="546" r:id="rId18"/>
    <sheet name="E COMUNICACIONES" sheetId="541" r:id="rId19"/>
    <sheet name="E GPROYECTOS" sheetId="582" r:id="rId20"/>
    <sheet name="A CONTRACTUAL" sheetId="545" r:id="rId21"/>
    <sheet name="A LEGAL" sheetId="547" r:id="rId22"/>
    <sheet name="A CALIDAD" sheetId="544" r:id="rId23"/>
    <sheet name="A RFISICOS" sheetId="583" r:id="rId24"/>
    <sheet name="A FINANCIERA" sheetId="589" r:id="rId25"/>
    <sheet name="A THUMANOS" sheetId="588" r:id="rId26"/>
    <sheet name="A TIC" sheetId="593" r:id="rId27"/>
    <sheet name="A DOCUMENTAL" sheetId="585" r:id="rId28"/>
    <sheet name="EC MEJORAMIENTO" sheetId="550" r:id="rId29"/>
    <sheet name="EC EVALUACION" sheetId="543" r:id="rId30"/>
    <sheet name="C PLANEACION" sheetId="578" r:id="rId31"/>
    <sheet name="C INNOVACION" sheetId="576" r:id="rId32"/>
    <sheet name="C GESTION SOCIAL" sheetId="573" r:id="rId33"/>
    <sheet name="C INTERISTITUCIONAL" sheetId="569" r:id="rId34"/>
    <sheet name="C COMUNICACIONES" sheetId="557" r:id="rId35"/>
    <sheet name="C FACTIBILIDAD" sheetId="564" r:id="rId36"/>
    <sheet name="C VALORIZACION" sheetId="580" r:id="rId37"/>
    <sheet name="C DISEÑO" sheetId="553" r:id="rId38"/>
    <sheet name="C PREDIAL" sheetId="572" r:id="rId39"/>
    <sheet name="C OBRAS" sheetId="560" r:id="rId40"/>
    <sheet name="C DTM" sheetId="591" r:id="rId41"/>
    <sheet name="C DTAI" sheetId="558" r:id="rId42"/>
    <sheet name="C CONTRACTUAL" sheetId="566" r:id="rId43"/>
    <sheet name="C LEGAL" sheetId="570" r:id="rId44"/>
    <sheet name="C CALIDAD" sheetId="565" r:id="rId45"/>
    <sheet name="C THUMANO" sheetId="574" r:id="rId46"/>
    <sheet name="C TICs" sheetId="579" r:id="rId47"/>
    <sheet name="C FISICOS" sheetId="584" r:id="rId48"/>
    <sheet name="C Documental" sheetId="587" r:id="rId49"/>
    <sheet name="C FINANCIERA" sheetId="568" r:id="rId50"/>
    <sheet name="C GI PROYECTOS" sheetId="581" r:id="rId51"/>
    <sheet name="C EVALUACION" sheetId="562" r:id="rId52"/>
    <sheet name="C MEJORAMIENTO" sheetId="577" r:id="rId53"/>
    <sheet name="Listas" sheetId="233" state="hidden"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s>
  <definedNames>
    <definedName name="_xlnm._FilterDatabase" localSheetId="26" hidden="1">'A TIC'!$A$7:$I$166</definedName>
    <definedName name="_xlnm._FilterDatabase" localSheetId="47" hidden="1">'C FISICOS'!$BB$1:$BF$4</definedName>
    <definedName name="_xlnm._FilterDatabase" localSheetId="4" hidden="1">INVENTARIO!$C$336:$AJ$657</definedName>
    <definedName name="_xlnm._FilterDatabase" localSheetId="11" hidden="1">'M EJECUCION O.'!$A$7:$AW$98</definedName>
    <definedName name="_xlnm._FilterDatabase" localSheetId="3" hidden="1">PRESENTACION!$B$6:$L$30</definedName>
    <definedName name="a">[1]Listas!$F$27:$F$35</definedName>
    <definedName name="Administracion" localSheetId="39">[2]Listas!$E$17:$E$19</definedName>
    <definedName name="Administracion" localSheetId="53">Listas!$E$23:$E$40</definedName>
    <definedName name="Administracion" localSheetId="11">[2]Listas!$E$17:$E$19</definedName>
    <definedName name="Administracion">[3]Listas!$E$17:$E$19</definedName>
    <definedName name="_xlnm.Print_Area" localSheetId="22">'A CALIDAD'!$B$1:$AY$154</definedName>
    <definedName name="_xlnm.Print_Area" localSheetId="20">'A CONTRACTUAL'!$A$1:$AX$175</definedName>
    <definedName name="_xlnm.Print_Area" localSheetId="27">'A DOCUMENTAL'!$A$1:$AO$143</definedName>
    <definedName name="_xlnm.Print_Area" localSheetId="24">'A FINANCIERA'!$A$1:$AX$174</definedName>
    <definedName name="_xlnm.Print_Area" localSheetId="21">'A LEGAL'!$A$1:$AO$138</definedName>
    <definedName name="_xlnm.Print_Area" localSheetId="23">'A RFISICOS'!$A$1:$AO$143</definedName>
    <definedName name="_xlnm.Print_Area" localSheetId="26">'A TIC'!$A$1:$AX$173</definedName>
    <definedName name="_xlnm.Print_Area" localSheetId="44">'C CALIDAD'!$B$1:$BJ$28</definedName>
    <definedName name="_xlnm.Print_Area" localSheetId="34">'C COMUNICACIONES'!$A$1:$BJ$27</definedName>
    <definedName name="_xlnm.Print_Area" localSheetId="42">'C CONTRACTUAL'!$A$1:$BJ$27</definedName>
    <definedName name="_xlnm.Print_Area" localSheetId="37">'C DISEÑO'!$A$1:$BJ$27</definedName>
    <definedName name="_xlnm.Print_Area" localSheetId="48">'C Documental'!$A$1:$BA$27</definedName>
    <definedName name="_xlnm.Print_Area" localSheetId="41">'C DTAI'!$A$1:$BI$20</definedName>
    <definedName name="_xlnm.Print_Area" localSheetId="40">'C DTM'!$A$1:$BE$26</definedName>
    <definedName name="_xlnm.Print_Area" localSheetId="51">'C EVALUACION'!$A$1:$BJ$27</definedName>
    <definedName name="_xlnm.Print_Area" localSheetId="35">'C FACTIBILIDAD'!$A$1:$BA$21</definedName>
    <definedName name="_xlnm.Print_Area" localSheetId="49">'C FINANCIERA'!$A$1:$BA$27</definedName>
    <definedName name="_xlnm.Print_Area" localSheetId="47">'C FISICOS'!$A$1:$BA$27</definedName>
    <definedName name="_xlnm.Print_Area" localSheetId="32">'C GESTION SOCIAL'!$A$1:$BJ$25</definedName>
    <definedName name="_xlnm.Print_Area" localSheetId="50">'C GI PROYECTOS'!$A$1:$BJ$24</definedName>
    <definedName name="_xlnm.Print_Area" localSheetId="43">'C LEGAL'!$A$1:$BA$27</definedName>
    <definedName name="_xlnm.Print_Area" localSheetId="52">'C MEJORAMIENTO'!$A$1:$BJ$27</definedName>
    <definedName name="_xlnm.Print_Area" localSheetId="39">'C OBRAS'!$A$1:$BJ$26</definedName>
    <definedName name="_xlnm.Print_Area" localSheetId="30">'C PLANEACION'!$A$1:$BA$26</definedName>
    <definedName name="_xlnm.Print_Area" localSheetId="38">'C PREDIAL'!$A$1:$BA$25</definedName>
    <definedName name="_xlnm.Print_Area" localSheetId="45">'C THUMANO'!$A$1:$BJ$27</definedName>
    <definedName name="_xlnm.Print_Area" localSheetId="46">'C TICs'!$A$1:$BA$27</definedName>
    <definedName name="_xlnm.Print_Area" localSheetId="36">'C VALORIZACION'!$A$1:$BK$23</definedName>
    <definedName name="_xlnm.Print_Area" localSheetId="18">'E COMUNICACIONES'!$A$1:$AX$112</definedName>
    <definedName name="_xlnm.Print_Area" localSheetId="16">'E GESTION SOCIAL'!$A$1:$AX$163</definedName>
    <definedName name="_xlnm.Print_Area" localSheetId="19">'E GPROYECTOS'!$A$1:$AX$170</definedName>
    <definedName name="_xlnm.Print_Area" localSheetId="15">'E INNOVACION'!$A$1:$AS$22</definedName>
    <definedName name="_xlnm.Print_Area" localSheetId="17">'E INTERINSTITUCIONAL'!$A$1:$AO$94</definedName>
    <definedName name="_xlnm.Print_Area" localSheetId="14">'E PLANEACION'!$B$1:$AP$159</definedName>
    <definedName name="_xlnm.Print_Area" localSheetId="29">'EC EVALUACION'!$A$1:$BB$169</definedName>
    <definedName name="_xlnm.Print_Area" localSheetId="28">'EC MEJORAMIENTO'!$A$1:$AX$173</definedName>
    <definedName name="_xlnm.Print_Area" localSheetId="13">'M CONSERVACION-DTAI'!$A$1:$BQ$91</definedName>
    <definedName name="_xlnm.Print_Area" localSheetId="12">'M CONSERVACION-DTM'!$A$1:$AX$157</definedName>
    <definedName name="_xlnm.Print_Area" localSheetId="9">'M DISEÑO P.'!$A$1:$AX$172</definedName>
    <definedName name="_xlnm.Print_Area" localSheetId="11">'M EJECUCION O.'!$A$1:$AV$103</definedName>
    <definedName name="_xlnm.Print_Area" localSheetId="7">'M FACTIBILIDAD'!$A$1:$AX$35</definedName>
    <definedName name="_xlnm.Print_Area" localSheetId="10">'M PREDIAL'!$A$1:$AO$174</definedName>
    <definedName name="_xlnm.Print_Area" localSheetId="8">'M VALORIZACION'!$A$1:$AX$127</definedName>
    <definedName name="_xlnm.Print_Area" localSheetId="0">PORTADA!$A$1:$U$37</definedName>
    <definedName name="Calificacion" localSheetId="39">[4]Listas!$S$3:$S$5</definedName>
    <definedName name="Calificacion" localSheetId="11">[4]Listas!$S$3:$S$5</definedName>
    <definedName name="Calificacion">[5]Listas!$S$3:$S$5</definedName>
    <definedName name="Causa" localSheetId="39">[6]Listas!$Q$3:$Q$14</definedName>
    <definedName name="Causa" localSheetId="11">[6]Listas!$Q$3:$Q$14</definedName>
    <definedName name="Causa">[7]Listas!$Q$3:$Q$14</definedName>
    <definedName name="consol" localSheetId="22">#REF!</definedName>
    <definedName name="consol" localSheetId="20">#REF!</definedName>
    <definedName name="consol" localSheetId="27">#REF!</definedName>
    <definedName name="consol" localSheetId="24">#REF!</definedName>
    <definedName name="consol" localSheetId="21">#REF!</definedName>
    <definedName name="consol" localSheetId="23">#REF!</definedName>
    <definedName name="consol" localSheetId="25">#REF!</definedName>
    <definedName name="consol" localSheetId="26">#REF!</definedName>
    <definedName name="consol" localSheetId="44">#REF!</definedName>
    <definedName name="consol" localSheetId="51">#REF!</definedName>
    <definedName name="consol" localSheetId="49">#REF!</definedName>
    <definedName name="consol" localSheetId="50">#REF!</definedName>
    <definedName name="consol" localSheetId="52">#REF!</definedName>
    <definedName name="consol" localSheetId="39">#REF!</definedName>
    <definedName name="consol" localSheetId="30">#REF!</definedName>
    <definedName name="consol" localSheetId="38">#REF!</definedName>
    <definedName name="consol" localSheetId="18">#REF!</definedName>
    <definedName name="consol" localSheetId="16">#REF!</definedName>
    <definedName name="consol" localSheetId="19">#REF!</definedName>
    <definedName name="consol" localSheetId="15">#REF!</definedName>
    <definedName name="consol" localSheetId="17">#REF!</definedName>
    <definedName name="consol" localSheetId="14">#REF!</definedName>
    <definedName name="consol" localSheetId="29">#REF!</definedName>
    <definedName name="consol" localSheetId="28">#REF!</definedName>
    <definedName name="consol" localSheetId="13">#REF!</definedName>
    <definedName name="consol" localSheetId="12">#REF!</definedName>
    <definedName name="consol" localSheetId="9">#REF!</definedName>
    <definedName name="consol" localSheetId="11">#REF!</definedName>
    <definedName name="consol" localSheetId="7">#REF!</definedName>
    <definedName name="consol" localSheetId="10">#REF!</definedName>
    <definedName name="consol" localSheetId="8">#REF!</definedName>
    <definedName name="consol" localSheetId="3">#REF!</definedName>
    <definedName name="consol">#REF!</definedName>
    <definedName name="Control" localSheetId="39">[2]Listas!$C$9:$C$11</definedName>
    <definedName name="Control" localSheetId="53">Listas!$C$14:$C$17</definedName>
    <definedName name="Control" localSheetId="11">[2]Listas!$C$9:$C$11</definedName>
    <definedName name="Control">[3]Listas!$C$9:$C$11</definedName>
    <definedName name="Decision" localSheetId="22">#REF!</definedName>
    <definedName name="Decision" localSheetId="20">#REF!</definedName>
    <definedName name="Decision" localSheetId="27">#REF!</definedName>
    <definedName name="Decision" localSheetId="24">#REF!</definedName>
    <definedName name="Decision" localSheetId="21">#REF!</definedName>
    <definedName name="Decision" localSheetId="23">#REF!</definedName>
    <definedName name="Decision" localSheetId="25">#REF!</definedName>
    <definedName name="Decision" localSheetId="26">#REF!</definedName>
    <definedName name="Decision" localSheetId="44">#REF!</definedName>
    <definedName name="Decision" localSheetId="34">#REF!</definedName>
    <definedName name="Decision" localSheetId="42">#REF!</definedName>
    <definedName name="Decision" localSheetId="37">#REF!</definedName>
    <definedName name="Decision" localSheetId="48">#REF!</definedName>
    <definedName name="Decision" localSheetId="41">#REF!</definedName>
    <definedName name="Decision" localSheetId="40">#REF!</definedName>
    <definedName name="Decision" localSheetId="51">#REF!</definedName>
    <definedName name="Decision" localSheetId="35">#REF!</definedName>
    <definedName name="Decision" localSheetId="49">#REF!</definedName>
    <definedName name="Decision" localSheetId="47">#REF!</definedName>
    <definedName name="Decision" localSheetId="32">#REF!</definedName>
    <definedName name="Decision" localSheetId="50">#REF!</definedName>
    <definedName name="Decision" localSheetId="31">#REF!</definedName>
    <definedName name="Decision" localSheetId="33">#REF!</definedName>
    <definedName name="Decision" localSheetId="43">#REF!</definedName>
    <definedName name="Decision" localSheetId="52">#REF!</definedName>
    <definedName name="Decision" localSheetId="39">#REF!</definedName>
    <definedName name="Decision" localSheetId="30">#REF!</definedName>
    <definedName name="Decision" localSheetId="38">#REF!</definedName>
    <definedName name="Decision" localSheetId="45">#REF!</definedName>
    <definedName name="Decision" localSheetId="46">#REF!</definedName>
    <definedName name="Decision" localSheetId="36">#REF!</definedName>
    <definedName name="Decision" localSheetId="18">#REF!</definedName>
    <definedName name="Decision" localSheetId="16">#REF!</definedName>
    <definedName name="Decision" localSheetId="19">#REF!</definedName>
    <definedName name="Decision" localSheetId="15">#REF!</definedName>
    <definedName name="Decision" localSheetId="17">#REF!</definedName>
    <definedName name="Decision" localSheetId="14">#REF!</definedName>
    <definedName name="Decision" localSheetId="29">#REF!</definedName>
    <definedName name="Decision" localSheetId="28">#REF!</definedName>
    <definedName name="Decision" localSheetId="6">#REF!</definedName>
    <definedName name="Decision" localSheetId="53">#REF!</definedName>
    <definedName name="Decision" localSheetId="13">#REF!</definedName>
    <definedName name="Decision" localSheetId="12">#REF!</definedName>
    <definedName name="Decision" localSheetId="9">#REF!</definedName>
    <definedName name="Decision" localSheetId="11">#REF!</definedName>
    <definedName name="Decision" localSheetId="7">#REF!</definedName>
    <definedName name="Decision" localSheetId="10">#REF!</definedName>
    <definedName name="Decision" localSheetId="8">#REF!</definedName>
    <definedName name="Decision" localSheetId="3">#REF!</definedName>
    <definedName name="Decision" localSheetId="2">#REF!</definedName>
    <definedName name="Decision">#REF!</definedName>
    <definedName name="Efectividad" localSheetId="44">[8]Listas!$D$19:$D$21</definedName>
    <definedName name="Efectividad" localSheetId="34">[9]Listas!$D$19:$D$21</definedName>
    <definedName name="Efectividad" localSheetId="42">[10]Listas!$D$19:$D$21</definedName>
    <definedName name="Efectividad" localSheetId="37">[11]Listas!$D$19:$D$21</definedName>
    <definedName name="Efectividad" localSheetId="48">[12]Listas!$D$19:$D$21</definedName>
    <definedName name="Efectividad" localSheetId="41">[13]Listas!$D$19:$D$21</definedName>
    <definedName name="Efectividad" localSheetId="40">[14]Listas!$D$19:$D$21</definedName>
    <definedName name="Efectividad" localSheetId="51">[15]Listas!$D$19:$D$21</definedName>
    <definedName name="Efectividad" localSheetId="35">[16]Listas!$D$19:$D$21</definedName>
    <definedName name="Efectividad" localSheetId="49">[17]Listas!$D$19:$D$21</definedName>
    <definedName name="Efectividad" localSheetId="47">[18]Listas!$D$19:$D$21</definedName>
    <definedName name="Efectividad" localSheetId="32">[19]Listas!$D$19:$D$21</definedName>
    <definedName name="Efectividad" localSheetId="50">[20]Listas!$D$19:$D$21</definedName>
    <definedName name="Efectividad" localSheetId="31">[21]Listas!$D$19:$D$21</definedName>
    <definedName name="Efectividad" localSheetId="33">[22]Listas!$D$19:$D$21</definedName>
    <definedName name="Efectividad" localSheetId="43">[23]Listas!$D$19:$D$21</definedName>
    <definedName name="Efectividad" localSheetId="52">[24]Listas!$D$19:$D$21</definedName>
    <definedName name="Efectividad" localSheetId="39">[25]Listas!$D$19:$D$21</definedName>
    <definedName name="Efectividad" localSheetId="30">[26]Listas!$D$19:$D$21</definedName>
    <definedName name="Efectividad" localSheetId="38">[27]Listas!$D$19:$D$21</definedName>
    <definedName name="Efectividad" localSheetId="45">[28]Listas!$D$19:$D$21</definedName>
    <definedName name="Efectividad" localSheetId="46">[29]Listas!$D$19:$D$21</definedName>
    <definedName name="Efectividad" localSheetId="36">[30]Listas!$D$19:$D$21</definedName>
    <definedName name="Efectividad" localSheetId="6">Listas!$D$19:$D$21</definedName>
    <definedName name="Efectividad" localSheetId="53">Listas!$D$19:$D$21</definedName>
    <definedName name="Efectividad" localSheetId="11">[2]Listas!$D$13:$D$15</definedName>
    <definedName name="Efectividad">[3]Listas!$D$13:$D$15</definedName>
    <definedName name="Efecto" localSheetId="22">[31]Listas!$Y$63:$Y$66</definedName>
    <definedName name="Efecto" localSheetId="20">[32]Listas!$Y$63:$Y$66</definedName>
    <definedName name="Efecto" localSheetId="27">[33]Listas!$Y$63:$Y$66</definedName>
    <definedName name="Efecto" localSheetId="24">[34]Listas!$Y$63:$Y$66</definedName>
    <definedName name="Efecto" localSheetId="21">[35]Listas!$Y$63:$Y$66</definedName>
    <definedName name="Efecto" localSheetId="23">[36]Listas!$Y$63:$Y$66</definedName>
    <definedName name="Efecto" localSheetId="25">[37]Listas!$Y$63:$Y$66</definedName>
    <definedName name="Efecto" localSheetId="26">[38]Listas!$Y$63:$Y$66</definedName>
    <definedName name="Efecto" localSheetId="39">[4]Listas!$T$3:$T$6</definedName>
    <definedName name="Efecto" localSheetId="18">[39]Listas!$Y$63:$Y$66</definedName>
    <definedName name="Efecto" localSheetId="16">[40]Listas!$Y$63:$Y$66</definedName>
    <definedName name="Efecto" localSheetId="19">[41]Listas!$Y$63:$Y$66</definedName>
    <definedName name="Efecto" localSheetId="15">[42]Listas!$Y$63:$Y$66</definedName>
    <definedName name="Efecto" localSheetId="17">[43]Listas!$Y$63:$Y$66</definedName>
    <definedName name="Efecto" localSheetId="14">[44]Listas!$Y$63:$Y$66</definedName>
    <definedName name="Efecto" localSheetId="29">[45]Listas!$Y$63:$Y$66</definedName>
    <definedName name="Efecto" localSheetId="28">[46]Listas!$Y$63:$Y$66</definedName>
    <definedName name="Efecto" localSheetId="13">[47]Listas!$Y$63:$Y$66</definedName>
    <definedName name="Efecto" localSheetId="12">[48]Listas!$Y$63:$Y$66</definedName>
    <definedName name="Efecto" localSheetId="9">[49]Listas!$Y$63:$Y$66</definedName>
    <definedName name="Efecto" localSheetId="11">[50]Listas!$Y$63:$Y$66</definedName>
    <definedName name="Efecto" localSheetId="7">[51]Listas!$Y$63:$Y$66</definedName>
    <definedName name="Efecto" localSheetId="10">[52]Listas!$Y$63:$Y$66</definedName>
    <definedName name="Efecto" localSheetId="8">[53]Listas!$Y$63:$Y$66</definedName>
    <definedName name="Efecto">[5]Listas!$T$3:$T$6</definedName>
    <definedName name="GFINANCIERA" localSheetId="3">#REF!</definedName>
    <definedName name="GFINANCIERA">#REF!</definedName>
    <definedName name="IMPACTO" localSheetId="22">[31]Listas!$Q$50:$Q$54</definedName>
    <definedName name="IMPACTO" localSheetId="20">[32]Listas!$Q$50:$Q$54</definedName>
    <definedName name="IMPACTO" localSheetId="27">[33]Listas!$Q$50:$Q$54</definedName>
    <definedName name="IMPACTO" localSheetId="24">[34]Listas!$Q$50:$Q$54</definedName>
    <definedName name="IMPACTO" localSheetId="21">[35]Listas!$Q$50:$Q$54</definedName>
    <definedName name="IMPACTO" localSheetId="23">[36]Listas!$Q$50:$Q$54</definedName>
    <definedName name="IMPACTO" localSheetId="25">[37]Listas!$Q$50:$Q$54</definedName>
    <definedName name="IMPACTO" localSheetId="26">[38]Listas!$Q$50:$Q$54</definedName>
    <definedName name="Impacto" localSheetId="44">[8]Listas!$B$9:$B$12</definedName>
    <definedName name="Impacto" localSheetId="34">[9]Listas!$B$9:$B$12</definedName>
    <definedName name="Impacto" localSheetId="42">[10]Listas!$B$9:$B$12</definedName>
    <definedName name="Impacto" localSheetId="37">[11]Listas!$B$9:$B$12</definedName>
    <definedName name="Impacto" localSheetId="48">[12]Listas!$B$9:$B$12</definedName>
    <definedName name="Impacto" localSheetId="41">[13]Listas!$B$9:$B$12</definedName>
    <definedName name="Impacto" localSheetId="40">[14]Listas!$B$9:$B$12</definedName>
    <definedName name="Impacto" localSheetId="51">[15]Listas!$B$9:$B$12</definedName>
    <definedName name="Impacto" localSheetId="35">[16]Listas!$B$9:$B$12</definedName>
    <definedName name="Impacto" localSheetId="49">[17]Listas!$B$9:$B$12</definedName>
    <definedName name="Impacto" localSheetId="47">[18]Listas!$B$9:$B$12</definedName>
    <definedName name="Impacto" localSheetId="32">[19]Listas!$B$9:$B$12</definedName>
    <definedName name="Impacto" localSheetId="50">[20]Listas!$B$9:$B$12</definedName>
    <definedName name="Impacto" localSheetId="31">[21]Listas!$B$9:$B$12</definedName>
    <definedName name="Impacto" localSheetId="33">[22]Listas!$B$9:$B$12</definedName>
    <definedName name="Impacto" localSheetId="43">[23]Listas!$B$9:$B$12</definedName>
    <definedName name="Impacto" localSheetId="52">[24]Listas!$B$9:$B$12</definedName>
    <definedName name="Impacto" localSheetId="39">[25]Listas!$B$9:$B$12</definedName>
    <definedName name="Impacto" localSheetId="30">[26]Listas!$B$9:$B$12</definedName>
    <definedName name="Impacto" localSheetId="38">[27]Listas!$B$9:$B$12</definedName>
    <definedName name="Impacto" localSheetId="45">[28]Listas!$B$9:$B$12</definedName>
    <definedName name="Impacto" localSheetId="46">[29]Listas!$B$9:$B$12</definedName>
    <definedName name="Impacto" localSheetId="36">[30]Listas!$B$9:$B$12</definedName>
    <definedName name="IMPACTO" localSheetId="18">[39]Listas!$Q$50:$Q$54</definedName>
    <definedName name="IMPACTO" localSheetId="16">[40]Listas!$Q$50:$Q$54</definedName>
    <definedName name="IMPACTO" localSheetId="19">[41]Listas!$Q$50:$Q$54</definedName>
    <definedName name="IMPACTO" localSheetId="15">[42]Listas!$Q$50:$Q$54</definedName>
    <definedName name="IMPACTO" localSheetId="17">[43]Listas!$Q$50:$Q$54</definedName>
    <definedName name="IMPACTO" localSheetId="14">[44]Listas!$Q$50:$Q$54</definedName>
    <definedName name="IMPACTO" localSheetId="29">[45]Listas!$Q$50:$Q$54</definedName>
    <definedName name="IMPACTO" localSheetId="28">[46]Listas!$Q$50:$Q$54</definedName>
    <definedName name="Impacto" localSheetId="6">Listas!$B$9:$B$12</definedName>
    <definedName name="Impacto" localSheetId="53">Listas!$B$9:$B$12</definedName>
    <definedName name="IMPACTO" localSheetId="13">[47]Listas!$Q$50:$Q$54</definedName>
    <definedName name="IMPACTO" localSheetId="12">[48]Listas!$Q$50:$Q$54</definedName>
    <definedName name="IMPACTO" localSheetId="9">[49]Listas!$Q$50:$Q$54</definedName>
    <definedName name="IMPACTO" localSheetId="11">[50]Listas!$Q$50:$Q$54</definedName>
    <definedName name="IMPACTO" localSheetId="7">[51]Listas!$Q$50:$Q$54</definedName>
    <definedName name="IMPACTO" localSheetId="10">[52]Listas!$Q$50:$Q$54</definedName>
    <definedName name="IMPACTO" localSheetId="8">[53]Listas!$Q$50:$Q$54</definedName>
    <definedName name="Impacto">[54]Listas!$B$9:$B$12</definedName>
    <definedName name="Monitoreo" localSheetId="44">[8]Listas!$G$37:$G$39</definedName>
    <definedName name="Monitoreo" localSheetId="34">[9]Listas!$G$37:$G$39</definedName>
    <definedName name="Monitoreo" localSheetId="42">[10]Listas!$G$37:$G$39</definedName>
    <definedName name="Monitoreo" localSheetId="37">[11]Listas!$G$37:$G$39</definedName>
    <definedName name="Monitoreo" localSheetId="48">[12]Listas!$G$37:$G$39</definedName>
    <definedName name="Monitoreo" localSheetId="41">[13]Listas!$G$37:$G$39</definedName>
    <definedName name="Monitoreo" localSheetId="40">[14]Listas!$G$37:$G$39</definedName>
    <definedName name="Monitoreo" localSheetId="51">[15]Listas!$G$37:$G$39</definedName>
    <definedName name="Monitoreo" localSheetId="35">[16]Listas!$G$37:$G$39</definedName>
    <definedName name="Monitoreo" localSheetId="49">[17]Listas!$G$37:$G$39</definedName>
    <definedName name="Monitoreo" localSheetId="47">[18]Listas!$G$37:$G$39</definedName>
    <definedName name="Monitoreo" localSheetId="32">[19]Listas!$G$37:$G$39</definedName>
    <definedName name="Monitoreo" localSheetId="50">[20]Listas!$G$37:$G$39</definedName>
    <definedName name="Monitoreo" localSheetId="31">[21]Listas!$G$37:$G$39</definedName>
    <definedName name="Monitoreo" localSheetId="33">[22]Listas!$G$37:$G$39</definedName>
    <definedName name="Monitoreo" localSheetId="43">[23]Listas!$G$37:$G$39</definedName>
    <definedName name="Monitoreo" localSheetId="52">[24]Listas!$G$37:$G$39</definedName>
    <definedName name="Monitoreo" localSheetId="39">[25]Listas!$G$37:$G$39</definedName>
    <definedName name="Monitoreo" localSheetId="30">[26]Listas!$G$37:$G$39</definedName>
    <definedName name="Monitoreo" localSheetId="38">[27]Listas!$G$37:$G$39</definedName>
    <definedName name="Monitoreo" localSheetId="45">[28]Listas!$G$37:$G$39</definedName>
    <definedName name="Monitoreo" localSheetId="46">[29]Listas!$G$37:$G$39</definedName>
    <definedName name="Monitoreo" localSheetId="36">[30]Listas!$G$37:$G$39</definedName>
    <definedName name="Monitoreo" localSheetId="15">[55]Listas!$G$37:$G$39</definedName>
    <definedName name="Monitoreo" localSheetId="6">Listas!$G$37:$G$39</definedName>
    <definedName name="Monitoreo" localSheetId="53">Listas!$G$37:$G$39</definedName>
    <definedName name="Monitoreo" localSheetId="13">[56]Listas!$G$37:$G$39</definedName>
    <definedName name="Monitoreo" localSheetId="11">[57]Listas!$G$37:$G$39</definedName>
    <definedName name="Monitoreo">[54]Listas!$G$37:$G$39</definedName>
    <definedName name="Oportunidad" localSheetId="39">[4]Listas!$R$3:$R$5</definedName>
    <definedName name="Oportunidad" localSheetId="11">[4]Listas!$R$3:$R$5</definedName>
    <definedName name="Oportunidad">[5]Listas!$R$3:$R$5</definedName>
    <definedName name="otc" localSheetId="39">[58]Listas!$E$17:$E$19</definedName>
    <definedName name="otc" localSheetId="11">[58]Listas!$E$17:$E$19</definedName>
    <definedName name="otc">[59]Listas!$E$17:$E$19</definedName>
    <definedName name="Periodo" localSheetId="44">[8]Listas!$F$27:$F$35</definedName>
    <definedName name="Periodo" localSheetId="34">[9]Listas!$F$27:$F$35</definedName>
    <definedName name="Periodo" localSheetId="42">[10]Listas!$F$27:$F$35</definedName>
    <definedName name="Periodo" localSheetId="37">[11]Listas!$F$27:$F$35</definedName>
    <definedName name="Periodo" localSheetId="48">[12]Listas!$F$27:$F$35</definedName>
    <definedName name="Periodo" localSheetId="41">[13]Listas!$F$27:$F$35</definedName>
    <definedName name="Periodo" localSheetId="40">[14]Listas!$F$27:$F$35</definedName>
    <definedName name="Periodo" localSheetId="51">[15]Listas!$F$27:$F$35</definedName>
    <definedName name="Periodo" localSheetId="35">[16]Listas!$F$27:$F$35</definedName>
    <definedName name="Periodo" localSheetId="49">[17]Listas!$F$27:$F$35</definedName>
    <definedName name="Periodo" localSheetId="47">[18]Listas!$F$27:$F$35</definedName>
    <definedName name="Periodo" localSheetId="32">[19]Listas!$F$27:$F$35</definedName>
    <definedName name="Periodo" localSheetId="50">[20]Listas!$F$27:$F$35</definedName>
    <definedName name="Periodo" localSheetId="31">[21]Listas!$F$27:$F$35</definedName>
    <definedName name="Periodo" localSheetId="33">[22]Listas!$F$27:$F$35</definedName>
    <definedName name="Periodo" localSheetId="43">[23]Listas!$F$27:$F$35</definedName>
    <definedName name="Periodo" localSheetId="52">[24]Listas!$F$27:$F$35</definedName>
    <definedName name="Periodo" localSheetId="39">[25]Listas!$F$27:$F$35</definedName>
    <definedName name="Periodo" localSheetId="30">[26]Listas!$F$27:$F$35</definedName>
    <definedName name="Periodo" localSheetId="38">[27]Listas!$F$27:$F$35</definedName>
    <definedName name="Periodo" localSheetId="45">[28]Listas!$F$27:$F$35</definedName>
    <definedName name="Periodo" localSheetId="46">[29]Listas!$F$27:$F$35</definedName>
    <definedName name="Periodo" localSheetId="36">[30]Listas!$F$27:$F$35</definedName>
    <definedName name="Periodo" localSheetId="6">Listas!$F$27:$F$35</definedName>
    <definedName name="Periodo" localSheetId="53">Listas!$F$27:$F$35</definedName>
    <definedName name="Periodo" localSheetId="11">[57]Listas!$F$27:$F$35</definedName>
    <definedName name="Periodo">[54]Listas!$F$27:$F$35</definedName>
    <definedName name="previo" localSheetId="39">[60]Listas!$R$3:$R$5</definedName>
    <definedName name="previo" localSheetId="11">[60]Listas!$R$3:$R$5</definedName>
    <definedName name="previo">[61]Listas!$R$3:$R$5</definedName>
    <definedName name="Print_Area_0" localSheetId="22">'A CALIDAD'!$B$1:$M$122</definedName>
    <definedName name="Print_Area_0" localSheetId="20">'A CONTRACTUAL'!$A$1:$L$143</definedName>
    <definedName name="Print_Area_0" localSheetId="27">'A DOCUMENTAL'!$A$1:$L$143</definedName>
    <definedName name="Print_Area_0" localSheetId="24">'A FINANCIERA'!$A$1:$L$141</definedName>
    <definedName name="Print_Area_0" localSheetId="21">'A LEGAL'!$A$1:$L$138</definedName>
    <definedName name="Print_Area_0" localSheetId="23">'A RFISICOS'!$A$1:$L$143</definedName>
    <definedName name="Print_Area_0" localSheetId="25">'A THUMANOS'!$A$1:$L$119</definedName>
    <definedName name="Print_Area_0" localSheetId="26">'A TIC'!$A$1:$L$141</definedName>
    <definedName name="Print_Area_0" localSheetId="18">'E COMUNICACIONES'!$A$1:$L$80</definedName>
    <definedName name="Print_Area_0" localSheetId="16">'E GESTION SOCIAL'!$A$1:$L$134</definedName>
    <definedName name="Print_Area_0" localSheetId="19">'E GPROYECTOS'!$A$1:$L$141</definedName>
    <definedName name="Print_Area_0" localSheetId="15">'E INNOVACION'!$A$1:$L$17</definedName>
    <definedName name="Print_Area_0" localSheetId="17">'E INTERINSTITUCIONAL'!$A$1:$L$62</definedName>
    <definedName name="Print_Area_0" localSheetId="14">'E PLANEACION'!$B$1:$M$130</definedName>
    <definedName name="Print_Area_0" localSheetId="29">'EC EVALUACION'!$A$1:$L$137</definedName>
    <definedName name="Print_Area_0" localSheetId="28">'EC MEJORAMIENTO'!$A$1:$L$142</definedName>
    <definedName name="Print_Area_0" localSheetId="13">'M CONSERVACION-DTAI'!$A$1:$L$61</definedName>
    <definedName name="Print_Area_0" localSheetId="12">'M CONSERVACION-DTM'!$A$1:$L$126</definedName>
    <definedName name="Print_Area_0" localSheetId="9">'M DISEÑO P.'!$A$1:$L$142</definedName>
    <definedName name="Print_Area_0" localSheetId="11">'M EJECUCION O.'!$A$1:$L$73</definedName>
    <definedName name="Print_Area_0" localSheetId="7">'M FACTIBILIDAD'!$A$1:$L$30</definedName>
    <definedName name="Print_Area_0" localSheetId="10">'M PREDIAL'!$A$1:$L$144</definedName>
    <definedName name="Print_Area_0" localSheetId="8">'M VALORIZACION'!$A$1:$L$95</definedName>
    <definedName name="Print_Area_0_0" localSheetId="22">'A CALIDAD'!$B$1:$M$122</definedName>
    <definedName name="Print_Area_0_0" localSheetId="20">'A CONTRACTUAL'!$A$1:$L$143</definedName>
    <definedName name="Print_Area_0_0" localSheetId="27">'A DOCUMENTAL'!$A$1:$L$143</definedName>
    <definedName name="Print_Area_0_0" localSheetId="24">'A FINANCIERA'!$A$1:$L$141</definedName>
    <definedName name="Print_Area_0_0" localSheetId="21">'A LEGAL'!$A$1:$L$138</definedName>
    <definedName name="Print_Area_0_0" localSheetId="23">'A RFISICOS'!$A$1:$L$143</definedName>
    <definedName name="Print_Area_0_0" localSheetId="25">'A THUMANOS'!$A$1:$L$119</definedName>
    <definedName name="Print_Area_0_0" localSheetId="26">'A TIC'!$A$1:$L$141</definedName>
    <definedName name="Print_Area_0_0" localSheetId="18">'E COMUNICACIONES'!$A$1:$L$80</definedName>
    <definedName name="Print_Area_0_0" localSheetId="16">'E GESTION SOCIAL'!$A$1:$L$134</definedName>
    <definedName name="Print_Area_0_0" localSheetId="19">'E GPROYECTOS'!$A$1:$L$141</definedName>
    <definedName name="Print_Area_0_0" localSheetId="15">'E INNOVACION'!$A$1:$L$17</definedName>
    <definedName name="Print_Area_0_0" localSheetId="17">'E INTERINSTITUCIONAL'!$A$1:$L$62</definedName>
    <definedName name="Print_Area_0_0" localSheetId="14">'E PLANEACION'!$B$1:$M$130</definedName>
    <definedName name="Print_Area_0_0" localSheetId="29">'EC EVALUACION'!$A$1:$L$137</definedName>
    <definedName name="Print_Area_0_0" localSheetId="28">'EC MEJORAMIENTO'!$A$1:$L$142</definedName>
    <definedName name="Print_Area_0_0" localSheetId="13">'M CONSERVACION-DTAI'!$A$1:$L$61</definedName>
    <definedName name="Print_Area_0_0" localSheetId="12">'M CONSERVACION-DTM'!$A$1:$L$126</definedName>
    <definedName name="Print_Area_0_0" localSheetId="9">'M DISEÑO P.'!$A$1:$L$142</definedName>
    <definedName name="Print_Area_0_0" localSheetId="11">'M EJECUCION O.'!$A$1:$L$73</definedName>
    <definedName name="Print_Area_0_0" localSheetId="7">'M FACTIBILIDAD'!$A$1:$L$30</definedName>
    <definedName name="Print_Area_0_0" localSheetId="10">'M PREDIAL'!$A$1:$L$144</definedName>
    <definedName name="Print_Area_0_0" localSheetId="8">'M VALORIZACION'!$A$1:$L$95</definedName>
    <definedName name="Print_Area_0_0_0" localSheetId="22">'A CALIDAD'!$B$1:$M$122</definedName>
    <definedName name="Print_Area_0_0_0" localSheetId="20">'A CONTRACTUAL'!$A$1:$L$143</definedName>
    <definedName name="Print_Area_0_0_0" localSheetId="27">'A DOCUMENTAL'!$A$1:$L$143</definedName>
    <definedName name="Print_Area_0_0_0" localSheetId="24">'A FINANCIERA'!$A$1:$L$141</definedName>
    <definedName name="Print_Area_0_0_0" localSheetId="21">'A LEGAL'!$A$1:$L$138</definedName>
    <definedName name="Print_Area_0_0_0" localSheetId="23">'A RFISICOS'!$A$1:$L$143</definedName>
    <definedName name="Print_Area_0_0_0" localSheetId="25">'A THUMANOS'!$A$1:$L$119</definedName>
    <definedName name="Print_Area_0_0_0" localSheetId="26">'A TIC'!$A$1:$L$141</definedName>
    <definedName name="Print_Area_0_0_0" localSheetId="18">'E COMUNICACIONES'!$A$1:$L$80</definedName>
    <definedName name="Print_Area_0_0_0" localSheetId="16">'E GESTION SOCIAL'!$A$1:$L$134</definedName>
    <definedName name="Print_Area_0_0_0" localSheetId="19">'E GPROYECTOS'!$A$1:$L$141</definedName>
    <definedName name="Print_Area_0_0_0" localSheetId="15">'E INNOVACION'!$A$1:$L$17</definedName>
    <definedName name="Print_Area_0_0_0" localSheetId="17">'E INTERINSTITUCIONAL'!$A$1:$L$62</definedName>
    <definedName name="Print_Area_0_0_0" localSheetId="14">'E PLANEACION'!$B$1:$M$130</definedName>
    <definedName name="Print_Area_0_0_0" localSheetId="29">'EC EVALUACION'!$A$1:$L$137</definedName>
    <definedName name="Print_Area_0_0_0" localSheetId="28">'EC MEJORAMIENTO'!$A$1:$L$142</definedName>
    <definedName name="Print_Area_0_0_0" localSheetId="13">'M CONSERVACION-DTAI'!$A$1:$L$61</definedName>
    <definedName name="Print_Area_0_0_0" localSheetId="12">'M CONSERVACION-DTM'!$A$1:$L$126</definedName>
    <definedName name="Print_Area_0_0_0" localSheetId="9">'M DISEÑO P.'!$A$1:$L$142</definedName>
    <definedName name="Print_Area_0_0_0" localSheetId="11">'M EJECUCION O.'!$A$1:$L$73</definedName>
    <definedName name="Print_Area_0_0_0" localSheetId="7">'M FACTIBILIDAD'!$A$1:$L$30</definedName>
    <definedName name="Print_Area_0_0_0" localSheetId="10">'M PREDIAL'!$A$1:$L$144</definedName>
    <definedName name="Print_Area_0_0_0" localSheetId="8">'M VALORIZACION'!$A$1:$L$95</definedName>
    <definedName name="Print_Titles_0" localSheetId="22">'A CALIDAD'!$1:$4</definedName>
    <definedName name="Print_Titles_0" localSheetId="20">'A CONTRACTUAL'!$1:$4</definedName>
    <definedName name="Print_Titles_0" localSheetId="27">'A DOCUMENTAL'!$1:$4</definedName>
    <definedName name="Print_Titles_0" localSheetId="24">'A FINANCIERA'!$1:$4</definedName>
    <definedName name="Print_Titles_0" localSheetId="21">'A LEGAL'!$1:$4</definedName>
    <definedName name="Print_Titles_0" localSheetId="23">'A RFISICOS'!$1:$4</definedName>
    <definedName name="Print_Titles_0" localSheetId="25">'A THUMANOS'!$1:$4</definedName>
    <definedName name="Print_Titles_0" localSheetId="26">'A TIC'!$1:$4</definedName>
    <definedName name="Print_Titles_0" localSheetId="18">'E COMUNICACIONES'!$1:$4</definedName>
    <definedName name="Print_Titles_0" localSheetId="16">'E GESTION SOCIAL'!$1:$4</definedName>
    <definedName name="Print_Titles_0" localSheetId="19">'E GPROYECTOS'!$1:$4</definedName>
    <definedName name="Print_Titles_0" localSheetId="15">'E INNOVACION'!$1:$4</definedName>
    <definedName name="Print_Titles_0" localSheetId="17">'E INTERINSTITUCIONAL'!$1:$4</definedName>
    <definedName name="Print_Titles_0" localSheetId="14">'E PLANEACION'!$1:$4</definedName>
    <definedName name="Print_Titles_0" localSheetId="29">'EC EVALUACION'!$1:$4</definedName>
    <definedName name="Print_Titles_0" localSheetId="28">'EC MEJORAMIENTO'!$1:$4</definedName>
    <definedName name="Print_Titles_0" localSheetId="13">'M CONSERVACION-DTAI'!$1:$4</definedName>
    <definedName name="Print_Titles_0" localSheetId="12">'M CONSERVACION-DTM'!$1:$4</definedName>
    <definedName name="Print_Titles_0" localSheetId="9">'M DISEÑO P.'!$1:$4</definedName>
    <definedName name="Print_Titles_0" localSheetId="11">'M EJECUCION O.'!$1:$4</definedName>
    <definedName name="Print_Titles_0" localSheetId="7">'M FACTIBILIDAD'!$1:$4</definedName>
    <definedName name="Print_Titles_0" localSheetId="10">'M PREDIAL'!$1:$4</definedName>
    <definedName name="Print_Titles_0" localSheetId="8">'M VALORIZACION'!$1:$4</definedName>
    <definedName name="Print_Titles_0_0" localSheetId="22">'A CALIDAD'!$1:$4</definedName>
    <definedName name="Print_Titles_0_0" localSheetId="20">'A CONTRACTUAL'!$1:$4</definedName>
    <definedName name="Print_Titles_0_0" localSheetId="27">'A DOCUMENTAL'!$1:$4</definedName>
    <definedName name="Print_Titles_0_0" localSheetId="24">'A FINANCIERA'!$1:$4</definedName>
    <definedName name="Print_Titles_0_0" localSheetId="21">'A LEGAL'!$1:$4</definedName>
    <definedName name="Print_Titles_0_0" localSheetId="23">'A RFISICOS'!$1:$4</definedName>
    <definedName name="Print_Titles_0_0" localSheetId="25">'A THUMANOS'!$1:$4</definedName>
    <definedName name="Print_Titles_0_0" localSheetId="26">'A TIC'!$1:$4</definedName>
    <definedName name="Print_Titles_0_0" localSheetId="18">'E COMUNICACIONES'!$1:$4</definedName>
    <definedName name="Print_Titles_0_0" localSheetId="16">'E GESTION SOCIAL'!$1:$4</definedName>
    <definedName name="Print_Titles_0_0" localSheetId="19">'E GPROYECTOS'!$1:$4</definedName>
    <definedName name="Print_Titles_0_0" localSheetId="15">'E INNOVACION'!$1:$4</definedName>
    <definedName name="Print_Titles_0_0" localSheetId="17">'E INTERINSTITUCIONAL'!$1:$4</definedName>
    <definedName name="Print_Titles_0_0" localSheetId="14">'E PLANEACION'!$1:$4</definedName>
    <definedName name="Print_Titles_0_0" localSheetId="29">'EC EVALUACION'!$1:$4</definedName>
    <definedName name="Print_Titles_0_0" localSheetId="28">'EC MEJORAMIENTO'!$1:$4</definedName>
    <definedName name="Print_Titles_0_0" localSheetId="13">'M CONSERVACION-DTAI'!$1:$4</definedName>
    <definedName name="Print_Titles_0_0" localSheetId="12">'M CONSERVACION-DTM'!$1:$4</definedName>
    <definedName name="Print_Titles_0_0" localSheetId="9">'M DISEÑO P.'!$1:$4</definedName>
    <definedName name="Print_Titles_0_0" localSheetId="11">'M EJECUCION O.'!$1:$4</definedName>
    <definedName name="Print_Titles_0_0" localSheetId="7">'M FACTIBILIDAD'!$1:$4</definedName>
    <definedName name="Print_Titles_0_0" localSheetId="10">'M PREDIAL'!$1:$4</definedName>
    <definedName name="Print_Titles_0_0" localSheetId="8">'M VALORIZACION'!$1:$4</definedName>
    <definedName name="Print_Titles_0_0_0" localSheetId="22">'A CALIDAD'!$1:$4</definedName>
    <definedName name="Print_Titles_0_0_0" localSheetId="20">'A CONTRACTUAL'!$1:$4</definedName>
    <definedName name="Print_Titles_0_0_0" localSheetId="27">'A DOCUMENTAL'!$1:$4</definedName>
    <definedName name="Print_Titles_0_0_0" localSheetId="24">'A FINANCIERA'!$1:$4</definedName>
    <definedName name="Print_Titles_0_0_0" localSheetId="21">'A LEGAL'!$1:$4</definedName>
    <definedName name="Print_Titles_0_0_0" localSheetId="23">'A RFISICOS'!$1:$4</definedName>
    <definedName name="Print_Titles_0_0_0" localSheetId="25">'A THUMANOS'!$1:$4</definedName>
    <definedName name="Print_Titles_0_0_0" localSheetId="26">'A TIC'!$1:$4</definedName>
    <definedName name="Print_Titles_0_0_0" localSheetId="18">'E COMUNICACIONES'!$1:$4</definedName>
    <definedName name="Print_Titles_0_0_0" localSheetId="16">'E GESTION SOCIAL'!$1:$4</definedName>
    <definedName name="Print_Titles_0_0_0" localSheetId="19">'E GPROYECTOS'!$1:$4</definedName>
    <definedName name="Print_Titles_0_0_0" localSheetId="15">'E INNOVACION'!$1:$4</definedName>
    <definedName name="Print_Titles_0_0_0" localSheetId="17">'E INTERINSTITUCIONAL'!$1:$4</definedName>
    <definedName name="Print_Titles_0_0_0" localSheetId="14">'E PLANEACION'!$1:$4</definedName>
    <definedName name="Print_Titles_0_0_0" localSheetId="29">'EC EVALUACION'!$1:$4</definedName>
    <definedName name="Print_Titles_0_0_0" localSheetId="28">'EC MEJORAMIENTO'!$1:$4</definedName>
    <definedName name="Print_Titles_0_0_0" localSheetId="13">'M CONSERVACION-DTAI'!$1:$4</definedName>
    <definedName name="Print_Titles_0_0_0" localSheetId="12">'M CONSERVACION-DTM'!$1:$4</definedName>
    <definedName name="Print_Titles_0_0_0" localSheetId="9">'M DISEÑO P.'!$1:$4</definedName>
    <definedName name="Print_Titles_0_0_0" localSheetId="11">'M EJECUCION O.'!$1:$4</definedName>
    <definedName name="Print_Titles_0_0_0" localSheetId="7">'M FACTIBILIDAD'!$1:$4</definedName>
    <definedName name="Print_Titles_0_0_0" localSheetId="10">'M PREDIAL'!$1:$4</definedName>
    <definedName name="Print_Titles_0_0_0" localSheetId="8">'M VALORIZACION'!$1:$4</definedName>
    <definedName name="PROBAB" localSheetId="22">[31]Listas!$O$43:$O$47</definedName>
    <definedName name="PROBAB" localSheetId="20">[32]Listas!$O$43:$O$47</definedName>
    <definedName name="PROBAB" localSheetId="27">[33]Listas!$O$43:$O$47</definedName>
    <definedName name="PROBAB" localSheetId="24">[34]Listas!$O$43:$O$47</definedName>
    <definedName name="PROBAB" localSheetId="21">[35]Listas!$O$43:$O$47</definedName>
    <definedName name="PROBAB" localSheetId="23">[36]Listas!$O$43:$O$47</definedName>
    <definedName name="PROBAB" localSheetId="25">[37]Listas!$O$43:$O$47</definedName>
    <definedName name="PROBAB" localSheetId="26">[38]Listas!$O$43:$O$47</definedName>
    <definedName name="PROBAB" localSheetId="39">[62]Listas!$O$14:$O$18</definedName>
    <definedName name="PROBAB" localSheetId="18">[39]Listas!$O$43:$O$47</definedName>
    <definedName name="PROBAB" localSheetId="16">[40]Listas!$O$43:$O$47</definedName>
    <definedName name="PROBAB" localSheetId="19">[41]Listas!$O$43:$O$47</definedName>
    <definedName name="PROBAB" localSheetId="15">[42]Listas!$O$43:$O$47</definedName>
    <definedName name="PROBAB" localSheetId="17">[43]Listas!$O$43:$O$47</definedName>
    <definedName name="PROBAB" localSheetId="14">[44]Listas!$O$43:$O$47</definedName>
    <definedName name="PROBAB" localSheetId="29">[45]Listas!$O$43:$O$47</definedName>
    <definedName name="PROBAB" localSheetId="28">[46]Listas!$O$43:$O$47</definedName>
    <definedName name="PROBAB" localSheetId="13">[47]Listas!$O$43:$O$47</definedName>
    <definedName name="PROBAB" localSheetId="12">[48]Listas!$O$43:$O$47</definedName>
    <definedName name="PROBAB" localSheetId="9">[49]Listas!$O$43:$O$47</definedName>
    <definedName name="PROBAB" localSheetId="11">[50]Listas!$O$43:$O$47</definedName>
    <definedName name="PROBAB" localSheetId="7">[51]Listas!$O$43:$O$47</definedName>
    <definedName name="PROBAB" localSheetId="10">[52]Listas!$O$43:$O$47</definedName>
    <definedName name="PROBAB" localSheetId="8">[53]Listas!$O$43:$O$47</definedName>
    <definedName name="PROBAB">[63]Listas!$O$14:$O$18</definedName>
    <definedName name="Probabilidad" localSheetId="44">[8]Listas!$A$2:$A$7</definedName>
    <definedName name="Probabilidad" localSheetId="34">[9]Listas!$A$2:$A$7</definedName>
    <definedName name="Probabilidad" localSheetId="42">[10]Listas!$A$2:$A$7</definedName>
    <definedName name="Probabilidad" localSheetId="37">[11]Listas!$A$2:$A$7</definedName>
    <definedName name="Probabilidad" localSheetId="48">[12]Listas!$A$2:$A$7</definedName>
    <definedName name="Probabilidad" localSheetId="41">[13]Listas!$A$2:$A$7</definedName>
    <definedName name="Probabilidad" localSheetId="40">[14]Listas!$A$2:$A$7</definedName>
    <definedName name="Probabilidad" localSheetId="51">[15]Listas!$A$2:$A$7</definedName>
    <definedName name="Probabilidad" localSheetId="35">[16]Listas!$A$2:$A$7</definedName>
    <definedName name="Probabilidad" localSheetId="49">[17]Listas!$A$2:$A$7</definedName>
    <definedName name="Probabilidad" localSheetId="47">[18]Listas!$A$2:$A$7</definedName>
    <definedName name="Probabilidad" localSheetId="32">[19]Listas!$A$2:$A$7</definedName>
    <definedName name="Probabilidad" localSheetId="50">[20]Listas!$A$2:$A$7</definedName>
    <definedName name="Probabilidad" localSheetId="31">[21]Listas!$A$2:$A$7</definedName>
    <definedName name="Probabilidad" localSheetId="33">[22]Listas!$A$2:$A$7</definedName>
    <definedName name="Probabilidad" localSheetId="43">[23]Listas!$A$2:$A$7</definedName>
    <definedName name="Probabilidad" localSheetId="52">[24]Listas!$A$2:$A$7</definedName>
    <definedName name="Probabilidad" localSheetId="39">[25]Listas!$A$2:$A$7</definedName>
    <definedName name="Probabilidad" localSheetId="30">[26]Listas!$A$2:$A$7</definedName>
    <definedName name="Probabilidad" localSheetId="38">[27]Listas!$A$2:$A$7</definedName>
    <definedName name="Probabilidad" localSheetId="45">[28]Listas!$A$2:$A$7</definedName>
    <definedName name="Probabilidad" localSheetId="46">[29]Listas!$A$2:$A$7</definedName>
    <definedName name="Probabilidad" localSheetId="36">[30]Listas!$A$2:$A$7</definedName>
    <definedName name="Probabilidad" localSheetId="6">Listas!$A$2:$A$7</definedName>
    <definedName name="Probabilidad" localSheetId="53">Listas!$A$2:$A$7</definedName>
    <definedName name="Probabilidad" localSheetId="11">[2]Listas!$A$2:$A$4</definedName>
    <definedName name="Probabilidad">[3]Listas!$A$2:$A$4</definedName>
    <definedName name="Proceso" localSheetId="44">[8]Listas!$H$42:$H$64</definedName>
    <definedName name="Proceso" localSheetId="34">[9]Listas!$H$42:$H$64</definedName>
    <definedName name="Proceso" localSheetId="42">[10]Listas!$H$42:$H$64</definedName>
    <definedName name="Proceso" localSheetId="37">[11]Listas!$H$42:$H$64</definedName>
    <definedName name="Proceso" localSheetId="48">[12]Listas!$H$42:$H$64</definedName>
    <definedName name="Proceso" localSheetId="41">[13]Listas!$H$42:$H$64</definedName>
    <definedName name="Proceso" localSheetId="40">[14]Listas!$H$42:$H$64</definedName>
    <definedName name="Proceso" localSheetId="51">[15]Listas!$H$42:$H$64</definedName>
    <definedName name="Proceso" localSheetId="35">[16]Listas!$H$42:$H$64</definedName>
    <definedName name="Proceso" localSheetId="49">[17]Listas!$H$42:$H$64</definedName>
    <definedName name="Proceso" localSheetId="47">[18]Listas!$H$42:$H$64</definedName>
    <definedName name="Proceso" localSheetId="32">[19]Listas!$H$42:$H$64</definedName>
    <definedName name="Proceso" localSheetId="50">[20]Listas!$H$42:$H$64</definedName>
    <definedName name="Proceso" localSheetId="31">[21]Listas!$H$42:$H$64</definedName>
    <definedName name="Proceso" localSheetId="33">[22]Listas!$H$42:$H$64</definedName>
    <definedName name="Proceso" localSheetId="43">[23]Listas!$H$42:$H$64</definedName>
    <definedName name="Proceso" localSheetId="52">[24]Listas!$H$42:$H$64</definedName>
    <definedName name="Proceso" localSheetId="39">[25]Listas!$H$42:$H$64</definedName>
    <definedName name="Proceso" localSheetId="30">[26]Listas!$H$42:$H$64</definedName>
    <definedName name="Proceso" localSheetId="38">[27]Listas!$H$42:$H$64</definedName>
    <definedName name="Proceso" localSheetId="45">[28]Listas!$H$42:$H$64</definedName>
    <definedName name="Proceso" localSheetId="46">[29]Listas!$H$42:$H$64</definedName>
    <definedName name="Proceso" localSheetId="36">[30]Listas!$H$42:$H$64</definedName>
    <definedName name="Proceso" localSheetId="6">Listas!$H$42:$H$64</definedName>
    <definedName name="Proceso" localSheetId="53">Listas!$H$42:$H$64</definedName>
    <definedName name="Proceso" localSheetId="11">[57]Listas!$H$42:$H$64</definedName>
    <definedName name="Proceso">[54]Listas!$H$42:$H$64</definedName>
    <definedName name="SINO" localSheetId="22">[31]Listas!$AD$97:$AD$98</definedName>
    <definedName name="SINO" localSheetId="20">[32]Listas!$AD$97:$AD$98</definedName>
    <definedName name="SINO" localSheetId="27">[33]Listas!$AD$97:$AD$98</definedName>
    <definedName name="SINO" localSheetId="24">[34]Listas!$AD$97:$AD$98</definedName>
    <definedName name="SINO" localSheetId="21">[35]Listas!$AD$97:$AD$98</definedName>
    <definedName name="SINO" localSheetId="23">[36]Listas!$AD$97:$AD$98</definedName>
    <definedName name="SINO" localSheetId="25">[37]Listas!$AD$97:$AD$98</definedName>
    <definedName name="SINO" localSheetId="26">[38]Listas!$AD$97:$AD$98</definedName>
    <definedName name="SINO" localSheetId="51">[64]Listas!$AD$97:$AD$98</definedName>
    <definedName name="SINO" localSheetId="52">[64]Listas!$AD$97:$AD$98</definedName>
    <definedName name="SINO" localSheetId="18">[39]Listas!$AD$97:$AD$98</definedName>
    <definedName name="SINO" localSheetId="16">[40]Listas!$AD$97:$AD$98</definedName>
    <definedName name="SINO" localSheetId="19">[41]Listas!$AD$97:$AD$98</definedName>
    <definedName name="SINO" localSheetId="15">[42]Listas!$AD$97:$AD$98</definedName>
    <definedName name="SINO" localSheetId="17">[43]Listas!$AD$97:$AD$98</definedName>
    <definedName name="SINO" localSheetId="14">[44]Listas!$AD$97:$AD$98</definedName>
    <definedName name="SINO" localSheetId="29">[45]Listas!$AD$97:$AD$98</definedName>
    <definedName name="SINO" localSheetId="28">[46]Listas!$AD$97:$AD$98</definedName>
    <definedName name="SINO" localSheetId="13">[47]Listas!$AD$97:$AD$98</definedName>
    <definedName name="SINO" localSheetId="12">[48]Listas!$AD$97:$AD$98</definedName>
    <definedName name="SINO" localSheetId="9">[49]Listas!$AD$97:$AD$98</definedName>
    <definedName name="SINO" localSheetId="11">[50]Listas!$AD$97:$AD$98</definedName>
    <definedName name="SINO" localSheetId="7">[51]Listas!$AD$97:$AD$98</definedName>
    <definedName name="SINO" localSheetId="10">[52]Listas!$AD$97:$AD$98</definedName>
    <definedName name="SINO" localSheetId="8">[53]Listas!$AD$97:$AD$98</definedName>
    <definedName name="SINO">[65]Listas!$AD$97:$AD$98</definedName>
    <definedName name="_xlnm.Print_Titles" localSheetId="22">'A CALIDAD'!$C:$F,'A CALIDAD'!$1:$8</definedName>
    <definedName name="_xlnm.Print_Titles" localSheetId="20">'A CONTRACTUAL'!$B:$E,'A CONTRACTUAL'!$1:$8</definedName>
    <definedName name="_xlnm.Print_Titles" localSheetId="27">'A DOCUMENTAL'!$B:$E,'A DOCUMENTAL'!$1:$8</definedName>
    <definedName name="_xlnm.Print_Titles" localSheetId="24">'A FINANCIERA'!$B:$E,'A FINANCIERA'!$1:$8</definedName>
    <definedName name="_xlnm.Print_Titles" localSheetId="21">'A LEGAL'!$B:$E,'A LEGAL'!$1:$8</definedName>
    <definedName name="_xlnm.Print_Titles" localSheetId="23">'A RFISICOS'!$B:$E,'A RFISICOS'!$1:$8</definedName>
    <definedName name="_xlnm.Print_Titles" localSheetId="25">'A THUMANOS'!$B:$E,'A THUMANOS'!$1:$8</definedName>
    <definedName name="_xlnm.Print_Titles" localSheetId="26">'A TIC'!$B:$E,'A TIC'!$1:$8</definedName>
    <definedName name="_xlnm.Print_Titles" localSheetId="44">'C CALIDAD'!$8:$9</definedName>
    <definedName name="_xlnm.Print_Titles" localSheetId="34">'C COMUNICACIONES'!$8:$9</definedName>
    <definedName name="_xlnm.Print_Titles" localSheetId="42">'C CONTRACTUAL'!$8:$9</definedName>
    <definedName name="_xlnm.Print_Titles" localSheetId="37">'C DISEÑO'!$8:$9</definedName>
    <definedName name="_xlnm.Print_Titles" localSheetId="48">'C Documental'!$8:$9</definedName>
    <definedName name="_xlnm.Print_Titles" localSheetId="41">'C DTAI'!$8:$9</definedName>
    <definedName name="_xlnm.Print_Titles" localSheetId="40">'C DTM'!$8:$9</definedName>
    <definedName name="_xlnm.Print_Titles" localSheetId="51">'C EVALUACION'!$8:$9</definedName>
    <definedName name="_xlnm.Print_Titles" localSheetId="35">'C FACTIBILIDAD'!$8:$9</definedName>
    <definedName name="_xlnm.Print_Titles" localSheetId="49">'C FINANCIERA'!$8:$9</definedName>
    <definedName name="_xlnm.Print_Titles" localSheetId="47">'C FISICOS'!$8:$9</definedName>
    <definedName name="_xlnm.Print_Titles" localSheetId="32">'C GESTION SOCIAL'!$8:$9</definedName>
    <definedName name="_xlnm.Print_Titles" localSheetId="50">'C GI PROYECTOS'!$8:$9</definedName>
    <definedName name="_xlnm.Print_Titles" localSheetId="31">'C INNOVACION'!$8:$9</definedName>
    <definedName name="_xlnm.Print_Titles" localSheetId="33">'C INTERISTITUCIONAL'!$8:$9</definedName>
    <definedName name="_xlnm.Print_Titles" localSheetId="43">'C LEGAL'!$8:$9</definedName>
    <definedName name="_xlnm.Print_Titles" localSheetId="52">'C MEJORAMIENTO'!$8:$9</definedName>
    <definedName name="_xlnm.Print_Titles" localSheetId="39">'C OBRAS'!$1:$9</definedName>
    <definedName name="_xlnm.Print_Titles" localSheetId="30">'C PLANEACION'!$8:$9</definedName>
    <definedName name="_xlnm.Print_Titles" localSheetId="38">'C PREDIAL'!$8:$9</definedName>
    <definedName name="_xlnm.Print_Titles" localSheetId="45">'C THUMANO'!$8:$9</definedName>
    <definedName name="_xlnm.Print_Titles" localSheetId="46">'C TICs'!$8:$9</definedName>
    <definedName name="_xlnm.Print_Titles" localSheetId="36">'C VALORIZACION'!$8:$9</definedName>
    <definedName name="_xlnm.Print_Titles" localSheetId="18">'E COMUNICACIONES'!$B:$E,'E COMUNICACIONES'!$1:$8</definedName>
    <definedName name="_xlnm.Print_Titles" localSheetId="16">'E GESTION SOCIAL'!$B:$E,'E GESTION SOCIAL'!$1:$8</definedName>
    <definedName name="_xlnm.Print_Titles" localSheetId="19">'E GPROYECTOS'!$B:$E,'E GPROYECTOS'!$1:$8</definedName>
    <definedName name="_xlnm.Print_Titles" localSheetId="15">'E INNOVACION'!$B:$E,'E INNOVACION'!$1:$8</definedName>
    <definedName name="_xlnm.Print_Titles" localSheetId="17">'E INTERINSTITUCIONAL'!$B:$E,'E INTERINSTITUCIONAL'!$1:$8</definedName>
    <definedName name="_xlnm.Print_Titles" localSheetId="14">'E PLANEACION'!$C:$F,'E PLANEACION'!$1:$8</definedName>
    <definedName name="_xlnm.Print_Titles" localSheetId="29">'EC EVALUACION'!$B:$E,'EC EVALUACION'!$1:$8</definedName>
    <definedName name="_xlnm.Print_Titles" localSheetId="28">'EC MEJORAMIENTO'!$B:$E,'EC MEJORAMIENTO'!$1:$8</definedName>
    <definedName name="_xlnm.Print_Titles" localSheetId="13">'M CONSERVACION-DTAI'!$B:$E,'M CONSERVACION-DTAI'!$1:$8</definedName>
    <definedName name="_xlnm.Print_Titles" localSheetId="9">'M DISEÑO P.'!$B:$E,'M DISEÑO P.'!$1:$8</definedName>
    <definedName name="_xlnm.Print_Titles" localSheetId="11">'M EJECUCION O.'!$B:$E,'M EJECUCION O.'!$1:$8</definedName>
    <definedName name="_xlnm.Print_Titles" localSheetId="7">'M FACTIBILIDAD'!$B:$E,'M FACTIBILIDAD'!$1:$8</definedName>
    <definedName name="_xlnm.Print_Titles" localSheetId="10">'M PREDIAL'!$B:$E,'M PREDIAL'!$1:$8</definedName>
    <definedName name="_xlnm.Print_Titles" localSheetId="8">'M VALORIZACION'!$B:$E,'M VALORIZACION'!$1:$8</definedName>
    <definedName name="Valoracion" localSheetId="22">#REF!</definedName>
    <definedName name="Valoracion" localSheetId="20">#REF!</definedName>
    <definedName name="Valoracion" localSheetId="27">#REF!</definedName>
    <definedName name="Valoracion" localSheetId="24">#REF!</definedName>
    <definedName name="Valoracion" localSheetId="21">#REF!</definedName>
    <definedName name="Valoracion" localSheetId="23">#REF!</definedName>
    <definedName name="Valoracion" localSheetId="25">#REF!</definedName>
    <definedName name="Valoracion" localSheetId="26">#REF!</definedName>
    <definedName name="Valoracion" localSheetId="44">#REF!</definedName>
    <definedName name="Valoracion" localSheetId="34">#REF!</definedName>
    <definedName name="Valoracion" localSheetId="42">#REF!</definedName>
    <definedName name="Valoracion" localSheetId="37">#REF!</definedName>
    <definedName name="Valoracion" localSheetId="48">#REF!</definedName>
    <definedName name="Valoracion" localSheetId="41">#REF!</definedName>
    <definedName name="Valoracion" localSheetId="40">#REF!</definedName>
    <definedName name="Valoracion" localSheetId="51">#REF!</definedName>
    <definedName name="Valoracion" localSheetId="35">#REF!</definedName>
    <definedName name="Valoracion" localSheetId="49">#REF!</definedName>
    <definedName name="Valoracion" localSheetId="47">#REF!</definedName>
    <definedName name="Valoracion" localSheetId="32">#REF!</definedName>
    <definedName name="Valoracion" localSheetId="50">#REF!</definedName>
    <definedName name="Valoracion" localSheetId="31">#REF!</definedName>
    <definedName name="Valoracion" localSheetId="33">#REF!</definedName>
    <definedName name="Valoracion" localSheetId="43">#REF!</definedName>
    <definedName name="Valoracion" localSheetId="52">#REF!</definedName>
    <definedName name="Valoracion" localSheetId="39">#REF!</definedName>
    <definedName name="Valoracion" localSheetId="30">#REF!</definedName>
    <definedName name="Valoracion" localSheetId="38">#REF!</definedName>
    <definedName name="Valoracion" localSheetId="45">#REF!</definedName>
    <definedName name="Valoracion" localSheetId="46">#REF!</definedName>
    <definedName name="Valoracion" localSheetId="36">#REF!</definedName>
    <definedName name="Valoracion" localSheetId="18">#REF!</definedName>
    <definedName name="Valoracion" localSheetId="16">#REF!</definedName>
    <definedName name="Valoracion" localSheetId="19">#REF!</definedName>
    <definedName name="Valoracion" localSheetId="15">#REF!</definedName>
    <definedName name="Valoracion" localSheetId="17">#REF!</definedName>
    <definedName name="Valoracion" localSheetId="14">#REF!</definedName>
    <definedName name="Valoracion" localSheetId="29">#REF!</definedName>
    <definedName name="Valoracion" localSheetId="28">#REF!</definedName>
    <definedName name="Valoracion" localSheetId="6">#REF!</definedName>
    <definedName name="Valoracion" localSheetId="53">#REF!</definedName>
    <definedName name="Valoracion" localSheetId="13">#REF!</definedName>
    <definedName name="Valoracion" localSheetId="12">#REF!</definedName>
    <definedName name="Valoracion" localSheetId="9">#REF!</definedName>
    <definedName name="Valoracion" localSheetId="11">#REF!</definedName>
    <definedName name="Valoracion" localSheetId="7">#REF!</definedName>
    <definedName name="Valoracion" localSheetId="10">#REF!</definedName>
    <definedName name="Valoracion" localSheetId="8">#REF!</definedName>
    <definedName name="Valoracion" localSheetId="3">#REF!</definedName>
    <definedName name="Valoracion" localSheetId="2">#REF!</definedName>
    <definedName name="Valoracion">#REF!</definedName>
    <definedName name="VALORACIÓN" localSheetId="22">#REF!</definedName>
    <definedName name="VALORACIÓN" localSheetId="20">#REF!</definedName>
    <definedName name="VALORACIÓN" localSheetId="27">#REF!</definedName>
    <definedName name="VALORACIÓN" localSheetId="24">#REF!</definedName>
    <definedName name="VALORACIÓN" localSheetId="21">#REF!</definedName>
    <definedName name="VALORACIÓN" localSheetId="23">#REF!</definedName>
    <definedName name="VALORACIÓN" localSheetId="25">#REF!</definedName>
    <definedName name="VALORACIÓN" localSheetId="26">#REF!</definedName>
    <definedName name="VALORACIÓN" localSheetId="44">#REF!</definedName>
    <definedName name="VALORACIÓN" localSheetId="34">#REF!</definedName>
    <definedName name="VALORACIÓN" localSheetId="42">#REF!</definedName>
    <definedName name="VALORACIÓN" localSheetId="37">#REF!</definedName>
    <definedName name="VALORACIÓN" localSheetId="48">#REF!</definedName>
    <definedName name="VALORACIÓN" localSheetId="41">#REF!</definedName>
    <definedName name="VALORACIÓN" localSheetId="40">#REF!</definedName>
    <definedName name="VALORACIÓN" localSheetId="51">#REF!</definedName>
    <definedName name="VALORACIÓN" localSheetId="35">#REF!</definedName>
    <definedName name="VALORACIÓN" localSheetId="49">#REF!</definedName>
    <definedName name="VALORACIÓN" localSheetId="47">#REF!</definedName>
    <definedName name="VALORACIÓN" localSheetId="32">#REF!</definedName>
    <definedName name="VALORACIÓN" localSheetId="50">#REF!</definedName>
    <definedName name="VALORACIÓN" localSheetId="31">#REF!</definedName>
    <definedName name="VALORACIÓN" localSheetId="33">#REF!</definedName>
    <definedName name="VALORACIÓN" localSheetId="43">#REF!</definedName>
    <definedName name="VALORACIÓN" localSheetId="52">#REF!</definedName>
    <definedName name="VALORACIÓN" localSheetId="39">#REF!</definedName>
    <definedName name="VALORACIÓN" localSheetId="30">#REF!</definedName>
    <definedName name="VALORACIÓN" localSheetId="38">#REF!</definedName>
    <definedName name="VALORACIÓN" localSheetId="45">#REF!</definedName>
    <definedName name="VALORACIÓN" localSheetId="46">#REF!</definedName>
    <definedName name="VALORACIÓN" localSheetId="36">#REF!</definedName>
    <definedName name="VALORACIÓN" localSheetId="18">#REF!</definedName>
    <definedName name="VALORACIÓN" localSheetId="16">#REF!</definedName>
    <definedName name="VALORACIÓN" localSheetId="19">#REF!</definedName>
    <definedName name="VALORACIÓN" localSheetId="15">#REF!</definedName>
    <definedName name="VALORACIÓN" localSheetId="17">#REF!</definedName>
    <definedName name="VALORACIÓN" localSheetId="14">#REF!</definedName>
    <definedName name="VALORACIÓN" localSheetId="29">#REF!</definedName>
    <definedName name="VALORACIÓN" localSheetId="28">#REF!</definedName>
    <definedName name="VALORACIÓN" localSheetId="6">#REF!</definedName>
    <definedName name="VALORACIÓN" localSheetId="53">#REF!</definedName>
    <definedName name="VALORACIÓN" localSheetId="13">#REF!</definedName>
    <definedName name="VALORACIÓN" localSheetId="12">#REF!</definedName>
    <definedName name="VALORACIÓN" localSheetId="9">#REF!</definedName>
    <definedName name="VALORACIÓN" localSheetId="11">#REF!</definedName>
    <definedName name="VALORACIÓN" localSheetId="7">#REF!</definedName>
    <definedName name="VALORACIÓN" localSheetId="10">#REF!</definedName>
    <definedName name="VALORACIÓN" localSheetId="8">#REF!</definedName>
    <definedName name="VALORACIÓN" localSheetId="3">#REF!</definedName>
    <definedName name="VALORACIÓN" localSheetId="2">#REF!</definedName>
    <definedName name="VALORACIÓN">#REF!</definedName>
    <definedName name="xxx" localSheetId="39">[66]Listas!$H$42:$H$64</definedName>
    <definedName name="xxx" localSheetId="11">[66]Listas!$H$42:$H$64</definedName>
    <definedName name="xxx">[67]Listas!$H$42:$H$64</definedName>
  </definedNames>
  <calcPr calcId="144525"/>
  <pivotCaches>
    <pivotCache cacheId="0" r:id="rId157"/>
    <pivotCache cacheId="1" r:id="rId158"/>
  </pivotCaches>
</workbook>
</file>

<file path=xl/calcChain.xml><?xml version="1.0" encoding="utf-8"?>
<calcChain xmlns="http://schemas.openxmlformats.org/spreadsheetml/2006/main">
  <c r="AH66" i="594" l="1"/>
  <c r="AD66" i="594"/>
  <c r="AH65" i="594"/>
  <c r="AD65" i="594"/>
  <c r="AH64" i="594"/>
  <c r="AD64" i="594"/>
  <c r="AH63" i="594"/>
  <c r="AD63" i="594"/>
  <c r="AH62" i="594"/>
  <c r="AD62" i="594"/>
  <c r="AH61" i="594"/>
  <c r="AD61" i="594"/>
  <c r="AH60" i="594"/>
  <c r="AD60" i="594"/>
  <c r="AH59" i="594"/>
  <c r="AD59" i="594"/>
  <c r="AH58" i="594"/>
  <c r="AD58" i="594"/>
  <c r="AH57" i="594"/>
  <c r="AD57" i="594"/>
  <c r="AH56" i="594"/>
  <c r="AD56" i="594"/>
  <c r="AH55" i="594"/>
  <c r="AD55" i="594"/>
  <c r="AH54" i="594"/>
  <c r="AD54" i="594"/>
  <c r="AH53" i="594"/>
  <c r="AD53" i="594"/>
  <c r="AH52" i="594"/>
  <c r="AD52" i="594"/>
  <c r="AH51" i="594"/>
  <c r="AD51" i="594"/>
  <c r="AH50" i="594"/>
  <c r="AD50" i="594"/>
  <c r="AH49" i="594"/>
  <c r="AD49" i="594"/>
  <c r="AH48" i="594"/>
  <c r="AD48" i="594"/>
  <c r="AH47" i="594"/>
  <c r="AD47" i="594"/>
  <c r="AH46" i="594"/>
  <c r="AD46" i="594"/>
  <c r="AH45" i="594"/>
  <c r="AD45" i="594"/>
  <c r="AH44" i="594"/>
  <c r="AD44" i="594"/>
  <c r="AH43" i="594"/>
  <c r="AD43" i="594"/>
  <c r="D33" i="594"/>
  <c r="J30" i="594"/>
  <c r="I30" i="594"/>
  <c r="F30" i="594"/>
  <c r="E30" i="594"/>
  <c r="K29" i="594"/>
  <c r="G29" i="594"/>
  <c r="K28" i="594"/>
  <c r="G28" i="594"/>
  <c r="K27" i="594"/>
  <c r="G27" i="594"/>
  <c r="K26" i="594"/>
  <c r="G26" i="594"/>
  <c r="K25" i="594"/>
  <c r="G25" i="594"/>
  <c r="K24" i="594"/>
  <c r="G24" i="594"/>
  <c r="K23" i="594"/>
  <c r="G23" i="594"/>
  <c r="K22" i="594"/>
  <c r="G22" i="594"/>
  <c r="K21" i="594"/>
  <c r="G21" i="594"/>
  <c r="K20" i="594"/>
  <c r="G20" i="594"/>
  <c r="K19" i="594"/>
  <c r="G19" i="594"/>
  <c r="K18" i="594"/>
  <c r="G18" i="594"/>
  <c r="K17" i="594"/>
  <c r="G17" i="594"/>
  <c r="K16" i="594"/>
  <c r="G16" i="594"/>
  <c r="K15" i="594"/>
  <c r="G15" i="594"/>
  <c r="K14" i="594"/>
  <c r="G14" i="594"/>
  <c r="AE13" i="594"/>
  <c r="AD13" i="594"/>
  <c r="AC13" i="594"/>
  <c r="K13" i="594"/>
  <c r="G13" i="594"/>
  <c r="AD12" i="594"/>
  <c r="AC12" i="594"/>
  <c r="K12" i="594"/>
  <c r="G12" i="594"/>
  <c r="AD11" i="594"/>
  <c r="AC11" i="594"/>
  <c r="K11" i="594"/>
  <c r="G11" i="594"/>
  <c r="AD10" i="594"/>
  <c r="AC10" i="594"/>
  <c r="K10" i="594"/>
  <c r="G10" i="594"/>
  <c r="AD9" i="594"/>
  <c r="AC9" i="594"/>
  <c r="K9" i="594"/>
  <c r="G9" i="594"/>
  <c r="AE8" i="594"/>
  <c r="AD8" i="594"/>
  <c r="AC8" i="594"/>
  <c r="K8" i="594"/>
  <c r="K30" i="594" s="1"/>
  <c r="G8" i="594"/>
  <c r="G30" i="594" l="1"/>
  <c r="AG166" i="593"/>
  <c r="V166" i="593"/>
  <c r="U166" i="593"/>
  <c r="AJ166" i="593" s="1"/>
  <c r="AK166" i="593" s="1"/>
  <c r="T166" i="593"/>
  <c r="AH166" i="593" s="1"/>
  <c r="AG165" i="593"/>
  <c r="V165" i="593"/>
  <c r="U165" i="593"/>
  <c r="AJ165" i="593" s="1"/>
  <c r="AK165" i="593" s="1"/>
  <c r="T165" i="593"/>
  <c r="AH165" i="593" s="1"/>
  <c r="AG164" i="593"/>
  <c r="V164" i="593"/>
  <c r="U164" i="593"/>
  <c r="AJ164" i="593" s="1"/>
  <c r="AK164" i="593" s="1"/>
  <c r="T164" i="593"/>
  <c r="AH164" i="593" s="1"/>
  <c r="AG163" i="593"/>
  <c r="V163" i="593"/>
  <c r="U163" i="593"/>
  <c r="AJ163" i="593" s="1"/>
  <c r="AK163" i="593" s="1"/>
  <c r="T163" i="593"/>
  <c r="AH163" i="593" s="1"/>
  <c r="AG162" i="593"/>
  <c r="V162" i="593"/>
  <c r="U162" i="593"/>
  <c r="AJ162" i="593" s="1"/>
  <c r="AK162" i="593" s="1"/>
  <c r="T162" i="593"/>
  <c r="AH162" i="593" s="1"/>
  <c r="AG161" i="593"/>
  <c r="V161" i="593"/>
  <c r="U161" i="593"/>
  <c r="AJ161" i="593" s="1"/>
  <c r="AK161" i="593" s="1"/>
  <c r="T161" i="593"/>
  <c r="AH161" i="593" s="1"/>
  <c r="AG160" i="593"/>
  <c r="V160" i="593"/>
  <c r="U160" i="593"/>
  <c r="AJ160" i="593" s="1"/>
  <c r="AK160" i="593" s="1"/>
  <c r="T160" i="593"/>
  <c r="AH160" i="593" s="1"/>
  <c r="AG159" i="593"/>
  <c r="V159" i="593"/>
  <c r="U159" i="593"/>
  <c r="AJ159" i="593" s="1"/>
  <c r="AK159" i="593" s="1"/>
  <c r="T159" i="593"/>
  <c r="AH159" i="593" s="1"/>
  <c r="AG158" i="593"/>
  <c r="V158" i="593"/>
  <c r="U158" i="593"/>
  <c r="AJ158" i="593" s="1"/>
  <c r="AK158" i="593" s="1"/>
  <c r="T158" i="593"/>
  <c r="AH158" i="593" s="1"/>
  <c r="AG157" i="593"/>
  <c r="V157" i="593"/>
  <c r="U157" i="593"/>
  <c r="AJ157" i="593" s="1"/>
  <c r="AK157" i="593" s="1"/>
  <c r="T157" i="593"/>
  <c r="AH157" i="593" s="1"/>
  <c r="AG156" i="593"/>
  <c r="V156" i="593"/>
  <c r="U156" i="593"/>
  <c r="AJ156" i="593" s="1"/>
  <c r="AK156" i="593" s="1"/>
  <c r="T156" i="593"/>
  <c r="AH156" i="593" s="1"/>
  <c r="AG155" i="593"/>
  <c r="V155" i="593"/>
  <c r="U155" i="593"/>
  <c r="AJ155" i="593" s="1"/>
  <c r="AK155" i="593" s="1"/>
  <c r="T155" i="593"/>
  <c r="AH155" i="593" s="1"/>
  <c r="AG154" i="593"/>
  <c r="V154" i="593"/>
  <c r="U154" i="593"/>
  <c r="AJ154" i="593" s="1"/>
  <c r="AK154" i="593" s="1"/>
  <c r="T154" i="593"/>
  <c r="AH154" i="593" s="1"/>
  <c r="AG153" i="593"/>
  <c r="V153" i="593"/>
  <c r="U153" i="593"/>
  <c r="AJ153" i="593" s="1"/>
  <c r="AK153" i="593" s="1"/>
  <c r="T153" i="593"/>
  <c r="AH153" i="593" s="1"/>
  <c r="AG152" i="593"/>
  <c r="V152" i="593"/>
  <c r="U152" i="593"/>
  <c r="AJ152" i="593" s="1"/>
  <c r="AK152" i="593" s="1"/>
  <c r="T152" i="593"/>
  <c r="AH152" i="593" s="1"/>
  <c r="AG151" i="593"/>
  <c r="V151" i="593"/>
  <c r="U151" i="593"/>
  <c r="AJ151" i="593" s="1"/>
  <c r="AK151" i="593" s="1"/>
  <c r="T151" i="593"/>
  <c r="AH151" i="593" s="1"/>
  <c r="AG150" i="593"/>
  <c r="V150" i="593"/>
  <c r="U150" i="593"/>
  <c r="AJ150" i="593" s="1"/>
  <c r="AK150" i="593" s="1"/>
  <c r="T150" i="593"/>
  <c r="AH150" i="593" s="1"/>
  <c r="AG149" i="593"/>
  <c r="V149" i="593"/>
  <c r="U149" i="593"/>
  <c r="AJ149" i="593" s="1"/>
  <c r="AK149" i="593" s="1"/>
  <c r="T149" i="593"/>
  <c r="AH149" i="593" s="1"/>
  <c r="AG148" i="593"/>
  <c r="V148" i="593"/>
  <c r="U148" i="593"/>
  <c r="AJ148" i="593" s="1"/>
  <c r="AK148" i="593" s="1"/>
  <c r="T148" i="593"/>
  <c r="AH148" i="593" s="1"/>
  <c r="AG147" i="593"/>
  <c r="V147" i="593"/>
  <c r="U147" i="593"/>
  <c r="AJ147" i="593" s="1"/>
  <c r="AK147" i="593" s="1"/>
  <c r="T147" i="593"/>
  <c r="AH147" i="593" s="1"/>
  <c r="AG146" i="593"/>
  <c r="V146" i="593"/>
  <c r="U146" i="593"/>
  <c r="AJ146" i="593" s="1"/>
  <c r="AK146" i="593" s="1"/>
  <c r="T146" i="593"/>
  <c r="AH146" i="593" s="1"/>
  <c r="AG145" i="593"/>
  <c r="V145" i="593"/>
  <c r="U145" i="593"/>
  <c r="AJ145" i="593" s="1"/>
  <c r="AK145" i="593" s="1"/>
  <c r="T145" i="593"/>
  <c r="AH145" i="593" s="1"/>
  <c r="AG144" i="593"/>
  <c r="V144" i="593"/>
  <c r="U144" i="593"/>
  <c r="AJ144" i="593" s="1"/>
  <c r="AK144" i="593" s="1"/>
  <c r="T144" i="593"/>
  <c r="AH144" i="593" s="1"/>
  <c r="AG143" i="593"/>
  <c r="V143" i="593"/>
  <c r="U143" i="593"/>
  <c r="AJ143" i="593" s="1"/>
  <c r="AK143" i="593" s="1"/>
  <c r="T143" i="593"/>
  <c r="AH143" i="593" s="1"/>
  <c r="AG142" i="593"/>
  <c r="V142" i="593"/>
  <c r="U142" i="593"/>
  <c r="AJ142" i="593" s="1"/>
  <c r="AK142" i="593" s="1"/>
  <c r="T142" i="593"/>
  <c r="AH142" i="593" s="1"/>
  <c r="AI142" i="593" s="1"/>
  <c r="AG141" i="593"/>
  <c r="V141" i="593"/>
  <c r="U141" i="593"/>
  <c r="AJ141" i="593" s="1"/>
  <c r="T141" i="593"/>
  <c r="AH141" i="593" s="1"/>
  <c r="AI141" i="593" s="1"/>
  <c r="AG140" i="593"/>
  <c r="V140" i="593"/>
  <c r="U140" i="593"/>
  <c r="AJ140" i="593" s="1"/>
  <c r="AK140" i="593" s="1"/>
  <c r="T140" i="593"/>
  <c r="AH140" i="593" s="1"/>
  <c r="AG139" i="593"/>
  <c r="V139" i="593"/>
  <c r="U139" i="593"/>
  <c r="AJ139" i="593" s="1"/>
  <c r="AK139" i="593" s="1"/>
  <c r="T139" i="593"/>
  <c r="AH139" i="593" s="1"/>
  <c r="AG138" i="593"/>
  <c r="V138" i="593"/>
  <c r="U138" i="593"/>
  <c r="AJ138" i="593" s="1"/>
  <c r="AK138" i="593" s="1"/>
  <c r="T138" i="593"/>
  <c r="AH138" i="593" s="1"/>
  <c r="AG137" i="593"/>
  <c r="V137" i="593"/>
  <c r="U137" i="593"/>
  <c r="AJ137" i="593" s="1"/>
  <c r="AK137" i="593" s="1"/>
  <c r="T137" i="593"/>
  <c r="AH137" i="593" s="1"/>
  <c r="AG136" i="593"/>
  <c r="V136" i="593"/>
  <c r="U136" i="593"/>
  <c r="AJ136" i="593" s="1"/>
  <c r="AK136" i="593" s="1"/>
  <c r="T136" i="593"/>
  <c r="AH136" i="593" s="1"/>
  <c r="AG135" i="593"/>
  <c r="V135" i="593"/>
  <c r="U135" i="593"/>
  <c r="AJ135" i="593" s="1"/>
  <c r="AK135" i="593" s="1"/>
  <c r="T135" i="593"/>
  <c r="AH135" i="593" s="1"/>
  <c r="AG134" i="593"/>
  <c r="V134" i="593"/>
  <c r="U134" i="593"/>
  <c r="AJ134" i="593" s="1"/>
  <c r="AK134" i="593" s="1"/>
  <c r="T134" i="593"/>
  <c r="AH134" i="593" s="1"/>
  <c r="AI134" i="593" s="1"/>
  <c r="AG133" i="593"/>
  <c r="V133" i="593"/>
  <c r="U133" i="593"/>
  <c r="AJ133" i="593" s="1"/>
  <c r="AK133" i="593" s="1"/>
  <c r="T133" i="593"/>
  <c r="AH133" i="593" s="1"/>
  <c r="AG132" i="593"/>
  <c r="V132" i="593"/>
  <c r="U132" i="593"/>
  <c r="AJ132" i="593" s="1"/>
  <c r="AK132" i="593" s="1"/>
  <c r="T132" i="593"/>
  <c r="AH132" i="593" s="1"/>
  <c r="AG131" i="593"/>
  <c r="V131" i="593"/>
  <c r="U131" i="593"/>
  <c r="AJ131" i="593" s="1"/>
  <c r="AK131" i="593" s="1"/>
  <c r="T131" i="593"/>
  <c r="AH131" i="593" s="1"/>
  <c r="AG130" i="593"/>
  <c r="V130" i="593"/>
  <c r="U130" i="593"/>
  <c r="AJ130" i="593" s="1"/>
  <c r="AK130" i="593" s="1"/>
  <c r="T130" i="593"/>
  <c r="AH130" i="593" s="1"/>
  <c r="AG129" i="593"/>
  <c r="V129" i="593"/>
  <c r="U129" i="593"/>
  <c r="AJ129" i="593" s="1"/>
  <c r="AK129" i="593" s="1"/>
  <c r="T129" i="593"/>
  <c r="AH129" i="593" s="1"/>
  <c r="AG128" i="593"/>
  <c r="V128" i="593"/>
  <c r="U128" i="593"/>
  <c r="AJ128" i="593" s="1"/>
  <c r="AK128" i="593" s="1"/>
  <c r="T128" i="593"/>
  <c r="AH128" i="593" s="1"/>
  <c r="AG127" i="593"/>
  <c r="V127" i="593"/>
  <c r="U127" i="593"/>
  <c r="AJ127" i="593" s="1"/>
  <c r="AK127" i="593" s="1"/>
  <c r="T127" i="593"/>
  <c r="AH127" i="593" s="1"/>
  <c r="AG126" i="593"/>
  <c r="V126" i="593"/>
  <c r="U126" i="593"/>
  <c r="AJ126" i="593" s="1"/>
  <c r="AK126" i="593" s="1"/>
  <c r="T126" i="593"/>
  <c r="AH126" i="593" s="1"/>
  <c r="AI126" i="593" s="1"/>
  <c r="AG125" i="593"/>
  <c r="V125" i="593"/>
  <c r="U125" i="593"/>
  <c r="AJ125" i="593" s="1"/>
  <c r="AK125" i="593" s="1"/>
  <c r="T125" i="593"/>
  <c r="AH125" i="593" s="1"/>
  <c r="AI125" i="593" s="1"/>
  <c r="AG124" i="593"/>
  <c r="V124" i="593"/>
  <c r="U124" i="593"/>
  <c r="AJ124" i="593" s="1"/>
  <c r="AK124" i="593" s="1"/>
  <c r="T124" i="593"/>
  <c r="AH124" i="593" s="1"/>
  <c r="AG123" i="593"/>
  <c r="V123" i="593"/>
  <c r="U123" i="593"/>
  <c r="AJ123" i="593" s="1"/>
  <c r="AK123" i="593" s="1"/>
  <c r="T123" i="593"/>
  <c r="AH123" i="593" s="1"/>
  <c r="AG122" i="593"/>
  <c r="V122" i="593"/>
  <c r="U122" i="593"/>
  <c r="AJ122" i="593" s="1"/>
  <c r="AK122" i="593" s="1"/>
  <c r="T122" i="593"/>
  <c r="AH122" i="593" s="1"/>
  <c r="AG121" i="593"/>
  <c r="V121" i="593"/>
  <c r="U121" i="593"/>
  <c r="AJ121" i="593" s="1"/>
  <c r="AK121" i="593" s="1"/>
  <c r="T121" i="593"/>
  <c r="AH121" i="593" s="1"/>
  <c r="AG120" i="593"/>
  <c r="V120" i="593"/>
  <c r="U120" i="593"/>
  <c r="AJ120" i="593" s="1"/>
  <c r="AK120" i="593" s="1"/>
  <c r="T120" i="593"/>
  <c r="AH120" i="593" s="1"/>
  <c r="AG119" i="593"/>
  <c r="V119" i="593"/>
  <c r="U119" i="593"/>
  <c r="AJ119" i="593" s="1"/>
  <c r="AK119" i="593" s="1"/>
  <c r="T119" i="593"/>
  <c r="AH119" i="593" s="1"/>
  <c r="AG118" i="593"/>
  <c r="V118" i="593"/>
  <c r="U118" i="593"/>
  <c r="AJ118" i="593" s="1"/>
  <c r="AK118" i="593" s="1"/>
  <c r="T118" i="593"/>
  <c r="AH118" i="593" s="1"/>
  <c r="AI118" i="593" s="1"/>
  <c r="AG117" i="593"/>
  <c r="V117" i="593"/>
  <c r="U117" i="593"/>
  <c r="AJ117" i="593" s="1"/>
  <c r="AK117" i="593" s="1"/>
  <c r="T117" i="593"/>
  <c r="AH117" i="593" s="1"/>
  <c r="AI117" i="593" s="1"/>
  <c r="AG116" i="593"/>
  <c r="V116" i="593"/>
  <c r="U116" i="593"/>
  <c r="AJ116" i="593" s="1"/>
  <c r="AK116" i="593" s="1"/>
  <c r="T116" i="593"/>
  <c r="AH116" i="593" s="1"/>
  <c r="AG115" i="593"/>
  <c r="V115" i="593"/>
  <c r="U115" i="593"/>
  <c r="AJ115" i="593" s="1"/>
  <c r="AK115" i="593" s="1"/>
  <c r="T115" i="593"/>
  <c r="AH115" i="593" s="1"/>
  <c r="AG114" i="593"/>
  <c r="V114" i="593"/>
  <c r="U114" i="593"/>
  <c r="AJ114" i="593" s="1"/>
  <c r="AK114" i="593" s="1"/>
  <c r="T114" i="593"/>
  <c r="AH114" i="593" s="1"/>
  <c r="AG113" i="593"/>
  <c r="V113" i="593"/>
  <c r="U113" i="593"/>
  <c r="AJ113" i="593" s="1"/>
  <c r="AK113" i="593" s="1"/>
  <c r="T113" i="593"/>
  <c r="AH113" i="593" s="1"/>
  <c r="AJ112" i="593"/>
  <c r="AK112" i="593" s="1"/>
  <c r="AG112" i="593"/>
  <c r="V112" i="593"/>
  <c r="U112" i="593"/>
  <c r="T112" i="593"/>
  <c r="AH112" i="593" s="1"/>
  <c r="AG111" i="593"/>
  <c r="V111" i="593"/>
  <c r="U111" i="593"/>
  <c r="AJ111" i="593" s="1"/>
  <c r="AK111" i="593" s="1"/>
  <c r="T111" i="593"/>
  <c r="AH111" i="593" s="1"/>
  <c r="AG110" i="593"/>
  <c r="V110" i="593"/>
  <c r="U110" i="593"/>
  <c r="AJ110" i="593" s="1"/>
  <c r="AK110" i="593" s="1"/>
  <c r="T110" i="593"/>
  <c r="AH110" i="593" s="1"/>
  <c r="AI110" i="593" s="1"/>
  <c r="AG109" i="593"/>
  <c r="V109" i="593"/>
  <c r="U109" i="593"/>
  <c r="AJ109" i="593" s="1"/>
  <c r="AK109" i="593" s="1"/>
  <c r="T109" i="593"/>
  <c r="AH109" i="593" s="1"/>
  <c r="AG108" i="593"/>
  <c r="V108" i="593"/>
  <c r="U108" i="593"/>
  <c r="AJ108" i="593" s="1"/>
  <c r="AK108" i="593" s="1"/>
  <c r="T108" i="593"/>
  <c r="AH108" i="593" s="1"/>
  <c r="AG107" i="593"/>
  <c r="V107" i="593"/>
  <c r="U107" i="593"/>
  <c r="AJ107" i="593" s="1"/>
  <c r="AK107" i="593" s="1"/>
  <c r="T107" i="593"/>
  <c r="AH107" i="593" s="1"/>
  <c r="AG106" i="593"/>
  <c r="V106" i="593"/>
  <c r="U106" i="593"/>
  <c r="AJ106" i="593" s="1"/>
  <c r="AK106" i="593" s="1"/>
  <c r="T106" i="593"/>
  <c r="AH106" i="593" s="1"/>
  <c r="AG105" i="593"/>
  <c r="V105" i="593"/>
  <c r="U105" i="593"/>
  <c r="AJ105" i="593" s="1"/>
  <c r="AK105" i="593" s="1"/>
  <c r="T105" i="593"/>
  <c r="AH105" i="593" s="1"/>
  <c r="AG104" i="593"/>
  <c r="V104" i="593"/>
  <c r="U104" i="593"/>
  <c r="AJ104" i="593" s="1"/>
  <c r="AK104" i="593" s="1"/>
  <c r="T104" i="593"/>
  <c r="AH104" i="593" s="1"/>
  <c r="AG103" i="593"/>
  <c r="V103" i="593"/>
  <c r="U103" i="593"/>
  <c r="AJ103" i="593" s="1"/>
  <c r="AK103" i="593" s="1"/>
  <c r="T103" i="593"/>
  <c r="AH103" i="593" s="1"/>
  <c r="AG102" i="593"/>
  <c r="V102" i="593"/>
  <c r="U102" i="593"/>
  <c r="AJ102" i="593" s="1"/>
  <c r="AK102" i="593" s="1"/>
  <c r="T102" i="593"/>
  <c r="AH102" i="593" s="1"/>
  <c r="AG101" i="593"/>
  <c r="V101" i="593"/>
  <c r="U101" i="593"/>
  <c r="AJ101" i="593" s="1"/>
  <c r="AK101" i="593" s="1"/>
  <c r="T101" i="593"/>
  <c r="AH101" i="593" s="1"/>
  <c r="AL101" i="593" s="1"/>
  <c r="AG100" i="593"/>
  <c r="V100" i="593"/>
  <c r="U100" i="593"/>
  <c r="AJ100" i="593" s="1"/>
  <c r="AK100" i="593" s="1"/>
  <c r="T100" i="593"/>
  <c r="AH100" i="593" s="1"/>
  <c r="AG99" i="593"/>
  <c r="V99" i="593"/>
  <c r="U99" i="593"/>
  <c r="AJ99" i="593" s="1"/>
  <c r="AK99" i="593" s="1"/>
  <c r="T99" i="593"/>
  <c r="AH99" i="593" s="1"/>
  <c r="AG98" i="593"/>
  <c r="V98" i="593"/>
  <c r="U98" i="593"/>
  <c r="AJ98" i="593" s="1"/>
  <c r="AK98" i="593" s="1"/>
  <c r="T98" i="593"/>
  <c r="AH98" i="593" s="1"/>
  <c r="AG97" i="593"/>
  <c r="V97" i="593"/>
  <c r="U97" i="593"/>
  <c r="AJ97" i="593" s="1"/>
  <c r="AK97" i="593" s="1"/>
  <c r="T97" i="593"/>
  <c r="AH97" i="593" s="1"/>
  <c r="AG96" i="593"/>
  <c r="V96" i="593"/>
  <c r="U96" i="593"/>
  <c r="AJ96" i="593" s="1"/>
  <c r="AK96" i="593" s="1"/>
  <c r="T96" i="593"/>
  <c r="AH96" i="593" s="1"/>
  <c r="AG95" i="593"/>
  <c r="V95" i="593"/>
  <c r="U95" i="593"/>
  <c r="AJ95" i="593" s="1"/>
  <c r="AK95" i="593" s="1"/>
  <c r="T95" i="593"/>
  <c r="AH95" i="593" s="1"/>
  <c r="AG94" i="593"/>
  <c r="V94" i="593"/>
  <c r="U94" i="593"/>
  <c r="AJ94" i="593" s="1"/>
  <c r="AK94" i="593" s="1"/>
  <c r="T94" i="593"/>
  <c r="AH94" i="593" s="1"/>
  <c r="AG93" i="593"/>
  <c r="V93" i="593"/>
  <c r="U93" i="593"/>
  <c r="AJ93" i="593" s="1"/>
  <c r="AK93" i="593" s="1"/>
  <c r="T93" i="593"/>
  <c r="AH93" i="593" s="1"/>
  <c r="AG92" i="593"/>
  <c r="V92" i="593"/>
  <c r="U92" i="593"/>
  <c r="AJ92" i="593" s="1"/>
  <c r="AK92" i="593" s="1"/>
  <c r="T92" i="593"/>
  <c r="AH92" i="593" s="1"/>
  <c r="AG91" i="593"/>
  <c r="V91" i="593"/>
  <c r="U91" i="593"/>
  <c r="AJ91" i="593" s="1"/>
  <c r="AK91" i="593" s="1"/>
  <c r="T91" i="593"/>
  <c r="AH91" i="593" s="1"/>
  <c r="AG90" i="593"/>
  <c r="V90" i="593"/>
  <c r="U90" i="593"/>
  <c r="AJ90" i="593" s="1"/>
  <c r="AK90" i="593" s="1"/>
  <c r="T90" i="593"/>
  <c r="AH90" i="593" s="1"/>
  <c r="AI90" i="593" s="1"/>
  <c r="AG89" i="593"/>
  <c r="V89" i="593"/>
  <c r="U89" i="593"/>
  <c r="AJ89" i="593" s="1"/>
  <c r="AK89" i="593" s="1"/>
  <c r="T89" i="593"/>
  <c r="AH89" i="593" s="1"/>
  <c r="AG88" i="593"/>
  <c r="V88" i="593"/>
  <c r="U88" i="593"/>
  <c r="AJ88" i="593" s="1"/>
  <c r="AK88" i="593" s="1"/>
  <c r="T88" i="593"/>
  <c r="AH88" i="593" s="1"/>
  <c r="AG87" i="593"/>
  <c r="V87" i="593"/>
  <c r="U87" i="593"/>
  <c r="AJ87" i="593" s="1"/>
  <c r="AK87" i="593" s="1"/>
  <c r="T87" i="593"/>
  <c r="AH87" i="593" s="1"/>
  <c r="AG86" i="593"/>
  <c r="V86" i="593"/>
  <c r="U86" i="593"/>
  <c r="AJ86" i="593" s="1"/>
  <c r="AK86" i="593" s="1"/>
  <c r="T86" i="593"/>
  <c r="AH86" i="593" s="1"/>
  <c r="AG85" i="593"/>
  <c r="V85" i="593"/>
  <c r="U85" i="593"/>
  <c r="AJ85" i="593" s="1"/>
  <c r="AK85" i="593" s="1"/>
  <c r="T85" i="593"/>
  <c r="AH85" i="593" s="1"/>
  <c r="AG84" i="593"/>
  <c r="V84" i="593"/>
  <c r="U84" i="593"/>
  <c r="AJ84" i="593" s="1"/>
  <c r="AK84" i="593" s="1"/>
  <c r="T84" i="593"/>
  <c r="AH84" i="593" s="1"/>
  <c r="AG83" i="593"/>
  <c r="V83" i="593"/>
  <c r="U83" i="593"/>
  <c r="AJ83" i="593" s="1"/>
  <c r="AK83" i="593" s="1"/>
  <c r="T83" i="593"/>
  <c r="AH83" i="593" s="1"/>
  <c r="AI83" i="593" s="1"/>
  <c r="AG82" i="593"/>
  <c r="V82" i="593"/>
  <c r="U82" i="593"/>
  <c r="AJ82" i="593" s="1"/>
  <c r="AK82" i="593" s="1"/>
  <c r="T82" i="593"/>
  <c r="AH82" i="593" s="1"/>
  <c r="AI82" i="593" s="1"/>
  <c r="AG81" i="593"/>
  <c r="V81" i="593"/>
  <c r="U81" i="593"/>
  <c r="AJ81" i="593" s="1"/>
  <c r="AK81" i="593" s="1"/>
  <c r="T81" i="593"/>
  <c r="AH81" i="593" s="1"/>
  <c r="AG80" i="593"/>
  <c r="V80" i="593"/>
  <c r="U80" i="593"/>
  <c r="AJ80" i="593" s="1"/>
  <c r="AK80" i="593" s="1"/>
  <c r="T80" i="593"/>
  <c r="AH80" i="593" s="1"/>
  <c r="AG79" i="593"/>
  <c r="V79" i="593"/>
  <c r="U79" i="593"/>
  <c r="AJ79" i="593" s="1"/>
  <c r="AK79" i="593" s="1"/>
  <c r="T79" i="593"/>
  <c r="AH79" i="593" s="1"/>
  <c r="AG78" i="593"/>
  <c r="V78" i="593"/>
  <c r="U78" i="593"/>
  <c r="AJ78" i="593" s="1"/>
  <c r="AK78" i="593" s="1"/>
  <c r="T78" i="593"/>
  <c r="AH78" i="593" s="1"/>
  <c r="AG77" i="593"/>
  <c r="V77" i="593"/>
  <c r="U77" i="593"/>
  <c r="AJ77" i="593" s="1"/>
  <c r="AK77" i="593" s="1"/>
  <c r="T77" i="593"/>
  <c r="AH77" i="593" s="1"/>
  <c r="AG76" i="593"/>
  <c r="V76" i="593"/>
  <c r="U76" i="593"/>
  <c r="AJ76" i="593" s="1"/>
  <c r="AK76" i="593" s="1"/>
  <c r="T76" i="593"/>
  <c r="AH76" i="593" s="1"/>
  <c r="AG75" i="593"/>
  <c r="V75" i="593"/>
  <c r="U75" i="593"/>
  <c r="AJ75" i="593" s="1"/>
  <c r="AK75" i="593" s="1"/>
  <c r="T75" i="593"/>
  <c r="AH75" i="593" s="1"/>
  <c r="AG74" i="593"/>
  <c r="V74" i="593"/>
  <c r="U74" i="593"/>
  <c r="AJ74" i="593" s="1"/>
  <c r="AK74" i="593" s="1"/>
  <c r="T74" i="593"/>
  <c r="AH74" i="593" s="1"/>
  <c r="AG73" i="593"/>
  <c r="V73" i="593"/>
  <c r="U73" i="593"/>
  <c r="AJ73" i="593" s="1"/>
  <c r="AK73" i="593" s="1"/>
  <c r="T73" i="593"/>
  <c r="AH73" i="593" s="1"/>
  <c r="AG72" i="593"/>
  <c r="V72" i="593"/>
  <c r="U72" i="593"/>
  <c r="AJ72" i="593" s="1"/>
  <c r="AK72" i="593" s="1"/>
  <c r="T72" i="593"/>
  <c r="AH72" i="593" s="1"/>
  <c r="AG71" i="593"/>
  <c r="V71" i="593"/>
  <c r="U71" i="593"/>
  <c r="AJ71" i="593" s="1"/>
  <c r="AK71" i="593" s="1"/>
  <c r="T71" i="593"/>
  <c r="AH71" i="593" s="1"/>
  <c r="AG70" i="593"/>
  <c r="V70" i="593"/>
  <c r="U70" i="593"/>
  <c r="AJ70" i="593" s="1"/>
  <c r="AK70" i="593" s="1"/>
  <c r="T70" i="593"/>
  <c r="AH70" i="593" s="1"/>
  <c r="AG69" i="593"/>
  <c r="V69" i="593"/>
  <c r="U69" i="593"/>
  <c r="AJ69" i="593" s="1"/>
  <c r="AK69" i="593" s="1"/>
  <c r="T69" i="593"/>
  <c r="AH69" i="593" s="1"/>
  <c r="AG68" i="593"/>
  <c r="V68" i="593"/>
  <c r="U68" i="593"/>
  <c r="AJ68" i="593" s="1"/>
  <c r="AK68" i="593" s="1"/>
  <c r="T68" i="593"/>
  <c r="AH68" i="593" s="1"/>
  <c r="AG67" i="593"/>
  <c r="V67" i="593"/>
  <c r="U67" i="593"/>
  <c r="AJ67" i="593" s="1"/>
  <c r="AK67" i="593" s="1"/>
  <c r="T67" i="593"/>
  <c r="AH67" i="593" s="1"/>
  <c r="AG66" i="593"/>
  <c r="V66" i="593"/>
  <c r="U66" i="593"/>
  <c r="AJ66" i="593" s="1"/>
  <c r="AK66" i="593" s="1"/>
  <c r="T66" i="593"/>
  <c r="AH66" i="593" s="1"/>
  <c r="AG65" i="593"/>
  <c r="V65" i="593"/>
  <c r="U65" i="593"/>
  <c r="AJ65" i="593" s="1"/>
  <c r="AK65" i="593" s="1"/>
  <c r="T65" i="593"/>
  <c r="AH65" i="593" s="1"/>
  <c r="AG64" i="593"/>
  <c r="V64" i="593"/>
  <c r="U64" i="593"/>
  <c r="AJ64" i="593" s="1"/>
  <c r="AK64" i="593" s="1"/>
  <c r="T64" i="593"/>
  <c r="AH64" i="593" s="1"/>
  <c r="AG63" i="593"/>
  <c r="V63" i="593"/>
  <c r="U63" i="593"/>
  <c r="AJ63" i="593" s="1"/>
  <c r="AK63" i="593" s="1"/>
  <c r="T63" i="593"/>
  <c r="AH63" i="593" s="1"/>
  <c r="AG62" i="593"/>
  <c r="V62" i="593"/>
  <c r="U62" i="593"/>
  <c r="AJ62" i="593" s="1"/>
  <c r="AK62" i="593" s="1"/>
  <c r="T62" i="593"/>
  <c r="AH62" i="593" s="1"/>
  <c r="AG61" i="593"/>
  <c r="V61" i="593"/>
  <c r="U61" i="593"/>
  <c r="AJ61" i="593" s="1"/>
  <c r="AK61" i="593" s="1"/>
  <c r="T61" i="593"/>
  <c r="AH61" i="593" s="1"/>
  <c r="AG60" i="593"/>
  <c r="V60" i="593"/>
  <c r="U60" i="593"/>
  <c r="AJ60" i="593" s="1"/>
  <c r="AK60" i="593" s="1"/>
  <c r="T60" i="593"/>
  <c r="AH60" i="593" s="1"/>
  <c r="AG59" i="593"/>
  <c r="V59" i="593"/>
  <c r="U59" i="593"/>
  <c r="AJ59" i="593" s="1"/>
  <c r="AK59" i="593" s="1"/>
  <c r="T59" i="593"/>
  <c r="AH59" i="593" s="1"/>
  <c r="AG58" i="593"/>
  <c r="V58" i="593"/>
  <c r="U58" i="593"/>
  <c r="AJ58" i="593" s="1"/>
  <c r="AK58" i="593" s="1"/>
  <c r="T58" i="593"/>
  <c r="AH58" i="593" s="1"/>
  <c r="AG57" i="593"/>
  <c r="V57" i="593"/>
  <c r="U57" i="593"/>
  <c r="AJ57" i="593" s="1"/>
  <c r="AK57" i="593" s="1"/>
  <c r="T57" i="593"/>
  <c r="AH57" i="593" s="1"/>
  <c r="AJ56" i="593"/>
  <c r="AK56" i="593" s="1"/>
  <c r="AG56" i="593"/>
  <c r="V56" i="593"/>
  <c r="U56" i="593"/>
  <c r="T56" i="593"/>
  <c r="AH56" i="593" s="1"/>
  <c r="AG55" i="593"/>
  <c r="V55" i="593"/>
  <c r="U55" i="593"/>
  <c r="AJ55" i="593" s="1"/>
  <c r="AK55" i="593" s="1"/>
  <c r="T55" i="593"/>
  <c r="AH55" i="593" s="1"/>
  <c r="AG54" i="593"/>
  <c r="V54" i="593"/>
  <c r="U54" i="593"/>
  <c r="AJ54" i="593" s="1"/>
  <c r="AK54" i="593" s="1"/>
  <c r="T54" i="593"/>
  <c r="AH54" i="593" s="1"/>
  <c r="AG53" i="593"/>
  <c r="V53" i="593"/>
  <c r="U53" i="593"/>
  <c r="AJ53" i="593" s="1"/>
  <c r="AK53" i="593" s="1"/>
  <c r="T53" i="593"/>
  <c r="AH53" i="593" s="1"/>
  <c r="AG52" i="593"/>
  <c r="V52" i="593"/>
  <c r="U52" i="593"/>
  <c r="AJ52" i="593" s="1"/>
  <c r="AK52" i="593" s="1"/>
  <c r="T52" i="593"/>
  <c r="AH52" i="593" s="1"/>
  <c r="AG51" i="593"/>
  <c r="V51" i="593"/>
  <c r="U51" i="593"/>
  <c r="AJ51" i="593" s="1"/>
  <c r="AK51" i="593" s="1"/>
  <c r="T51" i="593"/>
  <c r="AH51" i="593" s="1"/>
  <c r="AG50" i="593"/>
  <c r="V50" i="593"/>
  <c r="U50" i="593"/>
  <c r="AJ50" i="593" s="1"/>
  <c r="AK50" i="593" s="1"/>
  <c r="T50" i="593"/>
  <c r="AH50" i="593" s="1"/>
  <c r="AG49" i="593"/>
  <c r="V49" i="593"/>
  <c r="U49" i="593"/>
  <c r="AJ49" i="593" s="1"/>
  <c r="AK49" i="593" s="1"/>
  <c r="T49" i="593"/>
  <c r="AH49" i="593" s="1"/>
  <c r="AJ48" i="593"/>
  <c r="AK48" i="593" s="1"/>
  <c r="AG48" i="593"/>
  <c r="V48" i="593"/>
  <c r="U48" i="593"/>
  <c r="T48" i="593"/>
  <c r="AH48" i="593" s="1"/>
  <c r="AG47" i="593"/>
  <c r="V47" i="593"/>
  <c r="U47" i="593"/>
  <c r="AJ47" i="593" s="1"/>
  <c r="AK47" i="593" s="1"/>
  <c r="T47" i="593"/>
  <c r="AH47" i="593" s="1"/>
  <c r="AG46" i="593"/>
  <c r="V46" i="593"/>
  <c r="U46" i="593"/>
  <c r="AJ46" i="593" s="1"/>
  <c r="AK46" i="593" s="1"/>
  <c r="T46" i="593"/>
  <c r="AH46" i="593" s="1"/>
  <c r="AG45" i="593"/>
  <c r="V45" i="593"/>
  <c r="U45" i="593"/>
  <c r="AJ45" i="593" s="1"/>
  <c r="AK45" i="593" s="1"/>
  <c r="T45" i="593"/>
  <c r="AH45" i="593" s="1"/>
  <c r="AG44" i="593"/>
  <c r="V44" i="593"/>
  <c r="U44" i="593"/>
  <c r="AJ44" i="593" s="1"/>
  <c r="AK44" i="593" s="1"/>
  <c r="T44" i="593"/>
  <c r="AH44" i="593" s="1"/>
  <c r="AG43" i="593"/>
  <c r="V43" i="593"/>
  <c r="U43" i="593"/>
  <c r="AJ43" i="593" s="1"/>
  <c r="AK43" i="593" s="1"/>
  <c r="T43" i="593"/>
  <c r="AH43" i="593" s="1"/>
  <c r="AG42" i="593"/>
  <c r="V42" i="593"/>
  <c r="U42" i="593"/>
  <c r="AJ42" i="593" s="1"/>
  <c r="AK42" i="593" s="1"/>
  <c r="T42" i="593"/>
  <c r="AH42" i="593" s="1"/>
  <c r="AG41" i="593"/>
  <c r="V41" i="593"/>
  <c r="U41" i="593"/>
  <c r="AJ41" i="593" s="1"/>
  <c r="AK41" i="593" s="1"/>
  <c r="T41" i="593"/>
  <c r="AH41" i="593" s="1"/>
  <c r="AJ40" i="593"/>
  <c r="AK40" i="593" s="1"/>
  <c r="AG40" i="593"/>
  <c r="V40" i="593"/>
  <c r="U40" i="593"/>
  <c r="T40" i="593"/>
  <c r="AH40" i="593" s="1"/>
  <c r="AG39" i="593"/>
  <c r="V39" i="593"/>
  <c r="U39" i="593"/>
  <c r="AJ39" i="593" s="1"/>
  <c r="AK39" i="593" s="1"/>
  <c r="T39" i="593"/>
  <c r="AH39" i="593" s="1"/>
  <c r="AG38" i="593"/>
  <c r="V38" i="593"/>
  <c r="U38" i="593"/>
  <c r="AJ38" i="593" s="1"/>
  <c r="AK38" i="593" s="1"/>
  <c r="T38" i="593"/>
  <c r="AH38" i="593" s="1"/>
  <c r="AG37" i="593"/>
  <c r="V37" i="593"/>
  <c r="U37" i="593"/>
  <c r="AJ37" i="593" s="1"/>
  <c r="AK37" i="593" s="1"/>
  <c r="T37" i="593"/>
  <c r="AH37" i="593" s="1"/>
  <c r="AG36" i="593"/>
  <c r="V36" i="593"/>
  <c r="U36" i="593"/>
  <c r="AJ36" i="593" s="1"/>
  <c r="AK36" i="593" s="1"/>
  <c r="T36" i="593"/>
  <c r="AH36" i="593" s="1"/>
  <c r="AG35" i="593"/>
  <c r="V35" i="593"/>
  <c r="U35" i="593"/>
  <c r="AJ35" i="593" s="1"/>
  <c r="AK35" i="593" s="1"/>
  <c r="T35" i="593"/>
  <c r="AH35" i="593" s="1"/>
  <c r="AG34" i="593"/>
  <c r="V34" i="593"/>
  <c r="U34" i="593"/>
  <c r="AJ34" i="593" s="1"/>
  <c r="AK34" i="593" s="1"/>
  <c r="T34" i="593"/>
  <c r="AH34" i="593" s="1"/>
  <c r="AG33" i="593"/>
  <c r="V33" i="593"/>
  <c r="U33" i="593"/>
  <c r="AJ33" i="593" s="1"/>
  <c r="AK33" i="593" s="1"/>
  <c r="T33" i="593"/>
  <c r="AH33" i="593" s="1"/>
  <c r="AG32" i="593"/>
  <c r="V32" i="593"/>
  <c r="U32" i="593"/>
  <c r="AJ32" i="593" s="1"/>
  <c r="AK32" i="593" s="1"/>
  <c r="T32" i="593"/>
  <c r="AH32" i="593" s="1"/>
  <c r="AG31" i="593"/>
  <c r="V31" i="593"/>
  <c r="U31" i="593"/>
  <c r="AJ31" i="593" s="1"/>
  <c r="AK31" i="593" s="1"/>
  <c r="T31" i="593"/>
  <c r="AH31" i="593" s="1"/>
  <c r="AG30" i="593"/>
  <c r="V30" i="593"/>
  <c r="U30" i="593"/>
  <c r="AJ30" i="593" s="1"/>
  <c r="AK30" i="593" s="1"/>
  <c r="T30" i="593"/>
  <c r="AH30" i="593" s="1"/>
  <c r="AG29" i="593"/>
  <c r="V29" i="593"/>
  <c r="U29" i="593"/>
  <c r="AJ29" i="593" s="1"/>
  <c r="AK29" i="593" s="1"/>
  <c r="T29" i="593"/>
  <c r="AH29" i="593" s="1"/>
  <c r="AG28" i="593"/>
  <c r="V28" i="593"/>
  <c r="U28" i="593"/>
  <c r="AJ28" i="593" s="1"/>
  <c r="AK28" i="593" s="1"/>
  <c r="T28" i="593"/>
  <c r="AH28" i="593" s="1"/>
  <c r="AG27" i="593"/>
  <c r="V27" i="593"/>
  <c r="U27" i="593"/>
  <c r="AJ27" i="593" s="1"/>
  <c r="AK27" i="593" s="1"/>
  <c r="T27" i="593"/>
  <c r="AH27" i="593" s="1"/>
  <c r="AG26" i="593"/>
  <c r="V26" i="593"/>
  <c r="U26" i="593"/>
  <c r="T26" i="593"/>
  <c r="AH26" i="593" s="1"/>
  <c r="AG25" i="593"/>
  <c r="V25" i="593"/>
  <c r="U25" i="593"/>
  <c r="AJ25" i="593" s="1"/>
  <c r="AK25" i="593" s="1"/>
  <c r="T25" i="593"/>
  <c r="AG24" i="593"/>
  <c r="V24" i="593"/>
  <c r="U24" i="593"/>
  <c r="T24" i="593"/>
  <c r="AK23" i="593"/>
  <c r="AI23" i="593"/>
  <c r="AG23" i="593"/>
  <c r="V23" i="593"/>
  <c r="AG22" i="593"/>
  <c r="V22" i="593"/>
  <c r="U22" i="593"/>
  <c r="AJ22" i="593" s="1"/>
  <c r="AK22" i="593" s="1"/>
  <c r="T22" i="593"/>
  <c r="AH22" i="593" s="1"/>
  <c r="AG21" i="593"/>
  <c r="V21" i="593"/>
  <c r="U21" i="593"/>
  <c r="AJ21" i="593" s="1"/>
  <c r="AK21" i="593" s="1"/>
  <c r="T21" i="593"/>
  <c r="AH21" i="593" s="1"/>
  <c r="AG20" i="593"/>
  <c r="V20" i="593"/>
  <c r="U20" i="593"/>
  <c r="AJ20" i="593" s="1"/>
  <c r="AK20" i="593" s="1"/>
  <c r="T20" i="593"/>
  <c r="AH20" i="593" s="1"/>
  <c r="AG19" i="593"/>
  <c r="V19" i="593"/>
  <c r="U19" i="593"/>
  <c r="AJ19" i="593" s="1"/>
  <c r="AK19" i="593" s="1"/>
  <c r="T19" i="593"/>
  <c r="AG18" i="593"/>
  <c r="V18" i="593"/>
  <c r="U18" i="593"/>
  <c r="AJ18" i="593" s="1"/>
  <c r="AK18" i="593" s="1"/>
  <c r="T18" i="593"/>
  <c r="AG17" i="593"/>
  <c r="V17" i="593"/>
  <c r="U17" i="593"/>
  <c r="AJ17" i="593" s="1"/>
  <c r="AK17" i="593" s="1"/>
  <c r="T17" i="593"/>
  <c r="AH17" i="593" s="1"/>
  <c r="AG16" i="593"/>
  <c r="V16" i="593"/>
  <c r="U16" i="593"/>
  <c r="AJ16" i="593" s="1"/>
  <c r="AK16" i="593" s="1"/>
  <c r="T16" i="593"/>
  <c r="AG15" i="593"/>
  <c r="V15" i="593"/>
  <c r="U15" i="593"/>
  <c r="AJ15" i="593" s="1"/>
  <c r="AK15" i="593" s="1"/>
  <c r="T15" i="593"/>
  <c r="AG14" i="593"/>
  <c r="V14" i="593"/>
  <c r="U14" i="593"/>
  <c r="AJ14" i="593" s="1"/>
  <c r="AK14" i="593" s="1"/>
  <c r="T14" i="593"/>
  <c r="AH14" i="593" s="1"/>
  <c r="AG13" i="593"/>
  <c r="V13" i="593"/>
  <c r="U13" i="593"/>
  <c r="AJ13" i="593" s="1"/>
  <c r="AK13" i="593" s="1"/>
  <c r="T13" i="593"/>
  <c r="AH13" i="593" s="1"/>
  <c r="AP12" i="593"/>
  <c r="AK12" i="593"/>
  <c r="AI12" i="593"/>
  <c r="V12" i="593"/>
  <c r="AG11" i="593"/>
  <c r="V11" i="593"/>
  <c r="U11" i="593"/>
  <c r="T11" i="593"/>
  <c r="AH11" i="593" s="1"/>
  <c r="AG10" i="593"/>
  <c r="V10" i="593"/>
  <c r="U10" i="593"/>
  <c r="AJ10" i="593" s="1"/>
  <c r="AK10" i="593" s="1"/>
  <c r="T10" i="593"/>
  <c r="AH10" i="593" s="1"/>
  <c r="AG9" i="593"/>
  <c r="V9" i="593"/>
  <c r="U9" i="593"/>
  <c r="AJ9" i="593" s="1"/>
  <c r="AK9" i="593" s="1"/>
  <c r="T9" i="593"/>
  <c r="AH9" i="593" s="1"/>
  <c r="O4" i="593"/>
  <c r="I4" i="593"/>
  <c r="G4" i="593"/>
  <c r="AR2" i="593"/>
  <c r="G2" i="593"/>
  <c r="AJ26" i="593" l="1"/>
  <c r="AK26" i="593" s="1"/>
  <c r="AM23" i="593"/>
  <c r="AL166" i="593"/>
  <c r="AM117" i="593"/>
  <c r="AM90" i="593"/>
  <c r="AM82" i="593"/>
  <c r="AJ11" i="593"/>
  <c r="AK11" i="593" s="1"/>
  <c r="AL109" i="593"/>
  <c r="AM110" i="593"/>
  <c r="AM118" i="593"/>
  <c r="AM125" i="593"/>
  <c r="AM134" i="593"/>
  <c r="AK141" i="593"/>
  <c r="AM141" i="593" s="1"/>
  <c r="AL141" i="593"/>
  <c r="AH15" i="593"/>
  <c r="AI15" i="593" s="1"/>
  <c r="AM15" i="593" s="1"/>
  <c r="AH24" i="593"/>
  <c r="AI24" i="593" s="1"/>
  <c r="AH25" i="593"/>
  <c r="AL25" i="593" s="1"/>
  <c r="AL75" i="593"/>
  <c r="AL105" i="593"/>
  <c r="AM12" i="593"/>
  <c r="AH18" i="593"/>
  <c r="AI18" i="593" s="1"/>
  <c r="AM18" i="593" s="1"/>
  <c r="AH19" i="593"/>
  <c r="AI19" i="593" s="1"/>
  <c r="AM19" i="593" s="1"/>
  <c r="AL90" i="593"/>
  <c r="AL125" i="593"/>
  <c r="AJ24" i="593"/>
  <c r="AK24" i="593" s="1"/>
  <c r="AL130" i="593"/>
  <c r="AL15" i="593"/>
  <c r="AI28" i="593"/>
  <c r="AM28" i="593" s="1"/>
  <c r="AL28" i="593"/>
  <c r="AI32" i="593"/>
  <c r="AM32" i="593" s="1"/>
  <c r="AL32" i="593"/>
  <c r="AL81" i="593"/>
  <c r="AI81" i="593"/>
  <c r="AM81" i="593" s="1"/>
  <c r="AL89" i="593"/>
  <c r="AI89" i="593"/>
  <c r="AM89" i="593" s="1"/>
  <c r="AL10" i="593"/>
  <c r="AI10" i="593"/>
  <c r="AM10" i="593" s="1"/>
  <c r="AI11" i="593"/>
  <c r="AL13" i="593"/>
  <c r="AI13" i="593"/>
  <c r="AM13" i="593" s="1"/>
  <c r="AI17" i="593"/>
  <c r="AM17" i="593" s="1"/>
  <c r="AL17" i="593"/>
  <c r="AI26" i="593"/>
  <c r="AM26" i="593" s="1"/>
  <c r="AL26" i="593"/>
  <c r="AI29" i="593"/>
  <c r="AM29" i="593" s="1"/>
  <c r="AL29" i="593"/>
  <c r="AI30" i="593"/>
  <c r="AM30" i="593" s="1"/>
  <c r="AL30" i="593"/>
  <c r="AI35" i="593"/>
  <c r="AM35" i="593" s="1"/>
  <c r="AL35" i="593"/>
  <c r="AI33" i="593"/>
  <c r="AM33" i="593" s="1"/>
  <c r="AL33" i="593"/>
  <c r="AI36" i="593"/>
  <c r="AM36" i="593" s="1"/>
  <c r="AL36" i="593"/>
  <c r="AI80" i="593"/>
  <c r="AM80" i="593" s="1"/>
  <c r="AL80" i="593"/>
  <c r="AI88" i="593"/>
  <c r="AM88" i="593" s="1"/>
  <c r="AL88" i="593"/>
  <c r="AL116" i="593"/>
  <c r="AI116" i="593"/>
  <c r="AM116" i="593" s="1"/>
  <c r="AI139" i="593"/>
  <c r="AM139" i="593" s="1"/>
  <c r="AL139" i="593"/>
  <c r="AI9" i="593"/>
  <c r="AM9" i="593" s="1"/>
  <c r="AL9" i="593"/>
  <c r="AI14" i="593"/>
  <c r="AM14" i="593" s="1"/>
  <c r="AL14" i="593"/>
  <c r="AI21" i="593"/>
  <c r="AM21" i="593" s="1"/>
  <c r="AL21" i="593"/>
  <c r="AI27" i="593"/>
  <c r="AM27" i="593" s="1"/>
  <c r="AL27" i="593"/>
  <c r="AL31" i="593"/>
  <c r="AI31" i="593"/>
  <c r="AM31" i="593" s="1"/>
  <c r="AI34" i="593"/>
  <c r="AM34" i="593" s="1"/>
  <c r="AL34" i="593"/>
  <c r="AI92" i="593"/>
  <c r="AM92" i="593" s="1"/>
  <c r="AL92" i="593"/>
  <c r="AI75" i="593"/>
  <c r="AM75" i="593" s="1"/>
  <c r="AI78" i="593"/>
  <c r="AM78" i="593" s="1"/>
  <c r="AL78" i="593"/>
  <c r="AI94" i="593"/>
  <c r="AM94" i="593" s="1"/>
  <c r="AL94" i="593"/>
  <c r="AL124" i="593"/>
  <c r="AI124" i="593"/>
  <c r="AM124" i="593" s="1"/>
  <c r="AL132" i="593"/>
  <c r="AI132" i="593"/>
  <c r="AM132" i="593" s="1"/>
  <c r="AH16" i="593"/>
  <c r="AI38" i="593"/>
  <c r="AM38" i="593" s="1"/>
  <c r="AL38" i="593"/>
  <c r="AI40" i="593"/>
  <c r="AM40" i="593" s="1"/>
  <c r="AL40" i="593"/>
  <c r="AI42" i="593"/>
  <c r="AM42" i="593" s="1"/>
  <c r="AL42" i="593"/>
  <c r="AI44" i="593"/>
  <c r="AM44" i="593" s="1"/>
  <c r="AL44" i="593"/>
  <c r="AI46" i="593"/>
  <c r="AM46" i="593" s="1"/>
  <c r="AL46" i="593"/>
  <c r="AI48" i="593"/>
  <c r="AM48" i="593" s="1"/>
  <c r="AL48" i="593"/>
  <c r="AI50" i="593"/>
  <c r="AM50" i="593" s="1"/>
  <c r="AL50" i="593"/>
  <c r="AI52" i="593"/>
  <c r="AM52" i="593" s="1"/>
  <c r="AL52" i="593"/>
  <c r="AI54" i="593"/>
  <c r="AM54" i="593" s="1"/>
  <c r="AL54" i="593"/>
  <c r="AI56" i="593"/>
  <c r="AM56" i="593" s="1"/>
  <c r="AL56" i="593"/>
  <c r="AI58" i="593"/>
  <c r="AM58" i="593" s="1"/>
  <c r="AL58" i="593"/>
  <c r="AI60" i="593"/>
  <c r="AM60" i="593" s="1"/>
  <c r="AL60" i="593"/>
  <c r="AI62" i="593"/>
  <c r="AM62" i="593" s="1"/>
  <c r="AL62" i="593"/>
  <c r="AI64" i="593"/>
  <c r="AM64" i="593" s="1"/>
  <c r="AL64" i="593"/>
  <c r="AI66" i="593"/>
  <c r="AM66" i="593" s="1"/>
  <c r="AL66" i="593"/>
  <c r="AI68" i="593"/>
  <c r="AM68" i="593" s="1"/>
  <c r="AL68" i="593"/>
  <c r="AI70" i="593"/>
  <c r="AM70" i="593" s="1"/>
  <c r="AL70" i="593"/>
  <c r="AL73" i="593"/>
  <c r="AI73" i="593"/>
  <c r="AM73" i="593" s="1"/>
  <c r="AL79" i="593"/>
  <c r="AI79" i="593"/>
  <c r="AM79" i="593" s="1"/>
  <c r="AL82" i="593"/>
  <c r="AI85" i="593"/>
  <c r="AM85" i="593" s="1"/>
  <c r="AL85" i="593"/>
  <c r="AI102" i="593"/>
  <c r="AM102" i="593" s="1"/>
  <c r="AL102" i="593"/>
  <c r="AL110" i="593"/>
  <c r="AI113" i="593"/>
  <c r="AM113" i="593" s="1"/>
  <c r="AL113" i="593"/>
  <c r="AL118" i="593"/>
  <c r="AI121" i="593"/>
  <c r="AM121" i="593" s="1"/>
  <c r="AL121" i="593"/>
  <c r="AI72" i="593"/>
  <c r="AM72" i="593" s="1"/>
  <c r="AL72" i="593"/>
  <c r="AI128" i="593"/>
  <c r="AM128" i="593" s="1"/>
  <c r="AL128" i="593"/>
  <c r="AI133" i="593"/>
  <c r="AM133" i="593" s="1"/>
  <c r="AL133" i="593"/>
  <c r="AL140" i="593"/>
  <c r="AI140" i="593"/>
  <c r="AM140" i="593" s="1"/>
  <c r="AL18" i="593"/>
  <c r="AL71" i="593"/>
  <c r="AI71" i="593"/>
  <c r="AM71" i="593" s="1"/>
  <c r="AI76" i="593"/>
  <c r="AM76" i="593" s="1"/>
  <c r="AL76" i="593"/>
  <c r="AM83" i="593"/>
  <c r="AL83" i="593"/>
  <c r="AI86" i="593"/>
  <c r="AM86" i="593" s="1"/>
  <c r="AL86" i="593"/>
  <c r="AI105" i="593"/>
  <c r="AM105" i="593" s="1"/>
  <c r="AI115" i="593"/>
  <c r="AM115" i="593" s="1"/>
  <c r="AL115" i="593"/>
  <c r="AI123" i="593"/>
  <c r="AM123" i="593" s="1"/>
  <c r="AL123" i="593"/>
  <c r="AI131" i="593"/>
  <c r="AM131" i="593" s="1"/>
  <c r="AL131" i="593"/>
  <c r="AL22" i="593"/>
  <c r="AI22" i="593"/>
  <c r="AM22" i="593" s="1"/>
  <c r="AL20" i="593"/>
  <c r="AI20" i="593"/>
  <c r="AM20" i="593" s="1"/>
  <c r="AL37" i="593"/>
  <c r="AI37" i="593"/>
  <c r="AM37" i="593" s="1"/>
  <c r="AL39" i="593"/>
  <c r="AI39" i="593"/>
  <c r="AM39" i="593" s="1"/>
  <c r="AL41" i="593"/>
  <c r="AI41" i="593"/>
  <c r="AM41" i="593" s="1"/>
  <c r="AL43" i="593"/>
  <c r="AI43" i="593"/>
  <c r="AM43" i="593" s="1"/>
  <c r="AL45" i="593"/>
  <c r="AI45" i="593"/>
  <c r="AM45" i="593" s="1"/>
  <c r="AL47" i="593"/>
  <c r="AI47" i="593"/>
  <c r="AM47" i="593" s="1"/>
  <c r="AL49" i="593"/>
  <c r="AI49" i="593"/>
  <c r="AM49" i="593" s="1"/>
  <c r="AL51" i="593"/>
  <c r="AI51" i="593"/>
  <c r="AM51" i="593" s="1"/>
  <c r="AL53" i="593"/>
  <c r="AI53" i="593"/>
  <c r="AM53" i="593" s="1"/>
  <c r="AL55" i="593"/>
  <c r="AI55" i="593"/>
  <c r="AM55" i="593" s="1"/>
  <c r="AL57" i="593"/>
  <c r="AI57" i="593"/>
  <c r="AM57" i="593" s="1"/>
  <c r="AL59" i="593"/>
  <c r="AI59" i="593"/>
  <c r="AM59" i="593" s="1"/>
  <c r="AL61" i="593"/>
  <c r="AI61" i="593"/>
  <c r="AM61" i="593" s="1"/>
  <c r="AL63" i="593"/>
  <c r="AI63" i="593"/>
  <c r="AM63" i="593" s="1"/>
  <c r="AL65" i="593"/>
  <c r="AI65" i="593"/>
  <c r="AM65" i="593" s="1"/>
  <c r="AL67" i="593"/>
  <c r="AI67" i="593"/>
  <c r="AM67" i="593" s="1"/>
  <c r="AL69" i="593"/>
  <c r="AI69" i="593"/>
  <c r="AM69" i="593" s="1"/>
  <c r="AI74" i="593"/>
  <c r="AM74" i="593" s="1"/>
  <c r="AL74" i="593"/>
  <c r="AI77" i="593"/>
  <c r="AM77" i="593" s="1"/>
  <c r="AL77" i="593"/>
  <c r="AI84" i="593"/>
  <c r="AM84" i="593" s="1"/>
  <c r="AL84" i="593"/>
  <c r="AL87" i="593"/>
  <c r="AI87" i="593"/>
  <c r="AM87" i="593" s="1"/>
  <c r="AL93" i="593"/>
  <c r="AI93" i="593"/>
  <c r="AM93" i="593" s="1"/>
  <c r="AI96" i="593"/>
  <c r="AM96" i="593" s="1"/>
  <c r="AL96" i="593"/>
  <c r="AI143" i="593"/>
  <c r="AM143" i="593" s="1"/>
  <c r="AL143" i="593"/>
  <c r="AL91" i="593"/>
  <c r="AI91" i="593"/>
  <c r="AM91" i="593" s="1"/>
  <c r="AI98" i="593"/>
  <c r="AM98" i="593" s="1"/>
  <c r="AL98" i="593"/>
  <c r="AI100" i="593"/>
  <c r="AM100" i="593" s="1"/>
  <c r="AL100" i="593"/>
  <c r="AL103" i="593"/>
  <c r="AI103" i="593"/>
  <c r="AM103" i="593" s="1"/>
  <c r="AI108" i="593"/>
  <c r="AM108" i="593" s="1"/>
  <c r="AL108" i="593"/>
  <c r="AI111" i="593"/>
  <c r="AM111" i="593" s="1"/>
  <c r="AL111" i="593"/>
  <c r="AL114" i="593"/>
  <c r="AI114" i="593"/>
  <c r="AM114" i="593" s="1"/>
  <c r="AI119" i="593"/>
  <c r="AM119" i="593" s="1"/>
  <c r="AL119" i="593"/>
  <c r="AL122" i="593"/>
  <c r="AI122" i="593"/>
  <c r="AM122" i="593" s="1"/>
  <c r="AM126" i="593"/>
  <c r="AL126" i="593"/>
  <c r="AI129" i="593"/>
  <c r="AM129" i="593" s="1"/>
  <c r="AL129" i="593"/>
  <c r="AI136" i="593"/>
  <c r="AM136" i="593" s="1"/>
  <c r="AL136" i="593"/>
  <c r="AL97" i="593"/>
  <c r="AI97" i="593"/>
  <c r="AM97" i="593" s="1"/>
  <c r="AI101" i="593"/>
  <c r="AM101" i="593" s="1"/>
  <c r="AI106" i="593"/>
  <c r="AM106" i="593" s="1"/>
  <c r="AL106" i="593"/>
  <c r="AI109" i="593"/>
  <c r="AM109" i="593" s="1"/>
  <c r="AI127" i="593"/>
  <c r="AM127" i="593" s="1"/>
  <c r="AL127" i="593"/>
  <c r="AI130" i="593"/>
  <c r="AM130" i="593" s="1"/>
  <c r="AL134" i="593"/>
  <c r="AI137" i="593"/>
  <c r="AM137" i="593" s="1"/>
  <c r="AL137" i="593"/>
  <c r="AI144" i="593"/>
  <c r="AM144" i="593" s="1"/>
  <c r="AL144" i="593"/>
  <c r="AL95" i="593"/>
  <c r="AI95" i="593"/>
  <c r="AM95" i="593" s="1"/>
  <c r="AL99" i="593"/>
  <c r="AI99" i="593"/>
  <c r="AM99" i="593" s="1"/>
  <c r="AI104" i="593"/>
  <c r="AM104" i="593" s="1"/>
  <c r="AL104" i="593"/>
  <c r="AL107" i="593"/>
  <c r="AI107" i="593"/>
  <c r="AM107" i="593" s="1"/>
  <c r="AI112" i="593"/>
  <c r="AM112" i="593" s="1"/>
  <c r="AL112" i="593"/>
  <c r="AL117" i="593"/>
  <c r="AI120" i="593"/>
  <c r="AM120" i="593" s="1"/>
  <c r="AL120" i="593"/>
  <c r="AI135" i="593"/>
  <c r="AM135" i="593" s="1"/>
  <c r="AL135" i="593"/>
  <c r="AL138" i="593"/>
  <c r="AI138" i="593"/>
  <c r="AM138" i="593" s="1"/>
  <c r="AM142" i="593"/>
  <c r="AL142" i="593"/>
  <c r="AI145" i="593"/>
  <c r="AM145" i="593" s="1"/>
  <c r="AL145" i="593"/>
  <c r="AI147" i="593"/>
  <c r="AM147" i="593" s="1"/>
  <c r="AL147" i="593"/>
  <c r="AI149" i="593"/>
  <c r="AM149" i="593" s="1"/>
  <c r="AL149" i="593"/>
  <c r="AI151" i="593"/>
  <c r="AM151" i="593" s="1"/>
  <c r="AL151" i="593"/>
  <c r="AI153" i="593"/>
  <c r="AM153" i="593" s="1"/>
  <c r="AL153" i="593"/>
  <c r="AI155" i="593"/>
  <c r="AM155" i="593" s="1"/>
  <c r="AL155" i="593"/>
  <c r="AI157" i="593"/>
  <c r="AM157" i="593" s="1"/>
  <c r="AL157" i="593"/>
  <c r="AI159" i="593"/>
  <c r="AM159" i="593" s="1"/>
  <c r="AL159" i="593"/>
  <c r="AI161" i="593"/>
  <c r="AM161" i="593" s="1"/>
  <c r="AL161" i="593"/>
  <c r="AI163" i="593"/>
  <c r="AM163" i="593" s="1"/>
  <c r="AL163" i="593"/>
  <c r="AI165" i="593"/>
  <c r="AM165" i="593" s="1"/>
  <c r="AL165" i="593"/>
  <c r="AI166" i="593"/>
  <c r="AM166" i="593" s="1"/>
  <c r="AL146" i="593"/>
  <c r="AI146" i="593"/>
  <c r="AM146" i="593" s="1"/>
  <c r="AL148" i="593"/>
  <c r="AI148" i="593"/>
  <c r="AM148" i="593" s="1"/>
  <c r="AL150" i="593"/>
  <c r="AI150" i="593"/>
  <c r="AM150" i="593" s="1"/>
  <c r="AL152" i="593"/>
  <c r="AI152" i="593"/>
  <c r="AM152" i="593" s="1"/>
  <c r="AL154" i="593"/>
  <c r="AI154" i="593"/>
  <c r="AM154" i="593" s="1"/>
  <c r="AL156" i="593"/>
  <c r="AI156" i="593"/>
  <c r="AM156" i="593" s="1"/>
  <c r="AL158" i="593"/>
  <c r="AI158" i="593"/>
  <c r="AM158" i="593" s="1"/>
  <c r="AL160" i="593"/>
  <c r="AI160" i="593"/>
  <c r="AM160" i="593" s="1"/>
  <c r="AL162" i="593"/>
  <c r="AI162" i="593"/>
  <c r="AM162" i="593" s="1"/>
  <c r="AL164" i="593"/>
  <c r="AI164" i="593"/>
  <c r="AM164" i="593" s="1"/>
  <c r="AG151" i="592"/>
  <c r="V151" i="592"/>
  <c r="U151" i="592"/>
  <c r="AJ151" i="592" s="1"/>
  <c r="AK151" i="592" s="1"/>
  <c r="T151" i="592"/>
  <c r="AH151" i="592" s="1"/>
  <c r="AG150" i="592"/>
  <c r="V150" i="592"/>
  <c r="U150" i="592"/>
  <c r="AJ150" i="592" s="1"/>
  <c r="AK150" i="592" s="1"/>
  <c r="T150" i="592"/>
  <c r="AH150" i="592" s="1"/>
  <c r="AG149" i="592"/>
  <c r="V149" i="592"/>
  <c r="U149" i="592"/>
  <c r="AJ149" i="592" s="1"/>
  <c r="AK149" i="592" s="1"/>
  <c r="T149" i="592"/>
  <c r="AH149" i="592" s="1"/>
  <c r="AG148" i="592"/>
  <c r="V148" i="592"/>
  <c r="U148" i="592"/>
  <c r="AJ148" i="592" s="1"/>
  <c r="AK148" i="592" s="1"/>
  <c r="T148" i="592"/>
  <c r="AH148" i="592" s="1"/>
  <c r="AG147" i="592"/>
  <c r="V147" i="592"/>
  <c r="U147" i="592"/>
  <c r="AJ147" i="592" s="1"/>
  <c r="AK147" i="592" s="1"/>
  <c r="T147" i="592"/>
  <c r="AH147" i="592" s="1"/>
  <c r="AG146" i="592"/>
  <c r="V146" i="592"/>
  <c r="U146" i="592"/>
  <c r="AJ146" i="592" s="1"/>
  <c r="AK146" i="592" s="1"/>
  <c r="T146" i="592"/>
  <c r="AH146" i="592" s="1"/>
  <c r="AG145" i="592"/>
  <c r="V145" i="592"/>
  <c r="U145" i="592"/>
  <c r="AJ145" i="592" s="1"/>
  <c r="AK145" i="592" s="1"/>
  <c r="T145" i="592"/>
  <c r="AH145" i="592" s="1"/>
  <c r="AG144" i="592"/>
  <c r="V144" i="592"/>
  <c r="U144" i="592"/>
  <c r="AJ144" i="592" s="1"/>
  <c r="AK144" i="592" s="1"/>
  <c r="T144" i="592"/>
  <c r="AH144" i="592" s="1"/>
  <c r="AG143" i="592"/>
  <c r="V143" i="592"/>
  <c r="U143" i="592"/>
  <c r="AJ143" i="592" s="1"/>
  <c r="AK143" i="592" s="1"/>
  <c r="T143" i="592"/>
  <c r="AH143" i="592" s="1"/>
  <c r="AG142" i="592"/>
  <c r="V142" i="592"/>
  <c r="U142" i="592"/>
  <c r="AJ142" i="592" s="1"/>
  <c r="AK142" i="592" s="1"/>
  <c r="T142" i="592"/>
  <c r="AH142" i="592" s="1"/>
  <c r="AG141" i="592"/>
  <c r="V141" i="592"/>
  <c r="U141" i="592"/>
  <c r="AJ141" i="592" s="1"/>
  <c r="AK141" i="592" s="1"/>
  <c r="T141" i="592"/>
  <c r="AH141" i="592" s="1"/>
  <c r="AG140" i="592"/>
  <c r="V140" i="592"/>
  <c r="U140" i="592"/>
  <c r="AJ140" i="592" s="1"/>
  <c r="AK140" i="592" s="1"/>
  <c r="T140" i="592"/>
  <c r="AH140" i="592" s="1"/>
  <c r="AG139" i="592"/>
  <c r="V139" i="592"/>
  <c r="U139" i="592"/>
  <c r="AJ139" i="592" s="1"/>
  <c r="AK139" i="592" s="1"/>
  <c r="T139" i="592"/>
  <c r="AH139" i="592" s="1"/>
  <c r="AG138" i="592"/>
  <c r="V138" i="592"/>
  <c r="U138" i="592"/>
  <c r="AJ138" i="592" s="1"/>
  <c r="AK138" i="592" s="1"/>
  <c r="T138" i="592"/>
  <c r="AH138" i="592" s="1"/>
  <c r="AG137" i="592"/>
  <c r="V137" i="592"/>
  <c r="U137" i="592"/>
  <c r="AJ137" i="592" s="1"/>
  <c r="AK137" i="592" s="1"/>
  <c r="T137" i="592"/>
  <c r="AH137" i="592" s="1"/>
  <c r="AG136" i="592"/>
  <c r="V136" i="592"/>
  <c r="U136" i="592"/>
  <c r="AJ136" i="592" s="1"/>
  <c r="AK136" i="592" s="1"/>
  <c r="T136" i="592"/>
  <c r="AH136" i="592" s="1"/>
  <c r="AG135" i="592"/>
  <c r="V135" i="592"/>
  <c r="U135" i="592"/>
  <c r="AJ135" i="592" s="1"/>
  <c r="AK135" i="592" s="1"/>
  <c r="T135" i="592"/>
  <c r="AH135" i="592" s="1"/>
  <c r="AG134" i="592"/>
  <c r="V134" i="592"/>
  <c r="U134" i="592"/>
  <c r="AJ134" i="592" s="1"/>
  <c r="AK134" i="592" s="1"/>
  <c r="T134" i="592"/>
  <c r="AH134" i="592" s="1"/>
  <c r="AG133" i="592"/>
  <c r="V133" i="592"/>
  <c r="U133" i="592"/>
  <c r="AJ133" i="592" s="1"/>
  <c r="AK133" i="592" s="1"/>
  <c r="T133" i="592"/>
  <c r="AH133" i="592" s="1"/>
  <c r="AG132" i="592"/>
  <c r="V132" i="592"/>
  <c r="U132" i="592"/>
  <c r="AJ132" i="592" s="1"/>
  <c r="AK132" i="592" s="1"/>
  <c r="T132" i="592"/>
  <c r="AH132" i="592" s="1"/>
  <c r="AG131" i="592"/>
  <c r="V131" i="592"/>
  <c r="U131" i="592"/>
  <c r="AJ131" i="592" s="1"/>
  <c r="AK131" i="592" s="1"/>
  <c r="T131" i="592"/>
  <c r="AH131" i="592" s="1"/>
  <c r="AG130" i="592"/>
  <c r="V130" i="592"/>
  <c r="U130" i="592"/>
  <c r="AJ130" i="592" s="1"/>
  <c r="AK130" i="592" s="1"/>
  <c r="T130" i="592"/>
  <c r="AH130" i="592" s="1"/>
  <c r="AG129" i="592"/>
  <c r="V129" i="592"/>
  <c r="U129" i="592"/>
  <c r="AJ129" i="592" s="1"/>
  <c r="AK129" i="592" s="1"/>
  <c r="T129" i="592"/>
  <c r="AH129" i="592" s="1"/>
  <c r="AG128" i="592"/>
  <c r="V128" i="592"/>
  <c r="U128" i="592"/>
  <c r="AJ128" i="592" s="1"/>
  <c r="AK128" i="592" s="1"/>
  <c r="T128" i="592"/>
  <c r="AH128" i="592" s="1"/>
  <c r="AG127" i="592"/>
  <c r="V127" i="592"/>
  <c r="U127" i="592"/>
  <c r="AJ127" i="592" s="1"/>
  <c r="AK127" i="592" s="1"/>
  <c r="T127" i="592"/>
  <c r="AH127" i="592" s="1"/>
  <c r="AG126" i="592"/>
  <c r="V126" i="592"/>
  <c r="U126" i="592"/>
  <c r="AJ126" i="592" s="1"/>
  <c r="AK126" i="592" s="1"/>
  <c r="T126" i="592"/>
  <c r="AH126" i="592" s="1"/>
  <c r="AG125" i="592"/>
  <c r="V125" i="592"/>
  <c r="U125" i="592"/>
  <c r="AJ125" i="592" s="1"/>
  <c r="AK125" i="592" s="1"/>
  <c r="T125" i="592"/>
  <c r="AH125" i="592" s="1"/>
  <c r="AG124" i="592"/>
  <c r="V124" i="592"/>
  <c r="U124" i="592"/>
  <c r="AJ124" i="592" s="1"/>
  <c r="AK124" i="592" s="1"/>
  <c r="T124" i="592"/>
  <c r="AH124" i="592" s="1"/>
  <c r="AG123" i="592"/>
  <c r="V123" i="592"/>
  <c r="U123" i="592"/>
  <c r="AJ123" i="592" s="1"/>
  <c r="AK123" i="592" s="1"/>
  <c r="T123" i="592"/>
  <c r="AH123" i="592" s="1"/>
  <c r="AG122" i="592"/>
  <c r="V122" i="592"/>
  <c r="U122" i="592"/>
  <c r="AJ122" i="592" s="1"/>
  <c r="AK122" i="592" s="1"/>
  <c r="T122" i="592"/>
  <c r="AH122" i="592" s="1"/>
  <c r="AG121" i="592"/>
  <c r="V121" i="592"/>
  <c r="U121" i="592"/>
  <c r="AJ121" i="592" s="1"/>
  <c r="AK121" i="592" s="1"/>
  <c r="T121" i="592"/>
  <c r="AH121" i="592" s="1"/>
  <c r="AG120" i="592"/>
  <c r="V120" i="592"/>
  <c r="U120" i="592"/>
  <c r="AJ120" i="592" s="1"/>
  <c r="AK120" i="592" s="1"/>
  <c r="T120" i="592"/>
  <c r="AH120" i="592" s="1"/>
  <c r="AG119" i="592"/>
  <c r="V119" i="592"/>
  <c r="U119" i="592"/>
  <c r="AJ119" i="592" s="1"/>
  <c r="AK119" i="592" s="1"/>
  <c r="T119" i="592"/>
  <c r="AH119" i="592" s="1"/>
  <c r="AG118" i="592"/>
  <c r="V118" i="592"/>
  <c r="U118" i="592"/>
  <c r="AJ118" i="592" s="1"/>
  <c r="AK118" i="592" s="1"/>
  <c r="T118" i="592"/>
  <c r="AH118" i="592" s="1"/>
  <c r="AG117" i="592"/>
  <c r="V117" i="592"/>
  <c r="U117" i="592"/>
  <c r="AJ117" i="592" s="1"/>
  <c r="AK117" i="592" s="1"/>
  <c r="T117" i="592"/>
  <c r="AH117" i="592" s="1"/>
  <c r="AG116" i="592"/>
  <c r="V116" i="592"/>
  <c r="U116" i="592"/>
  <c r="AJ116" i="592" s="1"/>
  <c r="AK116" i="592" s="1"/>
  <c r="T116" i="592"/>
  <c r="AH116" i="592" s="1"/>
  <c r="AG115" i="592"/>
  <c r="V115" i="592"/>
  <c r="U115" i="592"/>
  <c r="AJ115" i="592" s="1"/>
  <c r="AK115" i="592" s="1"/>
  <c r="T115" i="592"/>
  <c r="AH115" i="592" s="1"/>
  <c r="AG114" i="592"/>
  <c r="V114" i="592"/>
  <c r="U114" i="592"/>
  <c r="AJ114" i="592" s="1"/>
  <c r="AK114" i="592" s="1"/>
  <c r="T114" i="592"/>
  <c r="AH114" i="592" s="1"/>
  <c r="AG113" i="592"/>
  <c r="V113" i="592"/>
  <c r="U113" i="592"/>
  <c r="AJ113" i="592" s="1"/>
  <c r="AK113" i="592" s="1"/>
  <c r="T113" i="592"/>
  <c r="AH113" i="592" s="1"/>
  <c r="AG112" i="592"/>
  <c r="V112" i="592"/>
  <c r="U112" i="592"/>
  <c r="AJ112" i="592" s="1"/>
  <c r="AK112" i="592" s="1"/>
  <c r="T112" i="592"/>
  <c r="AH112" i="592" s="1"/>
  <c r="AG111" i="592"/>
  <c r="V111" i="592"/>
  <c r="U111" i="592"/>
  <c r="AJ111" i="592" s="1"/>
  <c r="AK111" i="592" s="1"/>
  <c r="T111" i="592"/>
  <c r="AH111" i="592" s="1"/>
  <c r="AG110" i="592"/>
  <c r="V110" i="592"/>
  <c r="U110" i="592"/>
  <c r="AJ110" i="592" s="1"/>
  <c r="AK110" i="592" s="1"/>
  <c r="T110" i="592"/>
  <c r="AH110" i="592" s="1"/>
  <c r="AG109" i="592"/>
  <c r="V109" i="592"/>
  <c r="U109" i="592"/>
  <c r="AJ109" i="592" s="1"/>
  <c r="AK109" i="592" s="1"/>
  <c r="T109" i="592"/>
  <c r="AH109" i="592" s="1"/>
  <c r="AG108" i="592"/>
  <c r="V108" i="592"/>
  <c r="U108" i="592"/>
  <c r="AJ108" i="592" s="1"/>
  <c r="AK108" i="592" s="1"/>
  <c r="T108" i="592"/>
  <c r="AH108" i="592" s="1"/>
  <c r="AG107" i="592"/>
  <c r="V107" i="592"/>
  <c r="U107" i="592"/>
  <c r="AJ107" i="592" s="1"/>
  <c r="AK107" i="592" s="1"/>
  <c r="T107" i="592"/>
  <c r="AH107" i="592" s="1"/>
  <c r="AG106" i="592"/>
  <c r="V106" i="592"/>
  <c r="U106" i="592"/>
  <c r="AJ106" i="592" s="1"/>
  <c r="AK106" i="592" s="1"/>
  <c r="T106" i="592"/>
  <c r="AH106" i="592" s="1"/>
  <c r="AG87" i="592"/>
  <c r="V87" i="592"/>
  <c r="U87" i="592"/>
  <c r="AJ87" i="592" s="1"/>
  <c r="AK87" i="592" s="1"/>
  <c r="T87" i="592"/>
  <c r="AH87" i="592" s="1"/>
  <c r="AG86" i="592"/>
  <c r="V86" i="592"/>
  <c r="U86" i="592"/>
  <c r="AJ86" i="592" s="1"/>
  <c r="AK86" i="592" s="1"/>
  <c r="T86" i="592"/>
  <c r="AH86" i="592" s="1"/>
  <c r="AG85" i="592"/>
  <c r="V85" i="592"/>
  <c r="U85" i="592"/>
  <c r="AJ85" i="592" s="1"/>
  <c r="AK85" i="592" s="1"/>
  <c r="T85" i="592"/>
  <c r="AH85" i="592" s="1"/>
  <c r="AG84" i="592"/>
  <c r="V84" i="592"/>
  <c r="U84" i="592"/>
  <c r="AJ84" i="592" s="1"/>
  <c r="AK84" i="592" s="1"/>
  <c r="T84" i="592"/>
  <c r="AH84" i="592" s="1"/>
  <c r="AG83" i="592"/>
  <c r="V83" i="592"/>
  <c r="U83" i="592"/>
  <c r="AJ83" i="592" s="1"/>
  <c r="AK83" i="592" s="1"/>
  <c r="T83" i="592"/>
  <c r="AH83" i="592" s="1"/>
  <c r="AG82" i="592"/>
  <c r="V82" i="592"/>
  <c r="U82" i="592"/>
  <c r="AJ82" i="592" s="1"/>
  <c r="AK82" i="592" s="1"/>
  <c r="T82" i="592"/>
  <c r="AH82" i="592" s="1"/>
  <c r="AG81" i="592"/>
  <c r="V81" i="592"/>
  <c r="U81" i="592"/>
  <c r="AJ81" i="592" s="1"/>
  <c r="AK81" i="592" s="1"/>
  <c r="T81" i="592"/>
  <c r="AH81" i="592" s="1"/>
  <c r="AG80" i="592"/>
  <c r="V80" i="592"/>
  <c r="U80" i="592"/>
  <c r="AJ80" i="592" s="1"/>
  <c r="AK80" i="592" s="1"/>
  <c r="T80" i="592"/>
  <c r="AH80" i="592" s="1"/>
  <c r="AJ79" i="592"/>
  <c r="AK79" i="592" s="1"/>
  <c r="AG79" i="592"/>
  <c r="V79" i="592"/>
  <c r="U79" i="592"/>
  <c r="T79" i="592"/>
  <c r="AH79" i="592" s="1"/>
  <c r="AG78" i="592"/>
  <c r="V78" i="592"/>
  <c r="U78" i="592"/>
  <c r="AJ78" i="592" s="1"/>
  <c r="AK78" i="592" s="1"/>
  <c r="T78" i="592"/>
  <c r="AH78" i="592" s="1"/>
  <c r="AG77" i="592"/>
  <c r="V77" i="592"/>
  <c r="U77" i="592"/>
  <c r="AJ77" i="592" s="1"/>
  <c r="AK77" i="592" s="1"/>
  <c r="T77" i="592"/>
  <c r="AH77" i="592" s="1"/>
  <c r="AG76" i="592"/>
  <c r="V76" i="592"/>
  <c r="U76" i="592"/>
  <c r="AJ76" i="592" s="1"/>
  <c r="AK76" i="592" s="1"/>
  <c r="T76" i="592"/>
  <c r="AH76" i="592" s="1"/>
  <c r="AG75" i="592"/>
  <c r="V75" i="592"/>
  <c r="U75" i="592"/>
  <c r="AJ75" i="592" s="1"/>
  <c r="AK75" i="592" s="1"/>
  <c r="T75" i="592"/>
  <c r="AH75" i="592" s="1"/>
  <c r="AG74" i="592"/>
  <c r="V74" i="592"/>
  <c r="U74" i="592"/>
  <c r="AJ74" i="592" s="1"/>
  <c r="AK74" i="592" s="1"/>
  <c r="T74" i="592"/>
  <c r="AH74" i="592" s="1"/>
  <c r="AG73" i="592"/>
  <c r="V73" i="592"/>
  <c r="U73" i="592"/>
  <c r="AJ73" i="592" s="1"/>
  <c r="AK73" i="592" s="1"/>
  <c r="T73" i="592"/>
  <c r="AH73" i="592" s="1"/>
  <c r="AG72" i="592"/>
  <c r="V72" i="592"/>
  <c r="U72" i="592"/>
  <c r="AJ72" i="592" s="1"/>
  <c r="AK72" i="592" s="1"/>
  <c r="T72" i="592"/>
  <c r="AH72" i="592" s="1"/>
  <c r="AG71" i="592"/>
  <c r="V71" i="592"/>
  <c r="U71" i="592"/>
  <c r="AJ71" i="592" s="1"/>
  <c r="AK71" i="592" s="1"/>
  <c r="T71" i="592"/>
  <c r="AH71" i="592" s="1"/>
  <c r="AG70" i="592"/>
  <c r="V70" i="592"/>
  <c r="U70" i="592"/>
  <c r="AJ70" i="592" s="1"/>
  <c r="AK70" i="592" s="1"/>
  <c r="T70" i="592"/>
  <c r="AH70" i="592" s="1"/>
  <c r="AG69" i="592"/>
  <c r="V69" i="592"/>
  <c r="U69" i="592"/>
  <c r="AJ69" i="592" s="1"/>
  <c r="AK69" i="592" s="1"/>
  <c r="T69" i="592"/>
  <c r="AH69" i="592" s="1"/>
  <c r="AG68" i="592"/>
  <c r="V68" i="592"/>
  <c r="U68" i="592"/>
  <c r="AJ68" i="592" s="1"/>
  <c r="AK68" i="592" s="1"/>
  <c r="T68" i="592"/>
  <c r="AH68" i="592" s="1"/>
  <c r="AG67" i="592"/>
  <c r="V67" i="592"/>
  <c r="U67" i="592"/>
  <c r="AJ67" i="592" s="1"/>
  <c r="AK67" i="592" s="1"/>
  <c r="T67" i="592"/>
  <c r="AH67" i="592" s="1"/>
  <c r="AG66" i="592"/>
  <c r="V66" i="592"/>
  <c r="U66" i="592"/>
  <c r="AJ66" i="592" s="1"/>
  <c r="AK66" i="592" s="1"/>
  <c r="T66" i="592"/>
  <c r="AH66" i="592" s="1"/>
  <c r="AG65" i="592"/>
  <c r="V65" i="592"/>
  <c r="U65" i="592"/>
  <c r="AJ65" i="592" s="1"/>
  <c r="AK65" i="592" s="1"/>
  <c r="T65" i="592"/>
  <c r="AH65" i="592" s="1"/>
  <c r="AG64" i="592"/>
  <c r="V64" i="592"/>
  <c r="U64" i="592"/>
  <c r="AJ64" i="592" s="1"/>
  <c r="AK64" i="592" s="1"/>
  <c r="T64" i="592"/>
  <c r="AH64" i="592" s="1"/>
  <c r="AG63" i="592"/>
  <c r="V63" i="592"/>
  <c r="U63" i="592"/>
  <c r="AJ63" i="592" s="1"/>
  <c r="AK63" i="592" s="1"/>
  <c r="T63" i="592"/>
  <c r="AH63" i="592" s="1"/>
  <c r="AG62" i="592"/>
  <c r="V62" i="592"/>
  <c r="U62" i="592"/>
  <c r="AJ62" i="592" s="1"/>
  <c r="AK62" i="592" s="1"/>
  <c r="T62" i="592"/>
  <c r="AH62" i="592" s="1"/>
  <c r="AJ61" i="592"/>
  <c r="AK61" i="592" s="1"/>
  <c r="AG61" i="592"/>
  <c r="V61" i="592"/>
  <c r="U61" i="592"/>
  <c r="T61" i="592"/>
  <c r="AH61" i="592" s="1"/>
  <c r="AG60" i="592"/>
  <c r="V60" i="592"/>
  <c r="U60" i="592"/>
  <c r="AJ60" i="592" s="1"/>
  <c r="AK60" i="592" s="1"/>
  <c r="T60" i="592"/>
  <c r="AH60" i="592" s="1"/>
  <c r="AG59" i="592"/>
  <c r="V59" i="592"/>
  <c r="U59" i="592"/>
  <c r="AJ59" i="592" s="1"/>
  <c r="AK59" i="592" s="1"/>
  <c r="T59" i="592"/>
  <c r="AH59" i="592" s="1"/>
  <c r="AG58" i="592"/>
  <c r="V58" i="592"/>
  <c r="U58" i="592"/>
  <c r="AJ58" i="592" s="1"/>
  <c r="AK58" i="592" s="1"/>
  <c r="T58" i="592"/>
  <c r="AH58" i="592" s="1"/>
  <c r="AG57" i="592"/>
  <c r="V57" i="592"/>
  <c r="U57" i="592"/>
  <c r="AJ57" i="592" s="1"/>
  <c r="AK57" i="592" s="1"/>
  <c r="T57" i="592"/>
  <c r="AH57" i="592" s="1"/>
  <c r="AG56" i="592"/>
  <c r="V56" i="592"/>
  <c r="U56" i="592"/>
  <c r="AJ56" i="592" s="1"/>
  <c r="AK56" i="592" s="1"/>
  <c r="T56" i="592"/>
  <c r="AH56" i="592" s="1"/>
  <c r="AG55" i="592"/>
  <c r="V55" i="592"/>
  <c r="U55" i="592"/>
  <c r="AJ55" i="592" s="1"/>
  <c r="AK55" i="592" s="1"/>
  <c r="T55" i="592"/>
  <c r="AH55" i="592" s="1"/>
  <c r="AG54" i="592"/>
  <c r="V54" i="592"/>
  <c r="U54" i="592"/>
  <c r="AJ54" i="592" s="1"/>
  <c r="AK54" i="592" s="1"/>
  <c r="T54" i="592"/>
  <c r="AH54" i="592" s="1"/>
  <c r="AG53" i="592"/>
  <c r="V53" i="592"/>
  <c r="U53" i="592"/>
  <c r="AJ53" i="592" s="1"/>
  <c r="AK53" i="592" s="1"/>
  <c r="T53" i="592"/>
  <c r="AH53" i="592" s="1"/>
  <c r="AG52" i="592"/>
  <c r="V52" i="592"/>
  <c r="U52" i="592"/>
  <c r="AJ52" i="592" s="1"/>
  <c r="AK52" i="592" s="1"/>
  <c r="T52" i="592"/>
  <c r="AH52" i="592" s="1"/>
  <c r="AG51" i="592"/>
  <c r="V51" i="592"/>
  <c r="U51" i="592"/>
  <c r="AJ51" i="592" s="1"/>
  <c r="AK51" i="592" s="1"/>
  <c r="T51" i="592"/>
  <c r="AH51" i="592" s="1"/>
  <c r="AG50" i="592"/>
  <c r="V50" i="592"/>
  <c r="U50" i="592"/>
  <c r="AJ50" i="592" s="1"/>
  <c r="AK50" i="592" s="1"/>
  <c r="T50" i="592"/>
  <c r="AH50" i="592" s="1"/>
  <c r="AG49" i="592"/>
  <c r="V49" i="592"/>
  <c r="U49" i="592"/>
  <c r="AJ49" i="592" s="1"/>
  <c r="AK49" i="592" s="1"/>
  <c r="T49" i="592"/>
  <c r="AH49" i="592" s="1"/>
  <c r="AG48" i="592"/>
  <c r="V48" i="592"/>
  <c r="U48" i="592"/>
  <c r="AJ48" i="592" s="1"/>
  <c r="AK48" i="592" s="1"/>
  <c r="T48" i="592"/>
  <c r="AH48" i="592" s="1"/>
  <c r="AG47" i="592"/>
  <c r="U47" i="592"/>
  <c r="AJ47" i="592" s="1"/>
  <c r="AK47" i="592" s="1"/>
  <c r="T47" i="592"/>
  <c r="AH47" i="592" s="1"/>
  <c r="AI47" i="592" s="1"/>
  <c r="AG46" i="592"/>
  <c r="U46" i="592"/>
  <c r="AJ46" i="592" s="1"/>
  <c r="AK46" i="592" s="1"/>
  <c r="T46" i="592"/>
  <c r="AH46" i="592" s="1"/>
  <c r="AG45" i="592"/>
  <c r="U45" i="592"/>
  <c r="AJ45" i="592" s="1"/>
  <c r="AK45" i="592" s="1"/>
  <c r="T45" i="592"/>
  <c r="AH45" i="592" s="1"/>
  <c r="AI45" i="592" s="1"/>
  <c r="AG44" i="592"/>
  <c r="U44" i="592"/>
  <c r="AJ44" i="592" s="1"/>
  <c r="AK44" i="592" s="1"/>
  <c r="T44" i="592"/>
  <c r="AH44" i="592" s="1"/>
  <c r="AG43" i="592"/>
  <c r="U43" i="592"/>
  <c r="AJ43" i="592" s="1"/>
  <c r="AK43" i="592" s="1"/>
  <c r="T43" i="592"/>
  <c r="AH43" i="592" s="1"/>
  <c r="AI43" i="592" s="1"/>
  <c r="AG42" i="592"/>
  <c r="U42" i="592"/>
  <c r="AJ42" i="592" s="1"/>
  <c r="AK42" i="592" s="1"/>
  <c r="T42" i="592"/>
  <c r="AH42" i="592" s="1"/>
  <c r="AG41" i="592"/>
  <c r="U41" i="592"/>
  <c r="AJ41" i="592" s="1"/>
  <c r="AK41" i="592" s="1"/>
  <c r="T41" i="592"/>
  <c r="AH41" i="592" s="1"/>
  <c r="AI41" i="592" s="1"/>
  <c r="AG40" i="592"/>
  <c r="U40" i="592"/>
  <c r="AJ40" i="592" s="1"/>
  <c r="AK40" i="592" s="1"/>
  <c r="T40" i="592"/>
  <c r="AH40" i="592" s="1"/>
  <c r="AJ37" i="592"/>
  <c r="AK37" i="592" s="1"/>
  <c r="AI37" i="592"/>
  <c r="V37" i="592"/>
  <c r="V36" i="592"/>
  <c r="AJ32" i="592"/>
  <c r="AL32" i="592" s="1"/>
  <c r="AI32" i="592"/>
  <c r="V32" i="592"/>
  <c r="AJ30" i="592"/>
  <c r="AL30" i="592" s="1"/>
  <c r="AI30" i="592"/>
  <c r="V30" i="592"/>
  <c r="AJ26" i="592"/>
  <c r="AK26" i="592" s="1"/>
  <c r="AI26" i="592"/>
  <c r="V26" i="592"/>
  <c r="V22" i="592"/>
  <c r="V21" i="592"/>
  <c r="V20" i="592"/>
  <c r="V19" i="592"/>
  <c r="AJ18" i="592"/>
  <c r="AL18" i="592" s="1"/>
  <c r="AI18" i="592"/>
  <c r="V18" i="592"/>
  <c r="AK17" i="592"/>
  <c r="AJ17" i="592"/>
  <c r="AL17" i="592" s="1"/>
  <c r="AI17" i="592"/>
  <c r="V17" i="592"/>
  <c r="V16" i="592"/>
  <c r="V15" i="592"/>
  <c r="V14" i="592"/>
  <c r="V13" i="592"/>
  <c r="V12" i="592"/>
  <c r="V11" i="592"/>
  <c r="V10" i="592"/>
  <c r="AJ9" i="592"/>
  <c r="AK9" i="592" s="1"/>
  <c r="AI9" i="592"/>
  <c r="AM9" i="592" s="1"/>
  <c r="V9" i="592"/>
  <c r="O4" i="592"/>
  <c r="I4" i="592"/>
  <c r="G4" i="592"/>
  <c r="AR2" i="592"/>
  <c r="G2" i="592"/>
  <c r="AM20" i="591"/>
  <c r="AL20" i="591"/>
  <c r="AK20" i="591"/>
  <c r="AJ20" i="591"/>
  <c r="AI20" i="591"/>
  <c r="AH20" i="591"/>
  <c r="AG20" i="591"/>
  <c r="R20" i="591"/>
  <c r="Q20" i="591"/>
  <c r="AS20" i="591" s="1"/>
  <c r="AT20" i="591" s="1"/>
  <c r="O20" i="591"/>
  <c r="AQ20" i="591" s="1"/>
  <c r="AR20" i="591" s="1"/>
  <c r="AM19" i="591"/>
  <c r="AL19" i="591"/>
  <c r="AK19" i="591"/>
  <c r="AJ19" i="591"/>
  <c r="AI19" i="591"/>
  <c r="AH19" i="591"/>
  <c r="AG19" i="591"/>
  <c r="R19" i="591"/>
  <c r="Q19" i="591"/>
  <c r="AS19" i="591" s="1"/>
  <c r="AT19" i="591" s="1"/>
  <c r="O19" i="591"/>
  <c r="AQ19" i="591" s="1"/>
  <c r="AR19" i="591" s="1"/>
  <c r="AM18" i="591"/>
  <c r="AL18" i="591"/>
  <c r="AK18" i="591"/>
  <c r="AJ18" i="591"/>
  <c r="AI18" i="591"/>
  <c r="AH18" i="591"/>
  <c r="AG18" i="591"/>
  <c r="R18" i="591"/>
  <c r="Q18" i="591"/>
  <c r="AS18" i="591" s="1"/>
  <c r="AT18" i="591" s="1"/>
  <c r="O18" i="591"/>
  <c r="AQ18" i="591" s="1"/>
  <c r="AR18" i="591" s="1"/>
  <c r="AM17" i="591"/>
  <c r="AL17" i="591"/>
  <c r="AK17" i="591"/>
  <c r="AJ17" i="591"/>
  <c r="AI17" i="591"/>
  <c r="AH17" i="591"/>
  <c r="AG17" i="591"/>
  <c r="R17" i="591"/>
  <c r="Q17" i="591"/>
  <c r="AS17" i="591" s="1"/>
  <c r="AT17" i="591" s="1"/>
  <c r="O17" i="591"/>
  <c r="AQ17" i="591" s="1"/>
  <c r="AR17" i="591" s="1"/>
  <c r="AM16" i="591"/>
  <c r="AL16" i="591"/>
  <c r="AK16" i="591"/>
  <c r="AJ16" i="591"/>
  <c r="AI16" i="591"/>
  <c r="AH16" i="591"/>
  <c r="AG16" i="591"/>
  <c r="R16" i="591"/>
  <c r="Q16" i="591"/>
  <c r="AS16" i="591" s="1"/>
  <c r="AT16" i="591" s="1"/>
  <c r="O16" i="591"/>
  <c r="AQ16" i="591" s="1"/>
  <c r="AR16" i="591" s="1"/>
  <c r="AM15" i="591"/>
  <c r="AL15" i="591"/>
  <c r="AK15" i="591"/>
  <c r="AJ15" i="591"/>
  <c r="AI15" i="591"/>
  <c r="AH15" i="591"/>
  <c r="AG15" i="591"/>
  <c r="R15" i="591"/>
  <c r="Q15" i="591"/>
  <c r="AS15" i="591" s="1"/>
  <c r="AT15" i="591" s="1"/>
  <c r="O15" i="591"/>
  <c r="AQ15" i="591" s="1"/>
  <c r="AR15" i="591" s="1"/>
  <c r="AM14" i="591"/>
  <c r="AL14" i="591"/>
  <c r="AK14" i="591"/>
  <c r="AJ14" i="591"/>
  <c r="AI14" i="591"/>
  <c r="AH14" i="591"/>
  <c r="AG14" i="591"/>
  <c r="R14" i="591"/>
  <c r="Q14" i="591"/>
  <c r="O14" i="591"/>
  <c r="AM13" i="591"/>
  <c r="AL13" i="591"/>
  <c r="AK13" i="591"/>
  <c r="AJ13" i="591"/>
  <c r="AI13" i="591"/>
  <c r="AH13" i="591"/>
  <c r="AG13" i="591"/>
  <c r="R13" i="591"/>
  <c r="Q13" i="591"/>
  <c r="O13" i="591"/>
  <c r="AM12" i="591"/>
  <c r="AL12" i="591"/>
  <c r="AK12" i="591"/>
  <c r="AJ12" i="591"/>
  <c r="AI12" i="591"/>
  <c r="AH12" i="591"/>
  <c r="AG12" i="591"/>
  <c r="R12" i="591"/>
  <c r="Q12" i="591"/>
  <c r="O12" i="591"/>
  <c r="AM11" i="591"/>
  <c r="AL11" i="591"/>
  <c r="AK11" i="591"/>
  <c r="AJ11" i="591"/>
  <c r="AI11" i="591"/>
  <c r="AH11" i="591"/>
  <c r="AG11" i="591"/>
  <c r="R11" i="591"/>
  <c r="Q11" i="591"/>
  <c r="O11" i="591"/>
  <c r="AM10" i="591"/>
  <c r="AL10" i="591"/>
  <c r="AK10" i="591"/>
  <c r="AJ10" i="591"/>
  <c r="AI10" i="591"/>
  <c r="AH10" i="591"/>
  <c r="AG10" i="591"/>
  <c r="R10" i="591"/>
  <c r="Q10" i="591"/>
  <c r="O10" i="591"/>
  <c r="V4" i="591"/>
  <c r="E4" i="591"/>
  <c r="A4" i="591"/>
  <c r="BD2" i="591"/>
  <c r="A2" i="591"/>
  <c r="AU16" i="591" l="1"/>
  <c r="AU20" i="591"/>
  <c r="AN15" i="591"/>
  <c r="AN16" i="591"/>
  <c r="AL26" i="592"/>
  <c r="AK30" i="592"/>
  <c r="AN10" i="591"/>
  <c r="AN11" i="591"/>
  <c r="AN12" i="591"/>
  <c r="AN13" i="591"/>
  <c r="AN17" i="591"/>
  <c r="AN18" i="591"/>
  <c r="AI25" i="593"/>
  <c r="AM25" i="593" s="1"/>
  <c r="AM24" i="593"/>
  <c r="AM30" i="592"/>
  <c r="AL42" i="592"/>
  <c r="AL46" i="592"/>
  <c r="AL19" i="593"/>
  <c r="AL11" i="593"/>
  <c r="AM11" i="593"/>
  <c r="AM17" i="592"/>
  <c r="AL40" i="592"/>
  <c r="AL44" i="592"/>
  <c r="AN20" i="591"/>
  <c r="AM26" i="592"/>
  <c r="AK32" i="592"/>
  <c r="AM32" i="592" s="1"/>
  <c r="AM37" i="592"/>
  <c r="AL24" i="593"/>
  <c r="AN14" i="591"/>
  <c r="AN19" i="591"/>
  <c r="AK18" i="592"/>
  <c r="AM18" i="592" s="1"/>
  <c r="AL37" i="592"/>
  <c r="AL16" i="593"/>
  <c r="AI16" i="593"/>
  <c r="AM16" i="593" s="1"/>
  <c r="AU17" i="591"/>
  <c r="AU19" i="591"/>
  <c r="AI48" i="592"/>
  <c r="AM48" i="592" s="1"/>
  <c r="AL48" i="592"/>
  <c r="AI49" i="592"/>
  <c r="AM49" i="592" s="1"/>
  <c r="AL49" i="592"/>
  <c r="AI53" i="592"/>
  <c r="AM53" i="592" s="1"/>
  <c r="AL53" i="592"/>
  <c r="AI57" i="592"/>
  <c r="AM57" i="592" s="1"/>
  <c r="AL57" i="592"/>
  <c r="AI50" i="592"/>
  <c r="AM50" i="592" s="1"/>
  <c r="AL50" i="592"/>
  <c r="AI51" i="592"/>
  <c r="AM51" i="592" s="1"/>
  <c r="AL51" i="592"/>
  <c r="AI55" i="592"/>
  <c r="AM55" i="592" s="1"/>
  <c r="AL55" i="592"/>
  <c r="AM41" i="592"/>
  <c r="AL9" i="592"/>
  <c r="AL60" i="592"/>
  <c r="AI60" i="592"/>
  <c r="AM60" i="592" s="1"/>
  <c r="AL64" i="592"/>
  <c r="AI64" i="592"/>
  <c r="AM64" i="592" s="1"/>
  <c r="AL68" i="592"/>
  <c r="AI68" i="592"/>
  <c r="AM68" i="592" s="1"/>
  <c r="AL72" i="592"/>
  <c r="AI72" i="592"/>
  <c r="AM72" i="592" s="1"/>
  <c r="AL76" i="592"/>
  <c r="AI76" i="592"/>
  <c r="AM76" i="592" s="1"/>
  <c r="AI81" i="592"/>
  <c r="AM81" i="592" s="1"/>
  <c r="AL81" i="592"/>
  <c r="AI85" i="592"/>
  <c r="AM85" i="592" s="1"/>
  <c r="AL85" i="592"/>
  <c r="AI107" i="592"/>
  <c r="AM107" i="592" s="1"/>
  <c r="AL107" i="592"/>
  <c r="AI111" i="592"/>
  <c r="AM111" i="592" s="1"/>
  <c r="AL111" i="592"/>
  <c r="AI115" i="592"/>
  <c r="AM115" i="592" s="1"/>
  <c r="AL115" i="592"/>
  <c r="AI119" i="592"/>
  <c r="AM119" i="592" s="1"/>
  <c r="AL119" i="592"/>
  <c r="AI123" i="592"/>
  <c r="AM123" i="592" s="1"/>
  <c r="AL123" i="592"/>
  <c r="AI127" i="592"/>
  <c r="AM127" i="592" s="1"/>
  <c r="AL127" i="592"/>
  <c r="AI131" i="592"/>
  <c r="AM131" i="592" s="1"/>
  <c r="AL131" i="592"/>
  <c r="AI40" i="592"/>
  <c r="AM40" i="592" s="1"/>
  <c r="AL41" i="592"/>
  <c r="AI42" i="592"/>
  <c r="AM42" i="592" s="1"/>
  <c r="AL43" i="592"/>
  <c r="AI44" i="592"/>
  <c r="AM44" i="592" s="1"/>
  <c r="AL45" i="592"/>
  <c r="AI46" i="592"/>
  <c r="AM46" i="592" s="1"/>
  <c r="AL47" i="592"/>
  <c r="AI61" i="592"/>
  <c r="AM61" i="592" s="1"/>
  <c r="AL61" i="592"/>
  <c r="AI65" i="592"/>
  <c r="AM65" i="592" s="1"/>
  <c r="AL65" i="592"/>
  <c r="AI69" i="592"/>
  <c r="AM69" i="592" s="1"/>
  <c r="AL69" i="592"/>
  <c r="AI73" i="592"/>
  <c r="AM73" i="592" s="1"/>
  <c r="AL73" i="592"/>
  <c r="AI77" i="592"/>
  <c r="AM77" i="592" s="1"/>
  <c r="AL77" i="592"/>
  <c r="AI78" i="592"/>
  <c r="AM78" i="592" s="1"/>
  <c r="AL78" i="592"/>
  <c r="AI79" i="592"/>
  <c r="AM79" i="592" s="1"/>
  <c r="AL79" i="592"/>
  <c r="AI82" i="592"/>
  <c r="AM82" i="592" s="1"/>
  <c r="AL82" i="592"/>
  <c r="AI86" i="592"/>
  <c r="AM86" i="592" s="1"/>
  <c r="AL86" i="592"/>
  <c r="AI108" i="592"/>
  <c r="AM108" i="592" s="1"/>
  <c r="AL108" i="592"/>
  <c r="AI112" i="592"/>
  <c r="AM112" i="592" s="1"/>
  <c r="AL112" i="592"/>
  <c r="AI116" i="592"/>
  <c r="AM116" i="592" s="1"/>
  <c r="AL116" i="592"/>
  <c r="AI120" i="592"/>
  <c r="AM120" i="592" s="1"/>
  <c r="AL120" i="592"/>
  <c r="AI124" i="592"/>
  <c r="AM124" i="592" s="1"/>
  <c r="AL124" i="592"/>
  <c r="AI128" i="592"/>
  <c r="AM128" i="592" s="1"/>
  <c r="AL128" i="592"/>
  <c r="AI52" i="592"/>
  <c r="AM52" i="592" s="1"/>
  <c r="AL52" i="592"/>
  <c r="AI54" i="592"/>
  <c r="AM54" i="592" s="1"/>
  <c r="AL54" i="592"/>
  <c r="AL56" i="592"/>
  <c r="AI56" i="592"/>
  <c r="AM56" i="592" s="1"/>
  <c r="AL58" i="592"/>
  <c r="AI58" i="592"/>
  <c r="AM58" i="592" s="1"/>
  <c r="AL62" i="592"/>
  <c r="AI62" i="592"/>
  <c r="AM62" i="592" s="1"/>
  <c r="AL66" i="592"/>
  <c r="AI66" i="592"/>
  <c r="AM66" i="592" s="1"/>
  <c r="AL70" i="592"/>
  <c r="AI70" i="592"/>
  <c r="AM70" i="592" s="1"/>
  <c r="AL74" i="592"/>
  <c r="AI74" i="592"/>
  <c r="AM74" i="592" s="1"/>
  <c r="AI83" i="592"/>
  <c r="AM83" i="592" s="1"/>
  <c r="AL83" i="592"/>
  <c r="AI87" i="592"/>
  <c r="AM87" i="592" s="1"/>
  <c r="AL87" i="592"/>
  <c r="AI109" i="592"/>
  <c r="AM109" i="592" s="1"/>
  <c r="AL109" i="592"/>
  <c r="AI113" i="592"/>
  <c r="AM113" i="592" s="1"/>
  <c r="AL113" i="592"/>
  <c r="AI117" i="592"/>
  <c r="AM117" i="592" s="1"/>
  <c r="AL117" i="592"/>
  <c r="AI121" i="592"/>
  <c r="AM121" i="592" s="1"/>
  <c r="AL121" i="592"/>
  <c r="AI125" i="592"/>
  <c r="AM125" i="592" s="1"/>
  <c r="AL125" i="592"/>
  <c r="AI129" i="592"/>
  <c r="AM129" i="592" s="1"/>
  <c r="AL129" i="592"/>
  <c r="AM43" i="592"/>
  <c r="AM45" i="592"/>
  <c r="AM47" i="592"/>
  <c r="AI59" i="592"/>
  <c r="AM59" i="592" s="1"/>
  <c r="AL59" i="592"/>
  <c r="AI63" i="592"/>
  <c r="AM63" i="592" s="1"/>
  <c r="AL63" i="592"/>
  <c r="AI67" i="592"/>
  <c r="AM67" i="592" s="1"/>
  <c r="AL67" i="592"/>
  <c r="AI71" i="592"/>
  <c r="AM71" i="592" s="1"/>
  <c r="AL71" i="592"/>
  <c r="AI75" i="592"/>
  <c r="AM75" i="592" s="1"/>
  <c r="AL75" i="592"/>
  <c r="AI80" i="592"/>
  <c r="AM80" i="592" s="1"/>
  <c r="AL80" i="592"/>
  <c r="AI84" i="592"/>
  <c r="AM84" i="592" s="1"/>
  <c r="AL84" i="592"/>
  <c r="AI106" i="592"/>
  <c r="AM106" i="592" s="1"/>
  <c r="AL106" i="592"/>
  <c r="AI110" i="592"/>
  <c r="AM110" i="592" s="1"/>
  <c r="AL110" i="592"/>
  <c r="AI114" i="592"/>
  <c r="AM114" i="592" s="1"/>
  <c r="AL114" i="592"/>
  <c r="AI118" i="592"/>
  <c r="AM118" i="592" s="1"/>
  <c r="AL118" i="592"/>
  <c r="AI122" i="592"/>
  <c r="AM122" i="592" s="1"/>
  <c r="AL122" i="592"/>
  <c r="AI126" i="592"/>
  <c r="AM126" i="592" s="1"/>
  <c r="AL126" i="592"/>
  <c r="AI130" i="592"/>
  <c r="AM130" i="592" s="1"/>
  <c r="AL130" i="592"/>
  <c r="AI135" i="592"/>
  <c r="AM135" i="592" s="1"/>
  <c r="AL135" i="592"/>
  <c r="AI139" i="592"/>
  <c r="AM139" i="592" s="1"/>
  <c r="AL139" i="592"/>
  <c r="AI143" i="592"/>
  <c r="AM143" i="592" s="1"/>
  <c r="AL143" i="592"/>
  <c r="AI147" i="592"/>
  <c r="AM147" i="592" s="1"/>
  <c r="AL147" i="592"/>
  <c r="AI151" i="592"/>
  <c r="AM151" i="592" s="1"/>
  <c r="AL151" i="592"/>
  <c r="AI132" i="592"/>
  <c r="AM132" i="592" s="1"/>
  <c r="AL132" i="592"/>
  <c r="AI136" i="592"/>
  <c r="AM136" i="592" s="1"/>
  <c r="AL136" i="592"/>
  <c r="AI140" i="592"/>
  <c r="AM140" i="592" s="1"/>
  <c r="AL140" i="592"/>
  <c r="AI144" i="592"/>
  <c r="AM144" i="592" s="1"/>
  <c r="AL144" i="592"/>
  <c r="AI148" i="592"/>
  <c r="AM148" i="592" s="1"/>
  <c r="AL148" i="592"/>
  <c r="AI133" i="592"/>
  <c r="AM133" i="592" s="1"/>
  <c r="AL133" i="592"/>
  <c r="AI137" i="592"/>
  <c r="AM137" i="592" s="1"/>
  <c r="AL137" i="592"/>
  <c r="AI141" i="592"/>
  <c r="AM141" i="592" s="1"/>
  <c r="AL141" i="592"/>
  <c r="AI145" i="592"/>
  <c r="AM145" i="592" s="1"/>
  <c r="AL145" i="592"/>
  <c r="AI149" i="592"/>
  <c r="AM149" i="592" s="1"/>
  <c r="AL149" i="592"/>
  <c r="AI134" i="592"/>
  <c r="AM134" i="592" s="1"/>
  <c r="AL134" i="592"/>
  <c r="AI138" i="592"/>
  <c r="AM138" i="592" s="1"/>
  <c r="AL138" i="592"/>
  <c r="AI142" i="592"/>
  <c r="AM142" i="592" s="1"/>
  <c r="AL142" i="592"/>
  <c r="AI146" i="592"/>
  <c r="AM146" i="592" s="1"/>
  <c r="AL146" i="592"/>
  <c r="AI150" i="592"/>
  <c r="AM150" i="592" s="1"/>
  <c r="AL150" i="592"/>
  <c r="AO10" i="591"/>
  <c r="AP10" i="591" s="1"/>
  <c r="AQ11" i="591"/>
  <c r="AR11" i="591" s="1"/>
  <c r="AO11" i="591"/>
  <c r="AS11" i="591" s="1"/>
  <c r="AT11" i="591" s="1"/>
  <c r="AO12" i="591"/>
  <c r="AQ12" i="591" s="1"/>
  <c r="AR12" i="591" s="1"/>
  <c r="AO13" i="591"/>
  <c r="AQ13" i="591" s="1"/>
  <c r="AR13" i="591" s="1"/>
  <c r="AU15" i="591"/>
  <c r="AO15" i="591"/>
  <c r="AP15" i="591" s="1"/>
  <c r="AO16" i="591"/>
  <c r="AP16" i="591" s="1"/>
  <c r="AO17" i="591"/>
  <c r="AP17" i="591" s="1"/>
  <c r="AU18" i="591"/>
  <c r="AO19" i="591"/>
  <c r="AP19" i="591" s="1"/>
  <c r="AO20" i="591"/>
  <c r="AP20" i="591" s="1"/>
  <c r="AO14" i="591"/>
  <c r="AQ14" i="591" s="1"/>
  <c r="AR14" i="591" s="1"/>
  <c r="AO18" i="591"/>
  <c r="AP18" i="591" s="1"/>
  <c r="AS14" i="591"/>
  <c r="AT14" i="591" s="1"/>
  <c r="AS13" i="591" l="1"/>
  <c r="AT13" i="591" s="1"/>
  <c r="AU13" i="591" s="1"/>
  <c r="AP11" i="591"/>
  <c r="AU14" i="591"/>
  <c r="AP13" i="591"/>
  <c r="AU11" i="591"/>
  <c r="AS12" i="591"/>
  <c r="AT12" i="591" s="1"/>
  <c r="AU12" i="591" s="1"/>
  <c r="AP14" i="591"/>
  <c r="AQ10" i="591"/>
  <c r="AR10" i="591" s="1"/>
  <c r="AS10" i="591"/>
  <c r="AT10" i="591" s="1"/>
  <c r="AP12" i="591"/>
  <c r="AU10" i="591" l="1"/>
  <c r="AG166" i="589" l="1"/>
  <c r="V166" i="589"/>
  <c r="U166" i="589"/>
  <c r="AJ166" i="589" s="1"/>
  <c r="AK166" i="589" s="1"/>
  <c r="T166" i="589"/>
  <c r="AH166" i="589" s="1"/>
  <c r="AG165" i="589"/>
  <c r="V165" i="589"/>
  <c r="U165" i="589"/>
  <c r="AJ165" i="589" s="1"/>
  <c r="AK165" i="589" s="1"/>
  <c r="T165" i="589"/>
  <c r="AH165" i="589" s="1"/>
  <c r="AG164" i="589"/>
  <c r="V164" i="589"/>
  <c r="U164" i="589"/>
  <c r="AJ164" i="589" s="1"/>
  <c r="AK164" i="589" s="1"/>
  <c r="T164" i="589"/>
  <c r="AH164" i="589" s="1"/>
  <c r="AG163" i="589"/>
  <c r="V163" i="589"/>
  <c r="U163" i="589"/>
  <c r="AJ163" i="589" s="1"/>
  <c r="AK163" i="589" s="1"/>
  <c r="T163" i="589"/>
  <c r="AH163" i="589" s="1"/>
  <c r="AG162" i="589"/>
  <c r="V162" i="589"/>
  <c r="U162" i="589"/>
  <c r="AJ162" i="589" s="1"/>
  <c r="AK162" i="589" s="1"/>
  <c r="T162" i="589"/>
  <c r="AH162" i="589" s="1"/>
  <c r="AG161" i="589"/>
  <c r="V161" i="589"/>
  <c r="U161" i="589"/>
  <c r="AJ161" i="589" s="1"/>
  <c r="AK161" i="589" s="1"/>
  <c r="T161" i="589"/>
  <c r="AH161" i="589" s="1"/>
  <c r="AG160" i="589"/>
  <c r="V160" i="589"/>
  <c r="U160" i="589"/>
  <c r="AJ160" i="589" s="1"/>
  <c r="AK160" i="589" s="1"/>
  <c r="T160" i="589"/>
  <c r="AH160" i="589" s="1"/>
  <c r="AG159" i="589"/>
  <c r="V159" i="589"/>
  <c r="U159" i="589"/>
  <c r="AJ159" i="589" s="1"/>
  <c r="AK159" i="589" s="1"/>
  <c r="T159" i="589"/>
  <c r="AH159" i="589" s="1"/>
  <c r="AG158" i="589"/>
  <c r="V158" i="589"/>
  <c r="U158" i="589"/>
  <c r="AJ158" i="589" s="1"/>
  <c r="AK158" i="589" s="1"/>
  <c r="T158" i="589"/>
  <c r="AH158" i="589" s="1"/>
  <c r="AG157" i="589"/>
  <c r="V157" i="589"/>
  <c r="U157" i="589"/>
  <c r="AJ157" i="589" s="1"/>
  <c r="AK157" i="589" s="1"/>
  <c r="T157" i="589"/>
  <c r="AH157" i="589" s="1"/>
  <c r="AG156" i="589"/>
  <c r="V156" i="589"/>
  <c r="U156" i="589"/>
  <c r="AJ156" i="589" s="1"/>
  <c r="AK156" i="589" s="1"/>
  <c r="T156" i="589"/>
  <c r="AH156" i="589" s="1"/>
  <c r="AG155" i="589"/>
  <c r="V155" i="589"/>
  <c r="U155" i="589"/>
  <c r="AJ155" i="589" s="1"/>
  <c r="AK155" i="589" s="1"/>
  <c r="T155" i="589"/>
  <c r="AH155" i="589" s="1"/>
  <c r="AG154" i="589"/>
  <c r="V154" i="589"/>
  <c r="U154" i="589"/>
  <c r="AJ154" i="589" s="1"/>
  <c r="AK154" i="589" s="1"/>
  <c r="T154" i="589"/>
  <c r="AH154" i="589" s="1"/>
  <c r="AG153" i="589"/>
  <c r="V153" i="589"/>
  <c r="U153" i="589"/>
  <c r="AJ153" i="589" s="1"/>
  <c r="AK153" i="589" s="1"/>
  <c r="T153" i="589"/>
  <c r="AH153" i="589" s="1"/>
  <c r="AG152" i="589"/>
  <c r="V152" i="589"/>
  <c r="U152" i="589"/>
  <c r="AJ152" i="589" s="1"/>
  <c r="AK152" i="589" s="1"/>
  <c r="T152" i="589"/>
  <c r="AH152" i="589" s="1"/>
  <c r="AG151" i="589"/>
  <c r="V151" i="589"/>
  <c r="U151" i="589"/>
  <c r="AJ151" i="589" s="1"/>
  <c r="AK151" i="589" s="1"/>
  <c r="T151" i="589"/>
  <c r="AH151" i="589" s="1"/>
  <c r="AG150" i="589"/>
  <c r="V150" i="589"/>
  <c r="U150" i="589"/>
  <c r="AJ150" i="589" s="1"/>
  <c r="AK150" i="589" s="1"/>
  <c r="T150" i="589"/>
  <c r="AH150" i="589" s="1"/>
  <c r="AG149" i="589"/>
  <c r="V149" i="589"/>
  <c r="U149" i="589"/>
  <c r="AJ149" i="589" s="1"/>
  <c r="AK149" i="589" s="1"/>
  <c r="T149" i="589"/>
  <c r="AH149" i="589" s="1"/>
  <c r="AG148" i="589"/>
  <c r="V148" i="589"/>
  <c r="U148" i="589"/>
  <c r="AJ148" i="589" s="1"/>
  <c r="AK148" i="589" s="1"/>
  <c r="T148" i="589"/>
  <c r="AH148" i="589" s="1"/>
  <c r="AG147" i="589"/>
  <c r="V147" i="589"/>
  <c r="U147" i="589"/>
  <c r="AJ147" i="589" s="1"/>
  <c r="AK147" i="589" s="1"/>
  <c r="T147" i="589"/>
  <c r="AH147" i="589" s="1"/>
  <c r="AG146" i="589"/>
  <c r="V146" i="589"/>
  <c r="U146" i="589"/>
  <c r="AJ146" i="589" s="1"/>
  <c r="AK146" i="589" s="1"/>
  <c r="T146" i="589"/>
  <c r="AH146" i="589" s="1"/>
  <c r="AG145" i="589"/>
  <c r="V145" i="589"/>
  <c r="U145" i="589"/>
  <c r="AJ145" i="589" s="1"/>
  <c r="AK145" i="589" s="1"/>
  <c r="T145" i="589"/>
  <c r="AH145" i="589" s="1"/>
  <c r="AG144" i="589"/>
  <c r="V144" i="589"/>
  <c r="U144" i="589"/>
  <c r="AJ144" i="589" s="1"/>
  <c r="AK144" i="589" s="1"/>
  <c r="T144" i="589"/>
  <c r="AH144" i="589" s="1"/>
  <c r="AG143" i="589"/>
  <c r="V143" i="589"/>
  <c r="U143" i="589"/>
  <c r="AJ143" i="589" s="1"/>
  <c r="AK143" i="589" s="1"/>
  <c r="T143" i="589"/>
  <c r="AH143" i="589" s="1"/>
  <c r="AG142" i="589"/>
  <c r="V142" i="589"/>
  <c r="U142" i="589"/>
  <c r="AJ142" i="589" s="1"/>
  <c r="AK142" i="589" s="1"/>
  <c r="T142" i="589"/>
  <c r="AH142" i="589" s="1"/>
  <c r="AG141" i="589"/>
  <c r="V141" i="589"/>
  <c r="U141" i="589"/>
  <c r="AJ141" i="589" s="1"/>
  <c r="AK141" i="589" s="1"/>
  <c r="T141" i="589"/>
  <c r="AH141" i="589" s="1"/>
  <c r="AG140" i="589"/>
  <c r="V140" i="589"/>
  <c r="U140" i="589"/>
  <c r="AJ140" i="589" s="1"/>
  <c r="AK140" i="589" s="1"/>
  <c r="T140" i="589"/>
  <c r="AH140" i="589" s="1"/>
  <c r="AG139" i="589"/>
  <c r="V139" i="589"/>
  <c r="U139" i="589"/>
  <c r="AJ139" i="589" s="1"/>
  <c r="AK139" i="589" s="1"/>
  <c r="T139" i="589"/>
  <c r="AH139" i="589" s="1"/>
  <c r="AK134" i="589"/>
  <c r="AI134" i="589"/>
  <c r="V134" i="589"/>
  <c r="U133" i="589"/>
  <c r="T133" i="589"/>
  <c r="U132" i="589"/>
  <c r="T132" i="589"/>
  <c r="U131" i="589"/>
  <c r="T131" i="589"/>
  <c r="AK130" i="589"/>
  <c r="AI130" i="589"/>
  <c r="V130" i="589"/>
  <c r="U130" i="589"/>
  <c r="T130" i="589"/>
  <c r="AG129" i="589"/>
  <c r="U129" i="589"/>
  <c r="AJ129" i="589" s="1"/>
  <c r="T129" i="589"/>
  <c r="AH129" i="589" s="1"/>
  <c r="AG128" i="589"/>
  <c r="U128" i="589"/>
  <c r="AJ128" i="589" s="1"/>
  <c r="T128" i="589"/>
  <c r="AH128" i="589" s="1"/>
  <c r="AG127" i="589"/>
  <c r="V127" i="589"/>
  <c r="U127" i="589"/>
  <c r="AJ127" i="589" s="1"/>
  <c r="AK127" i="589" s="1"/>
  <c r="T127" i="589"/>
  <c r="AH127" i="589" s="1"/>
  <c r="AG126" i="589"/>
  <c r="U126" i="589"/>
  <c r="AJ126" i="589" s="1"/>
  <c r="T126" i="589"/>
  <c r="AH126" i="589" s="1"/>
  <c r="AG125" i="589"/>
  <c r="U125" i="589"/>
  <c r="AJ125" i="589" s="1"/>
  <c r="T125" i="589"/>
  <c r="AH125" i="589" s="1"/>
  <c r="AG124" i="589"/>
  <c r="U124" i="589"/>
  <c r="AJ124" i="589" s="1"/>
  <c r="T124" i="589"/>
  <c r="AH124" i="589" s="1"/>
  <c r="AG123" i="589"/>
  <c r="U123" i="589"/>
  <c r="AJ123" i="589" s="1"/>
  <c r="T123" i="589"/>
  <c r="AH123" i="589" s="1"/>
  <c r="AG122" i="589"/>
  <c r="U122" i="589"/>
  <c r="AJ122" i="589" s="1"/>
  <c r="T122" i="589"/>
  <c r="AH122" i="589" s="1"/>
  <c r="AG121" i="589"/>
  <c r="U121" i="589"/>
  <c r="AJ121" i="589" s="1"/>
  <c r="T121" i="589"/>
  <c r="AH121" i="589" s="1"/>
  <c r="AG120" i="589"/>
  <c r="U120" i="589"/>
  <c r="AJ120" i="589" s="1"/>
  <c r="T120" i="589"/>
  <c r="AH120" i="589" s="1"/>
  <c r="AG119" i="589"/>
  <c r="U119" i="589"/>
  <c r="AJ119" i="589" s="1"/>
  <c r="T119" i="589"/>
  <c r="AH119" i="589" s="1"/>
  <c r="AG118" i="589"/>
  <c r="U118" i="589"/>
  <c r="AJ118" i="589" s="1"/>
  <c r="T118" i="589"/>
  <c r="AH118" i="589" s="1"/>
  <c r="AG117" i="589"/>
  <c r="U117" i="589"/>
  <c r="AJ117" i="589" s="1"/>
  <c r="T117" i="589"/>
  <c r="AH117" i="589" s="1"/>
  <c r="AG116" i="589"/>
  <c r="U116" i="589"/>
  <c r="AJ116" i="589" s="1"/>
  <c r="T116" i="589"/>
  <c r="AH116" i="589" s="1"/>
  <c r="AG115" i="589"/>
  <c r="V115" i="589"/>
  <c r="U115" i="589"/>
  <c r="AJ115" i="589" s="1"/>
  <c r="AK115" i="589" s="1"/>
  <c r="T115" i="589"/>
  <c r="AJ114" i="589"/>
  <c r="AK114" i="589" s="1"/>
  <c r="AG114" i="589"/>
  <c r="V114" i="589"/>
  <c r="U114" i="589"/>
  <c r="T114" i="589"/>
  <c r="AH114" i="589" s="1"/>
  <c r="AG113" i="589"/>
  <c r="V113" i="589"/>
  <c r="U113" i="589"/>
  <c r="AJ113" i="589" s="1"/>
  <c r="AK113" i="589" s="1"/>
  <c r="T113" i="589"/>
  <c r="AH113" i="589" s="1"/>
  <c r="AG112" i="589"/>
  <c r="V112" i="589"/>
  <c r="U112" i="589"/>
  <c r="AJ112" i="589" s="1"/>
  <c r="AK112" i="589" s="1"/>
  <c r="T112" i="589"/>
  <c r="AH112" i="589" s="1"/>
  <c r="AG111" i="589"/>
  <c r="V111" i="589"/>
  <c r="U111" i="589"/>
  <c r="AJ111" i="589" s="1"/>
  <c r="AK111" i="589" s="1"/>
  <c r="T111" i="589"/>
  <c r="AH111" i="589" s="1"/>
  <c r="AG110" i="589"/>
  <c r="V110" i="589"/>
  <c r="U110" i="589"/>
  <c r="AJ110" i="589" s="1"/>
  <c r="AK110" i="589" s="1"/>
  <c r="T110" i="589"/>
  <c r="AH110" i="589" s="1"/>
  <c r="AG109" i="589"/>
  <c r="V109" i="589"/>
  <c r="U109" i="589"/>
  <c r="AJ109" i="589" s="1"/>
  <c r="AK109" i="589" s="1"/>
  <c r="T109" i="589"/>
  <c r="AH109" i="589" s="1"/>
  <c r="AG108" i="589"/>
  <c r="V108" i="589"/>
  <c r="U108" i="589"/>
  <c r="AJ108" i="589" s="1"/>
  <c r="AK108" i="589" s="1"/>
  <c r="T108" i="589"/>
  <c r="AH108" i="589" s="1"/>
  <c r="AG107" i="589"/>
  <c r="V107" i="589"/>
  <c r="U107" i="589"/>
  <c r="AJ107" i="589" s="1"/>
  <c r="AK107" i="589" s="1"/>
  <c r="T107" i="589"/>
  <c r="AH107" i="589" s="1"/>
  <c r="AG106" i="589"/>
  <c r="V106" i="589"/>
  <c r="U106" i="589"/>
  <c r="AJ106" i="589" s="1"/>
  <c r="AK106" i="589" s="1"/>
  <c r="T106" i="589"/>
  <c r="AH106" i="589" s="1"/>
  <c r="AG105" i="589"/>
  <c r="V105" i="589"/>
  <c r="U105" i="589"/>
  <c r="AJ105" i="589" s="1"/>
  <c r="AK105" i="589" s="1"/>
  <c r="T105" i="589"/>
  <c r="AH105" i="589" s="1"/>
  <c r="AG104" i="589"/>
  <c r="V104" i="589"/>
  <c r="U104" i="589"/>
  <c r="AJ104" i="589" s="1"/>
  <c r="AK104" i="589" s="1"/>
  <c r="T104" i="589"/>
  <c r="AH104" i="589" s="1"/>
  <c r="AG103" i="589"/>
  <c r="V103" i="589"/>
  <c r="U103" i="589"/>
  <c r="AJ103" i="589" s="1"/>
  <c r="AK103" i="589" s="1"/>
  <c r="T103" i="589"/>
  <c r="AH103" i="589" s="1"/>
  <c r="AG102" i="589"/>
  <c r="V102" i="589"/>
  <c r="U102" i="589"/>
  <c r="AJ102" i="589" s="1"/>
  <c r="AK102" i="589" s="1"/>
  <c r="T102" i="589"/>
  <c r="AH102" i="589" s="1"/>
  <c r="AG101" i="589"/>
  <c r="V101" i="589"/>
  <c r="U101" i="589"/>
  <c r="AJ101" i="589" s="1"/>
  <c r="AK101" i="589" s="1"/>
  <c r="T101" i="589"/>
  <c r="AH101" i="589" s="1"/>
  <c r="AG100" i="589"/>
  <c r="V100" i="589"/>
  <c r="U100" i="589"/>
  <c r="AJ100" i="589" s="1"/>
  <c r="AK100" i="589" s="1"/>
  <c r="T100" i="589"/>
  <c r="AH100" i="589" s="1"/>
  <c r="AG99" i="589"/>
  <c r="V99" i="589"/>
  <c r="U99" i="589"/>
  <c r="AJ99" i="589" s="1"/>
  <c r="AK99" i="589" s="1"/>
  <c r="T99" i="589"/>
  <c r="AH99" i="589" s="1"/>
  <c r="AG98" i="589"/>
  <c r="V98" i="589"/>
  <c r="U98" i="589"/>
  <c r="AJ98" i="589" s="1"/>
  <c r="AK98" i="589" s="1"/>
  <c r="T98" i="589"/>
  <c r="AH98" i="589" s="1"/>
  <c r="AG97" i="589"/>
  <c r="V97" i="589"/>
  <c r="U97" i="589"/>
  <c r="AJ97" i="589" s="1"/>
  <c r="AK97" i="589" s="1"/>
  <c r="T97" i="589"/>
  <c r="AH97" i="589" s="1"/>
  <c r="AG96" i="589"/>
  <c r="V96" i="589"/>
  <c r="U96" i="589"/>
  <c r="AJ96" i="589" s="1"/>
  <c r="AK96" i="589" s="1"/>
  <c r="T96" i="589"/>
  <c r="AH96" i="589" s="1"/>
  <c r="AG95" i="589"/>
  <c r="V95" i="589"/>
  <c r="U95" i="589"/>
  <c r="AJ95" i="589" s="1"/>
  <c r="AK95" i="589" s="1"/>
  <c r="T95" i="589"/>
  <c r="AH95" i="589" s="1"/>
  <c r="AG94" i="589"/>
  <c r="V94" i="589"/>
  <c r="U94" i="589"/>
  <c r="AJ94" i="589" s="1"/>
  <c r="AK94" i="589" s="1"/>
  <c r="T94" i="589"/>
  <c r="AH94" i="589" s="1"/>
  <c r="AG93" i="589"/>
  <c r="V93" i="589"/>
  <c r="U93" i="589"/>
  <c r="AJ93" i="589" s="1"/>
  <c r="AK93" i="589" s="1"/>
  <c r="T93" i="589"/>
  <c r="AH93" i="589" s="1"/>
  <c r="AG92" i="589"/>
  <c r="V92" i="589"/>
  <c r="U92" i="589"/>
  <c r="AJ92" i="589" s="1"/>
  <c r="AK92" i="589" s="1"/>
  <c r="T92" i="589"/>
  <c r="AH92" i="589" s="1"/>
  <c r="AG91" i="589"/>
  <c r="V91" i="589"/>
  <c r="U91" i="589"/>
  <c r="AJ91" i="589" s="1"/>
  <c r="AK91" i="589" s="1"/>
  <c r="T91" i="589"/>
  <c r="AH91" i="589" s="1"/>
  <c r="AG90" i="589"/>
  <c r="V90" i="589"/>
  <c r="U90" i="589"/>
  <c r="AJ90" i="589" s="1"/>
  <c r="AK90" i="589" s="1"/>
  <c r="T90" i="589"/>
  <c r="AH90" i="589" s="1"/>
  <c r="AG89" i="589"/>
  <c r="V89" i="589"/>
  <c r="U89" i="589"/>
  <c r="AJ89" i="589" s="1"/>
  <c r="AK89" i="589" s="1"/>
  <c r="T89" i="589"/>
  <c r="AH89" i="589" s="1"/>
  <c r="AG88" i="589"/>
  <c r="V88" i="589"/>
  <c r="U88" i="589"/>
  <c r="AJ88" i="589" s="1"/>
  <c r="AK88" i="589" s="1"/>
  <c r="T88" i="589"/>
  <c r="AH88" i="589" s="1"/>
  <c r="AG87" i="589"/>
  <c r="V87" i="589"/>
  <c r="U87" i="589"/>
  <c r="AJ87" i="589" s="1"/>
  <c r="AK87" i="589" s="1"/>
  <c r="T87" i="589"/>
  <c r="AH87" i="589" s="1"/>
  <c r="AG86" i="589"/>
  <c r="V86" i="589"/>
  <c r="U86" i="589"/>
  <c r="AJ86" i="589" s="1"/>
  <c r="AK86" i="589" s="1"/>
  <c r="T86" i="589"/>
  <c r="AH86" i="589" s="1"/>
  <c r="AG85" i="589"/>
  <c r="V85" i="589"/>
  <c r="U85" i="589"/>
  <c r="AJ85" i="589" s="1"/>
  <c r="AK85" i="589" s="1"/>
  <c r="T85" i="589"/>
  <c r="AH85" i="589" s="1"/>
  <c r="AG84" i="589"/>
  <c r="V84" i="589"/>
  <c r="U84" i="589"/>
  <c r="AJ84" i="589" s="1"/>
  <c r="AK84" i="589" s="1"/>
  <c r="T84" i="589"/>
  <c r="AH84" i="589" s="1"/>
  <c r="AG83" i="589"/>
  <c r="V83" i="589"/>
  <c r="U83" i="589"/>
  <c r="AJ83" i="589" s="1"/>
  <c r="AK83" i="589" s="1"/>
  <c r="T83" i="589"/>
  <c r="AH83" i="589" s="1"/>
  <c r="AG82" i="589"/>
  <c r="V82" i="589"/>
  <c r="U82" i="589"/>
  <c r="AJ82" i="589" s="1"/>
  <c r="AK82" i="589" s="1"/>
  <c r="T82" i="589"/>
  <c r="AH82" i="589" s="1"/>
  <c r="AG81" i="589"/>
  <c r="V81" i="589"/>
  <c r="U81" i="589"/>
  <c r="AJ81" i="589" s="1"/>
  <c r="AK81" i="589" s="1"/>
  <c r="T81" i="589"/>
  <c r="AH81" i="589" s="1"/>
  <c r="AG80" i="589"/>
  <c r="V80" i="589"/>
  <c r="U80" i="589"/>
  <c r="AJ80" i="589" s="1"/>
  <c r="AK80" i="589" s="1"/>
  <c r="T80" i="589"/>
  <c r="AH80" i="589" s="1"/>
  <c r="AG79" i="589"/>
  <c r="V79" i="589"/>
  <c r="U79" i="589"/>
  <c r="AJ79" i="589" s="1"/>
  <c r="AK79" i="589" s="1"/>
  <c r="T79" i="589"/>
  <c r="AH79" i="589" s="1"/>
  <c r="AG78" i="589"/>
  <c r="V78" i="589"/>
  <c r="U78" i="589"/>
  <c r="AJ78" i="589" s="1"/>
  <c r="AK78" i="589" s="1"/>
  <c r="T78" i="589"/>
  <c r="AH78" i="589" s="1"/>
  <c r="AG77" i="589"/>
  <c r="V77" i="589"/>
  <c r="U77" i="589"/>
  <c r="AJ77" i="589" s="1"/>
  <c r="AK77" i="589" s="1"/>
  <c r="T77" i="589"/>
  <c r="AH77" i="589" s="1"/>
  <c r="AG76" i="589"/>
  <c r="V76" i="589"/>
  <c r="U76" i="589"/>
  <c r="AJ76" i="589" s="1"/>
  <c r="AK76" i="589" s="1"/>
  <c r="T76" i="589"/>
  <c r="AH76" i="589" s="1"/>
  <c r="AG75" i="589"/>
  <c r="V75" i="589"/>
  <c r="U75" i="589"/>
  <c r="AJ75" i="589" s="1"/>
  <c r="AK75" i="589" s="1"/>
  <c r="T75" i="589"/>
  <c r="AH75" i="589" s="1"/>
  <c r="AK70" i="589"/>
  <c r="AI70" i="589"/>
  <c r="U70" i="589"/>
  <c r="U69" i="589"/>
  <c r="T69" i="589"/>
  <c r="U68" i="589"/>
  <c r="T68" i="589"/>
  <c r="U67" i="589"/>
  <c r="T67" i="589"/>
  <c r="AK66" i="589"/>
  <c r="AI66" i="589"/>
  <c r="V66" i="589"/>
  <c r="U66" i="589"/>
  <c r="T66" i="589"/>
  <c r="AG65" i="589"/>
  <c r="U65" i="589"/>
  <c r="AJ65" i="589" s="1"/>
  <c r="T65" i="589"/>
  <c r="AH65" i="589" s="1"/>
  <c r="AG64" i="589"/>
  <c r="U64" i="589"/>
  <c r="AJ64" i="589" s="1"/>
  <c r="T64" i="589"/>
  <c r="AH64" i="589" s="1"/>
  <c r="AG63" i="589"/>
  <c r="V63" i="589"/>
  <c r="U63" i="589"/>
  <c r="AJ63" i="589" s="1"/>
  <c r="AK63" i="589" s="1"/>
  <c r="T63" i="589"/>
  <c r="AG62" i="589"/>
  <c r="U62" i="589"/>
  <c r="AJ62" i="589" s="1"/>
  <c r="T62" i="589"/>
  <c r="AH62" i="589" s="1"/>
  <c r="AG61" i="589"/>
  <c r="U61" i="589"/>
  <c r="AJ61" i="589" s="1"/>
  <c r="T61" i="589"/>
  <c r="AH61" i="589" s="1"/>
  <c r="AG60" i="589"/>
  <c r="U60" i="589"/>
  <c r="AJ60" i="589" s="1"/>
  <c r="T60" i="589"/>
  <c r="AH60" i="589" s="1"/>
  <c r="AG59" i="589"/>
  <c r="U59" i="589"/>
  <c r="AJ59" i="589" s="1"/>
  <c r="T59" i="589"/>
  <c r="AH59" i="589" s="1"/>
  <c r="AG58" i="589"/>
  <c r="U58" i="589"/>
  <c r="AJ58" i="589" s="1"/>
  <c r="T58" i="589"/>
  <c r="AH58" i="589" s="1"/>
  <c r="AG57" i="589"/>
  <c r="U57" i="589"/>
  <c r="AJ57" i="589" s="1"/>
  <c r="T57" i="589"/>
  <c r="AH57" i="589" s="1"/>
  <c r="AG56" i="589"/>
  <c r="U56" i="589"/>
  <c r="AJ56" i="589" s="1"/>
  <c r="T56" i="589"/>
  <c r="AH56" i="589" s="1"/>
  <c r="AG55" i="589"/>
  <c r="U55" i="589"/>
  <c r="AJ55" i="589" s="1"/>
  <c r="T55" i="589"/>
  <c r="AH55" i="589" s="1"/>
  <c r="AG54" i="589"/>
  <c r="U54" i="589"/>
  <c r="AJ54" i="589" s="1"/>
  <c r="T54" i="589"/>
  <c r="AH54" i="589" s="1"/>
  <c r="AG53" i="589"/>
  <c r="U53" i="589"/>
  <c r="AJ53" i="589" s="1"/>
  <c r="T53" i="589"/>
  <c r="AH53" i="589" s="1"/>
  <c r="AG52" i="589"/>
  <c r="V52" i="589"/>
  <c r="U52" i="589"/>
  <c r="AJ52" i="589" s="1"/>
  <c r="AK52" i="589" s="1"/>
  <c r="T52" i="589"/>
  <c r="AH52" i="589" s="1"/>
  <c r="AG51" i="589"/>
  <c r="U51" i="589"/>
  <c r="AJ51" i="589" s="1"/>
  <c r="T51" i="589"/>
  <c r="AH51" i="589" s="1"/>
  <c r="AG50" i="589"/>
  <c r="U50" i="589"/>
  <c r="AJ50" i="589" s="1"/>
  <c r="T50" i="589"/>
  <c r="AH50" i="589" s="1"/>
  <c r="AG49" i="589"/>
  <c r="U49" i="589"/>
  <c r="AJ49" i="589" s="1"/>
  <c r="T49" i="589"/>
  <c r="AH49" i="589" s="1"/>
  <c r="AG48" i="589"/>
  <c r="V48" i="589"/>
  <c r="U48" i="589"/>
  <c r="AJ48" i="589" s="1"/>
  <c r="AK48" i="589" s="1"/>
  <c r="T48" i="589"/>
  <c r="AG47" i="589"/>
  <c r="U47" i="589"/>
  <c r="AJ47" i="589" s="1"/>
  <c r="T47" i="589"/>
  <c r="AH47" i="589" s="1"/>
  <c r="AG46" i="589"/>
  <c r="U46" i="589"/>
  <c r="AJ46" i="589" s="1"/>
  <c r="T46" i="589"/>
  <c r="AH46" i="589" s="1"/>
  <c r="AG45" i="589"/>
  <c r="U45" i="589"/>
  <c r="AJ45" i="589" s="1"/>
  <c r="T45" i="589"/>
  <c r="AH45" i="589" s="1"/>
  <c r="AG44" i="589"/>
  <c r="U44" i="589"/>
  <c r="AJ44" i="589" s="1"/>
  <c r="T44" i="589"/>
  <c r="AH44" i="589" s="1"/>
  <c r="AG43" i="589"/>
  <c r="V43" i="589"/>
  <c r="U43" i="589"/>
  <c r="T43" i="589"/>
  <c r="AG42" i="589"/>
  <c r="U42" i="589"/>
  <c r="AJ42" i="589" s="1"/>
  <c r="T42" i="589"/>
  <c r="AH42" i="589" s="1"/>
  <c r="AG41" i="589"/>
  <c r="U41" i="589"/>
  <c r="AJ41" i="589" s="1"/>
  <c r="T41" i="589"/>
  <c r="AH41" i="589" s="1"/>
  <c r="AG40" i="589"/>
  <c r="V40" i="589"/>
  <c r="U40" i="589"/>
  <c r="T40" i="589"/>
  <c r="AG39" i="589"/>
  <c r="U39" i="589"/>
  <c r="AJ39" i="589" s="1"/>
  <c r="T39" i="589"/>
  <c r="AH39" i="589" s="1"/>
  <c r="AG38" i="589"/>
  <c r="U38" i="589"/>
  <c r="AJ38" i="589" s="1"/>
  <c r="T38" i="589"/>
  <c r="AH38" i="589" s="1"/>
  <c r="AG37" i="589"/>
  <c r="U37" i="589"/>
  <c r="AJ37" i="589" s="1"/>
  <c r="T37" i="589"/>
  <c r="AH37" i="589" s="1"/>
  <c r="AG36" i="589"/>
  <c r="V36" i="589"/>
  <c r="U36" i="589"/>
  <c r="T36" i="589"/>
  <c r="AH36" i="589" s="1"/>
  <c r="AG35" i="589"/>
  <c r="U35" i="589"/>
  <c r="AJ35" i="589" s="1"/>
  <c r="T35" i="589"/>
  <c r="AH35" i="589" s="1"/>
  <c r="AG34" i="589"/>
  <c r="U34" i="589"/>
  <c r="AJ34" i="589" s="1"/>
  <c r="T34" i="589"/>
  <c r="AH34" i="589" s="1"/>
  <c r="AG33" i="589"/>
  <c r="U33" i="589"/>
  <c r="AJ33" i="589" s="1"/>
  <c r="T33" i="589"/>
  <c r="AH33" i="589" s="1"/>
  <c r="AG32" i="589"/>
  <c r="U32" i="589"/>
  <c r="AJ32" i="589" s="1"/>
  <c r="T32" i="589"/>
  <c r="AH32" i="589" s="1"/>
  <c r="AG31" i="589"/>
  <c r="U31" i="589"/>
  <c r="AJ31" i="589" s="1"/>
  <c r="T31" i="589"/>
  <c r="AH31" i="589" s="1"/>
  <c r="AG30" i="589"/>
  <c r="U30" i="589"/>
  <c r="AJ30" i="589" s="1"/>
  <c r="T30" i="589"/>
  <c r="AH30" i="589" s="1"/>
  <c r="AG29" i="589"/>
  <c r="V29" i="589"/>
  <c r="U29" i="589"/>
  <c r="T29" i="589"/>
  <c r="AH29" i="589" s="1"/>
  <c r="AG28" i="589"/>
  <c r="V28" i="589"/>
  <c r="U28" i="589"/>
  <c r="T28" i="589"/>
  <c r="AG27" i="589"/>
  <c r="U27" i="589"/>
  <c r="AJ27" i="589" s="1"/>
  <c r="T27" i="589"/>
  <c r="AH27" i="589" s="1"/>
  <c r="AG26" i="589"/>
  <c r="V26" i="589"/>
  <c r="U26" i="589"/>
  <c r="T26" i="589"/>
  <c r="AG25" i="589"/>
  <c r="U25" i="589"/>
  <c r="AJ25" i="589" s="1"/>
  <c r="T25" i="589"/>
  <c r="AH25" i="589" s="1"/>
  <c r="AG24" i="589"/>
  <c r="U24" i="589"/>
  <c r="AJ24" i="589" s="1"/>
  <c r="T24" i="589"/>
  <c r="AH24" i="589" s="1"/>
  <c r="AG23" i="589"/>
  <c r="U23" i="589"/>
  <c r="AJ23" i="589" s="1"/>
  <c r="T23" i="589"/>
  <c r="AH23" i="589" s="1"/>
  <c r="AG22" i="589"/>
  <c r="V22" i="589"/>
  <c r="U22" i="589"/>
  <c r="T22" i="589"/>
  <c r="AG21" i="589"/>
  <c r="U21" i="589"/>
  <c r="AJ21" i="589" s="1"/>
  <c r="T21" i="589"/>
  <c r="AH21" i="589" s="1"/>
  <c r="AG20" i="589"/>
  <c r="U20" i="589"/>
  <c r="AJ20" i="589" s="1"/>
  <c r="T20" i="589"/>
  <c r="AH20" i="589" s="1"/>
  <c r="AG19" i="589"/>
  <c r="U19" i="589"/>
  <c r="AJ19" i="589" s="1"/>
  <c r="T19" i="589"/>
  <c r="AH19" i="589" s="1"/>
  <c r="AG18" i="589"/>
  <c r="V18" i="589"/>
  <c r="U18" i="589"/>
  <c r="T18" i="589"/>
  <c r="AG17" i="589"/>
  <c r="U17" i="589"/>
  <c r="AJ17" i="589" s="1"/>
  <c r="T17" i="589"/>
  <c r="AH17" i="589" s="1"/>
  <c r="AG16" i="589"/>
  <c r="U16" i="589"/>
  <c r="AJ16" i="589" s="1"/>
  <c r="T16" i="589"/>
  <c r="AH16" i="589" s="1"/>
  <c r="AG15" i="589"/>
  <c r="V15" i="589"/>
  <c r="U15" i="589"/>
  <c r="T15" i="589"/>
  <c r="AG14" i="589"/>
  <c r="U14" i="589"/>
  <c r="AJ14" i="589" s="1"/>
  <c r="T14" i="589"/>
  <c r="AH14" i="589" s="1"/>
  <c r="AG13" i="589"/>
  <c r="U13" i="589"/>
  <c r="AJ13" i="589" s="1"/>
  <c r="T13" i="589"/>
  <c r="AH13" i="589" s="1"/>
  <c r="AH12" i="589"/>
  <c r="AG12" i="589"/>
  <c r="U12" i="589"/>
  <c r="AJ12" i="589" s="1"/>
  <c r="T12" i="589"/>
  <c r="AG11" i="589"/>
  <c r="U11" i="589"/>
  <c r="AJ11" i="589" s="1"/>
  <c r="T11" i="589"/>
  <c r="AH11" i="589" s="1"/>
  <c r="AG10" i="589"/>
  <c r="U10" i="589"/>
  <c r="AJ10" i="589" s="1"/>
  <c r="T10" i="589"/>
  <c r="AH10" i="589" s="1"/>
  <c r="AG9" i="589"/>
  <c r="V9" i="589"/>
  <c r="U9" i="589"/>
  <c r="T9" i="589"/>
  <c r="BF7" i="589"/>
  <c r="BG7" i="589" s="1"/>
  <c r="O4" i="589"/>
  <c r="I4" i="589"/>
  <c r="G4" i="589"/>
  <c r="AR2" i="589"/>
  <c r="G2" i="589"/>
  <c r="AJ40" i="589" l="1"/>
  <c r="AK40" i="589" s="1"/>
  <c r="AJ36" i="589"/>
  <c r="AK36" i="589" s="1"/>
  <c r="AH40" i="589"/>
  <c r="AM66" i="589"/>
  <c r="AL39" i="589"/>
  <c r="AL20" i="589"/>
  <c r="AL56" i="589"/>
  <c r="AL57" i="589"/>
  <c r="AL58" i="589"/>
  <c r="AL59" i="589"/>
  <c r="AL60" i="589"/>
  <c r="AL61" i="589"/>
  <c r="AL12" i="589"/>
  <c r="AL16" i="589"/>
  <c r="AJ43" i="589"/>
  <c r="AK43" i="589" s="1"/>
  <c r="AJ18" i="589"/>
  <c r="AK18" i="589" s="1"/>
  <c r="AJ22" i="589"/>
  <c r="AK22" i="589" s="1"/>
  <c r="AJ28" i="589"/>
  <c r="AK28" i="589" s="1"/>
  <c r="AJ29" i="589"/>
  <c r="AK29" i="589" s="1"/>
  <c r="AL10" i="589"/>
  <c r="AH15" i="589"/>
  <c r="AJ9" i="589"/>
  <c r="AK9" i="589" s="1"/>
  <c r="AL13" i="589"/>
  <c r="AJ15" i="589"/>
  <c r="AK15" i="589" s="1"/>
  <c r="AL17" i="589"/>
  <c r="AL19" i="589"/>
  <c r="AL21" i="589"/>
  <c r="AH22" i="589"/>
  <c r="AI22" i="589" s="1"/>
  <c r="AL24" i="589"/>
  <c r="AL25" i="589"/>
  <c r="AH26" i="589"/>
  <c r="AL27" i="589"/>
  <c r="AH28" i="589"/>
  <c r="AL44" i="589"/>
  <c r="AL45" i="589"/>
  <c r="AL46" i="589"/>
  <c r="AL47" i="589"/>
  <c r="AH48" i="589"/>
  <c r="AL48" i="589" s="1"/>
  <c r="AM70" i="589"/>
  <c r="AH115" i="589"/>
  <c r="AL115" i="589" s="1"/>
  <c r="AL23" i="589"/>
  <c r="AL116" i="589"/>
  <c r="AL117" i="589"/>
  <c r="AL118" i="589"/>
  <c r="AL119" i="589"/>
  <c r="AL120" i="589"/>
  <c r="AL121" i="589"/>
  <c r="AL37" i="589"/>
  <c r="AL38" i="589"/>
  <c r="AL53" i="589"/>
  <c r="AL54" i="589"/>
  <c r="AL55" i="589"/>
  <c r="AH63" i="589"/>
  <c r="AL128" i="589"/>
  <c r="AL129" i="589"/>
  <c r="AM130" i="589"/>
  <c r="AM134" i="589"/>
  <c r="AH9" i="589"/>
  <c r="AL9" i="589" s="1"/>
  <c r="AL11" i="589"/>
  <c r="AL14" i="589"/>
  <c r="AH18" i="589"/>
  <c r="AI18" i="589" s="1"/>
  <c r="AJ26" i="589"/>
  <c r="AK26" i="589" s="1"/>
  <c r="AH43" i="589"/>
  <c r="AI43" i="589" s="1"/>
  <c r="AM43" i="589" s="1"/>
  <c r="AL65" i="589"/>
  <c r="AI28" i="589"/>
  <c r="AI15" i="589"/>
  <c r="AL15" i="589"/>
  <c r="AI26" i="589"/>
  <c r="AI52" i="589"/>
  <c r="AM52" i="589" s="1"/>
  <c r="AL52" i="589"/>
  <c r="AL29" i="589"/>
  <c r="AI29" i="589"/>
  <c r="AM29" i="589" s="1"/>
  <c r="AI36" i="589"/>
  <c r="AM36" i="589" s="1"/>
  <c r="AL36" i="589"/>
  <c r="AI40" i="589"/>
  <c r="AM40" i="589" s="1"/>
  <c r="AL40" i="589"/>
  <c r="AL30" i="589"/>
  <c r="AL31" i="589"/>
  <c r="AL32" i="589"/>
  <c r="AL33" i="589"/>
  <c r="AL34" i="589"/>
  <c r="AL35" i="589"/>
  <c r="AL49" i="589"/>
  <c r="AL50" i="589"/>
  <c r="AL51" i="589"/>
  <c r="AL64" i="589"/>
  <c r="AI77" i="589"/>
  <c r="AM77" i="589" s="1"/>
  <c r="AL77" i="589"/>
  <c r="AI81" i="589"/>
  <c r="AM81" i="589" s="1"/>
  <c r="AL81" i="589"/>
  <c r="AI85" i="589"/>
  <c r="AM85" i="589" s="1"/>
  <c r="AL85" i="589"/>
  <c r="AI89" i="589"/>
  <c r="AM89" i="589" s="1"/>
  <c r="AL89" i="589"/>
  <c r="AI94" i="589"/>
  <c r="AM94" i="589" s="1"/>
  <c r="AL94" i="589"/>
  <c r="AI97" i="589"/>
  <c r="AM97" i="589" s="1"/>
  <c r="AL97" i="589"/>
  <c r="AI100" i="589"/>
  <c r="AM100" i="589" s="1"/>
  <c r="AL100" i="589"/>
  <c r="AI101" i="589"/>
  <c r="AM101" i="589" s="1"/>
  <c r="AL101" i="589"/>
  <c r="AI106" i="589"/>
  <c r="AM106" i="589" s="1"/>
  <c r="AL106" i="589"/>
  <c r="AI110" i="589"/>
  <c r="AM110" i="589" s="1"/>
  <c r="AL110" i="589"/>
  <c r="AI114" i="589"/>
  <c r="AM114" i="589" s="1"/>
  <c r="AL114" i="589"/>
  <c r="AI142" i="589"/>
  <c r="AM142" i="589" s="1"/>
  <c r="AL142" i="589"/>
  <c r="AI78" i="589"/>
  <c r="AM78" i="589" s="1"/>
  <c r="AL78" i="589"/>
  <c r="AI82" i="589"/>
  <c r="AM82" i="589" s="1"/>
  <c r="AL82" i="589"/>
  <c r="AI86" i="589"/>
  <c r="AM86" i="589" s="1"/>
  <c r="AL86" i="589"/>
  <c r="AI92" i="589"/>
  <c r="AM92" i="589" s="1"/>
  <c r="AL92" i="589"/>
  <c r="AI95" i="589"/>
  <c r="AM95" i="589" s="1"/>
  <c r="AL95" i="589"/>
  <c r="AL104" i="589"/>
  <c r="AI104" i="589"/>
  <c r="AM104" i="589" s="1"/>
  <c r="AI107" i="589"/>
  <c r="AM107" i="589" s="1"/>
  <c r="AL107" i="589"/>
  <c r="AI111" i="589"/>
  <c r="AM111" i="589" s="1"/>
  <c r="AL111" i="589"/>
  <c r="AI115" i="589"/>
  <c r="AM115" i="589" s="1"/>
  <c r="AI139" i="589"/>
  <c r="AM139" i="589" s="1"/>
  <c r="AL139" i="589"/>
  <c r="AI143" i="589"/>
  <c r="AM143" i="589" s="1"/>
  <c r="AL143" i="589"/>
  <c r="AL41" i="589"/>
  <c r="AL42" i="589"/>
  <c r="AI75" i="589"/>
  <c r="AM75" i="589" s="1"/>
  <c r="AL75" i="589"/>
  <c r="AI79" i="589"/>
  <c r="AM79" i="589" s="1"/>
  <c r="AL79" i="589"/>
  <c r="AI83" i="589"/>
  <c r="AM83" i="589" s="1"/>
  <c r="AL83" i="589"/>
  <c r="AI87" i="589"/>
  <c r="AM87" i="589" s="1"/>
  <c r="AL87" i="589"/>
  <c r="AI90" i="589"/>
  <c r="AM90" i="589" s="1"/>
  <c r="AL90" i="589"/>
  <c r="AI93" i="589"/>
  <c r="AM93" i="589" s="1"/>
  <c r="AL93" i="589"/>
  <c r="AL98" i="589"/>
  <c r="AI98" i="589"/>
  <c r="AM98" i="589" s="1"/>
  <c r="AI102" i="589"/>
  <c r="AM102" i="589" s="1"/>
  <c r="AL102" i="589"/>
  <c r="AI105" i="589"/>
  <c r="AM105" i="589" s="1"/>
  <c r="AL105" i="589"/>
  <c r="AI108" i="589"/>
  <c r="AM108" i="589" s="1"/>
  <c r="AL108" i="589"/>
  <c r="AI112" i="589"/>
  <c r="AM112" i="589" s="1"/>
  <c r="AL112" i="589"/>
  <c r="AI127" i="589"/>
  <c r="AM127" i="589" s="1"/>
  <c r="AL127" i="589"/>
  <c r="AI140" i="589"/>
  <c r="AM140" i="589" s="1"/>
  <c r="AL140" i="589"/>
  <c r="AL62" i="589"/>
  <c r="AI63" i="589"/>
  <c r="AM63" i="589" s="1"/>
  <c r="AL63" i="589"/>
  <c r="AI76" i="589"/>
  <c r="AM76" i="589" s="1"/>
  <c r="AL76" i="589"/>
  <c r="AI80" i="589"/>
  <c r="AM80" i="589" s="1"/>
  <c r="AL80" i="589"/>
  <c r="AI84" i="589"/>
  <c r="AM84" i="589" s="1"/>
  <c r="AL84" i="589"/>
  <c r="AI88" i="589"/>
  <c r="AM88" i="589" s="1"/>
  <c r="AL88" i="589"/>
  <c r="AI91" i="589"/>
  <c r="AM91" i="589" s="1"/>
  <c r="AL91" i="589"/>
  <c r="AI96" i="589"/>
  <c r="AM96" i="589" s="1"/>
  <c r="AL96" i="589"/>
  <c r="AI99" i="589"/>
  <c r="AM99" i="589" s="1"/>
  <c r="AL99" i="589"/>
  <c r="AI103" i="589"/>
  <c r="AM103" i="589" s="1"/>
  <c r="AL103" i="589"/>
  <c r="AI109" i="589"/>
  <c r="AM109" i="589" s="1"/>
  <c r="AL109" i="589"/>
  <c r="AI113" i="589"/>
  <c r="AM113" i="589" s="1"/>
  <c r="AL113" i="589"/>
  <c r="AI141" i="589"/>
  <c r="AM141" i="589" s="1"/>
  <c r="AL141" i="589"/>
  <c r="AI146" i="589"/>
  <c r="AM146" i="589" s="1"/>
  <c r="AL146" i="589"/>
  <c r="AI150" i="589"/>
  <c r="AM150" i="589" s="1"/>
  <c r="AL150" i="589"/>
  <c r="AI154" i="589"/>
  <c r="AM154" i="589" s="1"/>
  <c r="AL154" i="589"/>
  <c r="AI158" i="589"/>
  <c r="AM158" i="589" s="1"/>
  <c r="AL158" i="589"/>
  <c r="AI162" i="589"/>
  <c r="AM162" i="589" s="1"/>
  <c r="AL162" i="589"/>
  <c r="AI166" i="589"/>
  <c r="AM166" i="589" s="1"/>
  <c r="AL166" i="589"/>
  <c r="AI147" i="589"/>
  <c r="AM147" i="589" s="1"/>
  <c r="AL147" i="589"/>
  <c r="AI151" i="589"/>
  <c r="AM151" i="589" s="1"/>
  <c r="AL151" i="589"/>
  <c r="AI155" i="589"/>
  <c r="AM155" i="589" s="1"/>
  <c r="AL155" i="589"/>
  <c r="AI159" i="589"/>
  <c r="AM159" i="589" s="1"/>
  <c r="AL159" i="589"/>
  <c r="AI163" i="589"/>
  <c r="AM163" i="589" s="1"/>
  <c r="AL163" i="589"/>
  <c r="AL122" i="589"/>
  <c r="AL123" i="589"/>
  <c r="AL124" i="589"/>
  <c r="AL125" i="589"/>
  <c r="AL126" i="589"/>
  <c r="AI144" i="589"/>
  <c r="AM144" i="589" s="1"/>
  <c r="AL144" i="589"/>
  <c r="AI148" i="589"/>
  <c r="AM148" i="589" s="1"/>
  <c r="AL148" i="589"/>
  <c r="AI152" i="589"/>
  <c r="AM152" i="589" s="1"/>
  <c r="AL152" i="589"/>
  <c r="AI156" i="589"/>
  <c r="AM156" i="589" s="1"/>
  <c r="AL156" i="589"/>
  <c r="AI160" i="589"/>
  <c r="AM160" i="589" s="1"/>
  <c r="AL160" i="589"/>
  <c r="AI164" i="589"/>
  <c r="AM164" i="589" s="1"/>
  <c r="AL164" i="589"/>
  <c r="AI145" i="589"/>
  <c r="AM145" i="589" s="1"/>
  <c r="AL145" i="589"/>
  <c r="AI149" i="589"/>
  <c r="AM149" i="589" s="1"/>
  <c r="AL149" i="589"/>
  <c r="AI153" i="589"/>
  <c r="AM153" i="589" s="1"/>
  <c r="AL153" i="589"/>
  <c r="AI157" i="589"/>
  <c r="AM157" i="589" s="1"/>
  <c r="AL157" i="589"/>
  <c r="AI161" i="589"/>
  <c r="AM161" i="589" s="1"/>
  <c r="AL161" i="589"/>
  <c r="AI165" i="589"/>
  <c r="AM165" i="589" s="1"/>
  <c r="AL165" i="589"/>
  <c r="AI48" i="589" l="1"/>
  <c r="AM48" i="589" s="1"/>
  <c r="AL28" i="589"/>
  <c r="AM22" i="589"/>
  <c r="AL22" i="589"/>
  <c r="AM15" i="589"/>
  <c r="AM18" i="589"/>
  <c r="AL18" i="589"/>
  <c r="AM26" i="589"/>
  <c r="AM28" i="589"/>
  <c r="AI9" i="589"/>
  <c r="AM9" i="589" s="1"/>
  <c r="AL26" i="589"/>
  <c r="AL43" i="589"/>
  <c r="AG144" i="588"/>
  <c r="V144" i="588"/>
  <c r="U144" i="588"/>
  <c r="AJ144" i="588" s="1"/>
  <c r="AK144" i="588" s="1"/>
  <c r="T144" i="588"/>
  <c r="AH144" i="588" s="1"/>
  <c r="AG143" i="588"/>
  <c r="V143" i="588"/>
  <c r="U143" i="588"/>
  <c r="AJ143" i="588" s="1"/>
  <c r="AK143" i="588" s="1"/>
  <c r="T143" i="588"/>
  <c r="AH143" i="588" s="1"/>
  <c r="AG142" i="588"/>
  <c r="V142" i="588"/>
  <c r="U142" i="588"/>
  <c r="AJ142" i="588" s="1"/>
  <c r="AK142" i="588" s="1"/>
  <c r="T142" i="588"/>
  <c r="AH142" i="588" s="1"/>
  <c r="AG141" i="588"/>
  <c r="V141" i="588"/>
  <c r="U141" i="588"/>
  <c r="AJ141" i="588" s="1"/>
  <c r="AK141" i="588" s="1"/>
  <c r="T141" i="588"/>
  <c r="AH141" i="588" s="1"/>
  <c r="AG140" i="588"/>
  <c r="V140" i="588"/>
  <c r="U140" i="588"/>
  <c r="AJ140" i="588" s="1"/>
  <c r="AK140" i="588" s="1"/>
  <c r="T140" i="588"/>
  <c r="AH140" i="588" s="1"/>
  <c r="AG139" i="588"/>
  <c r="V139" i="588"/>
  <c r="U139" i="588"/>
  <c r="AJ139" i="588" s="1"/>
  <c r="AK139" i="588" s="1"/>
  <c r="T139" i="588"/>
  <c r="AH139" i="588" s="1"/>
  <c r="AG138" i="588"/>
  <c r="V138" i="588"/>
  <c r="U138" i="588"/>
  <c r="AJ138" i="588" s="1"/>
  <c r="AK138" i="588" s="1"/>
  <c r="T138" i="588"/>
  <c r="AH138" i="588" s="1"/>
  <c r="AG137" i="588"/>
  <c r="V137" i="588"/>
  <c r="U137" i="588"/>
  <c r="AJ137" i="588" s="1"/>
  <c r="AK137" i="588" s="1"/>
  <c r="T137" i="588"/>
  <c r="AH137" i="588" s="1"/>
  <c r="AG136" i="588"/>
  <c r="V136" i="588"/>
  <c r="U136" i="588"/>
  <c r="AJ136" i="588" s="1"/>
  <c r="AK136" i="588" s="1"/>
  <c r="T136" i="588"/>
  <c r="AH136" i="588" s="1"/>
  <c r="AG135" i="588"/>
  <c r="V135" i="588"/>
  <c r="U135" i="588"/>
  <c r="AJ135" i="588" s="1"/>
  <c r="AK135" i="588" s="1"/>
  <c r="T135" i="588"/>
  <c r="AH135" i="588" s="1"/>
  <c r="AG134" i="588"/>
  <c r="V134" i="588"/>
  <c r="U134" i="588"/>
  <c r="AJ134" i="588" s="1"/>
  <c r="AK134" i="588" s="1"/>
  <c r="T134" i="588"/>
  <c r="AH134" i="588" s="1"/>
  <c r="AG133" i="588"/>
  <c r="V133" i="588"/>
  <c r="U133" i="588"/>
  <c r="AJ133" i="588" s="1"/>
  <c r="AK133" i="588" s="1"/>
  <c r="T133" i="588"/>
  <c r="AH133" i="588" s="1"/>
  <c r="AG132" i="588"/>
  <c r="V132" i="588"/>
  <c r="U132" i="588"/>
  <c r="AJ132" i="588" s="1"/>
  <c r="AK132" i="588" s="1"/>
  <c r="T132" i="588"/>
  <c r="AH132" i="588" s="1"/>
  <c r="AG131" i="588"/>
  <c r="V131" i="588"/>
  <c r="U131" i="588"/>
  <c r="AJ131" i="588" s="1"/>
  <c r="AK131" i="588" s="1"/>
  <c r="T131" i="588"/>
  <c r="AH131" i="588" s="1"/>
  <c r="AG130" i="588"/>
  <c r="V130" i="588"/>
  <c r="U130" i="588"/>
  <c r="AJ130" i="588" s="1"/>
  <c r="AK130" i="588" s="1"/>
  <c r="T130" i="588"/>
  <c r="AH130" i="588" s="1"/>
  <c r="AG129" i="588"/>
  <c r="V129" i="588"/>
  <c r="U129" i="588"/>
  <c r="AJ129" i="588" s="1"/>
  <c r="AK129" i="588" s="1"/>
  <c r="T129" i="588"/>
  <c r="AH129" i="588" s="1"/>
  <c r="AG128" i="588"/>
  <c r="V128" i="588"/>
  <c r="U128" i="588"/>
  <c r="AJ128" i="588" s="1"/>
  <c r="AK128" i="588" s="1"/>
  <c r="T128" i="588"/>
  <c r="AH128" i="588" s="1"/>
  <c r="AG127" i="588"/>
  <c r="V127" i="588"/>
  <c r="U127" i="588"/>
  <c r="AJ127" i="588" s="1"/>
  <c r="AK127" i="588" s="1"/>
  <c r="T127" i="588"/>
  <c r="AH127" i="588" s="1"/>
  <c r="AG126" i="588"/>
  <c r="V126" i="588"/>
  <c r="U126" i="588"/>
  <c r="AJ126" i="588" s="1"/>
  <c r="AK126" i="588" s="1"/>
  <c r="T126" i="588"/>
  <c r="AH126" i="588" s="1"/>
  <c r="AG125" i="588"/>
  <c r="V125" i="588"/>
  <c r="U125" i="588"/>
  <c r="AJ125" i="588" s="1"/>
  <c r="AK125" i="588" s="1"/>
  <c r="T125" i="588"/>
  <c r="AH125" i="588" s="1"/>
  <c r="AG124" i="588"/>
  <c r="V124" i="588"/>
  <c r="U124" i="588"/>
  <c r="AJ124" i="588" s="1"/>
  <c r="AK124" i="588" s="1"/>
  <c r="T124" i="588"/>
  <c r="AH124" i="588" s="1"/>
  <c r="AG123" i="588"/>
  <c r="V123" i="588"/>
  <c r="U123" i="588"/>
  <c r="AJ123" i="588" s="1"/>
  <c r="AK123" i="588" s="1"/>
  <c r="T123" i="588"/>
  <c r="AH123" i="588" s="1"/>
  <c r="AG122" i="588"/>
  <c r="V122" i="588"/>
  <c r="U122" i="588"/>
  <c r="AJ122" i="588" s="1"/>
  <c r="AK122" i="588" s="1"/>
  <c r="T122" i="588"/>
  <c r="AH122" i="588" s="1"/>
  <c r="AG121" i="588"/>
  <c r="V121" i="588"/>
  <c r="U121" i="588"/>
  <c r="AJ121" i="588" s="1"/>
  <c r="AK121" i="588" s="1"/>
  <c r="T121" i="588"/>
  <c r="AH121" i="588" s="1"/>
  <c r="AG120" i="588"/>
  <c r="V120" i="588"/>
  <c r="U120" i="588"/>
  <c r="AJ120" i="588" s="1"/>
  <c r="AK120" i="588" s="1"/>
  <c r="T120" i="588"/>
  <c r="AH120" i="588" s="1"/>
  <c r="AG119" i="588"/>
  <c r="V119" i="588"/>
  <c r="U119" i="588"/>
  <c r="AJ119" i="588" s="1"/>
  <c r="AK119" i="588" s="1"/>
  <c r="T119" i="588"/>
  <c r="AH119" i="588" s="1"/>
  <c r="AG118" i="588"/>
  <c r="V118" i="588"/>
  <c r="U118" i="588"/>
  <c r="AJ118" i="588" s="1"/>
  <c r="AK118" i="588" s="1"/>
  <c r="T118" i="588"/>
  <c r="AH118" i="588" s="1"/>
  <c r="AG117" i="588"/>
  <c r="V117" i="588"/>
  <c r="U117" i="588"/>
  <c r="AJ117" i="588" s="1"/>
  <c r="AK117" i="588" s="1"/>
  <c r="T117" i="588"/>
  <c r="AH117" i="588" s="1"/>
  <c r="AG116" i="588"/>
  <c r="V116" i="588"/>
  <c r="U116" i="588"/>
  <c r="AJ116" i="588" s="1"/>
  <c r="AK116" i="588" s="1"/>
  <c r="T116" i="588"/>
  <c r="AH116" i="588" s="1"/>
  <c r="AG115" i="588"/>
  <c r="V115" i="588"/>
  <c r="U115" i="588"/>
  <c r="AJ115" i="588" s="1"/>
  <c r="AK115" i="588" s="1"/>
  <c r="T115" i="588"/>
  <c r="AH115" i="588" s="1"/>
  <c r="AG114" i="588"/>
  <c r="V114" i="588"/>
  <c r="U114" i="588"/>
  <c r="AJ114" i="588" s="1"/>
  <c r="AK114" i="588" s="1"/>
  <c r="T114" i="588"/>
  <c r="AH114" i="588" s="1"/>
  <c r="AG113" i="588"/>
  <c r="V113" i="588"/>
  <c r="U113" i="588"/>
  <c r="AJ113" i="588" s="1"/>
  <c r="AK113" i="588" s="1"/>
  <c r="T113" i="588"/>
  <c r="AH113" i="588" s="1"/>
  <c r="AG112" i="588"/>
  <c r="V112" i="588"/>
  <c r="U112" i="588"/>
  <c r="AJ112" i="588" s="1"/>
  <c r="AK112" i="588" s="1"/>
  <c r="T112" i="588"/>
  <c r="AH112" i="588" s="1"/>
  <c r="AG111" i="588"/>
  <c r="V111" i="588"/>
  <c r="U111" i="588"/>
  <c r="AJ111" i="588" s="1"/>
  <c r="AK111" i="588" s="1"/>
  <c r="T111" i="588"/>
  <c r="AH111" i="588" s="1"/>
  <c r="AG110" i="588"/>
  <c r="V110" i="588"/>
  <c r="U110" i="588"/>
  <c r="AJ110" i="588" s="1"/>
  <c r="AK110" i="588" s="1"/>
  <c r="T110" i="588"/>
  <c r="AH110" i="588" s="1"/>
  <c r="AG109" i="588"/>
  <c r="V109" i="588"/>
  <c r="U109" i="588"/>
  <c r="AJ109" i="588" s="1"/>
  <c r="AK109" i="588" s="1"/>
  <c r="T109" i="588"/>
  <c r="AH109" i="588" s="1"/>
  <c r="AG108" i="588"/>
  <c r="V108" i="588"/>
  <c r="U108" i="588"/>
  <c r="AJ108" i="588" s="1"/>
  <c r="AK108" i="588" s="1"/>
  <c r="T108" i="588"/>
  <c r="AH108" i="588" s="1"/>
  <c r="AG107" i="588"/>
  <c r="V107" i="588"/>
  <c r="U107" i="588"/>
  <c r="AJ107" i="588" s="1"/>
  <c r="AK107" i="588" s="1"/>
  <c r="T107" i="588"/>
  <c r="AH107" i="588" s="1"/>
  <c r="AG106" i="588"/>
  <c r="V106" i="588"/>
  <c r="U106" i="588"/>
  <c r="AJ106" i="588" s="1"/>
  <c r="AK106" i="588" s="1"/>
  <c r="T106" i="588"/>
  <c r="AH106" i="588" s="1"/>
  <c r="AG105" i="588"/>
  <c r="V105" i="588"/>
  <c r="U105" i="588"/>
  <c r="AJ105" i="588" s="1"/>
  <c r="AK105" i="588" s="1"/>
  <c r="T105" i="588"/>
  <c r="AH105" i="588" s="1"/>
  <c r="AG104" i="588"/>
  <c r="V104" i="588"/>
  <c r="U104" i="588"/>
  <c r="AJ104" i="588" s="1"/>
  <c r="AK104" i="588" s="1"/>
  <c r="T104" i="588"/>
  <c r="AH104" i="588" s="1"/>
  <c r="AG103" i="588"/>
  <c r="V103" i="588"/>
  <c r="U103" i="588"/>
  <c r="AJ103" i="588" s="1"/>
  <c r="AK103" i="588" s="1"/>
  <c r="T103" i="588"/>
  <c r="AH103" i="588" s="1"/>
  <c r="AG102" i="588"/>
  <c r="V102" i="588"/>
  <c r="U102" i="588"/>
  <c r="AJ102" i="588" s="1"/>
  <c r="AK102" i="588" s="1"/>
  <c r="T102" i="588"/>
  <c r="AH102" i="588" s="1"/>
  <c r="AG101" i="588"/>
  <c r="V101" i="588"/>
  <c r="U101" i="588"/>
  <c r="AJ101" i="588" s="1"/>
  <c r="AK101" i="588" s="1"/>
  <c r="T101" i="588"/>
  <c r="AH101" i="588" s="1"/>
  <c r="AG100" i="588"/>
  <c r="V100" i="588"/>
  <c r="U100" i="588"/>
  <c r="AJ100" i="588" s="1"/>
  <c r="AK100" i="588" s="1"/>
  <c r="T100" i="588"/>
  <c r="AH100" i="588" s="1"/>
  <c r="AG99" i="588"/>
  <c r="V99" i="588"/>
  <c r="U99" i="588"/>
  <c r="AJ99" i="588" s="1"/>
  <c r="AK99" i="588" s="1"/>
  <c r="T99" i="588"/>
  <c r="AH99" i="588" s="1"/>
  <c r="AG98" i="588"/>
  <c r="V98" i="588"/>
  <c r="U98" i="588"/>
  <c r="AJ98" i="588" s="1"/>
  <c r="AK98" i="588" s="1"/>
  <c r="T98" i="588"/>
  <c r="AH98" i="588" s="1"/>
  <c r="AG97" i="588"/>
  <c r="V97" i="588"/>
  <c r="U97" i="588"/>
  <c r="AJ97" i="588" s="1"/>
  <c r="AK97" i="588" s="1"/>
  <c r="T97" i="588"/>
  <c r="AH97" i="588" s="1"/>
  <c r="AG96" i="588"/>
  <c r="V96" i="588"/>
  <c r="U96" i="588"/>
  <c r="AJ96" i="588" s="1"/>
  <c r="AK96" i="588" s="1"/>
  <c r="T96" i="588"/>
  <c r="AH96" i="588" s="1"/>
  <c r="AG95" i="588"/>
  <c r="V95" i="588"/>
  <c r="U95" i="588"/>
  <c r="AJ95" i="588" s="1"/>
  <c r="AK95" i="588" s="1"/>
  <c r="T95" i="588"/>
  <c r="AH95" i="588" s="1"/>
  <c r="AG94" i="588"/>
  <c r="V94" i="588"/>
  <c r="U94" i="588"/>
  <c r="AJ94" i="588" s="1"/>
  <c r="AK94" i="588" s="1"/>
  <c r="T94" i="588"/>
  <c r="AH94" i="588" s="1"/>
  <c r="AG93" i="588"/>
  <c r="V93" i="588"/>
  <c r="U93" i="588"/>
  <c r="AJ93" i="588" s="1"/>
  <c r="AK93" i="588" s="1"/>
  <c r="T93" i="588"/>
  <c r="AH93" i="588" s="1"/>
  <c r="AG92" i="588"/>
  <c r="V92" i="588"/>
  <c r="U92" i="588"/>
  <c r="AJ92" i="588" s="1"/>
  <c r="AK92" i="588" s="1"/>
  <c r="T92" i="588"/>
  <c r="AH92" i="588" s="1"/>
  <c r="AG91" i="588"/>
  <c r="V91" i="588"/>
  <c r="U91" i="588"/>
  <c r="AJ91" i="588" s="1"/>
  <c r="AK91" i="588" s="1"/>
  <c r="T91" i="588"/>
  <c r="AH91" i="588" s="1"/>
  <c r="AG90" i="588"/>
  <c r="V90" i="588"/>
  <c r="U90" i="588"/>
  <c r="AJ90" i="588" s="1"/>
  <c r="AK90" i="588" s="1"/>
  <c r="T90" i="588"/>
  <c r="AH90" i="588" s="1"/>
  <c r="AG89" i="588"/>
  <c r="V89" i="588"/>
  <c r="U89" i="588"/>
  <c r="AJ89" i="588" s="1"/>
  <c r="AK89" i="588" s="1"/>
  <c r="T89" i="588"/>
  <c r="AH89" i="588" s="1"/>
  <c r="AG88" i="588"/>
  <c r="V88" i="588"/>
  <c r="U88" i="588"/>
  <c r="AJ88" i="588" s="1"/>
  <c r="AK88" i="588" s="1"/>
  <c r="T88" i="588"/>
  <c r="AH88" i="588" s="1"/>
  <c r="AG87" i="588"/>
  <c r="V87" i="588"/>
  <c r="U87" i="588"/>
  <c r="AJ87" i="588" s="1"/>
  <c r="AK87" i="588" s="1"/>
  <c r="T87" i="588"/>
  <c r="AH87" i="588" s="1"/>
  <c r="AG86" i="588"/>
  <c r="V86" i="588"/>
  <c r="U86" i="588"/>
  <c r="AJ86" i="588" s="1"/>
  <c r="AK86" i="588" s="1"/>
  <c r="T86" i="588"/>
  <c r="AH86" i="588" s="1"/>
  <c r="AG85" i="588"/>
  <c r="V85" i="588"/>
  <c r="U85" i="588"/>
  <c r="AJ85" i="588" s="1"/>
  <c r="AK85" i="588" s="1"/>
  <c r="T85" i="588"/>
  <c r="AH85" i="588" s="1"/>
  <c r="AG84" i="588"/>
  <c r="V84" i="588"/>
  <c r="U84" i="588"/>
  <c r="AJ84" i="588" s="1"/>
  <c r="AK84" i="588" s="1"/>
  <c r="T84" i="588"/>
  <c r="AH84" i="588" s="1"/>
  <c r="AG83" i="588"/>
  <c r="V83" i="588"/>
  <c r="U83" i="588"/>
  <c r="AJ83" i="588" s="1"/>
  <c r="AK83" i="588" s="1"/>
  <c r="T83" i="588"/>
  <c r="AH83" i="588" s="1"/>
  <c r="AG82" i="588"/>
  <c r="V82" i="588"/>
  <c r="U82" i="588"/>
  <c r="AJ82" i="588" s="1"/>
  <c r="AK82" i="588" s="1"/>
  <c r="T82" i="588"/>
  <c r="AH82" i="588" s="1"/>
  <c r="AG81" i="588"/>
  <c r="V81" i="588"/>
  <c r="U81" i="588"/>
  <c r="AJ81" i="588" s="1"/>
  <c r="AK81" i="588" s="1"/>
  <c r="T81" i="588"/>
  <c r="AH81" i="588" s="1"/>
  <c r="AG80" i="588"/>
  <c r="V80" i="588"/>
  <c r="U80" i="588"/>
  <c r="AJ80" i="588" s="1"/>
  <c r="AK80" i="588" s="1"/>
  <c r="T80" i="588"/>
  <c r="AH80" i="588" s="1"/>
  <c r="AG79" i="588"/>
  <c r="V79" i="588"/>
  <c r="U79" i="588"/>
  <c r="AJ79" i="588" s="1"/>
  <c r="AK79" i="588" s="1"/>
  <c r="T79" i="588"/>
  <c r="AH79" i="588" s="1"/>
  <c r="AG78" i="588"/>
  <c r="V78" i="588"/>
  <c r="U78" i="588"/>
  <c r="AJ78" i="588" s="1"/>
  <c r="AK78" i="588" s="1"/>
  <c r="T78" i="588"/>
  <c r="AH78" i="588" s="1"/>
  <c r="AG77" i="588"/>
  <c r="V77" i="588"/>
  <c r="U77" i="588"/>
  <c r="AJ77" i="588" s="1"/>
  <c r="AK77" i="588" s="1"/>
  <c r="T77" i="588"/>
  <c r="AH77" i="588" s="1"/>
  <c r="AG76" i="588"/>
  <c r="V76" i="588"/>
  <c r="U76" i="588"/>
  <c r="AJ76" i="588" s="1"/>
  <c r="AK76" i="588" s="1"/>
  <c r="T76" i="588"/>
  <c r="AH76" i="588" s="1"/>
  <c r="AG75" i="588"/>
  <c r="V75" i="588"/>
  <c r="U75" i="588"/>
  <c r="AJ75" i="588" s="1"/>
  <c r="AK75" i="588" s="1"/>
  <c r="T75" i="588"/>
  <c r="AH75" i="588" s="1"/>
  <c r="AG74" i="588"/>
  <c r="V74" i="588"/>
  <c r="U74" i="588"/>
  <c r="AJ74" i="588" s="1"/>
  <c r="AK74" i="588" s="1"/>
  <c r="T74" i="588"/>
  <c r="AH74" i="588" s="1"/>
  <c r="AG73" i="588"/>
  <c r="V73" i="588"/>
  <c r="U73" i="588"/>
  <c r="AJ73" i="588" s="1"/>
  <c r="AK73" i="588" s="1"/>
  <c r="T73" i="588"/>
  <c r="AH73" i="588" s="1"/>
  <c r="AG72" i="588"/>
  <c r="V72" i="588"/>
  <c r="U72" i="588"/>
  <c r="AJ72" i="588" s="1"/>
  <c r="AK72" i="588" s="1"/>
  <c r="T72" i="588"/>
  <c r="AH72" i="588" s="1"/>
  <c r="AG71" i="588"/>
  <c r="V71" i="588"/>
  <c r="U71" i="588"/>
  <c r="AJ71" i="588" s="1"/>
  <c r="AK71" i="588" s="1"/>
  <c r="T71" i="588"/>
  <c r="AH71" i="588" s="1"/>
  <c r="AG70" i="588"/>
  <c r="V70" i="588"/>
  <c r="U70" i="588"/>
  <c r="AJ70" i="588" s="1"/>
  <c r="AK70" i="588" s="1"/>
  <c r="T70" i="588"/>
  <c r="AH70" i="588" s="1"/>
  <c r="AG69" i="588"/>
  <c r="V69" i="588"/>
  <c r="U69" i="588"/>
  <c r="AJ69" i="588" s="1"/>
  <c r="AK69" i="588" s="1"/>
  <c r="T69" i="588"/>
  <c r="AH69" i="588" s="1"/>
  <c r="AG68" i="588"/>
  <c r="V68" i="588"/>
  <c r="U68" i="588"/>
  <c r="AJ68" i="588" s="1"/>
  <c r="AK68" i="588" s="1"/>
  <c r="T68" i="588"/>
  <c r="AH68" i="588" s="1"/>
  <c r="AG67" i="588"/>
  <c r="V67" i="588"/>
  <c r="U67" i="588"/>
  <c r="AJ67" i="588" s="1"/>
  <c r="AK67" i="588" s="1"/>
  <c r="T67" i="588"/>
  <c r="AH67" i="588" s="1"/>
  <c r="AG66" i="588"/>
  <c r="V66" i="588"/>
  <c r="U66" i="588"/>
  <c r="AJ66" i="588" s="1"/>
  <c r="AK66" i="588" s="1"/>
  <c r="T66" i="588"/>
  <c r="AH66" i="588" s="1"/>
  <c r="AG65" i="588"/>
  <c r="V65" i="588"/>
  <c r="U65" i="588"/>
  <c r="AJ65" i="588" s="1"/>
  <c r="AK65" i="588" s="1"/>
  <c r="T65" i="588"/>
  <c r="AH65" i="588" s="1"/>
  <c r="AG64" i="588"/>
  <c r="V64" i="588"/>
  <c r="U64" i="588"/>
  <c r="AJ64" i="588" s="1"/>
  <c r="AK64" i="588" s="1"/>
  <c r="T64" i="588"/>
  <c r="AH64" i="588" s="1"/>
  <c r="AG63" i="588"/>
  <c r="V63" i="588"/>
  <c r="U63" i="588"/>
  <c r="AJ63" i="588" s="1"/>
  <c r="AK63" i="588" s="1"/>
  <c r="T63" i="588"/>
  <c r="AH63" i="588" s="1"/>
  <c r="AG62" i="588"/>
  <c r="V62" i="588"/>
  <c r="U62" i="588"/>
  <c r="AJ62" i="588" s="1"/>
  <c r="AK62" i="588" s="1"/>
  <c r="T62" i="588"/>
  <c r="AH62" i="588" s="1"/>
  <c r="AG61" i="588"/>
  <c r="V61" i="588"/>
  <c r="U61" i="588"/>
  <c r="AJ61" i="588" s="1"/>
  <c r="AK61" i="588" s="1"/>
  <c r="T61" i="588"/>
  <c r="AH61" i="588" s="1"/>
  <c r="AG60" i="588"/>
  <c r="V60" i="588"/>
  <c r="U60" i="588"/>
  <c r="AJ60" i="588" s="1"/>
  <c r="AK60" i="588" s="1"/>
  <c r="T60" i="588"/>
  <c r="AH60" i="588" s="1"/>
  <c r="AG59" i="588"/>
  <c r="V59" i="588"/>
  <c r="U59" i="588"/>
  <c r="AJ59" i="588" s="1"/>
  <c r="AK59" i="588" s="1"/>
  <c r="T59" i="588"/>
  <c r="AH59" i="588" s="1"/>
  <c r="AG58" i="588"/>
  <c r="V58" i="588"/>
  <c r="U58" i="588"/>
  <c r="AJ58" i="588" s="1"/>
  <c r="AK58" i="588" s="1"/>
  <c r="T58" i="588"/>
  <c r="AH58" i="588" s="1"/>
  <c r="AG57" i="588"/>
  <c r="V57" i="588"/>
  <c r="U57" i="588"/>
  <c r="AJ57" i="588" s="1"/>
  <c r="AK57" i="588" s="1"/>
  <c r="T57" i="588"/>
  <c r="AH57" i="588" s="1"/>
  <c r="AG56" i="588"/>
  <c r="V56" i="588"/>
  <c r="U56" i="588"/>
  <c r="AJ56" i="588" s="1"/>
  <c r="AK56" i="588" s="1"/>
  <c r="T56" i="588"/>
  <c r="AH56" i="588" s="1"/>
  <c r="AG55" i="588"/>
  <c r="V55" i="588"/>
  <c r="U55" i="588"/>
  <c r="AJ55" i="588" s="1"/>
  <c r="AK55" i="588" s="1"/>
  <c r="T55" i="588"/>
  <c r="AH55" i="588" s="1"/>
  <c r="AG54" i="588"/>
  <c r="V54" i="588"/>
  <c r="U54" i="588"/>
  <c r="AJ54" i="588" s="1"/>
  <c r="AK54" i="588" s="1"/>
  <c r="T54" i="588"/>
  <c r="AH54" i="588" s="1"/>
  <c r="AG53" i="588"/>
  <c r="V53" i="588"/>
  <c r="U53" i="588"/>
  <c r="AJ53" i="588" s="1"/>
  <c r="AK53" i="588" s="1"/>
  <c r="T53" i="588"/>
  <c r="AH53" i="588" s="1"/>
  <c r="AG52" i="588"/>
  <c r="V52" i="588"/>
  <c r="U52" i="588"/>
  <c r="AJ52" i="588" s="1"/>
  <c r="AK52" i="588" s="1"/>
  <c r="T52" i="588"/>
  <c r="AH52" i="588" s="1"/>
  <c r="AG51" i="588"/>
  <c r="V51" i="588"/>
  <c r="U51" i="588"/>
  <c r="AJ51" i="588" s="1"/>
  <c r="AK51" i="588" s="1"/>
  <c r="T51" i="588"/>
  <c r="AH51" i="588" s="1"/>
  <c r="AG50" i="588"/>
  <c r="V50" i="588"/>
  <c r="U50" i="588"/>
  <c r="AJ50" i="588" s="1"/>
  <c r="AK50" i="588" s="1"/>
  <c r="T50" i="588"/>
  <c r="AH50" i="588" s="1"/>
  <c r="AG49" i="588"/>
  <c r="V49" i="588"/>
  <c r="U49" i="588"/>
  <c r="AJ49" i="588" s="1"/>
  <c r="AK49" i="588" s="1"/>
  <c r="T49" i="588"/>
  <c r="AH49" i="588" s="1"/>
  <c r="AG48" i="588"/>
  <c r="V48" i="588"/>
  <c r="U48" i="588"/>
  <c r="AJ48" i="588" s="1"/>
  <c r="AK48" i="588" s="1"/>
  <c r="T48" i="588"/>
  <c r="AH48" i="588" s="1"/>
  <c r="AG47" i="588"/>
  <c r="V47" i="588"/>
  <c r="U47" i="588"/>
  <c r="AJ47" i="588" s="1"/>
  <c r="AK47" i="588" s="1"/>
  <c r="T47" i="588"/>
  <c r="AH47" i="588" s="1"/>
  <c r="AG46" i="588"/>
  <c r="V46" i="588"/>
  <c r="U46" i="588"/>
  <c r="AJ46" i="588" s="1"/>
  <c r="AK46" i="588" s="1"/>
  <c r="T46" i="588"/>
  <c r="AH46" i="588" s="1"/>
  <c r="AG45" i="588"/>
  <c r="V45" i="588"/>
  <c r="U45" i="588"/>
  <c r="AJ45" i="588" s="1"/>
  <c r="AK45" i="588" s="1"/>
  <c r="T45" i="588"/>
  <c r="AH45" i="588" s="1"/>
  <c r="AG44" i="588"/>
  <c r="V44" i="588"/>
  <c r="U44" i="588"/>
  <c r="AJ44" i="588" s="1"/>
  <c r="AK44" i="588" s="1"/>
  <c r="T44" i="588"/>
  <c r="AH44" i="588" s="1"/>
  <c r="AG43" i="588"/>
  <c r="V43" i="588"/>
  <c r="U43" i="588"/>
  <c r="AJ43" i="588" s="1"/>
  <c r="AK43" i="588" s="1"/>
  <c r="T43" i="588"/>
  <c r="AH43" i="588" s="1"/>
  <c r="AG42" i="588"/>
  <c r="V42" i="588"/>
  <c r="U42" i="588"/>
  <c r="AJ42" i="588" s="1"/>
  <c r="AK42" i="588" s="1"/>
  <c r="T42" i="588"/>
  <c r="AH42" i="588" s="1"/>
  <c r="AG41" i="588"/>
  <c r="V41" i="588"/>
  <c r="U41" i="588"/>
  <c r="AJ41" i="588" s="1"/>
  <c r="AK41" i="588" s="1"/>
  <c r="T41" i="588"/>
  <c r="AH41" i="588" s="1"/>
  <c r="AG40" i="588"/>
  <c r="V40" i="588"/>
  <c r="U40" i="588"/>
  <c r="AJ40" i="588" s="1"/>
  <c r="AK40" i="588" s="1"/>
  <c r="T40" i="588"/>
  <c r="AH40" i="588" s="1"/>
  <c r="AG39" i="588"/>
  <c r="V39" i="588"/>
  <c r="U39" i="588"/>
  <c r="AJ39" i="588" s="1"/>
  <c r="AK39" i="588" s="1"/>
  <c r="T39" i="588"/>
  <c r="AH39" i="588" s="1"/>
  <c r="AG38" i="588"/>
  <c r="V38" i="588"/>
  <c r="U38" i="588"/>
  <c r="AJ38" i="588" s="1"/>
  <c r="AK38" i="588" s="1"/>
  <c r="T38" i="588"/>
  <c r="AH38" i="588" s="1"/>
  <c r="AG37" i="588"/>
  <c r="V37" i="588"/>
  <c r="U37" i="588"/>
  <c r="AJ37" i="588" s="1"/>
  <c r="AK37" i="588" s="1"/>
  <c r="T37" i="588"/>
  <c r="AH37" i="588" s="1"/>
  <c r="AG36" i="588"/>
  <c r="V36" i="588"/>
  <c r="U36" i="588"/>
  <c r="AJ36" i="588" s="1"/>
  <c r="AK36" i="588" s="1"/>
  <c r="T36" i="588"/>
  <c r="AH36" i="588" s="1"/>
  <c r="AG35" i="588"/>
  <c r="V35" i="588"/>
  <c r="U35" i="588"/>
  <c r="AJ35" i="588" s="1"/>
  <c r="AK35" i="588" s="1"/>
  <c r="T35" i="588"/>
  <c r="AH35" i="588" s="1"/>
  <c r="AG34" i="588"/>
  <c r="V34" i="588"/>
  <c r="U34" i="588"/>
  <c r="AJ34" i="588" s="1"/>
  <c r="AK34" i="588" s="1"/>
  <c r="T34" i="588"/>
  <c r="AH34" i="588" s="1"/>
  <c r="AG33" i="588"/>
  <c r="V33" i="588"/>
  <c r="U33" i="588"/>
  <c r="AJ33" i="588" s="1"/>
  <c r="AK33" i="588" s="1"/>
  <c r="T33" i="588"/>
  <c r="AH33" i="588" s="1"/>
  <c r="AG32" i="588"/>
  <c r="V32" i="588"/>
  <c r="U32" i="588"/>
  <c r="AJ32" i="588" s="1"/>
  <c r="AK32" i="588" s="1"/>
  <c r="T32" i="588"/>
  <c r="AH32" i="588" s="1"/>
  <c r="AG31" i="588"/>
  <c r="V31" i="588"/>
  <c r="U31" i="588"/>
  <c r="AJ31" i="588" s="1"/>
  <c r="AK31" i="588" s="1"/>
  <c r="T31" i="588"/>
  <c r="AH31" i="588" s="1"/>
  <c r="AG30" i="588"/>
  <c r="V30" i="588"/>
  <c r="U30" i="588"/>
  <c r="AJ30" i="588" s="1"/>
  <c r="AK30" i="588" s="1"/>
  <c r="T30" i="588"/>
  <c r="AH30" i="588" s="1"/>
  <c r="AG29" i="588"/>
  <c r="V29" i="588"/>
  <c r="U29" i="588"/>
  <c r="AJ29" i="588" s="1"/>
  <c r="AK29" i="588" s="1"/>
  <c r="T29" i="588"/>
  <c r="AH29" i="588" s="1"/>
  <c r="AG28" i="588"/>
  <c r="U28" i="588"/>
  <c r="AJ28" i="588" s="1"/>
  <c r="T28" i="588"/>
  <c r="AH28" i="588" s="1"/>
  <c r="AG27" i="588"/>
  <c r="U27" i="588"/>
  <c r="AJ27" i="588" s="1"/>
  <c r="T27" i="588"/>
  <c r="AH27" i="588" s="1"/>
  <c r="AG26" i="588"/>
  <c r="U26" i="588"/>
  <c r="AJ26" i="588" s="1"/>
  <c r="T26" i="588"/>
  <c r="AH26" i="588" s="1"/>
  <c r="AG25" i="588"/>
  <c r="V25" i="588"/>
  <c r="U25" i="588"/>
  <c r="AJ25" i="588" s="1"/>
  <c r="AK25" i="588" s="1"/>
  <c r="T25" i="588"/>
  <c r="AG22" i="588"/>
  <c r="V22" i="588"/>
  <c r="U22" i="588"/>
  <c r="AJ22" i="588" s="1"/>
  <c r="AK22" i="588" s="1"/>
  <c r="T22" i="588"/>
  <c r="AG21" i="588"/>
  <c r="U21" i="588"/>
  <c r="AJ21" i="588" s="1"/>
  <c r="T21" i="588"/>
  <c r="AH21" i="588" s="1"/>
  <c r="AG20" i="588"/>
  <c r="V20" i="588"/>
  <c r="U20" i="588"/>
  <c r="AJ20" i="588" s="1"/>
  <c r="AK20" i="588" s="1"/>
  <c r="T20" i="588"/>
  <c r="AG19" i="588"/>
  <c r="V19" i="588"/>
  <c r="U19" i="588"/>
  <c r="AJ19" i="588" s="1"/>
  <c r="AK19" i="588" s="1"/>
  <c r="T19" i="588"/>
  <c r="AG18" i="588"/>
  <c r="U18" i="588"/>
  <c r="AJ18" i="588" s="1"/>
  <c r="T18" i="588"/>
  <c r="AH18" i="588" s="1"/>
  <c r="AG17" i="588"/>
  <c r="U17" i="588"/>
  <c r="AJ17" i="588" s="1"/>
  <c r="T17" i="588"/>
  <c r="AH17" i="588" s="1"/>
  <c r="AG16" i="588"/>
  <c r="U16" i="588"/>
  <c r="AJ16" i="588" s="1"/>
  <c r="T16" i="588"/>
  <c r="AH16" i="588" s="1"/>
  <c r="AG15" i="588"/>
  <c r="V15" i="588"/>
  <c r="U15" i="588"/>
  <c r="T15" i="588"/>
  <c r="AG14" i="588"/>
  <c r="U14" i="588"/>
  <c r="AJ14" i="588" s="1"/>
  <c r="T14" i="588"/>
  <c r="AH14" i="588" s="1"/>
  <c r="AG13" i="588"/>
  <c r="V13" i="588"/>
  <c r="U13" i="588"/>
  <c r="T13" i="588"/>
  <c r="AG12" i="588"/>
  <c r="U12" i="588"/>
  <c r="AJ12" i="588" s="1"/>
  <c r="T12" i="588"/>
  <c r="AH12" i="588" s="1"/>
  <c r="AG11" i="588"/>
  <c r="U11" i="588"/>
  <c r="AJ11" i="588" s="1"/>
  <c r="T11" i="588"/>
  <c r="AH11" i="588" s="1"/>
  <c r="AG10" i="588"/>
  <c r="U10" i="588"/>
  <c r="AJ10" i="588" s="1"/>
  <c r="T10" i="588"/>
  <c r="AH10" i="588" s="1"/>
  <c r="AG9" i="588"/>
  <c r="V9" i="588"/>
  <c r="U9" i="588"/>
  <c r="T9" i="588"/>
  <c r="O4" i="588"/>
  <c r="I4" i="588"/>
  <c r="G4" i="588"/>
  <c r="AR2" i="588"/>
  <c r="G2" i="588"/>
  <c r="AJ13" i="588" l="1"/>
  <c r="AK13" i="588" s="1"/>
  <c r="AH13" i="588"/>
  <c r="AH25" i="588"/>
  <c r="AL25" i="588" s="1"/>
  <c r="AH15" i="588"/>
  <c r="AI15" i="588" s="1"/>
  <c r="AH22" i="588"/>
  <c r="AL22" i="588" s="1"/>
  <c r="AJ15" i="588"/>
  <c r="AK15" i="588" s="1"/>
  <c r="AJ9" i="588"/>
  <c r="AK9" i="588" s="1"/>
  <c r="AH19" i="588"/>
  <c r="AI19" i="588" s="1"/>
  <c r="AM19" i="588" s="1"/>
  <c r="AH20" i="588"/>
  <c r="AI20" i="588" s="1"/>
  <c r="AM20" i="588" s="1"/>
  <c r="AH9" i="588"/>
  <c r="AI9" i="588" s="1"/>
  <c r="AL10" i="588"/>
  <c r="AL21" i="588"/>
  <c r="AL16" i="588"/>
  <c r="AL12" i="588"/>
  <c r="AL11" i="588"/>
  <c r="AL17" i="588"/>
  <c r="AL18" i="588"/>
  <c r="AL26" i="588"/>
  <c r="AL27" i="588"/>
  <c r="AL28" i="588"/>
  <c r="AI30" i="588"/>
  <c r="AM30" i="588" s="1"/>
  <c r="AL30" i="588"/>
  <c r="AI32" i="588"/>
  <c r="AM32" i="588" s="1"/>
  <c r="AL32" i="588"/>
  <c r="AI34" i="588"/>
  <c r="AM34" i="588" s="1"/>
  <c r="AL34" i="588"/>
  <c r="AL14" i="588"/>
  <c r="AI35" i="588"/>
  <c r="AM35" i="588" s="1"/>
  <c r="AL35" i="588"/>
  <c r="AI39" i="588"/>
  <c r="AM39" i="588" s="1"/>
  <c r="AL39" i="588"/>
  <c r="AI43" i="588"/>
  <c r="AM43" i="588" s="1"/>
  <c r="AL43" i="588"/>
  <c r="AL47" i="588"/>
  <c r="AI47" i="588"/>
  <c r="AM47" i="588" s="1"/>
  <c r="AI48" i="588"/>
  <c r="AM48" i="588" s="1"/>
  <c r="AL48" i="588"/>
  <c r="AI51" i="588"/>
  <c r="AM51" i="588" s="1"/>
  <c r="AL51" i="588"/>
  <c r="AI52" i="588"/>
  <c r="AM52" i="588" s="1"/>
  <c r="AL52" i="588"/>
  <c r="AI55" i="588"/>
  <c r="AM55" i="588" s="1"/>
  <c r="AL55" i="588"/>
  <c r="AI56" i="588"/>
  <c r="AM56" i="588" s="1"/>
  <c r="AL56" i="588"/>
  <c r="AL59" i="588"/>
  <c r="AI59" i="588"/>
  <c r="AM59" i="588" s="1"/>
  <c r="AI60" i="588"/>
  <c r="AM60" i="588" s="1"/>
  <c r="AL60" i="588"/>
  <c r="AI63" i="588"/>
  <c r="AM63" i="588" s="1"/>
  <c r="AL63" i="588"/>
  <c r="AI64" i="588"/>
  <c r="AM64" i="588" s="1"/>
  <c r="AL64" i="588"/>
  <c r="AL69" i="588"/>
  <c r="AI69" i="588"/>
  <c r="AM69" i="588" s="1"/>
  <c r="AL19" i="588"/>
  <c r="AI29" i="588"/>
  <c r="AM29" i="588" s="1"/>
  <c r="AL29" i="588"/>
  <c r="AI31" i="588"/>
  <c r="AM31" i="588" s="1"/>
  <c r="AL31" i="588"/>
  <c r="AI33" i="588"/>
  <c r="AM33" i="588" s="1"/>
  <c r="AL33" i="588"/>
  <c r="AI36" i="588"/>
  <c r="AM36" i="588" s="1"/>
  <c r="AL36" i="588"/>
  <c r="AL40" i="588"/>
  <c r="AI40" i="588"/>
  <c r="AM40" i="588" s="1"/>
  <c r="AL44" i="588"/>
  <c r="AI44" i="588"/>
  <c r="AM44" i="588" s="1"/>
  <c r="AI37" i="588"/>
  <c r="AM37" i="588" s="1"/>
  <c r="AL37" i="588"/>
  <c r="AI41" i="588"/>
  <c r="AM41" i="588" s="1"/>
  <c r="AL41" i="588"/>
  <c r="AI45" i="588"/>
  <c r="AM45" i="588" s="1"/>
  <c r="AL45" i="588"/>
  <c r="AL49" i="588"/>
  <c r="AI49" i="588"/>
  <c r="AM49" i="588" s="1"/>
  <c r="AI53" i="588"/>
  <c r="AM53" i="588" s="1"/>
  <c r="AL53" i="588"/>
  <c r="AL57" i="588"/>
  <c r="AI57" i="588"/>
  <c r="AM57" i="588" s="1"/>
  <c r="AI61" i="588"/>
  <c r="AM61" i="588" s="1"/>
  <c r="AL61" i="588"/>
  <c r="AL65" i="588"/>
  <c r="AI65" i="588"/>
  <c r="AM65" i="588" s="1"/>
  <c r="AI38" i="588"/>
  <c r="AM38" i="588" s="1"/>
  <c r="AL38" i="588"/>
  <c r="AI42" i="588"/>
  <c r="AM42" i="588" s="1"/>
  <c r="AL42" i="588"/>
  <c r="AI46" i="588"/>
  <c r="AM46" i="588" s="1"/>
  <c r="AL46" i="588"/>
  <c r="AI50" i="588"/>
  <c r="AM50" i="588" s="1"/>
  <c r="AL50" i="588"/>
  <c r="AI54" i="588"/>
  <c r="AM54" i="588" s="1"/>
  <c r="AL54" i="588"/>
  <c r="AI58" i="588"/>
  <c r="AM58" i="588" s="1"/>
  <c r="AL58" i="588"/>
  <c r="AI62" i="588"/>
  <c r="AM62" i="588" s="1"/>
  <c r="AL62" i="588"/>
  <c r="AL67" i="588"/>
  <c r="AI67" i="588"/>
  <c r="AM67" i="588" s="1"/>
  <c r="AI75" i="588"/>
  <c r="AM75" i="588" s="1"/>
  <c r="AL75" i="588"/>
  <c r="AI79" i="588"/>
  <c r="AM79" i="588" s="1"/>
  <c r="AL79" i="588"/>
  <c r="AI91" i="588"/>
  <c r="AM91" i="588" s="1"/>
  <c r="AL91" i="588"/>
  <c r="AI92" i="588"/>
  <c r="AM92" i="588" s="1"/>
  <c r="AL92" i="588"/>
  <c r="AL95" i="588"/>
  <c r="AI95" i="588"/>
  <c r="AM95" i="588" s="1"/>
  <c r="AI96" i="588"/>
  <c r="AM96" i="588" s="1"/>
  <c r="AL96" i="588"/>
  <c r="AI100" i="588"/>
  <c r="AM100" i="588" s="1"/>
  <c r="AL100" i="588"/>
  <c r="AI104" i="588"/>
  <c r="AM104" i="588" s="1"/>
  <c r="AL104" i="588"/>
  <c r="AI108" i="588"/>
  <c r="AM108" i="588" s="1"/>
  <c r="AL108" i="588"/>
  <c r="AI112" i="588"/>
  <c r="AM112" i="588" s="1"/>
  <c r="AL112" i="588"/>
  <c r="AI116" i="588"/>
  <c r="AM116" i="588" s="1"/>
  <c r="AL116" i="588"/>
  <c r="AI120" i="588"/>
  <c r="AM120" i="588" s="1"/>
  <c r="AL120" i="588"/>
  <c r="AI124" i="588"/>
  <c r="AM124" i="588" s="1"/>
  <c r="AL124" i="588"/>
  <c r="AI68" i="588"/>
  <c r="AM68" i="588" s="1"/>
  <c r="AL68" i="588"/>
  <c r="AI71" i="588"/>
  <c r="AM71" i="588" s="1"/>
  <c r="AL71" i="588"/>
  <c r="AI72" i="588"/>
  <c r="AM72" i="588" s="1"/>
  <c r="AL72" i="588"/>
  <c r="AI76" i="588"/>
  <c r="AM76" i="588" s="1"/>
  <c r="AL76" i="588"/>
  <c r="AI82" i="588"/>
  <c r="AM82" i="588" s="1"/>
  <c r="AL82" i="588"/>
  <c r="AI97" i="588"/>
  <c r="AM97" i="588" s="1"/>
  <c r="AL97" i="588"/>
  <c r="AI101" i="588"/>
  <c r="AM101" i="588" s="1"/>
  <c r="AL101" i="588"/>
  <c r="AI105" i="588"/>
  <c r="AM105" i="588" s="1"/>
  <c r="AL105" i="588"/>
  <c r="AI109" i="588"/>
  <c r="AM109" i="588" s="1"/>
  <c r="AL109" i="588"/>
  <c r="AI113" i="588"/>
  <c r="AM113" i="588" s="1"/>
  <c r="AL113" i="588"/>
  <c r="AI117" i="588"/>
  <c r="AM117" i="588" s="1"/>
  <c r="AL117" i="588"/>
  <c r="AI121" i="588"/>
  <c r="AM121" i="588" s="1"/>
  <c r="AL121" i="588"/>
  <c r="AI125" i="588"/>
  <c r="AM125" i="588" s="1"/>
  <c r="AL125" i="588"/>
  <c r="AI73" i="588"/>
  <c r="AM73" i="588" s="1"/>
  <c r="AL73" i="588"/>
  <c r="AI77" i="588"/>
  <c r="AM77" i="588" s="1"/>
  <c r="AL77" i="588"/>
  <c r="AI80" i="588"/>
  <c r="AM80" i="588" s="1"/>
  <c r="AL80" i="588"/>
  <c r="AI83" i="588"/>
  <c r="AM83" i="588" s="1"/>
  <c r="AL83" i="588"/>
  <c r="AI84" i="588"/>
  <c r="AM84" i="588" s="1"/>
  <c r="AL84" i="588"/>
  <c r="AL93" i="588"/>
  <c r="AI93" i="588"/>
  <c r="AM93" i="588" s="1"/>
  <c r="AI98" i="588"/>
  <c r="AM98" i="588" s="1"/>
  <c r="AL98" i="588"/>
  <c r="AI102" i="588"/>
  <c r="AM102" i="588" s="1"/>
  <c r="AL102" i="588"/>
  <c r="AI106" i="588"/>
  <c r="AM106" i="588" s="1"/>
  <c r="AL106" i="588"/>
  <c r="AI110" i="588"/>
  <c r="AM110" i="588" s="1"/>
  <c r="AL110" i="588"/>
  <c r="AI114" i="588"/>
  <c r="AM114" i="588" s="1"/>
  <c r="AL114" i="588"/>
  <c r="AI118" i="588"/>
  <c r="AM118" i="588" s="1"/>
  <c r="AL118" i="588"/>
  <c r="AI122" i="588"/>
  <c r="AM122" i="588" s="1"/>
  <c r="AL122" i="588"/>
  <c r="AI126" i="588"/>
  <c r="AM126" i="588" s="1"/>
  <c r="AL126" i="588"/>
  <c r="AI66" i="588"/>
  <c r="AM66" i="588" s="1"/>
  <c r="AL66" i="588"/>
  <c r="AI70" i="588"/>
  <c r="AM70" i="588" s="1"/>
  <c r="AL70" i="588"/>
  <c r="AI74" i="588"/>
  <c r="AM74" i="588" s="1"/>
  <c r="AL74" i="588"/>
  <c r="AI78" i="588"/>
  <c r="AM78" i="588" s="1"/>
  <c r="AL78" i="588"/>
  <c r="AI81" i="588"/>
  <c r="AM81" i="588" s="1"/>
  <c r="AL81" i="588"/>
  <c r="AI85" i="588"/>
  <c r="AM85" i="588" s="1"/>
  <c r="AL85" i="588"/>
  <c r="AI86" i="588"/>
  <c r="AM86" i="588" s="1"/>
  <c r="AL86" i="588"/>
  <c r="AI87" i="588"/>
  <c r="AM87" i="588" s="1"/>
  <c r="AL87" i="588"/>
  <c r="AI88" i="588"/>
  <c r="AM88" i="588" s="1"/>
  <c r="AL88" i="588"/>
  <c r="AI89" i="588"/>
  <c r="AM89" i="588" s="1"/>
  <c r="AL89" i="588"/>
  <c r="AI90" i="588"/>
  <c r="AM90" i="588" s="1"/>
  <c r="AL90" i="588"/>
  <c r="AI94" i="588"/>
  <c r="AM94" i="588" s="1"/>
  <c r="AL94" i="588"/>
  <c r="AI99" i="588"/>
  <c r="AM99" i="588" s="1"/>
  <c r="AL99" i="588"/>
  <c r="AI103" i="588"/>
  <c r="AM103" i="588" s="1"/>
  <c r="AL103" i="588"/>
  <c r="AI107" i="588"/>
  <c r="AM107" i="588" s="1"/>
  <c r="AL107" i="588"/>
  <c r="AI111" i="588"/>
  <c r="AM111" i="588" s="1"/>
  <c r="AL111" i="588"/>
  <c r="AI115" i="588"/>
  <c r="AM115" i="588" s="1"/>
  <c r="AL115" i="588"/>
  <c r="AI119" i="588"/>
  <c r="AM119" i="588" s="1"/>
  <c r="AL119" i="588"/>
  <c r="AI123" i="588"/>
  <c r="AM123" i="588" s="1"/>
  <c r="AL123" i="588"/>
  <c r="AI128" i="588"/>
  <c r="AM128" i="588" s="1"/>
  <c r="AL128" i="588"/>
  <c r="AI132" i="588"/>
  <c r="AM132" i="588" s="1"/>
  <c r="AL132" i="588"/>
  <c r="AI136" i="588"/>
  <c r="AM136" i="588" s="1"/>
  <c r="AL136" i="588"/>
  <c r="AI140" i="588"/>
  <c r="AM140" i="588" s="1"/>
  <c r="AL140" i="588"/>
  <c r="AI144" i="588"/>
  <c r="AM144" i="588" s="1"/>
  <c r="AL144" i="588"/>
  <c r="AI129" i="588"/>
  <c r="AM129" i="588" s="1"/>
  <c r="AL129" i="588"/>
  <c r="AI133" i="588"/>
  <c r="AM133" i="588" s="1"/>
  <c r="AL133" i="588"/>
  <c r="AI137" i="588"/>
  <c r="AM137" i="588" s="1"/>
  <c r="AL137" i="588"/>
  <c r="AI141" i="588"/>
  <c r="AM141" i="588" s="1"/>
  <c r="AL141" i="588"/>
  <c r="AI130" i="588"/>
  <c r="AM130" i="588" s="1"/>
  <c r="AL130" i="588"/>
  <c r="AI134" i="588"/>
  <c r="AM134" i="588" s="1"/>
  <c r="AL134" i="588"/>
  <c r="AI138" i="588"/>
  <c r="AM138" i="588" s="1"/>
  <c r="AL138" i="588"/>
  <c r="AI142" i="588"/>
  <c r="AM142" i="588" s="1"/>
  <c r="AL142" i="588"/>
  <c r="AI127" i="588"/>
  <c r="AM127" i="588" s="1"/>
  <c r="AL127" i="588"/>
  <c r="AI131" i="588"/>
  <c r="AM131" i="588" s="1"/>
  <c r="AL131" i="588"/>
  <c r="AI135" i="588"/>
  <c r="AM135" i="588" s="1"/>
  <c r="AL135" i="588"/>
  <c r="AI139" i="588"/>
  <c r="AM139" i="588" s="1"/>
  <c r="AL139" i="588"/>
  <c r="AI143" i="588"/>
  <c r="AM143" i="588" s="1"/>
  <c r="AL143" i="588"/>
  <c r="AL13" i="588" l="1"/>
  <c r="AI25" i="588"/>
  <c r="AM25" i="588" s="1"/>
  <c r="AM15" i="588"/>
  <c r="AM9" i="588"/>
  <c r="AI13" i="588"/>
  <c r="AM13" i="588" s="1"/>
  <c r="AL15" i="588"/>
  <c r="AI22" i="588"/>
  <c r="AM22" i="588" s="1"/>
  <c r="AL20" i="588"/>
  <c r="AL9" i="588"/>
  <c r="AM21" i="587"/>
  <c r="AL21" i="587"/>
  <c r="AK21" i="587"/>
  <c r="AJ21" i="587"/>
  <c r="AI21" i="587"/>
  <c r="AH21" i="587"/>
  <c r="AG21" i="587"/>
  <c r="R21" i="587"/>
  <c r="Q21" i="587"/>
  <c r="AS21" i="587" s="1"/>
  <c r="AT21" i="587" s="1"/>
  <c r="O21" i="587"/>
  <c r="AQ21" i="587" s="1"/>
  <c r="AR21" i="587" s="1"/>
  <c r="AU21" i="587" s="1"/>
  <c r="AM20" i="587"/>
  <c r="AL20" i="587"/>
  <c r="AK20" i="587"/>
  <c r="AJ20" i="587"/>
  <c r="AI20" i="587"/>
  <c r="AH20" i="587"/>
  <c r="AG20" i="587"/>
  <c r="R20" i="587"/>
  <c r="Q20" i="587"/>
  <c r="AS20" i="587" s="1"/>
  <c r="AT20" i="587" s="1"/>
  <c r="O20" i="587"/>
  <c r="AQ20" i="587" s="1"/>
  <c r="AR20" i="587" s="1"/>
  <c r="AM19" i="587"/>
  <c r="AL19" i="587"/>
  <c r="AK19" i="587"/>
  <c r="AJ19" i="587"/>
  <c r="AI19" i="587"/>
  <c r="AH19" i="587"/>
  <c r="AG19" i="587"/>
  <c r="R19" i="587"/>
  <c r="Q19" i="587"/>
  <c r="AS19" i="587" s="1"/>
  <c r="AT19" i="587" s="1"/>
  <c r="O19" i="587"/>
  <c r="AQ19" i="587" s="1"/>
  <c r="AR19" i="587" s="1"/>
  <c r="AM18" i="587"/>
  <c r="AL18" i="587"/>
  <c r="AK18" i="587"/>
  <c r="AJ18" i="587"/>
  <c r="AI18" i="587"/>
  <c r="AH18" i="587"/>
  <c r="AG18" i="587"/>
  <c r="R18" i="587"/>
  <c r="Q18" i="587"/>
  <c r="AS18" i="587" s="1"/>
  <c r="AT18" i="587" s="1"/>
  <c r="O18" i="587"/>
  <c r="AQ18" i="587" s="1"/>
  <c r="AR18" i="587" s="1"/>
  <c r="AM17" i="587"/>
  <c r="AL17" i="587"/>
  <c r="AK17" i="587"/>
  <c r="AJ17" i="587"/>
  <c r="AI17" i="587"/>
  <c r="AH17" i="587"/>
  <c r="AG17" i="587"/>
  <c r="R17" i="587"/>
  <c r="Q17" i="587"/>
  <c r="AS17" i="587" s="1"/>
  <c r="AT17" i="587" s="1"/>
  <c r="O17" i="587"/>
  <c r="AQ17" i="587" s="1"/>
  <c r="AR17" i="587" s="1"/>
  <c r="AM16" i="587"/>
  <c r="AL16" i="587"/>
  <c r="AK16" i="587"/>
  <c r="AJ16" i="587"/>
  <c r="AI16" i="587"/>
  <c r="AH16" i="587"/>
  <c r="AG16" i="587"/>
  <c r="R16" i="587"/>
  <c r="Q16" i="587"/>
  <c r="AS16" i="587" s="1"/>
  <c r="AT16" i="587" s="1"/>
  <c r="O16" i="587"/>
  <c r="AQ16" i="587" s="1"/>
  <c r="AR16" i="587" s="1"/>
  <c r="AM15" i="587"/>
  <c r="AL15" i="587"/>
  <c r="AK15" i="587"/>
  <c r="AJ15" i="587"/>
  <c r="AI15" i="587"/>
  <c r="AH15" i="587"/>
  <c r="AG15" i="587"/>
  <c r="R15" i="587"/>
  <c r="Q15" i="587"/>
  <c r="AS15" i="587" s="1"/>
  <c r="AT15" i="587" s="1"/>
  <c r="O15" i="587"/>
  <c r="AQ15" i="587" s="1"/>
  <c r="AR15" i="587" s="1"/>
  <c r="AM14" i="587"/>
  <c r="AL14" i="587"/>
  <c r="AK14" i="587"/>
  <c r="AJ14" i="587"/>
  <c r="AI14" i="587"/>
  <c r="AH14" i="587"/>
  <c r="AG14" i="587"/>
  <c r="R14" i="587"/>
  <c r="Q14" i="587"/>
  <c r="AS14" i="587" s="1"/>
  <c r="AT14" i="587" s="1"/>
  <c r="O14" i="587"/>
  <c r="AQ14" i="587" s="1"/>
  <c r="AR14" i="587" s="1"/>
  <c r="AM13" i="587"/>
  <c r="AL13" i="587"/>
  <c r="AK13" i="587"/>
  <c r="AJ13" i="587"/>
  <c r="AI13" i="587"/>
  <c r="AH13" i="587"/>
  <c r="AN13" i="587" s="1"/>
  <c r="AG13" i="587"/>
  <c r="R13" i="587"/>
  <c r="Q13" i="587"/>
  <c r="AS13" i="587" s="1"/>
  <c r="AT13" i="587" s="1"/>
  <c r="O13" i="587"/>
  <c r="AQ13" i="587" s="1"/>
  <c r="AR13" i="587" s="1"/>
  <c r="AM12" i="587"/>
  <c r="AL12" i="587"/>
  <c r="AK12" i="587"/>
  <c r="AJ12" i="587"/>
  <c r="AI12" i="587"/>
  <c r="AH12" i="587"/>
  <c r="AG12" i="587"/>
  <c r="R12" i="587"/>
  <c r="Q12" i="587"/>
  <c r="AS12" i="587" s="1"/>
  <c r="AT12" i="587" s="1"/>
  <c r="O12" i="587"/>
  <c r="AQ12" i="587" s="1"/>
  <c r="AR12" i="587" s="1"/>
  <c r="AM11" i="587"/>
  <c r="AL11" i="587"/>
  <c r="AK11" i="587"/>
  <c r="AJ11" i="587"/>
  <c r="AI11" i="587"/>
  <c r="AH11" i="587"/>
  <c r="AG11" i="587"/>
  <c r="R11" i="587"/>
  <c r="Q11" i="587"/>
  <c r="AS11" i="587" s="1"/>
  <c r="AT11" i="587" s="1"/>
  <c r="O11" i="587"/>
  <c r="AM10" i="587"/>
  <c r="AL10" i="587"/>
  <c r="AK10" i="587"/>
  <c r="AJ10" i="587"/>
  <c r="AI10" i="587"/>
  <c r="AH10" i="587"/>
  <c r="AG10" i="587"/>
  <c r="R10" i="587"/>
  <c r="Q10" i="587"/>
  <c r="AS10" i="587" s="1"/>
  <c r="AT10" i="587" s="1"/>
  <c r="O10" i="587"/>
  <c r="V4" i="587"/>
  <c r="E4" i="587"/>
  <c r="A4" i="587"/>
  <c r="BD2" i="587"/>
  <c r="A2" i="587"/>
  <c r="AU13" i="587" l="1"/>
  <c r="AU15" i="587"/>
  <c r="AU17" i="587"/>
  <c r="AN21" i="587"/>
  <c r="AN11" i="587"/>
  <c r="AN12" i="587"/>
  <c r="AN14" i="587"/>
  <c r="AO14" i="587" s="1"/>
  <c r="AN15" i="587"/>
  <c r="AO15" i="587" s="1"/>
  <c r="AP15" i="587" s="1"/>
  <c r="AN16" i="587"/>
  <c r="AN17" i="587"/>
  <c r="AN18" i="587"/>
  <c r="AO18" i="587" s="1"/>
  <c r="AP18" i="587" s="1"/>
  <c r="AN10" i="587"/>
  <c r="AO10" i="587" s="1"/>
  <c r="AQ10" i="587" s="1"/>
  <c r="AR10" i="587" s="1"/>
  <c r="AU10" i="587" s="1"/>
  <c r="AN19" i="587"/>
  <c r="AN20" i="587"/>
  <c r="AU20" i="587"/>
  <c r="AU18" i="587"/>
  <c r="AO11" i="587"/>
  <c r="AP11" i="587" s="1"/>
  <c r="AU12" i="587"/>
  <c r="AO12" i="587"/>
  <c r="AP12" i="587" s="1"/>
  <c r="AU14" i="587"/>
  <c r="AU16" i="587"/>
  <c r="AO16" i="587"/>
  <c r="AP16" i="587" s="1"/>
  <c r="AO17" i="587"/>
  <c r="AP17" i="587" s="1"/>
  <c r="AU19" i="587"/>
  <c r="AQ11" i="587"/>
  <c r="AR11" i="587" s="1"/>
  <c r="AU11" i="587" s="1"/>
  <c r="AO13" i="587"/>
  <c r="AP13" i="587" s="1"/>
  <c r="AO19" i="587"/>
  <c r="AP19" i="587" s="1"/>
  <c r="AO20" i="587"/>
  <c r="AP20" i="587" s="1"/>
  <c r="AO21" i="587"/>
  <c r="AP21" i="587" s="1"/>
  <c r="AP14" i="587" l="1"/>
  <c r="AP10" i="587"/>
  <c r="AG168" i="585"/>
  <c r="V168" i="585"/>
  <c r="U168" i="585"/>
  <c r="AJ168" i="585" s="1"/>
  <c r="AK168" i="585" s="1"/>
  <c r="T168" i="585"/>
  <c r="AH168" i="585" s="1"/>
  <c r="AG167" i="585"/>
  <c r="V167" i="585"/>
  <c r="U167" i="585"/>
  <c r="AJ167" i="585" s="1"/>
  <c r="AK167" i="585" s="1"/>
  <c r="T167" i="585"/>
  <c r="AH167" i="585" s="1"/>
  <c r="AG166" i="585"/>
  <c r="V166" i="585"/>
  <c r="U166" i="585"/>
  <c r="AJ166" i="585" s="1"/>
  <c r="AK166" i="585" s="1"/>
  <c r="T166" i="585"/>
  <c r="AH166" i="585" s="1"/>
  <c r="AG165" i="585"/>
  <c r="V165" i="585"/>
  <c r="U165" i="585"/>
  <c r="AJ165" i="585" s="1"/>
  <c r="AK165" i="585" s="1"/>
  <c r="T165" i="585"/>
  <c r="AH165" i="585" s="1"/>
  <c r="AG164" i="585"/>
  <c r="V164" i="585"/>
  <c r="U164" i="585"/>
  <c r="AJ164" i="585" s="1"/>
  <c r="AK164" i="585" s="1"/>
  <c r="T164" i="585"/>
  <c r="AH164" i="585" s="1"/>
  <c r="AG163" i="585"/>
  <c r="V163" i="585"/>
  <c r="U163" i="585"/>
  <c r="AJ163" i="585" s="1"/>
  <c r="AK163" i="585" s="1"/>
  <c r="T163" i="585"/>
  <c r="AH163" i="585" s="1"/>
  <c r="AG162" i="585"/>
  <c r="V162" i="585"/>
  <c r="U162" i="585"/>
  <c r="AJ162" i="585" s="1"/>
  <c r="AK162" i="585" s="1"/>
  <c r="T162" i="585"/>
  <c r="AH162" i="585" s="1"/>
  <c r="AG161" i="585"/>
  <c r="V161" i="585"/>
  <c r="U161" i="585"/>
  <c r="AJ161" i="585" s="1"/>
  <c r="AK161" i="585" s="1"/>
  <c r="T161" i="585"/>
  <c r="AH161" i="585" s="1"/>
  <c r="AG160" i="585"/>
  <c r="V160" i="585"/>
  <c r="U160" i="585"/>
  <c r="AJ160" i="585" s="1"/>
  <c r="AK160" i="585" s="1"/>
  <c r="T160" i="585"/>
  <c r="AH160" i="585" s="1"/>
  <c r="AG159" i="585"/>
  <c r="V159" i="585"/>
  <c r="U159" i="585"/>
  <c r="AJ159" i="585" s="1"/>
  <c r="AK159" i="585" s="1"/>
  <c r="T159" i="585"/>
  <c r="AH159" i="585" s="1"/>
  <c r="AG158" i="585"/>
  <c r="V158" i="585"/>
  <c r="U158" i="585"/>
  <c r="AJ158" i="585" s="1"/>
  <c r="AK158" i="585" s="1"/>
  <c r="T158" i="585"/>
  <c r="AH158" i="585" s="1"/>
  <c r="AG157" i="585"/>
  <c r="V157" i="585"/>
  <c r="U157" i="585"/>
  <c r="AJ157" i="585" s="1"/>
  <c r="AK157" i="585" s="1"/>
  <c r="T157" i="585"/>
  <c r="AH157" i="585" s="1"/>
  <c r="AG156" i="585"/>
  <c r="V156" i="585"/>
  <c r="U156" i="585"/>
  <c r="AJ156" i="585" s="1"/>
  <c r="AK156" i="585" s="1"/>
  <c r="T156" i="585"/>
  <c r="AH156" i="585" s="1"/>
  <c r="AG155" i="585"/>
  <c r="V155" i="585"/>
  <c r="U155" i="585"/>
  <c r="AJ155" i="585" s="1"/>
  <c r="AK155" i="585" s="1"/>
  <c r="T155" i="585"/>
  <c r="AH155" i="585" s="1"/>
  <c r="AG154" i="585"/>
  <c r="V154" i="585"/>
  <c r="U154" i="585"/>
  <c r="AJ154" i="585" s="1"/>
  <c r="AK154" i="585" s="1"/>
  <c r="T154" i="585"/>
  <c r="AH154" i="585" s="1"/>
  <c r="AG153" i="585"/>
  <c r="V153" i="585"/>
  <c r="U153" i="585"/>
  <c r="AJ153" i="585" s="1"/>
  <c r="AK153" i="585" s="1"/>
  <c r="T153" i="585"/>
  <c r="AH153" i="585" s="1"/>
  <c r="AG152" i="585"/>
  <c r="V152" i="585"/>
  <c r="U152" i="585"/>
  <c r="AJ152" i="585" s="1"/>
  <c r="AK152" i="585" s="1"/>
  <c r="T152" i="585"/>
  <c r="AH152" i="585" s="1"/>
  <c r="AG151" i="585"/>
  <c r="V151" i="585"/>
  <c r="U151" i="585"/>
  <c r="AJ151" i="585" s="1"/>
  <c r="AK151" i="585" s="1"/>
  <c r="T151" i="585"/>
  <c r="AH151" i="585" s="1"/>
  <c r="AG150" i="585"/>
  <c r="V150" i="585"/>
  <c r="U150" i="585"/>
  <c r="AJ150" i="585" s="1"/>
  <c r="AK150" i="585" s="1"/>
  <c r="T150" i="585"/>
  <c r="AH150" i="585" s="1"/>
  <c r="AG149" i="585"/>
  <c r="V149" i="585"/>
  <c r="U149" i="585"/>
  <c r="AJ149" i="585" s="1"/>
  <c r="AK149" i="585" s="1"/>
  <c r="T149" i="585"/>
  <c r="AH149" i="585" s="1"/>
  <c r="AG148" i="585"/>
  <c r="V148" i="585"/>
  <c r="U148" i="585"/>
  <c r="AJ148" i="585" s="1"/>
  <c r="AK148" i="585" s="1"/>
  <c r="T148" i="585"/>
  <c r="AH148" i="585" s="1"/>
  <c r="AG147" i="585"/>
  <c r="V147" i="585"/>
  <c r="U147" i="585"/>
  <c r="AJ147" i="585" s="1"/>
  <c r="AK147" i="585" s="1"/>
  <c r="T147" i="585"/>
  <c r="AH147" i="585" s="1"/>
  <c r="AG146" i="585"/>
  <c r="V146" i="585"/>
  <c r="U146" i="585"/>
  <c r="AJ146" i="585" s="1"/>
  <c r="AK146" i="585" s="1"/>
  <c r="T146" i="585"/>
  <c r="AH146" i="585" s="1"/>
  <c r="AG145" i="585"/>
  <c r="V145" i="585"/>
  <c r="U145" i="585"/>
  <c r="AJ145" i="585" s="1"/>
  <c r="AK145" i="585" s="1"/>
  <c r="T145" i="585"/>
  <c r="AH145" i="585" s="1"/>
  <c r="AG144" i="585"/>
  <c r="V144" i="585"/>
  <c r="U144" i="585"/>
  <c r="AJ144" i="585" s="1"/>
  <c r="AK144" i="585" s="1"/>
  <c r="T144" i="585"/>
  <c r="AH144" i="585" s="1"/>
  <c r="AG143" i="585"/>
  <c r="V143" i="585"/>
  <c r="U143" i="585"/>
  <c r="AJ143" i="585" s="1"/>
  <c r="AK143" i="585" s="1"/>
  <c r="T143" i="585"/>
  <c r="AH143" i="585" s="1"/>
  <c r="AI143" i="585" s="1"/>
  <c r="AG142" i="585"/>
  <c r="V142" i="585"/>
  <c r="U142" i="585"/>
  <c r="AJ142" i="585" s="1"/>
  <c r="AK142" i="585" s="1"/>
  <c r="T142" i="585"/>
  <c r="AH142" i="585" s="1"/>
  <c r="AG141" i="585"/>
  <c r="V141" i="585"/>
  <c r="U141" i="585"/>
  <c r="AJ141" i="585" s="1"/>
  <c r="AK141" i="585" s="1"/>
  <c r="T141" i="585"/>
  <c r="AH141" i="585" s="1"/>
  <c r="AG140" i="585"/>
  <c r="V140" i="585"/>
  <c r="U140" i="585"/>
  <c r="AJ140" i="585" s="1"/>
  <c r="AK140" i="585" s="1"/>
  <c r="T140" i="585"/>
  <c r="AH140" i="585" s="1"/>
  <c r="AG139" i="585"/>
  <c r="V139" i="585"/>
  <c r="U139" i="585"/>
  <c r="AJ139" i="585" s="1"/>
  <c r="T139" i="585"/>
  <c r="AH139" i="585" s="1"/>
  <c r="AI139" i="585" s="1"/>
  <c r="AG138" i="585"/>
  <c r="V138" i="585"/>
  <c r="U138" i="585"/>
  <c r="AJ138" i="585" s="1"/>
  <c r="AK138" i="585" s="1"/>
  <c r="T138" i="585"/>
  <c r="AH138" i="585" s="1"/>
  <c r="AG137" i="585"/>
  <c r="V137" i="585"/>
  <c r="U137" i="585"/>
  <c r="AJ137" i="585" s="1"/>
  <c r="AK137" i="585" s="1"/>
  <c r="T137" i="585"/>
  <c r="AH137" i="585" s="1"/>
  <c r="AG136" i="585"/>
  <c r="V136" i="585"/>
  <c r="U136" i="585"/>
  <c r="AJ136" i="585" s="1"/>
  <c r="AK136" i="585" s="1"/>
  <c r="T136" i="585"/>
  <c r="AH136" i="585" s="1"/>
  <c r="AG135" i="585"/>
  <c r="V135" i="585"/>
  <c r="U135" i="585"/>
  <c r="AJ135" i="585" s="1"/>
  <c r="AK135" i="585" s="1"/>
  <c r="T135" i="585"/>
  <c r="AH135" i="585" s="1"/>
  <c r="AI135" i="585" s="1"/>
  <c r="AG134" i="585"/>
  <c r="V134" i="585"/>
  <c r="U134" i="585"/>
  <c r="AJ134" i="585" s="1"/>
  <c r="AK134" i="585" s="1"/>
  <c r="T134" i="585"/>
  <c r="AH134" i="585" s="1"/>
  <c r="AG133" i="585"/>
  <c r="V133" i="585"/>
  <c r="U133" i="585"/>
  <c r="AJ133" i="585" s="1"/>
  <c r="AK133" i="585" s="1"/>
  <c r="T133" i="585"/>
  <c r="AH133" i="585" s="1"/>
  <c r="AG132" i="585"/>
  <c r="V132" i="585"/>
  <c r="U132" i="585"/>
  <c r="AJ132" i="585" s="1"/>
  <c r="AK132" i="585" s="1"/>
  <c r="T132" i="585"/>
  <c r="AH132" i="585" s="1"/>
  <c r="AG131" i="585"/>
  <c r="V131" i="585"/>
  <c r="U131" i="585"/>
  <c r="AJ131" i="585" s="1"/>
  <c r="T131" i="585"/>
  <c r="AH131" i="585" s="1"/>
  <c r="AI131" i="585" s="1"/>
  <c r="AG130" i="585"/>
  <c r="V130" i="585"/>
  <c r="U130" i="585"/>
  <c r="AJ130" i="585" s="1"/>
  <c r="AK130" i="585" s="1"/>
  <c r="T130" i="585"/>
  <c r="AH130" i="585" s="1"/>
  <c r="AG129" i="585"/>
  <c r="V129" i="585"/>
  <c r="U129" i="585"/>
  <c r="AJ129" i="585" s="1"/>
  <c r="AK129" i="585" s="1"/>
  <c r="T129" i="585"/>
  <c r="AH129" i="585" s="1"/>
  <c r="AG128" i="585"/>
  <c r="V128" i="585"/>
  <c r="U128" i="585"/>
  <c r="AJ128" i="585" s="1"/>
  <c r="AK128" i="585" s="1"/>
  <c r="T128" i="585"/>
  <c r="AH128" i="585" s="1"/>
  <c r="AG127" i="585"/>
  <c r="V127" i="585"/>
  <c r="U127" i="585"/>
  <c r="AJ127" i="585" s="1"/>
  <c r="AK127" i="585" s="1"/>
  <c r="T127" i="585"/>
  <c r="AH127" i="585" s="1"/>
  <c r="AI127" i="585" s="1"/>
  <c r="AG126" i="585"/>
  <c r="V126" i="585"/>
  <c r="U126" i="585"/>
  <c r="AJ126" i="585" s="1"/>
  <c r="AK126" i="585" s="1"/>
  <c r="T126" i="585"/>
  <c r="AH126" i="585" s="1"/>
  <c r="AG125" i="585"/>
  <c r="V125" i="585"/>
  <c r="U125" i="585"/>
  <c r="AJ125" i="585" s="1"/>
  <c r="AK125" i="585" s="1"/>
  <c r="T125" i="585"/>
  <c r="AH125" i="585" s="1"/>
  <c r="AG124" i="585"/>
  <c r="V124" i="585"/>
  <c r="U124" i="585"/>
  <c r="AJ124" i="585" s="1"/>
  <c r="AK124" i="585" s="1"/>
  <c r="T124" i="585"/>
  <c r="AH124" i="585" s="1"/>
  <c r="AG123" i="585"/>
  <c r="V123" i="585"/>
  <c r="U123" i="585"/>
  <c r="AJ123" i="585" s="1"/>
  <c r="T123" i="585"/>
  <c r="AH123" i="585" s="1"/>
  <c r="AI123" i="585" s="1"/>
  <c r="AG122" i="585"/>
  <c r="V122" i="585"/>
  <c r="U122" i="585"/>
  <c r="AJ122" i="585" s="1"/>
  <c r="AK122" i="585" s="1"/>
  <c r="T122" i="585"/>
  <c r="AH122" i="585" s="1"/>
  <c r="AG121" i="585"/>
  <c r="V121" i="585"/>
  <c r="U121" i="585"/>
  <c r="AJ121" i="585" s="1"/>
  <c r="AK121" i="585" s="1"/>
  <c r="T121" i="585"/>
  <c r="AH121" i="585" s="1"/>
  <c r="AI121" i="585" s="1"/>
  <c r="AG120" i="585"/>
  <c r="V120" i="585"/>
  <c r="U120" i="585"/>
  <c r="AJ120" i="585" s="1"/>
  <c r="AK120" i="585" s="1"/>
  <c r="T120" i="585"/>
  <c r="AH120" i="585" s="1"/>
  <c r="AI120" i="585" s="1"/>
  <c r="AG119" i="585"/>
  <c r="V119" i="585"/>
  <c r="U119" i="585"/>
  <c r="AJ119" i="585" s="1"/>
  <c r="AK119" i="585" s="1"/>
  <c r="T119" i="585"/>
  <c r="AH119" i="585" s="1"/>
  <c r="AG118" i="585"/>
  <c r="V118" i="585"/>
  <c r="U118" i="585"/>
  <c r="AJ118" i="585" s="1"/>
  <c r="AK118" i="585" s="1"/>
  <c r="T118" i="585"/>
  <c r="AH118" i="585" s="1"/>
  <c r="AG117" i="585"/>
  <c r="V117" i="585"/>
  <c r="U117" i="585"/>
  <c r="AJ117" i="585" s="1"/>
  <c r="AK117" i="585" s="1"/>
  <c r="T117" i="585"/>
  <c r="AH117" i="585" s="1"/>
  <c r="AG116" i="585"/>
  <c r="V116" i="585"/>
  <c r="U116" i="585"/>
  <c r="AJ116" i="585" s="1"/>
  <c r="AK116" i="585" s="1"/>
  <c r="T116" i="585"/>
  <c r="AH116" i="585" s="1"/>
  <c r="AG115" i="585"/>
  <c r="V115" i="585"/>
  <c r="U115" i="585"/>
  <c r="AJ115" i="585" s="1"/>
  <c r="AK115" i="585" s="1"/>
  <c r="T115" i="585"/>
  <c r="AH115" i="585" s="1"/>
  <c r="AG114" i="585"/>
  <c r="V114" i="585"/>
  <c r="U114" i="585"/>
  <c r="AJ114" i="585" s="1"/>
  <c r="AK114" i="585" s="1"/>
  <c r="T114" i="585"/>
  <c r="AH114" i="585" s="1"/>
  <c r="AG113" i="585"/>
  <c r="V113" i="585"/>
  <c r="U113" i="585"/>
  <c r="AJ113" i="585" s="1"/>
  <c r="AK113" i="585" s="1"/>
  <c r="T113" i="585"/>
  <c r="AH113" i="585" s="1"/>
  <c r="AI113" i="585" s="1"/>
  <c r="AG112" i="585"/>
  <c r="V112" i="585"/>
  <c r="U112" i="585"/>
  <c r="AJ112" i="585" s="1"/>
  <c r="AK112" i="585" s="1"/>
  <c r="T112" i="585"/>
  <c r="AH112" i="585" s="1"/>
  <c r="AG111" i="585"/>
  <c r="V111" i="585"/>
  <c r="U111" i="585"/>
  <c r="AJ111" i="585" s="1"/>
  <c r="AK111" i="585" s="1"/>
  <c r="T111" i="585"/>
  <c r="AH111" i="585" s="1"/>
  <c r="AG110" i="585"/>
  <c r="V110" i="585"/>
  <c r="U110" i="585"/>
  <c r="AJ110" i="585" s="1"/>
  <c r="AK110" i="585" s="1"/>
  <c r="T110" i="585"/>
  <c r="AH110" i="585" s="1"/>
  <c r="AG109" i="585"/>
  <c r="V109" i="585"/>
  <c r="U109" i="585"/>
  <c r="AJ109" i="585" s="1"/>
  <c r="AK109" i="585" s="1"/>
  <c r="T109" i="585"/>
  <c r="AH109" i="585" s="1"/>
  <c r="AG108" i="585"/>
  <c r="V108" i="585"/>
  <c r="U108" i="585"/>
  <c r="AJ108" i="585" s="1"/>
  <c r="AK108" i="585" s="1"/>
  <c r="T108" i="585"/>
  <c r="AH108" i="585" s="1"/>
  <c r="AG107" i="585"/>
  <c r="V107" i="585"/>
  <c r="U107" i="585"/>
  <c r="AJ107" i="585" s="1"/>
  <c r="AK107" i="585" s="1"/>
  <c r="T107" i="585"/>
  <c r="AH107" i="585" s="1"/>
  <c r="AG106" i="585"/>
  <c r="V106" i="585"/>
  <c r="U106" i="585"/>
  <c r="AJ106" i="585" s="1"/>
  <c r="AK106" i="585" s="1"/>
  <c r="T106" i="585"/>
  <c r="AH106" i="585" s="1"/>
  <c r="AG105" i="585"/>
  <c r="V105" i="585"/>
  <c r="U105" i="585"/>
  <c r="AJ105" i="585" s="1"/>
  <c r="AK105" i="585" s="1"/>
  <c r="T105" i="585"/>
  <c r="AH105" i="585" s="1"/>
  <c r="AG104" i="585"/>
  <c r="V104" i="585"/>
  <c r="U104" i="585"/>
  <c r="AJ104" i="585" s="1"/>
  <c r="AK104" i="585" s="1"/>
  <c r="T104" i="585"/>
  <c r="AH104" i="585" s="1"/>
  <c r="AG103" i="585"/>
  <c r="V103" i="585"/>
  <c r="U103" i="585"/>
  <c r="AJ103" i="585" s="1"/>
  <c r="AK103" i="585" s="1"/>
  <c r="T103" i="585"/>
  <c r="AH103" i="585" s="1"/>
  <c r="AG102" i="585"/>
  <c r="V102" i="585"/>
  <c r="U102" i="585"/>
  <c r="AJ102" i="585" s="1"/>
  <c r="AK102" i="585" s="1"/>
  <c r="T102" i="585"/>
  <c r="AH102" i="585" s="1"/>
  <c r="AG101" i="585"/>
  <c r="V101" i="585"/>
  <c r="U101" i="585"/>
  <c r="AJ101" i="585" s="1"/>
  <c r="T101" i="585"/>
  <c r="AH101" i="585" s="1"/>
  <c r="AI101" i="585" s="1"/>
  <c r="AG100" i="585"/>
  <c r="V100" i="585"/>
  <c r="U100" i="585"/>
  <c r="AJ100" i="585" s="1"/>
  <c r="AK100" i="585" s="1"/>
  <c r="T100" i="585"/>
  <c r="AH100" i="585" s="1"/>
  <c r="AG99" i="585"/>
  <c r="V99" i="585"/>
  <c r="U99" i="585"/>
  <c r="AJ99" i="585" s="1"/>
  <c r="AK99" i="585" s="1"/>
  <c r="T99" i="585"/>
  <c r="AH99" i="585" s="1"/>
  <c r="AG98" i="585"/>
  <c r="V98" i="585"/>
  <c r="U98" i="585"/>
  <c r="AJ98" i="585" s="1"/>
  <c r="AK98" i="585" s="1"/>
  <c r="T98" i="585"/>
  <c r="AH98" i="585" s="1"/>
  <c r="AG97" i="585"/>
  <c r="V97" i="585"/>
  <c r="U97" i="585"/>
  <c r="AJ97" i="585" s="1"/>
  <c r="AK97" i="585" s="1"/>
  <c r="T97" i="585"/>
  <c r="AH97" i="585" s="1"/>
  <c r="AI97" i="585" s="1"/>
  <c r="AG96" i="585"/>
  <c r="V96" i="585"/>
  <c r="U96" i="585"/>
  <c r="AJ96" i="585" s="1"/>
  <c r="AK96" i="585" s="1"/>
  <c r="T96" i="585"/>
  <c r="AH96" i="585" s="1"/>
  <c r="AG95" i="585"/>
  <c r="V95" i="585"/>
  <c r="U95" i="585"/>
  <c r="AJ95" i="585" s="1"/>
  <c r="AK95" i="585" s="1"/>
  <c r="T95" i="585"/>
  <c r="AH95" i="585" s="1"/>
  <c r="AG94" i="585"/>
  <c r="V94" i="585"/>
  <c r="U94" i="585"/>
  <c r="AJ94" i="585" s="1"/>
  <c r="AK94" i="585" s="1"/>
  <c r="T94" i="585"/>
  <c r="AH94" i="585" s="1"/>
  <c r="AG93" i="585"/>
  <c r="V93" i="585"/>
  <c r="U93" i="585"/>
  <c r="AJ93" i="585" s="1"/>
  <c r="AK93" i="585" s="1"/>
  <c r="T93" i="585"/>
  <c r="AH93" i="585" s="1"/>
  <c r="AI93" i="585" s="1"/>
  <c r="AG92" i="585"/>
  <c r="V92" i="585"/>
  <c r="U92" i="585"/>
  <c r="AJ92" i="585" s="1"/>
  <c r="AK92" i="585" s="1"/>
  <c r="T92" i="585"/>
  <c r="AH92" i="585" s="1"/>
  <c r="AG91" i="585"/>
  <c r="V91" i="585"/>
  <c r="U91" i="585"/>
  <c r="AJ91" i="585" s="1"/>
  <c r="AK91" i="585" s="1"/>
  <c r="T91" i="585"/>
  <c r="AH91" i="585" s="1"/>
  <c r="AG90" i="585"/>
  <c r="V90" i="585"/>
  <c r="U90" i="585"/>
  <c r="AJ90" i="585" s="1"/>
  <c r="AK90" i="585" s="1"/>
  <c r="T90" i="585"/>
  <c r="AH90" i="585" s="1"/>
  <c r="AG89" i="585"/>
  <c r="V89" i="585"/>
  <c r="U89" i="585"/>
  <c r="AJ89" i="585" s="1"/>
  <c r="AK89" i="585" s="1"/>
  <c r="T89" i="585"/>
  <c r="AH89" i="585" s="1"/>
  <c r="AI89" i="585" s="1"/>
  <c r="AG88" i="585"/>
  <c r="V88" i="585"/>
  <c r="U88" i="585"/>
  <c r="AJ88" i="585" s="1"/>
  <c r="AK88" i="585" s="1"/>
  <c r="T88" i="585"/>
  <c r="AH88" i="585" s="1"/>
  <c r="AG87" i="585"/>
  <c r="V87" i="585"/>
  <c r="U87" i="585"/>
  <c r="AJ87" i="585" s="1"/>
  <c r="AK87" i="585" s="1"/>
  <c r="T87" i="585"/>
  <c r="AH87" i="585" s="1"/>
  <c r="AG86" i="585"/>
  <c r="V86" i="585"/>
  <c r="U86" i="585"/>
  <c r="AJ86" i="585" s="1"/>
  <c r="AK86" i="585" s="1"/>
  <c r="T86" i="585"/>
  <c r="AH86" i="585" s="1"/>
  <c r="AG85" i="585"/>
  <c r="V85" i="585"/>
  <c r="U85" i="585"/>
  <c r="AJ85" i="585" s="1"/>
  <c r="T85" i="585"/>
  <c r="AH85" i="585" s="1"/>
  <c r="AI85" i="585" s="1"/>
  <c r="AG84" i="585"/>
  <c r="V84" i="585"/>
  <c r="U84" i="585"/>
  <c r="AJ84" i="585" s="1"/>
  <c r="AK84" i="585" s="1"/>
  <c r="T84" i="585"/>
  <c r="AH84" i="585" s="1"/>
  <c r="AI84" i="585" s="1"/>
  <c r="AG83" i="585"/>
  <c r="V83" i="585"/>
  <c r="U83" i="585"/>
  <c r="AJ83" i="585" s="1"/>
  <c r="AK83" i="585" s="1"/>
  <c r="T83" i="585"/>
  <c r="AH83" i="585" s="1"/>
  <c r="AG82" i="585"/>
  <c r="V82" i="585"/>
  <c r="U82" i="585"/>
  <c r="AJ82" i="585" s="1"/>
  <c r="AK82" i="585" s="1"/>
  <c r="T82" i="585"/>
  <c r="AH82" i="585" s="1"/>
  <c r="AG81" i="585"/>
  <c r="V81" i="585"/>
  <c r="U81" i="585"/>
  <c r="AJ81" i="585" s="1"/>
  <c r="AK81" i="585" s="1"/>
  <c r="T81" i="585"/>
  <c r="AH81" i="585" s="1"/>
  <c r="AG80" i="585"/>
  <c r="V80" i="585"/>
  <c r="U80" i="585"/>
  <c r="AJ80" i="585" s="1"/>
  <c r="AK80" i="585" s="1"/>
  <c r="T80" i="585"/>
  <c r="AH80" i="585" s="1"/>
  <c r="AG79" i="585"/>
  <c r="V79" i="585"/>
  <c r="U79" i="585"/>
  <c r="AJ79" i="585" s="1"/>
  <c r="AK79" i="585" s="1"/>
  <c r="T79" i="585"/>
  <c r="AH79" i="585" s="1"/>
  <c r="AG78" i="585"/>
  <c r="V78" i="585"/>
  <c r="U78" i="585"/>
  <c r="AJ78" i="585" s="1"/>
  <c r="AK78" i="585" s="1"/>
  <c r="T78" i="585"/>
  <c r="AH78" i="585" s="1"/>
  <c r="AG77" i="585"/>
  <c r="V77" i="585"/>
  <c r="U77" i="585"/>
  <c r="AJ77" i="585" s="1"/>
  <c r="AK77" i="585" s="1"/>
  <c r="T77" i="585"/>
  <c r="AH77" i="585" s="1"/>
  <c r="AI77" i="585" s="1"/>
  <c r="AG76" i="585"/>
  <c r="V76" i="585"/>
  <c r="U76" i="585"/>
  <c r="AJ76" i="585" s="1"/>
  <c r="AK76" i="585" s="1"/>
  <c r="T76" i="585"/>
  <c r="AH76" i="585" s="1"/>
  <c r="AI76" i="585" s="1"/>
  <c r="AG75" i="585"/>
  <c r="V75" i="585"/>
  <c r="U75" i="585"/>
  <c r="AJ75" i="585" s="1"/>
  <c r="AK75" i="585" s="1"/>
  <c r="T75" i="585"/>
  <c r="AH75" i="585" s="1"/>
  <c r="AG74" i="585"/>
  <c r="V74" i="585"/>
  <c r="U74" i="585"/>
  <c r="AJ74" i="585" s="1"/>
  <c r="AK74" i="585" s="1"/>
  <c r="T74" i="585"/>
  <c r="AH74" i="585" s="1"/>
  <c r="AG73" i="585"/>
  <c r="V73" i="585"/>
  <c r="U73" i="585"/>
  <c r="AJ73" i="585" s="1"/>
  <c r="AK73" i="585" s="1"/>
  <c r="T73" i="585"/>
  <c r="AH73" i="585" s="1"/>
  <c r="AG72" i="585"/>
  <c r="V72" i="585"/>
  <c r="U72" i="585"/>
  <c r="AJ72" i="585" s="1"/>
  <c r="AK72" i="585" s="1"/>
  <c r="T72" i="585"/>
  <c r="AH72" i="585" s="1"/>
  <c r="AG71" i="585"/>
  <c r="V71" i="585"/>
  <c r="U71" i="585"/>
  <c r="AJ71" i="585" s="1"/>
  <c r="AK71" i="585" s="1"/>
  <c r="T71" i="585"/>
  <c r="AH71" i="585" s="1"/>
  <c r="AG70" i="585"/>
  <c r="V70" i="585"/>
  <c r="U70" i="585"/>
  <c r="AJ70" i="585" s="1"/>
  <c r="AK70" i="585" s="1"/>
  <c r="T70" i="585"/>
  <c r="AH70" i="585" s="1"/>
  <c r="AG69" i="585"/>
  <c r="V69" i="585"/>
  <c r="U69" i="585"/>
  <c r="AJ69" i="585" s="1"/>
  <c r="AK69" i="585" s="1"/>
  <c r="T69" i="585"/>
  <c r="AH69" i="585" s="1"/>
  <c r="AG68" i="585"/>
  <c r="V68" i="585"/>
  <c r="U68" i="585"/>
  <c r="AJ68" i="585" s="1"/>
  <c r="AK68" i="585" s="1"/>
  <c r="T68" i="585"/>
  <c r="AH68" i="585" s="1"/>
  <c r="AG67" i="585"/>
  <c r="V67" i="585"/>
  <c r="U67" i="585"/>
  <c r="AJ67" i="585" s="1"/>
  <c r="AK67" i="585" s="1"/>
  <c r="T67" i="585"/>
  <c r="AH67" i="585" s="1"/>
  <c r="AG66" i="585"/>
  <c r="V66" i="585"/>
  <c r="U66" i="585"/>
  <c r="AJ66" i="585" s="1"/>
  <c r="AK66" i="585" s="1"/>
  <c r="T66" i="585"/>
  <c r="AH66" i="585" s="1"/>
  <c r="AG65" i="585"/>
  <c r="V65" i="585"/>
  <c r="U65" i="585"/>
  <c r="AJ65" i="585" s="1"/>
  <c r="AK65" i="585" s="1"/>
  <c r="T65" i="585"/>
  <c r="AH65" i="585" s="1"/>
  <c r="AG64" i="585"/>
  <c r="V64" i="585"/>
  <c r="U64" i="585"/>
  <c r="AJ64" i="585" s="1"/>
  <c r="AK64" i="585" s="1"/>
  <c r="T64" i="585"/>
  <c r="AH64" i="585" s="1"/>
  <c r="AG63" i="585"/>
  <c r="V63" i="585"/>
  <c r="U63" i="585"/>
  <c r="AJ63" i="585" s="1"/>
  <c r="AK63" i="585" s="1"/>
  <c r="T63" i="585"/>
  <c r="AH63" i="585" s="1"/>
  <c r="AG62" i="585"/>
  <c r="V62" i="585"/>
  <c r="U62" i="585"/>
  <c r="AJ62" i="585" s="1"/>
  <c r="AK62" i="585" s="1"/>
  <c r="T62" i="585"/>
  <c r="AH62" i="585" s="1"/>
  <c r="AG61" i="585"/>
  <c r="V61" i="585"/>
  <c r="U61" i="585"/>
  <c r="AJ61" i="585" s="1"/>
  <c r="AK61" i="585" s="1"/>
  <c r="T61" i="585"/>
  <c r="AH61" i="585" s="1"/>
  <c r="AG60" i="585"/>
  <c r="V60" i="585"/>
  <c r="U60" i="585"/>
  <c r="AJ60" i="585" s="1"/>
  <c r="AK60" i="585" s="1"/>
  <c r="T60" i="585"/>
  <c r="AH60" i="585" s="1"/>
  <c r="AG59" i="585"/>
  <c r="U59" i="585"/>
  <c r="AJ59" i="585" s="1"/>
  <c r="AK59" i="585" s="1"/>
  <c r="AM59" i="585" s="1"/>
  <c r="T59" i="585"/>
  <c r="AH59" i="585" s="1"/>
  <c r="AG58" i="585"/>
  <c r="U58" i="585"/>
  <c r="AJ58" i="585" s="1"/>
  <c r="AK58" i="585" s="1"/>
  <c r="AM58" i="585" s="1"/>
  <c r="T58" i="585"/>
  <c r="AH58" i="585" s="1"/>
  <c r="AG57" i="585"/>
  <c r="U57" i="585"/>
  <c r="AJ57" i="585" s="1"/>
  <c r="AK57" i="585" s="1"/>
  <c r="AM57" i="585" s="1"/>
  <c r="T57" i="585"/>
  <c r="AH57" i="585" s="1"/>
  <c r="AG56" i="585"/>
  <c r="V56" i="585"/>
  <c r="U56" i="585"/>
  <c r="AJ56" i="585" s="1"/>
  <c r="AK56" i="585" s="1"/>
  <c r="T56" i="585"/>
  <c r="AG55" i="585"/>
  <c r="U55" i="585"/>
  <c r="AJ55" i="585" s="1"/>
  <c r="AK55" i="585" s="1"/>
  <c r="AM55" i="585" s="1"/>
  <c r="T55" i="585"/>
  <c r="AH55" i="585" s="1"/>
  <c r="AG54" i="585"/>
  <c r="U54" i="585"/>
  <c r="AJ54" i="585" s="1"/>
  <c r="AK54" i="585" s="1"/>
  <c r="AM54" i="585" s="1"/>
  <c r="T54" i="585"/>
  <c r="AH54" i="585" s="1"/>
  <c r="AG53" i="585"/>
  <c r="V53" i="585"/>
  <c r="U53" i="585"/>
  <c r="AJ53" i="585" s="1"/>
  <c r="AK53" i="585" s="1"/>
  <c r="T53" i="585"/>
  <c r="AG52" i="585"/>
  <c r="U52" i="585"/>
  <c r="AJ52" i="585" s="1"/>
  <c r="AK52" i="585" s="1"/>
  <c r="AM52" i="585" s="1"/>
  <c r="T52" i="585"/>
  <c r="AH52" i="585" s="1"/>
  <c r="AG51" i="585"/>
  <c r="U51" i="585"/>
  <c r="AJ51" i="585" s="1"/>
  <c r="AK51" i="585" s="1"/>
  <c r="AM51" i="585" s="1"/>
  <c r="T51" i="585"/>
  <c r="AH51" i="585" s="1"/>
  <c r="AG50" i="585"/>
  <c r="U50" i="585"/>
  <c r="AJ50" i="585" s="1"/>
  <c r="AK50" i="585" s="1"/>
  <c r="AM50" i="585" s="1"/>
  <c r="T50" i="585"/>
  <c r="AH50" i="585" s="1"/>
  <c r="AG49" i="585"/>
  <c r="U49" i="585"/>
  <c r="AJ49" i="585" s="1"/>
  <c r="AK49" i="585" s="1"/>
  <c r="AM49" i="585" s="1"/>
  <c r="T49" i="585"/>
  <c r="AH49" i="585" s="1"/>
  <c r="AG48" i="585"/>
  <c r="V48" i="585"/>
  <c r="U48" i="585"/>
  <c r="AJ48" i="585" s="1"/>
  <c r="AK48" i="585" s="1"/>
  <c r="T48" i="585"/>
  <c r="AG47" i="585"/>
  <c r="U47" i="585"/>
  <c r="AJ47" i="585" s="1"/>
  <c r="T47" i="585"/>
  <c r="AH47" i="585" s="1"/>
  <c r="AG46" i="585"/>
  <c r="U46" i="585"/>
  <c r="AJ46" i="585" s="1"/>
  <c r="AK46" i="585" s="1"/>
  <c r="AM46" i="585" s="1"/>
  <c r="T46" i="585"/>
  <c r="AH46" i="585" s="1"/>
  <c r="AG45" i="585"/>
  <c r="U45" i="585"/>
  <c r="AJ45" i="585" s="1"/>
  <c r="T45" i="585"/>
  <c r="AH45" i="585" s="1"/>
  <c r="AG44" i="585"/>
  <c r="V44" i="585"/>
  <c r="U44" i="585"/>
  <c r="AJ44" i="585" s="1"/>
  <c r="AK44" i="585" s="1"/>
  <c r="T44" i="585"/>
  <c r="AH44" i="585" s="1"/>
  <c r="AG43" i="585"/>
  <c r="U43" i="585"/>
  <c r="AJ43" i="585" s="1"/>
  <c r="AK43" i="585" s="1"/>
  <c r="AM43" i="585" s="1"/>
  <c r="T43" i="585"/>
  <c r="AH43" i="585" s="1"/>
  <c r="AG42" i="585"/>
  <c r="U42" i="585"/>
  <c r="AJ42" i="585" s="1"/>
  <c r="AK42" i="585" s="1"/>
  <c r="AM42" i="585" s="1"/>
  <c r="T42" i="585"/>
  <c r="AH42" i="585" s="1"/>
  <c r="AG41" i="585"/>
  <c r="U41" i="585"/>
  <c r="AJ41" i="585" s="1"/>
  <c r="AK41" i="585" s="1"/>
  <c r="AM41" i="585" s="1"/>
  <c r="T41" i="585"/>
  <c r="AH41" i="585" s="1"/>
  <c r="AG40" i="585"/>
  <c r="V40" i="585"/>
  <c r="U40" i="585"/>
  <c r="AJ40" i="585" s="1"/>
  <c r="AK40" i="585" s="1"/>
  <c r="T40" i="585"/>
  <c r="AG39" i="585"/>
  <c r="U39" i="585"/>
  <c r="AJ39" i="585" s="1"/>
  <c r="T39" i="585"/>
  <c r="AH39" i="585" s="1"/>
  <c r="AG38" i="585"/>
  <c r="U38" i="585"/>
  <c r="AJ38" i="585" s="1"/>
  <c r="AK38" i="585" s="1"/>
  <c r="AM38" i="585" s="1"/>
  <c r="T38" i="585"/>
  <c r="AH38" i="585" s="1"/>
  <c r="AG37" i="585"/>
  <c r="U37" i="585"/>
  <c r="AJ37" i="585" s="1"/>
  <c r="T37" i="585"/>
  <c r="AH37" i="585" s="1"/>
  <c r="AG36" i="585"/>
  <c r="V36" i="585"/>
  <c r="U36" i="585"/>
  <c r="AJ36" i="585" s="1"/>
  <c r="AK36" i="585" s="1"/>
  <c r="T36" i="585"/>
  <c r="AG35" i="585"/>
  <c r="U35" i="585"/>
  <c r="AJ35" i="585" s="1"/>
  <c r="AK35" i="585" s="1"/>
  <c r="AM35" i="585" s="1"/>
  <c r="T35" i="585"/>
  <c r="AH35" i="585" s="1"/>
  <c r="AG34" i="585"/>
  <c r="U34" i="585"/>
  <c r="AJ34" i="585" s="1"/>
  <c r="AK34" i="585" s="1"/>
  <c r="AM34" i="585" s="1"/>
  <c r="T34" i="585"/>
  <c r="AH34" i="585" s="1"/>
  <c r="AG33" i="585"/>
  <c r="U33" i="585"/>
  <c r="AJ33" i="585" s="1"/>
  <c r="AK33" i="585" s="1"/>
  <c r="AM33" i="585" s="1"/>
  <c r="T33" i="585"/>
  <c r="AH33" i="585" s="1"/>
  <c r="AG32" i="585"/>
  <c r="U32" i="585"/>
  <c r="AJ32" i="585" s="1"/>
  <c r="AK32" i="585" s="1"/>
  <c r="AM32" i="585" s="1"/>
  <c r="T32" i="585"/>
  <c r="AH32" i="585" s="1"/>
  <c r="AL32" i="585" s="1"/>
  <c r="AG31" i="585"/>
  <c r="U31" i="585"/>
  <c r="AJ31" i="585" s="1"/>
  <c r="AK31" i="585" s="1"/>
  <c r="AM31" i="585" s="1"/>
  <c r="T31" i="585"/>
  <c r="AH31" i="585" s="1"/>
  <c r="AG30" i="585"/>
  <c r="U30" i="585"/>
  <c r="AJ30" i="585" s="1"/>
  <c r="AK30" i="585" s="1"/>
  <c r="AM30" i="585" s="1"/>
  <c r="T30" i="585"/>
  <c r="AH30" i="585" s="1"/>
  <c r="AG29" i="585"/>
  <c r="V29" i="585"/>
  <c r="U29" i="585"/>
  <c r="AJ29" i="585" s="1"/>
  <c r="AK29" i="585" s="1"/>
  <c r="T29" i="585"/>
  <c r="AG28" i="585"/>
  <c r="U28" i="585"/>
  <c r="AJ28" i="585" s="1"/>
  <c r="T28" i="585"/>
  <c r="AH28" i="585" s="1"/>
  <c r="AG27" i="585"/>
  <c r="V27" i="585"/>
  <c r="U27" i="585"/>
  <c r="AJ27" i="585" s="1"/>
  <c r="AK27" i="585" s="1"/>
  <c r="T27" i="585"/>
  <c r="AG26" i="585"/>
  <c r="U26" i="585"/>
  <c r="T26" i="585"/>
  <c r="AH26" i="585" s="1"/>
  <c r="AG25" i="585"/>
  <c r="U25" i="585"/>
  <c r="T25" i="585"/>
  <c r="AH25" i="585" s="1"/>
  <c r="AG24" i="585"/>
  <c r="U24" i="585"/>
  <c r="T24" i="585"/>
  <c r="AH24" i="585" s="1"/>
  <c r="AG23" i="585"/>
  <c r="U23" i="585"/>
  <c r="T23" i="585"/>
  <c r="AH23" i="585" s="1"/>
  <c r="AG22" i="585"/>
  <c r="V22" i="585"/>
  <c r="U22" i="585"/>
  <c r="T22" i="585"/>
  <c r="AG21" i="585"/>
  <c r="U21" i="585"/>
  <c r="T21" i="585"/>
  <c r="AH21" i="585" s="1"/>
  <c r="AG20" i="585"/>
  <c r="U20" i="585"/>
  <c r="T20" i="585"/>
  <c r="AH20" i="585" s="1"/>
  <c r="AG19" i="585"/>
  <c r="U19" i="585"/>
  <c r="T19" i="585"/>
  <c r="AH19" i="585" s="1"/>
  <c r="AG18" i="585"/>
  <c r="U18" i="585"/>
  <c r="T18" i="585"/>
  <c r="AH18" i="585" s="1"/>
  <c r="AG17" i="585"/>
  <c r="U17" i="585"/>
  <c r="T17" i="585"/>
  <c r="AH17" i="585" s="1"/>
  <c r="AG16" i="585"/>
  <c r="U16" i="585"/>
  <c r="T16" i="585"/>
  <c r="AH16" i="585" s="1"/>
  <c r="AG15" i="585"/>
  <c r="V15" i="585"/>
  <c r="U15" i="585"/>
  <c r="AJ15" i="585" s="1"/>
  <c r="AK15" i="585" s="1"/>
  <c r="T15" i="585"/>
  <c r="AG14" i="585"/>
  <c r="U14" i="585"/>
  <c r="AJ14" i="585" s="1"/>
  <c r="T14" i="585"/>
  <c r="AH14" i="585" s="1"/>
  <c r="AG13" i="585"/>
  <c r="U13" i="585"/>
  <c r="AJ13" i="585" s="1"/>
  <c r="T13" i="585"/>
  <c r="AH13" i="585" s="1"/>
  <c r="AG12" i="585"/>
  <c r="U12" i="585"/>
  <c r="AJ12" i="585" s="1"/>
  <c r="T12" i="585"/>
  <c r="AH12" i="585" s="1"/>
  <c r="AG11" i="585"/>
  <c r="U11" i="585"/>
  <c r="AJ11" i="585" s="1"/>
  <c r="T11" i="585"/>
  <c r="AH11" i="585" s="1"/>
  <c r="AG10" i="585"/>
  <c r="U10" i="585"/>
  <c r="AJ10" i="585" s="1"/>
  <c r="T10" i="585"/>
  <c r="AH10" i="585" s="1"/>
  <c r="AG9" i="585"/>
  <c r="V9" i="585"/>
  <c r="U9" i="585"/>
  <c r="T9" i="585"/>
  <c r="O4" i="585"/>
  <c r="I4" i="585"/>
  <c r="G4" i="585"/>
  <c r="AZ2" i="585"/>
  <c r="BA2" i="585" s="1"/>
  <c r="AR2" i="585"/>
  <c r="G2" i="585"/>
  <c r="AH48" i="585" l="1"/>
  <c r="AH15" i="585"/>
  <c r="AH40" i="585"/>
  <c r="AI40" i="585" s="1"/>
  <c r="AM40" i="585" s="1"/>
  <c r="AL11" i="585"/>
  <c r="AL10" i="585"/>
  <c r="AH36" i="585"/>
  <c r="AL36" i="585" s="1"/>
  <c r="AJ9" i="585"/>
  <c r="AK9" i="585" s="1"/>
  <c r="AH29" i="585"/>
  <c r="AL51" i="585"/>
  <c r="AL52" i="585"/>
  <c r="AL30" i="585"/>
  <c r="AL34" i="585"/>
  <c r="AL41" i="585"/>
  <c r="AL42" i="585"/>
  <c r="AL14" i="585"/>
  <c r="AJ22" i="585"/>
  <c r="AK22" i="585" s="1"/>
  <c r="AH9" i="585"/>
  <c r="AI9" i="585" s="1"/>
  <c r="AL43" i="585"/>
  <c r="AL46" i="585"/>
  <c r="AH53" i="585"/>
  <c r="AI53" i="585" s="1"/>
  <c r="AM53" i="585" s="1"/>
  <c r="AL12" i="585"/>
  <c r="AH22" i="585"/>
  <c r="AH27" i="585"/>
  <c r="AI27" i="585" s="1"/>
  <c r="AM27" i="585" s="1"/>
  <c r="AL33" i="585"/>
  <c r="AL38" i="585"/>
  <c r="AL54" i="585"/>
  <c r="AL55" i="585"/>
  <c r="AH56" i="585"/>
  <c r="AI56" i="585" s="1"/>
  <c r="AM56" i="585" s="1"/>
  <c r="AL13" i="585"/>
  <c r="AL49" i="585"/>
  <c r="AL50" i="585"/>
  <c r="AL57" i="585"/>
  <c r="AL58" i="585"/>
  <c r="AL59" i="585"/>
  <c r="AM89" i="585"/>
  <c r="AM77" i="585"/>
  <c r="AM93" i="585"/>
  <c r="AL81" i="585"/>
  <c r="AM127" i="585"/>
  <c r="AM135" i="585"/>
  <c r="AM143" i="585"/>
  <c r="AK85" i="585"/>
  <c r="AM85" i="585" s="1"/>
  <c r="AL85" i="585"/>
  <c r="AK101" i="585"/>
  <c r="AM101" i="585" s="1"/>
  <c r="AL101" i="585"/>
  <c r="AK123" i="585"/>
  <c r="AM123" i="585" s="1"/>
  <c r="AL123" i="585"/>
  <c r="AK131" i="585"/>
  <c r="AM131" i="585" s="1"/>
  <c r="AL131" i="585"/>
  <c r="AK139" i="585"/>
  <c r="AM139" i="585" s="1"/>
  <c r="AL139" i="585"/>
  <c r="AM76" i="585"/>
  <c r="AL77" i="585"/>
  <c r="AM84" i="585"/>
  <c r="AL93" i="585"/>
  <c r="AM97" i="585"/>
  <c r="AM120" i="585"/>
  <c r="AL135" i="585"/>
  <c r="AL120" i="585"/>
  <c r="AL76" i="585"/>
  <c r="AM121" i="585"/>
  <c r="AL127" i="585"/>
  <c r="AL143" i="585"/>
  <c r="AL15" i="585"/>
  <c r="AI15" i="585"/>
  <c r="AM15" i="585" s="1"/>
  <c r="AI36" i="585"/>
  <c r="AM36" i="585" s="1"/>
  <c r="AL39" i="585"/>
  <c r="AK39" i="585"/>
  <c r="AM39" i="585" s="1"/>
  <c r="AL28" i="585"/>
  <c r="AL31" i="585"/>
  <c r="AL35" i="585"/>
  <c r="AL37" i="585"/>
  <c r="AK37" i="585"/>
  <c r="AM37" i="585" s="1"/>
  <c r="AI44" i="585"/>
  <c r="AM44" i="585" s="1"/>
  <c r="AL44" i="585"/>
  <c r="AL53" i="585"/>
  <c r="AI61" i="585"/>
  <c r="AM61" i="585" s="1"/>
  <c r="AL61" i="585"/>
  <c r="AI74" i="585"/>
  <c r="AM74" i="585" s="1"/>
  <c r="AL74" i="585"/>
  <c r="AL75" i="585"/>
  <c r="AI75" i="585"/>
  <c r="AM75" i="585" s="1"/>
  <c r="AL83" i="585"/>
  <c r="AI83" i="585"/>
  <c r="AM83" i="585" s="1"/>
  <c r="AI103" i="585"/>
  <c r="AM103" i="585" s="1"/>
  <c r="AL103" i="585"/>
  <c r="AL40" i="585"/>
  <c r="AL47" i="585"/>
  <c r="AK47" i="585"/>
  <c r="AM47" i="585" s="1"/>
  <c r="AI62" i="585"/>
  <c r="AM62" i="585" s="1"/>
  <c r="AL62" i="585"/>
  <c r="AI66" i="585"/>
  <c r="AM66" i="585" s="1"/>
  <c r="AL66" i="585"/>
  <c r="AI72" i="585"/>
  <c r="AM72" i="585" s="1"/>
  <c r="AL72" i="585"/>
  <c r="AI22" i="585"/>
  <c r="AM22" i="585" s="1"/>
  <c r="AL45" i="585"/>
  <c r="AK45" i="585"/>
  <c r="AM45" i="585" s="1"/>
  <c r="AL56" i="585"/>
  <c r="AI70" i="585"/>
  <c r="AM70" i="585" s="1"/>
  <c r="AL70" i="585"/>
  <c r="AI82" i="585"/>
  <c r="AM82" i="585" s="1"/>
  <c r="AL82" i="585"/>
  <c r="AI87" i="585"/>
  <c r="AM87" i="585" s="1"/>
  <c r="AL87" i="585"/>
  <c r="AI91" i="585"/>
  <c r="AM91" i="585" s="1"/>
  <c r="AL91" i="585"/>
  <c r="AL29" i="585"/>
  <c r="AI29" i="585"/>
  <c r="AM29" i="585" s="1"/>
  <c r="AL48" i="585"/>
  <c r="AI48" i="585"/>
  <c r="AM48" i="585" s="1"/>
  <c r="AI60" i="585"/>
  <c r="AM60" i="585" s="1"/>
  <c r="AL60" i="585"/>
  <c r="AI64" i="585"/>
  <c r="AM64" i="585" s="1"/>
  <c r="AL64" i="585"/>
  <c r="AI68" i="585"/>
  <c r="AM68" i="585" s="1"/>
  <c r="AL68" i="585"/>
  <c r="AI95" i="585"/>
  <c r="AM95" i="585" s="1"/>
  <c r="AL95" i="585"/>
  <c r="AI99" i="585"/>
  <c r="AM99" i="585" s="1"/>
  <c r="AL99" i="585"/>
  <c r="AI73" i="585"/>
  <c r="AM73" i="585" s="1"/>
  <c r="AL73" i="585"/>
  <c r="AI79" i="585"/>
  <c r="AM79" i="585" s="1"/>
  <c r="AL79" i="585"/>
  <c r="AI90" i="585"/>
  <c r="AM90" i="585" s="1"/>
  <c r="AL90" i="585"/>
  <c r="AI98" i="585"/>
  <c r="AM98" i="585" s="1"/>
  <c r="AL98" i="585"/>
  <c r="AL119" i="585"/>
  <c r="AI119" i="585"/>
  <c r="AM119" i="585" s="1"/>
  <c r="AI125" i="585"/>
  <c r="AM125" i="585" s="1"/>
  <c r="AL125" i="585"/>
  <c r="AI141" i="585"/>
  <c r="AM141" i="585" s="1"/>
  <c r="AL141" i="585"/>
  <c r="AI63" i="585"/>
  <c r="AM63" i="585" s="1"/>
  <c r="AL63" i="585"/>
  <c r="AI65" i="585"/>
  <c r="AM65" i="585" s="1"/>
  <c r="AL65" i="585"/>
  <c r="AI67" i="585"/>
  <c r="AM67" i="585" s="1"/>
  <c r="AL67" i="585"/>
  <c r="AI80" i="585"/>
  <c r="AM80" i="585" s="1"/>
  <c r="AL80" i="585"/>
  <c r="AI88" i="585"/>
  <c r="AM88" i="585" s="1"/>
  <c r="AL88" i="585"/>
  <c r="AI96" i="585"/>
  <c r="AM96" i="585" s="1"/>
  <c r="AL96" i="585"/>
  <c r="AI104" i="585"/>
  <c r="AM104" i="585" s="1"/>
  <c r="AL104" i="585"/>
  <c r="AI108" i="585"/>
  <c r="AM108" i="585" s="1"/>
  <c r="AL108" i="585"/>
  <c r="AI112" i="585"/>
  <c r="AM112" i="585" s="1"/>
  <c r="AL112" i="585"/>
  <c r="AI129" i="585"/>
  <c r="AM129" i="585" s="1"/>
  <c r="AL129" i="585"/>
  <c r="AI145" i="585"/>
  <c r="AM145" i="585" s="1"/>
  <c r="AL145" i="585"/>
  <c r="AI69" i="585"/>
  <c r="AM69" i="585" s="1"/>
  <c r="AL69" i="585"/>
  <c r="AI78" i="585"/>
  <c r="AM78" i="585" s="1"/>
  <c r="AL78" i="585"/>
  <c r="AI81" i="585"/>
  <c r="AM81" i="585" s="1"/>
  <c r="AI86" i="585"/>
  <c r="AM86" i="585" s="1"/>
  <c r="AL86" i="585"/>
  <c r="AI94" i="585"/>
  <c r="AM94" i="585" s="1"/>
  <c r="AL94" i="585"/>
  <c r="AI102" i="585"/>
  <c r="AM102" i="585" s="1"/>
  <c r="AL102" i="585"/>
  <c r="AI118" i="585"/>
  <c r="AM118" i="585" s="1"/>
  <c r="AL118" i="585"/>
  <c r="AI133" i="585"/>
  <c r="AM133" i="585" s="1"/>
  <c r="AL133" i="585"/>
  <c r="AI71" i="585"/>
  <c r="AM71" i="585" s="1"/>
  <c r="AL71" i="585"/>
  <c r="AL84" i="585"/>
  <c r="AL89" i="585"/>
  <c r="AI92" i="585"/>
  <c r="AM92" i="585" s="1"/>
  <c r="AL92" i="585"/>
  <c r="AL97" i="585"/>
  <c r="AI100" i="585"/>
  <c r="AM100" i="585" s="1"/>
  <c r="AL100" i="585"/>
  <c r="AI106" i="585"/>
  <c r="AM106" i="585" s="1"/>
  <c r="AL106" i="585"/>
  <c r="AI110" i="585"/>
  <c r="AM110" i="585" s="1"/>
  <c r="AL110" i="585"/>
  <c r="AI137" i="585"/>
  <c r="AM137" i="585" s="1"/>
  <c r="AL137" i="585"/>
  <c r="AL121" i="585"/>
  <c r="AI126" i="585"/>
  <c r="AM126" i="585" s="1"/>
  <c r="AL126" i="585"/>
  <c r="AI134" i="585"/>
  <c r="AM134" i="585" s="1"/>
  <c r="AL134" i="585"/>
  <c r="AI142" i="585"/>
  <c r="AM142" i="585" s="1"/>
  <c r="AL142" i="585"/>
  <c r="AI148" i="585"/>
  <c r="AM148" i="585" s="1"/>
  <c r="AL148" i="585"/>
  <c r="AI115" i="585"/>
  <c r="AM115" i="585" s="1"/>
  <c r="AL115" i="585"/>
  <c r="AI122" i="585"/>
  <c r="AM122" i="585" s="1"/>
  <c r="AL122" i="585"/>
  <c r="AI124" i="585"/>
  <c r="AM124" i="585" s="1"/>
  <c r="AL124" i="585"/>
  <c r="AI132" i="585"/>
  <c r="AM132" i="585" s="1"/>
  <c r="AL132" i="585"/>
  <c r="AI140" i="585"/>
  <c r="AM140" i="585" s="1"/>
  <c r="AL140" i="585"/>
  <c r="AI149" i="585"/>
  <c r="AM149" i="585" s="1"/>
  <c r="AL149" i="585"/>
  <c r="AI105" i="585"/>
  <c r="AM105" i="585" s="1"/>
  <c r="AL105" i="585"/>
  <c r="AI107" i="585"/>
  <c r="AM107" i="585" s="1"/>
  <c r="AL107" i="585"/>
  <c r="AI109" i="585"/>
  <c r="AM109" i="585" s="1"/>
  <c r="AL109" i="585"/>
  <c r="AI111" i="585"/>
  <c r="AM111" i="585" s="1"/>
  <c r="AL111" i="585"/>
  <c r="AM113" i="585"/>
  <c r="AL113" i="585"/>
  <c r="AI116" i="585"/>
  <c r="AM116" i="585" s="1"/>
  <c r="AL116" i="585"/>
  <c r="AI130" i="585"/>
  <c r="AM130" i="585" s="1"/>
  <c r="AL130" i="585"/>
  <c r="AI138" i="585"/>
  <c r="AM138" i="585" s="1"/>
  <c r="AL138" i="585"/>
  <c r="AI146" i="585"/>
  <c r="AM146" i="585" s="1"/>
  <c r="AL146" i="585"/>
  <c r="AI150" i="585"/>
  <c r="AM150" i="585" s="1"/>
  <c r="AL150" i="585"/>
  <c r="AI114" i="585"/>
  <c r="AM114" i="585" s="1"/>
  <c r="AL114" i="585"/>
  <c r="AL117" i="585"/>
  <c r="AI117" i="585"/>
  <c r="AM117" i="585" s="1"/>
  <c r="AI128" i="585"/>
  <c r="AM128" i="585" s="1"/>
  <c r="AL128" i="585"/>
  <c r="AI136" i="585"/>
  <c r="AM136" i="585" s="1"/>
  <c r="AL136" i="585"/>
  <c r="AI144" i="585"/>
  <c r="AM144" i="585" s="1"/>
  <c r="AL144" i="585"/>
  <c r="AI147" i="585"/>
  <c r="AM147" i="585" s="1"/>
  <c r="AL147" i="585"/>
  <c r="AI151" i="585"/>
  <c r="AM151" i="585" s="1"/>
  <c r="AL151" i="585"/>
  <c r="AI152" i="585"/>
  <c r="AM152" i="585" s="1"/>
  <c r="AL152" i="585"/>
  <c r="AI156" i="585"/>
  <c r="AM156" i="585" s="1"/>
  <c r="AL156" i="585"/>
  <c r="AI160" i="585"/>
  <c r="AM160" i="585" s="1"/>
  <c r="AL160" i="585"/>
  <c r="AI164" i="585"/>
  <c r="AM164" i="585" s="1"/>
  <c r="AL164" i="585"/>
  <c r="AI168" i="585"/>
  <c r="AM168" i="585" s="1"/>
  <c r="AL168" i="585"/>
  <c r="AI153" i="585"/>
  <c r="AM153" i="585" s="1"/>
  <c r="AL153" i="585"/>
  <c r="AI157" i="585"/>
  <c r="AM157" i="585" s="1"/>
  <c r="AL157" i="585"/>
  <c r="AI161" i="585"/>
  <c r="AM161" i="585" s="1"/>
  <c r="AL161" i="585"/>
  <c r="AI165" i="585"/>
  <c r="AM165" i="585" s="1"/>
  <c r="AL165" i="585"/>
  <c r="AI154" i="585"/>
  <c r="AM154" i="585" s="1"/>
  <c r="AL154" i="585"/>
  <c r="AI158" i="585"/>
  <c r="AM158" i="585" s="1"/>
  <c r="AL158" i="585"/>
  <c r="AI162" i="585"/>
  <c r="AM162" i="585" s="1"/>
  <c r="AL162" i="585"/>
  <c r="AI166" i="585"/>
  <c r="AM166" i="585" s="1"/>
  <c r="AL166" i="585"/>
  <c r="AI155" i="585"/>
  <c r="AM155" i="585" s="1"/>
  <c r="AL155" i="585"/>
  <c r="AI159" i="585"/>
  <c r="AM159" i="585" s="1"/>
  <c r="AL159" i="585"/>
  <c r="AI163" i="585"/>
  <c r="AM163" i="585" s="1"/>
  <c r="AL163" i="585"/>
  <c r="AI167" i="585"/>
  <c r="AM167" i="585" s="1"/>
  <c r="AL167" i="585"/>
  <c r="AL27" i="585" l="1"/>
  <c r="AM9" i="585"/>
  <c r="AL22" i="585"/>
  <c r="AL9" i="585"/>
  <c r="AM21" i="584"/>
  <c r="AL21" i="584"/>
  <c r="AK21" i="584"/>
  <c r="AJ21" i="584"/>
  <c r="AI21" i="584"/>
  <c r="AH21" i="584"/>
  <c r="AG21" i="584"/>
  <c r="R21" i="584"/>
  <c r="Q21" i="584"/>
  <c r="AS21" i="584" s="1"/>
  <c r="AT21" i="584" s="1"/>
  <c r="O21" i="584"/>
  <c r="AQ21" i="584" s="1"/>
  <c r="AR21" i="584" s="1"/>
  <c r="AM20" i="584"/>
  <c r="AL20" i="584"/>
  <c r="AK20" i="584"/>
  <c r="AJ20" i="584"/>
  <c r="AI20" i="584"/>
  <c r="AH20" i="584"/>
  <c r="AG20" i="584"/>
  <c r="R20" i="584"/>
  <c r="Q20" i="584"/>
  <c r="AS20" i="584" s="1"/>
  <c r="AT20" i="584" s="1"/>
  <c r="O20" i="584"/>
  <c r="AQ20" i="584" s="1"/>
  <c r="AR20" i="584" s="1"/>
  <c r="AM19" i="584"/>
  <c r="AL19" i="584"/>
  <c r="AK19" i="584"/>
  <c r="AJ19" i="584"/>
  <c r="AI19" i="584"/>
  <c r="AH19" i="584"/>
  <c r="AG19" i="584"/>
  <c r="R19" i="584"/>
  <c r="Q19" i="584"/>
  <c r="AS19" i="584" s="1"/>
  <c r="AT19" i="584" s="1"/>
  <c r="O19" i="584"/>
  <c r="AQ19" i="584" s="1"/>
  <c r="AR19" i="584" s="1"/>
  <c r="AM18" i="584"/>
  <c r="AL18" i="584"/>
  <c r="AK18" i="584"/>
  <c r="AJ18" i="584"/>
  <c r="AI18" i="584"/>
  <c r="AH18" i="584"/>
  <c r="AG18" i="584"/>
  <c r="R18" i="584"/>
  <c r="Q18" i="584"/>
  <c r="AS18" i="584" s="1"/>
  <c r="AT18" i="584" s="1"/>
  <c r="O18" i="584"/>
  <c r="AQ18" i="584" s="1"/>
  <c r="AR18" i="584" s="1"/>
  <c r="AM17" i="584"/>
  <c r="AL17" i="584"/>
  <c r="AK17" i="584"/>
  <c r="AJ17" i="584"/>
  <c r="AI17" i="584"/>
  <c r="AH17" i="584"/>
  <c r="AG17" i="584"/>
  <c r="R17" i="584"/>
  <c r="Q17" i="584"/>
  <c r="AS17" i="584" s="1"/>
  <c r="AT17" i="584" s="1"/>
  <c r="O17" i="584"/>
  <c r="AQ17" i="584" s="1"/>
  <c r="AR17" i="584" s="1"/>
  <c r="AM16" i="584"/>
  <c r="AL16" i="584"/>
  <c r="AK16" i="584"/>
  <c r="AJ16" i="584"/>
  <c r="AI16" i="584"/>
  <c r="AH16" i="584"/>
  <c r="AG16" i="584"/>
  <c r="R16" i="584"/>
  <c r="Q16" i="584"/>
  <c r="O16" i="584"/>
  <c r="AM15" i="584"/>
  <c r="AL15" i="584"/>
  <c r="AK15" i="584"/>
  <c r="AJ15" i="584"/>
  <c r="AI15" i="584"/>
  <c r="AH15" i="584"/>
  <c r="AG15" i="584"/>
  <c r="R15" i="584"/>
  <c r="Q15" i="584"/>
  <c r="AS15" i="584" s="1"/>
  <c r="AT15" i="584" s="1"/>
  <c r="O15" i="584"/>
  <c r="AM14" i="584"/>
  <c r="AL14" i="584"/>
  <c r="AK14" i="584"/>
  <c r="AJ14" i="584"/>
  <c r="AI14" i="584"/>
  <c r="AH14" i="584"/>
  <c r="AG14" i="584"/>
  <c r="R14" i="584"/>
  <c r="Q14" i="584"/>
  <c r="AS14" i="584" s="1"/>
  <c r="AT14" i="584" s="1"/>
  <c r="O14" i="584"/>
  <c r="AM13" i="584"/>
  <c r="AL13" i="584"/>
  <c r="AK13" i="584"/>
  <c r="AJ13" i="584"/>
  <c r="AI13" i="584"/>
  <c r="AH13" i="584"/>
  <c r="AG13" i="584"/>
  <c r="R13" i="584"/>
  <c r="Q13" i="584"/>
  <c r="O13" i="584"/>
  <c r="AM12" i="584"/>
  <c r="AL12" i="584"/>
  <c r="AK12" i="584"/>
  <c r="AJ12" i="584"/>
  <c r="AI12" i="584"/>
  <c r="AH12" i="584"/>
  <c r="AG12" i="584"/>
  <c r="R12" i="584"/>
  <c r="Q12" i="584"/>
  <c r="O12" i="584"/>
  <c r="AM11" i="584"/>
  <c r="AL11" i="584"/>
  <c r="AK11" i="584"/>
  <c r="AJ11" i="584"/>
  <c r="AI11" i="584"/>
  <c r="AH11" i="584"/>
  <c r="AG11" i="584"/>
  <c r="R11" i="584"/>
  <c r="Q11" i="584"/>
  <c r="AS11" i="584" s="1"/>
  <c r="AT11" i="584" s="1"/>
  <c r="O11" i="584"/>
  <c r="AM10" i="584"/>
  <c r="AL10" i="584"/>
  <c r="AK10" i="584"/>
  <c r="AJ10" i="584"/>
  <c r="AI10" i="584"/>
  <c r="AH10" i="584"/>
  <c r="AG10" i="584"/>
  <c r="R10" i="584"/>
  <c r="Q10" i="584"/>
  <c r="O10" i="584"/>
  <c r="V4" i="584"/>
  <c r="E4" i="584"/>
  <c r="A4" i="584"/>
  <c r="BD2" i="584"/>
  <c r="A2" i="584"/>
  <c r="AN10" i="584" l="1"/>
  <c r="AN11" i="584"/>
  <c r="AN14" i="584"/>
  <c r="AO14" i="584" s="1"/>
  <c r="AQ14" i="584" s="1"/>
  <c r="AR14" i="584" s="1"/>
  <c r="AU14" i="584" s="1"/>
  <c r="AN16" i="584"/>
  <c r="AN17" i="584"/>
  <c r="AU21" i="584"/>
  <c r="AN12" i="584"/>
  <c r="AN13" i="584"/>
  <c r="AN15" i="584"/>
  <c r="AO15" i="584" s="1"/>
  <c r="AQ15" i="584" s="1"/>
  <c r="AR15" i="584" s="1"/>
  <c r="AU15" i="584" s="1"/>
  <c r="AN18" i="584"/>
  <c r="AN19" i="584"/>
  <c r="AO19" i="584" s="1"/>
  <c r="AP19" i="584" s="1"/>
  <c r="AN20" i="584"/>
  <c r="AN21" i="584"/>
  <c r="AU18" i="584"/>
  <c r="AU20" i="584"/>
  <c r="AO20" i="584"/>
  <c r="AP20" i="584" s="1"/>
  <c r="AO10" i="584"/>
  <c r="AP10" i="584" s="1"/>
  <c r="AO11" i="584"/>
  <c r="AP11" i="584" s="1"/>
  <c r="AU17" i="584"/>
  <c r="AU19" i="584"/>
  <c r="AO21" i="584"/>
  <c r="AQ11" i="584"/>
  <c r="AR11" i="584" s="1"/>
  <c r="AU11" i="584" s="1"/>
  <c r="AO12" i="584"/>
  <c r="AQ12" i="584" s="1"/>
  <c r="AR12" i="584" s="1"/>
  <c r="AO16" i="584"/>
  <c r="AS16" i="584" s="1"/>
  <c r="AT16" i="584" s="1"/>
  <c r="AO17" i="584"/>
  <c r="AP17" i="584" s="1"/>
  <c r="AO18" i="584"/>
  <c r="AP18" i="584"/>
  <c r="AO13" i="584"/>
  <c r="AS13" i="584" s="1"/>
  <c r="AT13" i="584" s="1"/>
  <c r="AS10" i="584" l="1"/>
  <c r="AT10" i="584" s="1"/>
  <c r="AP12" i="584"/>
  <c r="AQ13" i="584"/>
  <c r="AR13" i="584" s="1"/>
  <c r="AP21" i="584"/>
  <c r="AP15" i="584"/>
  <c r="AS12" i="584"/>
  <c r="AT12" i="584" s="1"/>
  <c r="AP14" i="584"/>
  <c r="AQ16" i="584"/>
  <c r="AR16" i="584" s="1"/>
  <c r="AU16" i="584" s="1"/>
  <c r="AP16" i="584"/>
  <c r="AU12" i="584"/>
  <c r="AU13" i="584"/>
  <c r="AQ10" i="584"/>
  <c r="AR10" i="584" s="1"/>
  <c r="AP13" i="584"/>
  <c r="AG168" i="583"/>
  <c r="V168" i="583"/>
  <c r="U168" i="583"/>
  <c r="AJ168" i="583" s="1"/>
  <c r="AK168" i="583" s="1"/>
  <c r="T168" i="583"/>
  <c r="AH168" i="583" s="1"/>
  <c r="AG167" i="583"/>
  <c r="V167" i="583"/>
  <c r="U167" i="583"/>
  <c r="AJ167" i="583" s="1"/>
  <c r="AK167" i="583" s="1"/>
  <c r="T167" i="583"/>
  <c r="AH167" i="583" s="1"/>
  <c r="AG166" i="583"/>
  <c r="V166" i="583"/>
  <c r="U166" i="583"/>
  <c r="AJ166" i="583" s="1"/>
  <c r="AK166" i="583" s="1"/>
  <c r="T166" i="583"/>
  <c r="AH166" i="583" s="1"/>
  <c r="AG165" i="583"/>
  <c r="V165" i="583"/>
  <c r="U165" i="583"/>
  <c r="AJ165" i="583" s="1"/>
  <c r="AK165" i="583" s="1"/>
  <c r="T165" i="583"/>
  <c r="AH165" i="583" s="1"/>
  <c r="AG164" i="583"/>
  <c r="V164" i="583"/>
  <c r="U164" i="583"/>
  <c r="AJ164" i="583" s="1"/>
  <c r="AK164" i="583" s="1"/>
  <c r="T164" i="583"/>
  <c r="AH164" i="583" s="1"/>
  <c r="AG163" i="583"/>
  <c r="V163" i="583"/>
  <c r="U163" i="583"/>
  <c r="AJ163" i="583" s="1"/>
  <c r="AK163" i="583" s="1"/>
  <c r="T163" i="583"/>
  <c r="AH163" i="583" s="1"/>
  <c r="AG162" i="583"/>
  <c r="V162" i="583"/>
  <c r="U162" i="583"/>
  <c r="AJ162" i="583" s="1"/>
  <c r="AK162" i="583" s="1"/>
  <c r="T162" i="583"/>
  <c r="AH162" i="583" s="1"/>
  <c r="AG161" i="583"/>
  <c r="V161" i="583"/>
  <c r="U161" i="583"/>
  <c r="AJ161" i="583" s="1"/>
  <c r="AK161" i="583" s="1"/>
  <c r="T161" i="583"/>
  <c r="AH161" i="583" s="1"/>
  <c r="AG160" i="583"/>
  <c r="V160" i="583"/>
  <c r="U160" i="583"/>
  <c r="AJ160" i="583" s="1"/>
  <c r="AK160" i="583" s="1"/>
  <c r="T160" i="583"/>
  <c r="AH160" i="583" s="1"/>
  <c r="AG159" i="583"/>
  <c r="V159" i="583"/>
  <c r="U159" i="583"/>
  <c r="AJ159" i="583" s="1"/>
  <c r="AK159" i="583" s="1"/>
  <c r="T159" i="583"/>
  <c r="AH159" i="583" s="1"/>
  <c r="AG158" i="583"/>
  <c r="V158" i="583"/>
  <c r="U158" i="583"/>
  <c r="AJ158" i="583" s="1"/>
  <c r="AK158" i="583" s="1"/>
  <c r="T158" i="583"/>
  <c r="AH158" i="583" s="1"/>
  <c r="AG157" i="583"/>
  <c r="V157" i="583"/>
  <c r="U157" i="583"/>
  <c r="AJ157" i="583" s="1"/>
  <c r="AK157" i="583" s="1"/>
  <c r="T157" i="583"/>
  <c r="AH157" i="583" s="1"/>
  <c r="AG156" i="583"/>
  <c r="V156" i="583"/>
  <c r="U156" i="583"/>
  <c r="AJ156" i="583" s="1"/>
  <c r="AK156" i="583" s="1"/>
  <c r="T156" i="583"/>
  <c r="AH156" i="583" s="1"/>
  <c r="AG155" i="583"/>
  <c r="V155" i="583"/>
  <c r="U155" i="583"/>
  <c r="AJ155" i="583" s="1"/>
  <c r="AK155" i="583" s="1"/>
  <c r="T155" i="583"/>
  <c r="AH155" i="583" s="1"/>
  <c r="AG154" i="583"/>
  <c r="V154" i="583"/>
  <c r="U154" i="583"/>
  <c r="AJ154" i="583" s="1"/>
  <c r="AK154" i="583" s="1"/>
  <c r="T154" i="583"/>
  <c r="AH154" i="583" s="1"/>
  <c r="AG153" i="583"/>
  <c r="V153" i="583"/>
  <c r="U153" i="583"/>
  <c r="AJ153" i="583" s="1"/>
  <c r="AK153" i="583" s="1"/>
  <c r="T153" i="583"/>
  <c r="AH153" i="583" s="1"/>
  <c r="AG152" i="583"/>
  <c r="V152" i="583"/>
  <c r="U152" i="583"/>
  <c r="AJ152" i="583" s="1"/>
  <c r="AK152" i="583" s="1"/>
  <c r="T152" i="583"/>
  <c r="AH152" i="583" s="1"/>
  <c r="AG151" i="583"/>
  <c r="V151" i="583"/>
  <c r="U151" i="583"/>
  <c r="AJ151" i="583" s="1"/>
  <c r="AK151" i="583" s="1"/>
  <c r="T151" i="583"/>
  <c r="AH151" i="583" s="1"/>
  <c r="AG150" i="583"/>
  <c r="V150" i="583"/>
  <c r="U150" i="583"/>
  <c r="AJ150" i="583" s="1"/>
  <c r="AK150" i="583" s="1"/>
  <c r="T150" i="583"/>
  <c r="AH150" i="583" s="1"/>
  <c r="AG149" i="583"/>
  <c r="V149" i="583"/>
  <c r="U149" i="583"/>
  <c r="AJ149" i="583" s="1"/>
  <c r="AK149" i="583" s="1"/>
  <c r="T149" i="583"/>
  <c r="AH149" i="583" s="1"/>
  <c r="AG148" i="583"/>
  <c r="V148" i="583"/>
  <c r="U148" i="583"/>
  <c r="AJ148" i="583" s="1"/>
  <c r="AK148" i="583" s="1"/>
  <c r="T148" i="583"/>
  <c r="AH148" i="583" s="1"/>
  <c r="AG147" i="583"/>
  <c r="V147" i="583"/>
  <c r="U147" i="583"/>
  <c r="AJ147" i="583" s="1"/>
  <c r="AK147" i="583" s="1"/>
  <c r="T147" i="583"/>
  <c r="AH147" i="583" s="1"/>
  <c r="AG146" i="583"/>
  <c r="V146" i="583"/>
  <c r="U146" i="583"/>
  <c r="AJ146" i="583" s="1"/>
  <c r="AK146" i="583" s="1"/>
  <c r="T146" i="583"/>
  <c r="AH146" i="583" s="1"/>
  <c r="AG145" i="583"/>
  <c r="V145" i="583"/>
  <c r="U145" i="583"/>
  <c r="AJ145" i="583" s="1"/>
  <c r="AK145" i="583" s="1"/>
  <c r="T145" i="583"/>
  <c r="AH145" i="583" s="1"/>
  <c r="AG144" i="583"/>
  <c r="V144" i="583"/>
  <c r="U144" i="583"/>
  <c r="AJ144" i="583" s="1"/>
  <c r="AK144" i="583" s="1"/>
  <c r="T144" i="583"/>
  <c r="AH144" i="583" s="1"/>
  <c r="AG143" i="583"/>
  <c r="V143" i="583"/>
  <c r="U143" i="583"/>
  <c r="AJ143" i="583" s="1"/>
  <c r="AK143" i="583" s="1"/>
  <c r="T143" i="583"/>
  <c r="AH143" i="583" s="1"/>
  <c r="AG142" i="583"/>
  <c r="V142" i="583"/>
  <c r="U142" i="583"/>
  <c r="AJ142" i="583" s="1"/>
  <c r="AK142" i="583" s="1"/>
  <c r="T142" i="583"/>
  <c r="AH142" i="583" s="1"/>
  <c r="AG141" i="583"/>
  <c r="V141" i="583"/>
  <c r="U141" i="583"/>
  <c r="AJ141" i="583" s="1"/>
  <c r="AK141" i="583" s="1"/>
  <c r="T141" i="583"/>
  <c r="AH141" i="583" s="1"/>
  <c r="AG140" i="583"/>
  <c r="V140" i="583"/>
  <c r="U140" i="583"/>
  <c r="AJ140" i="583" s="1"/>
  <c r="AK140" i="583" s="1"/>
  <c r="T140" i="583"/>
  <c r="AH140" i="583" s="1"/>
  <c r="AG139" i="583"/>
  <c r="V139" i="583"/>
  <c r="U139" i="583"/>
  <c r="AJ139" i="583" s="1"/>
  <c r="AK139" i="583" s="1"/>
  <c r="T139" i="583"/>
  <c r="AH139" i="583" s="1"/>
  <c r="AG138" i="583"/>
  <c r="V138" i="583"/>
  <c r="U138" i="583"/>
  <c r="AJ138" i="583" s="1"/>
  <c r="AK138" i="583" s="1"/>
  <c r="T138" i="583"/>
  <c r="AH138" i="583" s="1"/>
  <c r="AG137" i="583"/>
  <c r="V137" i="583"/>
  <c r="U137" i="583"/>
  <c r="AJ137" i="583" s="1"/>
  <c r="AK137" i="583" s="1"/>
  <c r="T137" i="583"/>
  <c r="AH137" i="583" s="1"/>
  <c r="AG136" i="583"/>
  <c r="V136" i="583"/>
  <c r="U136" i="583"/>
  <c r="AJ136" i="583" s="1"/>
  <c r="AK136" i="583" s="1"/>
  <c r="T136" i="583"/>
  <c r="AH136" i="583" s="1"/>
  <c r="AG135" i="583"/>
  <c r="V135" i="583"/>
  <c r="U135" i="583"/>
  <c r="AJ135" i="583" s="1"/>
  <c r="AK135" i="583" s="1"/>
  <c r="T135" i="583"/>
  <c r="AH135" i="583" s="1"/>
  <c r="AG134" i="583"/>
  <c r="V134" i="583"/>
  <c r="U134" i="583"/>
  <c r="AJ134" i="583" s="1"/>
  <c r="AK134" i="583" s="1"/>
  <c r="T134" i="583"/>
  <c r="AH134" i="583" s="1"/>
  <c r="AG133" i="583"/>
  <c r="V133" i="583"/>
  <c r="U133" i="583"/>
  <c r="AJ133" i="583" s="1"/>
  <c r="AK133" i="583" s="1"/>
  <c r="T133" i="583"/>
  <c r="AH133" i="583" s="1"/>
  <c r="AG132" i="583"/>
  <c r="V132" i="583"/>
  <c r="U132" i="583"/>
  <c r="AJ132" i="583" s="1"/>
  <c r="AK132" i="583" s="1"/>
  <c r="T132" i="583"/>
  <c r="AH132" i="583" s="1"/>
  <c r="AG131" i="583"/>
  <c r="V131" i="583"/>
  <c r="U131" i="583"/>
  <c r="AJ131" i="583" s="1"/>
  <c r="AK131" i="583" s="1"/>
  <c r="T131" i="583"/>
  <c r="AH131" i="583" s="1"/>
  <c r="AG130" i="583"/>
  <c r="V130" i="583"/>
  <c r="U130" i="583"/>
  <c r="AJ130" i="583" s="1"/>
  <c r="AK130" i="583" s="1"/>
  <c r="T130" i="583"/>
  <c r="AH130" i="583" s="1"/>
  <c r="AG129" i="583"/>
  <c r="V129" i="583"/>
  <c r="U129" i="583"/>
  <c r="AJ129" i="583" s="1"/>
  <c r="AK129" i="583" s="1"/>
  <c r="T129" i="583"/>
  <c r="AH129" i="583" s="1"/>
  <c r="AG128" i="583"/>
  <c r="V128" i="583"/>
  <c r="U128" i="583"/>
  <c r="AJ128" i="583" s="1"/>
  <c r="AK128" i="583" s="1"/>
  <c r="T128" i="583"/>
  <c r="AH128" i="583" s="1"/>
  <c r="AG127" i="583"/>
  <c r="V127" i="583"/>
  <c r="U127" i="583"/>
  <c r="AJ127" i="583" s="1"/>
  <c r="AK127" i="583" s="1"/>
  <c r="T127" i="583"/>
  <c r="AH127" i="583" s="1"/>
  <c r="AG126" i="583"/>
  <c r="V126" i="583"/>
  <c r="U126" i="583"/>
  <c r="AJ126" i="583" s="1"/>
  <c r="AK126" i="583" s="1"/>
  <c r="T126" i="583"/>
  <c r="AH126" i="583" s="1"/>
  <c r="AG125" i="583"/>
  <c r="V125" i="583"/>
  <c r="U125" i="583"/>
  <c r="AJ125" i="583" s="1"/>
  <c r="AK125" i="583" s="1"/>
  <c r="T125" i="583"/>
  <c r="AH125" i="583" s="1"/>
  <c r="AG124" i="583"/>
  <c r="V124" i="583"/>
  <c r="U124" i="583"/>
  <c r="AJ124" i="583" s="1"/>
  <c r="AK124" i="583" s="1"/>
  <c r="T124" i="583"/>
  <c r="AH124" i="583" s="1"/>
  <c r="AG123" i="583"/>
  <c r="V123" i="583"/>
  <c r="U123" i="583"/>
  <c r="AJ123" i="583" s="1"/>
  <c r="AK123" i="583" s="1"/>
  <c r="T123" i="583"/>
  <c r="AH123" i="583" s="1"/>
  <c r="AG122" i="583"/>
  <c r="V122" i="583"/>
  <c r="U122" i="583"/>
  <c r="AJ122" i="583" s="1"/>
  <c r="AK122" i="583" s="1"/>
  <c r="T122" i="583"/>
  <c r="AH122" i="583" s="1"/>
  <c r="AG121" i="583"/>
  <c r="V121" i="583"/>
  <c r="U121" i="583"/>
  <c r="AJ121" i="583" s="1"/>
  <c r="AK121" i="583" s="1"/>
  <c r="T121" i="583"/>
  <c r="AH121" i="583" s="1"/>
  <c r="AG120" i="583"/>
  <c r="V120" i="583"/>
  <c r="U120" i="583"/>
  <c r="AJ120" i="583" s="1"/>
  <c r="AK120" i="583" s="1"/>
  <c r="T120" i="583"/>
  <c r="AH120" i="583" s="1"/>
  <c r="AG119" i="583"/>
  <c r="V119" i="583"/>
  <c r="U119" i="583"/>
  <c r="AJ119" i="583" s="1"/>
  <c r="AK119" i="583" s="1"/>
  <c r="T119" i="583"/>
  <c r="AH119" i="583" s="1"/>
  <c r="AG118" i="583"/>
  <c r="V118" i="583"/>
  <c r="U118" i="583"/>
  <c r="AJ118" i="583" s="1"/>
  <c r="AK118" i="583" s="1"/>
  <c r="T118" i="583"/>
  <c r="AH118" i="583" s="1"/>
  <c r="AG117" i="583"/>
  <c r="V117" i="583"/>
  <c r="U117" i="583"/>
  <c r="AJ117" i="583" s="1"/>
  <c r="AK117" i="583" s="1"/>
  <c r="T117" i="583"/>
  <c r="AH117" i="583" s="1"/>
  <c r="AG116" i="583"/>
  <c r="V116" i="583"/>
  <c r="U116" i="583"/>
  <c r="AJ116" i="583" s="1"/>
  <c r="AK116" i="583" s="1"/>
  <c r="T116" i="583"/>
  <c r="AH116" i="583" s="1"/>
  <c r="AG115" i="583"/>
  <c r="V115" i="583"/>
  <c r="U115" i="583"/>
  <c r="AJ115" i="583" s="1"/>
  <c r="AK115" i="583" s="1"/>
  <c r="T115" i="583"/>
  <c r="AH115" i="583" s="1"/>
  <c r="AG114" i="583"/>
  <c r="V114" i="583"/>
  <c r="U114" i="583"/>
  <c r="AJ114" i="583" s="1"/>
  <c r="AK114" i="583" s="1"/>
  <c r="T114" i="583"/>
  <c r="AH114" i="583" s="1"/>
  <c r="AG113" i="583"/>
  <c r="V113" i="583"/>
  <c r="U113" i="583"/>
  <c r="AJ113" i="583" s="1"/>
  <c r="AK113" i="583" s="1"/>
  <c r="T113" i="583"/>
  <c r="AH113" i="583" s="1"/>
  <c r="AG112" i="583"/>
  <c r="V112" i="583"/>
  <c r="U112" i="583"/>
  <c r="AJ112" i="583" s="1"/>
  <c r="AK112" i="583" s="1"/>
  <c r="T112" i="583"/>
  <c r="AH112" i="583" s="1"/>
  <c r="AG111" i="583"/>
  <c r="V111" i="583"/>
  <c r="U111" i="583"/>
  <c r="AJ111" i="583" s="1"/>
  <c r="AK111" i="583" s="1"/>
  <c r="T111" i="583"/>
  <c r="AH111" i="583" s="1"/>
  <c r="AG110" i="583"/>
  <c r="V110" i="583"/>
  <c r="U110" i="583"/>
  <c r="AJ110" i="583" s="1"/>
  <c r="AK110" i="583" s="1"/>
  <c r="T110" i="583"/>
  <c r="AH110" i="583" s="1"/>
  <c r="AG109" i="583"/>
  <c r="V109" i="583"/>
  <c r="U109" i="583"/>
  <c r="AJ109" i="583" s="1"/>
  <c r="AK109" i="583" s="1"/>
  <c r="T109" i="583"/>
  <c r="AH109" i="583" s="1"/>
  <c r="AG108" i="583"/>
  <c r="V108" i="583"/>
  <c r="U108" i="583"/>
  <c r="AJ108" i="583" s="1"/>
  <c r="AK108" i="583" s="1"/>
  <c r="T108" i="583"/>
  <c r="AH108" i="583" s="1"/>
  <c r="AG107" i="583"/>
  <c r="V107" i="583"/>
  <c r="U107" i="583"/>
  <c r="AJ107" i="583" s="1"/>
  <c r="AK107" i="583" s="1"/>
  <c r="T107" i="583"/>
  <c r="AH107" i="583" s="1"/>
  <c r="AG106" i="583"/>
  <c r="V106" i="583"/>
  <c r="U106" i="583"/>
  <c r="AJ106" i="583" s="1"/>
  <c r="AK106" i="583" s="1"/>
  <c r="T106" i="583"/>
  <c r="AH106" i="583" s="1"/>
  <c r="AG105" i="583"/>
  <c r="V105" i="583"/>
  <c r="U105" i="583"/>
  <c r="AJ105" i="583" s="1"/>
  <c r="AK105" i="583" s="1"/>
  <c r="T105" i="583"/>
  <c r="AH105" i="583" s="1"/>
  <c r="AG104" i="583"/>
  <c r="V104" i="583"/>
  <c r="U104" i="583"/>
  <c r="AJ104" i="583" s="1"/>
  <c r="AK104" i="583" s="1"/>
  <c r="T104" i="583"/>
  <c r="AH104" i="583" s="1"/>
  <c r="AG103" i="583"/>
  <c r="V103" i="583"/>
  <c r="U103" i="583"/>
  <c r="AJ103" i="583" s="1"/>
  <c r="AK103" i="583" s="1"/>
  <c r="T103" i="583"/>
  <c r="AH103" i="583" s="1"/>
  <c r="AG102" i="583"/>
  <c r="V102" i="583"/>
  <c r="U102" i="583"/>
  <c r="AJ102" i="583" s="1"/>
  <c r="AK102" i="583" s="1"/>
  <c r="T102" i="583"/>
  <c r="AH102" i="583" s="1"/>
  <c r="AG101" i="583"/>
  <c r="V101" i="583"/>
  <c r="U101" i="583"/>
  <c r="AJ101" i="583" s="1"/>
  <c r="AK101" i="583" s="1"/>
  <c r="T101" i="583"/>
  <c r="AH101" i="583" s="1"/>
  <c r="AG100" i="583"/>
  <c r="V100" i="583"/>
  <c r="U100" i="583"/>
  <c r="AJ100" i="583" s="1"/>
  <c r="AK100" i="583" s="1"/>
  <c r="T100" i="583"/>
  <c r="AH100" i="583" s="1"/>
  <c r="AG99" i="583"/>
  <c r="V99" i="583"/>
  <c r="U99" i="583"/>
  <c r="AJ99" i="583" s="1"/>
  <c r="AK99" i="583" s="1"/>
  <c r="T99" i="583"/>
  <c r="AH99" i="583" s="1"/>
  <c r="AG98" i="583"/>
  <c r="V98" i="583"/>
  <c r="U98" i="583"/>
  <c r="AJ98" i="583" s="1"/>
  <c r="AK98" i="583" s="1"/>
  <c r="T98" i="583"/>
  <c r="AH98" i="583" s="1"/>
  <c r="AG97" i="583"/>
  <c r="V97" i="583"/>
  <c r="U97" i="583"/>
  <c r="AJ97" i="583" s="1"/>
  <c r="AK97" i="583" s="1"/>
  <c r="T97" i="583"/>
  <c r="AH97" i="583" s="1"/>
  <c r="AG96" i="583"/>
  <c r="V96" i="583"/>
  <c r="U96" i="583"/>
  <c r="AJ96" i="583" s="1"/>
  <c r="AK96" i="583" s="1"/>
  <c r="T96" i="583"/>
  <c r="AH96" i="583" s="1"/>
  <c r="AG95" i="583"/>
  <c r="V95" i="583"/>
  <c r="U95" i="583"/>
  <c r="AJ95" i="583" s="1"/>
  <c r="AK95" i="583" s="1"/>
  <c r="T95" i="583"/>
  <c r="AH95" i="583" s="1"/>
  <c r="AG94" i="583"/>
  <c r="V94" i="583"/>
  <c r="U94" i="583"/>
  <c r="AJ94" i="583" s="1"/>
  <c r="AK94" i="583" s="1"/>
  <c r="T94" i="583"/>
  <c r="AH94" i="583" s="1"/>
  <c r="AG93" i="583"/>
  <c r="V93" i="583"/>
  <c r="U93" i="583"/>
  <c r="AJ93" i="583" s="1"/>
  <c r="AK93" i="583" s="1"/>
  <c r="T93" i="583"/>
  <c r="AH93" i="583" s="1"/>
  <c r="AG92" i="583"/>
  <c r="V92" i="583"/>
  <c r="U92" i="583"/>
  <c r="AJ92" i="583" s="1"/>
  <c r="AK92" i="583" s="1"/>
  <c r="T92" i="583"/>
  <c r="AH92" i="583" s="1"/>
  <c r="AG91" i="583"/>
  <c r="V91" i="583"/>
  <c r="U91" i="583"/>
  <c r="AJ91" i="583" s="1"/>
  <c r="AK91" i="583" s="1"/>
  <c r="T91" i="583"/>
  <c r="AH91" i="583" s="1"/>
  <c r="AG90" i="583"/>
  <c r="V90" i="583"/>
  <c r="U90" i="583"/>
  <c r="AJ90" i="583" s="1"/>
  <c r="AK90" i="583" s="1"/>
  <c r="T90" i="583"/>
  <c r="AH90" i="583" s="1"/>
  <c r="AG89" i="583"/>
  <c r="V89" i="583"/>
  <c r="U89" i="583"/>
  <c r="AJ89" i="583" s="1"/>
  <c r="AK89" i="583" s="1"/>
  <c r="T89" i="583"/>
  <c r="AH89" i="583" s="1"/>
  <c r="AG88" i="583"/>
  <c r="V88" i="583"/>
  <c r="U88" i="583"/>
  <c r="AJ88" i="583" s="1"/>
  <c r="AK88" i="583" s="1"/>
  <c r="T88" i="583"/>
  <c r="AH88" i="583" s="1"/>
  <c r="AG87" i="583"/>
  <c r="V87" i="583"/>
  <c r="U87" i="583"/>
  <c r="AJ87" i="583" s="1"/>
  <c r="AK87" i="583" s="1"/>
  <c r="T87" i="583"/>
  <c r="AH87" i="583" s="1"/>
  <c r="AG86" i="583"/>
  <c r="V86" i="583"/>
  <c r="U86" i="583"/>
  <c r="AJ86" i="583" s="1"/>
  <c r="AK86" i="583" s="1"/>
  <c r="T86" i="583"/>
  <c r="AH86" i="583" s="1"/>
  <c r="AG85" i="583"/>
  <c r="V85" i="583"/>
  <c r="U85" i="583"/>
  <c r="AJ85" i="583" s="1"/>
  <c r="AK85" i="583" s="1"/>
  <c r="T85" i="583"/>
  <c r="AH85" i="583" s="1"/>
  <c r="AG84" i="583"/>
  <c r="V84" i="583"/>
  <c r="U84" i="583"/>
  <c r="AJ84" i="583" s="1"/>
  <c r="AK84" i="583" s="1"/>
  <c r="T84" i="583"/>
  <c r="AH84" i="583" s="1"/>
  <c r="U83" i="583"/>
  <c r="U82" i="583"/>
  <c r="U81" i="583"/>
  <c r="AG80" i="583"/>
  <c r="V80" i="583"/>
  <c r="U80" i="583"/>
  <c r="AJ80" i="583" s="1"/>
  <c r="AK80" i="583" s="1"/>
  <c r="T80" i="583"/>
  <c r="AH80" i="583" s="1"/>
  <c r="AG77" i="583"/>
  <c r="V77" i="583"/>
  <c r="U77" i="583"/>
  <c r="AJ77" i="583" s="1"/>
  <c r="AK77" i="583" s="1"/>
  <c r="T77" i="583"/>
  <c r="AH77" i="583" s="1"/>
  <c r="AG72" i="583"/>
  <c r="V72" i="583"/>
  <c r="U72" i="583"/>
  <c r="AJ72" i="583" s="1"/>
  <c r="AK72" i="583" s="1"/>
  <c r="T72" i="583"/>
  <c r="AH72" i="583" s="1"/>
  <c r="AH71" i="583"/>
  <c r="U71" i="583"/>
  <c r="AH70" i="583"/>
  <c r="U70" i="583"/>
  <c r="AH69" i="583"/>
  <c r="U69" i="583"/>
  <c r="AH68" i="583"/>
  <c r="U68" i="583"/>
  <c r="AG67" i="583"/>
  <c r="V67" i="583"/>
  <c r="U67" i="583"/>
  <c r="AJ67" i="583" s="1"/>
  <c r="AK67" i="583" s="1"/>
  <c r="T67" i="583"/>
  <c r="AH67" i="583" s="1"/>
  <c r="AH66" i="583"/>
  <c r="U66" i="583"/>
  <c r="AH65" i="583"/>
  <c r="U65" i="583"/>
  <c r="AH64" i="583"/>
  <c r="U64" i="583"/>
  <c r="AG63" i="583"/>
  <c r="V63" i="583"/>
  <c r="U63" i="583"/>
  <c r="AJ63" i="583" s="1"/>
  <c r="AK63" i="583" s="1"/>
  <c r="T63" i="583"/>
  <c r="AK62" i="583"/>
  <c r="AM62" i="583" s="1"/>
  <c r="AH62" i="583"/>
  <c r="U62" i="583"/>
  <c r="AK61" i="583"/>
  <c r="AM61" i="583" s="1"/>
  <c r="AH61" i="583"/>
  <c r="U61" i="583"/>
  <c r="AK60" i="583"/>
  <c r="AM60" i="583" s="1"/>
  <c r="AH60" i="583"/>
  <c r="U60" i="583"/>
  <c r="AG59" i="583"/>
  <c r="V59" i="583"/>
  <c r="U59" i="583"/>
  <c r="T59" i="583"/>
  <c r="AK58" i="583"/>
  <c r="AM58" i="583" s="1"/>
  <c r="AH58" i="583"/>
  <c r="AL58" i="583" s="1"/>
  <c r="U58" i="583"/>
  <c r="AK57" i="583"/>
  <c r="AM57" i="583" s="1"/>
  <c r="AH57" i="583"/>
  <c r="AL57" i="583" s="1"/>
  <c r="U57" i="583"/>
  <c r="AK56" i="583"/>
  <c r="AM56" i="583" s="1"/>
  <c r="AH56" i="583"/>
  <c r="AL56" i="583" s="1"/>
  <c r="U56" i="583"/>
  <c r="AG55" i="583"/>
  <c r="V55" i="583"/>
  <c r="U55" i="583"/>
  <c r="AJ55" i="583" s="1"/>
  <c r="AK55" i="583" s="1"/>
  <c r="T55" i="583"/>
  <c r="AH54" i="583"/>
  <c r="AL54" i="583" s="1"/>
  <c r="AG54" i="583"/>
  <c r="U54" i="583"/>
  <c r="AH53" i="583"/>
  <c r="AL53" i="583" s="1"/>
  <c r="AG53" i="583"/>
  <c r="U53" i="583"/>
  <c r="AH52" i="583"/>
  <c r="AL52" i="583" s="1"/>
  <c r="AG52" i="583"/>
  <c r="U52" i="583"/>
  <c r="AH51" i="583"/>
  <c r="AL51" i="583" s="1"/>
  <c r="AG51" i="583"/>
  <c r="U51" i="583"/>
  <c r="AH50" i="583"/>
  <c r="AL50" i="583" s="1"/>
  <c r="AG50" i="583"/>
  <c r="U50" i="583"/>
  <c r="AH49" i="583"/>
  <c r="AL49" i="583" s="1"/>
  <c r="AG49" i="583"/>
  <c r="U49" i="583"/>
  <c r="AG48" i="583"/>
  <c r="V48" i="583"/>
  <c r="U48" i="583"/>
  <c r="AJ48" i="583" s="1"/>
  <c r="AK48" i="583" s="1"/>
  <c r="T48" i="583"/>
  <c r="AH47" i="583"/>
  <c r="U47" i="583"/>
  <c r="AH46" i="583"/>
  <c r="U46" i="583"/>
  <c r="AH45" i="583"/>
  <c r="U45" i="583"/>
  <c r="AH44" i="583"/>
  <c r="U44" i="583"/>
  <c r="AH43" i="583"/>
  <c r="U43" i="583"/>
  <c r="AH42" i="583"/>
  <c r="U42" i="583"/>
  <c r="AG41" i="583"/>
  <c r="V41" i="583"/>
  <c r="U41" i="583"/>
  <c r="AJ41" i="583" s="1"/>
  <c r="AK41" i="583" s="1"/>
  <c r="T41" i="583"/>
  <c r="AK40" i="583"/>
  <c r="AM40" i="583" s="1"/>
  <c r="AH40" i="583"/>
  <c r="AL40" i="583" s="1"/>
  <c r="AK39" i="583"/>
  <c r="AM39" i="583" s="1"/>
  <c r="AH39" i="583"/>
  <c r="AL39" i="583" s="1"/>
  <c r="AK38" i="583"/>
  <c r="AM38" i="583" s="1"/>
  <c r="AH38" i="583"/>
  <c r="AL38" i="583" s="1"/>
  <c r="AK37" i="583"/>
  <c r="AM37" i="583" s="1"/>
  <c r="AH37" i="583"/>
  <c r="AL37" i="583" s="1"/>
  <c r="AG36" i="583"/>
  <c r="V36" i="583"/>
  <c r="U36" i="583"/>
  <c r="AJ36" i="583" s="1"/>
  <c r="AK36" i="583" s="1"/>
  <c r="T36" i="583"/>
  <c r="AK35" i="583"/>
  <c r="AM35" i="583" s="1"/>
  <c r="AH35" i="583"/>
  <c r="AL35" i="583" s="1"/>
  <c r="AK34" i="583"/>
  <c r="AM34" i="583" s="1"/>
  <c r="AH34" i="583"/>
  <c r="AL34" i="583" s="1"/>
  <c r="AG33" i="583"/>
  <c r="V33" i="583"/>
  <c r="U33" i="583"/>
  <c r="T33" i="583"/>
  <c r="AK32" i="583"/>
  <c r="AM32" i="583" s="1"/>
  <c r="AH32" i="583"/>
  <c r="AL32" i="583" s="1"/>
  <c r="AK31" i="583"/>
  <c r="AM31" i="583" s="1"/>
  <c r="AH31" i="583"/>
  <c r="AL31" i="583" s="1"/>
  <c r="AK30" i="583"/>
  <c r="AM30" i="583" s="1"/>
  <c r="AH30" i="583"/>
  <c r="AL30" i="583" s="1"/>
  <c r="AK29" i="583"/>
  <c r="AM29" i="583" s="1"/>
  <c r="AH29" i="583"/>
  <c r="AL29" i="583" s="1"/>
  <c r="AG28" i="583"/>
  <c r="V28" i="583"/>
  <c r="U28" i="583"/>
  <c r="T28" i="583"/>
  <c r="AH27" i="583"/>
  <c r="AH26" i="583"/>
  <c r="AG25" i="583"/>
  <c r="V25" i="583"/>
  <c r="U25" i="583"/>
  <c r="AJ25" i="583" s="1"/>
  <c r="AK25" i="583" s="1"/>
  <c r="T25" i="583"/>
  <c r="AH25" i="583" s="1"/>
  <c r="AK24" i="583"/>
  <c r="AM24" i="583" s="1"/>
  <c r="AH24" i="583"/>
  <c r="AL24" i="583" s="1"/>
  <c r="V24" i="583"/>
  <c r="AK23" i="583"/>
  <c r="AM23" i="583" s="1"/>
  <c r="AH23" i="583"/>
  <c r="AL23" i="583" s="1"/>
  <c r="V23" i="583"/>
  <c r="AG22" i="583"/>
  <c r="V22" i="583"/>
  <c r="U22" i="583"/>
  <c r="AJ22" i="583" s="1"/>
  <c r="AK22" i="583" s="1"/>
  <c r="T22" i="583"/>
  <c r="AK21" i="583"/>
  <c r="AH21" i="583"/>
  <c r="AL21" i="583" s="1"/>
  <c r="V21" i="583"/>
  <c r="AK20" i="583"/>
  <c r="AH20" i="583"/>
  <c r="AI20" i="583" s="1"/>
  <c r="V20" i="583"/>
  <c r="AK19" i="583"/>
  <c r="AH19" i="583"/>
  <c r="AI19" i="583" s="1"/>
  <c r="V19" i="583"/>
  <c r="AG18" i="583"/>
  <c r="V18" i="583"/>
  <c r="U18" i="583"/>
  <c r="T18" i="583"/>
  <c r="AK17" i="583"/>
  <c r="AM17" i="583" s="1"/>
  <c r="AH17" i="583"/>
  <c r="AL17" i="583" s="1"/>
  <c r="AK16" i="583"/>
  <c r="AM16" i="583" s="1"/>
  <c r="AH16" i="583"/>
  <c r="AL16" i="583" s="1"/>
  <c r="AK15" i="583"/>
  <c r="AM15" i="583" s="1"/>
  <c r="AH15" i="583"/>
  <c r="AL15" i="583" s="1"/>
  <c r="AG14" i="583"/>
  <c r="V14" i="583"/>
  <c r="U14" i="583"/>
  <c r="AJ14" i="583" s="1"/>
  <c r="AK14" i="583" s="1"/>
  <c r="T14" i="583"/>
  <c r="AK13" i="583"/>
  <c r="AM13" i="583" s="1"/>
  <c r="AH13" i="583"/>
  <c r="AL13" i="583" s="1"/>
  <c r="U13" i="583"/>
  <c r="AP12" i="583"/>
  <c r="AG12" i="583"/>
  <c r="V12" i="583"/>
  <c r="U12" i="583"/>
  <c r="T12" i="583"/>
  <c r="AH11" i="583"/>
  <c r="U11" i="583"/>
  <c r="AH10" i="583"/>
  <c r="U10" i="583"/>
  <c r="AG9" i="583"/>
  <c r="V9" i="583"/>
  <c r="U9" i="583"/>
  <c r="AJ9" i="583" s="1"/>
  <c r="AK9" i="583" s="1"/>
  <c r="T9" i="583"/>
  <c r="O4" i="583"/>
  <c r="I4" i="583"/>
  <c r="G4" i="583"/>
  <c r="AR2" i="583"/>
  <c r="G2" i="583"/>
  <c r="AU10" i="584" l="1"/>
  <c r="AJ12" i="583"/>
  <c r="AK12" i="583" s="1"/>
  <c r="AL19" i="583"/>
  <c r="AL20" i="583"/>
  <c r="AH41" i="583"/>
  <c r="AL41" i="583" s="1"/>
  <c r="AH9" i="583"/>
  <c r="AH33" i="583"/>
  <c r="AI33" i="583" s="1"/>
  <c r="AH36" i="583"/>
  <c r="AL36" i="583" s="1"/>
  <c r="AH48" i="583"/>
  <c r="AL48" i="583" s="1"/>
  <c r="AH59" i="583"/>
  <c r="AL59" i="583" s="1"/>
  <c r="AJ59" i="583"/>
  <c r="AK59" i="583" s="1"/>
  <c r="AH63" i="583"/>
  <c r="AI63" i="583" s="1"/>
  <c r="AM63" i="583" s="1"/>
  <c r="AH22" i="583"/>
  <c r="AH12" i="583"/>
  <c r="AI12" i="583" s="1"/>
  <c r="AM12" i="583" s="1"/>
  <c r="AH14" i="583"/>
  <c r="AL14" i="583" s="1"/>
  <c r="AH18" i="583"/>
  <c r="AH28" i="583"/>
  <c r="AI28" i="583" s="1"/>
  <c r="AJ28" i="583"/>
  <c r="AK28" i="583" s="1"/>
  <c r="AJ33" i="583"/>
  <c r="AK33" i="583" s="1"/>
  <c r="AH55" i="583"/>
  <c r="AI55" i="583" s="1"/>
  <c r="AM55" i="583" s="1"/>
  <c r="AM19" i="583"/>
  <c r="AM20" i="583"/>
  <c r="AJ18" i="583"/>
  <c r="AK18" i="583" s="1"/>
  <c r="AI18" i="583"/>
  <c r="AI22" i="583"/>
  <c r="AM22" i="583" s="1"/>
  <c r="AL22" i="583"/>
  <c r="AI25" i="583"/>
  <c r="AM25" i="583" s="1"/>
  <c r="AL25" i="583"/>
  <c r="AL12" i="583"/>
  <c r="AI41" i="583"/>
  <c r="AM41" i="583" s="1"/>
  <c r="AI9" i="583"/>
  <c r="AM9" i="583" s="1"/>
  <c r="AL9" i="583"/>
  <c r="AI94" i="583"/>
  <c r="AM94" i="583" s="1"/>
  <c r="AL94" i="583"/>
  <c r="AI98" i="583"/>
  <c r="AM98" i="583" s="1"/>
  <c r="AL98" i="583"/>
  <c r="AI102" i="583"/>
  <c r="AM102" i="583" s="1"/>
  <c r="AL102" i="583"/>
  <c r="AI108" i="583"/>
  <c r="AM108" i="583" s="1"/>
  <c r="AL108" i="583"/>
  <c r="AI116" i="583"/>
  <c r="AM116" i="583" s="1"/>
  <c r="AL116" i="583"/>
  <c r="AI120" i="583"/>
  <c r="AM120" i="583" s="1"/>
  <c r="AL120" i="583"/>
  <c r="AI132" i="583"/>
  <c r="AM132" i="583" s="1"/>
  <c r="AL132" i="583"/>
  <c r="AI140" i="583"/>
  <c r="AM140" i="583" s="1"/>
  <c r="AL140" i="583"/>
  <c r="AI144" i="583"/>
  <c r="AM144" i="583" s="1"/>
  <c r="AL144" i="583"/>
  <c r="AI21" i="583"/>
  <c r="AM21" i="583" s="1"/>
  <c r="AI36" i="583"/>
  <c r="AM36" i="583" s="1"/>
  <c r="AI48" i="583"/>
  <c r="AM48" i="583" s="1"/>
  <c r="AI87" i="583"/>
  <c r="AM87" i="583" s="1"/>
  <c r="AL87" i="583"/>
  <c r="AI91" i="583"/>
  <c r="AM91" i="583" s="1"/>
  <c r="AL91" i="583"/>
  <c r="AI95" i="583"/>
  <c r="AM95" i="583" s="1"/>
  <c r="AL95" i="583"/>
  <c r="AI99" i="583"/>
  <c r="AM99" i="583" s="1"/>
  <c r="AL99" i="583"/>
  <c r="AI103" i="583"/>
  <c r="AM103" i="583" s="1"/>
  <c r="AL103" i="583"/>
  <c r="AI109" i="583"/>
  <c r="AM109" i="583" s="1"/>
  <c r="AL109" i="583"/>
  <c r="AI110" i="583"/>
  <c r="AM110" i="583" s="1"/>
  <c r="AL110" i="583"/>
  <c r="AI117" i="583"/>
  <c r="AM117" i="583" s="1"/>
  <c r="AL117" i="583"/>
  <c r="AI121" i="583"/>
  <c r="AM121" i="583" s="1"/>
  <c r="AL121" i="583"/>
  <c r="AI125" i="583"/>
  <c r="AM125" i="583" s="1"/>
  <c r="AL125" i="583"/>
  <c r="AI129" i="583"/>
  <c r="AM129" i="583" s="1"/>
  <c r="AL129" i="583"/>
  <c r="AI133" i="583"/>
  <c r="AM133" i="583" s="1"/>
  <c r="AL133" i="583"/>
  <c r="AI137" i="583"/>
  <c r="AM137" i="583" s="1"/>
  <c r="AL137" i="583"/>
  <c r="AI141" i="583"/>
  <c r="AM141" i="583" s="1"/>
  <c r="AL141" i="583"/>
  <c r="AI145" i="583"/>
  <c r="AM145" i="583" s="1"/>
  <c r="AL145" i="583"/>
  <c r="AI86" i="583"/>
  <c r="AM86" i="583" s="1"/>
  <c r="AL86" i="583"/>
  <c r="AI90" i="583"/>
  <c r="AM90" i="583" s="1"/>
  <c r="AL90" i="583"/>
  <c r="AI107" i="583"/>
  <c r="AM107" i="583" s="1"/>
  <c r="AL107" i="583"/>
  <c r="AL115" i="583"/>
  <c r="AI115" i="583"/>
  <c r="AM115" i="583" s="1"/>
  <c r="AI124" i="583"/>
  <c r="AM124" i="583" s="1"/>
  <c r="AL124" i="583"/>
  <c r="AI128" i="583"/>
  <c r="AM128" i="583" s="1"/>
  <c r="AL128" i="583"/>
  <c r="AI136" i="583"/>
  <c r="AM136" i="583" s="1"/>
  <c r="AL136" i="583"/>
  <c r="AI148" i="583"/>
  <c r="AM148" i="583" s="1"/>
  <c r="AL148" i="583"/>
  <c r="AI59" i="583"/>
  <c r="AM59" i="583" s="1"/>
  <c r="AI84" i="583"/>
  <c r="AM84" i="583" s="1"/>
  <c r="AL84" i="583"/>
  <c r="AI88" i="583"/>
  <c r="AM88" i="583" s="1"/>
  <c r="AL88" i="583"/>
  <c r="AI92" i="583"/>
  <c r="AM92" i="583" s="1"/>
  <c r="AL92" i="583"/>
  <c r="AI96" i="583"/>
  <c r="AM96" i="583" s="1"/>
  <c r="AL96" i="583"/>
  <c r="AI100" i="583"/>
  <c r="AM100" i="583" s="1"/>
  <c r="AL100" i="583"/>
  <c r="AI104" i="583"/>
  <c r="AM104" i="583" s="1"/>
  <c r="AL104" i="583"/>
  <c r="AI111" i="583"/>
  <c r="AM111" i="583" s="1"/>
  <c r="AL111" i="583"/>
  <c r="AI112" i="583"/>
  <c r="AM112" i="583" s="1"/>
  <c r="AL112" i="583"/>
  <c r="AI118" i="583"/>
  <c r="AM118" i="583" s="1"/>
  <c r="AL118" i="583"/>
  <c r="AI122" i="583"/>
  <c r="AM122" i="583" s="1"/>
  <c r="AL122" i="583"/>
  <c r="AI126" i="583"/>
  <c r="AM126" i="583" s="1"/>
  <c r="AL126" i="583"/>
  <c r="AI130" i="583"/>
  <c r="AM130" i="583" s="1"/>
  <c r="AL130" i="583"/>
  <c r="AI134" i="583"/>
  <c r="AM134" i="583" s="1"/>
  <c r="AL134" i="583"/>
  <c r="AI138" i="583"/>
  <c r="AM138" i="583" s="1"/>
  <c r="AL138" i="583"/>
  <c r="AI142" i="583"/>
  <c r="AM142" i="583" s="1"/>
  <c r="AL142" i="583"/>
  <c r="AI146" i="583"/>
  <c r="AM146" i="583" s="1"/>
  <c r="AL146" i="583"/>
  <c r="AL63" i="583"/>
  <c r="AL67" i="583"/>
  <c r="AI67" i="583"/>
  <c r="AM67" i="583" s="1"/>
  <c r="AI72" i="583"/>
  <c r="AM72" i="583" s="1"/>
  <c r="AL72" i="583"/>
  <c r="AL77" i="583"/>
  <c r="AI77" i="583"/>
  <c r="AM77" i="583" s="1"/>
  <c r="AI80" i="583"/>
  <c r="AM80" i="583" s="1"/>
  <c r="AL80" i="583"/>
  <c r="AI85" i="583"/>
  <c r="AM85" i="583" s="1"/>
  <c r="AL85" i="583"/>
  <c r="AI89" i="583"/>
  <c r="AM89" i="583" s="1"/>
  <c r="AL89" i="583"/>
  <c r="AI93" i="583"/>
  <c r="AM93" i="583" s="1"/>
  <c r="AL93" i="583"/>
  <c r="AI97" i="583"/>
  <c r="AM97" i="583" s="1"/>
  <c r="AL97" i="583"/>
  <c r="AI101" i="583"/>
  <c r="AM101" i="583" s="1"/>
  <c r="AL101" i="583"/>
  <c r="AI105" i="583"/>
  <c r="AM105" i="583" s="1"/>
  <c r="AL105" i="583"/>
  <c r="AI106" i="583"/>
  <c r="AM106" i="583" s="1"/>
  <c r="AL106" i="583"/>
  <c r="AL113" i="583"/>
  <c r="AI113" i="583"/>
  <c r="AM113" i="583" s="1"/>
  <c r="AI114" i="583"/>
  <c r="AM114" i="583" s="1"/>
  <c r="AL114" i="583"/>
  <c r="AI119" i="583"/>
  <c r="AM119" i="583" s="1"/>
  <c r="AL119" i="583"/>
  <c r="AI123" i="583"/>
  <c r="AM123" i="583" s="1"/>
  <c r="AL123" i="583"/>
  <c r="AI127" i="583"/>
  <c r="AM127" i="583" s="1"/>
  <c r="AL127" i="583"/>
  <c r="AI131" i="583"/>
  <c r="AM131" i="583" s="1"/>
  <c r="AL131" i="583"/>
  <c r="AI135" i="583"/>
  <c r="AM135" i="583" s="1"/>
  <c r="AL135" i="583"/>
  <c r="AI139" i="583"/>
  <c r="AM139" i="583" s="1"/>
  <c r="AL139" i="583"/>
  <c r="AI143" i="583"/>
  <c r="AM143" i="583" s="1"/>
  <c r="AL143" i="583"/>
  <c r="AI147" i="583"/>
  <c r="AM147" i="583" s="1"/>
  <c r="AL147" i="583"/>
  <c r="AI152" i="583"/>
  <c r="AM152" i="583" s="1"/>
  <c r="AL152" i="583"/>
  <c r="AI156" i="583"/>
  <c r="AM156" i="583" s="1"/>
  <c r="AL156" i="583"/>
  <c r="AI160" i="583"/>
  <c r="AM160" i="583" s="1"/>
  <c r="AL160" i="583"/>
  <c r="AI164" i="583"/>
  <c r="AM164" i="583" s="1"/>
  <c r="AL164" i="583"/>
  <c r="AI168" i="583"/>
  <c r="AM168" i="583" s="1"/>
  <c r="AL168" i="583"/>
  <c r="AI149" i="583"/>
  <c r="AM149" i="583" s="1"/>
  <c r="AL149" i="583"/>
  <c r="AI153" i="583"/>
  <c r="AM153" i="583" s="1"/>
  <c r="AL153" i="583"/>
  <c r="AI157" i="583"/>
  <c r="AM157" i="583" s="1"/>
  <c r="AL157" i="583"/>
  <c r="AI161" i="583"/>
  <c r="AM161" i="583" s="1"/>
  <c r="AL161" i="583"/>
  <c r="AI165" i="583"/>
  <c r="AM165" i="583" s="1"/>
  <c r="AL165" i="583"/>
  <c r="AI150" i="583"/>
  <c r="AM150" i="583" s="1"/>
  <c r="AL150" i="583"/>
  <c r="AI154" i="583"/>
  <c r="AM154" i="583" s="1"/>
  <c r="AL154" i="583"/>
  <c r="AI158" i="583"/>
  <c r="AM158" i="583" s="1"/>
  <c r="AL158" i="583"/>
  <c r="AI162" i="583"/>
  <c r="AM162" i="583" s="1"/>
  <c r="AL162" i="583"/>
  <c r="AI166" i="583"/>
  <c r="AM166" i="583" s="1"/>
  <c r="AL166" i="583"/>
  <c r="AI151" i="583"/>
  <c r="AM151" i="583" s="1"/>
  <c r="AL151" i="583"/>
  <c r="AI155" i="583"/>
  <c r="AM155" i="583" s="1"/>
  <c r="AL155" i="583"/>
  <c r="AI159" i="583"/>
  <c r="AM159" i="583" s="1"/>
  <c r="AL159" i="583"/>
  <c r="AI163" i="583"/>
  <c r="AM163" i="583" s="1"/>
  <c r="AL163" i="583"/>
  <c r="AI167" i="583"/>
  <c r="AM167" i="583" s="1"/>
  <c r="AL167" i="583"/>
  <c r="AM33" i="583" l="1"/>
  <c r="AM28" i="583"/>
  <c r="AL28" i="583"/>
  <c r="AI14" i="583"/>
  <c r="AM14" i="583" s="1"/>
  <c r="AL55" i="583"/>
  <c r="AL33" i="583"/>
  <c r="AM18" i="583"/>
  <c r="AL18" i="583"/>
  <c r="AG166" i="582"/>
  <c r="V166" i="582"/>
  <c r="U166" i="582"/>
  <c r="AJ166" i="582" s="1"/>
  <c r="AK166" i="582" s="1"/>
  <c r="T166" i="582"/>
  <c r="AH166" i="582" s="1"/>
  <c r="AG165" i="582"/>
  <c r="V165" i="582"/>
  <c r="U165" i="582"/>
  <c r="AJ165" i="582" s="1"/>
  <c r="AK165" i="582" s="1"/>
  <c r="T165" i="582"/>
  <c r="AH165" i="582" s="1"/>
  <c r="AG164" i="582"/>
  <c r="V164" i="582"/>
  <c r="U164" i="582"/>
  <c r="AJ164" i="582" s="1"/>
  <c r="AK164" i="582" s="1"/>
  <c r="T164" i="582"/>
  <c r="AH164" i="582" s="1"/>
  <c r="AG163" i="582"/>
  <c r="V163" i="582"/>
  <c r="U163" i="582"/>
  <c r="AJ163" i="582" s="1"/>
  <c r="AK163" i="582" s="1"/>
  <c r="T163" i="582"/>
  <c r="AH163" i="582" s="1"/>
  <c r="AG162" i="582"/>
  <c r="V162" i="582"/>
  <c r="U162" i="582"/>
  <c r="AJ162" i="582" s="1"/>
  <c r="AK162" i="582" s="1"/>
  <c r="T162" i="582"/>
  <c r="AH162" i="582" s="1"/>
  <c r="AG161" i="582"/>
  <c r="V161" i="582"/>
  <c r="U161" i="582"/>
  <c r="AJ161" i="582" s="1"/>
  <c r="AK161" i="582" s="1"/>
  <c r="T161" i="582"/>
  <c r="AH161" i="582" s="1"/>
  <c r="AG160" i="582"/>
  <c r="V160" i="582"/>
  <c r="U160" i="582"/>
  <c r="AJ160" i="582" s="1"/>
  <c r="AK160" i="582" s="1"/>
  <c r="T160" i="582"/>
  <c r="AH160" i="582" s="1"/>
  <c r="AG159" i="582"/>
  <c r="V159" i="582"/>
  <c r="U159" i="582"/>
  <c r="AJ159" i="582" s="1"/>
  <c r="AK159" i="582" s="1"/>
  <c r="T159" i="582"/>
  <c r="AH159" i="582" s="1"/>
  <c r="AG158" i="582"/>
  <c r="V158" i="582"/>
  <c r="U158" i="582"/>
  <c r="AJ158" i="582" s="1"/>
  <c r="AK158" i="582" s="1"/>
  <c r="T158" i="582"/>
  <c r="AH158" i="582" s="1"/>
  <c r="AG157" i="582"/>
  <c r="V157" i="582"/>
  <c r="U157" i="582"/>
  <c r="AJ157" i="582" s="1"/>
  <c r="AK157" i="582" s="1"/>
  <c r="T157" i="582"/>
  <c r="AH157" i="582" s="1"/>
  <c r="AG156" i="582"/>
  <c r="V156" i="582"/>
  <c r="U156" i="582"/>
  <c r="AJ156" i="582" s="1"/>
  <c r="AK156" i="582" s="1"/>
  <c r="T156" i="582"/>
  <c r="AH156" i="582" s="1"/>
  <c r="AG155" i="582"/>
  <c r="V155" i="582"/>
  <c r="U155" i="582"/>
  <c r="AJ155" i="582" s="1"/>
  <c r="AK155" i="582" s="1"/>
  <c r="T155" i="582"/>
  <c r="AH155" i="582" s="1"/>
  <c r="AG154" i="582"/>
  <c r="V154" i="582"/>
  <c r="U154" i="582"/>
  <c r="AJ154" i="582" s="1"/>
  <c r="AK154" i="582" s="1"/>
  <c r="T154" i="582"/>
  <c r="AH154" i="582" s="1"/>
  <c r="AG153" i="582"/>
  <c r="V153" i="582"/>
  <c r="U153" i="582"/>
  <c r="AJ153" i="582" s="1"/>
  <c r="AK153" i="582" s="1"/>
  <c r="T153" i="582"/>
  <c r="AH153" i="582" s="1"/>
  <c r="AG152" i="582"/>
  <c r="V152" i="582"/>
  <c r="U152" i="582"/>
  <c r="AJ152" i="582" s="1"/>
  <c r="AK152" i="582" s="1"/>
  <c r="T152" i="582"/>
  <c r="AH152" i="582" s="1"/>
  <c r="AG151" i="582"/>
  <c r="V151" i="582"/>
  <c r="U151" i="582"/>
  <c r="AJ151" i="582" s="1"/>
  <c r="AK151" i="582" s="1"/>
  <c r="T151" i="582"/>
  <c r="AH151" i="582" s="1"/>
  <c r="AG150" i="582"/>
  <c r="V150" i="582"/>
  <c r="U150" i="582"/>
  <c r="AJ150" i="582" s="1"/>
  <c r="AK150" i="582" s="1"/>
  <c r="T150" i="582"/>
  <c r="AH150" i="582" s="1"/>
  <c r="AG149" i="582"/>
  <c r="V149" i="582"/>
  <c r="U149" i="582"/>
  <c r="AJ149" i="582" s="1"/>
  <c r="AK149" i="582" s="1"/>
  <c r="T149" i="582"/>
  <c r="AH149" i="582" s="1"/>
  <c r="AG148" i="582"/>
  <c r="V148" i="582"/>
  <c r="U148" i="582"/>
  <c r="AJ148" i="582" s="1"/>
  <c r="AK148" i="582" s="1"/>
  <c r="T148" i="582"/>
  <c r="AH148" i="582" s="1"/>
  <c r="AG147" i="582"/>
  <c r="V147" i="582"/>
  <c r="U147" i="582"/>
  <c r="AJ147" i="582" s="1"/>
  <c r="AK147" i="582" s="1"/>
  <c r="T147" i="582"/>
  <c r="AH147" i="582" s="1"/>
  <c r="AG146" i="582"/>
  <c r="V146" i="582"/>
  <c r="U146" i="582"/>
  <c r="AJ146" i="582" s="1"/>
  <c r="AK146" i="582" s="1"/>
  <c r="T146" i="582"/>
  <c r="AH146" i="582" s="1"/>
  <c r="AG145" i="582"/>
  <c r="V145" i="582"/>
  <c r="U145" i="582"/>
  <c r="AJ145" i="582" s="1"/>
  <c r="AK145" i="582" s="1"/>
  <c r="T145" i="582"/>
  <c r="AH145" i="582" s="1"/>
  <c r="AG144" i="582"/>
  <c r="V144" i="582"/>
  <c r="U144" i="582"/>
  <c r="AJ144" i="582" s="1"/>
  <c r="AK144" i="582" s="1"/>
  <c r="T144" i="582"/>
  <c r="AH144" i="582" s="1"/>
  <c r="AG143" i="582"/>
  <c r="V143" i="582"/>
  <c r="U143" i="582"/>
  <c r="AJ143" i="582" s="1"/>
  <c r="AK143" i="582" s="1"/>
  <c r="T143" i="582"/>
  <c r="AH143" i="582" s="1"/>
  <c r="AG142" i="582"/>
  <c r="V142" i="582"/>
  <c r="U142" i="582"/>
  <c r="AJ142" i="582" s="1"/>
  <c r="AK142" i="582" s="1"/>
  <c r="T142" i="582"/>
  <c r="AH142" i="582" s="1"/>
  <c r="AG141" i="582"/>
  <c r="V141" i="582"/>
  <c r="U141" i="582"/>
  <c r="AJ141" i="582" s="1"/>
  <c r="AK141" i="582" s="1"/>
  <c r="T141" i="582"/>
  <c r="AH141" i="582" s="1"/>
  <c r="AG140" i="582"/>
  <c r="V140" i="582"/>
  <c r="U140" i="582"/>
  <c r="AJ140" i="582" s="1"/>
  <c r="AK140" i="582" s="1"/>
  <c r="T140" i="582"/>
  <c r="AH140" i="582" s="1"/>
  <c r="AG139" i="582"/>
  <c r="V139" i="582"/>
  <c r="U139" i="582"/>
  <c r="AJ139" i="582" s="1"/>
  <c r="AK139" i="582" s="1"/>
  <c r="T139" i="582"/>
  <c r="AH139" i="582" s="1"/>
  <c r="AG138" i="582"/>
  <c r="V138" i="582"/>
  <c r="U138" i="582"/>
  <c r="AJ138" i="582" s="1"/>
  <c r="AK138" i="582" s="1"/>
  <c r="T138" i="582"/>
  <c r="AH138" i="582" s="1"/>
  <c r="AG137" i="582"/>
  <c r="V137" i="582"/>
  <c r="U137" i="582"/>
  <c r="AJ137" i="582" s="1"/>
  <c r="AK137" i="582" s="1"/>
  <c r="T137" i="582"/>
  <c r="AH137" i="582" s="1"/>
  <c r="AG136" i="582"/>
  <c r="V136" i="582"/>
  <c r="U136" i="582"/>
  <c r="AJ136" i="582" s="1"/>
  <c r="AK136" i="582" s="1"/>
  <c r="T136" i="582"/>
  <c r="AH136" i="582" s="1"/>
  <c r="AG135" i="582"/>
  <c r="V135" i="582"/>
  <c r="U135" i="582"/>
  <c r="AJ135" i="582" s="1"/>
  <c r="AK135" i="582" s="1"/>
  <c r="T135" i="582"/>
  <c r="AH135" i="582" s="1"/>
  <c r="AG134" i="582"/>
  <c r="V134" i="582"/>
  <c r="U134" i="582"/>
  <c r="AJ134" i="582" s="1"/>
  <c r="AK134" i="582" s="1"/>
  <c r="T134" i="582"/>
  <c r="AH134" i="582" s="1"/>
  <c r="AG133" i="582"/>
  <c r="V133" i="582"/>
  <c r="U133" i="582"/>
  <c r="AJ133" i="582" s="1"/>
  <c r="AK133" i="582" s="1"/>
  <c r="T133" i="582"/>
  <c r="AH133" i="582" s="1"/>
  <c r="AG132" i="582"/>
  <c r="V132" i="582"/>
  <c r="U132" i="582"/>
  <c r="AJ132" i="582" s="1"/>
  <c r="AK132" i="582" s="1"/>
  <c r="T132" i="582"/>
  <c r="AH132" i="582" s="1"/>
  <c r="AG131" i="582"/>
  <c r="V131" i="582"/>
  <c r="U131" i="582"/>
  <c r="AJ131" i="582" s="1"/>
  <c r="AK131" i="582" s="1"/>
  <c r="T131" i="582"/>
  <c r="AH131" i="582" s="1"/>
  <c r="AG130" i="582"/>
  <c r="V130" i="582"/>
  <c r="U130" i="582"/>
  <c r="AJ130" i="582" s="1"/>
  <c r="AK130" i="582" s="1"/>
  <c r="T130" i="582"/>
  <c r="AH130" i="582" s="1"/>
  <c r="AG129" i="582"/>
  <c r="V129" i="582"/>
  <c r="U129" i="582"/>
  <c r="AJ129" i="582" s="1"/>
  <c r="AK129" i="582" s="1"/>
  <c r="T129" i="582"/>
  <c r="AH129" i="582" s="1"/>
  <c r="AG128" i="582"/>
  <c r="V128" i="582"/>
  <c r="U128" i="582"/>
  <c r="AJ128" i="582" s="1"/>
  <c r="AK128" i="582" s="1"/>
  <c r="T128" i="582"/>
  <c r="AH128" i="582" s="1"/>
  <c r="AG127" i="582"/>
  <c r="V127" i="582"/>
  <c r="U127" i="582"/>
  <c r="AJ127" i="582" s="1"/>
  <c r="AK127" i="582" s="1"/>
  <c r="T127" i="582"/>
  <c r="AH127" i="582" s="1"/>
  <c r="AG126" i="582"/>
  <c r="V126" i="582"/>
  <c r="U126" i="582"/>
  <c r="AJ126" i="582" s="1"/>
  <c r="AK126" i="582" s="1"/>
  <c r="T126" i="582"/>
  <c r="AH126" i="582" s="1"/>
  <c r="AG125" i="582"/>
  <c r="V125" i="582"/>
  <c r="U125" i="582"/>
  <c r="AJ125" i="582" s="1"/>
  <c r="AK125" i="582" s="1"/>
  <c r="T125" i="582"/>
  <c r="AH125" i="582" s="1"/>
  <c r="AG124" i="582"/>
  <c r="V124" i="582"/>
  <c r="U124" i="582"/>
  <c r="AJ124" i="582" s="1"/>
  <c r="AK124" i="582" s="1"/>
  <c r="T124" i="582"/>
  <c r="AH124" i="582" s="1"/>
  <c r="AG123" i="582"/>
  <c r="V123" i="582"/>
  <c r="U123" i="582"/>
  <c r="AJ123" i="582" s="1"/>
  <c r="AK123" i="582" s="1"/>
  <c r="T123" i="582"/>
  <c r="AH123" i="582" s="1"/>
  <c r="AG122" i="582"/>
  <c r="V122" i="582"/>
  <c r="U122" i="582"/>
  <c r="AJ122" i="582" s="1"/>
  <c r="AK122" i="582" s="1"/>
  <c r="T122" i="582"/>
  <c r="AH122" i="582" s="1"/>
  <c r="AG121" i="582"/>
  <c r="V121" i="582"/>
  <c r="U121" i="582"/>
  <c r="AJ121" i="582" s="1"/>
  <c r="AK121" i="582" s="1"/>
  <c r="T121" i="582"/>
  <c r="AH121" i="582" s="1"/>
  <c r="AG120" i="582"/>
  <c r="V120" i="582"/>
  <c r="U120" i="582"/>
  <c r="AJ120" i="582" s="1"/>
  <c r="AK120" i="582" s="1"/>
  <c r="T120" i="582"/>
  <c r="AH120" i="582" s="1"/>
  <c r="AG119" i="582"/>
  <c r="V119" i="582"/>
  <c r="U119" i="582"/>
  <c r="AJ119" i="582" s="1"/>
  <c r="AK119" i="582" s="1"/>
  <c r="T119" i="582"/>
  <c r="AH119" i="582" s="1"/>
  <c r="AG118" i="582"/>
  <c r="V118" i="582"/>
  <c r="U118" i="582"/>
  <c r="AJ118" i="582" s="1"/>
  <c r="AK118" i="582" s="1"/>
  <c r="T118" i="582"/>
  <c r="AH118" i="582" s="1"/>
  <c r="AG117" i="582"/>
  <c r="V117" i="582"/>
  <c r="U117" i="582"/>
  <c r="AJ117" i="582" s="1"/>
  <c r="AK117" i="582" s="1"/>
  <c r="T117" i="582"/>
  <c r="AH117" i="582" s="1"/>
  <c r="AG116" i="582"/>
  <c r="V116" i="582"/>
  <c r="U116" i="582"/>
  <c r="AJ116" i="582" s="1"/>
  <c r="AK116" i="582" s="1"/>
  <c r="T116" i="582"/>
  <c r="AH116" i="582" s="1"/>
  <c r="AG115" i="582"/>
  <c r="V115" i="582"/>
  <c r="U115" i="582"/>
  <c r="AJ115" i="582" s="1"/>
  <c r="AK115" i="582" s="1"/>
  <c r="T115" i="582"/>
  <c r="AH115" i="582" s="1"/>
  <c r="AG114" i="582"/>
  <c r="V114" i="582"/>
  <c r="U114" i="582"/>
  <c r="AJ114" i="582" s="1"/>
  <c r="AK114" i="582" s="1"/>
  <c r="T114" i="582"/>
  <c r="AH114" i="582" s="1"/>
  <c r="AG113" i="582"/>
  <c r="V113" i="582"/>
  <c r="U113" i="582"/>
  <c r="AJ113" i="582" s="1"/>
  <c r="AK113" i="582" s="1"/>
  <c r="T113" i="582"/>
  <c r="AH113" i="582" s="1"/>
  <c r="AG112" i="582"/>
  <c r="V112" i="582"/>
  <c r="U112" i="582"/>
  <c r="AJ112" i="582" s="1"/>
  <c r="AK112" i="582" s="1"/>
  <c r="T112" i="582"/>
  <c r="AH112" i="582" s="1"/>
  <c r="AG111" i="582"/>
  <c r="V111" i="582"/>
  <c r="U111" i="582"/>
  <c r="AJ111" i="582" s="1"/>
  <c r="AK111" i="582" s="1"/>
  <c r="T111" i="582"/>
  <c r="AH111" i="582" s="1"/>
  <c r="AG110" i="582"/>
  <c r="V110" i="582"/>
  <c r="U110" i="582"/>
  <c r="AJ110" i="582" s="1"/>
  <c r="AK110" i="582" s="1"/>
  <c r="T110" i="582"/>
  <c r="AH110" i="582" s="1"/>
  <c r="AG109" i="582"/>
  <c r="V109" i="582"/>
  <c r="U109" i="582"/>
  <c r="AJ109" i="582" s="1"/>
  <c r="AK109" i="582" s="1"/>
  <c r="T109" i="582"/>
  <c r="AH109" i="582" s="1"/>
  <c r="AG108" i="582"/>
  <c r="V108" i="582"/>
  <c r="U108" i="582"/>
  <c r="AJ108" i="582" s="1"/>
  <c r="AK108" i="582" s="1"/>
  <c r="T108" i="582"/>
  <c r="AH108" i="582" s="1"/>
  <c r="AG107" i="582"/>
  <c r="V107" i="582"/>
  <c r="U107" i="582"/>
  <c r="AJ107" i="582" s="1"/>
  <c r="AK107" i="582" s="1"/>
  <c r="T107" i="582"/>
  <c r="AH107" i="582" s="1"/>
  <c r="AG106" i="582"/>
  <c r="V106" i="582"/>
  <c r="U106" i="582"/>
  <c r="AJ106" i="582" s="1"/>
  <c r="AK106" i="582" s="1"/>
  <c r="T106" i="582"/>
  <c r="AH106" i="582" s="1"/>
  <c r="AG105" i="582"/>
  <c r="V105" i="582"/>
  <c r="U105" i="582"/>
  <c r="AJ105" i="582" s="1"/>
  <c r="AK105" i="582" s="1"/>
  <c r="T105" i="582"/>
  <c r="AH105" i="582" s="1"/>
  <c r="AG104" i="582"/>
  <c r="V104" i="582"/>
  <c r="U104" i="582"/>
  <c r="AJ104" i="582" s="1"/>
  <c r="AK104" i="582" s="1"/>
  <c r="T104" i="582"/>
  <c r="AH104" i="582" s="1"/>
  <c r="AG103" i="582"/>
  <c r="V103" i="582"/>
  <c r="U103" i="582"/>
  <c r="AJ103" i="582" s="1"/>
  <c r="AK103" i="582" s="1"/>
  <c r="T103" i="582"/>
  <c r="AH103" i="582" s="1"/>
  <c r="AG102" i="582"/>
  <c r="V102" i="582"/>
  <c r="U102" i="582"/>
  <c r="AJ102" i="582" s="1"/>
  <c r="AK102" i="582" s="1"/>
  <c r="T102" i="582"/>
  <c r="AH102" i="582" s="1"/>
  <c r="AG101" i="582"/>
  <c r="V101" i="582"/>
  <c r="U101" i="582"/>
  <c r="AJ101" i="582" s="1"/>
  <c r="AK101" i="582" s="1"/>
  <c r="T101" i="582"/>
  <c r="AH101" i="582" s="1"/>
  <c r="AG100" i="582"/>
  <c r="V100" i="582"/>
  <c r="U100" i="582"/>
  <c r="AJ100" i="582" s="1"/>
  <c r="AK100" i="582" s="1"/>
  <c r="T100" i="582"/>
  <c r="AH100" i="582" s="1"/>
  <c r="AG99" i="582"/>
  <c r="V99" i="582"/>
  <c r="U99" i="582"/>
  <c r="AJ99" i="582" s="1"/>
  <c r="AK99" i="582" s="1"/>
  <c r="T99" i="582"/>
  <c r="AH99" i="582" s="1"/>
  <c r="AG98" i="582"/>
  <c r="V98" i="582"/>
  <c r="U98" i="582"/>
  <c r="AJ98" i="582" s="1"/>
  <c r="AK98" i="582" s="1"/>
  <c r="T98" i="582"/>
  <c r="AH98" i="582" s="1"/>
  <c r="AG97" i="582"/>
  <c r="V97" i="582"/>
  <c r="U97" i="582"/>
  <c r="AJ97" i="582" s="1"/>
  <c r="AK97" i="582" s="1"/>
  <c r="T97" i="582"/>
  <c r="AH97" i="582" s="1"/>
  <c r="AG96" i="582"/>
  <c r="V96" i="582"/>
  <c r="U96" i="582"/>
  <c r="AJ96" i="582" s="1"/>
  <c r="AK96" i="582" s="1"/>
  <c r="T96" i="582"/>
  <c r="AH96" i="582" s="1"/>
  <c r="AG95" i="582"/>
  <c r="V95" i="582"/>
  <c r="U95" i="582"/>
  <c r="AJ95" i="582" s="1"/>
  <c r="AK95" i="582" s="1"/>
  <c r="T95" i="582"/>
  <c r="AH95" i="582" s="1"/>
  <c r="AG94" i="582"/>
  <c r="V94" i="582"/>
  <c r="U94" i="582"/>
  <c r="AJ94" i="582" s="1"/>
  <c r="AK94" i="582" s="1"/>
  <c r="T94" i="582"/>
  <c r="AH94" i="582" s="1"/>
  <c r="AG93" i="582"/>
  <c r="V93" i="582"/>
  <c r="U93" i="582"/>
  <c r="AJ93" i="582" s="1"/>
  <c r="AK93" i="582" s="1"/>
  <c r="T93" i="582"/>
  <c r="AH93" i="582" s="1"/>
  <c r="AG92" i="582"/>
  <c r="V92" i="582"/>
  <c r="U92" i="582"/>
  <c r="AJ92" i="582" s="1"/>
  <c r="AK92" i="582" s="1"/>
  <c r="T92" i="582"/>
  <c r="AH92" i="582" s="1"/>
  <c r="AG91" i="582"/>
  <c r="V91" i="582"/>
  <c r="U91" i="582"/>
  <c r="AJ91" i="582" s="1"/>
  <c r="AK91" i="582" s="1"/>
  <c r="T91" i="582"/>
  <c r="AH91" i="582" s="1"/>
  <c r="AG90" i="582"/>
  <c r="V90" i="582"/>
  <c r="U90" i="582"/>
  <c r="AJ90" i="582" s="1"/>
  <c r="AK90" i="582" s="1"/>
  <c r="T90" i="582"/>
  <c r="AH90" i="582" s="1"/>
  <c r="AG89" i="582"/>
  <c r="V89" i="582"/>
  <c r="U89" i="582"/>
  <c r="AJ89" i="582" s="1"/>
  <c r="AK89" i="582" s="1"/>
  <c r="T89" i="582"/>
  <c r="AH89" i="582" s="1"/>
  <c r="AG88" i="582"/>
  <c r="V88" i="582"/>
  <c r="U88" i="582"/>
  <c r="AJ88" i="582" s="1"/>
  <c r="AK88" i="582" s="1"/>
  <c r="T88" i="582"/>
  <c r="AH88" i="582" s="1"/>
  <c r="AG87" i="582"/>
  <c r="V87" i="582"/>
  <c r="U87" i="582"/>
  <c r="AJ87" i="582" s="1"/>
  <c r="AK87" i="582" s="1"/>
  <c r="T87" i="582"/>
  <c r="AH87" i="582" s="1"/>
  <c r="AG86" i="582"/>
  <c r="V86" i="582"/>
  <c r="U86" i="582"/>
  <c r="AJ86" i="582" s="1"/>
  <c r="AK86" i="582" s="1"/>
  <c r="T86" i="582"/>
  <c r="AH86" i="582" s="1"/>
  <c r="AG85" i="582"/>
  <c r="V85" i="582"/>
  <c r="U85" i="582"/>
  <c r="AJ85" i="582" s="1"/>
  <c r="AK85" i="582" s="1"/>
  <c r="T85" i="582"/>
  <c r="AH85" i="582" s="1"/>
  <c r="AG84" i="582"/>
  <c r="V84" i="582"/>
  <c r="U84" i="582"/>
  <c r="AJ84" i="582" s="1"/>
  <c r="AK84" i="582" s="1"/>
  <c r="T84" i="582"/>
  <c r="AH84" i="582" s="1"/>
  <c r="AG83" i="582"/>
  <c r="V83" i="582"/>
  <c r="U83" i="582"/>
  <c r="AJ83" i="582" s="1"/>
  <c r="AK83" i="582" s="1"/>
  <c r="T83" i="582"/>
  <c r="AH83" i="582" s="1"/>
  <c r="AG82" i="582"/>
  <c r="V82" i="582"/>
  <c r="U82" i="582"/>
  <c r="AJ82" i="582" s="1"/>
  <c r="AK82" i="582" s="1"/>
  <c r="T82" i="582"/>
  <c r="AH82" i="582" s="1"/>
  <c r="AG81" i="582"/>
  <c r="V81" i="582"/>
  <c r="U81" i="582"/>
  <c r="AJ81" i="582" s="1"/>
  <c r="AK81" i="582" s="1"/>
  <c r="T81" i="582"/>
  <c r="AH81" i="582" s="1"/>
  <c r="AG80" i="582"/>
  <c r="V80" i="582"/>
  <c r="U80" i="582"/>
  <c r="AJ80" i="582" s="1"/>
  <c r="AK80" i="582" s="1"/>
  <c r="T80" i="582"/>
  <c r="AH80" i="582" s="1"/>
  <c r="AG79" i="582"/>
  <c r="V79" i="582"/>
  <c r="U79" i="582"/>
  <c r="AJ79" i="582" s="1"/>
  <c r="AK79" i="582" s="1"/>
  <c r="T79" i="582"/>
  <c r="AH79" i="582" s="1"/>
  <c r="AG78" i="582"/>
  <c r="V78" i="582"/>
  <c r="U78" i="582"/>
  <c r="AJ78" i="582" s="1"/>
  <c r="AK78" i="582" s="1"/>
  <c r="T78" i="582"/>
  <c r="AH78" i="582" s="1"/>
  <c r="AG77" i="582"/>
  <c r="V77" i="582"/>
  <c r="U77" i="582"/>
  <c r="AJ77" i="582" s="1"/>
  <c r="AK77" i="582" s="1"/>
  <c r="T77" i="582"/>
  <c r="AH77" i="582" s="1"/>
  <c r="AG76" i="582"/>
  <c r="V76" i="582"/>
  <c r="U76" i="582"/>
  <c r="AJ76" i="582" s="1"/>
  <c r="AK76" i="582" s="1"/>
  <c r="T76" i="582"/>
  <c r="AH76" i="582" s="1"/>
  <c r="AG75" i="582"/>
  <c r="V75" i="582"/>
  <c r="U75" i="582"/>
  <c r="AJ75" i="582" s="1"/>
  <c r="AK75" i="582" s="1"/>
  <c r="T75" i="582"/>
  <c r="AH75" i="582" s="1"/>
  <c r="AG74" i="582"/>
  <c r="V74" i="582"/>
  <c r="U74" i="582"/>
  <c r="AJ74" i="582" s="1"/>
  <c r="AK74" i="582" s="1"/>
  <c r="T74" i="582"/>
  <c r="AH74" i="582" s="1"/>
  <c r="AG73" i="582"/>
  <c r="V73" i="582"/>
  <c r="U73" i="582"/>
  <c r="AJ73" i="582" s="1"/>
  <c r="AK73" i="582" s="1"/>
  <c r="T73" i="582"/>
  <c r="AH73" i="582" s="1"/>
  <c r="AG72" i="582"/>
  <c r="V72" i="582"/>
  <c r="U72" i="582"/>
  <c r="AJ72" i="582" s="1"/>
  <c r="AK72" i="582" s="1"/>
  <c r="T72" i="582"/>
  <c r="AH72" i="582" s="1"/>
  <c r="AG71" i="582"/>
  <c r="V71" i="582"/>
  <c r="U71" i="582"/>
  <c r="AJ71" i="582" s="1"/>
  <c r="AK71" i="582" s="1"/>
  <c r="T71" i="582"/>
  <c r="AH71" i="582" s="1"/>
  <c r="AG70" i="582"/>
  <c r="V70" i="582"/>
  <c r="U70" i="582"/>
  <c r="AJ70" i="582" s="1"/>
  <c r="AK70" i="582" s="1"/>
  <c r="T70" i="582"/>
  <c r="AH70" i="582" s="1"/>
  <c r="AG69" i="582"/>
  <c r="V69" i="582"/>
  <c r="U69" i="582"/>
  <c r="AJ69" i="582" s="1"/>
  <c r="AK69" i="582" s="1"/>
  <c r="T69" i="582"/>
  <c r="AH69" i="582" s="1"/>
  <c r="AG68" i="582"/>
  <c r="V68" i="582"/>
  <c r="U68" i="582"/>
  <c r="AJ68" i="582" s="1"/>
  <c r="AK68" i="582" s="1"/>
  <c r="T68" i="582"/>
  <c r="AH68" i="582" s="1"/>
  <c r="AG67" i="582"/>
  <c r="V67" i="582"/>
  <c r="U67" i="582"/>
  <c r="AJ67" i="582" s="1"/>
  <c r="AK67" i="582" s="1"/>
  <c r="T67" i="582"/>
  <c r="AH67" i="582" s="1"/>
  <c r="AG66" i="582"/>
  <c r="V66" i="582"/>
  <c r="U66" i="582"/>
  <c r="AJ66" i="582" s="1"/>
  <c r="AK66" i="582" s="1"/>
  <c r="T66" i="582"/>
  <c r="AH66" i="582" s="1"/>
  <c r="AG65" i="582"/>
  <c r="V65" i="582"/>
  <c r="U65" i="582"/>
  <c r="AJ65" i="582" s="1"/>
  <c r="AK65" i="582" s="1"/>
  <c r="T65" i="582"/>
  <c r="AH65" i="582" s="1"/>
  <c r="AG64" i="582"/>
  <c r="V64" i="582"/>
  <c r="U64" i="582"/>
  <c r="AJ64" i="582" s="1"/>
  <c r="AK64" i="582" s="1"/>
  <c r="T64" i="582"/>
  <c r="AH64" i="582" s="1"/>
  <c r="AG63" i="582"/>
  <c r="V63" i="582"/>
  <c r="U63" i="582"/>
  <c r="AJ63" i="582" s="1"/>
  <c r="AK63" i="582" s="1"/>
  <c r="T63" i="582"/>
  <c r="AH63" i="582" s="1"/>
  <c r="AG62" i="582"/>
  <c r="V62" i="582"/>
  <c r="U62" i="582"/>
  <c r="AJ62" i="582" s="1"/>
  <c r="AK62" i="582" s="1"/>
  <c r="T62" i="582"/>
  <c r="AH62" i="582" s="1"/>
  <c r="AG61" i="582"/>
  <c r="V61" i="582"/>
  <c r="U61" i="582"/>
  <c r="AJ61" i="582" s="1"/>
  <c r="AK61" i="582" s="1"/>
  <c r="T61" i="582"/>
  <c r="AH61" i="582" s="1"/>
  <c r="AG60" i="582"/>
  <c r="V60" i="582"/>
  <c r="U60" i="582"/>
  <c r="AJ60" i="582" s="1"/>
  <c r="AK60" i="582" s="1"/>
  <c r="T60" i="582"/>
  <c r="AH60" i="582" s="1"/>
  <c r="AG59" i="582"/>
  <c r="V59" i="582"/>
  <c r="U59" i="582"/>
  <c r="AJ59" i="582" s="1"/>
  <c r="AK59" i="582" s="1"/>
  <c r="T59" i="582"/>
  <c r="AH59" i="582" s="1"/>
  <c r="AG58" i="582"/>
  <c r="V58" i="582"/>
  <c r="U58" i="582"/>
  <c r="AJ58" i="582" s="1"/>
  <c r="AK58" i="582" s="1"/>
  <c r="T58" i="582"/>
  <c r="AH58" i="582" s="1"/>
  <c r="AG57" i="582"/>
  <c r="V57" i="582"/>
  <c r="U57" i="582"/>
  <c r="AJ57" i="582" s="1"/>
  <c r="AK57" i="582" s="1"/>
  <c r="T57" i="582"/>
  <c r="AH57" i="582" s="1"/>
  <c r="AG56" i="582"/>
  <c r="V56" i="582"/>
  <c r="U56" i="582"/>
  <c r="AJ56" i="582" s="1"/>
  <c r="AK56" i="582" s="1"/>
  <c r="T56" i="582"/>
  <c r="AH56" i="582" s="1"/>
  <c r="AG55" i="582"/>
  <c r="V55" i="582"/>
  <c r="U55" i="582"/>
  <c r="AJ55" i="582" s="1"/>
  <c r="AK55" i="582" s="1"/>
  <c r="T55" i="582"/>
  <c r="AH55" i="582" s="1"/>
  <c r="AG54" i="582"/>
  <c r="V54" i="582"/>
  <c r="U54" i="582"/>
  <c r="AJ54" i="582" s="1"/>
  <c r="AK54" i="582" s="1"/>
  <c r="T54" i="582"/>
  <c r="AH54" i="582" s="1"/>
  <c r="AG53" i="582"/>
  <c r="V53" i="582"/>
  <c r="U53" i="582"/>
  <c r="AJ53" i="582" s="1"/>
  <c r="AK53" i="582" s="1"/>
  <c r="T53" i="582"/>
  <c r="AH53" i="582" s="1"/>
  <c r="AG52" i="582"/>
  <c r="V52" i="582"/>
  <c r="U52" i="582"/>
  <c r="AJ52" i="582" s="1"/>
  <c r="AK52" i="582" s="1"/>
  <c r="T52" i="582"/>
  <c r="AH52" i="582" s="1"/>
  <c r="AG51" i="582"/>
  <c r="V51" i="582"/>
  <c r="U51" i="582"/>
  <c r="AJ51" i="582" s="1"/>
  <c r="AK51" i="582" s="1"/>
  <c r="T51" i="582"/>
  <c r="AH51" i="582" s="1"/>
  <c r="AG50" i="582"/>
  <c r="V50" i="582"/>
  <c r="U50" i="582"/>
  <c r="AJ50" i="582" s="1"/>
  <c r="AK50" i="582" s="1"/>
  <c r="T50" i="582"/>
  <c r="AH50" i="582" s="1"/>
  <c r="AG49" i="582"/>
  <c r="V49" i="582"/>
  <c r="U49" i="582"/>
  <c r="AJ49" i="582" s="1"/>
  <c r="AK49" i="582" s="1"/>
  <c r="T49" i="582"/>
  <c r="AH49" i="582" s="1"/>
  <c r="AG48" i="582"/>
  <c r="V48" i="582"/>
  <c r="U48" i="582"/>
  <c r="AJ48" i="582" s="1"/>
  <c r="AK48" i="582" s="1"/>
  <c r="T48" i="582"/>
  <c r="AH48" i="582" s="1"/>
  <c r="AG47" i="582"/>
  <c r="V47" i="582"/>
  <c r="U47" i="582"/>
  <c r="AJ47" i="582" s="1"/>
  <c r="AK47" i="582" s="1"/>
  <c r="T47" i="582"/>
  <c r="AH47" i="582" s="1"/>
  <c r="AG46" i="582"/>
  <c r="V46" i="582"/>
  <c r="U46" i="582"/>
  <c r="AJ46" i="582" s="1"/>
  <c r="AK46" i="582" s="1"/>
  <c r="T46" i="582"/>
  <c r="AH46" i="582" s="1"/>
  <c r="AG45" i="582"/>
  <c r="V45" i="582"/>
  <c r="U45" i="582"/>
  <c r="AJ45" i="582" s="1"/>
  <c r="AK45" i="582" s="1"/>
  <c r="T45" i="582"/>
  <c r="AH45" i="582" s="1"/>
  <c r="AG44" i="582"/>
  <c r="V44" i="582"/>
  <c r="U44" i="582"/>
  <c r="AJ44" i="582" s="1"/>
  <c r="AK44" i="582" s="1"/>
  <c r="T44" i="582"/>
  <c r="AH44" i="582" s="1"/>
  <c r="AG43" i="582"/>
  <c r="V43" i="582"/>
  <c r="U43" i="582"/>
  <c r="AJ43" i="582" s="1"/>
  <c r="AK43" i="582" s="1"/>
  <c r="T43" i="582"/>
  <c r="AH43" i="582" s="1"/>
  <c r="AG42" i="582"/>
  <c r="V42" i="582"/>
  <c r="U42" i="582"/>
  <c r="AJ42" i="582" s="1"/>
  <c r="AK42" i="582" s="1"/>
  <c r="T42" i="582"/>
  <c r="AH42" i="582" s="1"/>
  <c r="AG41" i="582"/>
  <c r="V41" i="582"/>
  <c r="U41" i="582"/>
  <c r="AJ41" i="582" s="1"/>
  <c r="AK41" i="582" s="1"/>
  <c r="T41" i="582"/>
  <c r="AH41" i="582" s="1"/>
  <c r="AG40" i="582"/>
  <c r="V40" i="582"/>
  <c r="U40" i="582"/>
  <c r="AJ40" i="582" s="1"/>
  <c r="AK40" i="582" s="1"/>
  <c r="T40" i="582"/>
  <c r="AH40" i="582" s="1"/>
  <c r="AG39" i="582"/>
  <c r="V39" i="582"/>
  <c r="U39" i="582"/>
  <c r="AJ39" i="582" s="1"/>
  <c r="AK39" i="582" s="1"/>
  <c r="T39" i="582"/>
  <c r="AH39" i="582" s="1"/>
  <c r="AG38" i="582"/>
  <c r="V38" i="582"/>
  <c r="U38" i="582"/>
  <c r="AJ38" i="582" s="1"/>
  <c r="AK38" i="582" s="1"/>
  <c r="T38" i="582"/>
  <c r="AH38" i="582" s="1"/>
  <c r="AG37" i="582"/>
  <c r="V37" i="582"/>
  <c r="U37" i="582"/>
  <c r="AJ37" i="582" s="1"/>
  <c r="AK37" i="582" s="1"/>
  <c r="T37" i="582"/>
  <c r="AH37" i="582" s="1"/>
  <c r="AG36" i="582"/>
  <c r="V36" i="582"/>
  <c r="U36" i="582"/>
  <c r="AJ36" i="582" s="1"/>
  <c r="AK36" i="582" s="1"/>
  <c r="T36" i="582"/>
  <c r="AH36" i="582" s="1"/>
  <c r="AG35" i="582"/>
  <c r="V35" i="582"/>
  <c r="U35" i="582"/>
  <c r="AJ35" i="582" s="1"/>
  <c r="AK35" i="582" s="1"/>
  <c r="T35" i="582"/>
  <c r="AH35" i="582" s="1"/>
  <c r="AG34" i="582"/>
  <c r="V34" i="582"/>
  <c r="U34" i="582"/>
  <c r="AJ34" i="582" s="1"/>
  <c r="AK34" i="582" s="1"/>
  <c r="T34" i="582"/>
  <c r="AH34" i="582" s="1"/>
  <c r="AG33" i="582"/>
  <c r="V33" i="582"/>
  <c r="U33" i="582"/>
  <c r="AJ33" i="582" s="1"/>
  <c r="AK33" i="582" s="1"/>
  <c r="T33" i="582"/>
  <c r="AH33" i="582" s="1"/>
  <c r="AG32" i="582"/>
  <c r="V32" i="582"/>
  <c r="U32" i="582"/>
  <c r="AJ32" i="582" s="1"/>
  <c r="AK32" i="582" s="1"/>
  <c r="T32" i="582"/>
  <c r="AH32" i="582" s="1"/>
  <c r="AG31" i="582"/>
  <c r="V31" i="582"/>
  <c r="U31" i="582"/>
  <c r="AJ31" i="582" s="1"/>
  <c r="AK31" i="582" s="1"/>
  <c r="T31" i="582"/>
  <c r="AH31" i="582" s="1"/>
  <c r="AG30" i="582"/>
  <c r="V30" i="582"/>
  <c r="U30" i="582"/>
  <c r="AJ30" i="582" s="1"/>
  <c r="AK30" i="582" s="1"/>
  <c r="T30" i="582"/>
  <c r="AH30" i="582" s="1"/>
  <c r="AG29" i="582"/>
  <c r="V29" i="582"/>
  <c r="U29" i="582"/>
  <c r="AJ29" i="582" s="1"/>
  <c r="AK29" i="582" s="1"/>
  <c r="T29" i="582"/>
  <c r="AH29" i="582" s="1"/>
  <c r="AG28" i="582"/>
  <c r="V28" i="582"/>
  <c r="U28" i="582"/>
  <c r="AJ28" i="582" s="1"/>
  <c r="AK28" i="582" s="1"/>
  <c r="T28" i="582"/>
  <c r="AH28" i="582" s="1"/>
  <c r="AG27" i="582"/>
  <c r="V27" i="582"/>
  <c r="U27" i="582"/>
  <c r="AJ27" i="582" s="1"/>
  <c r="AK27" i="582" s="1"/>
  <c r="T27" i="582"/>
  <c r="AH27" i="582" s="1"/>
  <c r="AG26" i="582"/>
  <c r="V26" i="582"/>
  <c r="U26" i="582"/>
  <c r="AJ26" i="582" s="1"/>
  <c r="AK26" i="582" s="1"/>
  <c r="T26" i="582"/>
  <c r="AH26" i="582" s="1"/>
  <c r="AG25" i="582"/>
  <c r="V25" i="582"/>
  <c r="U25" i="582"/>
  <c r="AJ25" i="582" s="1"/>
  <c r="AK25" i="582" s="1"/>
  <c r="T25" i="582"/>
  <c r="AH25" i="582" s="1"/>
  <c r="AG24" i="582"/>
  <c r="V24" i="582"/>
  <c r="U24" i="582"/>
  <c r="AJ24" i="582" s="1"/>
  <c r="AK24" i="582" s="1"/>
  <c r="T24" i="582"/>
  <c r="AH24" i="582" s="1"/>
  <c r="AG23" i="582"/>
  <c r="V23" i="582"/>
  <c r="U23" i="582"/>
  <c r="AJ23" i="582" s="1"/>
  <c r="AK23" i="582" s="1"/>
  <c r="T23" i="582"/>
  <c r="AH23" i="582" s="1"/>
  <c r="AG22" i="582"/>
  <c r="V22" i="582"/>
  <c r="U22" i="582"/>
  <c r="AJ22" i="582" s="1"/>
  <c r="AK22" i="582" s="1"/>
  <c r="T22" i="582"/>
  <c r="AH22" i="582" s="1"/>
  <c r="AG21" i="582"/>
  <c r="V21" i="582"/>
  <c r="U21" i="582"/>
  <c r="AJ21" i="582" s="1"/>
  <c r="AK21" i="582" s="1"/>
  <c r="T21" i="582"/>
  <c r="AH21" i="582" s="1"/>
  <c r="AG20" i="582"/>
  <c r="V20" i="582"/>
  <c r="U20" i="582"/>
  <c r="AJ20" i="582" s="1"/>
  <c r="AK20" i="582" s="1"/>
  <c r="T20" i="582"/>
  <c r="AH20" i="582" s="1"/>
  <c r="AG19" i="582"/>
  <c r="V19" i="582"/>
  <c r="U19" i="582"/>
  <c r="AJ19" i="582" s="1"/>
  <c r="AK19" i="582" s="1"/>
  <c r="T19" i="582"/>
  <c r="AH19" i="582" s="1"/>
  <c r="AG18" i="582"/>
  <c r="V18" i="582"/>
  <c r="U18" i="582"/>
  <c r="AJ18" i="582" s="1"/>
  <c r="AK18" i="582" s="1"/>
  <c r="T18" i="582"/>
  <c r="AH18" i="582" s="1"/>
  <c r="AG17" i="582"/>
  <c r="V17" i="582"/>
  <c r="U17" i="582"/>
  <c r="AJ17" i="582" s="1"/>
  <c r="AK17" i="582" s="1"/>
  <c r="T17" i="582"/>
  <c r="AH17" i="582" s="1"/>
  <c r="AG16" i="582"/>
  <c r="V16" i="582"/>
  <c r="U16" i="582"/>
  <c r="AJ16" i="582" s="1"/>
  <c r="AK16" i="582" s="1"/>
  <c r="T16" i="582"/>
  <c r="AH16" i="582" s="1"/>
  <c r="AG15" i="582"/>
  <c r="V15" i="582"/>
  <c r="U15" i="582"/>
  <c r="AJ15" i="582" s="1"/>
  <c r="AK15" i="582" s="1"/>
  <c r="T15" i="582"/>
  <c r="AH15" i="582" s="1"/>
  <c r="AG14" i="582"/>
  <c r="V14" i="582"/>
  <c r="U14" i="582"/>
  <c r="AJ14" i="582" s="1"/>
  <c r="AK14" i="582" s="1"/>
  <c r="T14" i="582"/>
  <c r="AH14" i="582" s="1"/>
  <c r="AG13" i="582"/>
  <c r="V13" i="582"/>
  <c r="U13" i="582"/>
  <c r="AJ13" i="582" s="1"/>
  <c r="AK13" i="582" s="1"/>
  <c r="T13" i="582"/>
  <c r="AH13" i="582" s="1"/>
  <c r="AG12" i="582"/>
  <c r="V12" i="582"/>
  <c r="U12" i="582"/>
  <c r="AJ12" i="582" s="1"/>
  <c r="AK12" i="582" s="1"/>
  <c r="T12" i="582"/>
  <c r="AH12" i="582" s="1"/>
  <c r="AG11" i="582"/>
  <c r="V11" i="582"/>
  <c r="U11" i="582"/>
  <c r="AJ11" i="582" s="1"/>
  <c r="AK11" i="582" s="1"/>
  <c r="T11" i="582"/>
  <c r="AG10" i="582"/>
  <c r="V10" i="582"/>
  <c r="U10" i="582"/>
  <c r="T10" i="582"/>
  <c r="AH10" i="582" s="1"/>
  <c r="AP9" i="582"/>
  <c r="AG9" i="582"/>
  <c r="V9" i="582"/>
  <c r="U9" i="582"/>
  <c r="T9" i="582"/>
  <c r="O4" i="582"/>
  <c r="I4" i="582"/>
  <c r="G4" i="582"/>
  <c r="AR2" i="582"/>
  <c r="G2" i="582"/>
  <c r="AJ10" i="582" l="1"/>
  <c r="AK10" i="582" s="1"/>
  <c r="AH9" i="582"/>
  <c r="AI9" i="582" s="1"/>
  <c r="AH11" i="582"/>
  <c r="AL11" i="582" s="1"/>
  <c r="AJ9" i="582"/>
  <c r="AK9" i="582" s="1"/>
  <c r="AL17" i="582"/>
  <c r="AI17" i="582"/>
  <c r="AM17" i="582" s="1"/>
  <c r="AI19" i="582"/>
  <c r="AM19" i="582" s="1"/>
  <c r="AL19" i="582"/>
  <c r="AI21" i="582"/>
  <c r="AM21" i="582" s="1"/>
  <c r="AL21" i="582"/>
  <c r="AI22" i="582"/>
  <c r="AM22" i="582" s="1"/>
  <c r="AL22" i="582"/>
  <c r="AL25" i="582"/>
  <c r="AI25" i="582"/>
  <c r="AM25" i="582" s="1"/>
  <c r="AI26" i="582"/>
  <c r="AM26" i="582" s="1"/>
  <c r="AL26" i="582"/>
  <c r="AI32" i="582"/>
  <c r="AM32" i="582" s="1"/>
  <c r="AL32" i="582"/>
  <c r="AI36" i="582"/>
  <c r="AM36" i="582" s="1"/>
  <c r="AL36" i="582"/>
  <c r="AI40" i="582"/>
  <c r="AM40" i="582" s="1"/>
  <c r="AL40" i="582"/>
  <c r="AI11" i="582"/>
  <c r="AM11" i="582" s="1"/>
  <c r="AI12" i="582"/>
  <c r="AM12" i="582" s="1"/>
  <c r="AL12" i="582"/>
  <c r="AI16" i="582"/>
  <c r="AM16" i="582" s="1"/>
  <c r="AL16" i="582"/>
  <c r="AI27" i="582"/>
  <c r="AM27" i="582" s="1"/>
  <c r="AL27" i="582"/>
  <c r="AI28" i="582"/>
  <c r="AM28" i="582" s="1"/>
  <c r="AL28" i="582"/>
  <c r="AI33" i="582"/>
  <c r="AM33" i="582" s="1"/>
  <c r="AL33" i="582"/>
  <c r="AI37" i="582"/>
  <c r="AM37" i="582" s="1"/>
  <c r="AL37" i="582"/>
  <c r="AI41" i="582"/>
  <c r="AM41" i="582" s="1"/>
  <c r="AL41" i="582"/>
  <c r="AI45" i="582"/>
  <c r="AM45" i="582" s="1"/>
  <c r="AL45" i="582"/>
  <c r="AI49" i="582"/>
  <c r="AM49" i="582" s="1"/>
  <c r="AL49" i="582"/>
  <c r="AI53" i="582"/>
  <c r="AM53" i="582" s="1"/>
  <c r="AL53" i="582"/>
  <c r="AI14" i="582"/>
  <c r="AM14" i="582" s="1"/>
  <c r="AL14" i="582"/>
  <c r="AL23" i="582"/>
  <c r="AI23" i="582"/>
  <c r="AM23" i="582" s="1"/>
  <c r="AI29" i="582"/>
  <c r="AM29" i="582" s="1"/>
  <c r="AL29" i="582"/>
  <c r="AI30" i="582"/>
  <c r="AM30" i="582" s="1"/>
  <c r="AL30" i="582"/>
  <c r="AI34" i="582"/>
  <c r="AM34" i="582" s="1"/>
  <c r="AL34" i="582"/>
  <c r="AI38" i="582"/>
  <c r="AM38" i="582" s="1"/>
  <c r="AL38" i="582"/>
  <c r="AI42" i="582"/>
  <c r="AM42" i="582" s="1"/>
  <c r="AL42" i="582"/>
  <c r="AI46" i="582"/>
  <c r="AM46" i="582" s="1"/>
  <c r="AL46" i="582"/>
  <c r="AI20" i="582"/>
  <c r="AM20" i="582" s="1"/>
  <c r="AL20" i="582"/>
  <c r="AI24" i="582"/>
  <c r="AM24" i="582" s="1"/>
  <c r="AL24" i="582"/>
  <c r="AI31" i="582"/>
  <c r="AM31" i="582" s="1"/>
  <c r="AL31" i="582"/>
  <c r="AI35" i="582"/>
  <c r="AM35" i="582" s="1"/>
  <c r="AL35" i="582"/>
  <c r="AI39" i="582"/>
  <c r="AM39" i="582" s="1"/>
  <c r="AL39" i="582"/>
  <c r="AI43" i="582"/>
  <c r="AM43" i="582" s="1"/>
  <c r="AL43" i="582"/>
  <c r="AI47" i="582"/>
  <c r="AM47" i="582" s="1"/>
  <c r="AL47" i="582"/>
  <c r="AI51" i="582"/>
  <c r="AM51" i="582" s="1"/>
  <c r="AL51" i="582"/>
  <c r="AI55" i="582"/>
  <c r="AM55" i="582" s="1"/>
  <c r="AL55" i="582"/>
  <c r="AI13" i="582"/>
  <c r="AM13" i="582" s="1"/>
  <c r="AL13" i="582"/>
  <c r="AI18" i="582"/>
  <c r="AM18" i="582" s="1"/>
  <c r="AL18" i="582"/>
  <c r="AI10" i="582"/>
  <c r="AM10" i="582" s="1"/>
  <c r="AL10" i="582"/>
  <c r="AL15" i="582"/>
  <c r="AI15" i="582"/>
  <c r="AM15" i="582" s="1"/>
  <c r="AI44" i="582"/>
  <c r="AM44" i="582" s="1"/>
  <c r="AL44" i="582"/>
  <c r="AI57" i="582"/>
  <c r="AM57" i="582" s="1"/>
  <c r="AL57" i="582"/>
  <c r="AI61" i="582"/>
  <c r="AM61" i="582" s="1"/>
  <c r="AL61" i="582"/>
  <c r="AL62" i="582"/>
  <c r="AI62" i="582"/>
  <c r="AM62" i="582" s="1"/>
  <c r="AI70" i="582"/>
  <c r="AM70" i="582" s="1"/>
  <c r="AL70" i="582"/>
  <c r="AI81" i="582"/>
  <c r="AM81" i="582" s="1"/>
  <c r="AL81" i="582"/>
  <c r="AI82" i="582"/>
  <c r="AM82" i="582" s="1"/>
  <c r="AL82" i="582"/>
  <c r="AI86" i="582"/>
  <c r="AM86" i="582" s="1"/>
  <c r="AL86" i="582"/>
  <c r="AI90" i="582"/>
  <c r="AM90" i="582" s="1"/>
  <c r="AL90" i="582"/>
  <c r="AI94" i="582"/>
  <c r="AM94" i="582" s="1"/>
  <c r="AL94" i="582"/>
  <c r="AL58" i="582"/>
  <c r="AI58" i="582"/>
  <c r="AM58" i="582" s="1"/>
  <c r="AI63" i="582"/>
  <c r="AM63" i="582" s="1"/>
  <c r="AL63" i="582"/>
  <c r="AL64" i="582"/>
  <c r="AI64" i="582"/>
  <c r="AM64" i="582" s="1"/>
  <c r="AL71" i="582"/>
  <c r="AI71" i="582"/>
  <c r="AM71" i="582" s="1"/>
  <c r="AI72" i="582"/>
  <c r="AM72" i="582" s="1"/>
  <c r="AL72" i="582"/>
  <c r="AL77" i="582"/>
  <c r="AI77" i="582"/>
  <c r="AM77" i="582" s="1"/>
  <c r="AI83" i="582"/>
  <c r="AM83" i="582" s="1"/>
  <c r="AL83" i="582"/>
  <c r="AI84" i="582"/>
  <c r="AM84" i="582" s="1"/>
  <c r="AL84" i="582"/>
  <c r="AI87" i="582"/>
  <c r="AM87" i="582" s="1"/>
  <c r="AL87" i="582"/>
  <c r="AI91" i="582"/>
  <c r="AM91" i="582" s="1"/>
  <c r="AL91" i="582"/>
  <c r="AI95" i="582"/>
  <c r="AM95" i="582" s="1"/>
  <c r="AL95" i="582"/>
  <c r="AI99" i="582"/>
  <c r="AM99" i="582" s="1"/>
  <c r="AL99" i="582"/>
  <c r="AI59" i="582"/>
  <c r="AM59" i="582" s="1"/>
  <c r="AL59" i="582"/>
  <c r="AI65" i="582"/>
  <c r="AM65" i="582" s="1"/>
  <c r="AL65" i="582"/>
  <c r="AL66" i="582"/>
  <c r="AI66" i="582"/>
  <c r="AM66" i="582" s="1"/>
  <c r="AI73" i="582"/>
  <c r="AM73" i="582" s="1"/>
  <c r="AL73" i="582"/>
  <c r="AI74" i="582"/>
  <c r="AM74" i="582" s="1"/>
  <c r="AL74" i="582"/>
  <c r="AI78" i="582"/>
  <c r="AM78" i="582" s="1"/>
  <c r="AL78" i="582"/>
  <c r="AI88" i="582"/>
  <c r="AM88" i="582" s="1"/>
  <c r="AL88" i="582"/>
  <c r="AI92" i="582"/>
  <c r="AM92" i="582" s="1"/>
  <c r="AL92" i="582"/>
  <c r="AL48" i="582"/>
  <c r="AI48" i="582"/>
  <c r="AM48" i="582" s="1"/>
  <c r="AL50" i="582"/>
  <c r="AI50" i="582"/>
  <c r="AM50" i="582" s="1"/>
  <c r="AL52" i="582"/>
  <c r="AI52" i="582"/>
  <c r="AM52" i="582" s="1"/>
  <c r="AL54" i="582"/>
  <c r="AI54" i="582"/>
  <c r="AM54" i="582" s="1"/>
  <c r="AL56" i="582"/>
  <c r="AI56" i="582"/>
  <c r="AM56" i="582" s="1"/>
  <c r="AL60" i="582"/>
  <c r="AI60" i="582"/>
  <c r="AM60" i="582" s="1"/>
  <c r="AI67" i="582"/>
  <c r="AM67" i="582" s="1"/>
  <c r="AL67" i="582"/>
  <c r="AI68" i="582"/>
  <c r="AM68" i="582" s="1"/>
  <c r="AL68" i="582"/>
  <c r="AL69" i="582"/>
  <c r="AI69" i="582"/>
  <c r="AM69" i="582" s="1"/>
  <c r="AI75" i="582"/>
  <c r="AM75" i="582" s="1"/>
  <c r="AL75" i="582"/>
  <c r="AI76" i="582"/>
  <c r="AM76" i="582" s="1"/>
  <c r="AL76" i="582"/>
  <c r="AL79" i="582"/>
  <c r="AI79" i="582"/>
  <c r="AM79" i="582" s="1"/>
  <c r="AI80" i="582"/>
  <c r="AM80" i="582" s="1"/>
  <c r="AL80" i="582"/>
  <c r="AI85" i="582"/>
  <c r="AM85" i="582" s="1"/>
  <c r="AL85" i="582"/>
  <c r="AI89" i="582"/>
  <c r="AM89" i="582" s="1"/>
  <c r="AL89" i="582"/>
  <c r="AI93" i="582"/>
  <c r="AM93" i="582" s="1"/>
  <c r="AL93" i="582"/>
  <c r="AI97" i="582"/>
  <c r="AM97" i="582" s="1"/>
  <c r="AL97" i="582"/>
  <c r="AI101" i="582"/>
  <c r="AM101" i="582" s="1"/>
  <c r="AL101" i="582"/>
  <c r="AL96" i="582"/>
  <c r="AI96" i="582"/>
  <c r="AM96" i="582" s="1"/>
  <c r="AL98" i="582"/>
  <c r="AI98" i="582"/>
  <c r="AM98" i="582" s="1"/>
  <c r="AL100" i="582"/>
  <c r="AI100" i="582"/>
  <c r="AM100" i="582" s="1"/>
  <c r="AL102" i="582"/>
  <c r="AI102" i="582"/>
  <c r="AM102" i="582" s="1"/>
  <c r="AI109" i="582"/>
  <c r="AM109" i="582" s="1"/>
  <c r="AL109" i="582"/>
  <c r="AL110" i="582"/>
  <c r="AI110" i="582"/>
  <c r="AM110" i="582" s="1"/>
  <c r="AI114" i="582"/>
  <c r="AM114" i="582" s="1"/>
  <c r="AL114" i="582"/>
  <c r="AI118" i="582"/>
  <c r="AM118" i="582" s="1"/>
  <c r="AL118" i="582"/>
  <c r="AI122" i="582"/>
  <c r="AM122" i="582" s="1"/>
  <c r="AL122" i="582"/>
  <c r="AI126" i="582"/>
  <c r="AM126" i="582" s="1"/>
  <c r="AL126" i="582"/>
  <c r="AI130" i="582"/>
  <c r="AM130" i="582" s="1"/>
  <c r="AL130" i="582"/>
  <c r="AI134" i="582"/>
  <c r="AM134" i="582" s="1"/>
  <c r="AL134" i="582"/>
  <c r="AI138" i="582"/>
  <c r="AM138" i="582" s="1"/>
  <c r="AL138" i="582"/>
  <c r="AI142" i="582"/>
  <c r="AM142" i="582" s="1"/>
  <c r="AL142" i="582"/>
  <c r="AI146" i="582"/>
  <c r="AM146" i="582" s="1"/>
  <c r="AL146" i="582"/>
  <c r="AI103" i="582"/>
  <c r="AM103" i="582" s="1"/>
  <c r="AL103" i="582"/>
  <c r="AL104" i="582"/>
  <c r="AI104" i="582"/>
  <c r="AM104" i="582" s="1"/>
  <c r="AI111" i="582"/>
  <c r="AM111" i="582" s="1"/>
  <c r="AL111" i="582"/>
  <c r="AI115" i="582"/>
  <c r="AM115" i="582" s="1"/>
  <c r="AL115" i="582"/>
  <c r="AI119" i="582"/>
  <c r="AM119" i="582" s="1"/>
  <c r="AL119" i="582"/>
  <c r="AI123" i="582"/>
  <c r="AM123" i="582" s="1"/>
  <c r="AL123" i="582"/>
  <c r="AI127" i="582"/>
  <c r="AM127" i="582" s="1"/>
  <c r="AL127" i="582"/>
  <c r="AI131" i="582"/>
  <c r="AM131" i="582" s="1"/>
  <c r="AL131" i="582"/>
  <c r="AI135" i="582"/>
  <c r="AM135" i="582" s="1"/>
  <c r="AL135" i="582"/>
  <c r="AI139" i="582"/>
  <c r="AM139" i="582" s="1"/>
  <c r="AL139" i="582"/>
  <c r="AI143" i="582"/>
  <c r="AM143" i="582" s="1"/>
  <c r="AL143" i="582"/>
  <c r="AI147" i="582"/>
  <c r="AM147" i="582" s="1"/>
  <c r="AL147" i="582"/>
  <c r="AI105" i="582"/>
  <c r="AM105" i="582" s="1"/>
  <c r="AL105" i="582"/>
  <c r="AL106" i="582"/>
  <c r="AI106" i="582"/>
  <c r="AM106" i="582" s="1"/>
  <c r="AI112" i="582"/>
  <c r="AM112" i="582" s="1"/>
  <c r="AL112" i="582"/>
  <c r="AI116" i="582"/>
  <c r="AM116" i="582" s="1"/>
  <c r="AL116" i="582"/>
  <c r="AI120" i="582"/>
  <c r="AM120" i="582" s="1"/>
  <c r="AL120" i="582"/>
  <c r="AI124" i="582"/>
  <c r="AM124" i="582" s="1"/>
  <c r="AL124" i="582"/>
  <c r="AI128" i="582"/>
  <c r="AM128" i="582" s="1"/>
  <c r="AL128" i="582"/>
  <c r="AI132" i="582"/>
  <c r="AM132" i="582" s="1"/>
  <c r="AL132" i="582"/>
  <c r="AI136" i="582"/>
  <c r="AM136" i="582" s="1"/>
  <c r="AL136" i="582"/>
  <c r="AI140" i="582"/>
  <c r="AM140" i="582" s="1"/>
  <c r="AL140" i="582"/>
  <c r="AI144" i="582"/>
  <c r="AM144" i="582" s="1"/>
  <c r="AL144" i="582"/>
  <c r="AI107" i="582"/>
  <c r="AM107" i="582" s="1"/>
  <c r="AL107" i="582"/>
  <c r="AL108" i="582"/>
  <c r="AI108" i="582"/>
  <c r="AM108" i="582" s="1"/>
  <c r="AI113" i="582"/>
  <c r="AM113" i="582" s="1"/>
  <c r="AL113" i="582"/>
  <c r="AI117" i="582"/>
  <c r="AM117" i="582" s="1"/>
  <c r="AL117" i="582"/>
  <c r="AI121" i="582"/>
  <c r="AM121" i="582" s="1"/>
  <c r="AL121" i="582"/>
  <c r="AI125" i="582"/>
  <c r="AM125" i="582" s="1"/>
  <c r="AL125" i="582"/>
  <c r="AI129" i="582"/>
  <c r="AM129" i="582" s="1"/>
  <c r="AL129" i="582"/>
  <c r="AI133" i="582"/>
  <c r="AM133" i="582" s="1"/>
  <c r="AL133" i="582"/>
  <c r="AI137" i="582"/>
  <c r="AM137" i="582" s="1"/>
  <c r="AL137" i="582"/>
  <c r="AI141" i="582"/>
  <c r="AM141" i="582" s="1"/>
  <c r="AL141" i="582"/>
  <c r="AI145" i="582"/>
  <c r="AM145" i="582" s="1"/>
  <c r="AL145" i="582"/>
  <c r="AI150" i="582"/>
  <c r="AM150" i="582" s="1"/>
  <c r="AL150" i="582"/>
  <c r="AI154" i="582"/>
  <c r="AM154" i="582" s="1"/>
  <c r="AL154" i="582"/>
  <c r="AI158" i="582"/>
  <c r="AM158" i="582" s="1"/>
  <c r="AL158" i="582"/>
  <c r="AI162" i="582"/>
  <c r="AM162" i="582" s="1"/>
  <c r="AL162" i="582"/>
  <c r="AI166" i="582"/>
  <c r="AM166" i="582" s="1"/>
  <c r="AL166" i="582"/>
  <c r="AI151" i="582"/>
  <c r="AM151" i="582" s="1"/>
  <c r="AL151" i="582"/>
  <c r="AI155" i="582"/>
  <c r="AM155" i="582" s="1"/>
  <c r="AL155" i="582"/>
  <c r="AI159" i="582"/>
  <c r="AM159" i="582" s="1"/>
  <c r="AL159" i="582"/>
  <c r="AI163" i="582"/>
  <c r="AM163" i="582" s="1"/>
  <c r="AL163" i="582"/>
  <c r="AI148" i="582"/>
  <c r="AM148" i="582" s="1"/>
  <c r="AL148" i="582"/>
  <c r="AI152" i="582"/>
  <c r="AM152" i="582" s="1"/>
  <c r="AL152" i="582"/>
  <c r="AI156" i="582"/>
  <c r="AM156" i="582" s="1"/>
  <c r="AL156" i="582"/>
  <c r="AI160" i="582"/>
  <c r="AM160" i="582" s="1"/>
  <c r="AL160" i="582"/>
  <c r="AI164" i="582"/>
  <c r="AM164" i="582" s="1"/>
  <c r="AL164" i="582"/>
  <c r="AI149" i="582"/>
  <c r="AM149" i="582" s="1"/>
  <c r="AL149" i="582"/>
  <c r="AI153" i="582"/>
  <c r="AM153" i="582" s="1"/>
  <c r="AL153" i="582"/>
  <c r="AI157" i="582"/>
  <c r="AM157" i="582" s="1"/>
  <c r="AL157" i="582"/>
  <c r="AI161" i="582"/>
  <c r="AM161" i="582" s="1"/>
  <c r="AL161" i="582"/>
  <c r="AI165" i="582"/>
  <c r="AM165" i="582" s="1"/>
  <c r="AL165" i="582"/>
  <c r="AM9" i="582" l="1"/>
  <c r="AL9" i="582"/>
  <c r="AM20" i="581"/>
  <c r="AL20" i="581"/>
  <c r="AK20" i="581"/>
  <c r="AJ20" i="581"/>
  <c r="AI20" i="581"/>
  <c r="AH20" i="581"/>
  <c r="AG20" i="581"/>
  <c r="R20" i="581"/>
  <c r="Q20" i="581"/>
  <c r="AS20" i="581" s="1"/>
  <c r="AT20" i="581" s="1"/>
  <c r="O20" i="581"/>
  <c r="AQ20" i="581" s="1"/>
  <c r="AR20" i="581" s="1"/>
  <c r="AM19" i="581"/>
  <c r="AL19" i="581"/>
  <c r="AK19" i="581"/>
  <c r="AJ19" i="581"/>
  <c r="AI19" i="581"/>
  <c r="AH19" i="581"/>
  <c r="AG19" i="581"/>
  <c r="R19" i="581"/>
  <c r="Q19" i="581"/>
  <c r="AS19" i="581" s="1"/>
  <c r="AT19" i="581" s="1"/>
  <c r="O19" i="581"/>
  <c r="AQ19" i="581" s="1"/>
  <c r="AR19" i="581" s="1"/>
  <c r="AM18" i="581"/>
  <c r="AL18" i="581"/>
  <c r="AK18" i="581"/>
  <c r="AJ18" i="581"/>
  <c r="AI18" i="581"/>
  <c r="AH18" i="581"/>
  <c r="AG18" i="581"/>
  <c r="R18" i="581"/>
  <c r="Q18" i="581"/>
  <c r="AS18" i="581" s="1"/>
  <c r="AT18" i="581" s="1"/>
  <c r="O18" i="581"/>
  <c r="AQ18" i="581" s="1"/>
  <c r="AR18" i="581" s="1"/>
  <c r="AM17" i="581"/>
  <c r="AL17" i="581"/>
  <c r="AK17" i="581"/>
  <c r="AJ17" i="581"/>
  <c r="AI17" i="581"/>
  <c r="AH17" i="581"/>
  <c r="AG17" i="581"/>
  <c r="R17" i="581"/>
  <c r="Q17" i="581"/>
  <c r="AS17" i="581" s="1"/>
  <c r="AT17" i="581" s="1"/>
  <c r="O17" i="581"/>
  <c r="AQ17" i="581" s="1"/>
  <c r="AR17" i="581" s="1"/>
  <c r="AM16" i="581"/>
  <c r="AL16" i="581"/>
  <c r="AK16" i="581"/>
  <c r="AJ16" i="581"/>
  <c r="AI16" i="581"/>
  <c r="AH16" i="581"/>
  <c r="AG16" i="581"/>
  <c r="R16" i="581"/>
  <c r="Q16" i="581"/>
  <c r="AS16" i="581" s="1"/>
  <c r="AT16" i="581" s="1"/>
  <c r="O16" i="581"/>
  <c r="AQ16" i="581" s="1"/>
  <c r="AR16" i="581" s="1"/>
  <c r="AM15" i="581"/>
  <c r="AL15" i="581"/>
  <c r="AK15" i="581"/>
  <c r="AJ15" i="581"/>
  <c r="AI15" i="581"/>
  <c r="AH15" i="581"/>
  <c r="AG15" i="581"/>
  <c r="R15" i="581"/>
  <c r="Q15" i="581"/>
  <c r="AS15" i="581" s="1"/>
  <c r="AT15" i="581" s="1"/>
  <c r="O15" i="581"/>
  <c r="AQ15" i="581" s="1"/>
  <c r="AR15" i="581" s="1"/>
  <c r="AM14" i="581"/>
  <c r="AL14" i="581"/>
  <c r="AK14" i="581"/>
  <c r="AJ14" i="581"/>
  <c r="AI14" i="581"/>
  <c r="AH14" i="581"/>
  <c r="AG14" i="581"/>
  <c r="R14" i="581"/>
  <c r="Q14" i="581"/>
  <c r="AS14" i="581" s="1"/>
  <c r="AT14" i="581" s="1"/>
  <c r="O14" i="581"/>
  <c r="AQ14" i="581" s="1"/>
  <c r="AR14" i="581" s="1"/>
  <c r="AM13" i="581"/>
  <c r="AL13" i="581"/>
  <c r="AK13" i="581"/>
  <c r="AJ13" i="581"/>
  <c r="AI13" i="581"/>
  <c r="AH13" i="581"/>
  <c r="AG13" i="581"/>
  <c r="R13" i="581"/>
  <c r="Q13" i="581"/>
  <c r="AS13" i="581" s="1"/>
  <c r="AT13" i="581" s="1"/>
  <c r="O13" i="581"/>
  <c r="AQ13" i="581" s="1"/>
  <c r="AR13" i="581" s="1"/>
  <c r="AM12" i="581"/>
  <c r="AL12" i="581"/>
  <c r="AK12" i="581"/>
  <c r="AJ12" i="581"/>
  <c r="AI12" i="581"/>
  <c r="AH12" i="581"/>
  <c r="AG12" i="581"/>
  <c r="R12" i="581"/>
  <c r="Q12" i="581"/>
  <c r="AS12" i="581" s="1"/>
  <c r="AT12" i="581" s="1"/>
  <c r="O12" i="581"/>
  <c r="AQ12" i="581" s="1"/>
  <c r="AR12" i="581" s="1"/>
  <c r="AM11" i="581"/>
  <c r="AL11" i="581"/>
  <c r="AK11" i="581"/>
  <c r="AJ11" i="581"/>
  <c r="AI11" i="581"/>
  <c r="AH11" i="581"/>
  <c r="AG11" i="581"/>
  <c r="R11" i="581"/>
  <c r="Q11" i="581"/>
  <c r="AS11" i="581" s="1"/>
  <c r="AT11" i="581" s="1"/>
  <c r="O11" i="581"/>
  <c r="AQ11" i="581" s="1"/>
  <c r="AR11" i="581" s="1"/>
  <c r="AU11" i="581" s="1"/>
  <c r="AM10" i="581"/>
  <c r="AL10" i="581"/>
  <c r="AK10" i="581"/>
  <c r="AJ10" i="581"/>
  <c r="AI10" i="581"/>
  <c r="AH10" i="581"/>
  <c r="AG10" i="581"/>
  <c r="R10" i="581"/>
  <c r="Q10" i="581"/>
  <c r="O10" i="581"/>
  <c r="V4" i="581"/>
  <c r="E4" i="581"/>
  <c r="A4" i="581"/>
  <c r="BD2" i="581"/>
  <c r="A2" i="581"/>
  <c r="AN10" i="581" l="1"/>
  <c r="AN12" i="581"/>
  <c r="AU13" i="581"/>
  <c r="AN13" i="581"/>
  <c r="AN14" i="581"/>
  <c r="AU15" i="581"/>
  <c r="AN15" i="581"/>
  <c r="AO15" i="581" s="1"/>
  <c r="AP15" i="581" s="1"/>
  <c r="AU16" i="581"/>
  <c r="AN18" i="581"/>
  <c r="AU19" i="581"/>
  <c r="AN19" i="581"/>
  <c r="AO19" i="581" s="1"/>
  <c r="AP19" i="581" s="1"/>
  <c r="AU20" i="581"/>
  <c r="AN11" i="581"/>
  <c r="AN16" i="581"/>
  <c r="AU17" i="581"/>
  <c r="AN17" i="581"/>
  <c r="AN20" i="581"/>
  <c r="AO12" i="581"/>
  <c r="AP12" i="581" s="1"/>
  <c r="AO13" i="581"/>
  <c r="AP13" i="581" s="1"/>
  <c r="AU12" i="581"/>
  <c r="AU14" i="581"/>
  <c r="AO16" i="581"/>
  <c r="AP16" i="581" s="1"/>
  <c r="AU18" i="581"/>
  <c r="AO10" i="581"/>
  <c r="AQ10" i="581" s="1"/>
  <c r="AR10" i="581" s="1"/>
  <c r="AS10" i="581"/>
  <c r="AT10" i="581" s="1"/>
  <c r="AO20" i="581"/>
  <c r="AP20" i="581" s="1"/>
  <c r="AO11" i="581"/>
  <c r="AP11" i="581" s="1"/>
  <c r="AO14" i="581"/>
  <c r="AP14" i="581" s="1"/>
  <c r="AO18" i="581"/>
  <c r="AP18" i="581" s="1"/>
  <c r="AP10" i="581" l="1"/>
  <c r="AO17" i="581"/>
  <c r="AP17" i="581" s="1"/>
  <c r="AU10" i="581"/>
  <c r="AM16" i="580" l="1"/>
  <c r="AL16" i="580"/>
  <c r="AK16" i="580"/>
  <c r="AJ16" i="580"/>
  <c r="AI16" i="580"/>
  <c r="AH16" i="580"/>
  <c r="AG16" i="580"/>
  <c r="R16" i="580"/>
  <c r="Q16" i="580"/>
  <c r="AS16" i="580" s="1"/>
  <c r="AT16" i="580" s="1"/>
  <c r="O16" i="580"/>
  <c r="AM15" i="580"/>
  <c r="AL15" i="580"/>
  <c r="AK15" i="580"/>
  <c r="AJ15" i="580"/>
  <c r="AI15" i="580"/>
  <c r="AH15" i="580"/>
  <c r="AG15" i="580"/>
  <c r="R15" i="580"/>
  <c r="Q15" i="580"/>
  <c r="O15" i="580"/>
  <c r="AM14" i="580"/>
  <c r="AL14" i="580"/>
  <c r="AK14" i="580"/>
  <c r="AJ14" i="580"/>
  <c r="AI14" i="580"/>
  <c r="AH14" i="580"/>
  <c r="AG14" i="580"/>
  <c r="R14" i="580"/>
  <c r="Q14" i="580"/>
  <c r="O14" i="580"/>
  <c r="AM13" i="580"/>
  <c r="AL13" i="580"/>
  <c r="AK13" i="580"/>
  <c r="AJ13" i="580"/>
  <c r="AI13" i="580"/>
  <c r="AH13" i="580"/>
  <c r="AG13" i="580"/>
  <c r="R13" i="580"/>
  <c r="Q13" i="580"/>
  <c r="AS13" i="580" s="1"/>
  <c r="AT13" i="580" s="1"/>
  <c r="O13" i="580"/>
  <c r="AM12" i="580"/>
  <c r="AL12" i="580"/>
  <c r="AK12" i="580"/>
  <c r="AJ12" i="580"/>
  <c r="AI12" i="580"/>
  <c r="AH12" i="580"/>
  <c r="AG12" i="580"/>
  <c r="R12" i="580"/>
  <c r="Q12" i="580"/>
  <c r="O12" i="580"/>
  <c r="AM11" i="580"/>
  <c r="AL11" i="580"/>
  <c r="AK11" i="580"/>
  <c r="AJ11" i="580"/>
  <c r="AI11" i="580"/>
  <c r="AH11" i="580"/>
  <c r="AG11" i="580"/>
  <c r="R11" i="580"/>
  <c r="Q11" i="580"/>
  <c r="AS11" i="580" s="1"/>
  <c r="AT11" i="580" s="1"/>
  <c r="O11" i="580"/>
  <c r="AM10" i="580"/>
  <c r="AL10" i="580"/>
  <c r="AK10" i="580"/>
  <c r="AJ10" i="580"/>
  <c r="AI10" i="580"/>
  <c r="AH10" i="580"/>
  <c r="AG10" i="580"/>
  <c r="R10" i="580"/>
  <c r="Q10" i="580"/>
  <c r="AS10" i="580" s="1"/>
  <c r="AT10" i="580" s="1"/>
  <c r="O10" i="580"/>
  <c r="V4" i="580"/>
  <c r="E4" i="580"/>
  <c r="A4" i="580"/>
  <c r="BD2" i="580"/>
  <c r="A2" i="580"/>
  <c r="AN11" i="580" l="1"/>
  <c r="AO11" i="580" s="1"/>
  <c r="AN13" i="580"/>
  <c r="AN15" i="580"/>
  <c r="AN12" i="580"/>
  <c r="AN10" i="580"/>
  <c r="AN16" i="580"/>
  <c r="AN14" i="580"/>
  <c r="AO14" i="580" s="1"/>
  <c r="AO12" i="580"/>
  <c r="AQ12" i="580" s="1"/>
  <c r="AR12" i="580" s="1"/>
  <c r="AO13" i="580"/>
  <c r="AP13" i="580" s="1"/>
  <c r="AQ15" i="580"/>
  <c r="AR15" i="580" s="1"/>
  <c r="AO15" i="580"/>
  <c r="AP15" i="580"/>
  <c r="AS15" i="580"/>
  <c r="AT15" i="580" s="1"/>
  <c r="AP16" i="580"/>
  <c r="AO16" i="580"/>
  <c r="AQ16" i="580"/>
  <c r="AR16" i="580" s="1"/>
  <c r="AU16" i="580" s="1"/>
  <c r="AO10" i="580"/>
  <c r="AQ10" i="580" s="1"/>
  <c r="AR10" i="580" s="1"/>
  <c r="AU10" i="580" s="1"/>
  <c r="AP10" i="580" l="1"/>
  <c r="AP11" i="580"/>
  <c r="AQ11" i="580"/>
  <c r="AR11" i="580" s="1"/>
  <c r="AU11" i="580" s="1"/>
  <c r="AS14" i="580"/>
  <c r="AT14" i="580" s="1"/>
  <c r="AQ14" i="580"/>
  <c r="AR14" i="580" s="1"/>
  <c r="AU15" i="580"/>
  <c r="AP14" i="580"/>
  <c r="AQ13" i="580"/>
  <c r="AR13" i="580" s="1"/>
  <c r="AU13" i="580" s="1"/>
  <c r="AP12" i="580"/>
  <c r="AS12" i="580"/>
  <c r="AT12" i="580" s="1"/>
  <c r="AU12" i="580" s="1"/>
  <c r="AU14" i="580" l="1"/>
  <c r="AM21" i="579"/>
  <c r="AL21" i="579"/>
  <c r="AK21" i="579"/>
  <c r="AJ21" i="579"/>
  <c r="AI21" i="579"/>
  <c r="AH21" i="579"/>
  <c r="AG21" i="579"/>
  <c r="R21" i="579"/>
  <c r="Q21" i="579"/>
  <c r="AS21" i="579" s="1"/>
  <c r="AT21" i="579" s="1"/>
  <c r="O21" i="579"/>
  <c r="AQ21" i="579" s="1"/>
  <c r="AR21" i="579" s="1"/>
  <c r="AM20" i="579"/>
  <c r="AL20" i="579"/>
  <c r="AK20" i="579"/>
  <c r="AJ20" i="579"/>
  <c r="AI20" i="579"/>
  <c r="AH20" i="579"/>
  <c r="AG20" i="579"/>
  <c r="R20" i="579"/>
  <c r="Q20" i="579"/>
  <c r="AS20" i="579" s="1"/>
  <c r="AT20" i="579" s="1"/>
  <c r="O20" i="579"/>
  <c r="AQ20" i="579" s="1"/>
  <c r="AR20" i="579" s="1"/>
  <c r="AM19" i="579"/>
  <c r="AL19" i="579"/>
  <c r="AK19" i="579"/>
  <c r="AJ19" i="579"/>
  <c r="AI19" i="579"/>
  <c r="AH19" i="579"/>
  <c r="AG19" i="579"/>
  <c r="R19" i="579"/>
  <c r="Q19" i="579"/>
  <c r="AS19" i="579" s="1"/>
  <c r="AT19" i="579" s="1"/>
  <c r="O19" i="579"/>
  <c r="AM18" i="579"/>
  <c r="AL18" i="579"/>
  <c r="AK18" i="579"/>
  <c r="AJ18" i="579"/>
  <c r="AI18" i="579"/>
  <c r="AH18" i="579"/>
  <c r="AG18" i="579"/>
  <c r="R18" i="579"/>
  <c r="Q18" i="579"/>
  <c r="AS18" i="579" s="1"/>
  <c r="AT18" i="579" s="1"/>
  <c r="O18" i="579"/>
  <c r="AM17" i="579"/>
  <c r="AL17" i="579"/>
  <c r="AK17" i="579"/>
  <c r="AJ17" i="579"/>
  <c r="AI17" i="579"/>
  <c r="AH17" i="579"/>
  <c r="AG17" i="579"/>
  <c r="R17" i="579"/>
  <c r="Q17" i="579"/>
  <c r="AS17" i="579" s="1"/>
  <c r="AT17" i="579" s="1"/>
  <c r="O17" i="579"/>
  <c r="AM16" i="579"/>
  <c r="AL16" i="579"/>
  <c r="AK16" i="579"/>
  <c r="AJ16" i="579"/>
  <c r="AI16" i="579"/>
  <c r="AH16" i="579"/>
  <c r="AG16" i="579"/>
  <c r="R16" i="579"/>
  <c r="Q16" i="579"/>
  <c r="AS16" i="579" s="1"/>
  <c r="AT16" i="579" s="1"/>
  <c r="O16" i="579"/>
  <c r="AM15" i="579"/>
  <c r="AL15" i="579"/>
  <c r="AK15" i="579"/>
  <c r="AJ15" i="579"/>
  <c r="AI15" i="579"/>
  <c r="AH15" i="579"/>
  <c r="AG15" i="579"/>
  <c r="R15" i="579"/>
  <c r="Q15" i="579"/>
  <c r="AS15" i="579" s="1"/>
  <c r="AT15" i="579" s="1"/>
  <c r="O15" i="579"/>
  <c r="AM14" i="579"/>
  <c r="AL14" i="579"/>
  <c r="AK14" i="579"/>
  <c r="AJ14" i="579"/>
  <c r="AI14" i="579"/>
  <c r="AH14" i="579"/>
  <c r="AG14" i="579"/>
  <c r="R14" i="579"/>
  <c r="Q14" i="579"/>
  <c r="AS14" i="579" s="1"/>
  <c r="AT14" i="579" s="1"/>
  <c r="O14" i="579"/>
  <c r="AM13" i="579"/>
  <c r="AL13" i="579"/>
  <c r="AK13" i="579"/>
  <c r="AJ13" i="579"/>
  <c r="AI13" i="579"/>
  <c r="AH13" i="579"/>
  <c r="AG13" i="579"/>
  <c r="R13" i="579"/>
  <c r="Q13" i="579"/>
  <c r="AS13" i="579" s="1"/>
  <c r="AT13" i="579" s="1"/>
  <c r="O13" i="579"/>
  <c r="AM12" i="579"/>
  <c r="AL12" i="579"/>
  <c r="AK12" i="579"/>
  <c r="AJ12" i="579"/>
  <c r="AI12" i="579"/>
  <c r="AH12" i="579"/>
  <c r="AG12" i="579"/>
  <c r="R12" i="579"/>
  <c r="Q12" i="579"/>
  <c r="AS12" i="579" s="1"/>
  <c r="AT12" i="579" s="1"/>
  <c r="O12" i="579"/>
  <c r="AM11" i="579"/>
  <c r="AL11" i="579"/>
  <c r="AK11" i="579"/>
  <c r="AJ11" i="579"/>
  <c r="AI11" i="579"/>
  <c r="AH11" i="579"/>
  <c r="AG11" i="579"/>
  <c r="R11" i="579"/>
  <c r="Q11" i="579"/>
  <c r="AS11" i="579" s="1"/>
  <c r="AT11" i="579" s="1"/>
  <c r="O11" i="579"/>
  <c r="AM10" i="579"/>
  <c r="AL10" i="579"/>
  <c r="AK10" i="579"/>
  <c r="AJ10" i="579"/>
  <c r="AI10" i="579"/>
  <c r="AH10" i="579"/>
  <c r="AG10" i="579"/>
  <c r="R10" i="579"/>
  <c r="Q10" i="579"/>
  <c r="AS10" i="579" s="1"/>
  <c r="AT10" i="579" s="1"/>
  <c r="O10" i="579"/>
  <c r="V4" i="579"/>
  <c r="E4" i="579"/>
  <c r="A4" i="579"/>
  <c r="BD2" i="579"/>
  <c r="A2" i="579"/>
  <c r="AU21" i="579" l="1"/>
  <c r="AN19" i="579"/>
  <c r="AO19" i="579" s="1"/>
  <c r="AP19" i="579" s="1"/>
  <c r="AN21" i="579"/>
  <c r="AO21" i="579" s="1"/>
  <c r="AP21" i="579" s="1"/>
  <c r="AN17" i="579"/>
  <c r="AN10" i="579"/>
  <c r="AP10" i="579" s="1"/>
  <c r="AN12" i="579"/>
  <c r="AN13" i="579"/>
  <c r="AN14" i="579"/>
  <c r="AN15" i="579"/>
  <c r="AO15" i="579" s="1"/>
  <c r="AP15" i="579" s="1"/>
  <c r="AN16" i="579"/>
  <c r="AN20" i="579"/>
  <c r="AN11" i="579"/>
  <c r="AN18" i="579"/>
  <c r="AO18" i="579" s="1"/>
  <c r="AP18" i="579" s="1"/>
  <c r="AU20" i="579"/>
  <c r="AO13" i="579"/>
  <c r="AP13" i="579" s="1"/>
  <c r="AO11" i="579"/>
  <c r="AQ11" i="579" s="1"/>
  <c r="AR11" i="579" s="1"/>
  <c r="AU11" i="579" s="1"/>
  <c r="AQ13" i="579"/>
  <c r="AR13" i="579" s="1"/>
  <c r="AU13" i="579" s="1"/>
  <c r="AO17" i="579"/>
  <c r="AP17" i="579" s="1"/>
  <c r="AO20" i="579"/>
  <c r="AP20" i="579"/>
  <c r="AO10" i="579"/>
  <c r="AQ10" i="579" s="1"/>
  <c r="AR10" i="579" s="1"/>
  <c r="AU10" i="579" s="1"/>
  <c r="AO14" i="579"/>
  <c r="AQ14" i="579" s="1"/>
  <c r="AR14" i="579" s="1"/>
  <c r="AU14" i="579" s="1"/>
  <c r="AP14" i="579"/>
  <c r="AP11" i="579" l="1"/>
  <c r="AP12" i="579"/>
  <c r="AO16" i="579"/>
  <c r="AQ16" i="579" s="1"/>
  <c r="AR16" i="579" s="1"/>
  <c r="AU16" i="579" s="1"/>
  <c r="AO12" i="579"/>
  <c r="AQ12" i="579" s="1"/>
  <c r="AR12" i="579" s="1"/>
  <c r="AU12" i="579" s="1"/>
  <c r="AQ17" i="579"/>
  <c r="AR17" i="579" s="1"/>
  <c r="AU17" i="579" s="1"/>
  <c r="AQ19" i="579"/>
  <c r="AR19" i="579" s="1"/>
  <c r="AU19" i="579" s="1"/>
  <c r="AQ15" i="579"/>
  <c r="AR15" i="579" s="1"/>
  <c r="AU15" i="579" s="1"/>
  <c r="AQ18" i="579"/>
  <c r="AR18" i="579" s="1"/>
  <c r="AU18" i="579" s="1"/>
  <c r="AP16" i="579" l="1"/>
  <c r="AM21" i="578"/>
  <c r="AL21" i="578"/>
  <c r="AK21" i="578"/>
  <c r="AJ21" i="578"/>
  <c r="AI21" i="578"/>
  <c r="AH21" i="578"/>
  <c r="AG21" i="578"/>
  <c r="R21" i="578"/>
  <c r="Q21" i="578"/>
  <c r="AS21" i="578" s="1"/>
  <c r="AT21" i="578" s="1"/>
  <c r="O21" i="578"/>
  <c r="AQ21" i="578" s="1"/>
  <c r="AR21" i="578" s="1"/>
  <c r="AM20" i="578"/>
  <c r="AL20" i="578"/>
  <c r="AK20" i="578"/>
  <c r="AJ20" i="578"/>
  <c r="AI20" i="578"/>
  <c r="AH20" i="578"/>
  <c r="AG20" i="578"/>
  <c r="R20" i="578"/>
  <c r="Q20" i="578"/>
  <c r="AS20" i="578" s="1"/>
  <c r="AT20" i="578" s="1"/>
  <c r="O20" i="578"/>
  <c r="AQ20" i="578" s="1"/>
  <c r="AR20" i="578" s="1"/>
  <c r="AM19" i="578"/>
  <c r="AL19" i="578"/>
  <c r="AK19" i="578"/>
  <c r="AJ19" i="578"/>
  <c r="AI19" i="578"/>
  <c r="AH19" i="578"/>
  <c r="AG19" i="578"/>
  <c r="R19" i="578"/>
  <c r="Q19" i="578"/>
  <c r="AS19" i="578" s="1"/>
  <c r="AT19" i="578" s="1"/>
  <c r="O19" i="578"/>
  <c r="AQ19" i="578" s="1"/>
  <c r="AR19" i="578" s="1"/>
  <c r="AM18" i="578"/>
  <c r="AL18" i="578"/>
  <c r="AK18" i="578"/>
  <c r="AJ18" i="578"/>
  <c r="AI18" i="578"/>
  <c r="AH18" i="578"/>
  <c r="AG18" i="578"/>
  <c r="R18" i="578"/>
  <c r="Q18" i="578"/>
  <c r="AS18" i="578" s="1"/>
  <c r="AT18" i="578" s="1"/>
  <c r="O18" i="578"/>
  <c r="AQ18" i="578" s="1"/>
  <c r="AR18" i="578" s="1"/>
  <c r="AM17" i="578"/>
  <c r="AL17" i="578"/>
  <c r="AK17" i="578"/>
  <c r="AJ17" i="578"/>
  <c r="AI17" i="578"/>
  <c r="AH17" i="578"/>
  <c r="AG17" i="578"/>
  <c r="R17" i="578"/>
  <c r="Q17" i="578"/>
  <c r="AS17" i="578" s="1"/>
  <c r="AT17" i="578" s="1"/>
  <c r="O17" i="578"/>
  <c r="AQ17" i="578" s="1"/>
  <c r="AR17" i="578" s="1"/>
  <c r="AM16" i="578"/>
  <c r="AL16" i="578"/>
  <c r="AK16" i="578"/>
  <c r="AJ16" i="578"/>
  <c r="AI16" i="578"/>
  <c r="AH16" i="578"/>
  <c r="AG16" i="578"/>
  <c r="R16" i="578"/>
  <c r="Q16" i="578"/>
  <c r="AS16" i="578" s="1"/>
  <c r="AT16" i="578" s="1"/>
  <c r="O16" i="578"/>
  <c r="AQ16" i="578" s="1"/>
  <c r="AR16" i="578" s="1"/>
  <c r="AM15" i="578"/>
  <c r="AL15" i="578"/>
  <c r="AK15" i="578"/>
  <c r="AJ15" i="578"/>
  <c r="AI15" i="578"/>
  <c r="AH15" i="578"/>
  <c r="AG15" i="578"/>
  <c r="R15" i="578"/>
  <c r="Q15" i="578"/>
  <c r="AS15" i="578" s="1"/>
  <c r="AT15" i="578" s="1"/>
  <c r="O15" i="578"/>
  <c r="AQ15" i="578" s="1"/>
  <c r="AR15" i="578" s="1"/>
  <c r="AM14" i="578"/>
  <c r="AL14" i="578"/>
  <c r="AK14" i="578"/>
  <c r="AJ14" i="578"/>
  <c r="AI14" i="578"/>
  <c r="AH14" i="578"/>
  <c r="AG14" i="578"/>
  <c r="R14" i="578"/>
  <c r="Q14" i="578"/>
  <c r="AS14" i="578" s="1"/>
  <c r="AT14" i="578" s="1"/>
  <c r="O14" i="578"/>
  <c r="AQ14" i="578" s="1"/>
  <c r="AR14" i="578" s="1"/>
  <c r="AM13" i="578"/>
  <c r="AL13" i="578"/>
  <c r="AK13" i="578"/>
  <c r="AJ13" i="578"/>
  <c r="AI13" i="578"/>
  <c r="AH13" i="578"/>
  <c r="AG13" i="578"/>
  <c r="R13" i="578"/>
  <c r="Q13" i="578"/>
  <c r="AS13" i="578" s="1"/>
  <c r="AT13" i="578" s="1"/>
  <c r="O13" i="578"/>
  <c r="AQ13" i="578" s="1"/>
  <c r="AR13" i="578" s="1"/>
  <c r="AM12" i="578"/>
  <c r="AL12" i="578"/>
  <c r="AK12" i="578"/>
  <c r="AJ12" i="578"/>
  <c r="AI12" i="578"/>
  <c r="AH12" i="578"/>
  <c r="AG12" i="578"/>
  <c r="R12" i="578"/>
  <c r="Q12" i="578"/>
  <c r="AS12" i="578" s="1"/>
  <c r="AT12" i="578" s="1"/>
  <c r="O12" i="578"/>
  <c r="AQ12" i="578" s="1"/>
  <c r="AR12" i="578" s="1"/>
  <c r="AM11" i="578"/>
  <c r="AL11" i="578"/>
  <c r="AK11" i="578"/>
  <c r="AJ11" i="578"/>
  <c r="AI11" i="578"/>
  <c r="AH11" i="578"/>
  <c r="AG11" i="578"/>
  <c r="R11" i="578"/>
  <c r="Q11" i="578"/>
  <c r="AS11" i="578" s="1"/>
  <c r="AT11" i="578" s="1"/>
  <c r="O11" i="578"/>
  <c r="BB10" i="578"/>
  <c r="AM10" i="578"/>
  <c r="AL10" i="578"/>
  <c r="AK10" i="578"/>
  <c r="AJ10" i="578"/>
  <c r="AI10" i="578"/>
  <c r="AH10" i="578"/>
  <c r="AG10" i="578"/>
  <c r="R10" i="578"/>
  <c r="Q10" i="578"/>
  <c r="AS10" i="578" s="1"/>
  <c r="AT10" i="578" s="1"/>
  <c r="O10" i="578"/>
  <c r="V4" i="578"/>
  <c r="E4" i="578"/>
  <c r="A4" i="578"/>
  <c r="BD2" i="578"/>
  <c r="A2" i="578"/>
  <c r="AU13" i="578" l="1"/>
  <c r="AN19" i="578"/>
  <c r="AU15" i="578"/>
  <c r="AU17" i="578"/>
  <c r="AU19" i="578"/>
  <c r="AU21" i="578"/>
  <c r="AN11" i="578"/>
  <c r="AO11" i="578" s="1"/>
  <c r="AQ11" i="578" s="1"/>
  <c r="AR11" i="578" s="1"/>
  <c r="AU11" i="578" s="1"/>
  <c r="AN12" i="578"/>
  <c r="AO12" i="578" s="1"/>
  <c r="AP12" i="578" s="1"/>
  <c r="AN15" i="578"/>
  <c r="AN16" i="578"/>
  <c r="AP16" i="578" s="1"/>
  <c r="AU12" i="578"/>
  <c r="AU16" i="578"/>
  <c r="AU20" i="578"/>
  <c r="AN10" i="578"/>
  <c r="AN20" i="578"/>
  <c r="AN13" i="578"/>
  <c r="AU14" i="578"/>
  <c r="AN14" i="578"/>
  <c r="AN17" i="578"/>
  <c r="AO17" i="578" s="1"/>
  <c r="AP17" i="578" s="1"/>
  <c r="AU18" i="578"/>
  <c r="AN18" i="578"/>
  <c r="AO18" i="578" s="1"/>
  <c r="AP18" i="578" s="1"/>
  <c r="AN21" i="578"/>
  <c r="AO10" i="578"/>
  <c r="AQ10" i="578" s="1"/>
  <c r="AR10" i="578" s="1"/>
  <c r="AU10" i="578" s="1"/>
  <c r="AO13" i="578"/>
  <c r="AP13" i="578" s="1"/>
  <c r="AO14" i="578"/>
  <c r="AP14" i="578" s="1"/>
  <c r="AO21" i="578"/>
  <c r="AP21" i="578" s="1"/>
  <c r="AO20" i="578"/>
  <c r="AP20" i="578" s="1"/>
  <c r="AO19" i="578"/>
  <c r="AP19" i="578" s="1"/>
  <c r="AO15" i="578"/>
  <c r="AP15" i="578" s="1"/>
  <c r="AO16" i="578"/>
  <c r="AP10" i="578" l="1"/>
  <c r="AP11" i="578"/>
  <c r="AM21" i="577" l="1"/>
  <c r="AL21" i="577"/>
  <c r="AK21" i="577"/>
  <c r="AJ21" i="577"/>
  <c r="AI21" i="577"/>
  <c r="AH21" i="577"/>
  <c r="AG21" i="577"/>
  <c r="R21" i="577"/>
  <c r="Q21" i="577"/>
  <c r="AS21" i="577" s="1"/>
  <c r="AT21" i="577" s="1"/>
  <c r="O21" i="577"/>
  <c r="AQ21" i="577" s="1"/>
  <c r="AR21" i="577" s="1"/>
  <c r="AM20" i="577"/>
  <c r="AL20" i="577"/>
  <c r="AK20" i="577"/>
  <c r="AJ20" i="577"/>
  <c r="AI20" i="577"/>
  <c r="AH20" i="577"/>
  <c r="AG20" i="577"/>
  <c r="R20" i="577"/>
  <c r="Q20" i="577"/>
  <c r="AS20" i="577" s="1"/>
  <c r="AT20" i="577" s="1"/>
  <c r="O20" i="577"/>
  <c r="AQ20" i="577" s="1"/>
  <c r="AR20" i="577" s="1"/>
  <c r="AM19" i="577"/>
  <c r="AL19" i="577"/>
  <c r="AK19" i="577"/>
  <c r="AJ19" i="577"/>
  <c r="AI19" i="577"/>
  <c r="AH19" i="577"/>
  <c r="AG19" i="577"/>
  <c r="R19" i="577"/>
  <c r="Q19" i="577"/>
  <c r="AS19" i="577" s="1"/>
  <c r="AT19" i="577" s="1"/>
  <c r="O19" i="577"/>
  <c r="AQ19" i="577" s="1"/>
  <c r="AR19" i="577" s="1"/>
  <c r="AM18" i="577"/>
  <c r="AL18" i="577"/>
  <c r="AK18" i="577"/>
  <c r="AJ18" i="577"/>
  <c r="AI18" i="577"/>
  <c r="AH18" i="577"/>
  <c r="AG18" i="577"/>
  <c r="R18" i="577"/>
  <c r="Q18" i="577"/>
  <c r="AS18" i="577" s="1"/>
  <c r="AT18" i="577" s="1"/>
  <c r="O18" i="577"/>
  <c r="AQ18" i="577" s="1"/>
  <c r="AR18" i="577" s="1"/>
  <c r="AM17" i="577"/>
  <c r="AL17" i="577"/>
  <c r="AK17" i="577"/>
  <c r="AJ17" i="577"/>
  <c r="AI17" i="577"/>
  <c r="AH17" i="577"/>
  <c r="AG17" i="577"/>
  <c r="R17" i="577"/>
  <c r="Q17" i="577"/>
  <c r="AS17" i="577" s="1"/>
  <c r="AT17" i="577" s="1"/>
  <c r="O17" i="577"/>
  <c r="AQ17" i="577" s="1"/>
  <c r="AR17" i="577" s="1"/>
  <c r="AM16" i="577"/>
  <c r="AL16" i="577"/>
  <c r="AK16" i="577"/>
  <c r="AJ16" i="577"/>
  <c r="AI16" i="577"/>
  <c r="AH16" i="577"/>
  <c r="AG16" i="577"/>
  <c r="R16" i="577"/>
  <c r="Q16" i="577"/>
  <c r="AS16" i="577" s="1"/>
  <c r="AT16" i="577" s="1"/>
  <c r="O16" i="577"/>
  <c r="AQ16" i="577" s="1"/>
  <c r="AR16" i="577" s="1"/>
  <c r="AM15" i="577"/>
  <c r="AL15" i="577"/>
  <c r="AK15" i="577"/>
  <c r="AJ15" i="577"/>
  <c r="AI15" i="577"/>
  <c r="AH15" i="577"/>
  <c r="AG15" i="577"/>
  <c r="R15" i="577"/>
  <c r="Q15" i="577"/>
  <c r="AS15" i="577" s="1"/>
  <c r="AT15" i="577" s="1"/>
  <c r="O15" i="577"/>
  <c r="AQ15" i="577" s="1"/>
  <c r="AR15" i="577" s="1"/>
  <c r="AM14" i="577"/>
  <c r="AL14" i="577"/>
  <c r="AK14" i="577"/>
  <c r="AJ14" i="577"/>
  <c r="AI14" i="577"/>
  <c r="AH14" i="577"/>
  <c r="AG14" i="577"/>
  <c r="R14" i="577"/>
  <c r="Q14" i="577"/>
  <c r="AS14" i="577" s="1"/>
  <c r="AT14" i="577" s="1"/>
  <c r="O14" i="577"/>
  <c r="AQ14" i="577" s="1"/>
  <c r="AR14" i="577" s="1"/>
  <c r="AM13" i="577"/>
  <c r="AL13" i="577"/>
  <c r="AK13" i="577"/>
  <c r="AJ13" i="577"/>
  <c r="AI13" i="577"/>
  <c r="AH13" i="577"/>
  <c r="AG13" i="577"/>
  <c r="R13" i="577"/>
  <c r="Q13" i="577"/>
  <c r="AS13" i="577" s="1"/>
  <c r="AT13" i="577" s="1"/>
  <c r="O13" i="577"/>
  <c r="AQ13" i="577" s="1"/>
  <c r="AR13" i="577" s="1"/>
  <c r="AM12" i="577"/>
  <c r="AL12" i="577"/>
  <c r="AK12" i="577"/>
  <c r="AJ12" i="577"/>
  <c r="AI12" i="577"/>
  <c r="AH12" i="577"/>
  <c r="AG12" i="577"/>
  <c r="R12" i="577"/>
  <c r="Q12" i="577"/>
  <c r="AS12" i="577" s="1"/>
  <c r="AT12" i="577" s="1"/>
  <c r="O12" i="577"/>
  <c r="AQ12" i="577" s="1"/>
  <c r="AR12" i="577" s="1"/>
  <c r="AM11" i="577"/>
  <c r="AL11" i="577"/>
  <c r="AK11" i="577"/>
  <c r="AJ11" i="577"/>
  <c r="AI11" i="577"/>
  <c r="AH11" i="577"/>
  <c r="AG11" i="577"/>
  <c r="R11" i="577"/>
  <c r="Q11" i="577"/>
  <c r="O11" i="577"/>
  <c r="AM10" i="577"/>
  <c r="AL10" i="577"/>
  <c r="AK10" i="577"/>
  <c r="AJ10" i="577"/>
  <c r="AI10" i="577"/>
  <c r="AH10" i="577"/>
  <c r="AG10" i="577"/>
  <c r="R10" i="577"/>
  <c r="Q10" i="577"/>
  <c r="O10" i="577"/>
  <c r="V4" i="577"/>
  <c r="E4" i="577"/>
  <c r="A4" i="577"/>
  <c r="BD2" i="577"/>
  <c r="A2" i="577"/>
  <c r="AU12" i="577" l="1"/>
  <c r="AU14" i="577"/>
  <c r="AU16" i="577"/>
  <c r="AU18" i="577"/>
  <c r="AU13" i="577"/>
  <c r="AU15" i="577"/>
  <c r="AU17" i="577"/>
  <c r="AU19" i="577"/>
  <c r="AU21" i="577"/>
  <c r="AN11" i="577"/>
  <c r="AN12" i="577"/>
  <c r="AO12" i="577" s="1"/>
  <c r="AN13" i="577"/>
  <c r="AN14" i="577"/>
  <c r="AN15" i="577"/>
  <c r="AN16" i="577"/>
  <c r="AO16" i="577" s="1"/>
  <c r="AP16" i="577" s="1"/>
  <c r="AN17" i="577"/>
  <c r="AN18" i="577"/>
  <c r="AN19" i="577"/>
  <c r="AU20" i="577"/>
  <c r="AN21" i="577"/>
  <c r="AO21" i="577" s="1"/>
  <c r="AP21" i="577" s="1"/>
  <c r="AN10" i="577"/>
  <c r="AN20" i="577"/>
  <c r="AO10" i="577"/>
  <c r="AS10" i="577" s="1"/>
  <c r="AT10" i="577" s="1"/>
  <c r="AO11" i="577"/>
  <c r="AP11" i="577" s="1"/>
  <c r="AO14" i="577"/>
  <c r="AP14" i="577" s="1"/>
  <c r="AO15" i="577"/>
  <c r="AP15" i="577" s="1"/>
  <c r="AO17" i="577"/>
  <c r="AP17" i="577" s="1"/>
  <c r="AO18" i="577"/>
  <c r="AP18" i="577" s="1"/>
  <c r="AO19" i="577"/>
  <c r="AP19" i="577" s="1"/>
  <c r="AS11" i="577"/>
  <c r="AT11" i="577" s="1"/>
  <c r="AO20" i="577"/>
  <c r="AP20" i="577" s="1"/>
  <c r="AQ10" i="577" l="1"/>
  <c r="AR10" i="577" s="1"/>
  <c r="AP12" i="577"/>
  <c r="AQ11" i="577"/>
  <c r="AR11" i="577" s="1"/>
  <c r="AU11" i="577" s="1"/>
  <c r="AO13" i="577"/>
  <c r="AP13" i="577" s="1"/>
  <c r="AU10" i="577"/>
  <c r="AP10" i="577"/>
  <c r="AM21" i="576" l="1"/>
  <c r="AL21" i="576"/>
  <c r="AK21" i="576"/>
  <c r="AJ21" i="576"/>
  <c r="AI21" i="576"/>
  <c r="AH21" i="576"/>
  <c r="AG21" i="576"/>
  <c r="R21" i="576"/>
  <c r="Q21" i="576"/>
  <c r="AS21" i="576" s="1"/>
  <c r="AT21" i="576" s="1"/>
  <c r="O21" i="576"/>
  <c r="AQ21" i="576" s="1"/>
  <c r="AR21" i="576" s="1"/>
  <c r="AM20" i="576"/>
  <c r="AL20" i="576"/>
  <c r="AK20" i="576"/>
  <c r="AJ20" i="576"/>
  <c r="AI20" i="576"/>
  <c r="AH20" i="576"/>
  <c r="AG20" i="576"/>
  <c r="R20" i="576"/>
  <c r="Q20" i="576"/>
  <c r="AS20" i="576" s="1"/>
  <c r="AT20" i="576" s="1"/>
  <c r="O20" i="576"/>
  <c r="AQ20" i="576" s="1"/>
  <c r="AR20" i="576" s="1"/>
  <c r="AM19" i="576"/>
  <c r="AL19" i="576"/>
  <c r="AK19" i="576"/>
  <c r="AJ19" i="576"/>
  <c r="AI19" i="576"/>
  <c r="AH19" i="576"/>
  <c r="AG19" i="576"/>
  <c r="R19" i="576"/>
  <c r="Q19" i="576"/>
  <c r="AS19" i="576" s="1"/>
  <c r="AT19" i="576" s="1"/>
  <c r="O19" i="576"/>
  <c r="AQ19" i="576" s="1"/>
  <c r="AR19" i="576" s="1"/>
  <c r="AM18" i="576"/>
  <c r="AL18" i="576"/>
  <c r="AK18" i="576"/>
  <c r="AJ18" i="576"/>
  <c r="AI18" i="576"/>
  <c r="AH18" i="576"/>
  <c r="AG18" i="576"/>
  <c r="R18" i="576"/>
  <c r="Q18" i="576"/>
  <c r="AS18" i="576" s="1"/>
  <c r="AT18" i="576" s="1"/>
  <c r="O18" i="576"/>
  <c r="AQ18" i="576" s="1"/>
  <c r="AR18" i="576" s="1"/>
  <c r="AM17" i="576"/>
  <c r="AL17" i="576"/>
  <c r="AK17" i="576"/>
  <c r="AJ17" i="576"/>
  <c r="AI17" i="576"/>
  <c r="AH17" i="576"/>
  <c r="AG17" i="576"/>
  <c r="R17" i="576"/>
  <c r="Q17" i="576"/>
  <c r="AS17" i="576" s="1"/>
  <c r="AT17" i="576" s="1"/>
  <c r="O17" i="576"/>
  <c r="AQ17" i="576" s="1"/>
  <c r="AR17" i="576" s="1"/>
  <c r="AM16" i="576"/>
  <c r="AL16" i="576"/>
  <c r="AK16" i="576"/>
  <c r="AJ16" i="576"/>
  <c r="AI16" i="576"/>
  <c r="AH16" i="576"/>
  <c r="AG16" i="576"/>
  <c r="R16" i="576"/>
  <c r="Q16" i="576"/>
  <c r="AS16" i="576" s="1"/>
  <c r="AT16" i="576" s="1"/>
  <c r="O16" i="576"/>
  <c r="AQ16" i="576" s="1"/>
  <c r="AR16" i="576" s="1"/>
  <c r="AM15" i="576"/>
  <c r="AL15" i="576"/>
  <c r="AK15" i="576"/>
  <c r="AJ15" i="576"/>
  <c r="AI15" i="576"/>
  <c r="AH15" i="576"/>
  <c r="AG15" i="576"/>
  <c r="R15" i="576"/>
  <c r="Q15" i="576"/>
  <c r="AS15" i="576" s="1"/>
  <c r="AT15" i="576" s="1"/>
  <c r="O15" i="576"/>
  <c r="AQ15" i="576" s="1"/>
  <c r="AR15" i="576" s="1"/>
  <c r="AM14" i="576"/>
  <c r="AL14" i="576"/>
  <c r="AK14" i="576"/>
  <c r="AJ14" i="576"/>
  <c r="AI14" i="576"/>
  <c r="AH14" i="576"/>
  <c r="AG14" i="576"/>
  <c r="R14" i="576"/>
  <c r="Q14" i="576"/>
  <c r="AS14" i="576" s="1"/>
  <c r="AT14" i="576" s="1"/>
  <c r="O14" i="576"/>
  <c r="AQ14" i="576" s="1"/>
  <c r="AR14" i="576" s="1"/>
  <c r="AM13" i="576"/>
  <c r="AL13" i="576"/>
  <c r="AK13" i="576"/>
  <c r="AJ13" i="576"/>
  <c r="AI13" i="576"/>
  <c r="AH13" i="576"/>
  <c r="AG13" i="576"/>
  <c r="R13" i="576"/>
  <c r="Q13" i="576"/>
  <c r="AS13" i="576" s="1"/>
  <c r="AT13" i="576" s="1"/>
  <c r="O13" i="576"/>
  <c r="AQ13" i="576" s="1"/>
  <c r="AR13" i="576" s="1"/>
  <c r="AM12" i="576"/>
  <c r="AL12" i="576"/>
  <c r="AK12" i="576"/>
  <c r="AJ12" i="576"/>
  <c r="AI12" i="576"/>
  <c r="AH12" i="576"/>
  <c r="AG12" i="576"/>
  <c r="R12" i="576"/>
  <c r="Q12" i="576"/>
  <c r="AS12" i="576" s="1"/>
  <c r="AT12" i="576" s="1"/>
  <c r="O12" i="576"/>
  <c r="AQ12" i="576" s="1"/>
  <c r="AR12" i="576" s="1"/>
  <c r="AM11" i="576"/>
  <c r="AL11" i="576"/>
  <c r="AK11" i="576"/>
  <c r="AJ11" i="576"/>
  <c r="AI11" i="576"/>
  <c r="AH11" i="576"/>
  <c r="AG11" i="576"/>
  <c r="R11" i="576"/>
  <c r="Q11" i="576"/>
  <c r="AS11" i="576" s="1"/>
  <c r="AT11" i="576" s="1"/>
  <c r="O11" i="576"/>
  <c r="AM10" i="576"/>
  <c r="AL10" i="576"/>
  <c r="AK10" i="576"/>
  <c r="AJ10" i="576"/>
  <c r="AI10" i="576"/>
  <c r="AH10" i="576"/>
  <c r="AG10" i="576"/>
  <c r="R10" i="576"/>
  <c r="Q10" i="576"/>
  <c r="AS10" i="576" s="1"/>
  <c r="AT10" i="576" s="1"/>
  <c r="O10" i="576"/>
  <c r="V4" i="576"/>
  <c r="E4" i="576"/>
  <c r="A4" i="576"/>
  <c r="BD2" i="576"/>
  <c r="A2" i="576"/>
  <c r="AN10" i="576" l="1"/>
  <c r="AO10" i="576" s="1"/>
  <c r="AN12" i="576"/>
  <c r="AO12" i="576" s="1"/>
  <c r="AP12" i="576" s="1"/>
  <c r="AN14" i="576"/>
  <c r="AO14" i="576" s="1"/>
  <c r="AP14" i="576" s="1"/>
  <c r="AN16" i="576"/>
  <c r="AO16" i="576" s="1"/>
  <c r="AP16" i="576" s="1"/>
  <c r="AN20" i="576"/>
  <c r="AO20" i="576" s="1"/>
  <c r="AP20" i="576" s="1"/>
  <c r="AU18" i="576"/>
  <c r="AN13" i="576"/>
  <c r="AO13" i="576" s="1"/>
  <c r="AP13" i="576" s="1"/>
  <c r="AN11" i="576"/>
  <c r="AN15" i="576"/>
  <c r="AN17" i="576"/>
  <c r="AN19" i="576"/>
  <c r="AO19" i="576" s="1"/>
  <c r="AP19" i="576" s="1"/>
  <c r="AN21" i="576"/>
  <c r="AU13" i="576"/>
  <c r="AN18" i="576"/>
  <c r="AO18" i="576" s="1"/>
  <c r="AP18" i="576" s="1"/>
  <c r="AU12" i="576"/>
  <c r="AU15" i="576"/>
  <c r="AU21" i="576"/>
  <c r="AU16" i="576"/>
  <c r="AU17" i="576"/>
  <c r="AU20" i="576"/>
  <c r="AU14" i="576"/>
  <c r="AU19" i="576"/>
  <c r="AP10" i="576"/>
  <c r="AQ10" i="576"/>
  <c r="AR10" i="576" s="1"/>
  <c r="AU10" i="576" s="1"/>
  <c r="AO11" i="576"/>
  <c r="AQ11" i="576" s="1"/>
  <c r="AR11" i="576" s="1"/>
  <c r="AU11" i="576" s="1"/>
  <c r="AO15" i="576"/>
  <c r="AP15" i="576" s="1"/>
  <c r="AO17" i="576"/>
  <c r="AP17" i="576" s="1"/>
  <c r="AO21" i="576"/>
  <c r="AP21" i="576" s="1"/>
  <c r="AP11" i="576" l="1"/>
  <c r="AM21" i="574"/>
  <c r="AL21" i="574"/>
  <c r="AK21" i="574"/>
  <c r="AJ21" i="574"/>
  <c r="AI21" i="574"/>
  <c r="AH21" i="574"/>
  <c r="AG21" i="574"/>
  <c r="R21" i="574"/>
  <c r="Q21" i="574"/>
  <c r="AS21" i="574" s="1"/>
  <c r="AT21" i="574" s="1"/>
  <c r="O21" i="574"/>
  <c r="AQ21" i="574" s="1"/>
  <c r="AR21" i="574" s="1"/>
  <c r="AM20" i="574"/>
  <c r="AL20" i="574"/>
  <c r="AK20" i="574"/>
  <c r="AJ20" i="574"/>
  <c r="AI20" i="574"/>
  <c r="AH20" i="574"/>
  <c r="AG20" i="574"/>
  <c r="R20" i="574"/>
  <c r="Q20" i="574"/>
  <c r="AS20" i="574" s="1"/>
  <c r="AT20" i="574" s="1"/>
  <c r="O20" i="574"/>
  <c r="AQ20" i="574" s="1"/>
  <c r="AR20" i="574" s="1"/>
  <c r="AM19" i="574"/>
  <c r="AL19" i="574"/>
  <c r="AK19" i="574"/>
  <c r="AJ19" i="574"/>
  <c r="AI19" i="574"/>
  <c r="AH19" i="574"/>
  <c r="AG19" i="574"/>
  <c r="R19" i="574"/>
  <c r="Q19" i="574"/>
  <c r="AS19" i="574" s="1"/>
  <c r="AT19" i="574" s="1"/>
  <c r="O19" i="574"/>
  <c r="AQ19" i="574" s="1"/>
  <c r="AR19" i="574" s="1"/>
  <c r="AM18" i="574"/>
  <c r="AL18" i="574"/>
  <c r="AK18" i="574"/>
  <c r="AJ18" i="574"/>
  <c r="AI18" i="574"/>
  <c r="AH18" i="574"/>
  <c r="AG18" i="574"/>
  <c r="R18" i="574"/>
  <c r="Q18" i="574"/>
  <c r="AS18" i="574" s="1"/>
  <c r="AT18" i="574" s="1"/>
  <c r="O18" i="574"/>
  <c r="AQ18" i="574" s="1"/>
  <c r="AR18" i="574" s="1"/>
  <c r="AM17" i="574"/>
  <c r="AL17" i="574"/>
  <c r="AK17" i="574"/>
  <c r="AJ17" i="574"/>
  <c r="AI17" i="574"/>
  <c r="AH17" i="574"/>
  <c r="AG17" i="574"/>
  <c r="R17" i="574"/>
  <c r="Q17" i="574"/>
  <c r="AS17" i="574" s="1"/>
  <c r="AT17" i="574" s="1"/>
  <c r="O17" i="574"/>
  <c r="AQ17" i="574" s="1"/>
  <c r="AR17" i="574" s="1"/>
  <c r="AM16" i="574"/>
  <c r="AL16" i="574"/>
  <c r="AK16" i="574"/>
  <c r="AJ16" i="574"/>
  <c r="AI16" i="574"/>
  <c r="AH16" i="574"/>
  <c r="AG16" i="574"/>
  <c r="R16" i="574"/>
  <c r="Q16" i="574"/>
  <c r="AS16" i="574" s="1"/>
  <c r="AT16" i="574" s="1"/>
  <c r="O16" i="574"/>
  <c r="AQ16" i="574" s="1"/>
  <c r="AR16" i="574" s="1"/>
  <c r="AM15" i="574"/>
  <c r="AL15" i="574"/>
  <c r="AK15" i="574"/>
  <c r="AJ15" i="574"/>
  <c r="AI15" i="574"/>
  <c r="AH15" i="574"/>
  <c r="AG15" i="574"/>
  <c r="R15" i="574"/>
  <c r="Q15" i="574"/>
  <c r="AS15" i="574" s="1"/>
  <c r="AT15" i="574" s="1"/>
  <c r="O15" i="574"/>
  <c r="AQ15" i="574" s="1"/>
  <c r="AR15" i="574" s="1"/>
  <c r="AM14" i="574"/>
  <c r="AL14" i="574"/>
  <c r="AK14" i="574"/>
  <c r="AJ14" i="574"/>
  <c r="AI14" i="574"/>
  <c r="AH14" i="574"/>
  <c r="AG14" i="574"/>
  <c r="R14" i="574"/>
  <c r="Q14" i="574"/>
  <c r="AS14" i="574" s="1"/>
  <c r="AT14" i="574" s="1"/>
  <c r="O14" i="574"/>
  <c r="AQ14" i="574" s="1"/>
  <c r="AR14" i="574" s="1"/>
  <c r="AU14" i="574" s="1"/>
  <c r="AM13" i="574"/>
  <c r="AL13" i="574"/>
  <c r="AK13" i="574"/>
  <c r="AJ13" i="574"/>
  <c r="AI13" i="574"/>
  <c r="AH13" i="574"/>
  <c r="AG13" i="574"/>
  <c r="R13" i="574"/>
  <c r="Q13" i="574"/>
  <c r="AS13" i="574" s="1"/>
  <c r="AT13" i="574" s="1"/>
  <c r="O13" i="574"/>
  <c r="AQ13" i="574" s="1"/>
  <c r="AR13" i="574" s="1"/>
  <c r="AM12" i="574"/>
  <c r="AL12" i="574"/>
  <c r="AK12" i="574"/>
  <c r="AJ12" i="574"/>
  <c r="AI12" i="574"/>
  <c r="AH12" i="574"/>
  <c r="AG12" i="574"/>
  <c r="R12" i="574"/>
  <c r="Q12" i="574"/>
  <c r="AS12" i="574" s="1"/>
  <c r="AT12" i="574" s="1"/>
  <c r="O12" i="574"/>
  <c r="AQ12" i="574" s="1"/>
  <c r="AR12" i="574" s="1"/>
  <c r="AU12" i="574" s="1"/>
  <c r="AM11" i="574"/>
  <c r="AL11" i="574"/>
  <c r="AK11" i="574"/>
  <c r="AJ11" i="574"/>
  <c r="AI11" i="574"/>
  <c r="AH11" i="574"/>
  <c r="AG11" i="574"/>
  <c r="R11" i="574"/>
  <c r="Q11" i="574"/>
  <c r="O11" i="574"/>
  <c r="AM10" i="574"/>
  <c r="AL10" i="574"/>
  <c r="AK10" i="574"/>
  <c r="AJ10" i="574"/>
  <c r="AI10" i="574"/>
  <c r="AH10" i="574"/>
  <c r="AG10" i="574"/>
  <c r="R10" i="574"/>
  <c r="Q10" i="574"/>
  <c r="AS10" i="574" s="1"/>
  <c r="AT10" i="574" s="1"/>
  <c r="O10" i="574"/>
  <c r="V4" i="574"/>
  <c r="E4" i="574"/>
  <c r="A4" i="574"/>
  <c r="BD2" i="574"/>
  <c r="A2" i="574"/>
  <c r="AU16" i="574" l="1"/>
  <c r="AU18" i="574"/>
  <c r="AN12" i="574"/>
  <c r="AN14" i="574"/>
  <c r="AN16" i="574"/>
  <c r="AN18" i="574"/>
  <c r="AU19" i="574"/>
  <c r="AN10" i="574"/>
  <c r="AO10" i="574" s="1"/>
  <c r="AN11" i="574"/>
  <c r="AN13" i="574"/>
  <c r="AO13" i="574" s="1"/>
  <c r="AP13" i="574" s="1"/>
  <c r="AN15" i="574"/>
  <c r="AO15" i="574" s="1"/>
  <c r="AP15" i="574" s="1"/>
  <c r="AN17" i="574"/>
  <c r="AN19" i="574"/>
  <c r="AO19" i="574" s="1"/>
  <c r="AP19" i="574" s="1"/>
  <c r="AN21" i="574"/>
  <c r="AO21" i="574" s="1"/>
  <c r="AP21" i="574" s="1"/>
  <c r="AN20" i="574"/>
  <c r="AO20" i="574" s="1"/>
  <c r="AP20" i="574" s="1"/>
  <c r="AU21" i="574"/>
  <c r="AO11" i="574"/>
  <c r="AP11" i="574" s="1"/>
  <c r="AO12" i="574"/>
  <c r="AP12" i="574" s="1"/>
  <c r="AU13" i="574"/>
  <c r="AO14" i="574"/>
  <c r="AP14" i="574" s="1"/>
  <c r="AU15" i="574"/>
  <c r="AO16" i="574"/>
  <c r="AP16" i="574" s="1"/>
  <c r="AU17" i="574"/>
  <c r="AO18" i="574"/>
  <c r="AP18" i="574" s="1"/>
  <c r="AU20" i="574"/>
  <c r="AS11" i="574"/>
  <c r="AT11" i="574" s="1"/>
  <c r="AO17" i="574"/>
  <c r="AP17" i="574" s="1"/>
  <c r="AQ11" i="574" l="1"/>
  <c r="AR11" i="574" s="1"/>
  <c r="AU11" i="574" s="1"/>
  <c r="AQ10" i="574"/>
  <c r="AR10" i="574" s="1"/>
  <c r="AU10" i="574" s="1"/>
  <c r="AP10" i="574"/>
  <c r="AM21" i="573" l="1"/>
  <c r="AL21" i="573"/>
  <c r="AK21" i="573"/>
  <c r="AJ21" i="573"/>
  <c r="AI21" i="573"/>
  <c r="AH21" i="573"/>
  <c r="AG21" i="573"/>
  <c r="R21" i="573"/>
  <c r="Q21" i="573"/>
  <c r="AS21" i="573" s="1"/>
  <c r="AT21" i="573" s="1"/>
  <c r="O21" i="573"/>
  <c r="AQ21" i="573" s="1"/>
  <c r="AR21" i="573" s="1"/>
  <c r="AM20" i="573"/>
  <c r="AL20" i="573"/>
  <c r="AK20" i="573"/>
  <c r="AJ20" i="573"/>
  <c r="AI20" i="573"/>
  <c r="AH20" i="573"/>
  <c r="AG20" i="573"/>
  <c r="R20" i="573"/>
  <c r="Q20" i="573"/>
  <c r="AS20" i="573" s="1"/>
  <c r="AT20" i="573" s="1"/>
  <c r="O20" i="573"/>
  <c r="AQ20" i="573" s="1"/>
  <c r="AR20" i="573" s="1"/>
  <c r="AM19" i="573"/>
  <c r="AL19" i="573"/>
  <c r="AK19" i="573"/>
  <c r="AJ19" i="573"/>
  <c r="AI19" i="573"/>
  <c r="AH19" i="573"/>
  <c r="AG19" i="573"/>
  <c r="R19" i="573"/>
  <c r="Q19" i="573"/>
  <c r="AS19" i="573" s="1"/>
  <c r="AT19" i="573" s="1"/>
  <c r="O19" i="573"/>
  <c r="AQ19" i="573" s="1"/>
  <c r="AR19" i="573" s="1"/>
  <c r="AM18" i="573"/>
  <c r="AL18" i="573"/>
  <c r="AK18" i="573"/>
  <c r="AJ18" i="573"/>
  <c r="AI18" i="573"/>
  <c r="AH18" i="573"/>
  <c r="AG18" i="573"/>
  <c r="R18" i="573"/>
  <c r="Q18" i="573"/>
  <c r="AS18" i="573" s="1"/>
  <c r="AT18" i="573" s="1"/>
  <c r="O18" i="573"/>
  <c r="AQ18" i="573" s="1"/>
  <c r="AR18" i="573" s="1"/>
  <c r="AM17" i="573"/>
  <c r="AL17" i="573"/>
  <c r="AK17" i="573"/>
  <c r="AJ17" i="573"/>
  <c r="AI17" i="573"/>
  <c r="AH17" i="573"/>
  <c r="AG17" i="573"/>
  <c r="R17" i="573"/>
  <c r="Q17" i="573"/>
  <c r="AS17" i="573" s="1"/>
  <c r="AT17" i="573" s="1"/>
  <c r="O17" i="573"/>
  <c r="AQ17" i="573" s="1"/>
  <c r="AR17" i="573" s="1"/>
  <c r="AM16" i="573"/>
  <c r="AL16" i="573"/>
  <c r="AK16" i="573"/>
  <c r="AJ16" i="573"/>
  <c r="AI16" i="573"/>
  <c r="AH16" i="573"/>
  <c r="AG16" i="573"/>
  <c r="R16" i="573"/>
  <c r="Q16" i="573"/>
  <c r="AS16" i="573" s="1"/>
  <c r="AT16" i="573" s="1"/>
  <c r="O16" i="573"/>
  <c r="AQ16" i="573" s="1"/>
  <c r="AR16" i="573" s="1"/>
  <c r="AM15" i="573"/>
  <c r="AL15" i="573"/>
  <c r="AK15" i="573"/>
  <c r="AJ15" i="573"/>
  <c r="AI15" i="573"/>
  <c r="AH15" i="573"/>
  <c r="AG15" i="573"/>
  <c r="R15" i="573"/>
  <c r="Q15" i="573"/>
  <c r="AS15" i="573" s="1"/>
  <c r="AT15" i="573" s="1"/>
  <c r="O15" i="573"/>
  <c r="AQ15" i="573" s="1"/>
  <c r="AR15" i="573" s="1"/>
  <c r="AM14" i="573"/>
  <c r="AL14" i="573"/>
  <c r="AK14" i="573"/>
  <c r="AJ14" i="573"/>
  <c r="AI14" i="573"/>
  <c r="AH14" i="573"/>
  <c r="AG14" i="573"/>
  <c r="R14" i="573"/>
  <c r="Q14" i="573"/>
  <c r="AS14" i="573" s="1"/>
  <c r="AT14" i="573" s="1"/>
  <c r="O14" i="573"/>
  <c r="AQ14" i="573" s="1"/>
  <c r="AR14" i="573" s="1"/>
  <c r="AM13" i="573"/>
  <c r="AL13" i="573"/>
  <c r="AK13" i="573"/>
  <c r="AJ13" i="573"/>
  <c r="AI13" i="573"/>
  <c r="AH13" i="573"/>
  <c r="AG13" i="573"/>
  <c r="R13" i="573"/>
  <c r="Q13" i="573"/>
  <c r="AS13" i="573" s="1"/>
  <c r="AT13" i="573" s="1"/>
  <c r="O13" i="573"/>
  <c r="AQ13" i="573" s="1"/>
  <c r="AR13" i="573" s="1"/>
  <c r="AM12" i="573"/>
  <c r="AL12" i="573"/>
  <c r="AK12" i="573"/>
  <c r="AJ12" i="573"/>
  <c r="AI12" i="573"/>
  <c r="AH12" i="573"/>
  <c r="AG12" i="573"/>
  <c r="R12" i="573"/>
  <c r="Q12" i="573"/>
  <c r="AS12" i="573" s="1"/>
  <c r="AT12" i="573" s="1"/>
  <c r="O12" i="573"/>
  <c r="AQ12" i="573" s="1"/>
  <c r="AR12" i="573" s="1"/>
  <c r="AM11" i="573"/>
  <c r="AL11" i="573"/>
  <c r="AK11" i="573"/>
  <c r="AJ11" i="573"/>
  <c r="AI11" i="573"/>
  <c r="AH11" i="573"/>
  <c r="AG11" i="573"/>
  <c r="R11" i="573"/>
  <c r="Q11" i="573"/>
  <c r="AS11" i="573" s="1"/>
  <c r="AT11" i="573" s="1"/>
  <c r="O11" i="573"/>
  <c r="AM10" i="573"/>
  <c r="AL10" i="573"/>
  <c r="AK10" i="573"/>
  <c r="AJ10" i="573"/>
  <c r="AI10" i="573"/>
  <c r="AH10" i="573"/>
  <c r="AG10" i="573"/>
  <c r="R10" i="573"/>
  <c r="Q10" i="573"/>
  <c r="O10" i="573"/>
  <c r="V4" i="573"/>
  <c r="E4" i="573"/>
  <c r="A4" i="573"/>
  <c r="BD2" i="573"/>
  <c r="A2" i="573"/>
  <c r="AN11" i="573" l="1"/>
  <c r="AN13" i="573"/>
  <c r="AN15" i="573"/>
  <c r="AN17" i="573"/>
  <c r="AN19" i="573"/>
  <c r="AN21" i="573"/>
  <c r="AN12" i="573"/>
  <c r="AN14" i="573"/>
  <c r="AU18" i="573"/>
  <c r="AN10" i="573"/>
  <c r="AN16" i="573"/>
  <c r="AN18" i="573"/>
  <c r="AN20" i="573"/>
  <c r="AU14" i="573"/>
  <c r="AU19" i="573"/>
  <c r="AU13" i="573"/>
  <c r="AU16" i="573"/>
  <c r="AU21" i="573"/>
  <c r="AO13" i="573"/>
  <c r="AP13" i="573" s="1"/>
  <c r="AO10" i="573"/>
  <c r="AS10" i="573" s="1"/>
  <c r="AT10" i="573" s="1"/>
  <c r="AO15" i="573"/>
  <c r="AP15" i="573" s="1"/>
  <c r="AO11" i="573"/>
  <c r="AQ11" i="573" s="1"/>
  <c r="AR11" i="573" s="1"/>
  <c r="AU11" i="573" s="1"/>
  <c r="AU12" i="573"/>
  <c r="AO12" i="573"/>
  <c r="AP12" i="573" s="1"/>
  <c r="AU17" i="573"/>
  <c r="AO19" i="573"/>
  <c r="AP19" i="573" s="1"/>
  <c r="AU20" i="573"/>
  <c r="AO14" i="573"/>
  <c r="AP14" i="573" s="1"/>
  <c r="AO16" i="573"/>
  <c r="AP16" i="573" s="1"/>
  <c r="AO21" i="573"/>
  <c r="AP21" i="573" s="1"/>
  <c r="AO18" i="573"/>
  <c r="AP18" i="573" s="1"/>
  <c r="AQ10" i="573"/>
  <c r="AR10" i="573" s="1"/>
  <c r="AU15" i="573"/>
  <c r="AO17" i="573"/>
  <c r="AP17" i="573" s="1"/>
  <c r="AO20" i="573"/>
  <c r="AP20" i="573"/>
  <c r="AP11" i="573" l="1"/>
  <c r="AU10" i="573"/>
  <c r="AP10" i="573"/>
  <c r="AM21" i="572"/>
  <c r="AL21" i="572"/>
  <c r="AK21" i="572"/>
  <c r="AJ21" i="572"/>
  <c r="AI21" i="572"/>
  <c r="AH21" i="572"/>
  <c r="AG21" i="572"/>
  <c r="R21" i="572"/>
  <c r="Q21" i="572"/>
  <c r="AS21" i="572" s="1"/>
  <c r="AT21" i="572" s="1"/>
  <c r="O21" i="572"/>
  <c r="AQ21" i="572" s="1"/>
  <c r="AR21" i="572" s="1"/>
  <c r="AM20" i="572"/>
  <c r="AL20" i="572"/>
  <c r="AK20" i="572"/>
  <c r="AJ20" i="572"/>
  <c r="AI20" i="572"/>
  <c r="AH20" i="572"/>
  <c r="AG20" i="572"/>
  <c r="R20" i="572"/>
  <c r="Q20" i="572"/>
  <c r="AS20" i="572" s="1"/>
  <c r="AT20" i="572" s="1"/>
  <c r="O20" i="572"/>
  <c r="AQ20" i="572" s="1"/>
  <c r="AR20" i="572" s="1"/>
  <c r="AM19" i="572"/>
  <c r="AL19" i="572"/>
  <c r="AK19" i="572"/>
  <c r="AJ19" i="572"/>
  <c r="AI19" i="572"/>
  <c r="AH19" i="572"/>
  <c r="AG19" i="572"/>
  <c r="R19" i="572"/>
  <c r="Q19" i="572"/>
  <c r="AS19" i="572" s="1"/>
  <c r="AT19" i="572" s="1"/>
  <c r="O19" i="572"/>
  <c r="AQ19" i="572" s="1"/>
  <c r="AR19" i="572" s="1"/>
  <c r="AM18" i="572"/>
  <c r="AL18" i="572"/>
  <c r="AK18" i="572"/>
  <c r="AJ18" i="572"/>
  <c r="AI18" i="572"/>
  <c r="AH18" i="572"/>
  <c r="AG18" i="572"/>
  <c r="R18" i="572"/>
  <c r="Q18" i="572"/>
  <c r="AS18" i="572" s="1"/>
  <c r="AT18" i="572" s="1"/>
  <c r="O18" i="572"/>
  <c r="AQ18" i="572" s="1"/>
  <c r="AR18" i="572" s="1"/>
  <c r="AM17" i="572"/>
  <c r="AL17" i="572"/>
  <c r="AK17" i="572"/>
  <c r="AJ17" i="572"/>
  <c r="AI17" i="572"/>
  <c r="AH17" i="572"/>
  <c r="AG17" i="572"/>
  <c r="R17" i="572"/>
  <c r="Q17" i="572"/>
  <c r="AS17" i="572" s="1"/>
  <c r="AT17" i="572" s="1"/>
  <c r="O17" i="572"/>
  <c r="AQ17" i="572" s="1"/>
  <c r="AR17" i="572" s="1"/>
  <c r="AU17" i="572" s="1"/>
  <c r="AM16" i="572"/>
  <c r="AL16" i="572"/>
  <c r="AK16" i="572"/>
  <c r="AJ16" i="572"/>
  <c r="AI16" i="572"/>
  <c r="AH16" i="572"/>
  <c r="AG16" i="572"/>
  <c r="R16" i="572"/>
  <c r="Q16" i="572"/>
  <c r="AS16" i="572" s="1"/>
  <c r="AT16" i="572" s="1"/>
  <c r="O16" i="572"/>
  <c r="AQ16" i="572" s="1"/>
  <c r="AR16" i="572" s="1"/>
  <c r="AM15" i="572"/>
  <c r="AL15" i="572"/>
  <c r="AK15" i="572"/>
  <c r="AJ15" i="572"/>
  <c r="AI15" i="572"/>
  <c r="AH15" i="572"/>
  <c r="AG15" i="572"/>
  <c r="R15" i="572"/>
  <c r="Q15" i="572"/>
  <c r="AS15" i="572" s="1"/>
  <c r="AT15" i="572" s="1"/>
  <c r="O15" i="572"/>
  <c r="AQ15" i="572" s="1"/>
  <c r="AR15" i="572" s="1"/>
  <c r="AM14" i="572"/>
  <c r="AL14" i="572"/>
  <c r="AK14" i="572"/>
  <c r="AJ14" i="572"/>
  <c r="AI14" i="572"/>
  <c r="AH14" i="572"/>
  <c r="AG14" i="572"/>
  <c r="R14" i="572"/>
  <c r="Q14" i="572"/>
  <c r="AS14" i="572" s="1"/>
  <c r="AT14" i="572" s="1"/>
  <c r="O14" i="572"/>
  <c r="AQ14" i="572" s="1"/>
  <c r="AR14" i="572" s="1"/>
  <c r="AM13" i="572"/>
  <c r="AL13" i="572"/>
  <c r="AK13" i="572"/>
  <c r="AJ13" i="572"/>
  <c r="AI13" i="572"/>
  <c r="AH13" i="572"/>
  <c r="AG13" i="572"/>
  <c r="R13" i="572"/>
  <c r="Q13" i="572"/>
  <c r="AS13" i="572" s="1"/>
  <c r="AT13" i="572" s="1"/>
  <c r="O13" i="572"/>
  <c r="AQ13" i="572" s="1"/>
  <c r="AR13" i="572" s="1"/>
  <c r="AM12" i="572"/>
  <c r="AL12" i="572"/>
  <c r="AK12" i="572"/>
  <c r="AJ12" i="572"/>
  <c r="AI12" i="572"/>
  <c r="AH12" i="572"/>
  <c r="AG12" i="572"/>
  <c r="R12" i="572"/>
  <c r="Q12" i="572"/>
  <c r="AS12" i="572" s="1"/>
  <c r="AT12" i="572" s="1"/>
  <c r="O12" i="572"/>
  <c r="AM11" i="572"/>
  <c r="AL11" i="572"/>
  <c r="AK11" i="572"/>
  <c r="AJ11" i="572"/>
  <c r="AI11" i="572"/>
  <c r="AH11" i="572"/>
  <c r="AG11" i="572"/>
  <c r="R11" i="572"/>
  <c r="Q11" i="572"/>
  <c r="AS11" i="572" s="1"/>
  <c r="AT11" i="572" s="1"/>
  <c r="O11" i="572"/>
  <c r="AM10" i="572"/>
  <c r="AL10" i="572"/>
  <c r="AK10" i="572"/>
  <c r="AJ10" i="572"/>
  <c r="AI10" i="572"/>
  <c r="AH10" i="572"/>
  <c r="AG10" i="572"/>
  <c r="R10" i="572"/>
  <c r="Q10" i="572"/>
  <c r="AS10" i="572" s="1"/>
  <c r="AT10" i="572" s="1"/>
  <c r="O10" i="572"/>
  <c r="V4" i="572"/>
  <c r="E4" i="572"/>
  <c r="A4" i="572"/>
  <c r="BD2" i="572"/>
  <c r="A2" i="572"/>
  <c r="AU14" i="572" l="1"/>
  <c r="AU21" i="572"/>
  <c r="AN17" i="572"/>
  <c r="AO17" i="572" s="1"/>
  <c r="AP17" i="572" s="1"/>
  <c r="AN18" i="572"/>
  <c r="AN10" i="572"/>
  <c r="AU18" i="572"/>
  <c r="AN11" i="572"/>
  <c r="AN12" i="572"/>
  <c r="AO12" i="572" s="1"/>
  <c r="AN13" i="572"/>
  <c r="AO13" i="572" s="1"/>
  <c r="AP13" i="572" s="1"/>
  <c r="AN14" i="572"/>
  <c r="AN15" i="572"/>
  <c r="AU16" i="572"/>
  <c r="AN16" i="572"/>
  <c r="AN19" i="572"/>
  <c r="AO19" i="572" s="1"/>
  <c r="AP19" i="572" s="1"/>
  <c r="AU20" i="572"/>
  <c r="AN20" i="572"/>
  <c r="AN21" i="572"/>
  <c r="AO14" i="572"/>
  <c r="AO15" i="572"/>
  <c r="AP15" i="572" s="1"/>
  <c r="AO16" i="572"/>
  <c r="AO10" i="572"/>
  <c r="AP10" i="572" s="1"/>
  <c r="AU13" i="572"/>
  <c r="AU15" i="572"/>
  <c r="AO18" i="572"/>
  <c r="AP18" i="572" s="1"/>
  <c r="AU19" i="572"/>
  <c r="AQ10" i="572"/>
  <c r="AR10" i="572" s="1"/>
  <c r="AU10" i="572" s="1"/>
  <c r="AO21" i="572"/>
  <c r="AO11" i="572"/>
  <c r="AQ11" i="572" s="1"/>
  <c r="AR11" i="572" s="1"/>
  <c r="AU11" i="572" s="1"/>
  <c r="AO20" i="572"/>
  <c r="AP20" i="572" s="1"/>
  <c r="AP16" i="572" l="1"/>
  <c r="AP21" i="572"/>
  <c r="AP14" i="572"/>
  <c r="AQ12" i="572"/>
  <c r="AR12" i="572" s="1"/>
  <c r="AU12" i="572" s="1"/>
  <c r="AP12" i="572"/>
  <c r="AP11" i="572"/>
  <c r="AM21" i="570" l="1"/>
  <c r="AL21" i="570"/>
  <c r="AK21" i="570"/>
  <c r="AJ21" i="570"/>
  <c r="AI21" i="570"/>
  <c r="AH21" i="570"/>
  <c r="AG21" i="570"/>
  <c r="R21" i="570"/>
  <c r="Q21" i="570"/>
  <c r="AS21" i="570" s="1"/>
  <c r="AT21" i="570" s="1"/>
  <c r="O21" i="570"/>
  <c r="AQ21" i="570" s="1"/>
  <c r="AR21" i="570" s="1"/>
  <c r="AM20" i="570"/>
  <c r="AL20" i="570"/>
  <c r="AK20" i="570"/>
  <c r="AJ20" i="570"/>
  <c r="AI20" i="570"/>
  <c r="AH20" i="570"/>
  <c r="AG20" i="570"/>
  <c r="R20" i="570"/>
  <c r="Q20" i="570"/>
  <c r="AS20" i="570" s="1"/>
  <c r="AT20" i="570" s="1"/>
  <c r="O20" i="570"/>
  <c r="AQ20" i="570" s="1"/>
  <c r="AR20" i="570" s="1"/>
  <c r="AM19" i="570"/>
  <c r="AL19" i="570"/>
  <c r="AK19" i="570"/>
  <c r="AJ19" i="570"/>
  <c r="AI19" i="570"/>
  <c r="AH19" i="570"/>
  <c r="AG19" i="570"/>
  <c r="R19" i="570"/>
  <c r="Q19" i="570"/>
  <c r="AS19" i="570" s="1"/>
  <c r="AT19" i="570" s="1"/>
  <c r="O19" i="570"/>
  <c r="AQ19" i="570" s="1"/>
  <c r="AR19" i="570" s="1"/>
  <c r="AM18" i="570"/>
  <c r="AL18" i="570"/>
  <c r="AK18" i="570"/>
  <c r="AJ18" i="570"/>
  <c r="AI18" i="570"/>
  <c r="AH18" i="570"/>
  <c r="AG18" i="570"/>
  <c r="R18" i="570"/>
  <c r="Q18" i="570"/>
  <c r="AS18" i="570" s="1"/>
  <c r="AT18" i="570" s="1"/>
  <c r="O18" i="570"/>
  <c r="AQ18" i="570" s="1"/>
  <c r="AR18" i="570" s="1"/>
  <c r="AM17" i="570"/>
  <c r="AL17" i="570"/>
  <c r="AK17" i="570"/>
  <c r="AJ17" i="570"/>
  <c r="AI17" i="570"/>
  <c r="AH17" i="570"/>
  <c r="AG17" i="570"/>
  <c r="R17" i="570"/>
  <c r="Q17" i="570"/>
  <c r="AS17" i="570" s="1"/>
  <c r="AT17" i="570" s="1"/>
  <c r="O17" i="570"/>
  <c r="AQ17" i="570" s="1"/>
  <c r="AR17" i="570" s="1"/>
  <c r="AM16" i="570"/>
  <c r="AL16" i="570"/>
  <c r="AK16" i="570"/>
  <c r="AJ16" i="570"/>
  <c r="AI16" i="570"/>
  <c r="AH16" i="570"/>
  <c r="AG16" i="570"/>
  <c r="R16" i="570"/>
  <c r="Q16" i="570"/>
  <c r="AS16" i="570" s="1"/>
  <c r="AT16" i="570" s="1"/>
  <c r="O16" i="570"/>
  <c r="AQ16" i="570" s="1"/>
  <c r="AR16" i="570" s="1"/>
  <c r="AM15" i="570"/>
  <c r="AL15" i="570"/>
  <c r="AK15" i="570"/>
  <c r="AJ15" i="570"/>
  <c r="AI15" i="570"/>
  <c r="AH15" i="570"/>
  <c r="AG15" i="570"/>
  <c r="R15" i="570"/>
  <c r="Q15" i="570"/>
  <c r="AS15" i="570" s="1"/>
  <c r="AT15" i="570" s="1"/>
  <c r="O15" i="570"/>
  <c r="AQ15" i="570" s="1"/>
  <c r="AR15" i="570" s="1"/>
  <c r="AM14" i="570"/>
  <c r="AL14" i="570"/>
  <c r="AK14" i="570"/>
  <c r="AJ14" i="570"/>
  <c r="AI14" i="570"/>
  <c r="AH14" i="570"/>
  <c r="AG14" i="570"/>
  <c r="R14" i="570"/>
  <c r="Q14" i="570"/>
  <c r="AS14" i="570" s="1"/>
  <c r="AT14" i="570" s="1"/>
  <c r="O14" i="570"/>
  <c r="AQ14" i="570" s="1"/>
  <c r="AR14" i="570" s="1"/>
  <c r="AM13" i="570"/>
  <c r="AL13" i="570"/>
  <c r="AK13" i="570"/>
  <c r="AJ13" i="570"/>
  <c r="AI13" i="570"/>
  <c r="AH13" i="570"/>
  <c r="AG13" i="570"/>
  <c r="R13" i="570"/>
  <c r="Q13" i="570"/>
  <c r="AS13" i="570" s="1"/>
  <c r="AT13" i="570" s="1"/>
  <c r="O13" i="570"/>
  <c r="AQ13" i="570" s="1"/>
  <c r="AR13" i="570" s="1"/>
  <c r="AM12" i="570"/>
  <c r="AL12" i="570"/>
  <c r="AK12" i="570"/>
  <c r="AJ12" i="570"/>
  <c r="AI12" i="570"/>
  <c r="AH12" i="570"/>
  <c r="AG12" i="570"/>
  <c r="R12" i="570"/>
  <c r="Q12" i="570"/>
  <c r="AS12" i="570" s="1"/>
  <c r="AT12" i="570" s="1"/>
  <c r="O12" i="570"/>
  <c r="AQ12" i="570" s="1"/>
  <c r="AR12" i="570" s="1"/>
  <c r="AM11" i="570"/>
  <c r="AL11" i="570"/>
  <c r="AK11" i="570"/>
  <c r="AJ11" i="570"/>
  <c r="AI11" i="570"/>
  <c r="AH11" i="570"/>
  <c r="AG11" i="570"/>
  <c r="R11" i="570"/>
  <c r="Q11" i="570"/>
  <c r="AS11" i="570" s="1"/>
  <c r="AT11" i="570" s="1"/>
  <c r="O11" i="570"/>
  <c r="AQ11" i="570" s="1"/>
  <c r="AR11" i="570" s="1"/>
  <c r="AM10" i="570"/>
  <c r="AL10" i="570"/>
  <c r="AK10" i="570"/>
  <c r="AJ10" i="570"/>
  <c r="AI10" i="570"/>
  <c r="AH10" i="570"/>
  <c r="AG10" i="570"/>
  <c r="R10" i="570"/>
  <c r="Q10" i="570"/>
  <c r="AS10" i="570" s="1"/>
  <c r="AT10" i="570" s="1"/>
  <c r="O10" i="570"/>
  <c r="BD2" i="570"/>
  <c r="BD2" i="569"/>
  <c r="O10" i="569"/>
  <c r="Q10" i="569"/>
  <c r="R10" i="569"/>
  <c r="AG10" i="569"/>
  <c r="AH10" i="569"/>
  <c r="AI10" i="569"/>
  <c r="AJ10" i="569"/>
  <c r="AK10" i="569"/>
  <c r="AL10" i="569"/>
  <c r="AM10" i="569"/>
  <c r="O11" i="569"/>
  <c r="AQ11" i="569" s="1"/>
  <c r="AR11" i="569" s="1"/>
  <c r="Q11" i="569"/>
  <c r="AS11" i="569" s="1"/>
  <c r="AT11" i="569" s="1"/>
  <c r="R11" i="569"/>
  <c r="AG11" i="569"/>
  <c r="AH11" i="569"/>
  <c r="AI11" i="569"/>
  <c r="AJ11" i="569"/>
  <c r="AK11" i="569"/>
  <c r="AL11" i="569"/>
  <c r="AM11" i="569"/>
  <c r="O12" i="569"/>
  <c r="AQ12" i="569" s="1"/>
  <c r="AR12" i="569" s="1"/>
  <c r="Q12" i="569"/>
  <c r="AS12" i="569" s="1"/>
  <c r="AT12" i="569" s="1"/>
  <c r="R12" i="569"/>
  <c r="AG12" i="569"/>
  <c r="AH12" i="569"/>
  <c r="AI12" i="569"/>
  <c r="AJ12" i="569"/>
  <c r="AK12" i="569"/>
  <c r="AL12" i="569"/>
  <c r="AM12" i="569"/>
  <c r="O13" i="569"/>
  <c r="AQ13" i="569" s="1"/>
  <c r="AR13" i="569" s="1"/>
  <c r="Q13" i="569"/>
  <c r="AS13" i="569" s="1"/>
  <c r="AT13" i="569" s="1"/>
  <c r="R13" i="569"/>
  <c r="AG13" i="569"/>
  <c r="AH13" i="569"/>
  <c r="AI13" i="569"/>
  <c r="AJ13" i="569"/>
  <c r="AK13" i="569"/>
  <c r="AL13" i="569"/>
  <c r="AM13" i="569"/>
  <c r="O14" i="569"/>
  <c r="AQ14" i="569" s="1"/>
  <c r="AR14" i="569" s="1"/>
  <c r="Q14" i="569"/>
  <c r="AS14" i="569" s="1"/>
  <c r="AT14" i="569" s="1"/>
  <c r="R14" i="569"/>
  <c r="AG14" i="569"/>
  <c r="AH14" i="569"/>
  <c r="AI14" i="569"/>
  <c r="AJ14" i="569"/>
  <c r="AK14" i="569"/>
  <c r="AL14" i="569"/>
  <c r="AM14" i="569"/>
  <c r="O15" i="569"/>
  <c r="AQ15" i="569" s="1"/>
  <c r="AR15" i="569" s="1"/>
  <c r="Q15" i="569"/>
  <c r="AS15" i="569" s="1"/>
  <c r="AT15" i="569" s="1"/>
  <c r="R15" i="569"/>
  <c r="AG15" i="569"/>
  <c r="AH15" i="569"/>
  <c r="AI15" i="569"/>
  <c r="AJ15" i="569"/>
  <c r="AK15" i="569"/>
  <c r="AL15" i="569"/>
  <c r="AM15" i="569"/>
  <c r="O16" i="569"/>
  <c r="AQ16" i="569" s="1"/>
  <c r="AR16" i="569" s="1"/>
  <c r="Q16" i="569"/>
  <c r="AS16" i="569" s="1"/>
  <c r="AT16" i="569" s="1"/>
  <c r="R16" i="569"/>
  <c r="AG16" i="569"/>
  <c r="AH16" i="569"/>
  <c r="AI16" i="569"/>
  <c r="AJ16" i="569"/>
  <c r="AK16" i="569"/>
  <c r="AL16" i="569"/>
  <c r="AM16" i="569"/>
  <c r="O17" i="569"/>
  <c r="AQ17" i="569" s="1"/>
  <c r="AR17" i="569" s="1"/>
  <c r="Q17" i="569"/>
  <c r="AS17" i="569" s="1"/>
  <c r="AT17" i="569" s="1"/>
  <c r="R17" i="569"/>
  <c r="AG17" i="569"/>
  <c r="AH17" i="569"/>
  <c r="AI17" i="569"/>
  <c r="AJ17" i="569"/>
  <c r="AK17" i="569"/>
  <c r="AL17" i="569"/>
  <c r="AM17" i="569"/>
  <c r="O18" i="569"/>
  <c r="AQ18" i="569" s="1"/>
  <c r="AR18" i="569" s="1"/>
  <c r="Q18" i="569"/>
  <c r="AS18" i="569" s="1"/>
  <c r="AT18" i="569" s="1"/>
  <c r="R18" i="569"/>
  <c r="AG18" i="569"/>
  <c r="AH18" i="569"/>
  <c r="AI18" i="569"/>
  <c r="AJ18" i="569"/>
  <c r="AK18" i="569"/>
  <c r="AL18" i="569"/>
  <c r="AM18" i="569"/>
  <c r="O19" i="569"/>
  <c r="AQ19" i="569" s="1"/>
  <c r="AR19" i="569" s="1"/>
  <c r="Q19" i="569"/>
  <c r="AS19" i="569" s="1"/>
  <c r="AT19" i="569" s="1"/>
  <c r="R19" i="569"/>
  <c r="AG19" i="569"/>
  <c r="AH19" i="569"/>
  <c r="AI19" i="569"/>
  <c r="AJ19" i="569"/>
  <c r="AK19" i="569"/>
  <c r="AL19" i="569"/>
  <c r="AM19" i="569"/>
  <c r="O20" i="569"/>
  <c r="AQ20" i="569" s="1"/>
  <c r="AR20" i="569" s="1"/>
  <c r="Q20" i="569"/>
  <c r="AS20" i="569" s="1"/>
  <c r="AT20" i="569" s="1"/>
  <c r="R20" i="569"/>
  <c r="AG20" i="569"/>
  <c r="AH20" i="569"/>
  <c r="AI20" i="569"/>
  <c r="AJ20" i="569"/>
  <c r="AK20" i="569"/>
  <c r="AL20" i="569"/>
  <c r="AM20" i="569"/>
  <c r="O21" i="569"/>
  <c r="Q21" i="569"/>
  <c r="AS21" i="569" s="1"/>
  <c r="AT21" i="569" s="1"/>
  <c r="R21" i="569"/>
  <c r="AG21" i="569"/>
  <c r="AH21" i="569"/>
  <c r="AI21" i="569"/>
  <c r="AJ21" i="569"/>
  <c r="AK21" i="569"/>
  <c r="AL21" i="569"/>
  <c r="AM21" i="569"/>
  <c r="AQ21" i="569"/>
  <c r="AR21" i="569" s="1"/>
  <c r="AM21" i="568"/>
  <c r="AL21" i="568"/>
  <c r="AK21" i="568"/>
  <c r="AJ21" i="568"/>
  <c r="AI21" i="568"/>
  <c r="AH21" i="568"/>
  <c r="AG21" i="568"/>
  <c r="R21" i="568"/>
  <c r="Q21" i="568"/>
  <c r="AS21" i="568" s="1"/>
  <c r="AT21" i="568" s="1"/>
  <c r="O21" i="568"/>
  <c r="AQ21" i="568" s="1"/>
  <c r="AR21" i="568" s="1"/>
  <c r="AM20" i="568"/>
  <c r="AL20" i="568"/>
  <c r="AK20" i="568"/>
  <c r="AJ20" i="568"/>
  <c r="AI20" i="568"/>
  <c r="AH20" i="568"/>
  <c r="AG20" i="568"/>
  <c r="R20" i="568"/>
  <c r="Q20" i="568"/>
  <c r="AS20" i="568" s="1"/>
  <c r="AT20" i="568" s="1"/>
  <c r="O20" i="568"/>
  <c r="AQ20" i="568" s="1"/>
  <c r="AR20" i="568" s="1"/>
  <c r="AM19" i="568"/>
  <c r="AL19" i="568"/>
  <c r="AK19" i="568"/>
  <c r="AJ19" i="568"/>
  <c r="AI19" i="568"/>
  <c r="AH19" i="568"/>
  <c r="AG19" i="568"/>
  <c r="R19" i="568"/>
  <c r="Q19" i="568"/>
  <c r="AS19" i="568" s="1"/>
  <c r="AT19" i="568" s="1"/>
  <c r="O19" i="568"/>
  <c r="AQ19" i="568" s="1"/>
  <c r="AR19" i="568" s="1"/>
  <c r="AM18" i="568"/>
  <c r="AL18" i="568"/>
  <c r="AK18" i="568"/>
  <c r="AJ18" i="568"/>
  <c r="AI18" i="568"/>
  <c r="AH18" i="568"/>
  <c r="AG18" i="568"/>
  <c r="R18" i="568"/>
  <c r="Q18" i="568"/>
  <c r="AS18" i="568" s="1"/>
  <c r="AT18" i="568" s="1"/>
  <c r="O18" i="568"/>
  <c r="AQ18" i="568" s="1"/>
  <c r="AR18" i="568" s="1"/>
  <c r="AM17" i="568"/>
  <c r="AL17" i="568"/>
  <c r="AK17" i="568"/>
  <c r="AJ17" i="568"/>
  <c r="AI17" i="568"/>
  <c r="AH17" i="568"/>
  <c r="AG17" i="568"/>
  <c r="R17" i="568"/>
  <c r="Q17" i="568"/>
  <c r="AS17" i="568" s="1"/>
  <c r="AT17" i="568" s="1"/>
  <c r="O17" i="568"/>
  <c r="AQ17" i="568" s="1"/>
  <c r="AR17" i="568" s="1"/>
  <c r="AM16" i="568"/>
  <c r="AL16" i="568"/>
  <c r="AK16" i="568"/>
  <c r="AJ16" i="568"/>
  <c r="AI16" i="568"/>
  <c r="AH16" i="568"/>
  <c r="AG16" i="568"/>
  <c r="R16" i="568"/>
  <c r="Q16" i="568"/>
  <c r="AS16" i="568" s="1"/>
  <c r="AT16" i="568" s="1"/>
  <c r="O16" i="568"/>
  <c r="AQ16" i="568" s="1"/>
  <c r="AR16" i="568" s="1"/>
  <c r="AM15" i="568"/>
  <c r="AL15" i="568"/>
  <c r="AK15" i="568"/>
  <c r="AJ15" i="568"/>
  <c r="AI15" i="568"/>
  <c r="AH15" i="568"/>
  <c r="AG15" i="568"/>
  <c r="R15" i="568"/>
  <c r="Q15" i="568"/>
  <c r="AS15" i="568" s="1"/>
  <c r="AT15" i="568" s="1"/>
  <c r="O15" i="568"/>
  <c r="AQ15" i="568" s="1"/>
  <c r="AR15" i="568" s="1"/>
  <c r="AM14" i="568"/>
  <c r="AL14" i="568"/>
  <c r="AK14" i="568"/>
  <c r="AJ14" i="568"/>
  <c r="AI14" i="568"/>
  <c r="AH14" i="568"/>
  <c r="AG14" i="568"/>
  <c r="R14" i="568"/>
  <c r="Q14" i="568"/>
  <c r="AS14" i="568" s="1"/>
  <c r="AT14" i="568" s="1"/>
  <c r="O14" i="568"/>
  <c r="AQ14" i="568" s="1"/>
  <c r="AR14" i="568" s="1"/>
  <c r="AM13" i="568"/>
  <c r="AL13" i="568"/>
  <c r="AK13" i="568"/>
  <c r="AJ13" i="568"/>
  <c r="AI13" i="568"/>
  <c r="AH13" i="568"/>
  <c r="AG13" i="568"/>
  <c r="R13" i="568"/>
  <c r="Q13" i="568"/>
  <c r="O13" i="568"/>
  <c r="AM12" i="568"/>
  <c r="AL12" i="568"/>
  <c r="AK12" i="568"/>
  <c r="AJ12" i="568"/>
  <c r="AI12" i="568"/>
  <c r="AH12" i="568"/>
  <c r="AG12" i="568"/>
  <c r="R12" i="568"/>
  <c r="Q12" i="568"/>
  <c r="O12" i="568"/>
  <c r="AM11" i="568"/>
  <c r="AL11" i="568"/>
  <c r="AK11" i="568"/>
  <c r="AJ11" i="568"/>
  <c r="AI11" i="568"/>
  <c r="AH11" i="568"/>
  <c r="AG11" i="568"/>
  <c r="R11" i="568"/>
  <c r="Q11" i="568"/>
  <c r="O11" i="568"/>
  <c r="AM10" i="568"/>
  <c r="AL10" i="568"/>
  <c r="AK10" i="568"/>
  <c r="AJ10" i="568"/>
  <c r="AI10" i="568"/>
  <c r="AH10" i="568"/>
  <c r="AG10" i="568"/>
  <c r="R10" i="568"/>
  <c r="Q10" i="568"/>
  <c r="O10" i="568"/>
  <c r="V4" i="568"/>
  <c r="E4" i="568"/>
  <c r="A4" i="568"/>
  <c r="BD2" i="568"/>
  <c r="A2" i="568"/>
  <c r="AN21" i="568" l="1"/>
  <c r="AN19" i="570"/>
  <c r="AN21" i="570"/>
  <c r="AN14" i="570"/>
  <c r="AN15" i="570"/>
  <c r="AN16" i="570"/>
  <c r="AU21" i="570"/>
  <c r="AN10" i="568"/>
  <c r="AO10" i="568" s="1"/>
  <c r="AQ10" i="568" s="1"/>
  <c r="AR10" i="568" s="1"/>
  <c r="AN11" i="568"/>
  <c r="AN12" i="568"/>
  <c r="AN13" i="568"/>
  <c r="AU14" i="568"/>
  <c r="AN14" i="568"/>
  <c r="AN15" i="568"/>
  <c r="AU16" i="568"/>
  <c r="AN16" i="568"/>
  <c r="AU17" i="568"/>
  <c r="AN19" i="568"/>
  <c r="AU20" i="568"/>
  <c r="AU21" i="568"/>
  <c r="AN21" i="569"/>
  <c r="AN19" i="569"/>
  <c r="AN17" i="569"/>
  <c r="AN15" i="569"/>
  <c r="AN12" i="569"/>
  <c r="AN10" i="569"/>
  <c r="AN10" i="570"/>
  <c r="AN11" i="570"/>
  <c r="AN12" i="570"/>
  <c r="AN13" i="570"/>
  <c r="AN17" i="570"/>
  <c r="AO17" i="570" s="1"/>
  <c r="AP17" i="570" s="1"/>
  <c r="AN17" i="568"/>
  <c r="AU18" i="568"/>
  <c r="AN18" i="568"/>
  <c r="AN18" i="570"/>
  <c r="AO18" i="570" s="1"/>
  <c r="AP18" i="570" s="1"/>
  <c r="AN20" i="570"/>
  <c r="AO20" i="570" s="1"/>
  <c r="AP20" i="570" s="1"/>
  <c r="AN13" i="569"/>
  <c r="AN11" i="569"/>
  <c r="AN20" i="568"/>
  <c r="AN20" i="569"/>
  <c r="AN18" i="569"/>
  <c r="AN16" i="569"/>
  <c r="AN14" i="569"/>
  <c r="AO14" i="569" s="1"/>
  <c r="AP14" i="569" s="1"/>
  <c r="AU14" i="570"/>
  <c r="AU18" i="570"/>
  <c r="AU11" i="570"/>
  <c r="AU15" i="570"/>
  <c r="AU19" i="570"/>
  <c r="AU17" i="569"/>
  <c r="AU13" i="570"/>
  <c r="AU17" i="570"/>
  <c r="AU21" i="569"/>
  <c r="AU13" i="569"/>
  <c r="AO13" i="570"/>
  <c r="AP13" i="570" s="1"/>
  <c r="AO10" i="570"/>
  <c r="AP10" i="570" s="1"/>
  <c r="AO11" i="570"/>
  <c r="AP11" i="570" s="1"/>
  <c r="AU12" i="570"/>
  <c r="AO14" i="570"/>
  <c r="AP14" i="570"/>
  <c r="AO15" i="570"/>
  <c r="AP15" i="570" s="1"/>
  <c r="AU16" i="570"/>
  <c r="AU20" i="570"/>
  <c r="AO21" i="570"/>
  <c r="AP21" i="570" s="1"/>
  <c r="AO16" i="570"/>
  <c r="AP16" i="570" s="1"/>
  <c r="AO12" i="570"/>
  <c r="AP12" i="570" s="1"/>
  <c r="AO19" i="570"/>
  <c r="AP19" i="570" s="1"/>
  <c r="AU18" i="569"/>
  <c r="AU14" i="569"/>
  <c r="AO19" i="569"/>
  <c r="AP19" i="569" s="1"/>
  <c r="AO18" i="569"/>
  <c r="AP18" i="569" s="1"/>
  <c r="AO11" i="569"/>
  <c r="AP11" i="569" s="1"/>
  <c r="AU20" i="569"/>
  <c r="AU16" i="569"/>
  <c r="AU12" i="569"/>
  <c r="AO21" i="569"/>
  <c r="AP21" i="569" s="1"/>
  <c r="AU19" i="569"/>
  <c r="AO17" i="569"/>
  <c r="AO16" i="569"/>
  <c r="AP16" i="569" s="1"/>
  <c r="AU15" i="569"/>
  <c r="AO13" i="569"/>
  <c r="AP13" i="569" s="1"/>
  <c r="AO12" i="569"/>
  <c r="AP12" i="569" s="1"/>
  <c r="AU11" i="569"/>
  <c r="AO10" i="569"/>
  <c r="AO11" i="568"/>
  <c r="AP11" i="568" s="1"/>
  <c r="AO14" i="568"/>
  <c r="AP14" i="568"/>
  <c r="AO15" i="568"/>
  <c r="AP15" i="568" s="1"/>
  <c r="AO16" i="568"/>
  <c r="AO19" i="568"/>
  <c r="AP19" i="568" s="1"/>
  <c r="AQ11" i="568"/>
  <c r="AR11" i="568" s="1"/>
  <c r="AU15" i="568"/>
  <c r="AO17" i="568"/>
  <c r="AP17" i="568" s="1"/>
  <c r="AO18" i="568"/>
  <c r="AP18" i="568" s="1"/>
  <c r="AU19" i="568"/>
  <c r="AO20" i="568"/>
  <c r="AP20" i="568" s="1"/>
  <c r="AO12" i="568"/>
  <c r="AP12" i="568" s="1"/>
  <c r="AP13" i="568"/>
  <c r="AO13" i="568"/>
  <c r="AQ13" i="568" s="1"/>
  <c r="AR13" i="568" s="1"/>
  <c r="AO21" i="568"/>
  <c r="AP21" i="568" s="1"/>
  <c r="AS13" i="568" l="1"/>
  <c r="AT13" i="568" s="1"/>
  <c r="AP16" i="568"/>
  <c r="AP17" i="569"/>
  <c r="AS11" i="568"/>
  <c r="AT11" i="568" s="1"/>
  <c r="AO15" i="569"/>
  <c r="AP15" i="569" s="1"/>
  <c r="AO20" i="569"/>
  <c r="AP20" i="569" s="1"/>
  <c r="AQ10" i="570"/>
  <c r="AR10" i="570" s="1"/>
  <c r="AU10" i="570" s="1"/>
  <c r="AQ10" i="569"/>
  <c r="AR10" i="569" s="1"/>
  <c r="AS10" i="569"/>
  <c r="AT10" i="569" s="1"/>
  <c r="AP10" i="569"/>
  <c r="AQ12" i="568"/>
  <c r="AR12" i="568" s="1"/>
  <c r="AS12" i="568"/>
  <c r="AT12" i="568" s="1"/>
  <c r="AP10" i="568"/>
  <c r="AS10" i="568"/>
  <c r="AT10" i="568" s="1"/>
  <c r="AU10" i="568" s="1"/>
  <c r="AU13" i="568"/>
  <c r="AU11" i="568"/>
  <c r="AU10" i="569" l="1"/>
  <c r="AU12" i="568"/>
  <c r="AM21" i="566" l="1"/>
  <c r="AL21" i="566"/>
  <c r="AK21" i="566"/>
  <c r="AJ21" i="566"/>
  <c r="AI21" i="566"/>
  <c r="AH21" i="566"/>
  <c r="AG21" i="566"/>
  <c r="R21" i="566"/>
  <c r="Q21" i="566"/>
  <c r="AS21" i="566" s="1"/>
  <c r="AT21" i="566" s="1"/>
  <c r="O21" i="566"/>
  <c r="AQ21" i="566" s="1"/>
  <c r="AR21" i="566" s="1"/>
  <c r="AM20" i="566"/>
  <c r="AL20" i="566"/>
  <c r="AK20" i="566"/>
  <c r="AJ20" i="566"/>
  <c r="AI20" i="566"/>
  <c r="AH20" i="566"/>
  <c r="AG20" i="566"/>
  <c r="R20" i="566"/>
  <c r="Q20" i="566"/>
  <c r="AS20" i="566" s="1"/>
  <c r="AT20" i="566" s="1"/>
  <c r="O20" i="566"/>
  <c r="AQ20" i="566" s="1"/>
  <c r="AR20" i="566" s="1"/>
  <c r="AM19" i="566"/>
  <c r="AL19" i="566"/>
  <c r="AK19" i="566"/>
  <c r="AJ19" i="566"/>
  <c r="AI19" i="566"/>
  <c r="AH19" i="566"/>
  <c r="AG19" i="566"/>
  <c r="R19" i="566"/>
  <c r="Q19" i="566"/>
  <c r="AS19" i="566" s="1"/>
  <c r="AT19" i="566" s="1"/>
  <c r="O19" i="566"/>
  <c r="AQ19" i="566" s="1"/>
  <c r="AR19" i="566" s="1"/>
  <c r="AM18" i="566"/>
  <c r="AL18" i="566"/>
  <c r="AK18" i="566"/>
  <c r="AJ18" i="566"/>
  <c r="AI18" i="566"/>
  <c r="AH18" i="566"/>
  <c r="AG18" i="566"/>
  <c r="R18" i="566"/>
  <c r="Q18" i="566"/>
  <c r="AS18" i="566" s="1"/>
  <c r="AT18" i="566" s="1"/>
  <c r="O18" i="566"/>
  <c r="AQ18" i="566" s="1"/>
  <c r="AR18" i="566" s="1"/>
  <c r="AM17" i="566"/>
  <c r="AL17" i="566"/>
  <c r="AK17" i="566"/>
  <c r="AJ17" i="566"/>
  <c r="AI17" i="566"/>
  <c r="AH17" i="566"/>
  <c r="AG17" i="566"/>
  <c r="R17" i="566"/>
  <c r="Q17" i="566"/>
  <c r="AS17" i="566" s="1"/>
  <c r="AT17" i="566" s="1"/>
  <c r="O17" i="566"/>
  <c r="AQ17" i="566" s="1"/>
  <c r="AR17" i="566" s="1"/>
  <c r="AM16" i="566"/>
  <c r="AL16" i="566"/>
  <c r="AK16" i="566"/>
  <c r="AJ16" i="566"/>
  <c r="AI16" i="566"/>
  <c r="AH16" i="566"/>
  <c r="AG16" i="566"/>
  <c r="R16" i="566"/>
  <c r="Q16" i="566"/>
  <c r="AS16" i="566" s="1"/>
  <c r="AT16" i="566" s="1"/>
  <c r="O16" i="566"/>
  <c r="AM15" i="566"/>
  <c r="AL15" i="566"/>
  <c r="AK15" i="566"/>
  <c r="AJ15" i="566"/>
  <c r="AI15" i="566"/>
  <c r="AH15" i="566"/>
  <c r="AG15" i="566"/>
  <c r="R15" i="566"/>
  <c r="Q15" i="566"/>
  <c r="AS15" i="566" s="1"/>
  <c r="AT15" i="566" s="1"/>
  <c r="O15" i="566"/>
  <c r="AM14" i="566"/>
  <c r="AL14" i="566"/>
  <c r="AK14" i="566"/>
  <c r="AJ14" i="566"/>
  <c r="AI14" i="566"/>
  <c r="AH14" i="566"/>
  <c r="AG14" i="566"/>
  <c r="R14" i="566"/>
  <c r="Q14" i="566"/>
  <c r="AS14" i="566" s="1"/>
  <c r="AT14" i="566" s="1"/>
  <c r="O14" i="566"/>
  <c r="AM13" i="566"/>
  <c r="AL13" i="566"/>
  <c r="AK13" i="566"/>
  <c r="AJ13" i="566"/>
  <c r="AI13" i="566"/>
  <c r="AH13" i="566"/>
  <c r="AG13" i="566"/>
  <c r="R13" i="566"/>
  <c r="Q13" i="566"/>
  <c r="AS13" i="566" s="1"/>
  <c r="AT13" i="566" s="1"/>
  <c r="O13" i="566"/>
  <c r="BB12" i="566"/>
  <c r="AM12" i="566"/>
  <c r="AL12" i="566"/>
  <c r="AK12" i="566"/>
  <c r="AJ12" i="566"/>
  <c r="AI12" i="566"/>
  <c r="AH12" i="566"/>
  <c r="AG12" i="566"/>
  <c r="R12" i="566"/>
  <c r="Q12" i="566"/>
  <c r="O12" i="566"/>
  <c r="BB11" i="566"/>
  <c r="AM11" i="566"/>
  <c r="AL11" i="566"/>
  <c r="AK11" i="566"/>
  <c r="AJ11" i="566"/>
  <c r="AI11" i="566"/>
  <c r="AH11" i="566"/>
  <c r="AG11" i="566"/>
  <c r="R11" i="566"/>
  <c r="Q11" i="566"/>
  <c r="AS11" i="566" s="1"/>
  <c r="AT11" i="566" s="1"/>
  <c r="O11" i="566"/>
  <c r="AM10" i="566"/>
  <c r="AL10" i="566"/>
  <c r="AK10" i="566"/>
  <c r="AJ10" i="566"/>
  <c r="AI10" i="566"/>
  <c r="AH10" i="566"/>
  <c r="AG10" i="566"/>
  <c r="R10" i="566"/>
  <c r="Q10" i="566"/>
  <c r="AS10" i="566" s="1"/>
  <c r="AT10" i="566" s="1"/>
  <c r="O10" i="566"/>
  <c r="V4" i="566"/>
  <c r="E4" i="566"/>
  <c r="A4" i="566"/>
  <c r="BD2" i="566"/>
  <c r="A2" i="566"/>
  <c r="AN15" i="566" l="1"/>
  <c r="AN17" i="566"/>
  <c r="AN18" i="566"/>
  <c r="AN19" i="566"/>
  <c r="AN21" i="566"/>
  <c r="AN10" i="566"/>
  <c r="AU21" i="566"/>
  <c r="AN12" i="566"/>
  <c r="AN11" i="566"/>
  <c r="AN13" i="566"/>
  <c r="AN14" i="566"/>
  <c r="AO14" i="566" s="1"/>
  <c r="AQ14" i="566" s="1"/>
  <c r="AR14" i="566" s="1"/>
  <c r="AU14" i="566" s="1"/>
  <c r="AN16" i="566"/>
  <c r="AN20" i="566"/>
  <c r="AU19" i="566"/>
  <c r="AU17" i="566"/>
  <c r="AO12" i="566"/>
  <c r="AO18" i="566"/>
  <c r="AP18" i="566"/>
  <c r="AO20" i="566"/>
  <c r="AO10" i="566"/>
  <c r="AQ10" i="566" s="1"/>
  <c r="AR10" i="566" s="1"/>
  <c r="AU10" i="566" s="1"/>
  <c r="AU18" i="566"/>
  <c r="AO19" i="566"/>
  <c r="AP19" i="566" s="1"/>
  <c r="AU20" i="566"/>
  <c r="AO17" i="566"/>
  <c r="AP17" i="566" s="1"/>
  <c r="AO21" i="566"/>
  <c r="AP21" i="566" s="1"/>
  <c r="AO11" i="566"/>
  <c r="AQ11" i="566" s="1"/>
  <c r="AR11" i="566" s="1"/>
  <c r="AU11" i="566" s="1"/>
  <c r="AP11" i="566"/>
  <c r="AO13" i="566"/>
  <c r="AP13" i="566" s="1"/>
  <c r="AO15" i="566"/>
  <c r="AQ15" i="566" s="1"/>
  <c r="AR15" i="566" s="1"/>
  <c r="AU15" i="566" s="1"/>
  <c r="AO16" i="566" l="1"/>
  <c r="AQ16" i="566" s="1"/>
  <c r="AR16" i="566" s="1"/>
  <c r="AU16" i="566" s="1"/>
  <c r="AP14" i="566"/>
  <c r="AP20" i="566"/>
  <c r="AP10" i="566"/>
  <c r="AP15" i="566"/>
  <c r="AQ13" i="566"/>
  <c r="AR13" i="566" s="1"/>
  <c r="AU13" i="566" s="1"/>
  <c r="AS12" i="566"/>
  <c r="AT12" i="566" s="1"/>
  <c r="AQ12" i="566"/>
  <c r="AR12" i="566" s="1"/>
  <c r="AP12" i="566"/>
  <c r="AP16" i="566" l="1"/>
  <c r="AU12" i="566"/>
  <c r="AM21" i="565" l="1"/>
  <c r="AL21" i="565"/>
  <c r="AK21" i="565"/>
  <c r="AJ21" i="565"/>
  <c r="AI21" i="565"/>
  <c r="AH21" i="565"/>
  <c r="AG21" i="565"/>
  <c r="R21" i="565"/>
  <c r="Q21" i="565"/>
  <c r="AS21" i="565" s="1"/>
  <c r="AT21" i="565" s="1"/>
  <c r="O21" i="565"/>
  <c r="AQ21" i="565" s="1"/>
  <c r="AR21" i="565" s="1"/>
  <c r="AM20" i="565"/>
  <c r="AL20" i="565"/>
  <c r="AK20" i="565"/>
  <c r="AJ20" i="565"/>
  <c r="AI20" i="565"/>
  <c r="AH20" i="565"/>
  <c r="AG20" i="565"/>
  <c r="R20" i="565"/>
  <c r="Q20" i="565"/>
  <c r="AS20" i="565" s="1"/>
  <c r="AT20" i="565" s="1"/>
  <c r="O20" i="565"/>
  <c r="AQ20" i="565" s="1"/>
  <c r="AR20" i="565" s="1"/>
  <c r="AM19" i="565"/>
  <c r="AL19" i="565"/>
  <c r="AK19" i="565"/>
  <c r="AJ19" i="565"/>
  <c r="AI19" i="565"/>
  <c r="AH19" i="565"/>
  <c r="AG19" i="565"/>
  <c r="R19" i="565"/>
  <c r="Q19" i="565"/>
  <c r="AS19" i="565" s="1"/>
  <c r="AT19" i="565" s="1"/>
  <c r="O19" i="565"/>
  <c r="AQ19" i="565" s="1"/>
  <c r="AR19" i="565" s="1"/>
  <c r="AU19" i="565" s="1"/>
  <c r="AM18" i="565"/>
  <c r="AL18" i="565"/>
  <c r="AK18" i="565"/>
  <c r="AJ18" i="565"/>
  <c r="AI18" i="565"/>
  <c r="AH18" i="565"/>
  <c r="AG18" i="565"/>
  <c r="R18" i="565"/>
  <c r="Q18" i="565"/>
  <c r="AS18" i="565" s="1"/>
  <c r="AT18" i="565" s="1"/>
  <c r="O18" i="565"/>
  <c r="AQ18" i="565" s="1"/>
  <c r="AR18" i="565" s="1"/>
  <c r="AM17" i="565"/>
  <c r="AL17" i="565"/>
  <c r="AK17" i="565"/>
  <c r="AJ17" i="565"/>
  <c r="AI17" i="565"/>
  <c r="AH17" i="565"/>
  <c r="AG17" i="565"/>
  <c r="R17" i="565"/>
  <c r="Q17" i="565"/>
  <c r="AS17" i="565" s="1"/>
  <c r="AT17" i="565" s="1"/>
  <c r="O17" i="565"/>
  <c r="AQ17" i="565" s="1"/>
  <c r="AR17" i="565" s="1"/>
  <c r="AU17" i="565" s="1"/>
  <c r="AM16" i="565"/>
  <c r="AL16" i="565"/>
  <c r="AK16" i="565"/>
  <c r="AJ16" i="565"/>
  <c r="AI16" i="565"/>
  <c r="AH16" i="565"/>
  <c r="AG16" i="565"/>
  <c r="R16" i="565"/>
  <c r="Q16" i="565"/>
  <c r="AS16" i="565" s="1"/>
  <c r="AT16" i="565" s="1"/>
  <c r="O16" i="565"/>
  <c r="AQ16" i="565" s="1"/>
  <c r="AR16" i="565" s="1"/>
  <c r="AM15" i="565"/>
  <c r="AL15" i="565"/>
  <c r="AK15" i="565"/>
  <c r="AJ15" i="565"/>
  <c r="AI15" i="565"/>
  <c r="AH15" i="565"/>
  <c r="AG15" i="565"/>
  <c r="R15" i="565"/>
  <c r="Q15" i="565"/>
  <c r="AS15" i="565" s="1"/>
  <c r="AT15" i="565" s="1"/>
  <c r="O15" i="565"/>
  <c r="AQ15" i="565" s="1"/>
  <c r="AR15" i="565" s="1"/>
  <c r="AU15" i="565" s="1"/>
  <c r="AM14" i="565"/>
  <c r="AL14" i="565"/>
  <c r="AK14" i="565"/>
  <c r="AJ14" i="565"/>
  <c r="AI14" i="565"/>
  <c r="AH14" i="565"/>
  <c r="AG14" i="565"/>
  <c r="R14" i="565"/>
  <c r="Q14" i="565"/>
  <c r="AS14" i="565" s="1"/>
  <c r="AT14" i="565" s="1"/>
  <c r="O14" i="565"/>
  <c r="AQ14" i="565" s="1"/>
  <c r="AR14" i="565" s="1"/>
  <c r="AM13" i="565"/>
  <c r="AL13" i="565"/>
  <c r="AK13" i="565"/>
  <c r="AJ13" i="565"/>
  <c r="AI13" i="565"/>
  <c r="AH13" i="565"/>
  <c r="AG13" i="565"/>
  <c r="R13" i="565"/>
  <c r="Q13" i="565"/>
  <c r="AS13" i="565" s="1"/>
  <c r="AT13" i="565" s="1"/>
  <c r="O13" i="565"/>
  <c r="AQ13" i="565" s="1"/>
  <c r="AR13" i="565" s="1"/>
  <c r="AU13" i="565" s="1"/>
  <c r="AM12" i="565"/>
  <c r="AL12" i="565"/>
  <c r="AK12" i="565"/>
  <c r="AJ12" i="565"/>
  <c r="AI12" i="565"/>
  <c r="AH12" i="565"/>
  <c r="AG12" i="565"/>
  <c r="R12" i="565"/>
  <c r="Q12" i="565"/>
  <c r="AS12" i="565" s="1"/>
  <c r="AT12" i="565" s="1"/>
  <c r="O12" i="565"/>
  <c r="AQ12" i="565" s="1"/>
  <c r="AR12" i="565" s="1"/>
  <c r="AM11" i="565"/>
  <c r="AL11" i="565"/>
  <c r="AK11" i="565"/>
  <c r="AJ11" i="565"/>
  <c r="AI11" i="565"/>
  <c r="AH11" i="565"/>
  <c r="AG11" i="565"/>
  <c r="R11" i="565"/>
  <c r="Q11" i="565"/>
  <c r="AS11" i="565" s="1"/>
  <c r="AT11" i="565" s="1"/>
  <c r="O11" i="565"/>
  <c r="AQ11" i="565" s="1"/>
  <c r="AR11" i="565" s="1"/>
  <c r="AU11" i="565" s="1"/>
  <c r="AM10" i="565"/>
  <c r="AL10" i="565"/>
  <c r="AK10" i="565"/>
  <c r="AJ10" i="565"/>
  <c r="AI10" i="565"/>
  <c r="AH10" i="565"/>
  <c r="AG10" i="565"/>
  <c r="R10" i="565"/>
  <c r="Q10" i="565"/>
  <c r="O10" i="565"/>
  <c r="V4" i="565"/>
  <c r="E4" i="565"/>
  <c r="BD2" i="565"/>
  <c r="AU21" i="565" l="1"/>
  <c r="AN19" i="565"/>
  <c r="AN21" i="565"/>
  <c r="AN11" i="565"/>
  <c r="AN12" i="565"/>
  <c r="AN16" i="565"/>
  <c r="AN17" i="565"/>
  <c r="AO17" i="565" s="1"/>
  <c r="AP17" i="565" s="1"/>
  <c r="AN18" i="565"/>
  <c r="AO18" i="565" s="1"/>
  <c r="AP18" i="565" s="1"/>
  <c r="AN10" i="565"/>
  <c r="AO10" i="565" s="1"/>
  <c r="AN20" i="565"/>
  <c r="AN13" i="565"/>
  <c r="AN14" i="565"/>
  <c r="AO14" i="565" s="1"/>
  <c r="AP14" i="565" s="1"/>
  <c r="AN15" i="565"/>
  <c r="AO15" i="565" s="1"/>
  <c r="AP15" i="565" s="1"/>
  <c r="AO20" i="565"/>
  <c r="AP20" i="565"/>
  <c r="AU12" i="565"/>
  <c r="AU14" i="565"/>
  <c r="AU16" i="565"/>
  <c r="AU18" i="565"/>
  <c r="AU20" i="565"/>
  <c r="AO19" i="565"/>
  <c r="AP19" i="565" s="1"/>
  <c r="AO21" i="565"/>
  <c r="AP21" i="565" s="1"/>
  <c r="AO12" i="565"/>
  <c r="AO13" i="565"/>
  <c r="AP13" i="565" s="1"/>
  <c r="AO11" i="565"/>
  <c r="AP11" i="565" s="1"/>
  <c r="AO16" i="565"/>
  <c r="AP16" i="565" s="1"/>
  <c r="AP12" i="565" l="1"/>
  <c r="AP10" i="565"/>
  <c r="AQ10" i="565"/>
  <c r="AR10" i="565" s="1"/>
  <c r="AS10" i="565"/>
  <c r="AT10" i="565" s="1"/>
  <c r="AM15" i="564"/>
  <c r="AL15" i="564"/>
  <c r="AK15" i="564"/>
  <c r="AJ15" i="564"/>
  <c r="AI15" i="564"/>
  <c r="AH15" i="564"/>
  <c r="AG15" i="564"/>
  <c r="R15" i="564"/>
  <c r="Q15" i="564"/>
  <c r="AS15" i="564" s="1"/>
  <c r="AT15" i="564" s="1"/>
  <c r="O15" i="564"/>
  <c r="AM14" i="564"/>
  <c r="AL14" i="564"/>
  <c r="AK14" i="564"/>
  <c r="AJ14" i="564"/>
  <c r="AI14" i="564"/>
  <c r="AH14" i="564"/>
  <c r="AN14" i="564" s="1"/>
  <c r="AG14" i="564"/>
  <c r="R14" i="564"/>
  <c r="Q14" i="564"/>
  <c r="AS14" i="564" s="1"/>
  <c r="AT14" i="564" s="1"/>
  <c r="O14" i="564"/>
  <c r="AM13" i="564"/>
  <c r="AL13" i="564"/>
  <c r="AK13" i="564"/>
  <c r="AJ13" i="564"/>
  <c r="AI13" i="564"/>
  <c r="AH13" i="564"/>
  <c r="AG13" i="564"/>
  <c r="R13" i="564"/>
  <c r="Q13" i="564"/>
  <c r="AS13" i="564" s="1"/>
  <c r="AT13" i="564" s="1"/>
  <c r="O13" i="564"/>
  <c r="AM12" i="564"/>
  <c r="AL12" i="564"/>
  <c r="AK12" i="564"/>
  <c r="AJ12" i="564"/>
  <c r="AI12" i="564"/>
  <c r="AH12" i="564"/>
  <c r="AG12" i="564"/>
  <c r="R12" i="564"/>
  <c r="Q12" i="564"/>
  <c r="AS12" i="564" s="1"/>
  <c r="AT12" i="564" s="1"/>
  <c r="O12" i="564"/>
  <c r="AM11" i="564"/>
  <c r="AL11" i="564"/>
  <c r="AK11" i="564"/>
  <c r="AJ11" i="564"/>
  <c r="AI11" i="564"/>
  <c r="AH11" i="564"/>
  <c r="AG11" i="564"/>
  <c r="R11" i="564"/>
  <c r="Q11" i="564"/>
  <c r="AS11" i="564" s="1"/>
  <c r="AT11" i="564" s="1"/>
  <c r="O11" i="564"/>
  <c r="AM10" i="564"/>
  <c r="AL10" i="564"/>
  <c r="AK10" i="564"/>
  <c r="AJ10" i="564"/>
  <c r="AI10" i="564"/>
  <c r="AH10" i="564"/>
  <c r="AG10" i="564"/>
  <c r="R10" i="564"/>
  <c r="Q10" i="564"/>
  <c r="AS10" i="564" s="1"/>
  <c r="AT10" i="564" s="1"/>
  <c r="O10" i="564"/>
  <c r="V4" i="564"/>
  <c r="E4" i="564"/>
  <c r="A4" i="564"/>
  <c r="BD2" i="564"/>
  <c r="A2" i="564"/>
  <c r="AN13" i="564" l="1"/>
  <c r="AO13" i="564" s="1"/>
  <c r="AQ13" i="564" s="1"/>
  <c r="AR13" i="564" s="1"/>
  <c r="AU13" i="564" s="1"/>
  <c r="AN10" i="564"/>
  <c r="AO10" i="564" s="1"/>
  <c r="AN11" i="564"/>
  <c r="AO11" i="564" s="1"/>
  <c r="AN12" i="564"/>
  <c r="AN15" i="564"/>
  <c r="AO15" i="564" s="1"/>
  <c r="AQ15" i="564" s="1"/>
  <c r="AR15" i="564" s="1"/>
  <c r="AU15" i="564" s="1"/>
  <c r="AU10" i="565"/>
  <c r="AO12" i="564"/>
  <c r="AP12" i="564" s="1"/>
  <c r="AO14" i="564"/>
  <c r="AP14" i="564" s="1"/>
  <c r="AP10" i="564" l="1"/>
  <c r="AQ10" i="564"/>
  <c r="AR10" i="564" s="1"/>
  <c r="AU10" i="564" s="1"/>
  <c r="AP11" i="564"/>
  <c r="AQ11" i="564"/>
  <c r="AR11" i="564" s="1"/>
  <c r="AU11" i="564" s="1"/>
  <c r="AQ12" i="564"/>
  <c r="AR12" i="564" s="1"/>
  <c r="AU12" i="564" s="1"/>
  <c r="AQ14" i="564"/>
  <c r="AR14" i="564" s="1"/>
  <c r="AU14" i="564" s="1"/>
  <c r="AP13" i="564"/>
  <c r="AP15" i="564"/>
  <c r="AM19" i="562" l="1"/>
  <c r="AL19" i="562"/>
  <c r="AK19" i="562"/>
  <c r="AJ19" i="562"/>
  <c r="AI19" i="562"/>
  <c r="AH19" i="562"/>
  <c r="AG19" i="562"/>
  <c r="R19" i="562"/>
  <c r="Q19" i="562"/>
  <c r="AS19" i="562" s="1"/>
  <c r="AT19" i="562" s="1"/>
  <c r="O19" i="562"/>
  <c r="AQ19" i="562" s="1"/>
  <c r="AR19" i="562" s="1"/>
  <c r="AM18" i="562"/>
  <c r="AL18" i="562"/>
  <c r="AK18" i="562"/>
  <c r="AJ18" i="562"/>
  <c r="AI18" i="562"/>
  <c r="AH18" i="562"/>
  <c r="AG18" i="562"/>
  <c r="R18" i="562"/>
  <c r="Q18" i="562"/>
  <c r="AS18" i="562" s="1"/>
  <c r="AT18" i="562" s="1"/>
  <c r="O18" i="562"/>
  <c r="AQ18" i="562" s="1"/>
  <c r="AR18" i="562" s="1"/>
  <c r="AM17" i="562"/>
  <c r="AL17" i="562"/>
  <c r="AK17" i="562"/>
  <c r="AJ17" i="562"/>
  <c r="AI17" i="562"/>
  <c r="AH17" i="562"/>
  <c r="AG17" i="562"/>
  <c r="R17" i="562"/>
  <c r="Q17" i="562"/>
  <c r="AS17" i="562" s="1"/>
  <c r="AT17" i="562" s="1"/>
  <c r="O17" i="562"/>
  <c r="AQ17" i="562" s="1"/>
  <c r="AR17" i="562" s="1"/>
  <c r="AM16" i="562"/>
  <c r="AL16" i="562"/>
  <c r="AK16" i="562"/>
  <c r="AJ16" i="562"/>
  <c r="AI16" i="562"/>
  <c r="AH16" i="562"/>
  <c r="AG16" i="562"/>
  <c r="R16" i="562"/>
  <c r="Q16" i="562"/>
  <c r="AS16" i="562" s="1"/>
  <c r="AT16" i="562" s="1"/>
  <c r="O16" i="562"/>
  <c r="AM15" i="562"/>
  <c r="AL15" i="562"/>
  <c r="AK15" i="562"/>
  <c r="AJ15" i="562"/>
  <c r="AI15" i="562"/>
  <c r="AH15" i="562"/>
  <c r="AG15" i="562"/>
  <c r="R15" i="562"/>
  <c r="Q15" i="562"/>
  <c r="AS15" i="562" s="1"/>
  <c r="AT15" i="562" s="1"/>
  <c r="O15" i="562"/>
  <c r="AM14" i="562"/>
  <c r="AL14" i="562"/>
  <c r="AK14" i="562"/>
  <c r="AJ14" i="562"/>
  <c r="AI14" i="562"/>
  <c r="AH14" i="562"/>
  <c r="AG14" i="562"/>
  <c r="R14" i="562"/>
  <c r="Q14" i="562"/>
  <c r="AS14" i="562" s="1"/>
  <c r="AT14" i="562" s="1"/>
  <c r="O14" i="562"/>
  <c r="AM13" i="562"/>
  <c r="AL13" i="562"/>
  <c r="AK13" i="562"/>
  <c r="AJ13" i="562"/>
  <c r="AI13" i="562"/>
  <c r="AH13" i="562"/>
  <c r="AG13" i="562"/>
  <c r="R13" i="562"/>
  <c r="Q13" i="562"/>
  <c r="O13" i="562"/>
  <c r="AM12" i="562"/>
  <c r="AL12" i="562"/>
  <c r="AK12" i="562"/>
  <c r="AJ12" i="562"/>
  <c r="AI12" i="562"/>
  <c r="AH12" i="562"/>
  <c r="AG12" i="562"/>
  <c r="R12" i="562"/>
  <c r="Q12" i="562"/>
  <c r="O12" i="562"/>
  <c r="AM11" i="562"/>
  <c r="AL11" i="562"/>
  <c r="AK11" i="562"/>
  <c r="AJ11" i="562"/>
  <c r="AI11" i="562"/>
  <c r="AH11" i="562"/>
  <c r="AG11" i="562"/>
  <c r="R11" i="562"/>
  <c r="Q11" i="562"/>
  <c r="O11" i="562"/>
  <c r="AM10" i="562"/>
  <c r="AL10" i="562"/>
  <c r="AK10" i="562"/>
  <c r="AJ10" i="562"/>
  <c r="AI10" i="562"/>
  <c r="AH10" i="562"/>
  <c r="AG10" i="562"/>
  <c r="R10" i="562"/>
  <c r="Q10" i="562"/>
  <c r="O10" i="562"/>
  <c r="V4" i="562"/>
  <c r="E4" i="562"/>
  <c r="A4" i="562"/>
  <c r="BD2" i="562"/>
  <c r="A2" i="562"/>
  <c r="AN19" i="562" l="1"/>
  <c r="AN13" i="562"/>
  <c r="AN15" i="562"/>
  <c r="AO15" i="562" s="1"/>
  <c r="AP15" i="562" s="1"/>
  <c r="AN10" i="562"/>
  <c r="AO10" i="562" s="1"/>
  <c r="AN11" i="562"/>
  <c r="AN12" i="562"/>
  <c r="AN14" i="562"/>
  <c r="AO14" i="562" s="1"/>
  <c r="AP14" i="562" s="1"/>
  <c r="AN16" i="562"/>
  <c r="AO16" i="562" s="1"/>
  <c r="AP16" i="562" s="1"/>
  <c r="AN17" i="562"/>
  <c r="AO17" i="562" s="1"/>
  <c r="AP17" i="562" s="1"/>
  <c r="AU18" i="562"/>
  <c r="AN18" i="562"/>
  <c r="AO18" i="562" s="1"/>
  <c r="AP18" i="562" s="1"/>
  <c r="AU19" i="562"/>
  <c r="AO11" i="562"/>
  <c r="AP11" i="562" s="1"/>
  <c r="AO13" i="562"/>
  <c r="AQ13" i="562" s="1"/>
  <c r="AR13" i="562" s="1"/>
  <c r="AU17" i="562"/>
  <c r="AO19" i="562"/>
  <c r="AP19" i="562" s="1"/>
  <c r="AO12" i="562"/>
  <c r="AS12" i="562" s="1"/>
  <c r="AT12" i="562" s="1"/>
  <c r="AQ14" i="562" l="1"/>
  <c r="AR14" i="562" s="1"/>
  <c r="AU14" i="562" s="1"/>
  <c r="AS13" i="562"/>
  <c r="AT13" i="562" s="1"/>
  <c r="AU13" i="562" s="1"/>
  <c r="AQ11" i="562"/>
  <c r="AR11" i="562" s="1"/>
  <c r="AP12" i="562"/>
  <c r="AQ10" i="562"/>
  <c r="AR10" i="562" s="1"/>
  <c r="AS10" i="562"/>
  <c r="AT10" i="562" s="1"/>
  <c r="AP10" i="562"/>
  <c r="AS11" i="562"/>
  <c r="AT11" i="562" s="1"/>
  <c r="AQ15" i="562"/>
  <c r="AR15" i="562" s="1"/>
  <c r="AU15" i="562" s="1"/>
  <c r="AP13" i="562"/>
  <c r="AQ16" i="562"/>
  <c r="AR16" i="562" s="1"/>
  <c r="AU16" i="562" s="1"/>
  <c r="AQ12" i="562"/>
  <c r="AR12" i="562" s="1"/>
  <c r="AU12" i="562" s="1"/>
  <c r="AU11" i="562" l="1"/>
  <c r="AU10" i="562"/>
  <c r="AE98" i="561"/>
  <c r="U98" i="561"/>
  <c r="T98" i="561"/>
  <c r="AH98" i="561" s="1"/>
  <c r="AI98" i="561" s="1"/>
  <c r="S98" i="561"/>
  <c r="AF98" i="561" s="1"/>
  <c r="AG98" i="561" s="1"/>
  <c r="AE97" i="561"/>
  <c r="U97" i="561"/>
  <c r="T97" i="561"/>
  <c r="AH97" i="561" s="1"/>
  <c r="AI97" i="561" s="1"/>
  <c r="S97" i="561"/>
  <c r="AF97" i="561" s="1"/>
  <c r="AG97" i="561" s="1"/>
  <c r="AE96" i="561"/>
  <c r="U96" i="561"/>
  <c r="T96" i="561"/>
  <c r="AH96" i="561" s="1"/>
  <c r="AI96" i="561" s="1"/>
  <c r="S96" i="561"/>
  <c r="AF96" i="561" s="1"/>
  <c r="AG96" i="561" s="1"/>
  <c r="AE95" i="561"/>
  <c r="U95" i="561"/>
  <c r="T95" i="561"/>
  <c r="AH95" i="561" s="1"/>
  <c r="AI95" i="561" s="1"/>
  <c r="S95" i="561"/>
  <c r="AF95" i="561" s="1"/>
  <c r="AE94" i="561"/>
  <c r="U94" i="561"/>
  <c r="T94" i="561"/>
  <c r="AH94" i="561" s="1"/>
  <c r="AI94" i="561" s="1"/>
  <c r="S94" i="561"/>
  <c r="AF94" i="561" s="1"/>
  <c r="AG94" i="561" s="1"/>
  <c r="AE93" i="561"/>
  <c r="U93" i="561"/>
  <c r="T93" i="561"/>
  <c r="AH93" i="561" s="1"/>
  <c r="AI93" i="561" s="1"/>
  <c r="S93" i="561"/>
  <c r="AF93" i="561" s="1"/>
  <c r="AG93" i="561" s="1"/>
  <c r="AE92" i="561"/>
  <c r="U92" i="561"/>
  <c r="T92" i="561"/>
  <c r="AH92" i="561" s="1"/>
  <c r="AI92" i="561" s="1"/>
  <c r="S92" i="561"/>
  <c r="AF92" i="561" s="1"/>
  <c r="AG92" i="561" s="1"/>
  <c r="AE91" i="561"/>
  <c r="U91" i="561"/>
  <c r="T91" i="561"/>
  <c r="AH91" i="561" s="1"/>
  <c r="AI91" i="561" s="1"/>
  <c r="S91" i="561"/>
  <c r="AF91" i="561" s="1"/>
  <c r="AG91" i="561" s="1"/>
  <c r="AE90" i="561"/>
  <c r="U90" i="561"/>
  <c r="T90" i="561"/>
  <c r="AH90" i="561" s="1"/>
  <c r="AI90" i="561" s="1"/>
  <c r="S90" i="561"/>
  <c r="AF90" i="561" s="1"/>
  <c r="AG90" i="561" s="1"/>
  <c r="AE89" i="561"/>
  <c r="U89" i="561"/>
  <c r="T89" i="561"/>
  <c r="AH89" i="561" s="1"/>
  <c r="AI89" i="561" s="1"/>
  <c r="S89" i="561"/>
  <c r="AF89" i="561" s="1"/>
  <c r="AE88" i="561"/>
  <c r="U88" i="561"/>
  <c r="T88" i="561"/>
  <c r="AH88" i="561" s="1"/>
  <c r="AI88" i="561" s="1"/>
  <c r="S88" i="561"/>
  <c r="AF88" i="561" s="1"/>
  <c r="AG88" i="561" s="1"/>
  <c r="AE87" i="561"/>
  <c r="U87" i="561"/>
  <c r="T87" i="561"/>
  <c r="AH87" i="561" s="1"/>
  <c r="AI87" i="561" s="1"/>
  <c r="S87" i="561"/>
  <c r="AF87" i="561" s="1"/>
  <c r="AE86" i="561"/>
  <c r="U86" i="561"/>
  <c r="T86" i="561"/>
  <c r="AH86" i="561" s="1"/>
  <c r="AI86" i="561" s="1"/>
  <c r="S86" i="561"/>
  <c r="AF86" i="561" s="1"/>
  <c r="AG86" i="561" s="1"/>
  <c r="AE85" i="561"/>
  <c r="U85" i="561"/>
  <c r="T85" i="561"/>
  <c r="AH85" i="561" s="1"/>
  <c r="AI85" i="561" s="1"/>
  <c r="S85" i="561"/>
  <c r="AF85" i="561" s="1"/>
  <c r="AG85" i="561" s="1"/>
  <c r="AE84" i="561"/>
  <c r="U84" i="561"/>
  <c r="T84" i="561"/>
  <c r="AH84" i="561" s="1"/>
  <c r="AI84" i="561" s="1"/>
  <c r="S84" i="561"/>
  <c r="AF84" i="561" s="1"/>
  <c r="AG84" i="561" s="1"/>
  <c r="AE83" i="561"/>
  <c r="U83" i="561"/>
  <c r="T83" i="561"/>
  <c r="AH83" i="561" s="1"/>
  <c r="AI83" i="561" s="1"/>
  <c r="S83" i="561"/>
  <c r="AF83" i="561" s="1"/>
  <c r="AG83" i="561" s="1"/>
  <c r="AE82" i="561"/>
  <c r="U82" i="561"/>
  <c r="T82" i="561"/>
  <c r="AH82" i="561" s="1"/>
  <c r="AI82" i="561" s="1"/>
  <c r="S82" i="561"/>
  <c r="AF82" i="561" s="1"/>
  <c r="AG82" i="561" s="1"/>
  <c r="AE81" i="561"/>
  <c r="U81" i="561"/>
  <c r="T81" i="561"/>
  <c r="AH81" i="561" s="1"/>
  <c r="AI81" i="561" s="1"/>
  <c r="S81" i="561"/>
  <c r="AF81" i="561" s="1"/>
  <c r="AE80" i="561"/>
  <c r="U80" i="561"/>
  <c r="T80" i="561"/>
  <c r="AH80" i="561" s="1"/>
  <c r="AI80" i="561" s="1"/>
  <c r="S80" i="561"/>
  <c r="AF80" i="561" s="1"/>
  <c r="AE79" i="561"/>
  <c r="U79" i="561"/>
  <c r="T79" i="561"/>
  <c r="AH79" i="561" s="1"/>
  <c r="AI79" i="561" s="1"/>
  <c r="S79" i="561"/>
  <c r="AF79" i="561" s="1"/>
  <c r="AG79" i="561" s="1"/>
  <c r="AE78" i="561"/>
  <c r="U78" i="561"/>
  <c r="T78" i="561"/>
  <c r="AH78" i="561" s="1"/>
  <c r="AI78" i="561" s="1"/>
  <c r="S78" i="561"/>
  <c r="AF78" i="561" s="1"/>
  <c r="AE77" i="561"/>
  <c r="U77" i="561"/>
  <c r="T77" i="561"/>
  <c r="AH77" i="561" s="1"/>
  <c r="AI77" i="561" s="1"/>
  <c r="S77" i="561"/>
  <c r="AF77" i="561" s="1"/>
  <c r="AE76" i="561"/>
  <c r="U76" i="561"/>
  <c r="T76" i="561"/>
  <c r="AH76" i="561" s="1"/>
  <c r="AI76" i="561" s="1"/>
  <c r="S76" i="561"/>
  <c r="AF76" i="561" s="1"/>
  <c r="AE75" i="561"/>
  <c r="U75" i="561"/>
  <c r="T75" i="561"/>
  <c r="AH75" i="561" s="1"/>
  <c r="AI75" i="561" s="1"/>
  <c r="S75" i="561"/>
  <c r="AF75" i="561" s="1"/>
  <c r="AE74" i="561"/>
  <c r="U74" i="561"/>
  <c r="T74" i="561"/>
  <c r="AH74" i="561" s="1"/>
  <c r="AI74" i="561" s="1"/>
  <c r="S74" i="561"/>
  <c r="AF74" i="561" s="1"/>
  <c r="AE73" i="561"/>
  <c r="U73" i="561"/>
  <c r="T73" i="561"/>
  <c r="AH73" i="561" s="1"/>
  <c r="AI73" i="561" s="1"/>
  <c r="S73" i="561"/>
  <c r="AF73" i="561" s="1"/>
  <c r="AE72" i="561"/>
  <c r="U72" i="561"/>
  <c r="T72" i="561"/>
  <c r="AH72" i="561" s="1"/>
  <c r="AI72" i="561" s="1"/>
  <c r="S72" i="561"/>
  <c r="AF72" i="561" s="1"/>
  <c r="AE71" i="561"/>
  <c r="U71" i="561"/>
  <c r="T71" i="561"/>
  <c r="AH71" i="561" s="1"/>
  <c r="AI71" i="561" s="1"/>
  <c r="S71" i="561"/>
  <c r="AF71" i="561" s="1"/>
  <c r="AE70" i="561"/>
  <c r="U70" i="561"/>
  <c r="T70" i="561"/>
  <c r="AH70" i="561" s="1"/>
  <c r="AI70" i="561" s="1"/>
  <c r="S70" i="561"/>
  <c r="AF70" i="561" s="1"/>
  <c r="AE69" i="561"/>
  <c r="U69" i="561"/>
  <c r="T69" i="561"/>
  <c r="AH69" i="561" s="1"/>
  <c r="AI69" i="561" s="1"/>
  <c r="S69" i="561"/>
  <c r="AF69" i="561" s="1"/>
  <c r="AE68" i="561"/>
  <c r="U68" i="561"/>
  <c r="T68" i="561"/>
  <c r="AH68" i="561" s="1"/>
  <c r="AI68" i="561" s="1"/>
  <c r="S68" i="561"/>
  <c r="AF68" i="561" s="1"/>
  <c r="AE67" i="561"/>
  <c r="U67" i="561"/>
  <c r="T67" i="561"/>
  <c r="AH67" i="561" s="1"/>
  <c r="AI67" i="561" s="1"/>
  <c r="S67" i="561"/>
  <c r="AF67" i="561" s="1"/>
  <c r="AE66" i="561"/>
  <c r="U66" i="561"/>
  <c r="T66" i="561"/>
  <c r="AH66" i="561" s="1"/>
  <c r="AI66" i="561" s="1"/>
  <c r="S66" i="561"/>
  <c r="AF66" i="561" s="1"/>
  <c r="AE65" i="561"/>
  <c r="U65" i="561"/>
  <c r="T65" i="561"/>
  <c r="AH65" i="561" s="1"/>
  <c r="AI65" i="561" s="1"/>
  <c r="S65" i="561"/>
  <c r="AF65" i="561" s="1"/>
  <c r="AE64" i="561"/>
  <c r="U64" i="561"/>
  <c r="T64" i="561"/>
  <c r="AH64" i="561" s="1"/>
  <c r="AI64" i="561" s="1"/>
  <c r="S64" i="561"/>
  <c r="AF64" i="561" s="1"/>
  <c r="AE63" i="561"/>
  <c r="U63" i="561"/>
  <c r="T63" i="561"/>
  <c r="AH63" i="561" s="1"/>
  <c r="AI63" i="561" s="1"/>
  <c r="S63" i="561"/>
  <c r="AF63" i="561" s="1"/>
  <c r="AE62" i="561"/>
  <c r="U62" i="561"/>
  <c r="T62" i="561"/>
  <c r="AH62" i="561" s="1"/>
  <c r="AI62" i="561" s="1"/>
  <c r="S62" i="561"/>
  <c r="AF62" i="561" s="1"/>
  <c r="AE61" i="561"/>
  <c r="U61" i="561"/>
  <c r="T61" i="561"/>
  <c r="AH61" i="561" s="1"/>
  <c r="AI61" i="561" s="1"/>
  <c r="S61" i="561"/>
  <c r="AF61" i="561" s="1"/>
  <c r="AE60" i="561"/>
  <c r="U60" i="561"/>
  <c r="T60" i="561"/>
  <c r="AH60" i="561" s="1"/>
  <c r="AI60" i="561" s="1"/>
  <c r="S60" i="561"/>
  <c r="AF60" i="561" s="1"/>
  <c r="AE59" i="561"/>
  <c r="U59" i="561"/>
  <c r="T59" i="561"/>
  <c r="AH59" i="561" s="1"/>
  <c r="AI59" i="561" s="1"/>
  <c r="S59" i="561"/>
  <c r="AF59" i="561" s="1"/>
  <c r="AE58" i="561"/>
  <c r="U58" i="561"/>
  <c r="T58" i="561"/>
  <c r="AH58" i="561" s="1"/>
  <c r="AI58" i="561" s="1"/>
  <c r="S58" i="561"/>
  <c r="AF58" i="561" s="1"/>
  <c r="AE57" i="561"/>
  <c r="U57" i="561"/>
  <c r="T57" i="561"/>
  <c r="AH57" i="561" s="1"/>
  <c r="AI57" i="561" s="1"/>
  <c r="S57" i="561"/>
  <c r="AF57" i="561" s="1"/>
  <c r="AE56" i="561"/>
  <c r="U56" i="561"/>
  <c r="T56" i="561"/>
  <c r="AH56" i="561" s="1"/>
  <c r="AI56" i="561" s="1"/>
  <c r="S56" i="561"/>
  <c r="AF56" i="561" s="1"/>
  <c r="AE55" i="561"/>
  <c r="U55" i="561"/>
  <c r="T55" i="561"/>
  <c r="AH55" i="561" s="1"/>
  <c r="AI55" i="561" s="1"/>
  <c r="S55" i="561"/>
  <c r="AF55" i="561" s="1"/>
  <c r="AE54" i="561"/>
  <c r="U54" i="561"/>
  <c r="T54" i="561"/>
  <c r="AH54" i="561" s="1"/>
  <c r="AI54" i="561" s="1"/>
  <c r="S54" i="561"/>
  <c r="AF54" i="561" s="1"/>
  <c r="AE53" i="561"/>
  <c r="U53" i="561"/>
  <c r="T53" i="561"/>
  <c r="AH53" i="561" s="1"/>
  <c r="AI53" i="561" s="1"/>
  <c r="S53" i="561"/>
  <c r="AF53" i="561" s="1"/>
  <c r="AE52" i="561"/>
  <c r="U52" i="561"/>
  <c r="T52" i="561"/>
  <c r="AH52" i="561" s="1"/>
  <c r="AI52" i="561" s="1"/>
  <c r="S52" i="561"/>
  <c r="AF52" i="561" s="1"/>
  <c r="AE51" i="561"/>
  <c r="U51" i="561"/>
  <c r="T51" i="561"/>
  <c r="AH51" i="561" s="1"/>
  <c r="AI51" i="561" s="1"/>
  <c r="S51" i="561"/>
  <c r="AF51" i="561" s="1"/>
  <c r="AE50" i="561"/>
  <c r="U50" i="561"/>
  <c r="T50" i="561"/>
  <c r="AH50" i="561" s="1"/>
  <c r="AI50" i="561" s="1"/>
  <c r="S50" i="561"/>
  <c r="AF50" i="561" s="1"/>
  <c r="AE49" i="561"/>
  <c r="U49" i="561"/>
  <c r="T49" i="561"/>
  <c r="AH49" i="561" s="1"/>
  <c r="AI49" i="561" s="1"/>
  <c r="S49" i="561"/>
  <c r="AF49" i="561" s="1"/>
  <c r="AE48" i="561"/>
  <c r="U48" i="561"/>
  <c r="T48" i="561"/>
  <c r="AH48" i="561" s="1"/>
  <c r="AI48" i="561" s="1"/>
  <c r="S48" i="561"/>
  <c r="AF48" i="561" s="1"/>
  <c r="AE47" i="561"/>
  <c r="U47" i="561"/>
  <c r="T47" i="561"/>
  <c r="AH47" i="561" s="1"/>
  <c r="AI47" i="561" s="1"/>
  <c r="S47" i="561"/>
  <c r="AF47" i="561" s="1"/>
  <c r="AE46" i="561"/>
  <c r="U46" i="561"/>
  <c r="T46" i="561"/>
  <c r="AH46" i="561" s="1"/>
  <c r="AI46" i="561" s="1"/>
  <c r="S46" i="561"/>
  <c r="AF46" i="561" s="1"/>
  <c r="AE45" i="561"/>
  <c r="U45" i="561"/>
  <c r="T45" i="561"/>
  <c r="AH45" i="561" s="1"/>
  <c r="AI45" i="561" s="1"/>
  <c r="S45" i="561"/>
  <c r="AF45" i="561" s="1"/>
  <c r="AE44" i="561"/>
  <c r="U44" i="561"/>
  <c r="T44" i="561"/>
  <c r="AH44" i="561" s="1"/>
  <c r="AI44" i="561" s="1"/>
  <c r="S44" i="561"/>
  <c r="AF44" i="561" s="1"/>
  <c r="AE43" i="561"/>
  <c r="U43" i="561"/>
  <c r="T43" i="561"/>
  <c r="AH43" i="561" s="1"/>
  <c r="AI43" i="561" s="1"/>
  <c r="S43" i="561"/>
  <c r="AF43" i="561" s="1"/>
  <c r="AE42" i="561"/>
  <c r="U42" i="561"/>
  <c r="T42" i="561"/>
  <c r="AH42" i="561" s="1"/>
  <c r="AI42" i="561" s="1"/>
  <c r="S42" i="561"/>
  <c r="AF42" i="561" s="1"/>
  <c r="AE41" i="561"/>
  <c r="U41" i="561"/>
  <c r="T41" i="561"/>
  <c r="AH41" i="561" s="1"/>
  <c r="AI41" i="561" s="1"/>
  <c r="S41" i="561"/>
  <c r="AF41" i="561" s="1"/>
  <c r="AE40" i="561"/>
  <c r="U40" i="561"/>
  <c r="T40" i="561"/>
  <c r="AH40" i="561" s="1"/>
  <c r="AI40" i="561" s="1"/>
  <c r="S40" i="561"/>
  <c r="AF40" i="561" s="1"/>
  <c r="AE39" i="561"/>
  <c r="U39" i="561"/>
  <c r="T39" i="561"/>
  <c r="AH39" i="561" s="1"/>
  <c r="AI39" i="561" s="1"/>
  <c r="S39" i="561"/>
  <c r="AF39" i="561" s="1"/>
  <c r="AE38" i="561"/>
  <c r="U38" i="561"/>
  <c r="T38" i="561"/>
  <c r="AH38" i="561" s="1"/>
  <c r="AI38" i="561" s="1"/>
  <c r="S38" i="561"/>
  <c r="AF38" i="561" s="1"/>
  <c r="AE37" i="561"/>
  <c r="U37" i="561"/>
  <c r="T37" i="561"/>
  <c r="AH37" i="561" s="1"/>
  <c r="AI37" i="561" s="1"/>
  <c r="S37" i="561"/>
  <c r="AF37" i="561" s="1"/>
  <c r="AE36" i="561"/>
  <c r="U36" i="561"/>
  <c r="T36" i="561"/>
  <c r="AH36" i="561" s="1"/>
  <c r="AI36" i="561" s="1"/>
  <c r="S36" i="561"/>
  <c r="AF36" i="561" s="1"/>
  <c r="AE35" i="561"/>
  <c r="U35" i="561"/>
  <c r="T35" i="561"/>
  <c r="AH35" i="561" s="1"/>
  <c r="AI35" i="561" s="1"/>
  <c r="S35" i="561"/>
  <c r="AF35" i="561" s="1"/>
  <c r="AE34" i="561"/>
  <c r="U34" i="561"/>
  <c r="T34" i="561"/>
  <c r="AH34" i="561" s="1"/>
  <c r="AI34" i="561" s="1"/>
  <c r="S34" i="561"/>
  <c r="AF34" i="561" s="1"/>
  <c r="AE31" i="561"/>
  <c r="U31" i="561"/>
  <c r="T31" i="561"/>
  <c r="AH31" i="561" s="1"/>
  <c r="AI31" i="561" s="1"/>
  <c r="S31" i="561"/>
  <c r="A31" i="561"/>
  <c r="AE30" i="561"/>
  <c r="U30" i="561"/>
  <c r="T30" i="561"/>
  <c r="AH30" i="561" s="1"/>
  <c r="AI30" i="561" s="1"/>
  <c r="S30" i="561"/>
  <c r="F30" i="561"/>
  <c r="F31" i="561" s="1"/>
  <c r="AE25" i="561"/>
  <c r="U25" i="561"/>
  <c r="T25" i="561"/>
  <c r="AH25" i="561" s="1"/>
  <c r="AI25" i="561" s="1"/>
  <c r="S25" i="561"/>
  <c r="AF25" i="561" s="1"/>
  <c r="AE22" i="561"/>
  <c r="U22" i="561"/>
  <c r="T22" i="561"/>
  <c r="S22" i="561"/>
  <c r="AF22" i="561" s="1"/>
  <c r="AE19" i="561"/>
  <c r="U19" i="561"/>
  <c r="T19" i="561"/>
  <c r="S19" i="561"/>
  <c r="AF19" i="561" s="1"/>
  <c r="AE18" i="561"/>
  <c r="U18" i="561"/>
  <c r="T18" i="561"/>
  <c r="S18" i="561"/>
  <c r="AF18" i="561" s="1"/>
  <c r="AU12" i="561"/>
  <c r="AE12" i="561"/>
  <c r="U12" i="561"/>
  <c r="T12" i="561"/>
  <c r="S12" i="561"/>
  <c r="AE10" i="561"/>
  <c r="U10" i="561"/>
  <c r="T10" i="561"/>
  <c r="S10" i="561"/>
  <c r="AB9" i="561"/>
  <c r="AE9" i="561" s="1"/>
  <c r="U9" i="561"/>
  <c r="T9" i="561"/>
  <c r="S9" i="561"/>
  <c r="AF9" i="561" s="1"/>
  <c r="O4" i="561"/>
  <c r="I4" i="561"/>
  <c r="G4" i="561"/>
  <c r="AP2" i="561"/>
  <c r="G2" i="561"/>
  <c r="AH18" i="561" l="1"/>
  <c r="AI18" i="561" s="1"/>
  <c r="AH22" i="561"/>
  <c r="AI22" i="561" s="1"/>
  <c r="AF30" i="561"/>
  <c r="AH9" i="561"/>
  <c r="AI9" i="561" s="1"/>
  <c r="AH10" i="561"/>
  <c r="AI10" i="561" s="1"/>
  <c r="AK79" i="561"/>
  <c r="AG81" i="561"/>
  <c r="AK81" i="561" s="1"/>
  <c r="AJ81" i="561"/>
  <c r="AK82" i="561"/>
  <c r="AK83" i="561"/>
  <c r="AK84" i="561"/>
  <c r="AK85" i="561"/>
  <c r="AK86" i="561"/>
  <c r="AG87" i="561"/>
  <c r="AK87" i="561" s="1"/>
  <c r="AJ87" i="561"/>
  <c r="AK88" i="561"/>
  <c r="AG89" i="561"/>
  <c r="AK89" i="561" s="1"/>
  <c r="AJ89" i="561"/>
  <c r="AK90" i="561"/>
  <c r="AK91" i="561"/>
  <c r="AK92" i="561"/>
  <c r="AK93" i="561"/>
  <c r="AK94" i="561"/>
  <c r="AG95" i="561"/>
  <c r="AK95" i="561" s="1"/>
  <c r="AJ95" i="561"/>
  <c r="AK97" i="561"/>
  <c r="AK98" i="561"/>
  <c r="AF10" i="561"/>
  <c r="AG10" i="561" s="1"/>
  <c r="AK10" i="561" s="1"/>
  <c r="AF31" i="561"/>
  <c r="AJ31" i="561" s="1"/>
  <c r="AF12" i="561"/>
  <c r="AG12" i="561" s="1"/>
  <c r="AH19" i="561"/>
  <c r="AI19" i="561" s="1"/>
  <c r="AH12" i="561"/>
  <c r="AI12" i="561" s="1"/>
  <c r="AG18" i="561"/>
  <c r="AK18" i="561" s="1"/>
  <c r="AJ18" i="561"/>
  <c r="AG19" i="561"/>
  <c r="AK19" i="561" s="1"/>
  <c r="AJ19" i="561"/>
  <c r="AG22" i="561"/>
  <c r="AK22" i="561" s="1"/>
  <c r="AJ22" i="561"/>
  <c r="AJ30" i="561"/>
  <c r="AG30" i="561"/>
  <c r="AK30" i="561" s="1"/>
  <c r="AG36" i="561"/>
  <c r="AK36" i="561" s="1"/>
  <c r="AJ36" i="561"/>
  <c r="AG40" i="561"/>
  <c r="AK40" i="561" s="1"/>
  <c r="AJ40" i="561"/>
  <c r="AG44" i="561"/>
  <c r="AK44" i="561" s="1"/>
  <c r="AJ44" i="561"/>
  <c r="AG48" i="561"/>
  <c r="AK48" i="561" s="1"/>
  <c r="AJ48" i="561"/>
  <c r="AG52" i="561"/>
  <c r="AK52" i="561" s="1"/>
  <c r="AJ52" i="561"/>
  <c r="AG56" i="561"/>
  <c r="AK56" i="561" s="1"/>
  <c r="AJ56" i="561"/>
  <c r="AG60" i="561"/>
  <c r="AK60" i="561" s="1"/>
  <c r="AJ60" i="561"/>
  <c r="AG64" i="561"/>
  <c r="AK64" i="561" s="1"/>
  <c r="AJ64" i="561"/>
  <c r="AG68" i="561"/>
  <c r="AK68" i="561" s="1"/>
  <c r="AJ68" i="561"/>
  <c r="AG72" i="561"/>
  <c r="AK72" i="561" s="1"/>
  <c r="AJ72" i="561"/>
  <c r="AG34" i="561"/>
  <c r="AK34" i="561" s="1"/>
  <c r="AJ34" i="561"/>
  <c r="AG37" i="561"/>
  <c r="AK37" i="561" s="1"/>
  <c r="AJ37" i="561"/>
  <c r="AG41" i="561"/>
  <c r="AK41" i="561" s="1"/>
  <c r="AJ41" i="561"/>
  <c r="AG45" i="561"/>
  <c r="AK45" i="561" s="1"/>
  <c r="AJ45" i="561"/>
  <c r="AG49" i="561"/>
  <c r="AK49" i="561" s="1"/>
  <c r="AJ49" i="561"/>
  <c r="AG53" i="561"/>
  <c r="AK53" i="561" s="1"/>
  <c r="AJ53" i="561"/>
  <c r="AG57" i="561"/>
  <c r="AK57" i="561" s="1"/>
  <c r="AJ57" i="561"/>
  <c r="AG61" i="561"/>
  <c r="AK61" i="561" s="1"/>
  <c r="AJ61" i="561"/>
  <c r="AG65" i="561"/>
  <c r="AK65" i="561" s="1"/>
  <c r="AJ65" i="561"/>
  <c r="AG69" i="561"/>
  <c r="AK69" i="561" s="1"/>
  <c r="AJ69" i="561"/>
  <c r="AG73" i="561"/>
  <c r="AK73" i="561" s="1"/>
  <c r="AJ73" i="561"/>
  <c r="AG77" i="561"/>
  <c r="AK77" i="561" s="1"/>
  <c r="AJ77" i="561"/>
  <c r="AG38" i="561"/>
  <c r="AK38" i="561" s="1"/>
  <c r="AJ38" i="561"/>
  <c r="AG42" i="561"/>
  <c r="AK42" i="561" s="1"/>
  <c r="AJ42" i="561"/>
  <c r="AG46" i="561"/>
  <c r="AK46" i="561" s="1"/>
  <c r="AJ46" i="561"/>
  <c r="AG50" i="561"/>
  <c r="AK50" i="561" s="1"/>
  <c r="AJ50" i="561"/>
  <c r="AG54" i="561"/>
  <c r="AK54" i="561" s="1"/>
  <c r="AJ54" i="561"/>
  <c r="AG58" i="561"/>
  <c r="AK58" i="561" s="1"/>
  <c r="AJ58" i="561"/>
  <c r="AG62" i="561"/>
  <c r="AK62" i="561" s="1"/>
  <c r="AJ62" i="561"/>
  <c r="AG66" i="561"/>
  <c r="AK66" i="561" s="1"/>
  <c r="AJ66" i="561"/>
  <c r="AG70" i="561"/>
  <c r="AK70" i="561" s="1"/>
  <c r="AJ70" i="561"/>
  <c r="AG74" i="561"/>
  <c r="AK74" i="561" s="1"/>
  <c r="AJ74" i="561"/>
  <c r="AG25" i="561"/>
  <c r="AK25" i="561" s="1"/>
  <c r="AJ25" i="561"/>
  <c r="AJ35" i="561"/>
  <c r="AG35" i="561"/>
  <c r="AK35" i="561" s="1"/>
  <c r="AG39" i="561"/>
  <c r="AK39" i="561" s="1"/>
  <c r="AJ39" i="561"/>
  <c r="AG43" i="561"/>
  <c r="AK43" i="561" s="1"/>
  <c r="AJ43" i="561"/>
  <c r="AG47" i="561"/>
  <c r="AK47" i="561" s="1"/>
  <c r="AJ47" i="561"/>
  <c r="AG51" i="561"/>
  <c r="AK51" i="561" s="1"/>
  <c r="AJ51" i="561"/>
  <c r="AG55" i="561"/>
  <c r="AK55" i="561" s="1"/>
  <c r="AJ55" i="561"/>
  <c r="AG59" i="561"/>
  <c r="AK59" i="561" s="1"/>
  <c r="AJ59" i="561"/>
  <c r="AG63" i="561"/>
  <c r="AK63" i="561" s="1"/>
  <c r="AJ63" i="561"/>
  <c r="AG67" i="561"/>
  <c r="AK67" i="561" s="1"/>
  <c r="AJ67" i="561"/>
  <c r="AG71" i="561"/>
  <c r="AK71" i="561" s="1"/>
  <c r="AJ71" i="561"/>
  <c r="AG75" i="561"/>
  <c r="AK75" i="561" s="1"/>
  <c r="AJ75" i="561"/>
  <c r="AG9" i="561"/>
  <c r="AK9" i="561" s="1"/>
  <c r="AG76" i="561"/>
  <c r="AK76" i="561" s="1"/>
  <c r="AJ76" i="561"/>
  <c r="AG78" i="561"/>
  <c r="AK78" i="561" s="1"/>
  <c r="AJ78" i="561"/>
  <c r="AJ79" i="561"/>
  <c r="AJ85" i="561"/>
  <c r="AJ93" i="561"/>
  <c r="AK96" i="561"/>
  <c r="AG80" i="561"/>
  <c r="AK80" i="561" s="1"/>
  <c r="AJ80" i="561"/>
  <c r="AJ83" i="561"/>
  <c r="AJ91" i="561"/>
  <c r="AJ97" i="561"/>
  <c r="AJ82" i="561"/>
  <c r="AJ84" i="561"/>
  <c r="AJ86" i="561"/>
  <c r="AJ88" i="561"/>
  <c r="AJ90" i="561"/>
  <c r="AJ92" i="561"/>
  <c r="AJ94" i="561"/>
  <c r="AJ96" i="561"/>
  <c r="AJ98" i="561"/>
  <c r="AJ10" i="561" l="1"/>
  <c r="AK12" i="561"/>
  <c r="AJ9" i="561"/>
  <c r="AG31" i="561"/>
  <c r="AK31" i="561" s="1"/>
  <c r="AJ12" i="561"/>
  <c r="AM21" i="560"/>
  <c r="AL21" i="560"/>
  <c r="AK21" i="560"/>
  <c r="AJ21" i="560"/>
  <c r="AI21" i="560"/>
  <c r="AH21" i="560"/>
  <c r="AG21" i="560"/>
  <c r="R21" i="560"/>
  <c r="Q21" i="560"/>
  <c r="AS21" i="560" s="1"/>
  <c r="AT21" i="560" s="1"/>
  <c r="O21" i="560"/>
  <c r="AQ21" i="560" s="1"/>
  <c r="AR21" i="560" s="1"/>
  <c r="AM20" i="560"/>
  <c r="AL20" i="560"/>
  <c r="AK20" i="560"/>
  <c r="AJ20" i="560"/>
  <c r="AI20" i="560"/>
  <c r="AH20" i="560"/>
  <c r="AG20" i="560"/>
  <c r="R20" i="560"/>
  <c r="Q20" i="560"/>
  <c r="AS20" i="560" s="1"/>
  <c r="AT20" i="560" s="1"/>
  <c r="O20" i="560"/>
  <c r="AQ20" i="560" s="1"/>
  <c r="AR20" i="560" s="1"/>
  <c r="AM19" i="560"/>
  <c r="AL19" i="560"/>
  <c r="AK19" i="560"/>
  <c r="AJ19" i="560"/>
  <c r="AI19" i="560"/>
  <c r="AH19" i="560"/>
  <c r="AG19" i="560"/>
  <c r="R19" i="560"/>
  <c r="Q19" i="560"/>
  <c r="AS19" i="560" s="1"/>
  <c r="AT19" i="560" s="1"/>
  <c r="O19" i="560"/>
  <c r="AQ19" i="560" s="1"/>
  <c r="AR19" i="560" s="1"/>
  <c r="AM18" i="560"/>
  <c r="AL18" i="560"/>
  <c r="AK18" i="560"/>
  <c r="AJ18" i="560"/>
  <c r="AI18" i="560"/>
  <c r="AH18" i="560"/>
  <c r="AG18" i="560"/>
  <c r="R18" i="560"/>
  <c r="Q18" i="560"/>
  <c r="AS18" i="560" s="1"/>
  <c r="AT18" i="560" s="1"/>
  <c r="O18" i="560"/>
  <c r="AQ18" i="560" s="1"/>
  <c r="AR18" i="560" s="1"/>
  <c r="AM17" i="560"/>
  <c r="AL17" i="560"/>
  <c r="AK17" i="560"/>
  <c r="AJ17" i="560"/>
  <c r="AI17" i="560"/>
  <c r="AH17" i="560"/>
  <c r="AG17" i="560"/>
  <c r="R17" i="560"/>
  <c r="Q17" i="560"/>
  <c r="AS17" i="560" s="1"/>
  <c r="AT17" i="560" s="1"/>
  <c r="O17" i="560"/>
  <c r="AQ17" i="560" s="1"/>
  <c r="AR17" i="560" s="1"/>
  <c r="AU17" i="560" s="1"/>
  <c r="AM16" i="560"/>
  <c r="AL16" i="560"/>
  <c r="AK16" i="560"/>
  <c r="AJ16" i="560"/>
  <c r="AI16" i="560"/>
  <c r="AH16" i="560"/>
  <c r="AG16" i="560"/>
  <c r="R16" i="560"/>
  <c r="Q16" i="560"/>
  <c r="AS16" i="560" s="1"/>
  <c r="AT16" i="560" s="1"/>
  <c r="O16" i="560"/>
  <c r="AQ16" i="560" s="1"/>
  <c r="AR16" i="560" s="1"/>
  <c r="AM15" i="560"/>
  <c r="AL15" i="560"/>
  <c r="AK15" i="560"/>
  <c r="AJ15" i="560"/>
  <c r="AI15" i="560"/>
  <c r="AH15" i="560"/>
  <c r="AG15" i="560"/>
  <c r="R15" i="560"/>
  <c r="Q15" i="560"/>
  <c r="AS15" i="560" s="1"/>
  <c r="AT15" i="560" s="1"/>
  <c r="O15" i="560"/>
  <c r="AQ15" i="560" s="1"/>
  <c r="AR15" i="560" s="1"/>
  <c r="AU15" i="560" s="1"/>
  <c r="AM14" i="560"/>
  <c r="AL14" i="560"/>
  <c r="AK14" i="560"/>
  <c r="AJ14" i="560"/>
  <c r="AI14" i="560"/>
  <c r="AH14" i="560"/>
  <c r="AG14" i="560"/>
  <c r="R14" i="560"/>
  <c r="Q14" i="560"/>
  <c r="O14" i="560"/>
  <c r="AM13" i="560"/>
  <c r="AL13" i="560"/>
  <c r="AK13" i="560"/>
  <c r="AJ13" i="560"/>
  <c r="AI13" i="560"/>
  <c r="AH13" i="560"/>
  <c r="AG13" i="560"/>
  <c r="R13" i="560"/>
  <c r="Q13" i="560"/>
  <c r="O13" i="560"/>
  <c r="AM12" i="560"/>
  <c r="AL12" i="560"/>
  <c r="AK12" i="560"/>
  <c r="AJ12" i="560"/>
  <c r="AI12" i="560"/>
  <c r="AH12" i="560"/>
  <c r="AG12" i="560"/>
  <c r="R12" i="560"/>
  <c r="Q12" i="560"/>
  <c r="O12" i="560"/>
  <c r="AM11" i="560"/>
  <c r="AL11" i="560"/>
  <c r="AK11" i="560"/>
  <c r="AJ11" i="560"/>
  <c r="AI11" i="560"/>
  <c r="AH11" i="560"/>
  <c r="AG11" i="560"/>
  <c r="R11" i="560"/>
  <c r="Q11" i="560"/>
  <c r="O11" i="560"/>
  <c r="AM10" i="560"/>
  <c r="AL10" i="560"/>
  <c r="AK10" i="560"/>
  <c r="AJ10" i="560"/>
  <c r="AI10" i="560"/>
  <c r="AH10" i="560"/>
  <c r="AG10" i="560"/>
  <c r="R10" i="560"/>
  <c r="Q10" i="560"/>
  <c r="O10" i="560"/>
  <c r="V4" i="560"/>
  <c r="E4" i="560"/>
  <c r="A4" i="560"/>
  <c r="BD2" i="560"/>
  <c r="A2" i="560"/>
  <c r="AU19" i="560" l="1"/>
  <c r="AU21" i="560"/>
  <c r="AN10" i="560"/>
  <c r="AN11" i="560"/>
  <c r="AN12" i="560"/>
  <c r="AN15" i="560"/>
  <c r="AO15" i="560" s="1"/>
  <c r="AP15" i="560" s="1"/>
  <c r="AN17" i="560"/>
  <c r="AN19" i="560"/>
  <c r="AN13" i="560"/>
  <c r="AU16" i="560"/>
  <c r="AU18" i="560"/>
  <c r="AU20" i="560"/>
  <c r="AN21" i="560"/>
  <c r="AO21" i="560" s="1"/>
  <c r="AP21" i="560" s="1"/>
  <c r="AN20" i="560"/>
  <c r="AO20" i="560" s="1"/>
  <c r="AN14" i="560"/>
  <c r="AO14" i="560" s="1"/>
  <c r="AN16" i="560"/>
  <c r="AN18" i="560"/>
  <c r="AO18" i="560" s="1"/>
  <c r="AP18" i="560" s="1"/>
  <c r="AO10" i="560"/>
  <c r="AP10" i="560" s="1"/>
  <c r="AO11" i="560"/>
  <c r="AQ11" i="560" s="1"/>
  <c r="AR11" i="560" s="1"/>
  <c r="AO16" i="560"/>
  <c r="AO19" i="560"/>
  <c r="AP19" i="560" s="1"/>
  <c r="AO12" i="560"/>
  <c r="AQ12" i="560" s="1"/>
  <c r="AR12" i="560" s="1"/>
  <c r="AO13" i="560"/>
  <c r="AS13" i="560" s="1"/>
  <c r="AT13" i="560" s="1"/>
  <c r="AO17" i="560"/>
  <c r="AP17" i="560" s="1"/>
  <c r="AS11" i="560"/>
  <c r="AT11" i="560" s="1"/>
  <c r="AP16" i="560" l="1"/>
  <c r="AQ10" i="560"/>
  <c r="AR10" i="560" s="1"/>
  <c r="AU10" i="560" s="1"/>
  <c r="AP20" i="560"/>
  <c r="AS10" i="560"/>
  <c r="AT10" i="560" s="1"/>
  <c r="AQ14" i="560"/>
  <c r="AR14" i="560" s="1"/>
  <c r="AS14" i="560"/>
  <c r="AT14" i="560" s="1"/>
  <c r="AP14" i="560"/>
  <c r="AP11" i="560"/>
  <c r="AQ13" i="560"/>
  <c r="AR13" i="560" s="1"/>
  <c r="AU11" i="560"/>
  <c r="AP13" i="560"/>
  <c r="AP12" i="560"/>
  <c r="AU13" i="560"/>
  <c r="AS12" i="560"/>
  <c r="AT12" i="560" s="1"/>
  <c r="AU12" i="560" s="1"/>
  <c r="AU14" i="560" l="1"/>
  <c r="BF14" i="558"/>
  <c r="BB14" i="558"/>
  <c r="AM14" i="558"/>
  <c r="AL14" i="558"/>
  <c r="AK14" i="558"/>
  <c r="AJ14" i="558"/>
  <c r="AI14" i="558"/>
  <c r="AH14" i="558"/>
  <c r="AG14" i="558"/>
  <c r="R14" i="558"/>
  <c r="Q14" i="558"/>
  <c r="O14" i="558"/>
  <c r="BF13" i="558"/>
  <c r="BB13" i="558"/>
  <c r="AM13" i="558"/>
  <c r="AL13" i="558"/>
  <c r="AK13" i="558"/>
  <c r="AJ13" i="558"/>
  <c r="AI13" i="558"/>
  <c r="AH13" i="558"/>
  <c r="AG13" i="558"/>
  <c r="R13" i="558"/>
  <c r="Q13" i="558"/>
  <c r="AS13" i="558" s="1"/>
  <c r="AT13" i="558" s="1"/>
  <c r="O13" i="558"/>
  <c r="BF12" i="558"/>
  <c r="BB12" i="558"/>
  <c r="AM12" i="558"/>
  <c r="AL12" i="558"/>
  <c r="AK12" i="558"/>
  <c r="AJ12" i="558"/>
  <c r="AI12" i="558"/>
  <c r="AH12" i="558"/>
  <c r="AG12" i="558"/>
  <c r="R12" i="558"/>
  <c r="Q12" i="558"/>
  <c r="AS12" i="558" s="1"/>
  <c r="AT12" i="558" s="1"/>
  <c r="O12" i="558"/>
  <c r="BF11" i="558"/>
  <c r="BB11" i="558"/>
  <c r="AM11" i="558"/>
  <c r="AL11" i="558"/>
  <c r="AK11" i="558"/>
  <c r="AJ11" i="558"/>
  <c r="AI11" i="558"/>
  <c r="AH11" i="558"/>
  <c r="AG11" i="558"/>
  <c r="R11" i="558"/>
  <c r="Q11" i="558"/>
  <c r="AS11" i="558" s="1"/>
  <c r="AT11" i="558" s="1"/>
  <c r="O11" i="558"/>
  <c r="BF10" i="558"/>
  <c r="BB10" i="558"/>
  <c r="AM10" i="558"/>
  <c r="AL10" i="558"/>
  <c r="AK10" i="558"/>
  <c r="AJ10" i="558"/>
  <c r="AI10" i="558"/>
  <c r="AH10" i="558"/>
  <c r="AG10" i="558"/>
  <c r="R10" i="558"/>
  <c r="Q10" i="558"/>
  <c r="AS10" i="558" s="1"/>
  <c r="AT10" i="558" s="1"/>
  <c r="O10" i="558"/>
  <c r="V4" i="558"/>
  <c r="E4" i="558"/>
  <c r="A4" i="558"/>
  <c r="BD2" i="558"/>
  <c r="A2" i="558"/>
  <c r="AN10" i="558" l="1"/>
  <c r="AN11" i="558"/>
  <c r="AN12" i="558"/>
  <c r="AO12" i="558" s="1"/>
  <c r="AN13" i="558"/>
  <c r="AN14" i="558"/>
  <c r="AO10" i="558"/>
  <c r="AP10" i="558" s="1"/>
  <c r="AO11" i="558"/>
  <c r="AP11" i="558" s="1"/>
  <c r="AO13" i="558"/>
  <c r="AQ13" i="558" s="1"/>
  <c r="AR13" i="558" s="1"/>
  <c r="AU13" i="558" s="1"/>
  <c r="AO14" i="558"/>
  <c r="AP14" i="558" s="1"/>
  <c r="AQ10" i="558"/>
  <c r="AR10" i="558" s="1"/>
  <c r="AU10" i="558" s="1"/>
  <c r="AP12" i="558" l="1"/>
  <c r="AQ12" i="558"/>
  <c r="AR12" i="558" s="1"/>
  <c r="AU12" i="558" s="1"/>
  <c r="AQ14" i="558"/>
  <c r="AR14" i="558" s="1"/>
  <c r="AS14" i="558"/>
  <c r="AT14" i="558" s="1"/>
  <c r="AU14" i="558" s="1"/>
  <c r="AQ11" i="558"/>
  <c r="AR11" i="558" s="1"/>
  <c r="AU11" i="558" s="1"/>
  <c r="AP13" i="558"/>
  <c r="A2" i="557" l="1"/>
  <c r="BD2" i="557"/>
  <c r="A4" i="557"/>
  <c r="E4" i="557"/>
  <c r="V4" i="557"/>
  <c r="O10" i="557"/>
  <c r="Q10" i="557"/>
  <c r="AS10" i="557" s="1"/>
  <c r="AT10" i="557" s="1"/>
  <c r="R10" i="557"/>
  <c r="AG10" i="557"/>
  <c r="AH10" i="557"/>
  <c r="AI10" i="557"/>
  <c r="AJ10" i="557"/>
  <c r="AK10" i="557"/>
  <c r="AL10" i="557"/>
  <c r="AM10" i="557"/>
  <c r="O11" i="557"/>
  <c r="AQ11" i="557" s="1"/>
  <c r="AR11" i="557" s="1"/>
  <c r="Q11" i="557"/>
  <c r="R11" i="557"/>
  <c r="AG11" i="557"/>
  <c r="AH11" i="557"/>
  <c r="AI11" i="557"/>
  <c r="AJ11" i="557"/>
  <c r="AK11" i="557"/>
  <c r="AL11" i="557"/>
  <c r="AM11" i="557"/>
  <c r="AS11" i="557"/>
  <c r="AT11" i="557" s="1"/>
  <c r="O12" i="557"/>
  <c r="AQ12" i="557" s="1"/>
  <c r="AR12" i="557" s="1"/>
  <c r="Q12" i="557"/>
  <c r="AS12" i="557" s="1"/>
  <c r="AT12" i="557" s="1"/>
  <c r="R12" i="557"/>
  <c r="AG12" i="557"/>
  <c r="AH12" i="557"/>
  <c r="AI12" i="557"/>
  <c r="AJ12" i="557"/>
  <c r="AK12" i="557"/>
  <c r="AL12" i="557"/>
  <c r="AM12" i="557"/>
  <c r="O13" i="557"/>
  <c r="AQ13" i="557" s="1"/>
  <c r="AR13" i="557" s="1"/>
  <c r="Q13" i="557"/>
  <c r="AS13" i="557" s="1"/>
  <c r="AT13" i="557" s="1"/>
  <c r="R13" i="557"/>
  <c r="AG13" i="557"/>
  <c r="AN13" i="557" s="1"/>
  <c r="AO13" i="557" s="1"/>
  <c r="AH13" i="557"/>
  <c r="AI13" i="557"/>
  <c r="AJ13" i="557"/>
  <c r="AK13" i="557"/>
  <c r="AL13" i="557"/>
  <c r="AM13" i="557"/>
  <c r="O14" i="557"/>
  <c r="AQ14" i="557" s="1"/>
  <c r="AR14" i="557" s="1"/>
  <c r="Q14" i="557"/>
  <c r="AS14" i="557" s="1"/>
  <c r="AT14" i="557" s="1"/>
  <c r="R14" i="557"/>
  <c r="AG14" i="557"/>
  <c r="AH14" i="557"/>
  <c r="AI14" i="557"/>
  <c r="AJ14" i="557"/>
  <c r="AK14" i="557"/>
  <c r="AL14" i="557"/>
  <c r="AM14" i="557"/>
  <c r="O15" i="557"/>
  <c r="AQ15" i="557" s="1"/>
  <c r="AR15" i="557" s="1"/>
  <c r="Q15" i="557"/>
  <c r="AS15" i="557" s="1"/>
  <c r="AT15" i="557" s="1"/>
  <c r="R15" i="557"/>
  <c r="AG15" i="557"/>
  <c r="AH15" i="557"/>
  <c r="AI15" i="557"/>
  <c r="AJ15" i="557"/>
  <c r="AK15" i="557"/>
  <c r="AL15" i="557"/>
  <c r="AM15" i="557"/>
  <c r="O16" i="557"/>
  <c r="AQ16" i="557" s="1"/>
  <c r="AR16" i="557" s="1"/>
  <c r="AU16" i="557" s="1"/>
  <c r="Q16" i="557"/>
  <c r="AS16" i="557" s="1"/>
  <c r="AT16" i="557" s="1"/>
  <c r="R16" i="557"/>
  <c r="AG16" i="557"/>
  <c r="AH16" i="557"/>
  <c r="AI16" i="557"/>
  <c r="AJ16" i="557"/>
  <c r="AK16" i="557"/>
  <c r="AL16" i="557"/>
  <c r="AM16" i="557"/>
  <c r="O17" i="557"/>
  <c r="AQ17" i="557" s="1"/>
  <c r="AR17" i="557" s="1"/>
  <c r="Q17" i="557"/>
  <c r="AS17" i="557" s="1"/>
  <c r="AT17" i="557" s="1"/>
  <c r="R17" i="557"/>
  <c r="AG17" i="557"/>
  <c r="AH17" i="557"/>
  <c r="AI17" i="557"/>
  <c r="AJ17" i="557"/>
  <c r="AK17" i="557"/>
  <c r="AL17" i="557"/>
  <c r="AM17" i="557"/>
  <c r="AN17" i="557"/>
  <c r="AO17" i="557" s="1"/>
  <c r="O18" i="557"/>
  <c r="AQ18" i="557" s="1"/>
  <c r="AR18" i="557" s="1"/>
  <c r="Q18" i="557"/>
  <c r="AS18" i="557" s="1"/>
  <c r="AT18" i="557" s="1"/>
  <c r="R18" i="557"/>
  <c r="AG18" i="557"/>
  <c r="AH18" i="557"/>
  <c r="AI18" i="557"/>
  <c r="AJ18" i="557"/>
  <c r="AK18" i="557"/>
  <c r="AL18" i="557"/>
  <c r="AM18" i="557"/>
  <c r="O19" i="557"/>
  <c r="AQ19" i="557" s="1"/>
  <c r="AR19" i="557" s="1"/>
  <c r="Q19" i="557"/>
  <c r="AS19" i="557" s="1"/>
  <c r="AT19" i="557" s="1"/>
  <c r="R19" i="557"/>
  <c r="AG19" i="557"/>
  <c r="AH19" i="557"/>
  <c r="AI19" i="557"/>
  <c r="AJ19" i="557"/>
  <c r="AK19" i="557"/>
  <c r="AL19" i="557"/>
  <c r="AM19" i="557"/>
  <c r="O20" i="557"/>
  <c r="AQ20" i="557" s="1"/>
  <c r="AR20" i="557" s="1"/>
  <c r="Q20" i="557"/>
  <c r="AS20" i="557" s="1"/>
  <c r="AT20" i="557" s="1"/>
  <c r="R20" i="557"/>
  <c r="AG20" i="557"/>
  <c r="AH20" i="557"/>
  <c r="AI20" i="557"/>
  <c r="AJ20" i="557"/>
  <c r="AK20" i="557"/>
  <c r="AL20" i="557"/>
  <c r="AM20" i="557"/>
  <c r="O21" i="557"/>
  <c r="AQ21" i="557" s="1"/>
  <c r="AR21" i="557" s="1"/>
  <c r="Q21" i="557"/>
  <c r="R21" i="557"/>
  <c r="AG21" i="557"/>
  <c r="AH21" i="557"/>
  <c r="AI21" i="557"/>
  <c r="AJ21" i="557"/>
  <c r="AK21" i="557"/>
  <c r="AL21" i="557"/>
  <c r="AM21" i="557"/>
  <c r="AS21" i="557"/>
  <c r="AT21" i="557" s="1"/>
  <c r="AN19" i="557" l="1"/>
  <c r="AO19" i="557" s="1"/>
  <c r="AN15" i="557"/>
  <c r="AO15" i="557" s="1"/>
  <c r="AN11" i="557"/>
  <c r="AO11" i="557" s="1"/>
  <c r="AN21" i="557"/>
  <c r="AO21" i="557" s="1"/>
  <c r="AU19" i="557"/>
  <c r="AN14" i="557"/>
  <c r="AU11" i="557"/>
  <c r="AU21" i="557"/>
  <c r="AN16" i="557"/>
  <c r="AO16" i="557" s="1"/>
  <c r="AP16" i="557" s="1"/>
  <c r="AU13" i="557"/>
  <c r="AN18" i="557"/>
  <c r="AU15" i="557"/>
  <c r="AN10" i="557"/>
  <c r="AN20" i="557"/>
  <c r="AO20" i="557" s="1"/>
  <c r="AP20" i="557" s="1"/>
  <c r="AU17" i="557"/>
  <c r="AN12" i="557"/>
  <c r="AO12" i="557" s="1"/>
  <c r="AP12" i="557" s="1"/>
  <c r="AU20" i="557"/>
  <c r="AO14" i="557"/>
  <c r="AP14" i="557" s="1"/>
  <c r="AU14" i="557"/>
  <c r="AO18" i="557"/>
  <c r="AO10" i="557"/>
  <c r="AQ10" i="557" s="1"/>
  <c r="AR10" i="557" s="1"/>
  <c r="AU10" i="557" s="1"/>
  <c r="AU18" i="557"/>
  <c r="AU12" i="557"/>
  <c r="AP21" i="557"/>
  <c r="AP13" i="557"/>
  <c r="AP11" i="557"/>
  <c r="AP17" i="557"/>
  <c r="AP15" i="557"/>
  <c r="AP19" i="557" l="1"/>
  <c r="AP18" i="557"/>
  <c r="AP10" i="557"/>
  <c r="AG120" i="556" l="1"/>
  <c r="V120" i="556"/>
  <c r="U120" i="556"/>
  <c r="AJ120" i="556" s="1"/>
  <c r="AK120" i="556" s="1"/>
  <c r="T120" i="556"/>
  <c r="AH120" i="556" s="1"/>
  <c r="AG119" i="556"/>
  <c r="V119" i="556"/>
  <c r="U119" i="556"/>
  <c r="AJ119" i="556" s="1"/>
  <c r="AK119" i="556" s="1"/>
  <c r="T119" i="556"/>
  <c r="AH119" i="556" s="1"/>
  <c r="AG118" i="556"/>
  <c r="V118" i="556"/>
  <c r="U118" i="556"/>
  <c r="AJ118" i="556" s="1"/>
  <c r="AK118" i="556" s="1"/>
  <c r="T118" i="556"/>
  <c r="AG117" i="556"/>
  <c r="V117" i="556"/>
  <c r="U117" i="556"/>
  <c r="AJ117" i="556" s="1"/>
  <c r="AK117" i="556" s="1"/>
  <c r="T117" i="556"/>
  <c r="AH117" i="556" s="1"/>
  <c r="AG116" i="556"/>
  <c r="V116" i="556"/>
  <c r="U116" i="556"/>
  <c r="AJ116" i="556" s="1"/>
  <c r="AK116" i="556" s="1"/>
  <c r="T116" i="556"/>
  <c r="AH116" i="556" s="1"/>
  <c r="AG115" i="556"/>
  <c r="V115" i="556"/>
  <c r="U115" i="556"/>
  <c r="AJ115" i="556" s="1"/>
  <c r="AK115" i="556" s="1"/>
  <c r="T115" i="556"/>
  <c r="AH115" i="556" s="1"/>
  <c r="AG114" i="556"/>
  <c r="V114" i="556"/>
  <c r="U114" i="556"/>
  <c r="AJ114" i="556" s="1"/>
  <c r="AK114" i="556" s="1"/>
  <c r="T114" i="556"/>
  <c r="AH114" i="556" s="1"/>
  <c r="AG113" i="556"/>
  <c r="V113" i="556"/>
  <c r="U113" i="556"/>
  <c r="AJ113" i="556" s="1"/>
  <c r="AK113" i="556" s="1"/>
  <c r="T113" i="556"/>
  <c r="AH113" i="556" s="1"/>
  <c r="AG112" i="556"/>
  <c r="V112" i="556"/>
  <c r="U112" i="556"/>
  <c r="AJ112" i="556" s="1"/>
  <c r="AK112" i="556" s="1"/>
  <c r="T112" i="556"/>
  <c r="AH112" i="556" s="1"/>
  <c r="AG111" i="556"/>
  <c r="V111" i="556"/>
  <c r="U111" i="556"/>
  <c r="AJ111" i="556" s="1"/>
  <c r="AK111" i="556" s="1"/>
  <c r="T111" i="556"/>
  <c r="AH111" i="556" s="1"/>
  <c r="AG110" i="556"/>
  <c r="V110" i="556"/>
  <c r="U110" i="556"/>
  <c r="AJ110" i="556" s="1"/>
  <c r="AK110" i="556" s="1"/>
  <c r="T110" i="556"/>
  <c r="AH110" i="556" s="1"/>
  <c r="AG109" i="556"/>
  <c r="V109" i="556"/>
  <c r="U109" i="556"/>
  <c r="AJ109" i="556" s="1"/>
  <c r="AK109" i="556" s="1"/>
  <c r="T109" i="556"/>
  <c r="AH109" i="556" s="1"/>
  <c r="AG108" i="556"/>
  <c r="V108" i="556"/>
  <c r="U108" i="556"/>
  <c r="AJ108" i="556" s="1"/>
  <c r="AK108" i="556" s="1"/>
  <c r="T108" i="556"/>
  <c r="AH108" i="556" s="1"/>
  <c r="AG107" i="556"/>
  <c r="V107" i="556"/>
  <c r="U107" i="556"/>
  <c r="AJ107" i="556" s="1"/>
  <c r="AK107" i="556" s="1"/>
  <c r="T107" i="556"/>
  <c r="AH107" i="556" s="1"/>
  <c r="AG106" i="556"/>
  <c r="V106" i="556"/>
  <c r="U106" i="556"/>
  <c r="AJ106" i="556" s="1"/>
  <c r="AK106" i="556" s="1"/>
  <c r="T106" i="556"/>
  <c r="AH106" i="556" s="1"/>
  <c r="AG105" i="556"/>
  <c r="V105" i="556"/>
  <c r="U105" i="556"/>
  <c r="AJ105" i="556" s="1"/>
  <c r="AK105" i="556" s="1"/>
  <c r="T105" i="556"/>
  <c r="AH105" i="556" s="1"/>
  <c r="AG104" i="556"/>
  <c r="V104" i="556"/>
  <c r="U104" i="556"/>
  <c r="AJ104" i="556" s="1"/>
  <c r="AK104" i="556" s="1"/>
  <c r="T104" i="556"/>
  <c r="AH104" i="556" s="1"/>
  <c r="AG103" i="556"/>
  <c r="V103" i="556"/>
  <c r="U103" i="556"/>
  <c r="AJ103" i="556" s="1"/>
  <c r="AK103" i="556" s="1"/>
  <c r="T103" i="556"/>
  <c r="AH103" i="556" s="1"/>
  <c r="AG102" i="556"/>
  <c r="V102" i="556"/>
  <c r="U102" i="556"/>
  <c r="AJ102" i="556" s="1"/>
  <c r="AK102" i="556" s="1"/>
  <c r="T102" i="556"/>
  <c r="AH102" i="556" s="1"/>
  <c r="AG101" i="556"/>
  <c r="V101" i="556"/>
  <c r="U101" i="556"/>
  <c r="AJ101" i="556" s="1"/>
  <c r="AK101" i="556" s="1"/>
  <c r="T101" i="556"/>
  <c r="AH101" i="556" s="1"/>
  <c r="AG100" i="556"/>
  <c r="V100" i="556"/>
  <c r="U100" i="556"/>
  <c r="AJ100" i="556" s="1"/>
  <c r="AK100" i="556" s="1"/>
  <c r="T100" i="556"/>
  <c r="AH100" i="556" s="1"/>
  <c r="AG99" i="556"/>
  <c r="V99" i="556"/>
  <c r="U99" i="556"/>
  <c r="AJ99" i="556" s="1"/>
  <c r="AK99" i="556" s="1"/>
  <c r="T99" i="556"/>
  <c r="AH99" i="556" s="1"/>
  <c r="AG98" i="556"/>
  <c r="V98" i="556"/>
  <c r="U98" i="556"/>
  <c r="AJ98" i="556" s="1"/>
  <c r="AK98" i="556" s="1"/>
  <c r="T98" i="556"/>
  <c r="AH98" i="556" s="1"/>
  <c r="AG97" i="556"/>
  <c r="V97" i="556"/>
  <c r="U97" i="556"/>
  <c r="AJ97" i="556" s="1"/>
  <c r="AK97" i="556" s="1"/>
  <c r="T97" i="556"/>
  <c r="AH97" i="556" s="1"/>
  <c r="AG96" i="556"/>
  <c r="V96" i="556"/>
  <c r="U96" i="556"/>
  <c r="AJ96" i="556" s="1"/>
  <c r="AK96" i="556" s="1"/>
  <c r="T96" i="556"/>
  <c r="AH96" i="556" s="1"/>
  <c r="AG95" i="556"/>
  <c r="V95" i="556"/>
  <c r="U95" i="556"/>
  <c r="AJ95" i="556" s="1"/>
  <c r="AK95" i="556" s="1"/>
  <c r="T95" i="556"/>
  <c r="AH95" i="556" s="1"/>
  <c r="AG94" i="556"/>
  <c r="V94" i="556"/>
  <c r="U94" i="556"/>
  <c r="AJ94" i="556" s="1"/>
  <c r="AK94" i="556" s="1"/>
  <c r="T94" i="556"/>
  <c r="AH94" i="556" s="1"/>
  <c r="AG93" i="556"/>
  <c r="V93" i="556"/>
  <c r="U93" i="556"/>
  <c r="AJ93" i="556" s="1"/>
  <c r="AK93" i="556" s="1"/>
  <c r="T93" i="556"/>
  <c r="AH93" i="556" s="1"/>
  <c r="AG92" i="556"/>
  <c r="V92" i="556"/>
  <c r="U92" i="556"/>
  <c r="AJ92" i="556" s="1"/>
  <c r="AK92" i="556" s="1"/>
  <c r="T92" i="556"/>
  <c r="AH92" i="556" s="1"/>
  <c r="AG91" i="556"/>
  <c r="V91" i="556"/>
  <c r="U91" i="556"/>
  <c r="AJ91" i="556" s="1"/>
  <c r="AK91" i="556" s="1"/>
  <c r="T91" i="556"/>
  <c r="AH91" i="556" s="1"/>
  <c r="AG90" i="556"/>
  <c r="V90" i="556"/>
  <c r="U90" i="556"/>
  <c r="AJ90" i="556" s="1"/>
  <c r="AK90" i="556" s="1"/>
  <c r="T90" i="556"/>
  <c r="AH90" i="556" s="1"/>
  <c r="AG89" i="556"/>
  <c r="V89" i="556"/>
  <c r="U89" i="556"/>
  <c r="AJ89" i="556" s="1"/>
  <c r="AK89" i="556" s="1"/>
  <c r="T89" i="556"/>
  <c r="AH89" i="556" s="1"/>
  <c r="AG88" i="556"/>
  <c r="V88" i="556"/>
  <c r="U88" i="556"/>
  <c r="AJ88" i="556" s="1"/>
  <c r="AK88" i="556" s="1"/>
  <c r="T88" i="556"/>
  <c r="AH88" i="556" s="1"/>
  <c r="AG87" i="556"/>
  <c r="V87" i="556"/>
  <c r="U87" i="556"/>
  <c r="AJ87" i="556" s="1"/>
  <c r="AK87" i="556" s="1"/>
  <c r="T87" i="556"/>
  <c r="AH87" i="556" s="1"/>
  <c r="AG86" i="556"/>
  <c r="V86" i="556"/>
  <c r="U86" i="556"/>
  <c r="AJ86" i="556" s="1"/>
  <c r="AK86" i="556" s="1"/>
  <c r="T86" i="556"/>
  <c r="AH86" i="556" s="1"/>
  <c r="AG85" i="556"/>
  <c r="V85" i="556"/>
  <c r="U85" i="556"/>
  <c r="AJ85" i="556" s="1"/>
  <c r="AK85" i="556" s="1"/>
  <c r="T85" i="556"/>
  <c r="AH85" i="556" s="1"/>
  <c r="AG84" i="556"/>
  <c r="V84" i="556"/>
  <c r="U84" i="556"/>
  <c r="AJ84" i="556" s="1"/>
  <c r="AK84" i="556" s="1"/>
  <c r="T84" i="556"/>
  <c r="AH84" i="556" s="1"/>
  <c r="AG83" i="556"/>
  <c r="V83" i="556"/>
  <c r="U83" i="556"/>
  <c r="AJ83" i="556" s="1"/>
  <c r="AK83" i="556" s="1"/>
  <c r="T83" i="556"/>
  <c r="AH83" i="556" s="1"/>
  <c r="AG82" i="556"/>
  <c r="V82" i="556"/>
  <c r="U82" i="556"/>
  <c r="AJ82" i="556" s="1"/>
  <c r="AK82" i="556" s="1"/>
  <c r="T82" i="556"/>
  <c r="AH82" i="556" s="1"/>
  <c r="AG81" i="556"/>
  <c r="V81" i="556"/>
  <c r="U81" i="556"/>
  <c r="AJ81" i="556" s="1"/>
  <c r="AK81" i="556" s="1"/>
  <c r="T81" i="556"/>
  <c r="AH81" i="556" s="1"/>
  <c r="AG80" i="556"/>
  <c r="V80" i="556"/>
  <c r="U80" i="556"/>
  <c r="AJ80" i="556" s="1"/>
  <c r="AK80" i="556" s="1"/>
  <c r="T80" i="556"/>
  <c r="AH80" i="556" s="1"/>
  <c r="AG79" i="556"/>
  <c r="V79" i="556"/>
  <c r="U79" i="556"/>
  <c r="AJ79" i="556" s="1"/>
  <c r="AK79" i="556" s="1"/>
  <c r="T79" i="556"/>
  <c r="AH79" i="556" s="1"/>
  <c r="AG78" i="556"/>
  <c r="V78" i="556"/>
  <c r="U78" i="556"/>
  <c r="AJ78" i="556" s="1"/>
  <c r="AK78" i="556" s="1"/>
  <c r="T78" i="556"/>
  <c r="AH78" i="556" s="1"/>
  <c r="AG77" i="556"/>
  <c r="V77" i="556"/>
  <c r="U77" i="556"/>
  <c r="AJ77" i="556" s="1"/>
  <c r="AK77" i="556" s="1"/>
  <c r="T77" i="556"/>
  <c r="AH77" i="556" s="1"/>
  <c r="AG76" i="556"/>
  <c r="V76" i="556"/>
  <c r="U76" i="556"/>
  <c r="AJ76" i="556" s="1"/>
  <c r="AK76" i="556" s="1"/>
  <c r="T76" i="556"/>
  <c r="AH76" i="556" s="1"/>
  <c r="AG75" i="556"/>
  <c r="V75" i="556"/>
  <c r="U75" i="556"/>
  <c r="AJ75" i="556" s="1"/>
  <c r="AK75" i="556" s="1"/>
  <c r="T75" i="556"/>
  <c r="AH75" i="556" s="1"/>
  <c r="AG74" i="556"/>
  <c r="V74" i="556"/>
  <c r="U74" i="556"/>
  <c r="AJ74" i="556" s="1"/>
  <c r="AK74" i="556" s="1"/>
  <c r="T74" i="556"/>
  <c r="AH74" i="556" s="1"/>
  <c r="AG73" i="556"/>
  <c r="V73" i="556"/>
  <c r="U73" i="556"/>
  <c r="AJ73" i="556" s="1"/>
  <c r="AK73" i="556" s="1"/>
  <c r="T73" i="556"/>
  <c r="AH73" i="556" s="1"/>
  <c r="AG72" i="556"/>
  <c r="V72" i="556"/>
  <c r="U72" i="556"/>
  <c r="AJ72" i="556" s="1"/>
  <c r="AK72" i="556" s="1"/>
  <c r="T72" i="556"/>
  <c r="AH72" i="556" s="1"/>
  <c r="AG71" i="556"/>
  <c r="V71" i="556"/>
  <c r="U71" i="556"/>
  <c r="AJ71" i="556" s="1"/>
  <c r="AK71" i="556" s="1"/>
  <c r="T71" i="556"/>
  <c r="AH71" i="556" s="1"/>
  <c r="AG70" i="556"/>
  <c r="V70" i="556"/>
  <c r="U70" i="556"/>
  <c r="AJ70" i="556" s="1"/>
  <c r="AK70" i="556" s="1"/>
  <c r="T70" i="556"/>
  <c r="AH70" i="556" s="1"/>
  <c r="AG69" i="556"/>
  <c r="V69" i="556"/>
  <c r="U69" i="556"/>
  <c r="AJ69" i="556" s="1"/>
  <c r="AK69" i="556" s="1"/>
  <c r="T69" i="556"/>
  <c r="AH69" i="556" s="1"/>
  <c r="AG68" i="556"/>
  <c r="V68" i="556"/>
  <c r="U68" i="556"/>
  <c r="AJ68" i="556" s="1"/>
  <c r="AK68" i="556" s="1"/>
  <c r="T68" i="556"/>
  <c r="AH68" i="556" s="1"/>
  <c r="AG67" i="556"/>
  <c r="V67" i="556"/>
  <c r="U67" i="556"/>
  <c r="AJ67" i="556" s="1"/>
  <c r="AK67" i="556" s="1"/>
  <c r="T67" i="556"/>
  <c r="AH67" i="556" s="1"/>
  <c r="AG66" i="556"/>
  <c r="V66" i="556"/>
  <c r="U66" i="556"/>
  <c r="AJ66" i="556" s="1"/>
  <c r="AK66" i="556" s="1"/>
  <c r="T66" i="556"/>
  <c r="AH66" i="556" s="1"/>
  <c r="AG65" i="556"/>
  <c r="V65" i="556"/>
  <c r="U65" i="556"/>
  <c r="AJ65" i="556" s="1"/>
  <c r="AK65" i="556" s="1"/>
  <c r="T65" i="556"/>
  <c r="AH65" i="556" s="1"/>
  <c r="AG64" i="556"/>
  <c r="V64" i="556"/>
  <c r="U64" i="556"/>
  <c r="AJ64" i="556" s="1"/>
  <c r="AK64" i="556" s="1"/>
  <c r="T64" i="556"/>
  <c r="AH64" i="556" s="1"/>
  <c r="AG63" i="556"/>
  <c r="V63" i="556"/>
  <c r="U63" i="556"/>
  <c r="AJ63" i="556" s="1"/>
  <c r="AK63" i="556" s="1"/>
  <c r="T63" i="556"/>
  <c r="AH63" i="556" s="1"/>
  <c r="AG62" i="556"/>
  <c r="V62" i="556"/>
  <c r="U62" i="556"/>
  <c r="AJ62" i="556" s="1"/>
  <c r="AK62" i="556" s="1"/>
  <c r="T62" i="556"/>
  <c r="AH62" i="556" s="1"/>
  <c r="AG61" i="556"/>
  <c r="V61" i="556"/>
  <c r="U61" i="556"/>
  <c r="AJ61" i="556" s="1"/>
  <c r="AK61" i="556" s="1"/>
  <c r="T61" i="556"/>
  <c r="AH61" i="556" s="1"/>
  <c r="AG60" i="556"/>
  <c r="V60" i="556"/>
  <c r="U60" i="556"/>
  <c r="AJ60" i="556" s="1"/>
  <c r="AK60" i="556" s="1"/>
  <c r="T60" i="556"/>
  <c r="AH60" i="556" s="1"/>
  <c r="AG59" i="556"/>
  <c r="V59" i="556"/>
  <c r="U59" i="556"/>
  <c r="AJ59" i="556" s="1"/>
  <c r="AK59" i="556" s="1"/>
  <c r="T59" i="556"/>
  <c r="AH59" i="556" s="1"/>
  <c r="AG58" i="556"/>
  <c r="V58" i="556"/>
  <c r="U58" i="556"/>
  <c r="AJ58" i="556" s="1"/>
  <c r="AK58" i="556" s="1"/>
  <c r="T58" i="556"/>
  <c r="AH58" i="556" s="1"/>
  <c r="AG57" i="556"/>
  <c r="V57" i="556"/>
  <c r="U57" i="556"/>
  <c r="AJ57" i="556" s="1"/>
  <c r="AK57" i="556" s="1"/>
  <c r="T57" i="556"/>
  <c r="AH57" i="556" s="1"/>
  <c r="AG56" i="556"/>
  <c r="V56" i="556"/>
  <c r="U56" i="556"/>
  <c r="AJ56" i="556" s="1"/>
  <c r="AK56" i="556" s="1"/>
  <c r="T56" i="556"/>
  <c r="AH56" i="556" s="1"/>
  <c r="AG55" i="556"/>
  <c r="V55" i="556"/>
  <c r="U55" i="556"/>
  <c r="AJ55" i="556" s="1"/>
  <c r="AK55" i="556" s="1"/>
  <c r="T55" i="556"/>
  <c r="AH55" i="556" s="1"/>
  <c r="AG54" i="556"/>
  <c r="V54" i="556"/>
  <c r="U54" i="556"/>
  <c r="AJ54" i="556" s="1"/>
  <c r="AK54" i="556" s="1"/>
  <c r="T54" i="556"/>
  <c r="AH54" i="556" s="1"/>
  <c r="AG53" i="556"/>
  <c r="V53" i="556"/>
  <c r="U53" i="556"/>
  <c r="AJ53" i="556" s="1"/>
  <c r="AK53" i="556" s="1"/>
  <c r="T53" i="556"/>
  <c r="AH53" i="556" s="1"/>
  <c r="AG52" i="556"/>
  <c r="V52" i="556"/>
  <c r="U52" i="556"/>
  <c r="AJ52" i="556" s="1"/>
  <c r="AK52" i="556" s="1"/>
  <c r="T52" i="556"/>
  <c r="AH52" i="556" s="1"/>
  <c r="AG51" i="556"/>
  <c r="V51" i="556"/>
  <c r="U51" i="556"/>
  <c r="AJ51" i="556" s="1"/>
  <c r="AK51" i="556" s="1"/>
  <c r="T51" i="556"/>
  <c r="AH51" i="556" s="1"/>
  <c r="AG50" i="556"/>
  <c r="V50" i="556"/>
  <c r="U50" i="556"/>
  <c r="AJ50" i="556" s="1"/>
  <c r="AK50" i="556" s="1"/>
  <c r="T50" i="556"/>
  <c r="AH50" i="556" s="1"/>
  <c r="AG49" i="556"/>
  <c r="V49" i="556"/>
  <c r="U49" i="556"/>
  <c r="AJ49" i="556" s="1"/>
  <c r="AK49" i="556" s="1"/>
  <c r="T49" i="556"/>
  <c r="AH49" i="556" s="1"/>
  <c r="AG48" i="556"/>
  <c r="V48" i="556"/>
  <c r="U48" i="556"/>
  <c r="AJ48" i="556" s="1"/>
  <c r="AK48" i="556" s="1"/>
  <c r="T48" i="556"/>
  <c r="AH48" i="556" s="1"/>
  <c r="AG47" i="556"/>
  <c r="V47" i="556"/>
  <c r="U47" i="556"/>
  <c r="AJ47" i="556" s="1"/>
  <c r="AK47" i="556" s="1"/>
  <c r="T47" i="556"/>
  <c r="AH47" i="556" s="1"/>
  <c r="AG46" i="556"/>
  <c r="V46" i="556"/>
  <c r="U46" i="556"/>
  <c r="AJ46" i="556" s="1"/>
  <c r="AK46" i="556" s="1"/>
  <c r="T46" i="556"/>
  <c r="AH46" i="556" s="1"/>
  <c r="AG45" i="556"/>
  <c r="V45" i="556"/>
  <c r="U45" i="556"/>
  <c r="AJ45" i="556" s="1"/>
  <c r="AK45" i="556" s="1"/>
  <c r="T45" i="556"/>
  <c r="AH45" i="556" s="1"/>
  <c r="AG44" i="556"/>
  <c r="V44" i="556"/>
  <c r="U44" i="556"/>
  <c r="AJ44" i="556" s="1"/>
  <c r="AK44" i="556" s="1"/>
  <c r="T44" i="556"/>
  <c r="AH44" i="556" s="1"/>
  <c r="AG43" i="556"/>
  <c r="V43" i="556"/>
  <c r="U43" i="556"/>
  <c r="AJ43" i="556" s="1"/>
  <c r="AK43" i="556" s="1"/>
  <c r="T43" i="556"/>
  <c r="AH43" i="556" s="1"/>
  <c r="AG42" i="556"/>
  <c r="V42" i="556"/>
  <c r="U42" i="556"/>
  <c r="AJ42" i="556" s="1"/>
  <c r="AK42" i="556" s="1"/>
  <c r="T42" i="556"/>
  <c r="AH42" i="556" s="1"/>
  <c r="AG41" i="556"/>
  <c r="V41" i="556"/>
  <c r="U41" i="556"/>
  <c r="AJ41" i="556" s="1"/>
  <c r="AK41" i="556" s="1"/>
  <c r="T41" i="556"/>
  <c r="AH41" i="556" s="1"/>
  <c r="AG40" i="556"/>
  <c r="V40" i="556"/>
  <c r="U40" i="556"/>
  <c r="AJ40" i="556" s="1"/>
  <c r="AK40" i="556" s="1"/>
  <c r="T40" i="556"/>
  <c r="AH40" i="556" s="1"/>
  <c r="AG39" i="556"/>
  <c r="V39" i="556"/>
  <c r="U39" i="556"/>
  <c r="AJ39" i="556" s="1"/>
  <c r="AK39" i="556" s="1"/>
  <c r="T39" i="556"/>
  <c r="AH39" i="556" s="1"/>
  <c r="AG38" i="556"/>
  <c r="V38" i="556"/>
  <c r="U38" i="556"/>
  <c r="AJ38" i="556" s="1"/>
  <c r="AK38" i="556" s="1"/>
  <c r="T38" i="556"/>
  <c r="AH38" i="556" s="1"/>
  <c r="AG37" i="556"/>
  <c r="V37" i="556"/>
  <c r="U37" i="556"/>
  <c r="AJ37" i="556" s="1"/>
  <c r="AK37" i="556" s="1"/>
  <c r="T37" i="556"/>
  <c r="AH37" i="556" s="1"/>
  <c r="AG36" i="556"/>
  <c r="V36" i="556"/>
  <c r="U36" i="556"/>
  <c r="AJ36" i="556" s="1"/>
  <c r="AK36" i="556" s="1"/>
  <c r="T36" i="556"/>
  <c r="AH36" i="556" s="1"/>
  <c r="AG35" i="556"/>
  <c r="V35" i="556"/>
  <c r="U35" i="556"/>
  <c r="AJ35" i="556" s="1"/>
  <c r="AK35" i="556" s="1"/>
  <c r="T35" i="556"/>
  <c r="AH35" i="556" s="1"/>
  <c r="AG34" i="556"/>
  <c r="V34" i="556"/>
  <c r="U34" i="556"/>
  <c r="AJ34" i="556" s="1"/>
  <c r="AK34" i="556" s="1"/>
  <c r="T34" i="556"/>
  <c r="AH34" i="556" s="1"/>
  <c r="AG33" i="556"/>
  <c r="V33" i="556"/>
  <c r="U33" i="556"/>
  <c r="AJ33" i="556" s="1"/>
  <c r="AK33" i="556" s="1"/>
  <c r="T33" i="556"/>
  <c r="AH33" i="556" s="1"/>
  <c r="AG32" i="556"/>
  <c r="V32" i="556"/>
  <c r="U32" i="556"/>
  <c r="AJ32" i="556" s="1"/>
  <c r="AK32" i="556" s="1"/>
  <c r="T32" i="556"/>
  <c r="AH32" i="556" s="1"/>
  <c r="AG31" i="556"/>
  <c r="V31" i="556"/>
  <c r="U31" i="556"/>
  <c r="AJ31" i="556" s="1"/>
  <c r="AK31" i="556" s="1"/>
  <c r="T31" i="556"/>
  <c r="AH31" i="556" s="1"/>
  <c r="AG30" i="556"/>
  <c r="V30" i="556"/>
  <c r="U30" i="556"/>
  <c r="AJ30" i="556" s="1"/>
  <c r="AK30" i="556" s="1"/>
  <c r="T30" i="556"/>
  <c r="AH30" i="556" s="1"/>
  <c r="AG29" i="556"/>
  <c r="V29" i="556"/>
  <c r="U29" i="556"/>
  <c r="AJ29" i="556" s="1"/>
  <c r="AK29" i="556" s="1"/>
  <c r="T29" i="556"/>
  <c r="AH29" i="556" s="1"/>
  <c r="AG28" i="556"/>
  <c r="V28" i="556"/>
  <c r="U28" i="556"/>
  <c r="AJ28" i="556" s="1"/>
  <c r="AK28" i="556" s="1"/>
  <c r="T28" i="556"/>
  <c r="AH28" i="556" s="1"/>
  <c r="AG27" i="556"/>
  <c r="V27" i="556"/>
  <c r="U27" i="556"/>
  <c r="AJ27" i="556" s="1"/>
  <c r="AK27" i="556" s="1"/>
  <c r="T27" i="556"/>
  <c r="AH27" i="556" s="1"/>
  <c r="AG26" i="556"/>
  <c r="V26" i="556"/>
  <c r="U26" i="556"/>
  <c r="AJ26" i="556" s="1"/>
  <c r="AK26" i="556" s="1"/>
  <c r="T26" i="556"/>
  <c r="AH26" i="556" s="1"/>
  <c r="AG25" i="556"/>
  <c r="V25" i="556"/>
  <c r="U25" i="556"/>
  <c r="AJ25" i="556" s="1"/>
  <c r="AK25" i="556" s="1"/>
  <c r="T25" i="556"/>
  <c r="AH25" i="556" s="1"/>
  <c r="AG24" i="556"/>
  <c r="V24" i="556"/>
  <c r="U24" i="556"/>
  <c r="AJ24" i="556" s="1"/>
  <c r="AK24" i="556" s="1"/>
  <c r="T24" i="556"/>
  <c r="AH24" i="556" s="1"/>
  <c r="AG23" i="556"/>
  <c r="V23" i="556"/>
  <c r="U23" i="556"/>
  <c r="AJ23" i="556" s="1"/>
  <c r="AK23" i="556" s="1"/>
  <c r="T23" i="556"/>
  <c r="AH23" i="556" s="1"/>
  <c r="AG22" i="556"/>
  <c r="V22" i="556"/>
  <c r="U22" i="556"/>
  <c r="AJ22" i="556" s="1"/>
  <c r="AK22" i="556" s="1"/>
  <c r="T22" i="556"/>
  <c r="AH22" i="556" s="1"/>
  <c r="AG21" i="556"/>
  <c r="V21" i="556"/>
  <c r="U21" i="556"/>
  <c r="AJ21" i="556" s="1"/>
  <c r="AK21" i="556" s="1"/>
  <c r="T21" i="556"/>
  <c r="AH21" i="556" s="1"/>
  <c r="AG20" i="556"/>
  <c r="V20" i="556"/>
  <c r="U20" i="556"/>
  <c r="AJ20" i="556" s="1"/>
  <c r="AK20" i="556" s="1"/>
  <c r="T20" i="556"/>
  <c r="AH20" i="556" s="1"/>
  <c r="AG19" i="556"/>
  <c r="V19" i="556"/>
  <c r="U19" i="556"/>
  <c r="AJ19" i="556" s="1"/>
  <c r="AK19" i="556" s="1"/>
  <c r="T19" i="556"/>
  <c r="AH19" i="556" s="1"/>
  <c r="AG18" i="556"/>
  <c r="V18" i="556"/>
  <c r="U18" i="556"/>
  <c r="AJ18" i="556" s="1"/>
  <c r="AK18" i="556" s="1"/>
  <c r="T18" i="556"/>
  <c r="AH18" i="556" s="1"/>
  <c r="AG17" i="556"/>
  <c r="V17" i="556"/>
  <c r="U17" i="556"/>
  <c r="AJ17" i="556" s="1"/>
  <c r="AK17" i="556" s="1"/>
  <c r="T17" i="556"/>
  <c r="AH17" i="556" s="1"/>
  <c r="AG16" i="556"/>
  <c r="V16" i="556"/>
  <c r="U16" i="556"/>
  <c r="AJ16" i="556" s="1"/>
  <c r="AK16" i="556" s="1"/>
  <c r="T16" i="556"/>
  <c r="AH16" i="556" s="1"/>
  <c r="AG15" i="556"/>
  <c r="V15" i="556"/>
  <c r="U15" i="556"/>
  <c r="AJ15" i="556" s="1"/>
  <c r="AK15" i="556" s="1"/>
  <c r="T15" i="556"/>
  <c r="AH15" i="556" s="1"/>
  <c r="AG14" i="556"/>
  <c r="V14" i="556"/>
  <c r="U14" i="556"/>
  <c r="AJ14" i="556" s="1"/>
  <c r="AK14" i="556" s="1"/>
  <c r="T14" i="556"/>
  <c r="AH14" i="556" s="1"/>
  <c r="AG13" i="556"/>
  <c r="V13" i="556"/>
  <c r="U13" i="556"/>
  <c r="AJ13" i="556" s="1"/>
  <c r="AK13" i="556" s="1"/>
  <c r="T13" i="556"/>
  <c r="AH13" i="556" s="1"/>
  <c r="AG12" i="556"/>
  <c r="V12" i="556"/>
  <c r="U12" i="556"/>
  <c r="AJ12" i="556" s="1"/>
  <c r="AK12" i="556" s="1"/>
  <c r="T12" i="556"/>
  <c r="AJ11" i="556"/>
  <c r="AK11" i="556" s="1"/>
  <c r="AH11" i="556"/>
  <c r="V11" i="556"/>
  <c r="AG10" i="556"/>
  <c r="V10" i="556"/>
  <c r="U10" i="556"/>
  <c r="T10" i="556"/>
  <c r="AJ9" i="556"/>
  <c r="AK9" i="556" s="1"/>
  <c r="AH9" i="556"/>
  <c r="AI9" i="556" s="1"/>
  <c r="V9" i="556"/>
  <c r="O4" i="556"/>
  <c r="I4" i="556"/>
  <c r="G4" i="556"/>
  <c r="AR2" i="556"/>
  <c r="G2" i="556"/>
  <c r="AH118" i="556" l="1"/>
  <c r="AH12" i="556"/>
  <c r="AI12" i="556" s="1"/>
  <c r="AM12" i="556" s="1"/>
  <c r="AL11" i="556"/>
  <c r="AH10" i="556"/>
  <c r="AL10" i="556" s="1"/>
  <c r="AJ10" i="556"/>
  <c r="AK10" i="556" s="1"/>
  <c r="AM9" i="556"/>
  <c r="AI11" i="556"/>
  <c r="AM11" i="556" s="1"/>
  <c r="AL15" i="556"/>
  <c r="AI15" i="556"/>
  <c r="AM15" i="556" s="1"/>
  <c r="AI24" i="556"/>
  <c r="AM24" i="556" s="1"/>
  <c r="AL24" i="556"/>
  <c r="AI10" i="556"/>
  <c r="AL12" i="556"/>
  <c r="AI16" i="556"/>
  <c r="AM16" i="556" s="1"/>
  <c r="AL16" i="556"/>
  <c r="AI19" i="556"/>
  <c r="AM19" i="556" s="1"/>
  <c r="AL19" i="556"/>
  <c r="AI20" i="556"/>
  <c r="AM20" i="556" s="1"/>
  <c r="AL20" i="556"/>
  <c r="AI25" i="556"/>
  <c r="AM25" i="556" s="1"/>
  <c r="AL25" i="556"/>
  <c r="AI29" i="556"/>
  <c r="AM29" i="556" s="1"/>
  <c r="AL29" i="556"/>
  <c r="AI33" i="556"/>
  <c r="AM33" i="556" s="1"/>
  <c r="AL33" i="556"/>
  <c r="AI37" i="556"/>
  <c r="AM37" i="556" s="1"/>
  <c r="AL37" i="556"/>
  <c r="AI41" i="556"/>
  <c r="AM41" i="556" s="1"/>
  <c r="AL41" i="556"/>
  <c r="AI14" i="556"/>
  <c r="AM14" i="556" s="1"/>
  <c r="AL14" i="556"/>
  <c r="AI21" i="556"/>
  <c r="AM21" i="556" s="1"/>
  <c r="AL21" i="556"/>
  <c r="AI22" i="556"/>
  <c r="AM22" i="556" s="1"/>
  <c r="AL22" i="556"/>
  <c r="AI26" i="556"/>
  <c r="AM26" i="556" s="1"/>
  <c r="AL26" i="556"/>
  <c r="AI30" i="556"/>
  <c r="AM30" i="556" s="1"/>
  <c r="AL30" i="556"/>
  <c r="AI34" i="556"/>
  <c r="AM34" i="556" s="1"/>
  <c r="AL34" i="556"/>
  <c r="AI38" i="556"/>
  <c r="AM38" i="556" s="1"/>
  <c r="AL38" i="556"/>
  <c r="AI42" i="556"/>
  <c r="AM42" i="556" s="1"/>
  <c r="AL42" i="556"/>
  <c r="AI46" i="556"/>
  <c r="AM46" i="556" s="1"/>
  <c r="AL46" i="556"/>
  <c r="AI17" i="556"/>
  <c r="AM17" i="556" s="1"/>
  <c r="AL17" i="556"/>
  <c r="AI23" i="556"/>
  <c r="AM23" i="556" s="1"/>
  <c r="AL23" i="556"/>
  <c r="AI27" i="556"/>
  <c r="AM27" i="556" s="1"/>
  <c r="AL27" i="556"/>
  <c r="AI31" i="556"/>
  <c r="AM31" i="556" s="1"/>
  <c r="AL31" i="556"/>
  <c r="AI35" i="556"/>
  <c r="AM35" i="556" s="1"/>
  <c r="AL35" i="556"/>
  <c r="AI39" i="556"/>
  <c r="AM39" i="556" s="1"/>
  <c r="AL39" i="556"/>
  <c r="AL13" i="556"/>
  <c r="AI13" i="556"/>
  <c r="AM13" i="556" s="1"/>
  <c r="AI18" i="556"/>
  <c r="AM18" i="556" s="1"/>
  <c r="AL18" i="556"/>
  <c r="AI28" i="556"/>
  <c r="AM28" i="556" s="1"/>
  <c r="AL28" i="556"/>
  <c r="AI32" i="556"/>
  <c r="AM32" i="556" s="1"/>
  <c r="AL32" i="556"/>
  <c r="AI36" i="556"/>
  <c r="AM36" i="556" s="1"/>
  <c r="AL36" i="556"/>
  <c r="AI40" i="556"/>
  <c r="AM40" i="556" s="1"/>
  <c r="AL40" i="556"/>
  <c r="AI44" i="556"/>
  <c r="AM44" i="556" s="1"/>
  <c r="AL44" i="556"/>
  <c r="AI48" i="556"/>
  <c r="AM48" i="556" s="1"/>
  <c r="AL48" i="556"/>
  <c r="AL9" i="556"/>
  <c r="AI43" i="556"/>
  <c r="AM43" i="556" s="1"/>
  <c r="AL43" i="556"/>
  <c r="AI45" i="556"/>
  <c r="AM45" i="556" s="1"/>
  <c r="AL45" i="556"/>
  <c r="AI47" i="556"/>
  <c r="AM47" i="556" s="1"/>
  <c r="AL47" i="556"/>
  <c r="AI49" i="556"/>
  <c r="AM49" i="556" s="1"/>
  <c r="AL49" i="556"/>
  <c r="AI53" i="556"/>
  <c r="AM53" i="556" s="1"/>
  <c r="AL53" i="556"/>
  <c r="AI59" i="556"/>
  <c r="AM59" i="556" s="1"/>
  <c r="AL59" i="556"/>
  <c r="AI66" i="556"/>
  <c r="AM66" i="556" s="1"/>
  <c r="AL66" i="556"/>
  <c r="AI71" i="556"/>
  <c r="AM71" i="556" s="1"/>
  <c r="AL71" i="556"/>
  <c r="AI75" i="556"/>
  <c r="AM75" i="556" s="1"/>
  <c r="AL75" i="556"/>
  <c r="AI79" i="556"/>
  <c r="AM79" i="556" s="1"/>
  <c r="AL79" i="556"/>
  <c r="AI83" i="556"/>
  <c r="AM83" i="556" s="1"/>
  <c r="AL83" i="556"/>
  <c r="AI87" i="556"/>
  <c r="AM87" i="556" s="1"/>
  <c r="AL87" i="556"/>
  <c r="AI91" i="556"/>
  <c r="AM91" i="556" s="1"/>
  <c r="AL91" i="556"/>
  <c r="AI95" i="556"/>
  <c r="AM95" i="556" s="1"/>
  <c r="AL95" i="556"/>
  <c r="AI99" i="556"/>
  <c r="AM99" i="556" s="1"/>
  <c r="AL99" i="556"/>
  <c r="AI50" i="556"/>
  <c r="AM50" i="556" s="1"/>
  <c r="AL50" i="556"/>
  <c r="AI54" i="556"/>
  <c r="AM54" i="556" s="1"/>
  <c r="AL54" i="556"/>
  <c r="AI57" i="556"/>
  <c r="AM57" i="556" s="1"/>
  <c r="AL57" i="556"/>
  <c r="AI60" i="556"/>
  <c r="AM60" i="556" s="1"/>
  <c r="AL60" i="556"/>
  <c r="AI61" i="556"/>
  <c r="AM61" i="556" s="1"/>
  <c r="AL61" i="556"/>
  <c r="AI72" i="556"/>
  <c r="AM72" i="556" s="1"/>
  <c r="AL72" i="556"/>
  <c r="AI76" i="556"/>
  <c r="AM76" i="556" s="1"/>
  <c r="AL76" i="556"/>
  <c r="AI80" i="556"/>
  <c r="AM80" i="556" s="1"/>
  <c r="AL80" i="556"/>
  <c r="AI84" i="556"/>
  <c r="AM84" i="556" s="1"/>
  <c r="AL84" i="556"/>
  <c r="AI88" i="556"/>
  <c r="AM88" i="556" s="1"/>
  <c r="AL88" i="556"/>
  <c r="AI92" i="556"/>
  <c r="AM92" i="556" s="1"/>
  <c r="AL92" i="556"/>
  <c r="AI96" i="556"/>
  <c r="AM96" i="556" s="1"/>
  <c r="AL96" i="556"/>
  <c r="AI100" i="556"/>
  <c r="AM100" i="556" s="1"/>
  <c r="AL100" i="556"/>
  <c r="AI51" i="556"/>
  <c r="AM51" i="556" s="1"/>
  <c r="AL51" i="556"/>
  <c r="AI55" i="556"/>
  <c r="AM55" i="556" s="1"/>
  <c r="AL55" i="556"/>
  <c r="AI58" i="556"/>
  <c r="AM58" i="556" s="1"/>
  <c r="AL58" i="556"/>
  <c r="AI62" i="556"/>
  <c r="AM62" i="556" s="1"/>
  <c r="AL62" i="556"/>
  <c r="AI63" i="556"/>
  <c r="AM63" i="556" s="1"/>
  <c r="AL63" i="556"/>
  <c r="AL67" i="556"/>
  <c r="AI67" i="556"/>
  <c r="AM67" i="556" s="1"/>
  <c r="AI68" i="556"/>
  <c r="AM68" i="556" s="1"/>
  <c r="AL68" i="556"/>
  <c r="AI73" i="556"/>
  <c r="AM73" i="556" s="1"/>
  <c r="AL73" i="556"/>
  <c r="AI77" i="556"/>
  <c r="AM77" i="556" s="1"/>
  <c r="AL77" i="556"/>
  <c r="AI81" i="556"/>
  <c r="AM81" i="556" s="1"/>
  <c r="AL81" i="556"/>
  <c r="AI85" i="556"/>
  <c r="AM85" i="556" s="1"/>
  <c r="AL85" i="556"/>
  <c r="AI89" i="556"/>
  <c r="AM89" i="556" s="1"/>
  <c r="AL89" i="556"/>
  <c r="AI93" i="556"/>
  <c r="AM93" i="556" s="1"/>
  <c r="AL93" i="556"/>
  <c r="AI97" i="556"/>
  <c r="AM97" i="556" s="1"/>
  <c r="AL97" i="556"/>
  <c r="AI101" i="556"/>
  <c r="AM101" i="556" s="1"/>
  <c r="AL101" i="556"/>
  <c r="AI52" i="556"/>
  <c r="AM52" i="556" s="1"/>
  <c r="AL52" i="556"/>
  <c r="AI56" i="556"/>
  <c r="AM56" i="556" s="1"/>
  <c r="AL56" i="556"/>
  <c r="AI64" i="556"/>
  <c r="AM64" i="556" s="1"/>
  <c r="AL64" i="556"/>
  <c r="AL65" i="556"/>
  <c r="AI65" i="556"/>
  <c r="AM65" i="556" s="1"/>
  <c r="AI69" i="556"/>
  <c r="AM69" i="556" s="1"/>
  <c r="AL69" i="556"/>
  <c r="AI70" i="556"/>
  <c r="AM70" i="556" s="1"/>
  <c r="AL70" i="556"/>
  <c r="AI74" i="556"/>
  <c r="AM74" i="556" s="1"/>
  <c r="AL74" i="556"/>
  <c r="AI78" i="556"/>
  <c r="AM78" i="556" s="1"/>
  <c r="AL78" i="556"/>
  <c r="AI82" i="556"/>
  <c r="AM82" i="556" s="1"/>
  <c r="AL82" i="556"/>
  <c r="AI86" i="556"/>
  <c r="AM86" i="556" s="1"/>
  <c r="AL86" i="556"/>
  <c r="AI90" i="556"/>
  <c r="AM90" i="556" s="1"/>
  <c r="AL90" i="556"/>
  <c r="AI94" i="556"/>
  <c r="AM94" i="556" s="1"/>
  <c r="AL94" i="556"/>
  <c r="AI98" i="556"/>
  <c r="AM98" i="556" s="1"/>
  <c r="AL98" i="556"/>
  <c r="AI103" i="556"/>
  <c r="AM103" i="556" s="1"/>
  <c r="AL103" i="556"/>
  <c r="AI107" i="556"/>
  <c r="AM107" i="556" s="1"/>
  <c r="AL107" i="556"/>
  <c r="AI111" i="556"/>
  <c r="AM111" i="556" s="1"/>
  <c r="AL111" i="556"/>
  <c r="AI115" i="556"/>
  <c r="AM115" i="556" s="1"/>
  <c r="AL115" i="556"/>
  <c r="AI119" i="556"/>
  <c r="AM119" i="556" s="1"/>
  <c r="AL119" i="556"/>
  <c r="AI120" i="556"/>
  <c r="AM120" i="556" s="1"/>
  <c r="AL120" i="556"/>
  <c r="AI104" i="556"/>
  <c r="AM104" i="556" s="1"/>
  <c r="AL104" i="556"/>
  <c r="AI108" i="556"/>
  <c r="AM108" i="556" s="1"/>
  <c r="AL108" i="556"/>
  <c r="AI112" i="556"/>
  <c r="AM112" i="556" s="1"/>
  <c r="AL112" i="556"/>
  <c r="AI116" i="556"/>
  <c r="AM116" i="556" s="1"/>
  <c r="AL116" i="556"/>
  <c r="AI105" i="556"/>
  <c r="AM105" i="556" s="1"/>
  <c r="AL105" i="556"/>
  <c r="AI109" i="556"/>
  <c r="AM109" i="556" s="1"/>
  <c r="AL109" i="556"/>
  <c r="AI113" i="556"/>
  <c r="AM113" i="556" s="1"/>
  <c r="AL113" i="556"/>
  <c r="AI117" i="556"/>
  <c r="AM117" i="556" s="1"/>
  <c r="AL117" i="556"/>
  <c r="AI102" i="556"/>
  <c r="AM102" i="556" s="1"/>
  <c r="AL102" i="556"/>
  <c r="AI106" i="556"/>
  <c r="AM106" i="556" s="1"/>
  <c r="AL106" i="556"/>
  <c r="AI110" i="556"/>
  <c r="AM110" i="556" s="1"/>
  <c r="AL110" i="556"/>
  <c r="AI114" i="556"/>
  <c r="AM114" i="556" s="1"/>
  <c r="AL114" i="556"/>
  <c r="AI118" i="556"/>
  <c r="AM118" i="556" s="1"/>
  <c r="AL118" i="556"/>
  <c r="AM10" i="556" l="1"/>
  <c r="AJ17" i="555"/>
  <c r="AG17" i="555"/>
  <c r="AH17" i="555" s="1"/>
  <c r="V17" i="555"/>
  <c r="AG13" i="555"/>
  <c r="V13" i="555"/>
  <c r="U13" i="555"/>
  <c r="AJ13" i="555" s="1"/>
  <c r="AK13" i="555" s="1"/>
  <c r="T13" i="555"/>
  <c r="AG12" i="555"/>
  <c r="U12" i="555"/>
  <c r="AJ12" i="555" s="1"/>
  <c r="T12" i="555"/>
  <c r="AH12" i="555" s="1"/>
  <c r="AG11" i="555"/>
  <c r="U11" i="555"/>
  <c r="AJ11" i="555" s="1"/>
  <c r="T11" i="555"/>
  <c r="AH11" i="555" s="1"/>
  <c r="AG10" i="555"/>
  <c r="U10" i="555"/>
  <c r="AJ10" i="555" s="1"/>
  <c r="T10" i="555"/>
  <c r="AH10" i="555" s="1"/>
  <c r="AG9" i="555"/>
  <c r="V9" i="555"/>
  <c r="U9" i="555"/>
  <c r="AJ9" i="555" s="1"/>
  <c r="AK9" i="555" s="1"/>
  <c r="T9" i="555"/>
  <c r="O4" i="555"/>
  <c r="I4" i="555"/>
  <c r="G4" i="555"/>
  <c r="AR2" i="555"/>
  <c r="G2" i="555"/>
  <c r="AH9" i="555" l="1"/>
  <c r="AL9" i="555" s="1"/>
  <c r="AH13" i="555"/>
  <c r="AI13" i="555" s="1"/>
  <c r="AM13" i="555" s="1"/>
  <c r="AL10" i="555"/>
  <c r="AL12" i="555"/>
  <c r="AI9" i="555"/>
  <c r="AM9" i="555" s="1"/>
  <c r="AL13" i="555"/>
  <c r="AL11" i="555"/>
  <c r="AL17" i="555"/>
  <c r="AI17" i="555"/>
  <c r="AM17" i="555" s="1"/>
  <c r="AK49" i="554" l="1"/>
  <c r="AG21" i="554"/>
  <c r="U21" i="554"/>
  <c r="AJ21" i="554" s="1"/>
  <c r="T21" i="554"/>
  <c r="AH21" i="554" s="1"/>
  <c r="AG20" i="554"/>
  <c r="U20" i="554"/>
  <c r="AJ20" i="554" s="1"/>
  <c r="T20" i="554"/>
  <c r="AH20" i="554" s="1"/>
  <c r="AG19" i="554"/>
  <c r="U19" i="554"/>
  <c r="AJ19" i="554" s="1"/>
  <c r="T19" i="554"/>
  <c r="AH19" i="554" s="1"/>
  <c r="AG16" i="554"/>
  <c r="U16" i="554"/>
  <c r="AJ16" i="554" s="1"/>
  <c r="T16" i="554"/>
  <c r="AH16" i="554" s="1"/>
  <c r="AG15" i="554"/>
  <c r="U15" i="554"/>
  <c r="AJ15" i="554" s="1"/>
  <c r="T15" i="554"/>
  <c r="AH15" i="554" s="1"/>
  <c r="AG14" i="554"/>
  <c r="U14" i="554"/>
  <c r="AJ14" i="554" s="1"/>
  <c r="T14" i="554"/>
  <c r="AH14" i="554" s="1"/>
  <c r="AG13" i="554"/>
  <c r="V13" i="554"/>
  <c r="U13" i="554"/>
  <c r="T13" i="554"/>
  <c r="AG12" i="554"/>
  <c r="V12" i="554"/>
  <c r="U12" i="554"/>
  <c r="T12" i="554"/>
  <c r="AG11" i="554"/>
  <c r="V11" i="554"/>
  <c r="U11" i="554"/>
  <c r="T11" i="554"/>
  <c r="AG10" i="554"/>
  <c r="V10" i="554"/>
  <c r="U10" i="554"/>
  <c r="AJ10" i="554" s="1"/>
  <c r="AK10" i="554" s="1"/>
  <c r="T10" i="554"/>
  <c r="AH10" i="554" s="1"/>
  <c r="AG9" i="554"/>
  <c r="V9" i="554"/>
  <c r="U9" i="554"/>
  <c r="AJ9" i="554" s="1"/>
  <c r="AK9" i="554" s="1"/>
  <c r="T9" i="554"/>
  <c r="AH9" i="554" s="1"/>
  <c r="O4" i="554"/>
  <c r="I4" i="554"/>
  <c r="G4" i="554"/>
  <c r="AR2" i="554"/>
  <c r="G2" i="554"/>
  <c r="AL15" i="554" l="1"/>
  <c r="AL21" i="554"/>
  <c r="AL20" i="554"/>
  <c r="AH11" i="554"/>
  <c r="AI11" i="554" s="1"/>
  <c r="AH12" i="554"/>
  <c r="AH13" i="554"/>
  <c r="AI13" i="554" s="1"/>
  <c r="AJ11" i="554"/>
  <c r="AK11" i="554" s="1"/>
  <c r="AJ12" i="554"/>
  <c r="AK12" i="554" s="1"/>
  <c r="AJ13" i="554"/>
  <c r="AK13" i="554" s="1"/>
  <c r="AL19" i="554"/>
  <c r="AL14" i="554"/>
  <c r="AL16" i="554"/>
  <c r="AI9" i="554"/>
  <c r="AM9" i="554" s="1"/>
  <c r="AL9" i="554"/>
  <c r="AL10" i="554"/>
  <c r="AI10" i="554"/>
  <c r="AM10" i="554" s="1"/>
  <c r="AI12" i="554"/>
  <c r="AM12" i="554" s="1"/>
  <c r="AL13" i="554" l="1"/>
  <c r="AM13" i="554"/>
  <c r="AM11" i="554"/>
  <c r="AL12" i="554"/>
  <c r="AL11" i="554"/>
  <c r="AM21" i="553"/>
  <c r="AL21" i="553"/>
  <c r="AK21" i="553"/>
  <c r="AJ21" i="553"/>
  <c r="AI21" i="553"/>
  <c r="AH21" i="553"/>
  <c r="AG21" i="553"/>
  <c r="R21" i="553"/>
  <c r="Q21" i="553"/>
  <c r="AS21" i="553" s="1"/>
  <c r="AT21" i="553" s="1"/>
  <c r="O21" i="553"/>
  <c r="AQ21" i="553" s="1"/>
  <c r="AR21" i="553" s="1"/>
  <c r="AM20" i="553"/>
  <c r="AL20" i="553"/>
  <c r="AK20" i="553"/>
  <c r="AJ20" i="553"/>
  <c r="AI20" i="553"/>
  <c r="AH20" i="553"/>
  <c r="AG20" i="553"/>
  <c r="R20" i="553"/>
  <c r="Q20" i="553"/>
  <c r="AS20" i="553" s="1"/>
  <c r="AT20" i="553" s="1"/>
  <c r="O20" i="553"/>
  <c r="AQ20" i="553" s="1"/>
  <c r="AR20" i="553" s="1"/>
  <c r="AM19" i="553"/>
  <c r="AL19" i="553"/>
  <c r="AK19" i="553"/>
  <c r="AJ19" i="553"/>
  <c r="AI19" i="553"/>
  <c r="AH19" i="553"/>
  <c r="AG19" i="553"/>
  <c r="R19" i="553"/>
  <c r="Q19" i="553"/>
  <c r="AS19" i="553" s="1"/>
  <c r="AT19" i="553" s="1"/>
  <c r="O19" i="553"/>
  <c r="AQ19" i="553" s="1"/>
  <c r="AR19" i="553" s="1"/>
  <c r="AM18" i="553"/>
  <c r="AL18" i="553"/>
  <c r="AK18" i="553"/>
  <c r="AJ18" i="553"/>
  <c r="AI18" i="553"/>
  <c r="AH18" i="553"/>
  <c r="AG18" i="553"/>
  <c r="R18" i="553"/>
  <c r="Q18" i="553"/>
  <c r="AS18" i="553" s="1"/>
  <c r="AT18" i="553" s="1"/>
  <c r="O18" i="553"/>
  <c r="AQ18" i="553" s="1"/>
  <c r="AR18" i="553" s="1"/>
  <c r="AM17" i="553"/>
  <c r="AL17" i="553"/>
  <c r="AK17" i="553"/>
  <c r="AJ17" i="553"/>
  <c r="AI17" i="553"/>
  <c r="AH17" i="553"/>
  <c r="AG17" i="553"/>
  <c r="R17" i="553"/>
  <c r="Q17" i="553"/>
  <c r="AS17" i="553" s="1"/>
  <c r="AT17" i="553" s="1"/>
  <c r="O17" i="553"/>
  <c r="AQ17" i="553" s="1"/>
  <c r="AR17" i="553" s="1"/>
  <c r="AM16" i="553"/>
  <c r="AL16" i="553"/>
  <c r="AK16" i="553"/>
  <c r="AJ16" i="553"/>
  <c r="AI16" i="553"/>
  <c r="AH16" i="553"/>
  <c r="AG16" i="553"/>
  <c r="R16" i="553"/>
  <c r="Q16" i="553"/>
  <c r="AS16" i="553" s="1"/>
  <c r="AT16" i="553" s="1"/>
  <c r="O16" i="553"/>
  <c r="AQ16" i="553" s="1"/>
  <c r="AR16" i="553" s="1"/>
  <c r="AM15" i="553"/>
  <c r="AL15" i="553"/>
  <c r="AK15" i="553"/>
  <c r="AJ15" i="553"/>
  <c r="AI15" i="553"/>
  <c r="AH15" i="553"/>
  <c r="AG15" i="553"/>
  <c r="R15" i="553"/>
  <c r="Q15" i="553"/>
  <c r="AS15" i="553" s="1"/>
  <c r="AT15" i="553" s="1"/>
  <c r="O15" i="553"/>
  <c r="AQ15" i="553" s="1"/>
  <c r="AR15" i="553" s="1"/>
  <c r="AM14" i="553"/>
  <c r="AL14" i="553"/>
  <c r="AK14" i="553"/>
  <c r="AJ14" i="553"/>
  <c r="AI14" i="553"/>
  <c r="AH14" i="553"/>
  <c r="AG14" i="553"/>
  <c r="R14" i="553"/>
  <c r="Q14" i="553"/>
  <c r="AS14" i="553" s="1"/>
  <c r="AT14" i="553" s="1"/>
  <c r="O14" i="553"/>
  <c r="AM13" i="553"/>
  <c r="AL13" i="553"/>
  <c r="AK13" i="553"/>
  <c r="AJ13" i="553"/>
  <c r="AI13" i="553"/>
  <c r="AH13" i="553"/>
  <c r="AG13" i="553"/>
  <c r="R13" i="553"/>
  <c r="Q13" i="553"/>
  <c r="AS13" i="553" s="1"/>
  <c r="AT13" i="553" s="1"/>
  <c r="O13" i="553"/>
  <c r="AM12" i="553"/>
  <c r="AL12" i="553"/>
  <c r="AK12" i="553"/>
  <c r="AJ12" i="553"/>
  <c r="AI12" i="553"/>
  <c r="AH12" i="553"/>
  <c r="AG12" i="553"/>
  <c r="R12" i="553"/>
  <c r="Q12" i="553"/>
  <c r="AS12" i="553" s="1"/>
  <c r="AT12" i="553" s="1"/>
  <c r="O12" i="553"/>
  <c r="AM11" i="553"/>
  <c r="AL11" i="553"/>
  <c r="AK11" i="553"/>
  <c r="AJ11" i="553"/>
  <c r="AI11" i="553"/>
  <c r="AH11" i="553"/>
  <c r="AG11" i="553"/>
  <c r="R11" i="553"/>
  <c r="Q11" i="553"/>
  <c r="AS11" i="553" s="1"/>
  <c r="AT11" i="553" s="1"/>
  <c r="O11" i="553"/>
  <c r="AM10" i="553"/>
  <c r="AL10" i="553"/>
  <c r="AK10" i="553"/>
  <c r="AJ10" i="553"/>
  <c r="AI10" i="553"/>
  <c r="AH10" i="553"/>
  <c r="AG10" i="553"/>
  <c r="R10" i="553"/>
  <c r="Q10" i="553"/>
  <c r="AS10" i="553" s="1"/>
  <c r="AT10" i="553" s="1"/>
  <c r="O10" i="553"/>
  <c r="V4" i="553"/>
  <c r="E4" i="553"/>
  <c r="A4" i="553"/>
  <c r="BD2" i="553"/>
  <c r="A2" i="553"/>
  <c r="AN10" i="553" l="1"/>
  <c r="AO10" i="553" s="1"/>
  <c r="AN12" i="553"/>
  <c r="AO12" i="553" s="1"/>
  <c r="AQ12" i="553" s="1"/>
  <c r="AR12" i="553" s="1"/>
  <c r="AU12" i="553" s="1"/>
  <c r="AN11" i="553"/>
  <c r="AO11" i="553" s="1"/>
  <c r="AQ11" i="553" s="1"/>
  <c r="AR11" i="553" s="1"/>
  <c r="AU11" i="553" s="1"/>
  <c r="AN13" i="553"/>
  <c r="AN14" i="553"/>
  <c r="AN15" i="553"/>
  <c r="AO15" i="553" s="1"/>
  <c r="AP15" i="553" s="1"/>
  <c r="AN16" i="553"/>
  <c r="AO16" i="553" s="1"/>
  <c r="AN17" i="553"/>
  <c r="AN18" i="553"/>
  <c r="AN19" i="553"/>
  <c r="AO19" i="553" s="1"/>
  <c r="AP19" i="553" s="1"/>
  <c r="AN20" i="553"/>
  <c r="AO20" i="553" s="1"/>
  <c r="AN21" i="553"/>
  <c r="AU17" i="553"/>
  <c r="AU21" i="553"/>
  <c r="AU15" i="553"/>
  <c r="AU19" i="553"/>
  <c r="AU16" i="553"/>
  <c r="AO17" i="553"/>
  <c r="AP17" i="553" s="1"/>
  <c r="AU20" i="553"/>
  <c r="AO21" i="553"/>
  <c r="AP21" i="553" s="1"/>
  <c r="AO18" i="553"/>
  <c r="AP18" i="553" s="1"/>
  <c r="AO14" i="553"/>
  <c r="AQ14" i="553" s="1"/>
  <c r="AR14" i="553" s="1"/>
  <c r="AU14" i="553" s="1"/>
  <c r="AU18" i="553"/>
  <c r="AO13" i="553"/>
  <c r="AP13" i="553" s="1"/>
  <c r="AP20" i="553" l="1"/>
  <c r="AP10" i="553"/>
  <c r="AQ10" i="553"/>
  <c r="AR10" i="553" s="1"/>
  <c r="AU10" i="553" s="1"/>
  <c r="AP16" i="553"/>
  <c r="AP11" i="553"/>
  <c r="AQ13" i="553"/>
  <c r="AR13" i="553" s="1"/>
  <c r="AU13" i="553" s="1"/>
  <c r="AP14" i="553"/>
  <c r="AP12" i="553"/>
  <c r="AG167" i="552" l="1"/>
  <c r="V167" i="552"/>
  <c r="U167" i="552"/>
  <c r="AJ167" i="552" s="1"/>
  <c r="AK167" i="552" s="1"/>
  <c r="T167" i="552"/>
  <c r="AH167" i="552" s="1"/>
  <c r="AG166" i="552"/>
  <c r="V166" i="552"/>
  <c r="U166" i="552"/>
  <c r="AJ166" i="552" s="1"/>
  <c r="AK166" i="552" s="1"/>
  <c r="T166" i="552"/>
  <c r="AH166" i="552" s="1"/>
  <c r="AG165" i="552"/>
  <c r="V165" i="552"/>
  <c r="U165" i="552"/>
  <c r="AJ165" i="552" s="1"/>
  <c r="AK165" i="552" s="1"/>
  <c r="T165" i="552"/>
  <c r="AH165" i="552" s="1"/>
  <c r="AG164" i="552"/>
  <c r="V164" i="552"/>
  <c r="U164" i="552"/>
  <c r="AJ164" i="552" s="1"/>
  <c r="AK164" i="552" s="1"/>
  <c r="T164" i="552"/>
  <c r="AH164" i="552" s="1"/>
  <c r="AG163" i="552"/>
  <c r="V163" i="552"/>
  <c r="U163" i="552"/>
  <c r="AJ163" i="552" s="1"/>
  <c r="AK163" i="552" s="1"/>
  <c r="T163" i="552"/>
  <c r="AH163" i="552" s="1"/>
  <c r="AG162" i="552"/>
  <c r="V162" i="552"/>
  <c r="U162" i="552"/>
  <c r="AJ162" i="552" s="1"/>
  <c r="AK162" i="552" s="1"/>
  <c r="T162" i="552"/>
  <c r="AH162" i="552" s="1"/>
  <c r="AG161" i="552"/>
  <c r="V161" i="552"/>
  <c r="U161" i="552"/>
  <c r="AJ161" i="552" s="1"/>
  <c r="AK161" i="552" s="1"/>
  <c r="T161" i="552"/>
  <c r="AH161" i="552" s="1"/>
  <c r="AG160" i="552"/>
  <c r="V160" i="552"/>
  <c r="U160" i="552"/>
  <c r="AJ160" i="552" s="1"/>
  <c r="AK160" i="552" s="1"/>
  <c r="T160" i="552"/>
  <c r="AH160" i="552" s="1"/>
  <c r="AG159" i="552"/>
  <c r="V159" i="552"/>
  <c r="U159" i="552"/>
  <c r="AJ159" i="552" s="1"/>
  <c r="AK159" i="552" s="1"/>
  <c r="T159" i="552"/>
  <c r="AH159" i="552" s="1"/>
  <c r="AG158" i="552"/>
  <c r="V158" i="552"/>
  <c r="U158" i="552"/>
  <c r="AJ158" i="552" s="1"/>
  <c r="AK158" i="552" s="1"/>
  <c r="T158" i="552"/>
  <c r="AH158" i="552" s="1"/>
  <c r="AG157" i="552"/>
  <c r="V157" i="552"/>
  <c r="U157" i="552"/>
  <c r="AJ157" i="552" s="1"/>
  <c r="AK157" i="552" s="1"/>
  <c r="T157" i="552"/>
  <c r="AH157" i="552" s="1"/>
  <c r="AG156" i="552"/>
  <c r="V156" i="552"/>
  <c r="U156" i="552"/>
  <c r="AJ156" i="552" s="1"/>
  <c r="AK156" i="552" s="1"/>
  <c r="T156" i="552"/>
  <c r="AH156" i="552" s="1"/>
  <c r="AG155" i="552"/>
  <c r="V155" i="552"/>
  <c r="U155" i="552"/>
  <c r="AJ155" i="552" s="1"/>
  <c r="AK155" i="552" s="1"/>
  <c r="T155" i="552"/>
  <c r="AH155" i="552" s="1"/>
  <c r="AG154" i="552"/>
  <c r="V154" i="552"/>
  <c r="U154" i="552"/>
  <c r="AJ154" i="552" s="1"/>
  <c r="AK154" i="552" s="1"/>
  <c r="T154" i="552"/>
  <c r="AH154" i="552" s="1"/>
  <c r="AG153" i="552"/>
  <c r="V153" i="552"/>
  <c r="U153" i="552"/>
  <c r="AJ153" i="552" s="1"/>
  <c r="AK153" i="552" s="1"/>
  <c r="T153" i="552"/>
  <c r="AH153" i="552" s="1"/>
  <c r="AG152" i="552"/>
  <c r="V152" i="552"/>
  <c r="U152" i="552"/>
  <c r="AJ152" i="552" s="1"/>
  <c r="AK152" i="552" s="1"/>
  <c r="T152" i="552"/>
  <c r="AH152" i="552" s="1"/>
  <c r="AG151" i="552"/>
  <c r="V151" i="552"/>
  <c r="U151" i="552"/>
  <c r="AJ151" i="552" s="1"/>
  <c r="AK151" i="552" s="1"/>
  <c r="T151" i="552"/>
  <c r="AH151" i="552" s="1"/>
  <c r="AG150" i="552"/>
  <c r="V150" i="552"/>
  <c r="U150" i="552"/>
  <c r="AJ150" i="552" s="1"/>
  <c r="AK150" i="552" s="1"/>
  <c r="T150" i="552"/>
  <c r="AH150" i="552" s="1"/>
  <c r="AG149" i="552"/>
  <c r="V149" i="552"/>
  <c r="U149" i="552"/>
  <c r="AJ149" i="552" s="1"/>
  <c r="AK149" i="552" s="1"/>
  <c r="T149" i="552"/>
  <c r="AH149" i="552" s="1"/>
  <c r="AG148" i="552"/>
  <c r="V148" i="552"/>
  <c r="U148" i="552"/>
  <c r="AJ148" i="552" s="1"/>
  <c r="AK148" i="552" s="1"/>
  <c r="T148" i="552"/>
  <c r="AH148" i="552" s="1"/>
  <c r="AG147" i="552"/>
  <c r="V147" i="552"/>
  <c r="U147" i="552"/>
  <c r="AJ147" i="552" s="1"/>
  <c r="AK147" i="552" s="1"/>
  <c r="T147" i="552"/>
  <c r="AH147" i="552" s="1"/>
  <c r="AG146" i="552"/>
  <c r="V146" i="552"/>
  <c r="U146" i="552"/>
  <c r="AJ146" i="552" s="1"/>
  <c r="AK146" i="552" s="1"/>
  <c r="T146" i="552"/>
  <c r="AH146" i="552" s="1"/>
  <c r="AG145" i="552"/>
  <c r="V145" i="552"/>
  <c r="U145" i="552"/>
  <c r="AJ145" i="552" s="1"/>
  <c r="AK145" i="552" s="1"/>
  <c r="T145" i="552"/>
  <c r="AH145" i="552" s="1"/>
  <c r="AG144" i="552"/>
  <c r="V144" i="552"/>
  <c r="U144" i="552"/>
  <c r="AJ144" i="552" s="1"/>
  <c r="AK144" i="552" s="1"/>
  <c r="T144" i="552"/>
  <c r="AH144" i="552" s="1"/>
  <c r="AG143" i="552"/>
  <c r="V143" i="552"/>
  <c r="U143" i="552"/>
  <c r="AJ143" i="552" s="1"/>
  <c r="AK143" i="552" s="1"/>
  <c r="T143" i="552"/>
  <c r="AH143" i="552" s="1"/>
  <c r="AG142" i="552"/>
  <c r="V142" i="552"/>
  <c r="U142" i="552"/>
  <c r="AJ142" i="552" s="1"/>
  <c r="AK142" i="552" s="1"/>
  <c r="T142" i="552"/>
  <c r="AH142" i="552" s="1"/>
  <c r="AG141" i="552"/>
  <c r="V141" i="552"/>
  <c r="U141" i="552"/>
  <c r="AJ141" i="552" s="1"/>
  <c r="AK141" i="552" s="1"/>
  <c r="T141" i="552"/>
  <c r="AH141" i="552" s="1"/>
  <c r="AG140" i="552"/>
  <c r="V140" i="552"/>
  <c r="U140" i="552"/>
  <c r="AJ140" i="552" s="1"/>
  <c r="AK140" i="552" s="1"/>
  <c r="T140" i="552"/>
  <c r="AH140" i="552" s="1"/>
  <c r="AG139" i="552"/>
  <c r="V139" i="552"/>
  <c r="U139" i="552"/>
  <c r="AJ139" i="552" s="1"/>
  <c r="AK139" i="552" s="1"/>
  <c r="T139" i="552"/>
  <c r="AH139" i="552" s="1"/>
  <c r="AG138" i="552"/>
  <c r="V138" i="552"/>
  <c r="U138" i="552"/>
  <c r="AJ138" i="552" s="1"/>
  <c r="AK138" i="552" s="1"/>
  <c r="T138" i="552"/>
  <c r="AH138" i="552" s="1"/>
  <c r="AG137" i="552"/>
  <c r="V137" i="552"/>
  <c r="U137" i="552"/>
  <c r="AJ137" i="552" s="1"/>
  <c r="AK137" i="552" s="1"/>
  <c r="T137" i="552"/>
  <c r="AH137" i="552" s="1"/>
  <c r="AG136" i="552"/>
  <c r="V136" i="552"/>
  <c r="U136" i="552"/>
  <c r="AJ136" i="552" s="1"/>
  <c r="AK136" i="552" s="1"/>
  <c r="T136" i="552"/>
  <c r="AH136" i="552" s="1"/>
  <c r="AG135" i="552"/>
  <c r="V135" i="552"/>
  <c r="U135" i="552"/>
  <c r="AJ135" i="552" s="1"/>
  <c r="AK135" i="552" s="1"/>
  <c r="T135" i="552"/>
  <c r="AH135" i="552" s="1"/>
  <c r="AG134" i="552"/>
  <c r="V134" i="552"/>
  <c r="U134" i="552"/>
  <c r="AJ134" i="552" s="1"/>
  <c r="AK134" i="552" s="1"/>
  <c r="T134" i="552"/>
  <c r="AH134" i="552" s="1"/>
  <c r="AG133" i="552"/>
  <c r="V133" i="552"/>
  <c r="U133" i="552"/>
  <c r="AJ133" i="552" s="1"/>
  <c r="AK133" i="552" s="1"/>
  <c r="T133" i="552"/>
  <c r="AH133" i="552" s="1"/>
  <c r="AG132" i="552"/>
  <c r="V132" i="552"/>
  <c r="U132" i="552"/>
  <c r="AJ132" i="552" s="1"/>
  <c r="AK132" i="552" s="1"/>
  <c r="T132" i="552"/>
  <c r="AH132" i="552" s="1"/>
  <c r="AG131" i="552"/>
  <c r="V131" i="552"/>
  <c r="U131" i="552"/>
  <c r="AJ131" i="552" s="1"/>
  <c r="AK131" i="552" s="1"/>
  <c r="T131" i="552"/>
  <c r="AH131" i="552" s="1"/>
  <c r="AG130" i="552"/>
  <c r="V130" i="552"/>
  <c r="U130" i="552"/>
  <c r="AJ130" i="552" s="1"/>
  <c r="AK130" i="552" s="1"/>
  <c r="T130" i="552"/>
  <c r="AH130" i="552" s="1"/>
  <c r="AG129" i="552"/>
  <c r="V129" i="552"/>
  <c r="U129" i="552"/>
  <c r="AJ129" i="552" s="1"/>
  <c r="AK129" i="552" s="1"/>
  <c r="T129" i="552"/>
  <c r="AH129" i="552" s="1"/>
  <c r="AG128" i="552"/>
  <c r="V128" i="552"/>
  <c r="U128" i="552"/>
  <c r="AJ128" i="552" s="1"/>
  <c r="AK128" i="552" s="1"/>
  <c r="T128" i="552"/>
  <c r="AH128" i="552" s="1"/>
  <c r="AG127" i="552"/>
  <c r="V127" i="552"/>
  <c r="U127" i="552"/>
  <c r="AJ127" i="552" s="1"/>
  <c r="AK127" i="552" s="1"/>
  <c r="T127" i="552"/>
  <c r="AH127" i="552" s="1"/>
  <c r="AG126" i="552"/>
  <c r="V126" i="552"/>
  <c r="U126" i="552"/>
  <c r="AJ126" i="552" s="1"/>
  <c r="AK126" i="552" s="1"/>
  <c r="T126" i="552"/>
  <c r="AH126" i="552" s="1"/>
  <c r="AG125" i="552"/>
  <c r="V125" i="552"/>
  <c r="U125" i="552"/>
  <c r="AJ125" i="552" s="1"/>
  <c r="AK125" i="552" s="1"/>
  <c r="T125" i="552"/>
  <c r="AH125" i="552" s="1"/>
  <c r="AG124" i="552"/>
  <c r="V124" i="552"/>
  <c r="U124" i="552"/>
  <c r="AJ124" i="552" s="1"/>
  <c r="AK124" i="552" s="1"/>
  <c r="T124" i="552"/>
  <c r="AH124" i="552" s="1"/>
  <c r="AG123" i="552"/>
  <c r="V123" i="552"/>
  <c r="U123" i="552"/>
  <c r="AJ123" i="552" s="1"/>
  <c r="AK123" i="552" s="1"/>
  <c r="T123" i="552"/>
  <c r="AH123" i="552" s="1"/>
  <c r="AG122" i="552"/>
  <c r="V122" i="552"/>
  <c r="U122" i="552"/>
  <c r="AJ122" i="552" s="1"/>
  <c r="AK122" i="552" s="1"/>
  <c r="T122" i="552"/>
  <c r="AH122" i="552" s="1"/>
  <c r="AG121" i="552"/>
  <c r="V121" i="552"/>
  <c r="U121" i="552"/>
  <c r="AJ121" i="552" s="1"/>
  <c r="AK121" i="552" s="1"/>
  <c r="T121" i="552"/>
  <c r="AH121" i="552" s="1"/>
  <c r="AG120" i="552"/>
  <c r="V120" i="552"/>
  <c r="U120" i="552"/>
  <c r="AJ120" i="552" s="1"/>
  <c r="AK120" i="552" s="1"/>
  <c r="T120" i="552"/>
  <c r="AH120" i="552" s="1"/>
  <c r="AG119" i="552"/>
  <c r="V119" i="552"/>
  <c r="U119" i="552"/>
  <c r="AJ119" i="552" s="1"/>
  <c r="AK119" i="552" s="1"/>
  <c r="T119" i="552"/>
  <c r="AH119" i="552" s="1"/>
  <c r="AG118" i="552"/>
  <c r="V118" i="552"/>
  <c r="U118" i="552"/>
  <c r="AJ118" i="552" s="1"/>
  <c r="AK118" i="552" s="1"/>
  <c r="T118" i="552"/>
  <c r="AH118" i="552" s="1"/>
  <c r="AG117" i="552"/>
  <c r="V117" i="552"/>
  <c r="U117" i="552"/>
  <c r="AJ117" i="552" s="1"/>
  <c r="AK117" i="552" s="1"/>
  <c r="T117" i="552"/>
  <c r="AH117" i="552" s="1"/>
  <c r="AG116" i="552"/>
  <c r="V116" i="552"/>
  <c r="U116" i="552"/>
  <c r="AJ116" i="552" s="1"/>
  <c r="AK116" i="552" s="1"/>
  <c r="T116" i="552"/>
  <c r="AH116" i="552" s="1"/>
  <c r="AG115" i="552"/>
  <c r="V115" i="552"/>
  <c r="U115" i="552"/>
  <c r="AJ115" i="552" s="1"/>
  <c r="AK115" i="552" s="1"/>
  <c r="T115" i="552"/>
  <c r="AH115" i="552" s="1"/>
  <c r="AG114" i="552"/>
  <c r="V114" i="552"/>
  <c r="U114" i="552"/>
  <c r="AJ114" i="552" s="1"/>
  <c r="AK114" i="552" s="1"/>
  <c r="T114" i="552"/>
  <c r="AH114" i="552" s="1"/>
  <c r="AG113" i="552"/>
  <c r="V113" i="552"/>
  <c r="U113" i="552"/>
  <c r="AJ113" i="552" s="1"/>
  <c r="AK113" i="552" s="1"/>
  <c r="T113" i="552"/>
  <c r="AH113" i="552" s="1"/>
  <c r="AG112" i="552"/>
  <c r="V112" i="552"/>
  <c r="U112" i="552"/>
  <c r="AJ112" i="552" s="1"/>
  <c r="AK112" i="552" s="1"/>
  <c r="T112" i="552"/>
  <c r="AH112" i="552" s="1"/>
  <c r="AG111" i="552"/>
  <c r="V111" i="552"/>
  <c r="U111" i="552"/>
  <c r="AJ111" i="552" s="1"/>
  <c r="AK111" i="552" s="1"/>
  <c r="T111" i="552"/>
  <c r="AH111" i="552" s="1"/>
  <c r="AG110" i="552"/>
  <c r="V110" i="552"/>
  <c r="U110" i="552"/>
  <c r="AJ110" i="552" s="1"/>
  <c r="AK110" i="552" s="1"/>
  <c r="T110" i="552"/>
  <c r="AH110" i="552" s="1"/>
  <c r="AG109" i="552"/>
  <c r="V109" i="552"/>
  <c r="U109" i="552"/>
  <c r="AJ109" i="552" s="1"/>
  <c r="AK109" i="552" s="1"/>
  <c r="T109" i="552"/>
  <c r="AH109" i="552" s="1"/>
  <c r="AG108" i="552"/>
  <c r="V108" i="552"/>
  <c r="U108" i="552"/>
  <c r="AJ108" i="552" s="1"/>
  <c r="AK108" i="552" s="1"/>
  <c r="T108" i="552"/>
  <c r="AH108" i="552" s="1"/>
  <c r="AG107" i="552"/>
  <c r="V107" i="552"/>
  <c r="U107" i="552"/>
  <c r="AJ107" i="552" s="1"/>
  <c r="AK107" i="552" s="1"/>
  <c r="T107" i="552"/>
  <c r="AH107" i="552" s="1"/>
  <c r="AG106" i="552"/>
  <c r="V106" i="552"/>
  <c r="U106" i="552"/>
  <c r="AJ106" i="552" s="1"/>
  <c r="AK106" i="552" s="1"/>
  <c r="T106" i="552"/>
  <c r="AH106" i="552" s="1"/>
  <c r="AG105" i="552"/>
  <c r="V105" i="552"/>
  <c r="U105" i="552"/>
  <c r="AJ105" i="552" s="1"/>
  <c r="AK105" i="552" s="1"/>
  <c r="T105" i="552"/>
  <c r="AH105" i="552" s="1"/>
  <c r="AG104" i="552"/>
  <c r="V104" i="552"/>
  <c r="U104" i="552"/>
  <c r="AJ104" i="552" s="1"/>
  <c r="AK104" i="552" s="1"/>
  <c r="T104" i="552"/>
  <c r="AH104" i="552" s="1"/>
  <c r="AG103" i="552"/>
  <c r="V103" i="552"/>
  <c r="U103" i="552"/>
  <c r="AJ103" i="552" s="1"/>
  <c r="AK103" i="552" s="1"/>
  <c r="T103" i="552"/>
  <c r="AH103" i="552" s="1"/>
  <c r="AG102" i="552"/>
  <c r="V102" i="552"/>
  <c r="U102" i="552"/>
  <c r="AJ102" i="552" s="1"/>
  <c r="AK102" i="552" s="1"/>
  <c r="T102" i="552"/>
  <c r="AH102" i="552" s="1"/>
  <c r="AG101" i="552"/>
  <c r="V101" i="552"/>
  <c r="U101" i="552"/>
  <c r="AJ101" i="552" s="1"/>
  <c r="AK101" i="552" s="1"/>
  <c r="T101" i="552"/>
  <c r="AH101" i="552" s="1"/>
  <c r="AG100" i="552"/>
  <c r="V100" i="552"/>
  <c r="U100" i="552"/>
  <c r="AJ100" i="552" s="1"/>
  <c r="AK100" i="552" s="1"/>
  <c r="T100" i="552"/>
  <c r="AH100" i="552" s="1"/>
  <c r="AG99" i="552"/>
  <c r="V99" i="552"/>
  <c r="U99" i="552"/>
  <c r="AJ99" i="552" s="1"/>
  <c r="AK99" i="552" s="1"/>
  <c r="T99" i="552"/>
  <c r="AH99" i="552" s="1"/>
  <c r="AG98" i="552"/>
  <c r="V98" i="552"/>
  <c r="U98" i="552"/>
  <c r="AJ98" i="552" s="1"/>
  <c r="AK98" i="552" s="1"/>
  <c r="T98" i="552"/>
  <c r="AH98" i="552" s="1"/>
  <c r="AG97" i="552"/>
  <c r="V97" i="552"/>
  <c r="U97" i="552"/>
  <c r="AJ97" i="552" s="1"/>
  <c r="AK97" i="552" s="1"/>
  <c r="T97" i="552"/>
  <c r="AH97" i="552" s="1"/>
  <c r="AG96" i="552"/>
  <c r="V96" i="552"/>
  <c r="U96" i="552"/>
  <c r="AJ96" i="552" s="1"/>
  <c r="AK96" i="552" s="1"/>
  <c r="T96" i="552"/>
  <c r="AH96" i="552" s="1"/>
  <c r="AG95" i="552"/>
  <c r="V95" i="552"/>
  <c r="U95" i="552"/>
  <c r="AJ95" i="552" s="1"/>
  <c r="AK95" i="552" s="1"/>
  <c r="T95" i="552"/>
  <c r="AH95" i="552" s="1"/>
  <c r="AG94" i="552"/>
  <c r="V94" i="552"/>
  <c r="U94" i="552"/>
  <c r="AJ94" i="552" s="1"/>
  <c r="AK94" i="552" s="1"/>
  <c r="T94" i="552"/>
  <c r="AH94" i="552" s="1"/>
  <c r="AG93" i="552"/>
  <c r="V93" i="552"/>
  <c r="U93" i="552"/>
  <c r="AJ93" i="552" s="1"/>
  <c r="AK93" i="552" s="1"/>
  <c r="T93" i="552"/>
  <c r="AH93" i="552" s="1"/>
  <c r="AG92" i="552"/>
  <c r="V92" i="552"/>
  <c r="U92" i="552"/>
  <c r="AJ92" i="552" s="1"/>
  <c r="AK92" i="552" s="1"/>
  <c r="T92" i="552"/>
  <c r="AH92" i="552" s="1"/>
  <c r="AG91" i="552"/>
  <c r="V91" i="552"/>
  <c r="U91" i="552"/>
  <c r="AJ91" i="552" s="1"/>
  <c r="AK91" i="552" s="1"/>
  <c r="T91" i="552"/>
  <c r="AH91" i="552" s="1"/>
  <c r="AG90" i="552"/>
  <c r="V90" i="552"/>
  <c r="U90" i="552"/>
  <c r="AJ90" i="552" s="1"/>
  <c r="AK90" i="552" s="1"/>
  <c r="T90" i="552"/>
  <c r="AH90" i="552" s="1"/>
  <c r="AG89" i="552"/>
  <c r="V89" i="552"/>
  <c r="U89" i="552"/>
  <c r="AJ89" i="552" s="1"/>
  <c r="AK89" i="552" s="1"/>
  <c r="T89" i="552"/>
  <c r="AH89" i="552" s="1"/>
  <c r="AG88" i="552"/>
  <c r="V88" i="552"/>
  <c r="U88" i="552"/>
  <c r="AJ88" i="552" s="1"/>
  <c r="AK88" i="552" s="1"/>
  <c r="T88" i="552"/>
  <c r="AH88" i="552" s="1"/>
  <c r="AG87" i="552"/>
  <c r="V87" i="552"/>
  <c r="U87" i="552"/>
  <c r="AJ87" i="552" s="1"/>
  <c r="AK87" i="552" s="1"/>
  <c r="T87" i="552"/>
  <c r="AH87" i="552" s="1"/>
  <c r="AG86" i="552"/>
  <c r="V86" i="552"/>
  <c r="U86" i="552"/>
  <c r="AJ86" i="552" s="1"/>
  <c r="AK86" i="552" s="1"/>
  <c r="T86" i="552"/>
  <c r="AH86" i="552" s="1"/>
  <c r="AG85" i="552"/>
  <c r="V85" i="552"/>
  <c r="U85" i="552"/>
  <c r="AJ85" i="552" s="1"/>
  <c r="AK85" i="552" s="1"/>
  <c r="T85" i="552"/>
  <c r="AH85" i="552" s="1"/>
  <c r="AG84" i="552"/>
  <c r="V84" i="552"/>
  <c r="U84" i="552"/>
  <c r="AJ84" i="552" s="1"/>
  <c r="T84" i="552"/>
  <c r="AH84" i="552" s="1"/>
  <c r="AI84" i="552" s="1"/>
  <c r="AG83" i="552"/>
  <c r="V83" i="552"/>
  <c r="U83" i="552"/>
  <c r="AJ83" i="552" s="1"/>
  <c r="AK83" i="552" s="1"/>
  <c r="T83" i="552"/>
  <c r="AH83" i="552" s="1"/>
  <c r="AG82" i="552"/>
  <c r="V82" i="552"/>
  <c r="U82" i="552"/>
  <c r="AJ82" i="552" s="1"/>
  <c r="AK82" i="552" s="1"/>
  <c r="T82" i="552"/>
  <c r="AH82" i="552" s="1"/>
  <c r="AG81" i="552"/>
  <c r="V81" i="552"/>
  <c r="U81" i="552"/>
  <c r="AJ81" i="552" s="1"/>
  <c r="AK81" i="552" s="1"/>
  <c r="T81" i="552"/>
  <c r="AH81" i="552" s="1"/>
  <c r="AG80" i="552"/>
  <c r="V80" i="552"/>
  <c r="U80" i="552"/>
  <c r="AJ80" i="552" s="1"/>
  <c r="AK80" i="552" s="1"/>
  <c r="T80" i="552"/>
  <c r="AH80" i="552" s="1"/>
  <c r="AI80" i="552" s="1"/>
  <c r="AG79" i="552"/>
  <c r="V79" i="552"/>
  <c r="U79" i="552"/>
  <c r="AJ79" i="552" s="1"/>
  <c r="AK79" i="552" s="1"/>
  <c r="T79" i="552"/>
  <c r="AH79" i="552" s="1"/>
  <c r="AG78" i="552"/>
  <c r="V78" i="552"/>
  <c r="U78" i="552"/>
  <c r="AJ78" i="552" s="1"/>
  <c r="AK78" i="552" s="1"/>
  <c r="T78" i="552"/>
  <c r="AH78" i="552" s="1"/>
  <c r="AG77" i="552"/>
  <c r="V77" i="552"/>
  <c r="U77" i="552"/>
  <c r="AJ77" i="552" s="1"/>
  <c r="AK77" i="552" s="1"/>
  <c r="T77" i="552"/>
  <c r="AH77" i="552" s="1"/>
  <c r="AG76" i="552"/>
  <c r="V76" i="552"/>
  <c r="U76" i="552"/>
  <c r="AJ76" i="552" s="1"/>
  <c r="AK76" i="552" s="1"/>
  <c r="T76" i="552"/>
  <c r="AH76" i="552" s="1"/>
  <c r="AI76" i="552" s="1"/>
  <c r="AG75" i="552"/>
  <c r="V75" i="552"/>
  <c r="U75" i="552"/>
  <c r="AJ75" i="552" s="1"/>
  <c r="AK75" i="552" s="1"/>
  <c r="T75" i="552"/>
  <c r="AH75" i="552" s="1"/>
  <c r="AG74" i="552"/>
  <c r="V74" i="552"/>
  <c r="U74" i="552"/>
  <c r="AJ74" i="552" s="1"/>
  <c r="AK74" i="552" s="1"/>
  <c r="T74" i="552"/>
  <c r="AH74" i="552" s="1"/>
  <c r="AG73" i="552"/>
  <c r="V73" i="552"/>
  <c r="U73" i="552"/>
  <c r="AJ73" i="552" s="1"/>
  <c r="AK73" i="552" s="1"/>
  <c r="T73" i="552"/>
  <c r="AH73" i="552" s="1"/>
  <c r="AG72" i="552"/>
  <c r="V72" i="552"/>
  <c r="U72" i="552"/>
  <c r="AJ72" i="552" s="1"/>
  <c r="AK72" i="552" s="1"/>
  <c r="T72" i="552"/>
  <c r="AH72" i="552" s="1"/>
  <c r="AG71" i="552"/>
  <c r="V71" i="552"/>
  <c r="U71" i="552"/>
  <c r="AJ71" i="552" s="1"/>
  <c r="AK71" i="552" s="1"/>
  <c r="T71" i="552"/>
  <c r="AH71" i="552" s="1"/>
  <c r="AG70" i="552"/>
  <c r="V70" i="552"/>
  <c r="U70" i="552"/>
  <c r="AJ70" i="552" s="1"/>
  <c r="AK70" i="552" s="1"/>
  <c r="T70" i="552"/>
  <c r="AH70" i="552" s="1"/>
  <c r="AG69" i="552"/>
  <c r="V69" i="552"/>
  <c r="U69" i="552"/>
  <c r="AJ69" i="552" s="1"/>
  <c r="AK69" i="552" s="1"/>
  <c r="T69" i="552"/>
  <c r="AH69" i="552" s="1"/>
  <c r="AG68" i="552"/>
  <c r="V68" i="552"/>
  <c r="U68" i="552"/>
  <c r="AJ68" i="552" s="1"/>
  <c r="AK68" i="552" s="1"/>
  <c r="T68" i="552"/>
  <c r="AH68" i="552" s="1"/>
  <c r="AG67" i="552"/>
  <c r="V67" i="552"/>
  <c r="U67" i="552"/>
  <c r="AJ67" i="552" s="1"/>
  <c r="AK67" i="552" s="1"/>
  <c r="T67" i="552"/>
  <c r="AH67" i="552" s="1"/>
  <c r="AG66" i="552"/>
  <c r="V66" i="552"/>
  <c r="U66" i="552"/>
  <c r="AJ66" i="552" s="1"/>
  <c r="AK66" i="552" s="1"/>
  <c r="T66" i="552"/>
  <c r="AH66" i="552" s="1"/>
  <c r="AG65" i="552"/>
  <c r="V65" i="552"/>
  <c r="U65" i="552"/>
  <c r="AJ65" i="552" s="1"/>
  <c r="AK65" i="552" s="1"/>
  <c r="T65" i="552"/>
  <c r="AH65" i="552" s="1"/>
  <c r="AG64" i="552"/>
  <c r="V64" i="552"/>
  <c r="U64" i="552"/>
  <c r="AJ64" i="552" s="1"/>
  <c r="AK64" i="552" s="1"/>
  <c r="T64" i="552"/>
  <c r="AH64" i="552" s="1"/>
  <c r="AG63" i="552"/>
  <c r="V63" i="552"/>
  <c r="U63" i="552"/>
  <c r="AJ63" i="552" s="1"/>
  <c r="AK63" i="552" s="1"/>
  <c r="T63" i="552"/>
  <c r="AH63" i="552" s="1"/>
  <c r="AG62" i="552"/>
  <c r="V62" i="552"/>
  <c r="U62" i="552"/>
  <c r="AJ62" i="552" s="1"/>
  <c r="AK62" i="552" s="1"/>
  <c r="T62" i="552"/>
  <c r="AH62" i="552" s="1"/>
  <c r="AG61" i="552"/>
  <c r="V61" i="552"/>
  <c r="U61" i="552"/>
  <c r="AJ61" i="552" s="1"/>
  <c r="AK61" i="552" s="1"/>
  <c r="T61" i="552"/>
  <c r="AH61" i="552" s="1"/>
  <c r="AG60" i="552"/>
  <c r="V60" i="552"/>
  <c r="U60" i="552"/>
  <c r="AJ60" i="552" s="1"/>
  <c r="AK60" i="552" s="1"/>
  <c r="T60" i="552"/>
  <c r="AH60" i="552" s="1"/>
  <c r="AG59" i="552"/>
  <c r="V59" i="552"/>
  <c r="U59" i="552"/>
  <c r="AJ59" i="552" s="1"/>
  <c r="AK59" i="552" s="1"/>
  <c r="T59" i="552"/>
  <c r="AH59" i="552" s="1"/>
  <c r="AG58" i="552"/>
  <c r="V58" i="552"/>
  <c r="U58" i="552"/>
  <c r="AJ58" i="552" s="1"/>
  <c r="AK58" i="552" s="1"/>
  <c r="T58" i="552"/>
  <c r="AH58" i="552" s="1"/>
  <c r="AG57" i="552"/>
  <c r="V57" i="552"/>
  <c r="U57" i="552"/>
  <c r="AJ57" i="552" s="1"/>
  <c r="AK57" i="552" s="1"/>
  <c r="T57" i="552"/>
  <c r="AH57" i="552" s="1"/>
  <c r="AG56" i="552"/>
  <c r="V56" i="552"/>
  <c r="U56" i="552"/>
  <c r="AJ56" i="552" s="1"/>
  <c r="AK56" i="552" s="1"/>
  <c r="T56" i="552"/>
  <c r="AH56" i="552" s="1"/>
  <c r="AG55" i="552"/>
  <c r="V55" i="552"/>
  <c r="U55" i="552"/>
  <c r="AJ55" i="552" s="1"/>
  <c r="AK55" i="552" s="1"/>
  <c r="T55" i="552"/>
  <c r="AH55" i="552" s="1"/>
  <c r="AG54" i="552"/>
  <c r="V54" i="552"/>
  <c r="U54" i="552"/>
  <c r="AJ54" i="552" s="1"/>
  <c r="AK54" i="552" s="1"/>
  <c r="T54" i="552"/>
  <c r="AH54" i="552" s="1"/>
  <c r="AG53" i="552"/>
  <c r="V53" i="552"/>
  <c r="U53" i="552"/>
  <c r="AJ53" i="552" s="1"/>
  <c r="AK53" i="552" s="1"/>
  <c r="T53" i="552"/>
  <c r="AH53" i="552" s="1"/>
  <c r="AG52" i="552"/>
  <c r="V52" i="552"/>
  <c r="U52" i="552"/>
  <c r="AJ52" i="552" s="1"/>
  <c r="AK52" i="552" s="1"/>
  <c r="T52" i="552"/>
  <c r="AH52" i="552" s="1"/>
  <c r="AG51" i="552"/>
  <c r="V51" i="552"/>
  <c r="U51" i="552"/>
  <c r="AJ51" i="552" s="1"/>
  <c r="AK51" i="552" s="1"/>
  <c r="T51" i="552"/>
  <c r="AH51" i="552" s="1"/>
  <c r="AG50" i="552"/>
  <c r="V50" i="552"/>
  <c r="U50" i="552"/>
  <c r="AJ50" i="552" s="1"/>
  <c r="AK50" i="552" s="1"/>
  <c r="T50" i="552"/>
  <c r="AH50" i="552" s="1"/>
  <c r="AG49" i="552"/>
  <c r="V49" i="552"/>
  <c r="U49" i="552"/>
  <c r="AJ49" i="552" s="1"/>
  <c r="AK49" i="552" s="1"/>
  <c r="T49" i="552"/>
  <c r="AH49" i="552" s="1"/>
  <c r="AG48" i="552"/>
  <c r="V48" i="552"/>
  <c r="U48" i="552"/>
  <c r="AJ48" i="552" s="1"/>
  <c r="AK48" i="552" s="1"/>
  <c r="T48" i="552"/>
  <c r="AH48" i="552" s="1"/>
  <c r="AG47" i="552"/>
  <c r="V47" i="552"/>
  <c r="U47" i="552"/>
  <c r="AJ47" i="552" s="1"/>
  <c r="AK47" i="552" s="1"/>
  <c r="T47" i="552"/>
  <c r="AH47" i="552" s="1"/>
  <c r="AG46" i="552"/>
  <c r="V46" i="552"/>
  <c r="U46" i="552"/>
  <c r="AJ46" i="552" s="1"/>
  <c r="AK46" i="552" s="1"/>
  <c r="T46" i="552"/>
  <c r="AH46" i="552" s="1"/>
  <c r="AG45" i="552"/>
  <c r="V45" i="552"/>
  <c r="U45" i="552"/>
  <c r="AJ45" i="552" s="1"/>
  <c r="AK45" i="552" s="1"/>
  <c r="T45" i="552"/>
  <c r="AH45" i="552" s="1"/>
  <c r="AG44" i="552"/>
  <c r="V44" i="552"/>
  <c r="U44" i="552"/>
  <c r="AJ44" i="552" s="1"/>
  <c r="AK44" i="552" s="1"/>
  <c r="T44" i="552"/>
  <c r="AH44" i="552" s="1"/>
  <c r="AG43" i="552"/>
  <c r="V43" i="552"/>
  <c r="U43" i="552"/>
  <c r="AJ43" i="552" s="1"/>
  <c r="AK43" i="552" s="1"/>
  <c r="T43" i="552"/>
  <c r="AH43" i="552" s="1"/>
  <c r="AG42" i="552"/>
  <c r="V42" i="552"/>
  <c r="U42" i="552"/>
  <c r="AJ42" i="552" s="1"/>
  <c r="AK42" i="552" s="1"/>
  <c r="T42" i="552"/>
  <c r="AH42" i="552" s="1"/>
  <c r="AG41" i="552"/>
  <c r="V41" i="552"/>
  <c r="U41" i="552"/>
  <c r="AJ41" i="552" s="1"/>
  <c r="AK41" i="552" s="1"/>
  <c r="T41" i="552"/>
  <c r="AH41" i="552" s="1"/>
  <c r="AG40" i="552"/>
  <c r="V40" i="552"/>
  <c r="U40" i="552"/>
  <c r="AJ40" i="552" s="1"/>
  <c r="AK40" i="552" s="1"/>
  <c r="T40" i="552"/>
  <c r="AH40" i="552" s="1"/>
  <c r="AG39" i="552"/>
  <c r="V39" i="552"/>
  <c r="U39" i="552"/>
  <c r="AJ39" i="552" s="1"/>
  <c r="AK39" i="552" s="1"/>
  <c r="T39" i="552"/>
  <c r="AH39" i="552" s="1"/>
  <c r="AG38" i="552"/>
  <c r="V38" i="552"/>
  <c r="U38" i="552"/>
  <c r="AJ38" i="552" s="1"/>
  <c r="AK38" i="552" s="1"/>
  <c r="T38" i="552"/>
  <c r="AH38" i="552" s="1"/>
  <c r="AG37" i="552"/>
  <c r="V37" i="552"/>
  <c r="U37" i="552"/>
  <c r="AJ37" i="552" s="1"/>
  <c r="AK37" i="552" s="1"/>
  <c r="T37" i="552"/>
  <c r="AH37" i="552" s="1"/>
  <c r="T35" i="552"/>
  <c r="AH35" i="552" s="1"/>
  <c r="S35" i="552"/>
  <c r="AF35" i="552" s="1"/>
  <c r="T34" i="552"/>
  <c r="AH34" i="552" s="1"/>
  <c r="S34" i="552"/>
  <c r="AF34" i="552" s="1"/>
  <c r="T33" i="552"/>
  <c r="AH33" i="552" s="1"/>
  <c r="S33" i="552"/>
  <c r="AF33" i="552" s="1"/>
  <c r="AG32" i="552"/>
  <c r="V32" i="552"/>
  <c r="U32" i="552"/>
  <c r="T32" i="552"/>
  <c r="T31" i="552"/>
  <c r="AH31" i="552" s="1"/>
  <c r="S31" i="552"/>
  <c r="AF31" i="552" s="1"/>
  <c r="AG31" i="552" s="1"/>
  <c r="T30" i="552"/>
  <c r="AH30" i="552" s="1"/>
  <c r="S30" i="552"/>
  <c r="AF30" i="552" s="1"/>
  <c r="AG30" i="552" s="1"/>
  <c r="T29" i="552"/>
  <c r="AH29" i="552" s="1"/>
  <c r="S29" i="552"/>
  <c r="AF29" i="552" s="1"/>
  <c r="AG29" i="552" s="1"/>
  <c r="T28" i="552"/>
  <c r="AH28" i="552" s="1"/>
  <c r="S28" i="552"/>
  <c r="AF28" i="552" s="1"/>
  <c r="AG28" i="552" s="1"/>
  <c r="AG27" i="552"/>
  <c r="V27" i="552"/>
  <c r="U27" i="552"/>
  <c r="T27" i="552"/>
  <c r="AG18" i="552"/>
  <c r="AF18" i="552"/>
  <c r="V18" i="552"/>
  <c r="U18" i="552"/>
  <c r="T18" i="552"/>
  <c r="AH18" i="552" s="1"/>
  <c r="AI18" i="552" s="1"/>
  <c r="AG17" i="552"/>
  <c r="AF17" i="552"/>
  <c r="V17" i="552"/>
  <c r="U17" i="552"/>
  <c r="T17" i="552"/>
  <c r="AH17" i="552" s="1"/>
  <c r="AI17" i="552" s="1"/>
  <c r="AG16" i="552"/>
  <c r="AF16" i="552"/>
  <c r="V16" i="552"/>
  <c r="U16" i="552"/>
  <c r="T16" i="552"/>
  <c r="AH16" i="552" s="1"/>
  <c r="AI16" i="552" s="1"/>
  <c r="U15" i="552"/>
  <c r="T15" i="552"/>
  <c r="U14" i="552"/>
  <c r="T14" i="552"/>
  <c r="U13" i="552"/>
  <c r="T13" i="552"/>
  <c r="U12" i="552"/>
  <c r="T12" i="552"/>
  <c r="AG11" i="552"/>
  <c r="AF11" i="552"/>
  <c r="V11" i="552"/>
  <c r="U11" i="552"/>
  <c r="T11" i="552"/>
  <c r="AH11" i="552" s="1"/>
  <c r="AI11" i="552" s="1"/>
  <c r="U10" i="552"/>
  <c r="T10" i="552"/>
  <c r="AG9" i="552"/>
  <c r="AF9" i="552"/>
  <c r="V9" i="552"/>
  <c r="U9" i="552"/>
  <c r="T9" i="552"/>
  <c r="AH9" i="552" s="1"/>
  <c r="O4" i="552"/>
  <c r="I4" i="552"/>
  <c r="G4" i="552"/>
  <c r="AR2" i="552"/>
  <c r="G2" i="552"/>
  <c r="AJ17" i="552" l="1"/>
  <c r="AJ11" i="552"/>
  <c r="AJ18" i="552"/>
  <c r="AK18" i="552" s="1"/>
  <c r="AM18" i="552" s="1"/>
  <c r="AH32" i="552"/>
  <c r="AI32" i="552" s="1"/>
  <c r="AL72" i="552"/>
  <c r="AJ9" i="552"/>
  <c r="AK9" i="552" s="1"/>
  <c r="AM80" i="552"/>
  <c r="AK84" i="552"/>
  <c r="AM84" i="552" s="1"/>
  <c r="AL84" i="552"/>
  <c r="AI9" i="552"/>
  <c r="AM9" i="552" s="1"/>
  <c r="AJ34" i="552"/>
  <c r="AL80" i="552"/>
  <c r="AM76" i="552"/>
  <c r="AJ16" i="552"/>
  <c r="AK16" i="552" s="1"/>
  <c r="AM16" i="552" s="1"/>
  <c r="AL76" i="552"/>
  <c r="AI38" i="552"/>
  <c r="AM38" i="552" s="1"/>
  <c r="AL38" i="552"/>
  <c r="AI50" i="552"/>
  <c r="AM50" i="552" s="1"/>
  <c r="AL50" i="552"/>
  <c r="AI62" i="552"/>
  <c r="AM62" i="552" s="1"/>
  <c r="AL62" i="552"/>
  <c r="AI78" i="552"/>
  <c r="AM78" i="552" s="1"/>
  <c r="AL78" i="552"/>
  <c r="AI40" i="552"/>
  <c r="AM40" i="552" s="1"/>
  <c r="AL40" i="552"/>
  <c r="AI48" i="552"/>
  <c r="AM48" i="552" s="1"/>
  <c r="AL48" i="552"/>
  <c r="AI52" i="552"/>
  <c r="AM52" i="552" s="1"/>
  <c r="AL52" i="552"/>
  <c r="AI56" i="552"/>
  <c r="AM56" i="552" s="1"/>
  <c r="AL56" i="552"/>
  <c r="AI60" i="552"/>
  <c r="AM60" i="552" s="1"/>
  <c r="AL60" i="552"/>
  <c r="AI64" i="552"/>
  <c r="AM64" i="552" s="1"/>
  <c r="AL64" i="552"/>
  <c r="AK17" i="552"/>
  <c r="AL17" i="552"/>
  <c r="AI37" i="552"/>
  <c r="AM37" i="552" s="1"/>
  <c r="AL37" i="552"/>
  <c r="AI41" i="552"/>
  <c r="AM41" i="552" s="1"/>
  <c r="AL41" i="552"/>
  <c r="AI74" i="552"/>
  <c r="AM74" i="552" s="1"/>
  <c r="AL74" i="552"/>
  <c r="AI46" i="552"/>
  <c r="AM46" i="552" s="1"/>
  <c r="AL46" i="552"/>
  <c r="AI54" i="552"/>
  <c r="AM54" i="552" s="1"/>
  <c r="AL54" i="552"/>
  <c r="AI39" i="552"/>
  <c r="AM39" i="552" s="1"/>
  <c r="AL39" i="552"/>
  <c r="AI43" i="552"/>
  <c r="AM43" i="552" s="1"/>
  <c r="AL43" i="552"/>
  <c r="AI73" i="552"/>
  <c r="AM73" i="552" s="1"/>
  <c r="AL73" i="552"/>
  <c r="AI82" i="552"/>
  <c r="AM82" i="552" s="1"/>
  <c r="AL82" i="552"/>
  <c r="AI42" i="552"/>
  <c r="AM42" i="552" s="1"/>
  <c r="AL42" i="552"/>
  <c r="AI58" i="552"/>
  <c r="AM58" i="552" s="1"/>
  <c r="AL58" i="552"/>
  <c r="AI66" i="552"/>
  <c r="AM66" i="552" s="1"/>
  <c r="AL66" i="552"/>
  <c r="AK11" i="552"/>
  <c r="AM11" i="552" s="1"/>
  <c r="AL11" i="552"/>
  <c r="AI44" i="552"/>
  <c r="AM44" i="552" s="1"/>
  <c r="AL44" i="552"/>
  <c r="AI68" i="552"/>
  <c r="AM68" i="552" s="1"/>
  <c r="AL68" i="552"/>
  <c r="AM17" i="552"/>
  <c r="AJ27" i="552"/>
  <c r="AK27" i="552" s="1"/>
  <c r="AJ35" i="552"/>
  <c r="AI71" i="552"/>
  <c r="AM71" i="552" s="1"/>
  <c r="AL71" i="552"/>
  <c r="AI81" i="552"/>
  <c r="AM81" i="552" s="1"/>
  <c r="AL81" i="552"/>
  <c r="AI87" i="552"/>
  <c r="AM87" i="552" s="1"/>
  <c r="AL87" i="552"/>
  <c r="AI91" i="552"/>
  <c r="AM91" i="552" s="1"/>
  <c r="AL91" i="552"/>
  <c r="AI72" i="552"/>
  <c r="AM72" i="552" s="1"/>
  <c r="AI79" i="552"/>
  <c r="AM79" i="552" s="1"/>
  <c r="AL79" i="552"/>
  <c r="AL88" i="552"/>
  <c r="AI88" i="552"/>
  <c r="AM88" i="552" s="1"/>
  <c r="AL92" i="552"/>
  <c r="AI92" i="552"/>
  <c r="AM92" i="552" s="1"/>
  <c r="AL96" i="552"/>
  <c r="AI96" i="552"/>
  <c r="AM96" i="552" s="1"/>
  <c r="AL100" i="552"/>
  <c r="AI100" i="552"/>
  <c r="AM100" i="552" s="1"/>
  <c r="AL104" i="552"/>
  <c r="AI104" i="552"/>
  <c r="AM104" i="552" s="1"/>
  <c r="AL108" i="552"/>
  <c r="AI108" i="552"/>
  <c r="AM108" i="552" s="1"/>
  <c r="AI111" i="552"/>
  <c r="AM111" i="552" s="1"/>
  <c r="AL111" i="552"/>
  <c r="AI112" i="552"/>
  <c r="AM112" i="552" s="1"/>
  <c r="AL112" i="552"/>
  <c r="AI113" i="552"/>
  <c r="AM113" i="552" s="1"/>
  <c r="AL113" i="552"/>
  <c r="AI116" i="552"/>
  <c r="AM116" i="552" s="1"/>
  <c r="AL116" i="552"/>
  <c r="AI120" i="552"/>
  <c r="AM120" i="552" s="1"/>
  <c r="AL120" i="552"/>
  <c r="AI124" i="552"/>
  <c r="AM124" i="552" s="1"/>
  <c r="AL124" i="552"/>
  <c r="AI128" i="552"/>
  <c r="AM128" i="552" s="1"/>
  <c r="AL128" i="552"/>
  <c r="AI132" i="552"/>
  <c r="AM132" i="552" s="1"/>
  <c r="AL132" i="552"/>
  <c r="AI136" i="552"/>
  <c r="AM136" i="552" s="1"/>
  <c r="AL136" i="552"/>
  <c r="AI140" i="552"/>
  <c r="AM140" i="552" s="1"/>
  <c r="AL140" i="552"/>
  <c r="AI144" i="552"/>
  <c r="AM144" i="552" s="1"/>
  <c r="AL144" i="552"/>
  <c r="AL18" i="552"/>
  <c r="AH27" i="552"/>
  <c r="AJ32" i="552"/>
  <c r="AK32" i="552" s="1"/>
  <c r="AJ33" i="552"/>
  <c r="AI45" i="552"/>
  <c r="AM45" i="552" s="1"/>
  <c r="AL45" i="552"/>
  <c r="AL47" i="552"/>
  <c r="AI47" i="552"/>
  <c r="AM47" i="552" s="1"/>
  <c r="AL49" i="552"/>
  <c r="AI49" i="552"/>
  <c r="AM49" i="552" s="1"/>
  <c r="AL51" i="552"/>
  <c r="AI51" i="552"/>
  <c r="AM51" i="552" s="1"/>
  <c r="AL53" i="552"/>
  <c r="AI53" i="552"/>
  <c r="AM53" i="552" s="1"/>
  <c r="AL55" i="552"/>
  <c r="AI55" i="552"/>
  <c r="AM55" i="552" s="1"/>
  <c r="AL57" i="552"/>
  <c r="AI57" i="552"/>
  <c r="AM57" i="552" s="1"/>
  <c r="AL59" i="552"/>
  <c r="AI59" i="552"/>
  <c r="AM59" i="552" s="1"/>
  <c r="AL61" i="552"/>
  <c r="AI61" i="552"/>
  <c r="AM61" i="552" s="1"/>
  <c r="AL63" i="552"/>
  <c r="AI63" i="552"/>
  <c r="AM63" i="552" s="1"/>
  <c r="AL65" i="552"/>
  <c r="AI65" i="552"/>
  <c r="AM65" i="552" s="1"/>
  <c r="AL67" i="552"/>
  <c r="AI67" i="552"/>
  <c r="AM67" i="552" s="1"/>
  <c r="AI69" i="552"/>
  <c r="AM69" i="552" s="1"/>
  <c r="AL69" i="552"/>
  <c r="AI77" i="552"/>
  <c r="AM77" i="552" s="1"/>
  <c r="AL77" i="552"/>
  <c r="AI85" i="552"/>
  <c r="AM85" i="552" s="1"/>
  <c r="AL85" i="552"/>
  <c r="AI89" i="552"/>
  <c r="AM89" i="552" s="1"/>
  <c r="AL89" i="552"/>
  <c r="AL70" i="552"/>
  <c r="AI70" i="552"/>
  <c r="AM70" i="552" s="1"/>
  <c r="AI75" i="552"/>
  <c r="AM75" i="552" s="1"/>
  <c r="AL75" i="552"/>
  <c r="AI83" i="552"/>
  <c r="AM83" i="552" s="1"/>
  <c r="AL83" i="552"/>
  <c r="AL86" i="552"/>
  <c r="AI86" i="552"/>
  <c r="AM86" i="552" s="1"/>
  <c r="AL90" i="552"/>
  <c r="AI90" i="552"/>
  <c r="AM90" i="552" s="1"/>
  <c r="AI95" i="552"/>
  <c r="AM95" i="552" s="1"/>
  <c r="AL95" i="552"/>
  <c r="AI99" i="552"/>
  <c r="AM99" i="552" s="1"/>
  <c r="AL99" i="552"/>
  <c r="AI103" i="552"/>
  <c r="AM103" i="552" s="1"/>
  <c r="AL103" i="552"/>
  <c r="AI107" i="552"/>
  <c r="AM107" i="552" s="1"/>
  <c r="AL107" i="552"/>
  <c r="AI115" i="552"/>
  <c r="AM115" i="552" s="1"/>
  <c r="AL115" i="552"/>
  <c r="AI119" i="552"/>
  <c r="AM119" i="552" s="1"/>
  <c r="AL119" i="552"/>
  <c r="AI123" i="552"/>
  <c r="AM123" i="552" s="1"/>
  <c r="AL123" i="552"/>
  <c r="AI127" i="552"/>
  <c r="AM127" i="552" s="1"/>
  <c r="AL127" i="552"/>
  <c r="AI131" i="552"/>
  <c r="AM131" i="552" s="1"/>
  <c r="AL131" i="552"/>
  <c r="AI135" i="552"/>
  <c r="AM135" i="552" s="1"/>
  <c r="AL135" i="552"/>
  <c r="AI139" i="552"/>
  <c r="AM139" i="552" s="1"/>
  <c r="AL139" i="552"/>
  <c r="AI143" i="552"/>
  <c r="AM143" i="552" s="1"/>
  <c r="AL143" i="552"/>
  <c r="AI147" i="552"/>
  <c r="AM147" i="552" s="1"/>
  <c r="AL147" i="552"/>
  <c r="AI93" i="552"/>
  <c r="AM93" i="552" s="1"/>
  <c r="AL93" i="552"/>
  <c r="AI97" i="552"/>
  <c r="AM97" i="552" s="1"/>
  <c r="AL97" i="552"/>
  <c r="AI101" i="552"/>
  <c r="AM101" i="552" s="1"/>
  <c r="AL101" i="552"/>
  <c r="AI105" i="552"/>
  <c r="AM105" i="552" s="1"/>
  <c r="AL105" i="552"/>
  <c r="AI109" i="552"/>
  <c r="AM109" i="552" s="1"/>
  <c r="AL109" i="552"/>
  <c r="AI117" i="552"/>
  <c r="AM117" i="552" s="1"/>
  <c r="AL117" i="552"/>
  <c r="AI121" i="552"/>
  <c r="AM121" i="552" s="1"/>
  <c r="AL121" i="552"/>
  <c r="AI125" i="552"/>
  <c r="AM125" i="552" s="1"/>
  <c r="AL125" i="552"/>
  <c r="AI129" i="552"/>
  <c r="AM129" i="552" s="1"/>
  <c r="AL129" i="552"/>
  <c r="AI133" i="552"/>
  <c r="AM133" i="552" s="1"/>
  <c r="AL133" i="552"/>
  <c r="AI137" i="552"/>
  <c r="AM137" i="552" s="1"/>
  <c r="AL137" i="552"/>
  <c r="AI141" i="552"/>
  <c r="AM141" i="552" s="1"/>
  <c r="AL141" i="552"/>
  <c r="AI145" i="552"/>
  <c r="AM145" i="552" s="1"/>
  <c r="AL145" i="552"/>
  <c r="AL94" i="552"/>
  <c r="AI94" i="552"/>
  <c r="AM94" i="552" s="1"/>
  <c r="AL98" i="552"/>
  <c r="AI98" i="552"/>
  <c r="AM98" i="552" s="1"/>
  <c r="AL102" i="552"/>
  <c r="AI102" i="552"/>
  <c r="AM102" i="552" s="1"/>
  <c r="AL106" i="552"/>
  <c r="AI106" i="552"/>
  <c r="AM106" i="552" s="1"/>
  <c r="AL110" i="552"/>
  <c r="AI110" i="552"/>
  <c r="AM110" i="552" s="1"/>
  <c r="AI114" i="552"/>
  <c r="AM114" i="552" s="1"/>
  <c r="AL114" i="552"/>
  <c r="AI118" i="552"/>
  <c r="AM118" i="552" s="1"/>
  <c r="AL118" i="552"/>
  <c r="AI122" i="552"/>
  <c r="AM122" i="552" s="1"/>
  <c r="AL122" i="552"/>
  <c r="AI126" i="552"/>
  <c r="AM126" i="552" s="1"/>
  <c r="AL126" i="552"/>
  <c r="AI130" i="552"/>
  <c r="AM130" i="552" s="1"/>
  <c r="AL130" i="552"/>
  <c r="AI134" i="552"/>
  <c r="AM134" i="552" s="1"/>
  <c r="AL134" i="552"/>
  <c r="AI138" i="552"/>
  <c r="AM138" i="552" s="1"/>
  <c r="AL138" i="552"/>
  <c r="AI142" i="552"/>
  <c r="AM142" i="552" s="1"/>
  <c r="AL142" i="552"/>
  <c r="AI146" i="552"/>
  <c r="AM146" i="552" s="1"/>
  <c r="AL146" i="552"/>
  <c r="AI151" i="552"/>
  <c r="AM151" i="552" s="1"/>
  <c r="AL151" i="552"/>
  <c r="AI155" i="552"/>
  <c r="AM155" i="552" s="1"/>
  <c r="AL155" i="552"/>
  <c r="AI159" i="552"/>
  <c r="AM159" i="552" s="1"/>
  <c r="AL159" i="552"/>
  <c r="AI163" i="552"/>
  <c r="AM163" i="552" s="1"/>
  <c r="AL163" i="552"/>
  <c r="AI167" i="552"/>
  <c r="AM167" i="552" s="1"/>
  <c r="AL167" i="552"/>
  <c r="AI148" i="552"/>
  <c r="AM148" i="552" s="1"/>
  <c r="AL148" i="552"/>
  <c r="AI152" i="552"/>
  <c r="AM152" i="552" s="1"/>
  <c r="AL152" i="552"/>
  <c r="AI156" i="552"/>
  <c r="AM156" i="552" s="1"/>
  <c r="AL156" i="552"/>
  <c r="AI160" i="552"/>
  <c r="AM160" i="552" s="1"/>
  <c r="AL160" i="552"/>
  <c r="AI164" i="552"/>
  <c r="AM164" i="552" s="1"/>
  <c r="AL164" i="552"/>
  <c r="AI149" i="552"/>
  <c r="AM149" i="552" s="1"/>
  <c r="AL149" i="552"/>
  <c r="AI153" i="552"/>
  <c r="AM153" i="552" s="1"/>
  <c r="AL153" i="552"/>
  <c r="AI157" i="552"/>
  <c r="AM157" i="552" s="1"/>
  <c r="AL157" i="552"/>
  <c r="AI161" i="552"/>
  <c r="AM161" i="552" s="1"/>
  <c r="AL161" i="552"/>
  <c r="AI165" i="552"/>
  <c r="AM165" i="552" s="1"/>
  <c r="AL165" i="552"/>
  <c r="AI150" i="552"/>
  <c r="AM150" i="552" s="1"/>
  <c r="AL150" i="552"/>
  <c r="AI154" i="552"/>
  <c r="AM154" i="552" s="1"/>
  <c r="AL154" i="552"/>
  <c r="AI158" i="552"/>
  <c r="AM158" i="552" s="1"/>
  <c r="AL158" i="552"/>
  <c r="AI162" i="552"/>
  <c r="AM162" i="552" s="1"/>
  <c r="AL162" i="552"/>
  <c r="AI166" i="552"/>
  <c r="AM166" i="552" s="1"/>
  <c r="AL166" i="552"/>
  <c r="AL32" i="552" l="1"/>
  <c r="AM32" i="552"/>
  <c r="AL9" i="552"/>
  <c r="AL16" i="552"/>
  <c r="AL27" i="552"/>
  <c r="AI27" i="552"/>
  <c r="AM27" i="552" s="1"/>
  <c r="AH155" i="551" l="1"/>
  <c r="W155" i="551"/>
  <c r="V155" i="551"/>
  <c r="AK155" i="551" s="1"/>
  <c r="AL155" i="551" s="1"/>
  <c r="U155" i="551"/>
  <c r="AI155" i="551" s="1"/>
  <c r="AH154" i="551"/>
  <c r="W154" i="551"/>
  <c r="V154" i="551"/>
  <c r="AK154" i="551" s="1"/>
  <c r="AL154" i="551" s="1"/>
  <c r="U154" i="551"/>
  <c r="AI154" i="551" s="1"/>
  <c r="AH153" i="551"/>
  <c r="W153" i="551"/>
  <c r="V153" i="551"/>
  <c r="AK153" i="551" s="1"/>
  <c r="AL153" i="551" s="1"/>
  <c r="U153" i="551"/>
  <c r="AI153" i="551" s="1"/>
  <c r="AH152" i="551"/>
  <c r="W152" i="551"/>
  <c r="V152" i="551"/>
  <c r="AK152" i="551" s="1"/>
  <c r="AL152" i="551" s="1"/>
  <c r="U152" i="551"/>
  <c r="AI152" i="551" s="1"/>
  <c r="AH151" i="551"/>
  <c r="W151" i="551"/>
  <c r="V151" i="551"/>
  <c r="AK151" i="551" s="1"/>
  <c r="AL151" i="551" s="1"/>
  <c r="U151" i="551"/>
  <c r="AI151" i="551" s="1"/>
  <c r="AH150" i="551"/>
  <c r="W150" i="551"/>
  <c r="V150" i="551"/>
  <c r="AK150" i="551" s="1"/>
  <c r="AL150" i="551" s="1"/>
  <c r="U150" i="551"/>
  <c r="AI150" i="551" s="1"/>
  <c r="AH149" i="551"/>
  <c r="W149" i="551"/>
  <c r="V149" i="551"/>
  <c r="AK149" i="551" s="1"/>
  <c r="AL149" i="551" s="1"/>
  <c r="U149" i="551"/>
  <c r="AI149" i="551" s="1"/>
  <c r="AH148" i="551"/>
  <c r="W148" i="551"/>
  <c r="V148" i="551"/>
  <c r="AK148" i="551" s="1"/>
  <c r="AL148" i="551" s="1"/>
  <c r="U148" i="551"/>
  <c r="AI148" i="551" s="1"/>
  <c r="AH147" i="551"/>
  <c r="W147" i="551"/>
  <c r="V147" i="551"/>
  <c r="AK147" i="551" s="1"/>
  <c r="AL147" i="551" s="1"/>
  <c r="U147" i="551"/>
  <c r="AI147" i="551" s="1"/>
  <c r="AH146" i="551"/>
  <c r="W146" i="551"/>
  <c r="V146" i="551"/>
  <c r="AK146" i="551" s="1"/>
  <c r="AL146" i="551" s="1"/>
  <c r="U146" i="551"/>
  <c r="AI146" i="551" s="1"/>
  <c r="AH145" i="551"/>
  <c r="W145" i="551"/>
  <c r="V145" i="551"/>
  <c r="AK145" i="551" s="1"/>
  <c r="AL145" i="551" s="1"/>
  <c r="U145" i="551"/>
  <c r="AI145" i="551" s="1"/>
  <c r="AH144" i="551"/>
  <c r="W144" i="551"/>
  <c r="V144" i="551"/>
  <c r="AK144" i="551" s="1"/>
  <c r="AL144" i="551" s="1"/>
  <c r="U144" i="551"/>
  <c r="AI144" i="551" s="1"/>
  <c r="AH143" i="551"/>
  <c r="W143" i="551"/>
  <c r="V143" i="551"/>
  <c r="AK143" i="551" s="1"/>
  <c r="AL143" i="551" s="1"/>
  <c r="U143" i="551"/>
  <c r="AI143" i="551" s="1"/>
  <c r="AH142" i="551"/>
  <c r="W142" i="551"/>
  <c r="V142" i="551"/>
  <c r="AK142" i="551" s="1"/>
  <c r="AL142" i="551" s="1"/>
  <c r="U142" i="551"/>
  <c r="AI142" i="551" s="1"/>
  <c r="AH141" i="551"/>
  <c r="W141" i="551"/>
  <c r="V141" i="551"/>
  <c r="AK141" i="551" s="1"/>
  <c r="AL141" i="551" s="1"/>
  <c r="U141" i="551"/>
  <c r="AI141" i="551" s="1"/>
  <c r="AH140" i="551"/>
  <c r="W140" i="551"/>
  <c r="V140" i="551"/>
  <c r="AK140" i="551" s="1"/>
  <c r="AL140" i="551" s="1"/>
  <c r="U140" i="551"/>
  <c r="AI140" i="551" s="1"/>
  <c r="AH139" i="551"/>
  <c r="W139" i="551"/>
  <c r="V139" i="551"/>
  <c r="AK139" i="551" s="1"/>
  <c r="AL139" i="551" s="1"/>
  <c r="U139" i="551"/>
  <c r="AI139" i="551" s="1"/>
  <c r="AH138" i="551"/>
  <c r="W138" i="551"/>
  <c r="V138" i="551"/>
  <c r="AK138" i="551" s="1"/>
  <c r="AL138" i="551" s="1"/>
  <c r="U138" i="551"/>
  <c r="AI138" i="551" s="1"/>
  <c r="AJ138" i="551" s="1"/>
  <c r="AH137" i="551"/>
  <c r="W137" i="551"/>
  <c r="V137" i="551"/>
  <c r="AK137" i="551" s="1"/>
  <c r="AL137" i="551" s="1"/>
  <c r="U137" i="551"/>
  <c r="AI137" i="551" s="1"/>
  <c r="AH136" i="551"/>
  <c r="W136" i="551"/>
  <c r="V136" i="551"/>
  <c r="AK136" i="551" s="1"/>
  <c r="AL136" i="551" s="1"/>
  <c r="U136" i="551"/>
  <c r="AI136" i="551" s="1"/>
  <c r="AH135" i="551"/>
  <c r="W135" i="551"/>
  <c r="V135" i="551"/>
  <c r="AK135" i="551" s="1"/>
  <c r="AL135" i="551" s="1"/>
  <c r="U135" i="551"/>
  <c r="AI135" i="551" s="1"/>
  <c r="AH134" i="551"/>
  <c r="W134" i="551"/>
  <c r="V134" i="551"/>
  <c r="AK134" i="551" s="1"/>
  <c r="AL134" i="551" s="1"/>
  <c r="U134" i="551"/>
  <c r="AI134" i="551" s="1"/>
  <c r="AJ134" i="551" s="1"/>
  <c r="AH133" i="551"/>
  <c r="W133" i="551"/>
  <c r="V133" i="551"/>
  <c r="AK133" i="551" s="1"/>
  <c r="AL133" i="551" s="1"/>
  <c r="U133" i="551"/>
  <c r="AI133" i="551" s="1"/>
  <c r="AH132" i="551"/>
  <c r="W132" i="551"/>
  <c r="V132" i="551"/>
  <c r="AK132" i="551" s="1"/>
  <c r="AL132" i="551" s="1"/>
  <c r="U132" i="551"/>
  <c r="AI132" i="551" s="1"/>
  <c r="AH131" i="551"/>
  <c r="W131" i="551"/>
  <c r="V131" i="551"/>
  <c r="AK131" i="551" s="1"/>
  <c r="AL131" i="551" s="1"/>
  <c r="U131" i="551"/>
  <c r="AI131" i="551" s="1"/>
  <c r="AH130" i="551"/>
  <c r="W130" i="551"/>
  <c r="V130" i="551"/>
  <c r="AK130" i="551" s="1"/>
  <c r="AL130" i="551" s="1"/>
  <c r="U130" i="551"/>
  <c r="AI130" i="551" s="1"/>
  <c r="AJ130" i="551" s="1"/>
  <c r="AH129" i="551"/>
  <c r="W129" i="551"/>
  <c r="V129" i="551"/>
  <c r="AK129" i="551" s="1"/>
  <c r="AL129" i="551" s="1"/>
  <c r="U129" i="551"/>
  <c r="AI129" i="551" s="1"/>
  <c r="AH128" i="551"/>
  <c r="W128" i="551"/>
  <c r="V128" i="551"/>
  <c r="AK128" i="551" s="1"/>
  <c r="AL128" i="551" s="1"/>
  <c r="U128" i="551"/>
  <c r="AI128" i="551" s="1"/>
  <c r="AH127" i="551"/>
  <c r="W127" i="551"/>
  <c r="V127" i="551"/>
  <c r="AK127" i="551" s="1"/>
  <c r="AL127" i="551" s="1"/>
  <c r="U127" i="551"/>
  <c r="AI127" i="551" s="1"/>
  <c r="AH126" i="551"/>
  <c r="W126" i="551"/>
  <c r="V126" i="551"/>
  <c r="AK126" i="551" s="1"/>
  <c r="AL126" i="551" s="1"/>
  <c r="U126" i="551"/>
  <c r="AI126" i="551" s="1"/>
  <c r="AJ126" i="551" s="1"/>
  <c r="AH125" i="551"/>
  <c r="W125" i="551"/>
  <c r="V125" i="551"/>
  <c r="AK125" i="551" s="1"/>
  <c r="AL125" i="551" s="1"/>
  <c r="U125" i="551"/>
  <c r="AI125" i="551" s="1"/>
  <c r="AH124" i="551"/>
  <c r="W124" i="551"/>
  <c r="V124" i="551"/>
  <c r="AK124" i="551" s="1"/>
  <c r="AL124" i="551" s="1"/>
  <c r="U124" i="551"/>
  <c r="AI124" i="551" s="1"/>
  <c r="AH123" i="551"/>
  <c r="W123" i="551"/>
  <c r="V123" i="551"/>
  <c r="AK123" i="551" s="1"/>
  <c r="AL123" i="551" s="1"/>
  <c r="U123" i="551"/>
  <c r="AI123" i="551" s="1"/>
  <c r="AH122" i="551"/>
  <c r="W122" i="551"/>
  <c r="V122" i="551"/>
  <c r="AK122" i="551" s="1"/>
  <c r="AL122" i="551" s="1"/>
  <c r="U122" i="551"/>
  <c r="AI122" i="551" s="1"/>
  <c r="AJ122" i="551" s="1"/>
  <c r="AH121" i="551"/>
  <c r="W121" i="551"/>
  <c r="V121" i="551"/>
  <c r="AK121" i="551" s="1"/>
  <c r="AL121" i="551" s="1"/>
  <c r="U121" i="551"/>
  <c r="AI121" i="551" s="1"/>
  <c r="AH120" i="551"/>
  <c r="W120" i="551"/>
  <c r="V120" i="551"/>
  <c r="AK120" i="551" s="1"/>
  <c r="AL120" i="551" s="1"/>
  <c r="U120" i="551"/>
  <c r="AI120" i="551" s="1"/>
  <c r="AH119" i="551"/>
  <c r="W119" i="551"/>
  <c r="V119" i="551"/>
  <c r="AK119" i="551" s="1"/>
  <c r="AL119" i="551" s="1"/>
  <c r="U119" i="551"/>
  <c r="AI119" i="551" s="1"/>
  <c r="AH118" i="551"/>
  <c r="W118" i="551"/>
  <c r="V118" i="551"/>
  <c r="AK118" i="551" s="1"/>
  <c r="AL118" i="551" s="1"/>
  <c r="U118" i="551"/>
  <c r="AI118" i="551" s="1"/>
  <c r="AJ118" i="551" s="1"/>
  <c r="AH117" i="551"/>
  <c r="W117" i="551"/>
  <c r="V117" i="551"/>
  <c r="AK117" i="551" s="1"/>
  <c r="AL117" i="551" s="1"/>
  <c r="U117" i="551"/>
  <c r="AI117" i="551" s="1"/>
  <c r="AH116" i="551"/>
  <c r="W116" i="551"/>
  <c r="V116" i="551"/>
  <c r="AK116" i="551" s="1"/>
  <c r="AL116" i="551" s="1"/>
  <c r="U116" i="551"/>
  <c r="AI116" i="551" s="1"/>
  <c r="AH115" i="551"/>
  <c r="W115" i="551"/>
  <c r="V115" i="551"/>
  <c r="AK115" i="551" s="1"/>
  <c r="AL115" i="551" s="1"/>
  <c r="U115" i="551"/>
  <c r="AI115" i="551" s="1"/>
  <c r="AH114" i="551"/>
  <c r="W114" i="551"/>
  <c r="V114" i="551"/>
  <c r="AK114" i="551" s="1"/>
  <c r="AL114" i="551" s="1"/>
  <c r="U114" i="551"/>
  <c r="AI114" i="551" s="1"/>
  <c r="AJ114" i="551" s="1"/>
  <c r="AH113" i="551"/>
  <c r="W113" i="551"/>
  <c r="V113" i="551"/>
  <c r="AK113" i="551" s="1"/>
  <c r="AL113" i="551" s="1"/>
  <c r="U113" i="551"/>
  <c r="AI113" i="551" s="1"/>
  <c r="AH112" i="551"/>
  <c r="W112" i="551"/>
  <c r="V112" i="551"/>
  <c r="AK112" i="551" s="1"/>
  <c r="AL112" i="551" s="1"/>
  <c r="U112" i="551"/>
  <c r="AI112" i="551" s="1"/>
  <c r="AH111" i="551"/>
  <c r="W111" i="551"/>
  <c r="V111" i="551"/>
  <c r="AK111" i="551" s="1"/>
  <c r="AL111" i="551" s="1"/>
  <c r="U111" i="551"/>
  <c r="AI111" i="551" s="1"/>
  <c r="AH110" i="551"/>
  <c r="W110" i="551"/>
  <c r="V110" i="551"/>
  <c r="AK110" i="551" s="1"/>
  <c r="AL110" i="551" s="1"/>
  <c r="U110" i="551"/>
  <c r="AI110" i="551" s="1"/>
  <c r="AJ110" i="551" s="1"/>
  <c r="AH109" i="551"/>
  <c r="W109" i="551"/>
  <c r="V109" i="551"/>
  <c r="AK109" i="551" s="1"/>
  <c r="AL109" i="551" s="1"/>
  <c r="U109" i="551"/>
  <c r="AI109" i="551" s="1"/>
  <c r="AH108" i="551"/>
  <c r="W108" i="551"/>
  <c r="V108" i="551"/>
  <c r="AK108" i="551" s="1"/>
  <c r="AL108" i="551" s="1"/>
  <c r="U108" i="551"/>
  <c r="AI108" i="551" s="1"/>
  <c r="AH107" i="551"/>
  <c r="W107" i="551"/>
  <c r="V107" i="551"/>
  <c r="AK107" i="551" s="1"/>
  <c r="AL107" i="551" s="1"/>
  <c r="U107" i="551"/>
  <c r="AI107" i="551" s="1"/>
  <c r="AH106" i="551"/>
  <c r="W106" i="551"/>
  <c r="V106" i="551"/>
  <c r="AK106" i="551" s="1"/>
  <c r="AL106" i="551" s="1"/>
  <c r="U106" i="551"/>
  <c r="AI106" i="551" s="1"/>
  <c r="AH105" i="551"/>
  <c r="W105" i="551"/>
  <c r="V105" i="551"/>
  <c r="AK105" i="551" s="1"/>
  <c r="AL105" i="551" s="1"/>
  <c r="U105" i="551"/>
  <c r="AI105" i="551" s="1"/>
  <c r="AH104" i="551"/>
  <c r="W104" i="551"/>
  <c r="V104" i="551"/>
  <c r="AK104" i="551" s="1"/>
  <c r="AL104" i="551" s="1"/>
  <c r="U104" i="551"/>
  <c r="AI104" i="551" s="1"/>
  <c r="AJ104" i="551" s="1"/>
  <c r="AH103" i="551"/>
  <c r="W103" i="551"/>
  <c r="V103" i="551"/>
  <c r="AK103" i="551" s="1"/>
  <c r="AL103" i="551" s="1"/>
  <c r="U103" i="551"/>
  <c r="AI103" i="551" s="1"/>
  <c r="AH102" i="551"/>
  <c r="W102" i="551"/>
  <c r="V102" i="551"/>
  <c r="AK102" i="551" s="1"/>
  <c r="AL102" i="551" s="1"/>
  <c r="U102" i="551"/>
  <c r="AI102" i="551" s="1"/>
  <c r="AH101" i="551"/>
  <c r="W101" i="551"/>
  <c r="V101" i="551"/>
  <c r="AK101" i="551" s="1"/>
  <c r="AL101" i="551" s="1"/>
  <c r="U101" i="551"/>
  <c r="AI101" i="551" s="1"/>
  <c r="AH100" i="551"/>
  <c r="W100" i="551"/>
  <c r="V100" i="551"/>
  <c r="AK100" i="551" s="1"/>
  <c r="AL100" i="551" s="1"/>
  <c r="U100" i="551"/>
  <c r="AI100" i="551" s="1"/>
  <c r="AH99" i="551"/>
  <c r="W99" i="551"/>
  <c r="V99" i="551"/>
  <c r="AK99" i="551" s="1"/>
  <c r="AL99" i="551" s="1"/>
  <c r="U99" i="551"/>
  <c r="AI99" i="551" s="1"/>
  <c r="AH98" i="551"/>
  <c r="W98" i="551"/>
  <c r="V98" i="551"/>
  <c r="AK98" i="551" s="1"/>
  <c r="AL98" i="551" s="1"/>
  <c r="U98" i="551"/>
  <c r="AI98" i="551" s="1"/>
  <c r="AH97" i="551"/>
  <c r="W97" i="551"/>
  <c r="V97" i="551"/>
  <c r="AK97" i="551" s="1"/>
  <c r="AL97" i="551" s="1"/>
  <c r="U97" i="551"/>
  <c r="AI97" i="551" s="1"/>
  <c r="AH96" i="551"/>
  <c r="W96" i="551"/>
  <c r="V96" i="551"/>
  <c r="AK96" i="551" s="1"/>
  <c r="AL96" i="551" s="1"/>
  <c r="U96" i="551"/>
  <c r="AI96" i="551" s="1"/>
  <c r="AH95" i="551"/>
  <c r="W95" i="551"/>
  <c r="V95" i="551"/>
  <c r="AK95" i="551" s="1"/>
  <c r="AL95" i="551" s="1"/>
  <c r="U95" i="551"/>
  <c r="AI95" i="551" s="1"/>
  <c r="AH94" i="551"/>
  <c r="W94" i="551"/>
  <c r="V94" i="551"/>
  <c r="AK94" i="551" s="1"/>
  <c r="AL94" i="551" s="1"/>
  <c r="U94" i="551"/>
  <c r="AI94" i="551" s="1"/>
  <c r="AH93" i="551"/>
  <c r="W93" i="551"/>
  <c r="V93" i="551"/>
  <c r="AK93" i="551" s="1"/>
  <c r="AL93" i="551" s="1"/>
  <c r="U93" i="551"/>
  <c r="AI93" i="551" s="1"/>
  <c r="AH92" i="551"/>
  <c r="W92" i="551"/>
  <c r="V92" i="551"/>
  <c r="AK92" i="551" s="1"/>
  <c r="AL92" i="551" s="1"/>
  <c r="U92" i="551"/>
  <c r="AI92" i="551" s="1"/>
  <c r="AH91" i="551"/>
  <c r="W91" i="551"/>
  <c r="V91" i="551"/>
  <c r="AK91" i="551" s="1"/>
  <c r="AL91" i="551" s="1"/>
  <c r="U91" i="551"/>
  <c r="AI91" i="551" s="1"/>
  <c r="AH90" i="551"/>
  <c r="W90" i="551"/>
  <c r="V90" i="551"/>
  <c r="AK90" i="551" s="1"/>
  <c r="AL90" i="551" s="1"/>
  <c r="U90" i="551"/>
  <c r="AI90" i="551" s="1"/>
  <c r="AH89" i="551"/>
  <c r="W89" i="551"/>
  <c r="V89" i="551"/>
  <c r="AK89" i="551" s="1"/>
  <c r="AL89" i="551" s="1"/>
  <c r="U89" i="551"/>
  <c r="AI89" i="551" s="1"/>
  <c r="AH88" i="551"/>
  <c r="W88" i="551"/>
  <c r="V88" i="551"/>
  <c r="AK88" i="551" s="1"/>
  <c r="AL88" i="551" s="1"/>
  <c r="U88" i="551"/>
  <c r="AI88" i="551" s="1"/>
  <c r="AH87" i="551"/>
  <c r="W87" i="551"/>
  <c r="V87" i="551"/>
  <c r="AK87" i="551" s="1"/>
  <c r="AL87" i="551" s="1"/>
  <c r="U87" i="551"/>
  <c r="AI87" i="551" s="1"/>
  <c r="AH86" i="551"/>
  <c r="W86" i="551"/>
  <c r="V86" i="551"/>
  <c r="AK86" i="551" s="1"/>
  <c r="AL86" i="551" s="1"/>
  <c r="U86" i="551"/>
  <c r="AI86" i="551" s="1"/>
  <c r="AH85" i="551"/>
  <c r="W85" i="551"/>
  <c r="V85" i="551"/>
  <c r="AK85" i="551" s="1"/>
  <c r="AL85" i="551" s="1"/>
  <c r="U85" i="551"/>
  <c r="AI85" i="551" s="1"/>
  <c r="AH84" i="551"/>
  <c r="W84" i="551"/>
  <c r="V84" i="551"/>
  <c r="AK84" i="551" s="1"/>
  <c r="AL84" i="551" s="1"/>
  <c r="U84" i="551"/>
  <c r="AI84" i="551" s="1"/>
  <c r="AH83" i="551"/>
  <c r="W83" i="551"/>
  <c r="V83" i="551"/>
  <c r="AK83" i="551" s="1"/>
  <c r="AL83" i="551" s="1"/>
  <c r="U83" i="551"/>
  <c r="AI83" i="551" s="1"/>
  <c r="AH82" i="551"/>
  <c r="W82" i="551"/>
  <c r="V82" i="551"/>
  <c r="AK82" i="551" s="1"/>
  <c r="AL82" i="551" s="1"/>
  <c r="U82" i="551"/>
  <c r="AI82" i="551" s="1"/>
  <c r="AH81" i="551"/>
  <c r="W81" i="551"/>
  <c r="V81" i="551"/>
  <c r="AK81" i="551" s="1"/>
  <c r="AL81" i="551" s="1"/>
  <c r="U81" i="551"/>
  <c r="AI81" i="551" s="1"/>
  <c r="AH80" i="551"/>
  <c r="W80" i="551"/>
  <c r="V80" i="551"/>
  <c r="AK80" i="551" s="1"/>
  <c r="AL80" i="551" s="1"/>
  <c r="U80" i="551"/>
  <c r="AI80" i="551" s="1"/>
  <c r="AH79" i="551"/>
  <c r="W79" i="551"/>
  <c r="V79" i="551"/>
  <c r="AK79" i="551" s="1"/>
  <c r="AL79" i="551" s="1"/>
  <c r="U79" i="551"/>
  <c r="AI79" i="551" s="1"/>
  <c r="AH78" i="551"/>
  <c r="W78" i="551"/>
  <c r="V78" i="551"/>
  <c r="AK78" i="551" s="1"/>
  <c r="AL78" i="551" s="1"/>
  <c r="U78" i="551"/>
  <c r="AI78" i="551" s="1"/>
  <c r="AH77" i="551"/>
  <c r="W77" i="551"/>
  <c r="V77" i="551"/>
  <c r="AK77" i="551" s="1"/>
  <c r="AL77" i="551" s="1"/>
  <c r="U77" i="551"/>
  <c r="AI77" i="551" s="1"/>
  <c r="AH76" i="551"/>
  <c r="W76" i="551"/>
  <c r="V76" i="551"/>
  <c r="AK76" i="551" s="1"/>
  <c r="AL76" i="551" s="1"/>
  <c r="U76" i="551"/>
  <c r="AI76" i="551" s="1"/>
  <c r="AH75" i="551"/>
  <c r="W75" i="551"/>
  <c r="V75" i="551"/>
  <c r="AK75" i="551" s="1"/>
  <c r="AL75" i="551" s="1"/>
  <c r="U75" i="551"/>
  <c r="AI75" i="551" s="1"/>
  <c r="AH74" i="551"/>
  <c r="W74" i="551"/>
  <c r="V74" i="551"/>
  <c r="AK74" i="551" s="1"/>
  <c r="AL74" i="551" s="1"/>
  <c r="U74" i="551"/>
  <c r="AI74" i="551" s="1"/>
  <c r="AH73" i="551"/>
  <c r="W73" i="551"/>
  <c r="V73" i="551"/>
  <c r="AK73" i="551" s="1"/>
  <c r="AL73" i="551" s="1"/>
  <c r="U73" i="551"/>
  <c r="AI73" i="551" s="1"/>
  <c r="AH72" i="551"/>
  <c r="W72" i="551"/>
  <c r="V72" i="551"/>
  <c r="AK72" i="551" s="1"/>
  <c r="AL72" i="551" s="1"/>
  <c r="U72" i="551"/>
  <c r="AI72" i="551" s="1"/>
  <c r="AH71" i="551"/>
  <c r="W71" i="551"/>
  <c r="V71" i="551"/>
  <c r="AK71" i="551" s="1"/>
  <c r="AL71" i="551" s="1"/>
  <c r="U71" i="551"/>
  <c r="AI71" i="551" s="1"/>
  <c r="AH70" i="551"/>
  <c r="W70" i="551"/>
  <c r="V70" i="551"/>
  <c r="AK70" i="551" s="1"/>
  <c r="AL70" i="551" s="1"/>
  <c r="U70" i="551"/>
  <c r="AI70" i="551" s="1"/>
  <c r="AH69" i="551"/>
  <c r="W69" i="551"/>
  <c r="V69" i="551"/>
  <c r="AK69" i="551" s="1"/>
  <c r="AL69" i="551" s="1"/>
  <c r="U69" i="551"/>
  <c r="AI69" i="551" s="1"/>
  <c r="AH68" i="551"/>
  <c r="W68" i="551"/>
  <c r="V68" i="551"/>
  <c r="AK68" i="551" s="1"/>
  <c r="AL68" i="551" s="1"/>
  <c r="U68" i="551"/>
  <c r="AI68" i="551" s="1"/>
  <c r="AH67" i="551"/>
  <c r="W67" i="551"/>
  <c r="V67" i="551"/>
  <c r="AK67" i="551" s="1"/>
  <c r="AL67" i="551" s="1"/>
  <c r="U67" i="551"/>
  <c r="AI67" i="551" s="1"/>
  <c r="AH66" i="551"/>
  <c r="W66" i="551"/>
  <c r="V66" i="551"/>
  <c r="AK66" i="551" s="1"/>
  <c r="AL66" i="551" s="1"/>
  <c r="U66" i="551"/>
  <c r="AI66" i="551" s="1"/>
  <c r="AH65" i="551"/>
  <c r="W65" i="551"/>
  <c r="V65" i="551"/>
  <c r="AK65" i="551" s="1"/>
  <c r="AL65" i="551" s="1"/>
  <c r="U65" i="551"/>
  <c r="AI65" i="551" s="1"/>
  <c r="AH64" i="551"/>
  <c r="W64" i="551"/>
  <c r="V64" i="551"/>
  <c r="AK64" i="551" s="1"/>
  <c r="AL64" i="551" s="1"/>
  <c r="U64" i="551"/>
  <c r="AI64" i="551" s="1"/>
  <c r="AH63" i="551"/>
  <c r="W63" i="551"/>
  <c r="V63" i="551"/>
  <c r="AK63" i="551" s="1"/>
  <c r="AL63" i="551" s="1"/>
  <c r="U63" i="551"/>
  <c r="AI63" i="551" s="1"/>
  <c r="AH62" i="551"/>
  <c r="W62" i="551"/>
  <c r="V62" i="551"/>
  <c r="AK62" i="551" s="1"/>
  <c r="AL62" i="551" s="1"/>
  <c r="U62" i="551"/>
  <c r="AI62" i="551" s="1"/>
  <c r="AH61" i="551"/>
  <c r="W61" i="551"/>
  <c r="V61" i="551"/>
  <c r="AK61" i="551" s="1"/>
  <c r="AL61" i="551" s="1"/>
  <c r="U61" i="551"/>
  <c r="AI61" i="551" s="1"/>
  <c r="AH60" i="551"/>
  <c r="W60" i="551"/>
  <c r="V60" i="551"/>
  <c r="AK60" i="551" s="1"/>
  <c r="AL60" i="551" s="1"/>
  <c r="U60" i="551"/>
  <c r="AI60" i="551" s="1"/>
  <c r="AH59" i="551"/>
  <c r="W59" i="551"/>
  <c r="V59" i="551"/>
  <c r="AK59" i="551" s="1"/>
  <c r="AL59" i="551" s="1"/>
  <c r="U59" i="551"/>
  <c r="AI59" i="551" s="1"/>
  <c r="AH58" i="551"/>
  <c r="W58" i="551"/>
  <c r="V58" i="551"/>
  <c r="AK58" i="551" s="1"/>
  <c r="AL58" i="551" s="1"/>
  <c r="U58" i="551"/>
  <c r="AI58" i="551" s="1"/>
  <c r="AH57" i="551"/>
  <c r="W57" i="551"/>
  <c r="V57" i="551"/>
  <c r="AK57" i="551" s="1"/>
  <c r="AL57" i="551" s="1"/>
  <c r="U57" i="551"/>
  <c r="AI57" i="551" s="1"/>
  <c r="AH56" i="551"/>
  <c r="W56" i="551"/>
  <c r="V56" i="551"/>
  <c r="AK56" i="551" s="1"/>
  <c r="AL56" i="551" s="1"/>
  <c r="U56" i="551"/>
  <c r="AI56" i="551" s="1"/>
  <c r="AH55" i="551"/>
  <c r="W55" i="551"/>
  <c r="V55" i="551"/>
  <c r="AK55" i="551" s="1"/>
  <c r="AL55" i="551" s="1"/>
  <c r="U55" i="551"/>
  <c r="AI55" i="551" s="1"/>
  <c r="AH54" i="551"/>
  <c r="W54" i="551"/>
  <c r="V54" i="551"/>
  <c r="AK54" i="551" s="1"/>
  <c r="AL54" i="551" s="1"/>
  <c r="U54" i="551"/>
  <c r="AI54" i="551" s="1"/>
  <c r="AH53" i="551"/>
  <c r="W53" i="551"/>
  <c r="V53" i="551"/>
  <c r="AK53" i="551" s="1"/>
  <c r="AL53" i="551" s="1"/>
  <c r="U53" i="551"/>
  <c r="AI53" i="551" s="1"/>
  <c r="AH52" i="551"/>
  <c r="W52" i="551"/>
  <c r="V52" i="551"/>
  <c r="AK52" i="551" s="1"/>
  <c r="AL52" i="551" s="1"/>
  <c r="U52" i="551"/>
  <c r="AI52" i="551" s="1"/>
  <c r="AH51" i="551"/>
  <c r="W51" i="551"/>
  <c r="V51" i="551"/>
  <c r="AK51" i="551" s="1"/>
  <c r="AL51" i="551" s="1"/>
  <c r="U51" i="551"/>
  <c r="AI51" i="551" s="1"/>
  <c r="AH50" i="551"/>
  <c r="W50" i="551"/>
  <c r="V50" i="551"/>
  <c r="AK50" i="551" s="1"/>
  <c r="AL50" i="551" s="1"/>
  <c r="U50" i="551"/>
  <c r="AI50" i="551" s="1"/>
  <c r="AH49" i="551"/>
  <c r="W49" i="551"/>
  <c r="V49" i="551"/>
  <c r="AK49" i="551" s="1"/>
  <c r="AL49" i="551" s="1"/>
  <c r="U49" i="551"/>
  <c r="AI49" i="551" s="1"/>
  <c r="AH48" i="551"/>
  <c r="W48" i="551"/>
  <c r="V48" i="551"/>
  <c r="AK48" i="551" s="1"/>
  <c r="AL48" i="551" s="1"/>
  <c r="U48" i="551"/>
  <c r="AI48" i="551" s="1"/>
  <c r="AH47" i="551"/>
  <c r="W47" i="551"/>
  <c r="V47" i="551"/>
  <c r="AK47" i="551" s="1"/>
  <c r="AL47" i="551" s="1"/>
  <c r="U47" i="551"/>
  <c r="AI47" i="551" s="1"/>
  <c r="AH46" i="551"/>
  <c r="W46" i="551"/>
  <c r="V46" i="551"/>
  <c r="AK46" i="551" s="1"/>
  <c r="AL46" i="551" s="1"/>
  <c r="U46" i="551"/>
  <c r="AI46" i="551" s="1"/>
  <c r="AH45" i="551"/>
  <c r="W45" i="551"/>
  <c r="V45" i="551"/>
  <c r="AK45" i="551" s="1"/>
  <c r="AL45" i="551" s="1"/>
  <c r="U45" i="551"/>
  <c r="AI45" i="551" s="1"/>
  <c r="AH44" i="551"/>
  <c r="W44" i="551"/>
  <c r="V44" i="551"/>
  <c r="AK44" i="551" s="1"/>
  <c r="AL44" i="551" s="1"/>
  <c r="U44" i="551"/>
  <c r="AI44" i="551" s="1"/>
  <c r="AH43" i="551"/>
  <c r="W43" i="551"/>
  <c r="V43" i="551"/>
  <c r="AK43" i="551" s="1"/>
  <c r="AL43" i="551" s="1"/>
  <c r="U43" i="551"/>
  <c r="AI43" i="551" s="1"/>
  <c r="AH42" i="551"/>
  <c r="W42" i="551"/>
  <c r="V42" i="551"/>
  <c r="AK42" i="551" s="1"/>
  <c r="AL42" i="551" s="1"/>
  <c r="U42" i="551"/>
  <c r="AI42" i="551" s="1"/>
  <c r="AH41" i="551"/>
  <c r="W41" i="551"/>
  <c r="V41" i="551"/>
  <c r="AK41" i="551" s="1"/>
  <c r="AL41" i="551" s="1"/>
  <c r="U41" i="551"/>
  <c r="AI41" i="551" s="1"/>
  <c r="AH40" i="551"/>
  <c r="W40" i="551"/>
  <c r="V40" i="551"/>
  <c r="AK40" i="551" s="1"/>
  <c r="AL40" i="551" s="1"/>
  <c r="U40" i="551"/>
  <c r="AI40" i="551" s="1"/>
  <c r="AH39" i="551"/>
  <c r="W39" i="551"/>
  <c r="V39" i="551"/>
  <c r="AK39" i="551" s="1"/>
  <c r="AL39" i="551" s="1"/>
  <c r="U39" i="551"/>
  <c r="AI39" i="551" s="1"/>
  <c r="AH38" i="551"/>
  <c r="W38" i="551"/>
  <c r="V38" i="551"/>
  <c r="AK38" i="551" s="1"/>
  <c r="AL38" i="551" s="1"/>
  <c r="U38" i="551"/>
  <c r="AI38" i="551" s="1"/>
  <c r="AH37" i="551"/>
  <c r="W37" i="551"/>
  <c r="V37" i="551"/>
  <c r="AK37" i="551" s="1"/>
  <c r="AL37" i="551" s="1"/>
  <c r="U37" i="551"/>
  <c r="AI37" i="551" s="1"/>
  <c r="AH36" i="551"/>
  <c r="W36" i="551"/>
  <c r="V36" i="551"/>
  <c r="AK36" i="551" s="1"/>
  <c r="AL36" i="551" s="1"/>
  <c r="U36" i="551"/>
  <c r="AI36" i="551" s="1"/>
  <c r="AH35" i="551"/>
  <c r="W35" i="551"/>
  <c r="V35" i="551"/>
  <c r="AK35" i="551" s="1"/>
  <c r="AL35" i="551" s="1"/>
  <c r="U35" i="551"/>
  <c r="AI35" i="551" s="1"/>
  <c r="AH34" i="551"/>
  <c r="W34" i="551"/>
  <c r="V34" i="551"/>
  <c r="AK34" i="551" s="1"/>
  <c r="AL34" i="551" s="1"/>
  <c r="U34" i="551"/>
  <c r="AI34" i="551" s="1"/>
  <c r="AH33" i="551"/>
  <c r="W33" i="551"/>
  <c r="V33" i="551"/>
  <c r="AK33" i="551" s="1"/>
  <c r="AL33" i="551" s="1"/>
  <c r="U33" i="551"/>
  <c r="AI33" i="551" s="1"/>
  <c r="AH32" i="551"/>
  <c r="W32" i="551"/>
  <c r="V32" i="551"/>
  <c r="AK32" i="551" s="1"/>
  <c r="AL32" i="551" s="1"/>
  <c r="U32" i="551"/>
  <c r="AI32" i="551" s="1"/>
  <c r="AH31" i="551"/>
  <c r="W31" i="551"/>
  <c r="V31" i="551"/>
  <c r="AK31" i="551" s="1"/>
  <c r="AL31" i="551" s="1"/>
  <c r="U31" i="551"/>
  <c r="AI31" i="551" s="1"/>
  <c r="AH30" i="551"/>
  <c r="W30" i="551"/>
  <c r="V30" i="551"/>
  <c r="AK30" i="551" s="1"/>
  <c r="AL30" i="551" s="1"/>
  <c r="U30" i="551"/>
  <c r="AI30" i="551" s="1"/>
  <c r="AH29" i="551"/>
  <c r="W29" i="551"/>
  <c r="V29" i="551"/>
  <c r="AK29" i="551" s="1"/>
  <c r="AL29" i="551" s="1"/>
  <c r="U29" i="551"/>
  <c r="AI29" i="551" s="1"/>
  <c r="AH28" i="551"/>
  <c r="W28" i="551"/>
  <c r="V28" i="551"/>
  <c r="AK28" i="551" s="1"/>
  <c r="AL28" i="551" s="1"/>
  <c r="U28" i="551"/>
  <c r="AI28" i="551" s="1"/>
  <c r="AH27" i="551"/>
  <c r="W27" i="551"/>
  <c r="V27" i="551"/>
  <c r="AK27" i="551" s="1"/>
  <c r="AL27" i="551" s="1"/>
  <c r="U27" i="551"/>
  <c r="AI27" i="551" s="1"/>
  <c r="AH26" i="551"/>
  <c r="W26" i="551"/>
  <c r="V26" i="551"/>
  <c r="AK26" i="551" s="1"/>
  <c r="AL26" i="551" s="1"/>
  <c r="U26" i="551"/>
  <c r="AI26" i="551" s="1"/>
  <c r="AH25" i="551"/>
  <c r="W25" i="551"/>
  <c r="V25" i="551"/>
  <c r="AK25" i="551" s="1"/>
  <c r="AL25" i="551" s="1"/>
  <c r="U25" i="551"/>
  <c r="AI25" i="551" s="1"/>
  <c r="AH24" i="551"/>
  <c r="W24" i="551"/>
  <c r="V24" i="551"/>
  <c r="AK24" i="551" s="1"/>
  <c r="AL24" i="551" s="1"/>
  <c r="U24" i="551"/>
  <c r="AI24" i="551" s="1"/>
  <c r="AH23" i="551"/>
  <c r="W23" i="551"/>
  <c r="V23" i="551"/>
  <c r="AK23" i="551" s="1"/>
  <c r="AL23" i="551" s="1"/>
  <c r="U23" i="551"/>
  <c r="AI23" i="551" s="1"/>
  <c r="AH22" i="551"/>
  <c r="W22" i="551"/>
  <c r="V22" i="551"/>
  <c r="AK22" i="551" s="1"/>
  <c r="AL22" i="551" s="1"/>
  <c r="U22" i="551"/>
  <c r="AI22" i="551" s="1"/>
  <c r="AH21" i="551"/>
  <c r="W21" i="551"/>
  <c r="V21" i="551"/>
  <c r="AK21" i="551" s="1"/>
  <c r="AL21" i="551" s="1"/>
  <c r="U21" i="551"/>
  <c r="AI21" i="551" s="1"/>
  <c r="AH20" i="551"/>
  <c r="W20" i="551"/>
  <c r="V20" i="551"/>
  <c r="AK20" i="551" s="1"/>
  <c r="AL20" i="551" s="1"/>
  <c r="U20" i="551"/>
  <c r="AI20" i="551" s="1"/>
  <c r="AH19" i="551"/>
  <c r="W19" i="551"/>
  <c r="V19" i="551"/>
  <c r="AK19" i="551" s="1"/>
  <c r="AL19" i="551" s="1"/>
  <c r="U19" i="551"/>
  <c r="AI19" i="551" s="1"/>
  <c r="AH18" i="551"/>
  <c r="W18" i="551"/>
  <c r="V18" i="551"/>
  <c r="AK18" i="551" s="1"/>
  <c r="AL18" i="551" s="1"/>
  <c r="U18" i="551"/>
  <c r="AI18" i="551" s="1"/>
  <c r="AH17" i="551"/>
  <c r="W17" i="551"/>
  <c r="V17" i="551"/>
  <c r="AK17" i="551" s="1"/>
  <c r="AL17" i="551" s="1"/>
  <c r="U17" i="551"/>
  <c r="AI17" i="551" s="1"/>
  <c r="AH16" i="551"/>
  <c r="W16" i="551"/>
  <c r="V16" i="551"/>
  <c r="AK16" i="551" s="1"/>
  <c r="AL16" i="551" s="1"/>
  <c r="U16" i="551"/>
  <c r="AI16" i="551" s="1"/>
  <c r="AH15" i="551"/>
  <c r="W15" i="551"/>
  <c r="V15" i="551"/>
  <c r="AK15" i="551" s="1"/>
  <c r="AL15" i="551" s="1"/>
  <c r="U15" i="551"/>
  <c r="AI15" i="551" s="1"/>
  <c r="AH14" i="551"/>
  <c r="V14" i="551"/>
  <c r="AK14" i="551" s="1"/>
  <c r="U14" i="551"/>
  <c r="AI14" i="551" s="1"/>
  <c r="AH13" i="551"/>
  <c r="V13" i="551"/>
  <c r="AK13" i="551" s="1"/>
  <c r="U13" i="551"/>
  <c r="AI13" i="551" s="1"/>
  <c r="AH12" i="551"/>
  <c r="W12" i="551"/>
  <c r="V12" i="551"/>
  <c r="U12" i="551"/>
  <c r="AQ11" i="551"/>
  <c r="AH11" i="551"/>
  <c r="W11" i="551"/>
  <c r="V11" i="551"/>
  <c r="U11" i="551"/>
  <c r="AI11" i="551" s="1"/>
  <c r="AH10" i="551"/>
  <c r="W10" i="551"/>
  <c r="V10" i="551"/>
  <c r="AK10" i="551" s="1"/>
  <c r="AL10" i="551" s="1"/>
  <c r="U10" i="551"/>
  <c r="AI10" i="551" s="1"/>
  <c r="AQ9" i="551"/>
  <c r="AH9" i="551"/>
  <c r="W9" i="551"/>
  <c r="V9" i="551"/>
  <c r="AK9" i="551" s="1"/>
  <c r="AL9" i="551" s="1"/>
  <c r="U9" i="551"/>
  <c r="AI9" i="551" s="1"/>
  <c r="P4" i="551"/>
  <c r="J4" i="551"/>
  <c r="H4" i="551"/>
  <c r="AS2" i="551"/>
  <c r="H2" i="551"/>
  <c r="AI12" i="551" l="1"/>
  <c r="AK12" i="551"/>
  <c r="AL12" i="551" s="1"/>
  <c r="AM148" i="551"/>
  <c r="AN122" i="551"/>
  <c r="AN114" i="551"/>
  <c r="AN130" i="551"/>
  <c r="AM144" i="551"/>
  <c r="AM13" i="551"/>
  <c r="AM108" i="551"/>
  <c r="AM140" i="551"/>
  <c r="AM10" i="551"/>
  <c r="AM14" i="551"/>
  <c r="AN138" i="551"/>
  <c r="AM152" i="551"/>
  <c r="AM100" i="551"/>
  <c r="AN110" i="551"/>
  <c r="AN118" i="551"/>
  <c r="AN126" i="551"/>
  <c r="AN134" i="551"/>
  <c r="AN104" i="551"/>
  <c r="AM142" i="551"/>
  <c r="AM146" i="551"/>
  <c r="AM150" i="551"/>
  <c r="AM154" i="551"/>
  <c r="AJ16" i="551"/>
  <c r="AN16" i="551" s="1"/>
  <c r="AM16" i="551"/>
  <c r="AJ20" i="551"/>
  <c r="AN20" i="551" s="1"/>
  <c r="AM20" i="551"/>
  <c r="AJ28" i="551"/>
  <c r="AN28" i="551" s="1"/>
  <c r="AM28" i="551"/>
  <c r="AJ32" i="551"/>
  <c r="AN32" i="551" s="1"/>
  <c r="AM32" i="551"/>
  <c r="AJ36" i="551"/>
  <c r="AN36" i="551" s="1"/>
  <c r="AM36" i="551"/>
  <c r="AJ12" i="551"/>
  <c r="AJ18" i="551"/>
  <c r="AN18" i="551" s="1"/>
  <c r="AM18" i="551"/>
  <c r="AJ22" i="551"/>
  <c r="AN22" i="551" s="1"/>
  <c r="AM22" i="551"/>
  <c r="AJ26" i="551"/>
  <c r="AN26" i="551" s="1"/>
  <c r="AM26" i="551"/>
  <c r="AJ30" i="551"/>
  <c r="AN30" i="551" s="1"/>
  <c r="AM30" i="551"/>
  <c r="AJ34" i="551"/>
  <c r="AN34" i="551" s="1"/>
  <c r="AM34" i="551"/>
  <c r="AJ38" i="551"/>
  <c r="AN38" i="551" s="1"/>
  <c r="AM38" i="551"/>
  <c r="AM42" i="551"/>
  <c r="AJ42" i="551"/>
  <c r="AN42" i="551" s="1"/>
  <c r="AJ9" i="551"/>
  <c r="AN9" i="551" s="1"/>
  <c r="AM9" i="551"/>
  <c r="AJ40" i="551"/>
  <c r="AN40" i="551" s="1"/>
  <c r="AM40" i="551"/>
  <c r="AJ24" i="551"/>
  <c r="AN24" i="551" s="1"/>
  <c r="AM24" i="551"/>
  <c r="AJ46" i="551"/>
  <c r="AN46" i="551" s="1"/>
  <c r="AM46" i="551"/>
  <c r="AM50" i="551"/>
  <c r="AJ50" i="551"/>
  <c r="AN50" i="551" s="1"/>
  <c r="AM51" i="551"/>
  <c r="AJ51" i="551"/>
  <c r="AN51" i="551" s="1"/>
  <c r="AM58" i="551"/>
  <c r="AJ58" i="551"/>
  <c r="AN58" i="551" s="1"/>
  <c r="AM59" i="551"/>
  <c r="AJ59" i="551"/>
  <c r="AN59" i="551" s="1"/>
  <c r="AJ66" i="551"/>
  <c r="AN66" i="551" s="1"/>
  <c r="AM66" i="551"/>
  <c r="AJ67" i="551"/>
  <c r="AN67" i="551" s="1"/>
  <c r="AM67" i="551"/>
  <c r="AJ71" i="551"/>
  <c r="AN71" i="551" s="1"/>
  <c r="AM71" i="551"/>
  <c r="AJ82" i="551"/>
  <c r="AN82" i="551" s="1"/>
  <c r="AM82" i="551"/>
  <c r="AJ86" i="551"/>
  <c r="AN86" i="551" s="1"/>
  <c r="AM86" i="551"/>
  <c r="AJ90" i="551"/>
  <c r="AN90" i="551" s="1"/>
  <c r="AM90" i="551"/>
  <c r="AJ94" i="551"/>
  <c r="AN94" i="551" s="1"/>
  <c r="AM94" i="551"/>
  <c r="AJ98" i="551"/>
  <c r="AN98" i="551" s="1"/>
  <c r="AM98" i="551"/>
  <c r="AJ11" i="551"/>
  <c r="AM43" i="551"/>
  <c r="AJ43" i="551"/>
  <c r="AN43" i="551" s="1"/>
  <c r="AM47" i="551"/>
  <c r="AJ47" i="551"/>
  <c r="AN47" i="551" s="1"/>
  <c r="AJ52" i="551"/>
  <c r="AN52" i="551" s="1"/>
  <c r="AM52" i="551"/>
  <c r="AM53" i="551"/>
  <c r="AJ53" i="551"/>
  <c r="AN53" i="551" s="1"/>
  <c r="AJ60" i="551"/>
  <c r="AN60" i="551" s="1"/>
  <c r="AM60" i="551"/>
  <c r="AM61" i="551"/>
  <c r="AJ61" i="551"/>
  <c r="AN61" i="551" s="1"/>
  <c r="AJ68" i="551"/>
  <c r="AN68" i="551" s="1"/>
  <c r="AM68" i="551"/>
  <c r="AJ69" i="551"/>
  <c r="AN69" i="551" s="1"/>
  <c r="AM69" i="551"/>
  <c r="AM72" i="551"/>
  <c r="AJ72" i="551"/>
  <c r="AN72" i="551" s="1"/>
  <c r="AJ73" i="551"/>
  <c r="AN73" i="551" s="1"/>
  <c r="AM73" i="551"/>
  <c r="AM78" i="551"/>
  <c r="AJ78" i="551"/>
  <c r="AN78" i="551" s="1"/>
  <c r="AJ83" i="551"/>
  <c r="AN83" i="551" s="1"/>
  <c r="AM83" i="551"/>
  <c r="AJ87" i="551"/>
  <c r="AN87" i="551" s="1"/>
  <c r="AM87" i="551"/>
  <c r="AJ91" i="551"/>
  <c r="AN91" i="551" s="1"/>
  <c r="AM91" i="551"/>
  <c r="AJ95" i="551"/>
  <c r="AN95" i="551" s="1"/>
  <c r="AM95" i="551"/>
  <c r="AM116" i="551"/>
  <c r="AJ116" i="551"/>
  <c r="AN116" i="551" s="1"/>
  <c r="AM124" i="551"/>
  <c r="AJ124" i="551"/>
  <c r="AN124" i="551" s="1"/>
  <c r="AM132" i="551"/>
  <c r="AJ132" i="551"/>
  <c r="AN132" i="551" s="1"/>
  <c r="AK11" i="551"/>
  <c r="AL11" i="551" s="1"/>
  <c r="AJ15" i="551"/>
  <c r="AN15" i="551" s="1"/>
  <c r="AM15" i="551"/>
  <c r="AJ17" i="551"/>
  <c r="AN17" i="551" s="1"/>
  <c r="AM17" i="551"/>
  <c r="AM19" i="551"/>
  <c r="AJ19" i="551"/>
  <c r="AN19" i="551" s="1"/>
  <c r="AJ21" i="551"/>
  <c r="AN21" i="551" s="1"/>
  <c r="AM21" i="551"/>
  <c r="AM23" i="551"/>
  <c r="AJ23" i="551"/>
  <c r="AN23" i="551" s="1"/>
  <c r="AJ25" i="551"/>
  <c r="AN25" i="551" s="1"/>
  <c r="AM25" i="551"/>
  <c r="AJ27" i="551"/>
  <c r="AN27" i="551" s="1"/>
  <c r="AM27" i="551"/>
  <c r="AM29" i="551"/>
  <c r="AJ29" i="551"/>
  <c r="AN29" i="551" s="1"/>
  <c r="AJ31" i="551"/>
  <c r="AN31" i="551" s="1"/>
  <c r="AM31" i="551"/>
  <c r="AJ33" i="551"/>
  <c r="AN33" i="551" s="1"/>
  <c r="AM33" i="551"/>
  <c r="AM35" i="551"/>
  <c r="AJ35" i="551"/>
  <c r="AN35" i="551" s="1"/>
  <c r="AJ37" i="551"/>
  <c r="AN37" i="551" s="1"/>
  <c r="AM37" i="551"/>
  <c r="AM39" i="551"/>
  <c r="AJ39" i="551"/>
  <c r="AN39" i="551" s="1"/>
  <c r="AJ41" i="551"/>
  <c r="AN41" i="551" s="1"/>
  <c r="AM41" i="551"/>
  <c r="AJ44" i="551"/>
  <c r="AN44" i="551" s="1"/>
  <c r="AM44" i="551"/>
  <c r="AJ48" i="551"/>
  <c r="AN48" i="551" s="1"/>
  <c r="AM48" i="551"/>
  <c r="AJ54" i="551"/>
  <c r="AN54" i="551" s="1"/>
  <c r="AM54" i="551"/>
  <c r="AM55" i="551"/>
  <c r="AJ55" i="551"/>
  <c r="AN55" i="551" s="1"/>
  <c r="AJ62" i="551"/>
  <c r="AN62" i="551" s="1"/>
  <c r="AM62" i="551"/>
  <c r="AM63" i="551"/>
  <c r="AJ63" i="551"/>
  <c r="AN63" i="551" s="1"/>
  <c r="AJ74" i="551"/>
  <c r="AN74" i="551" s="1"/>
  <c r="AM74" i="551"/>
  <c r="AJ75" i="551"/>
  <c r="AN75" i="551" s="1"/>
  <c r="AM75" i="551"/>
  <c r="AJ79" i="551"/>
  <c r="AN79" i="551" s="1"/>
  <c r="AM79" i="551"/>
  <c r="AJ84" i="551"/>
  <c r="AN84" i="551" s="1"/>
  <c r="AM84" i="551"/>
  <c r="AJ88" i="551"/>
  <c r="AN88" i="551" s="1"/>
  <c r="AM88" i="551"/>
  <c r="AJ92" i="551"/>
  <c r="AN92" i="551" s="1"/>
  <c r="AM92" i="551"/>
  <c r="AJ96" i="551"/>
  <c r="AN96" i="551" s="1"/>
  <c r="AM96" i="551"/>
  <c r="AJ102" i="551"/>
  <c r="AN102" i="551" s="1"/>
  <c r="AM102" i="551"/>
  <c r="AJ10" i="551"/>
  <c r="AN10" i="551" s="1"/>
  <c r="AM45" i="551"/>
  <c r="AJ45" i="551"/>
  <c r="AN45" i="551" s="1"/>
  <c r="AM49" i="551"/>
  <c r="AJ49" i="551"/>
  <c r="AN49" i="551" s="1"/>
  <c r="AJ56" i="551"/>
  <c r="AN56" i="551" s="1"/>
  <c r="AM56" i="551"/>
  <c r="AM57" i="551"/>
  <c r="AJ57" i="551"/>
  <c r="AN57" i="551" s="1"/>
  <c r="AJ64" i="551"/>
  <c r="AN64" i="551" s="1"/>
  <c r="AM64" i="551"/>
  <c r="AM65" i="551"/>
  <c r="AJ65" i="551"/>
  <c r="AN65" i="551" s="1"/>
  <c r="AM70" i="551"/>
  <c r="AJ70" i="551"/>
  <c r="AN70" i="551" s="1"/>
  <c r="AJ76" i="551"/>
  <c r="AN76" i="551" s="1"/>
  <c r="AM76" i="551"/>
  <c r="AJ77" i="551"/>
  <c r="AN77" i="551" s="1"/>
  <c r="AM77" i="551"/>
  <c r="AM80" i="551"/>
  <c r="AJ80" i="551"/>
  <c r="AN80" i="551" s="1"/>
  <c r="AJ81" i="551"/>
  <c r="AN81" i="551" s="1"/>
  <c r="AM81" i="551"/>
  <c r="AJ85" i="551"/>
  <c r="AN85" i="551" s="1"/>
  <c r="AM85" i="551"/>
  <c r="AJ89" i="551"/>
  <c r="AN89" i="551" s="1"/>
  <c r="AM89" i="551"/>
  <c r="AJ93" i="551"/>
  <c r="AN93" i="551" s="1"/>
  <c r="AM93" i="551"/>
  <c r="AM112" i="551"/>
  <c r="AJ112" i="551"/>
  <c r="AN112" i="551" s="1"/>
  <c r="AM120" i="551"/>
  <c r="AJ120" i="551"/>
  <c r="AN120" i="551" s="1"/>
  <c r="AM128" i="551"/>
  <c r="AJ128" i="551"/>
  <c r="AN128" i="551" s="1"/>
  <c r="AM136" i="551"/>
  <c r="AJ136" i="551"/>
  <c r="AN136" i="551" s="1"/>
  <c r="AM101" i="551"/>
  <c r="AJ101" i="551"/>
  <c r="AN101" i="551" s="1"/>
  <c r="AJ142" i="551"/>
  <c r="AN142" i="551" s="1"/>
  <c r="AJ150" i="551"/>
  <c r="AN150" i="551" s="1"/>
  <c r="AM104" i="551"/>
  <c r="AJ108" i="551"/>
  <c r="AN108" i="551" s="1"/>
  <c r="AJ140" i="551"/>
  <c r="AN140" i="551" s="1"/>
  <c r="AJ148" i="551"/>
  <c r="AN148" i="551" s="1"/>
  <c r="AM97" i="551"/>
  <c r="AJ97" i="551"/>
  <c r="AN97" i="551" s="1"/>
  <c r="AM99" i="551"/>
  <c r="AJ99" i="551"/>
  <c r="AN99" i="551" s="1"/>
  <c r="AJ109" i="551"/>
  <c r="AN109" i="551" s="1"/>
  <c r="AM109" i="551"/>
  <c r="AJ113" i="551"/>
  <c r="AN113" i="551" s="1"/>
  <c r="AM113" i="551"/>
  <c r="AJ117" i="551"/>
  <c r="AN117" i="551" s="1"/>
  <c r="AM117" i="551"/>
  <c r="AJ121" i="551"/>
  <c r="AN121" i="551" s="1"/>
  <c r="AM121" i="551"/>
  <c r="AJ125" i="551"/>
  <c r="AN125" i="551" s="1"/>
  <c r="AM125" i="551"/>
  <c r="AJ129" i="551"/>
  <c r="AN129" i="551" s="1"/>
  <c r="AM129" i="551"/>
  <c r="AJ133" i="551"/>
  <c r="AN133" i="551" s="1"/>
  <c r="AM133" i="551"/>
  <c r="AJ137" i="551"/>
  <c r="AN137" i="551" s="1"/>
  <c r="AM137" i="551"/>
  <c r="AJ146" i="551"/>
  <c r="AN146" i="551" s="1"/>
  <c r="AJ154" i="551"/>
  <c r="AN154" i="551" s="1"/>
  <c r="AJ100" i="551"/>
  <c r="AN100" i="551" s="1"/>
  <c r="AM106" i="551"/>
  <c r="AJ106" i="551"/>
  <c r="AN106" i="551" s="1"/>
  <c r="AM110" i="551"/>
  <c r="AM114" i="551"/>
  <c r="AM118" i="551"/>
  <c r="AM122" i="551"/>
  <c r="AM126" i="551"/>
  <c r="AM130" i="551"/>
  <c r="AM134" i="551"/>
  <c r="AM138" i="551"/>
  <c r="AJ144" i="551"/>
  <c r="AN144" i="551" s="1"/>
  <c r="AJ152" i="551"/>
  <c r="AN152" i="551" s="1"/>
  <c r="AM107" i="551"/>
  <c r="AJ107" i="551"/>
  <c r="AN107" i="551" s="1"/>
  <c r="AM103" i="551"/>
  <c r="AJ103" i="551"/>
  <c r="AN103" i="551" s="1"/>
  <c r="AM105" i="551"/>
  <c r="AJ105" i="551"/>
  <c r="AN105" i="551" s="1"/>
  <c r="AJ111" i="551"/>
  <c r="AN111" i="551" s="1"/>
  <c r="AM111" i="551"/>
  <c r="AJ115" i="551"/>
  <c r="AN115" i="551" s="1"/>
  <c r="AM115" i="551"/>
  <c r="AJ119" i="551"/>
  <c r="AN119" i="551" s="1"/>
  <c r="AM119" i="551"/>
  <c r="AJ123" i="551"/>
  <c r="AN123" i="551" s="1"/>
  <c r="AM123" i="551"/>
  <c r="AJ127" i="551"/>
  <c r="AN127" i="551" s="1"/>
  <c r="AM127" i="551"/>
  <c r="AJ131" i="551"/>
  <c r="AN131" i="551" s="1"/>
  <c r="AM131" i="551"/>
  <c r="AJ135" i="551"/>
  <c r="AN135" i="551" s="1"/>
  <c r="AM135" i="551"/>
  <c r="AJ139" i="551"/>
  <c r="AN139" i="551" s="1"/>
  <c r="AM139" i="551"/>
  <c r="AJ141" i="551"/>
  <c r="AN141" i="551" s="1"/>
  <c r="AM141" i="551"/>
  <c r="AJ143" i="551"/>
  <c r="AN143" i="551" s="1"/>
  <c r="AM143" i="551"/>
  <c r="AJ145" i="551"/>
  <c r="AN145" i="551" s="1"/>
  <c r="AM145" i="551"/>
  <c r="AJ147" i="551"/>
  <c r="AN147" i="551" s="1"/>
  <c r="AM147" i="551"/>
  <c r="AJ149" i="551"/>
  <c r="AN149" i="551" s="1"/>
  <c r="AM149" i="551"/>
  <c r="AJ151" i="551"/>
  <c r="AN151" i="551" s="1"/>
  <c r="AM151" i="551"/>
  <c r="AJ153" i="551"/>
  <c r="AN153" i="551" s="1"/>
  <c r="AM153" i="551"/>
  <c r="AJ155" i="551"/>
  <c r="AN155" i="551" s="1"/>
  <c r="AM155" i="551"/>
  <c r="AN11" i="551" l="1"/>
  <c r="AN12" i="551"/>
  <c r="AM12" i="551"/>
  <c r="AM11" i="551"/>
  <c r="AG167" i="550"/>
  <c r="V167" i="550"/>
  <c r="U167" i="550"/>
  <c r="AJ167" i="550" s="1"/>
  <c r="AK167" i="550" s="1"/>
  <c r="T167" i="550"/>
  <c r="AH167" i="550" s="1"/>
  <c r="AG166" i="550"/>
  <c r="V166" i="550"/>
  <c r="U166" i="550"/>
  <c r="AJ166" i="550" s="1"/>
  <c r="AK166" i="550" s="1"/>
  <c r="T166" i="550"/>
  <c r="AH166" i="550" s="1"/>
  <c r="AG165" i="550"/>
  <c r="V165" i="550"/>
  <c r="U165" i="550"/>
  <c r="AJ165" i="550" s="1"/>
  <c r="AK165" i="550" s="1"/>
  <c r="T165" i="550"/>
  <c r="AH165" i="550" s="1"/>
  <c r="AG164" i="550"/>
  <c r="V164" i="550"/>
  <c r="U164" i="550"/>
  <c r="AJ164" i="550" s="1"/>
  <c r="AK164" i="550" s="1"/>
  <c r="T164" i="550"/>
  <c r="AH164" i="550" s="1"/>
  <c r="AG163" i="550"/>
  <c r="V163" i="550"/>
  <c r="U163" i="550"/>
  <c r="AJ163" i="550" s="1"/>
  <c r="AK163" i="550" s="1"/>
  <c r="T163" i="550"/>
  <c r="AH163" i="550" s="1"/>
  <c r="AG162" i="550"/>
  <c r="V162" i="550"/>
  <c r="U162" i="550"/>
  <c r="AJ162" i="550" s="1"/>
  <c r="AK162" i="550" s="1"/>
  <c r="T162" i="550"/>
  <c r="AH162" i="550" s="1"/>
  <c r="AG161" i="550"/>
  <c r="V161" i="550"/>
  <c r="U161" i="550"/>
  <c r="AJ161" i="550" s="1"/>
  <c r="AK161" i="550" s="1"/>
  <c r="T161" i="550"/>
  <c r="AH161" i="550" s="1"/>
  <c r="AG160" i="550"/>
  <c r="V160" i="550"/>
  <c r="U160" i="550"/>
  <c r="AJ160" i="550" s="1"/>
  <c r="AK160" i="550" s="1"/>
  <c r="T160" i="550"/>
  <c r="AH160" i="550" s="1"/>
  <c r="AG159" i="550"/>
  <c r="V159" i="550"/>
  <c r="U159" i="550"/>
  <c r="AJ159" i="550" s="1"/>
  <c r="AK159" i="550" s="1"/>
  <c r="T159" i="550"/>
  <c r="AH159" i="550" s="1"/>
  <c r="AG158" i="550"/>
  <c r="V158" i="550"/>
  <c r="U158" i="550"/>
  <c r="AJ158" i="550" s="1"/>
  <c r="AK158" i="550" s="1"/>
  <c r="T158" i="550"/>
  <c r="AH158" i="550" s="1"/>
  <c r="AG157" i="550"/>
  <c r="V157" i="550"/>
  <c r="U157" i="550"/>
  <c r="AJ157" i="550" s="1"/>
  <c r="AK157" i="550" s="1"/>
  <c r="T157" i="550"/>
  <c r="AH157" i="550" s="1"/>
  <c r="AG156" i="550"/>
  <c r="V156" i="550"/>
  <c r="U156" i="550"/>
  <c r="AJ156" i="550" s="1"/>
  <c r="AK156" i="550" s="1"/>
  <c r="T156" i="550"/>
  <c r="AH156" i="550" s="1"/>
  <c r="AG155" i="550"/>
  <c r="V155" i="550"/>
  <c r="U155" i="550"/>
  <c r="AJ155" i="550" s="1"/>
  <c r="AK155" i="550" s="1"/>
  <c r="T155" i="550"/>
  <c r="AH155" i="550" s="1"/>
  <c r="AG154" i="550"/>
  <c r="V154" i="550"/>
  <c r="U154" i="550"/>
  <c r="AJ154" i="550" s="1"/>
  <c r="AK154" i="550" s="1"/>
  <c r="T154" i="550"/>
  <c r="AH154" i="550" s="1"/>
  <c r="AG153" i="550"/>
  <c r="V153" i="550"/>
  <c r="U153" i="550"/>
  <c r="AJ153" i="550" s="1"/>
  <c r="AK153" i="550" s="1"/>
  <c r="T153" i="550"/>
  <c r="AH153" i="550" s="1"/>
  <c r="AG152" i="550"/>
  <c r="V152" i="550"/>
  <c r="U152" i="550"/>
  <c r="AJ152" i="550" s="1"/>
  <c r="AK152" i="550" s="1"/>
  <c r="T152" i="550"/>
  <c r="AH152" i="550" s="1"/>
  <c r="AG151" i="550"/>
  <c r="V151" i="550"/>
  <c r="U151" i="550"/>
  <c r="AJ151" i="550" s="1"/>
  <c r="AK151" i="550" s="1"/>
  <c r="T151" i="550"/>
  <c r="AH151" i="550" s="1"/>
  <c r="AG150" i="550"/>
  <c r="V150" i="550"/>
  <c r="U150" i="550"/>
  <c r="AJ150" i="550" s="1"/>
  <c r="AK150" i="550" s="1"/>
  <c r="T150" i="550"/>
  <c r="AH150" i="550" s="1"/>
  <c r="AG149" i="550"/>
  <c r="V149" i="550"/>
  <c r="U149" i="550"/>
  <c r="AJ149" i="550" s="1"/>
  <c r="AK149" i="550" s="1"/>
  <c r="T149" i="550"/>
  <c r="AH149" i="550" s="1"/>
  <c r="AG148" i="550"/>
  <c r="V148" i="550"/>
  <c r="U148" i="550"/>
  <c r="AJ148" i="550" s="1"/>
  <c r="AK148" i="550" s="1"/>
  <c r="T148" i="550"/>
  <c r="AH148" i="550" s="1"/>
  <c r="AG147" i="550"/>
  <c r="V147" i="550"/>
  <c r="U147" i="550"/>
  <c r="AJ147" i="550" s="1"/>
  <c r="AK147" i="550" s="1"/>
  <c r="T147" i="550"/>
  <c r="AH147" i="550" s="1"/>
  <c r="AG146" i="550"/>
  <c r="V146" i="550"/>
  <c r="U146" i="550"/>
  <c r="AJ146" i="550" s="1"/>
  <c r="AK146" i="550" s="1"/>
  <c r="T146" i="550"/>
  <c r="AH146" i="550" s="1"/>
  <c r="AG145" i="550"/>
  <c r="V145" i="550"/>
  <c r="U145" i="550"/>
  <c r="AJ145" i="550" s="1"/>
  <c r="AK145" i="550" s="1"/>
  <c r="T145" i="550"/>
  <c r="AH145" i="550" s="1"/>
  <c r="AG144" i="550"/>
  <c r="V144" i="550"/>
  <c r="U144" i="550"/>
  <c r="AJ144" i="550" s="1"/>
  <c r="AK144" i="550" s="1"/>
  <c r="T144" i="550"/>
  <c r="AH144" i="550" s="1"/>
  <c r="AG143" i="550"/>
  <c r="V143" i="550"/>
  <c r="U143" i="550"/>
  <c r="AJ143" i="550" s="1"/>
  <c r="AK143" i="550" s="1"/>
  <c r="T143" i="550"/>
  <c r="AH143" i="550" s="1"/>
  <c r="AG142" i="550"/>
  <c r="V142" i="550"/>
  <c r="U142" i="550"/>
  <c r="AJ142" i="550" s="1"/>
  <c r="AK142" i="550" s="1"/>
  <c r="T142" i="550"/>
  <c r="AH142" i="550" s="1"/>
  <c r="AG141" i="550"/>
  <c r="V141" i="550"/>
  <c r="U141" i="550"/>
  <c r="AJ141" i="550" s="1"/>
  <c r="AK141" i="550" s="1"/>
  <c r="T141" i="550"/>
  <c r="AH141" i="550" s="1"/>
  <c r="AG140" i="550"/>
  <c r="V140" i="550"/>
  <c r="U140" i="550"/>
  <c r="AJ140" i="550" s="1"/>
  <c r="AK140" i="550" s="1"/>
  <c r="T140" i="550"/>
  <c r="AH140" i="550" s="1"/>
  <c r="AG139" i="550"/>
  <c r="V139" i="550"/>
  <c r="U139" i="550"/>
  <c r="AJ139" i="550" s="1"/>
  <c r="AK139" i="550" s="1"/>
  <c r="T139" i="550"/>
  <c r="AH139" i="550" s="1"/>
  <c r="AG138" i="550"/>
  <c r="V138" i="550"/>
  <c r="U138" i="550"/>
  <c r="AJ138" i="550" s="1"/>
  <c r="AK138" i="550" s="1"/>
  <c r="T138" i="550"/>
  <c r="AH138" i="550" s="1"/>
  <c r="AG137" i="550"/>
  <c r="V137" i="550"/>
  <c r="U137" i="550"/>
  <c r="AJ137" i="550" s="1"/>
  <c r="AK137" i="550" s="1"/>
  <c r="T137" i="550"/>
  <c r="AH137" i="550" s="1"/>
  <c r="AG136" i="550"/>
  <c r="V136" i="550"/>
  <c r="U136" i="550"/>
  <c r="AJ136" i="550" s="1"/>
  <c r="AK136" i="550" s="1"/>
  <c r="T136" i="550"/>
  <c r="AH136" i="550" s="1"/>
  <c r="AG135" i="550"/>
  <c r="V135" i="550"/>
  <c r="U135" i="550"/>
  <c r="AJ135" i="550" s="1"/>
  <c r="AK135" i="550" s="1"/>
  <c r="T135" i="550"/>
  <c r="AH135" i="550" s="1"/>
  <c r="AG134" i="550"/>
  <c r="V134" i="550"/>
  <c r="U134" i="550"/>
  <c r="AJ134" i="550" s="1"/>
  <c r="AK134" i="550" s="1"/>
  <c r="T134" i="550"/>
  <c r="AH134" i="550" s="1"/>
  <c r="AG133" i="550"/>
  <c r="V133" i="550"/>
  <c r="U133" i="550"/>
  <c r="AJ133" i="550" s="1"/>
  <c r="AK133" i="550" s="1"/>
  <c r="T133" i="550"/>
  <c r="AH133" i="550" s="1"/>
  <c r="AG132" i="550"/>
  <c r="V132" i="550"/>
  <c r="U132" i="550"/>
  <c r="AJ132" i="550" s="1"/>
  <c r="AK132" i="550" s="1"/>
  <c r="T132" i="550"/>
  <c r="AH132" i="550" s="1"/>
  <c r="AG131" i="550"/>
  <c r="V131" i="550"/>
  <c r="U131" i="550"/>
  <c r="AJ131" i="550" s="1"/>
  <c r="AK131" i="550" s="1"/>
  <c r="T131" i="550"/>
  <c r="AH131" i="550" s="1"/>
  <c r="AG130" i="550"/>
  <c r="V130" i="550"/>
  <c r="U130" i="550"/>
  <c r="AJ130" i="550" s="1"/>
  <c r="AK130" i="550" s="1"/>
  <c r="T130" i="550"/>
  <c r="AH130" i="550" s="1"/>
  <c r="AG129" i="550"/>
  <c r="V129" i="550"/>
  <c r="U129" i="550"/>
  <c r="AJ129" i="550" s="1"/>
  <c r="AK129" i="550" s="1"/>
  <c r="T129" i="550"/>
  <c r="AH129" i="550" s="1"/>
  <c r="AG128" i="550"/>
  <c r="V128" i="550"/>
  <c r="U128" i="550"/>
  <c r="AJ128" i="550" s="1"/>
  <c r="AK128" i="550" s="1"/>
  <c r="T128" i="550"/>
  <c r="AH128" i="550" s="1"/>
  <c r="AG127" i="550"/>
  <c r="V127" i="550"/>
  <c r="U127" i="550"/>
  <c r="AJ127" i="550" s="1"/>
  <c r="AK127" i="550" s="1"/>
  <c r="T127" i="550"/>
  <c r="AH127" i="550" s="1"/>
  <c r="AG126" i="550"/>
  <c r="V126" i="550"/>
  <c r="U126" i="550"/>
  <c r="AJ126" i="550" s="1"/>
  <c r="AK126" i="550" s="1"/>
  <c r="T126" i="550"/>
  <c r="AH126" i="550" s="1"/>
  <c r="AG125" i="550"/>
  <c r="V125" i="550"/>
  <c r="U125" i="550"/>
  <c r="AJ125" i="550" s="1"/>
  <c r="AK125" i="550" s="1"/>
  <c r="T125" i="550"/>
  <c r="AH125" i="550" s="1"/>
  <c r="AG124" i="550"/>
  <c r="V124" i="550"/>
  <c r="U124" i="550"/>
  <c r="AJ124" i="550" s="1"/>
  <c r="AK124" i="550" s="1"/>
  <c r="T124" i="550"/>
  <c r="AH124" i="550" s="1"/>
  <c r="AG123" i="550"/>
  <c r="V123" i="550"/>
  <c r="U123" i="550"/>
  <c r="AJ123" i="550" s="1"/>
  <c r="AK123" i="550" s="1"/>
  <c r="T123" i="550"/>
  <c r="AH123" i="550" s="1"/>
  <c r="AG122" i="550"/>
  <c r="V122" i="550"/>
  <c r="U122" i="550"/>
  <c r="AJ122" i="550" s="1"/>
  <c r="AK122" i="550" s="1"/>
  <c r="T122" i="550"/>
  <c r="AH122" i="550" s="1"/>
  <c r="AG121" i="550"/>
  <c r="V121" i="550"/>
  <c r="U121" i="550"/>
  <c r="AJ121" i="550" s="1"/>
  <c r="AK121" i="550" s="1"/>
  <c r="T121" i="550"/>
  <c r="AH121" i="550" s="1"/>
  <c r="AG120" i="550"/>
  <c r="V120" i="550"/>
  <c r="U120" i="550"/>
  <c r="AJ120" i="550" s="1"/>
  <c r="AK120" i="550" s="1"/>
  <c r="T120" i="550"/>
  <c r="AH120" i="550" s="1"/>
  <c r="AG119" i="550"/>
  <c r="V119" i="550"/>
  <c r="U119" i="550"/>
  <c r="AJ119" i="550" s="1"/>
  <c r="AK119" i="550" s="1"/>
  <c r="T119" i="550"/>
  <c r="AH119" i="550" s="1"/>
  <c r="AG118" i="550"/>
  <c r="V118" i="550"/>
  <c r="U118" i="550"/>
  <c r="AJ118" i="550" s="1"/>
  <c r="AK118" i="550" s="1"/>
  <c r="T118" i="550"/>
  <c r="AH118" i="550" s="1"/>
  <c r="AG117" i="550"/>
  <c r="V117" i="550"/>
  <c r="U117" i="550"/>
  <c r="AJ117" i="550" s="1"/>
  <c r="AK117" i="550" s="1"/>
  <c r="T117" i="550"/>
  <c r="AH117" i="550" s="1"/>
  <c r="AG116" i="550"/>
  <c r="V116" i="550"/>
  <c r="U116" i="550"/>
  <c r="AJ116" i="550" s="1"/>
  <c r="AK116" i="550" s="1"/>
  <c r="T116" i="550"/>
  <c r="AH116" i="550" s="1"/>
  <c r="AG115" i="550"/>
  <c r="V115" i="550"/>
  <c r="U115" i="550"/>
  <c r="AJ115" i="550" s="1"/>
  <c r="AK115" i="550" s="1"/>
  <c r="T115" i="550"/>
  <c r="AH115" i="550" s="1"/>
  <c r="AG114" i="550"/>
  <c r="V114" i="550"/>
  <c r="U114" i="550"/>
  <c r="AJ114" i="550" s="1"/>
  <c r="AK114" i="550" s="1"/>
  <c r="T114" i="550"/>
  <c r="AH114" i="550" s="1"/>
  <c r="AG113" i="550"/>
  <c r="V113" i="550"/>
  <c r="U113" i="550"/>
  <c r="AJ113" i="550" s="1"/>
  <c r="AK113" i="550" s="1"/>
  <c r="T113" i="550"/>
  <c r="AH113" i="550" s="1"/>
  <c r="AG112" i="550"/>
  <c r="V112" i="550"/>
  <c r="U112" i="550"/>
  <c r="AJ112" i="550" s="1"/>
  <c r="AK112" i="550" s="1"/>
  <c r="T112" i="550"/>
  <c r="AH112" i="550" s="1"/>
  <c r="AG111" i="550"/>
  <c r="V111" i="550"/>
  <c r="U111" i="550"/>
  <c r="AJ111" i="550" s="1"/>
  <c r="AK111" i="550" s="1"/>
  <c r="T111" i="550"/>
  <c r="AH111" i="550" s="1"/>
  <c r="AG110" i="550"/>
  <c r="V110" i="550"/>
  <c r="U110" i="550"/>
  <c r="AJ110" i="550" s="1"/>
  <c r="AK110" i="550" s="1"/>
  <c r="T110" i="550"/>
  <c r="AH110" i="550" s="1"/>
  <c r="AG109" i="550"/>
  <c r="V109" i="550"/>
  <c r="U109" i="550"/>
  <c r="AJ109" i="550" s="1"/>
  <c r="AK109" i="550" s="1"/>
  <c r="T109" i="550"/>
  <c r="AH109" i="550" s="1"/>
  <c r="AG108" i="550"/>
  <c r="V108" i="550"/>
  <c r="U108" i="550"/>
  <c r="AJ108" i="550" s="1"/>
  <c r="AK108" i="550" s="1"/>
  <c r="T108" i="550"/>
  <c r="AH108" i="550" s="1"/>
  <c r="AG107" i="550"/>
  <c r="V107" i="550"/>
  <c r="U107" i="550"/>
  <c r="AJ107" i="550" s="1"/>
  <c r="AK107" i="550" s="1"/>
  <c r="T107" i="550"/>
  <c r="AH107" i="550" s="1"/>
  <c r="AG106" i="550"/>
  <c r="V106" i="550"/>
  <c r="U106" i="550"/>
  <c r="AJ106" i="550" s="1"/>
  <c r="AK106" i="550" s="1"/>
  <c r="T106" i="550"/>
  <c r="AH106" i="550" s="1"/>
  <c r="AG105" i="550"/>
  <c r="V105" i="550"/>
  <c r="U105" i="550"/>
  <c r="AJ105" i="550" s="1"/>
  <c r="AK105" i="550" s="1"/>
  <c r="T105" i="550"/>
  <c r="AH105" i="550" s="1"/>
  <c r="AG104" i="550"/>
  <c r="V104" i="550"/>
  <c r="U104" i="550"/>
  <c r="AJ104" i="550" s="1"/>
  <c r="AK104" i="550" s="1"/>
  <c r="T104" i="550"/>
  <c r="AH104" i="550" s="1"/>
  <c r="AG103" i="550"/>
  <c r="V103" i="550"/>
  <c r="U103" i="550"/>
  <c r="AJ103" i="550" s="1"/>
  <c r="AK103" i="550" s="1"/>
  <c r="T103" i="550"/>
  <c r="AH103" i="550" s="1"/>
  <c r="AG102" i="550"/>
  <c r="V102" i="550"/>
  <c r="U102" i="550"/>
  <c r="AJ102" i="550" s="1"/>
  <c r="AK102" i="550" s="1"/>
  <c r="T102" i="550"/>
  <c r="AH102" i="550" s="1"/>
  <c r="AG101" i="550"/>
  <c r="V101" i="550"/>
  <c r="U101" i="550"/>
  <c r="AJ101" i="550" s="1"/>
  <c r="AK101" i="550" s="1"/>
  <c r="T101" i="550"/>
  <c r="AH101" i="550" s="1"/>
  <c r="AG100" i="550"/>
  <c r="V100" i="550"/>
  <c r="U100" i="550"/>
  <c r="AJ100" i="550" s="1"/>
  <c r="AK100" i="550" s="1"/>
  <c r="T100" i="550"/>
  <c r="AH100" i="550" s="1"/>
  <c r="AG99" i="550"/>
  <c r="V99" i="550"/>
  <c r="U99" i="550"/>
  <c r="AJ99" i="550" s="1"/>
  <c r="AK99" i="550" s="1"/>
  <c r="T99" i="550"/>
  <c r="AH99" i="550" s="1"/>
  <c r="AG98" i="550"/>
  <c r="V98" i="550"/>
  <c r="U98" i="550"/>
  <c r="AJ98" i="550" s="1"/>
  <c r="AK98" i="550" s="1"/>
  <c r="T98" i="550"/>
  <c r="AH98" i="550" s="1"/>
  <c r="AG97" i="550"/>
  <c r="V97" i="550"/>
  <c r="U97" i="550"/>
  <c r="AJ97" i="550" s="1"/>
  <c r="AK97" i="550" s="1"/>
  <c r="T97" i="550"/>
  <c r="AH97" i="550" s="1"/>
  <c r="AG96" i="550"/>
  <c r="V96" i="550"/>
  <c r="U96" i="550"/>
  <c r="AJ96" i="550" s="1"/>
  <c r="AK96" i="550" s="1"/>
  <c r="T96" i="550"/>
  <c r="AH96" i="550" s="1"/>
  <c r="AG95" i="550"/>
  <c r="V95" i="550"/>
  <c r="U95" i="550"/>
  <c r="AJ95" i="550" s="1"/>
  <c r="AK95" i="550" s="1"/>
  <c r="T95" i="550"/>
  <c r="AH95" i="550" s="1"/>
  <c r="AG94" i="550"/>
  <c r="V94" i="550"/>
  <c r="U94" i="550"/>
  <c r="AJ94" i="550" s="1"/>
  <c r="AK94" i="550" s="1"/>
  <c r="T94" i="550"/>
  <c r="AH94" i="550" s="1"/>
  <c r="AG93" i="550"/>
  <c r="V93" i="550"/>
  <c r="U93" i="550"/>
  <c r="AJ93" i="550" s="1"/>
  <c r="AK93" i="550" s="1"/>
  <c r="T93" i="550"/>
  <c r="AH93" i="550" s="1"/>
  <c r="AG92" i="550"/>
  <c r="V92" i="550"/>
  <c r="U92" i="550"/>
  <c r="AJ92" i="550" s="1"/>
  <c r="AK92" i="550" s="1"/>
  <c r="T92" i="550"/>
  <c r="AH92" i="550" s="1"/>
  <c r="AG91" i="550"/>
  <c r="V91" i="550"/>
  <c r="U91" i="550"/>
  <c r="AJ91" i="550" s="1"/>
  <c r="AK91" i="550" s="1"/>
  <c r="T91" i="550"/>
  <c r="AH91" i="550" s="1"/>
  <c r="AG90" i="550"/>
  <c r="V90" i="550"/>
  <c r="U90" i="550"/>
  <c r="AJ90" i="550" s="1"/>
  <c r="AK90" i="550" s="1"/>
  <c r="T90" i="550"/>
  <c r="AH90" i="550" s="1"/>
  <c r="AG89" i="550"/>
  <c r="V89" i="550"/>
  <c r="U89" i="550"/>
  <c r="AJ89" i="550" s="1"/>
  <c r="AK89" i="550" s="1"/>
  <c r="T89" i="550"/>
  <c r="AH89" i="550" s="1"/>
  <c r="AG88" i="550"/>
  <c r="V88" i="550"/>
  <c r="U88" i="550"/>
  <c r="AJ88" i="550" s="1"/>
  <c r="AK88" i="550" s="1"/>
  <c r="T88" i="550"/>
  <c r="AH88" i="550" s="1"/>
  <c r="AG87" i="550"/>
  <c r="V87" i="550"/>
  <c r="U87" i="550"/>
  <c r="AJ87" i="550" s="1"/>
  <c r="AK87" i="550" s="1"/>
  <c r="T87" i="550"/>
  <c r="AH87" i="550" s="1"/>
  <c r="AG86" i="550"/>
  <c r="V86" i="550"/>
  <c r="U86" i="550"/>
  <c r="AJ86" i="550" s="1"/>
  <c r="AK86" i="550" s="1"/>
  <c r="T86" i="550"/>
  <c r="AH86" i="550" s="1"/>
  <c r="AG85" i="550"/>
  <c r="V85" i="550"/>
  <c r="U85" i="550"/>
  <c r="AJ85" i="550" s="1"/>
  <c r="AK85" i="550" s="1"/>
  <c r="T85" i="550"/>
  <c r="AH85" i="550" s="1"/>
  <c r="AG84" i="550"/>
  <c r="V84" i="550"/>
  <c r="U84" i="550"/>
  <c r="AJ84" i="550" s="1"/>
  <c r="AK84" i="550" s="1"/>
  <c r="T84" i="550"/>
  <c r="AH84" i="550" s="1"/>
  <c r="AG83" i="550"/>
  <c r="V83" i="550"/>
  <c r="U83" i="550"/>
  <c r="AJ83" i="550" s="1"/>
  <c r="AK83" i="550" s="1"/>
  <c r="T83" i="550"/>
  <c r="AH83" i="550" s="1"/>
  <c r="AG82" i="550"/>
  <c r="V82" i="550"/>
  <c r="U82" i="550"/>
  <c r="AJ82" i="550" s="1"/>
  <c r="AK82" i="550" s="1"/>
  <c r="T82" i="550"/>
  <c r="AH82" i="550" s="1"/>
  <c r="AG81" i="550"/>
  <c r="V81" i="550"/>
  <c r="U81" i="550"/>
  <c r="AJ81" i="550" s="1"/>
  <c r="AK81" i="550" s="1"/>
  <c r="T81" i="550"/>
  <c r="AH81" i="550" s="1"/>
  <c r="AG80" i="550"/>
  <c r="V80" i="550"/>
  <c r="U80" i="550"/>
  <c r="AJ80" i="550" s="1"/>
  <c r="AK80" i="550" s="1"/>
  <c r="T80" i="550"/>
  <c r="AH80" i="550" s="1"/>
  <c r="AG79" i="550"/>
  <c r="V79" i="550"/>
  <c r="U79" i="550"/>
  <c r="AJ79" i="550" s="1"/>
  <c r="AK79" i="550" s="1"/>
  <c r="T79" i="550"/>
  <c r="AH79" i="550" s="1"/>
  <c r="AG78" i="550"/>
  <c r="V78" i="550"/>
  <c r="U78" i="550"/>
  <c r="AJ78" i="550" s="1"/>
  <c r="AK78" i="550" s="1"/>
  <c r="T78" i="550"/>
  <c r="AH78" i="550" s="1"/>
  <c r="AG77" i="550"/>
  <c r="V77" i="550"/>
  <c r="U77" i="550"/>
  <c r="AJ77" i="550" s="1"/>
  <c r="AK77" i="550" s="1"/>
  <c r="T77" i="550"/>
  <c r="AH77" i="550" s="1"/>
  <c r="AG76" i="550"/>
  <c r="V76" i="550"/>
  <c r="U76" i="550"/>
  <c r="AJ76" i="550" s="1"/>
  <c r="AK76" i="550" s="1"/>
  <c r="T76" i="550"/>
  <c r="AH76" i="550" s="1"/>
  <c r="AG75" i="550"/>
  <c r="V75" i="550"/>
  <c r="U75" i="550"/>
  <c r="AJ75" i="550" s="1"/>
  <c r="AK75" i="550" s="1"/>
  <c r="T75" i="550"/>
  <c r="AH75" i="550" s="1"/>
  <c r="AG74" i="550"/>
  <c r="V74" i="550"/>
  <c r="U74" i="550"/>
  <c r="AJ74" i="550" s="1"/>
  <c r="AK74" i="550" s="1"/>
  <c r="T74" i="550"/>
  <c r="AH74" i="550" s="1"/>
  <c r="AG73" i="550"/>
  <c r="V73" i="550"/>
  <c r="U73" i="550"/>
  <c r="AJ73" i="550" s="1"/>
  <c r="AK73" i="550" s="1"/>
  <c r="T73" i="550"/>
  <c r="AH73" i="550" s="1"/>
  <c r="AG72" i="550"/>
  <c r="V72" i="550"/>
  <c r="U72" i="550"/>
  <c r="AJ72" i="550" s="1"/>
  <c r="AK72" i="550" s="1"/>
  <c r="T72" i="550"/>
  <c r="AH72" i="550" s="1"/>
  <c r="AG71" i="550"/>
  <c r="V71" i="550"/>
  <c r="U71" i="550"/>
  <c r="AJ71" i="550" s="1"/>
  <c r="AK71" i="550" s="1"/>
  <c r="T71" i="550"/>
  <c r="AH71" i="550" s="1"/>
  <c r="AG70" i="550"/>
  <c r="V70" i="550"/>
  <c r="U70" i="550"/>
  <c r="AJ70" i="550" s="1"/>
  <c r="AK70" i="550" s="1"/>
  <c r="T70" i="550"/>
  <c r="AH70" i="550" s="1"/>
  <c r="AG69" i="550"/>
  <c r="V69" i="550"/>
  <c r="U69" i="550"/>
  <c r="AJ69" i="550" s="1"/>
  <c r="AK69" i="550" s="1"/>
  <c r="T69" i="550"/>
  <c r="AH69" i="550" s="1"/>
  <c r="AG68" i="550"/>
  <c r="V68" i="550"/>
  <c r="U68" i="550"/>
  <c r="AJ68" i="550" s="1"/>
  <c r="AK68" i="550" s="1"/>
  <c r="T68" i="550"/>
  <c r="AH68" i="550" s="1"/>
  <c r="AG67" i="550"/>
  <c r="V67" i="550"/>
  <c r="U67" i="550"/>
  <c r="AJ67" i="550" s="1"/>
  <c r="AK67" i="550" s="1"/>
  <c r="T67" i="550"/>
  <c r="AH67" i="550" s="1"/>
  <c r="AG66" i="550"/>
  <c r="V66" i="550"/>
  <c r="U66" i="550"/>
  <c r="AJ66" i="550" s="1"/>
  <c r="AK66" i="550" s="1"/>
  <c r="T66" i="550"/>
  <c r="AH66" i="550" s="1"/>
  <c r="AG65" i="550"/>
  <c r="V65" i="550"/>
  <c r="U65" i="550"/>
  <c r="AJ65" i="550" s="1"/>
  <c r="AK65" i="550" s="1"/>
  <c r="T65" i="550"/>
  <c r="AH65" i="550" s="1"/>
  <c r="AG64" i="550"/>
  <c r="V64" i="550"/>
  <c r="U64" i="550"/>
  <c r="AJ64" i="550" s="1"/>
  <c r="AK64" i="550" s="1"/>
  <c r="T64" i="550"/>
  <c r="AH64" i="550" s="1"/>
  <c r="AG63" i="550"/>
  <c r="V63" i="550"/>
  <c r="U63" i="550"/>
  <c r="AJ63" i="550" s="1"/>
  <c r="AK63" i="550" s="1"/>
  <c r="T63" i="550"/>
  <c r="AH63" i="550" s="1"/>
  <c r="AG62" i="550"/>
  <c r="V62" i="550"/>
  <c r="U62" i="550"/>
  <c r="AJ62" i="550" s="1"/>
  <c r="AK62" i="550" s="1"/>
  <c r="T62" i="550"/>
  <c r="AH62" i="550" s="1"/>
  <c r="AG61" i="550"/>
  <c r="V61" i="550"/>
  <c r="U61" i="550"/>
  <c r="AJ61" i="550" s="1"/>
  <c r="AK61" i="550" s="1"/>
  <c r="T61" i="550"/>
  <c r="AH61" i="550" s="1"/>
  <c r="AG60" i="550"/>
  <c r="V60" i="550"/>
  <c r="U60" i="550"/>
  <c r="AJ60" i="550" s="1"/>
  <c r="AK60" i="550" s="1"/>
  <c r="T60" i="550"/>
  <c r="AH60" i="550" s="1"/>
  <c r="AG59" i="550"/>
  <c r="V59" i="550"/>
  <c r="U59" i="550"/>
  <c r="AJ59" i="550" s="1"/>
  <c r="AK59" i="550" s="1"/>
  <c r="T59" i="550"/>
  <c r="AH59" i="550" s="1"/>
  <c r="AG58" i="550"/>
  <c r="V58" i="550"/>
  <c r="U58" i="550"/>
  <c r="AJ58" i="550" s="1"/>
  <c r="AK58" i="550" s="1"/>
  <c r="T58" i="550"/>
  <c r="AH58" i="550" s="1"/>
  <c r="AG57" i="550"/>
  <c r="V57" i="550"/>
  <c r="U57" i="550"/>
  <c r="AJ57" i="550" s="1"/>
  <c r="AK57" i="550" s="1"/>
  <c r="T57" i="550"/>
  <c r="AH57" i="550" s="1"/>
  <c r="AG56" i="550"/>
  <c r="V56" i="550"/>
  <c r="U56" i="550"/>
  <c r="AJ56" i="550" s="1"/>
  <c r="AK56" i="550" s="1"/>
  <c r="T56" i="550"/>
  <c r="AH56" i="550" s="1"/>
  <c r="AG55" i="550"/>
  <c r="V55" i="550"/>
  <c r="U55" i="550"/>
  <c r="AJ55" i="550" s="1"/>
  <c r="AK55" i="550" s="1"/>
  <c r="T55" i="550"/>
  <c r="AH55" i="550" s="1"/>
  <c r="AG54" i="550"/>
  <c r="U54" i="550"/>
  <c r="AJ54" i="550" s="1"/>
  <c r="T54" i="550"/>
  <c r="AH54" i="550" s="1"/>
  <c r="AG53" i="550"/>
  <c r="U53" i="550"/>
  <c r="AJ53" i="550" s="1"/>
  <c r="T53" i="550"/>
  <c r="AH53" i="550" s="1"/>
  <c r="AL53" i="550" s="1"/>
  <c r="AG52" i="550"/>
  <c r="U52" i="550"/>
  <c r="AJ52" i="550" s="1"/>
  <c r="T52" i="550"/>
  <c r="AH52" i="550" s="1"/>
  <c r="AH51" i="550"/>
  <c r="AG51" i="550"/>
  <c r="U51" i="550"/>
  <c r="AJ51" i="550" s="1"/>
  <c r="T51" i="550"/>
  <c r="AJ50" i="550"/>
  <c r="AK50" i="550" s="1"/>
  <c r="AG50" i="550"/>
  <c r="V50" i="550"/>
  <c r="U50" i="550"/>
  <c r="T50" i="550"/>
  <c r="AG49" i="550"/>
  <c r="U49" i="550"/>
  <c r="AJ49" i="550" s="1"/>
  <c r="T49" i="550"/>
  <c r="AH49" i="550" s="1"/>
  <c r="AG48" i="550"/>
  <c r="U48" i="550"/>
  <c r="AJ48" i="550" s="1"/>
  <c r="T48" i="550"/>
  <c r="AH48" i="550" s="1"/>
  <c r="AG47" i="550"/>
  <c r="U47" i="550"/>
  <c r="AJ47" i="550" s="1"/>
  <c r="T47" i="550"/>
  <c r="AH47" i="550" s="1"/>
  <c r="AG46" i="550"/>
  <c r="U46" i="550"/>
  <c r="AJ46" i="550" s="1"/>
  <c r="T46" i="550"/>
  <c r="AH46" i="550" s="1"/>
  <c r="AG45" i="550"/>
  <c r="V45" i="550"/>
  <c r="U45" i="550"/>
  <c r="AJ45" i="550" s="1"/>
  <c r="AK45" i="550" s="1"/>
  <c r="T45" i="550"/>
  <c r="AG44" i="550"/>
  <c r="U44" i="550"/>
  <c r="AJ44" i="550" s="1"/>
  <c r="T44" i="550"/>
  <c r="AH44" i="550" s="1"/>
  <c r="AG43" i="550"/>
  <c r="U43" i="550"/>
  <c r="AJ43" i="550" s="1"/>
  <c r="T43" i="550"/>
  <c r="AH43" i="550" s="1"/>
  <c r="AG42" i="550"/>
  <c r="U42" i="550"/>
  <c r="AJ42" i="550" s="1"/>
  <c r="T42" i="550"/>
  <c r="AH42" i="550" s="1"/>
  <c r="AG41" i="550"/>
  <c r="U41" i="550"/>
  <c r="AJ41" i="550" s="1"/>
  <c r="T41" i="550"/>
  <c r="AH41" i="550" s="1"/>
  <c r="AG40" i="550"/>
  <c r="U40" i="550"/>
  <c r="AJ40" i="550" s="1"/>
  <c r="T40" i="550"/>
  <c r="AH40" i="550" s="1"/>
  <c r="AG39" i="550"/>
  <c r="V39" i="550"/>
  <c r="U39" i="550"/>
  <c r="AJ39" i="550" s="1"/>
  <c r="AK39" i="550" s="1"/>
  <c r="T39" i="550"/>
  <c r="AG38" i="550"/>
  <c r="U38" i="550"/>
  <c r="AJ38" i="550" s="1"/>
  <c r="T38" i="550"/>
  <c r="AH38" i="550" s="1"/>
  <c r="AG37" i="550"/>
  <c r="U37" i="550"/>
  <c r="AJ37" i="550" s="1"/>
  <c r="T37" i="550"/>
  <c r="AH37" i="550" s="1"/>
  <c r="AG36" i="550"/>
  <c r="U36" i="550"/>
  <c r="AJ36" i="550" s="1"/>
  <c r="T36" i="550"/>
  <c r="AH36" i="550" s="1"/>
  <c r="AG35" i="550"/>
  <c r="V35" i="550"/>
  <c r="U35" i="550"/>
  <c r="T35" i="550"/>
  <c r="AG34" i="550"/>
  <c r="U34" i="550"/>
  <c r="AJ34" i="550" s="1"/>
  <c r="T34" i="550"/>
  <c r="AH34" i="550" s="1"/>
  <c r="AG33" i="550"/>
  <c r="U33" i="550"/>
  <c r="AJ33" i="550" s="1"/>
  <c r="T33" i="550"/>
  <c r="AH33" i="550" s="1"/>
  <c r="AG32" i="550"/>
  <c r="U32" i="550"/>
  <c r="AJ32" i="550" s="1"/>
  <c r="T32" i="550"/>
  <c r="AH32" i="550" s="1"/>
  <c r="AG31" i="550"/>
  <c r="U31" i="550"/>
  <c r="AJ31" i="550" s="1"/>
  <c r="T31" i="550"/>
  <c r="AH31" i="550" s="1"/>
  <c r="AG30" i="550"/>
  <c r="U30" i="550"/>
  <c r="AJ30" i="550" s="1"/>
  <c r="T30" i="550"/>
  <c r="AH30" i="550" s="1"/>
  <c r="AG29" i="550"/>
  <c r="U29" i="550"/>
  <c r="AJ29" i="550" s="1"/>
  <c r="T29" i="550"/>
  <c r="AH29" i="550" s="1"/>
  <c r="AG28" i="550"/>
  <c r="U28" i="550"/>
  <c r="AJ28" i="550" s="1"/>
  <c r="T28" i="550"/>
  <c r="AH28" i="550" s="1"/>
  <c r="AG27" i="550"/>
  <c r="V27" i="550"/>
  <c r="U27" i="550"/>
  <c r="AJ27" i="550" s="1"/>
  <c r="AK27" i="550" s="1"/>
  <c r="T27" i="550"/>
  <c r="AH27" i="550" s="1"/>
  <c r="AG26" i="550"/>
  <c r="U26" i="550"/>
  <c r="AJ26" i="550" s="1"/>
  <c r="T26" i="550"/>
  <c r="AH26" i="550" s="1"/>
  <c r="AG25" i="550"/>
  <c r="V25" i="550"/>
  <c r="U25" i="550"/>
  <c r="T25" i="550"/>
  <c r="AG24" i="550"/>
  <c r="U24" i="550"/>
  <c r="AJ24" i="550" s="1"/>
  <c r="T24" i="550"/>
  <c r="AH24" i="550" s="1"/>
  <c r="AG23" i="550"/>
  <c r="V23" i="550"/>
  <c r="U23" i="550"/>
  <c r="AJ23" i="550" s="1"/>
  <c r="AK23" i="550" s="1"/>
  <c r="T23" i="550"/>
  <c r="AG22" i="550"/>
  <c r="U22" i="550"/>
  <c r="AJ22" i="550" s="1"/>
  <c r="T22" i="550"/>
  <c r="AH22" i="550" s="1"/>
  <c r="AG21" i="550"/>
  <c r="U21" i="550"/>
  <c r="AJ21" i="550" s="1"/>
  <c r="T21" i="550"/>
  <c r="AH21" i="550" s="1"/>
  <c r="AG20" i="550"/>
  <c r="U20" i="550"/>
  <c r="AJ20" i="550" s="1"/>
  <c r="T20" i="550"/>
  <c r="AH20" i="550" s="1"/>
  <c r="AG19" i="550"/>
  <c r="U19" i="550"/>
  <c r="AJ19" i="550" s="1"/>
  <c r="T19" i="550"/>
  <c r="AH19" i="550" s="1"/>
  <c r="AG18" i="550"/>
  <c r="V18" i="550"/>
  <c r="U18" i="550"/>
  <c r="T18" i="550"/>
  <c r="AG17" i="550"/>
  <c r="U17" i="550"/>
  <c r="AJ17" i="550" s="1"/>
  <c r="T17" i="550"/>
  <c r="AH17" i="550" s="1"/>
  <c r="AG16" i="550"/>
  <c r="U16" i="550"/>
  <c r="AJ16" i="550" s="1"/>
  <c r="T16" i="550"/>
  <c r="AH16" i="550" s="1"/>
  <c r="AG15" i="550"/>
  <c r="U15" i="550"/>
  <c r="AJ15" i="550" s="1"/>
  <c r="T15" i="550"/>
  <c r="AH15" i="550" s="1"/>
  <c r="AJ14" i="550"/>
  <c r="AG14" i="550"/>
  <c r="U14" i="550"/>
  <c r="T14" i="550"/>
  <c r="AH14" i="550" s="1"/>
  <c r="AG13" i="550"/>
  <c r="V13" i="550"/>
  <c r="U13" i="550"/>
  <c r="T13" i="550"/>
  <c r="AG12" i="550"/>
  <c r="U12" i="550"/>
  <c r="AJ12" i="550" s="1"/>
  <c r="T12" i="550"/>
  <c r="AH12" i="550" s="1"/>
  <c r="AG11" i="550"/>
  <c r="U11" i="550"/>
  <c r="AJ11" i="550" s="1"/>
  <c r="T11" i="550"/>
  <c r="AH11" i="550" s="1"/>
  <c r="AG10" i="550"/>
  <c r="U10" i="550"/>
  <c r="AJ10" i="550" s="1"/>
  <c r="T10" i="550"/>
  <c r="AH10" i="550" s="1"/>
  <c r="AG9" i="550"/>
  <c r="V9" i="550"/>
  <c r="U9" i="550"/>
  <c r="AJ9" i="550" s="1"/>
  <c r="AK9" i="550" s="1"/>
  <c r="T9" i="550"/>
  <c r="O4" i="550"/>
  <c r="I4" i="550"/>
  <c r="G4" i="550"/>
  <c r="AR2" i="550"/>
  <c r="G2" i="550"/>
  <c r="AH45" i="550" l="1"/>
  <c r="AL45" i="550" s="1"/>
  <c r="AH9" i="550"/>
  <c r="AL9" i="550" s="1"/>
  <c r="AH18" i="550"/>
  <c r="AI18" i="550" s="1"/>
  <c r="AH23" i="550"/>
  <c r="AJ35" i="550"/>
  <c r="AK35" i="550" s="1"/>
  <c r="AH39" i="550"/>
  <c r="AI39" i="550" s="1"/>
  <c r="AM39" i="550" s="1"/>
  <c r="AL16" i="550"/>
  <c r="AL22" i="550"/>
  <c r="AH35" i="550"/>
  <c r="AH50" i="550"/>
  <c r="AI50" i="550" s="1"/>
  <c r="AM50" i="550" s="1"/>
  <c r="AL19" i="550"/>
  <c r="AL24" i="550"/>
  <c r="AL32" i="550"/>
  <c r="AH13" i="550"/>
  <c r="AI13" i="550" s="1"/>
  <c r="AL14" i="550"/>
  <c r="AL21" i="550"/>
  <c r="AL30" i="550"/>
  <c r="AL38" i="550"/>
  <c r="AL11" i="550"/>
  <c r="AL10" i="550"/>
  <c r="AL28" i="550"/>
  <c r="AL20" i="550"/>
  <c r="AL26" i="550"/>
  <c r="AL41" i="550"/>
  <c r="AL43" i="550"/>
  <c r="AL37" i="550"/>
  <c r="AL48" i="550"/>
  <c r="AL34" i="550"/>
  <c r="AL51" i="550"/>
  <c r="AJ13" i="550"/>
  <c r="AK13" i="550" s="1"/>
  <c r="AJ18" i="550"/>
  <c r="AK18" i="550" s="1"/>
  <c r="AH25" i="550"/>
  <c r="AL31" i="550"/>
  <c r="AL29" i="550"/>
  <c r="AL12" i="550"/>
  <c r="AJ25" i="550"/>
  <c r="AK25" i="550" s="1"/>
  <c r="AL33" i="550"/>
  <c r="AL49" i="550"/>
  <c r="AL52" i="550"/>
  <c r="AI69" i="550"/>
  <c r="AM69" i="550" s="1"/>
  <c r="AL69" i="550"/>
  <c r="AI73" i="550"/>
  <c r="AM73" i="550" s="1"/>
  <c r="AL73" i="550"/>
  <c r="AI77" i="550"/>
  <c r="AM77" i="550" s="1"/>
  <c r="AL77" i="550"/>
  <c r="AI81" i="550"/>
  <c r="AM81" i="550" s="1"/>
  <c r="AL81" i="550"/>
  <c r="AI85" i="550"/>
  <c r="AM85" i="550" s="1"/>
  <c r="AL85" i="550"/>
  <c r="AI89" i="550"/>
  <c r="AM89" i="550" s="1"/>
  <c r="AL89" i="550"/>
  <c r="AI93" i="550"/>
  <c r="AM93" i="550" s="1"/>
  <c r="AL93" i="550"/>
  <c r="AL15" i="550"/>
  <c r="AL17" i="550"/>
  <c r="AL25" i="550"/>
  <c r="AI25" i="550"/>
  <c r="AM25" i="550" s="1"/>
  <c r="AL36" i="550"/>
  <c r="AL58" i="550"/>
  <c r="AI58" i="550"/>
  <c r="AM58" i="550" s="1"/>
  <c r="AI62" i="550"/>
  <c r="AM62" i="550" s="1"/>
  <c r="AL62" i="550"/>
  <c r="AL66" i="550"/>
  <c r="AI66" i="550"/>
  <c r="AM66" i="550" s="1"/>
  <c r="AI70" i="550"/>
  <c r="AM70" i="550" s="1"/>
  <c r="AL70" i="550"/>
  <c r="AI74" i="550"/>
  <c r="AM74" i="550" s="1"/>
  <c r="AL74" i="550"/>
  <c r="AI78" i="550"/>
  <c r="AM78" i="550" s="1"/>
  <c r="AL78" i="550"/>
  <c r="AI82" i="550"/>
  <c r="AM82" i="550" s="1"/>
  <c r="AL82" i="550"/>
  <c r="AI86" i="550"/>
  <c r="AM86" i="550" s="1"/>
  <c r="AL86" i="550"/>
  <c r="AI90" i="550"/>
  <c r="AM90" i="550" s="1"/>
  <c r="AL90" i="550"/>
  <c r="AL23" i="550"/>
  <c r="AI23" i="550"/>
  <c r="AM23" i="550" s="1"/>
  <c r="AL27" i="550"/>
  <c r="AI27" i="550"/>
  <c r="AM27" i="550" s="1"/>
  <c r="AL35" i="550"/>
  <c r="AI35" i="550"/>
  <c r="AM35" i="550" s="1"/>
  <c r="AL40" i="550"/>
  <c r="AL42" i="550"/>
  <c r="AL44" i="550"/>
  <c r="AL46" i="550"/>
  <c r="AI55" i="550"/>
  <c r="AM55" i="550" s="1"/>
  <c r="AL55" i="550"/>
  <c r="AI59" i="550"/>
  <c r="AM59" i="550" s="1"/>
  <c r="AL59" i="550"/>
  <c r="AI63" i="550"/>
  <c r="AM63" i="550" s="1"/>
  <c r="AL63" i="550"/>
  <c r="AI67" i="550"/>
  <c r="AM67" i="550" s="1"/>
  <c r="AL67" i="550"/>
  <c r="AI71" i="550"/>
  <c r="AM71" i="550" s="1"/>
  <c r="AL71" i="550"/>
  <c r="AI75" i="550"/>
  <c r="AM75" i="550" s="1"/>
  <c r="AL75" i="550"/>
  <c r="AI79" i="550"/>
  <c r="AM79" i="550" s="1"/>
  <c r="AL79" i="550"/>
  <c r="AI83" i="550"/>
  <c r="AM83" i="550" s="1"/>
  <c r="AL83" i="550"/>
  <c r="AI87" i="550"/>
  <c r="AM87" i="550" s="1"/>
  <c r="AL87" i="550"/>
  <c r="AI91" i="550"/>
  <c r="AM91" i="550" s="1"/>
  <c r="AL91" i="550"/>
  <c r="AI95" i="550"/>
  <c r="AM95" i="550" s="1"/>
  <c r="AL95" i="550"/>
  <c r="AI9" i="550"/>
  <c r="AM9" i="550" s="1"/>
  <c r="AL39" i="550"/>
  <c r="AI45" i="550"/>
  <c r="AM45" i="550" s="1"/>
  <c r="AL54" i="550"/>
  <c r="AI56" i="550"/>
  <c r="AM56" i="550" s="1"/>
  <c r="AL56" i="550"/>
  <c r="AI57" i="550"/>
  <c r="AM57" i="550" s="1"/>
  <c r="AL57" i="550"/>
  <c r="AL60" i="550"/>
  <c r="AI60" i="550"/>
  <c r="AM60" i="550" s="1"/>
  <c r="AI61" i="550"/>
  <c r="AM61" i="550" s="1"/>
  <c r="AL61" i="550"/>
  <c r="AL64" i="550"/>
  <c r="AI64" i="550"/>
  <c r="AM64" i="550" s="1"/>
  <c r="AI65" i="550"/>
  <c r="AM65" i="550" s="1"/>
  <c r="AL65" i="550"/>
  <c r="AI68" i="550"/>
  <c r="AM68" i="550" s="1"/>
  <c r="AL68" i="550"/>
  <c r="AI72" i="550"/>
  <c r="AM72" i="550" s="1"/>
  <c r="AL72" i="550"/>
  <c r="AI76" i="550"/>
  <c r="AM76" i="550" s="1"/>
  <c r="AL76" i="550"/>
  <c r="AI80" i="550"/>
  <c r="AM80" i="550" s="1"/>
  <c r="AL80" i="550"/>
  <c r="AI84" i="550"/>
  <c r="AM84" i="550" s="1"/>
  <c r="AL84" i="550"/>
  <c r="AI88" i="550"/>
  <c r="AM88" i="550" s="1"/>
  <c r="AL88" i="550"/>
  <c r="AI97" i="550"/>
  <c r="AM97" i="550" s="1"/>
  <c r="AL97" i="550"/>
  <c r="AI101" i="550"/>
  <c r="AM101" i="550" s="1"/>
  <c r="AL101" i="550"/>
  <c r="AI104" i="550"/>
  <c r="AM104" i="550" s="1"/>
  <c r="AL104" i="550"/>
  <c r="AI107" i="550"/>
  <c r="AM107" i="550" s="1"/>
  <c r="AL107" i="550"/>
  <c r="AI108" i="550"/>
  <c r="AM108" i="550" s="1"/>
  <c r="AL108" i="550"/>
  <c r="AI109" i="550"/>
  <c r="AM109" i="550" s="1"/>
  <c r="AL109" i="550"/>
  <c r="AI110" i="550"/>
  <c r="AM110" i="550" s="1"/>
  <c r="AL110" i="550"/>
  <c r="AI111" i="550"/>
  <c r="AM111" i="550" s="1"/>
  <c r="AL111" i="550"/>
  <c r="AL112" i="550"/>
  <c r="AI112" i="550"/>
  <c r="AM112" i="550" s="1"/>
  <c r="AI116" i="550"/>
  <c r="AM116" i="550" s="1"/>
  <c r="AL116" i="550"/>
  <c r="AI120" i="550"/>
  <c r="AM120" i="550" s="1"/>
  <c r="AL120" i="550"/>
  <c r="AI124" i="550"/>
  <c r="AM124" i="550" s="1"/>
  <c r="AL124" i="550"/>
  <c r="AI128" i="550"/>
  <c r="AM128" i="550" s="1"/>
  <c r="AL128" i="550"/>
  <c r="AI132" i="550"/>
  <c r="AM132" i="550" s="1"/>
  <c r="AL132" i="550"/>
  <c r="AI136" i="550"/>
  <c r="AM136" i="550" s="1"/>
  <c r="AL136" i="550"/>
  <c r="AI140" i="550"/>
  <c r="AM140" i="550" s="1"/>
  <c r="AL140" i="550"/>
  <c r="AI144" i="550"/>
  <c r="AM144" i="550" s="1"/>
  <c r="AL144" i="550"/>
  <c r="AI148" i="550"/>
  <c r="AM148" i="550" s="1"/>
  <c r="AL148" i="550"/>
  <c r="AI98" i="550"/>
  <c r="AM98" i="550" s="1"/>
  <c r="AL98" i="550"/>
  <c r="AI102" i="550"/>
  <c r="AM102" i="550" s="1"/>
  <c r="AL102" i="550"/>
  <c r="AI105" i="550"/>
  <c r="AM105" i="550" s="1"/>
  <c r="AL105" i="550"/>
  <c r="AI113" i="550"/>
  <c r="AM113" i="550" s="1"/>
  <c r="AL113" i="550"/>
  <c r="AI117" i="550"/>
  <c r="AM117" i="550" s="1"/>
  <c r="AL117" i="550"/>
  <c r="AI121" i="550"/>
  <c r="AM121" i="550" s="1"/>
  <c r="AL121" i="550"/>
  <c r="AI125" i="550"/>
  <c r="AM125" i="550" s="1"/>
  <c r="AL125" i="550"/>
  <c r="AI129" i="550"/>
  <c r="AM129" i="550" s="1"/>
  <c r="AL129" i="550"/>
  <c r="AI133" i="550"/>
  <c r="AM133" i="550" s="1"/>
  <c r="AL133" i="550"/>
  <c r="AI137" i="550"/>
  <c r="AM137" i="550" s="1"/>
  <c r="AL137" i="550"/>
  <c r="AI141" i="550"/>
  <c r="AM141" i="550" s="1"/>
  <c r="AL141" i="550"/>
  <c r="AI145" i="550"/>
  <c r="AM145" i="550" s="1"/>
  <c r="AL145" i="550"/>
  <c r="AI149" i="550"/>
  <c r="AM149" i="550" s="1"/>
  <c r="AL149" i="550"/>
  <c r="AL47" i="550"/>
  <c r="AI99" i="550"/>
  <c r="AM99" i="550" s="1"/>
  <c r="AL99" i="550"/>
  <c r="AI103" i="550"/>
  <c r="AM103" i="550" s="1"/>
  <c r="AL103" i="550"/>
  <c r="AI114" i="550"/>
  <c r="AM114" i="550" s="1"/>
  <c r="AL114" i="550"/>
  <c r="AI118" i="550"/>
  <c r="AM118" i="550" s="1"/>
  <c r="AL118" i="550"/>
  <c r="AI122" i="550"/>
  <c r="AM122" i="550" s="1"/>
  <c r="AL122" i="550"/>
  <c r="AI126" i="550"/>
  <c r="AM126" i="550" s="1"/>
  <c r="AL126" i="550"/>
  <c r="AI130" i="550"/>
  <c r="AM130" i="550" s="1"/>
  <c r="AL130" i="550"/>
  <c r="AI134" i="550"/>
  <c r="AM134" i="550" s="1"/>
  <c r="AL134" i="550"/>
  <c r="AI138" i="550"/>
  <c r="AM138" i="550" s="1"/>
  <c r="AL138" i="550"/>
  <c r="AI142" i="550"/>
  <c r="AM142" i="550" s="1"/>
  <c r="AL142" i="550"/>
  <c r="AI146" i="550"/>
  <c r="AM146" i="550" s="1"/>
  <c r="AL146" i="550"/>
  <c r="AI150" i="550"/>
  <c r="AM150" i="550" s="1"/>
  <c r="AL150" i="550"/>
  <c r="AI92" i="550"/>
  <c r="AM92" i="550" s="1"/>
  <c r="AL92" i="550"/>
  <c r="AI94" i="550"/>
  <c r="AM94" i="550" s="1"/>
  <c r="AL94" i="550"/>
  <c r="AI96" i="550"/>
  <c r="AM96" i="550" s="1"/>
  <c r="AL96" i="550"/>
  <c r="AI100" i="550"/>
  <c r="AM100" i="550" s="1"/>
  <c r="AL100" i="550"/>
  <c r="AI106" i="550"/>
  <c r="AM106" i="550" s="1"/>
  <c r="AL106" i="550"/>
  <c r="AI115" i="550"/>
  <c r="AM115" i="550" s="1"/>
  <c r="AL115" i="550"/>
  <c r="AI119" i="550"/>
  <c r="AM119" i="550" s="1"/>
  <c r="AL119" i="550"/>
  <c r="AI123" i="550"/>
  <c r="AM123" i="550" s="1"/>
  <c r="AL123" i="550"/>
  <c r="AI127" i="550"/>
  <c r="AM127" i="550" s="1"/>
  <c r="AL127" i="550"/>
  <c r="AI131" i="550"/>
  <c r="AM131" i="550" s="1"/>
  <c r="AL131" i="550"/>
  <c r="AI135" i="550"/>
  <c r="AM135" i="550" s="1"/>
  <c r="AL135" i="550"/>
  <c r="AI139" i="550"/>
  <c r="AM139" i="550" s="1"/>
  <c r="AL139" i="550"/>
  <c r="AI143" i="550"/>
  <c r="AM143" i="550" s="1"/>
  <c r="AL143" i="550"/>
  <c r="AI147" i="550"/>
  <c r="AM147" i="550" s="1"/>
  <c r="AL147" i="550"/>
  <c r="AI152" i="550"/>
  <c r="AM152" i="550" s="1"/>
  <c r="AL152" i="550"/>
  <c r="AI156" i="550"/>
  <c r="AM156" i="550" s="1"/>
  <c r="AL156" i="550"/>
  <c r="AI160" i="550"/>
  <c r="AM160" i="550" s="1"/>
  <c r="AL160" i="550"/>
  <c r="AI164" i="550"/>
  <c r="AM164" i="550" s="1"/>
  <c r="AL164" i="550"/>
  <c r="AI153" i="550"/>
  <c r="AM153" i="550" s="1"/>
  <c r="AL153" i="550"/>
  <c r="AI157" i="550"/>
  <c r="AM157" i="550" s="1"/>
  <c r="AL157" i="550"/>
  <c r="AI161" i="550"/>
  <c r="AM161" i="550" s="1"/>
  <c r="AL161" i="550"/>
  <c r="AI165" i="550"/>
  <c r="AM165" i="550" s="1"/>
  <c r="AL165" i="550"/>
  <c r="AI154" i="550"/>
  <c r="AM154" i="550" s="1"/>
  <c r="AL154" i="550"/>
  <c r="AI158" i="550"/>
  <c r="AM158" i="550" s="1"/>
  <c r="AL158" i="550"/>
  <c r="AI162" i="550"/>
  <c r="AM162" i="550" s="1"/>
  <c r="AL162" i="550"/>
  <c r="AI166" i="550"/>
  <c r="AM166" i="550" s="1"/>
  <c r="AL166" i="550"/>
  <c r="AI151" i="550"/>
  <c r="AM151" i="550" s="1"/>
  <c r="AL151" i="550"/>
  <c r="AI155" i="550"/>
  <c r="AM155" i="550" s="1"/>
  <c r="AL155" i="550"/>
  <c r="AI159" i="550"/>
  <c r="AM159" i="550" s="1"/>
  <c r="AL159" i="550"/>
  <c r="AI163" i="550"/>
  <c r="AM163" i="550" s="1"/>
  <c r="AL163" i="550"/>
  <c r="AI167" i="550"/>
  <c r="AM167" i="550" s="1"/>
  <c r="AL167" i="550"/>
  <c r="AL50" i="550" l="1"/>
  <c r="AM13" i="550"/>
  <c r="AL18" i="550"/>
  <c r="AM18" i="550"/>
  <c r="AL13" i="550"/>
  <c r="AG157" i="549"/>
  <c r="V157" i="549"/>
  <c r="U157" i="549"/>
  <c r="AJ157" i="549" s="1"/>
  <c r="AK157" i="549" s="1"/>
  <c r="T157" i="549"/>
  <c r="AH157" i="549" s="1"/>
  <c r="AG156" i="549"/>
  <c r="V156" i="549"/>
  <c r="U156" i="549"/>
  <c r="AJ156" i="549" s="1"/>
  <c r="AK156" i="549" s="1"/>
  <c r="T156" i="549"/>
  <c r="AH156" i="549" s="1"/>
  <c r="AG155" i="549"/>
  <c r="V155" i="549"/>
  <c r="U155" i="549"/>
  <c r="AJ155" i="549" s="1"/>
  <c r="AK155" i="549" s="1"/>
  <c r="T155" i="549"/>
  <c r="AH155" i="549" s="1"/>
  <c r="AG154" i="549"/>
  <c r="V154" i="549"/>
  <c r="U154" i="549"/>
  <c r="AJ154" i="549" s="1"/>
  <c r="AK154" i="549" s="1"/>
  <c r="T154" i="549"/>
  <c r="AH154" i="549" s="1"/>
  <c r="AG153" i="549"/>
  <c r="V153" i="549"/>
  <c r="U153" i="549"/>
  <c r="AJ153" i="549" s="1"/>
  <c r="AK153" i="549" s="1"/>
  <c r="T153" i="549"/>
  <c r="AH153" i="549" s="1"/>
  <c r="AG152" i="549"/>
  <c r="V152" i="549"/>
  <c r="U152" i="549"/>
  <c r="AJ152" i="549" s="1"/>
  <c r="AK152" i="549" s="1"/>
  <c r="T152" i="549"/>
  <c r="AH152" i="549" s="1"/>
  <c r="AG151" i="549"/>
  <c r="V151" i="549"/>
  <c r="U151" i="549"/>
  <c r="AJ151" i="549" s="1"/>
  <c r="AK151" i="549" s="1"/>
  <c r="T151" i="549"/>
  <c r="AH151" i="549" s="1"/>
  <c r="AG150" i="549"/>
  <c r="V150" i="549"/>
  <c r="U150" i="549"/>
  <c r="AJ150" i="549" s="1"/>
  <c r="AK150" i="549" s="1"/>
  <c r="T150" i="549"/>
  <c r="AH150" i="549" s="1"/>
  <c r="AG149" i="549"/>
  <c r="V149" i="549"/>
  <c r="U149" i="549"/>
  <c r="AJ149" i="549" s="1"/>
  <c r="AK149" i="549" s="1"/>
  <c r="T149" i="549"/>
  <c r="AH149" i="549" s="1"/>
  <c r="AG148" i="549"/>
  <c r="V148" i="549"/>
  <c r="U148" i="549"/>
  <c r="AJ148" i="549" s="1"/>
  <c r="AK148" i="549" s="1"/>
  <c r="T148" i="549"/>
  <c r="AH148" i="549" s="1"/>
  <c r="AG147" i="549"/>
  <c r="V147" i="549"/>
  <c r="U147" i="549"/>
  <c r="AJ147" i="549" s="1"/>
  <c r="AK147" i="549" s="1"/>
  <c r="T147" i="549"/>
  <c r="AH147" i="549" s="1"/>
  <c r="AG146" i="549"/>
  <c r="V146" i="549"/>
  <c r="U146" i="549"/>
  <c r="AJ146" i="549" s="1"/>
  <c r="AK146" i="549" s="1"/>
  <c r="T146" i="549"/>
  <c r="AH146" i="549" s="1"/>
  <c r="AG145" i="549"/>
  <c r="V145" i="549"/>
  <c r="U145" i="549"/>
  <c r="AJ145" i="549" s="1"/>
  <c r="AK145" i="549" s="1"/>
  <c r="T145" i="549"/>
  <c r="AH145" i="549" s="1"/>
  <c r="AG144" i="549"/>
  <c r="V144" i="549"/>
  <c r="U144" i="549"/>
  <c r="AJ144" i="549" s="1"/>
  <c r="AK144" i="549" s="1"/>
  <c r="T144" i="549"/>
  <c r="AH144" i="549" s="1"/>
  <c r="AG143" i="549"/>
  <c r="V143" i="549"/>
  <c r="U143" i="549"/>
  <c r="AJ143" i="549" s="1"/>
  <c r="AK143" i="549" s="1"/>
  <c r="T143" i="549"/>
  <c r="AH143" i="549" s="1"/>
  <c r="AG142" i="549"/>
  <c r="V142" i="549"/>
  <c r="U142" i="549"/>
  <c r="AJ142" i="549" s="1"/>
  <c r="AK142" i="549" s="1"/>
  <c r="T142" i="549"/>
  <c r="AH142" i="549" s="1"/>
  <c r="AG141" i="549"/>
  <c r="V141" i="549"/>
  <c r="U141" i="549"/>
  <c r="AJ141" i="549" s="1"/>
  <c r="AK141" i="549" s="1"/>
  <c r="T141" i="549"/>
  <c r="AH141" i="549" s="1"/>
  <c r="AG140" i="549"/>
  <c r="V140" i="549"/>
  <c r="U140" i="549"/>
  <c r="AJ140" i="549" s="1"/>
  <c r="AK140" i="549" s="1"/>
  <c r="T140" i="549"/>
  <c r="AH140" i="549" s="1"/>
  <c r="AG139" i="549"/>
  <c r="V139" i="549"/>
  <c r="U139" i="549"/>
  <c r="AJ139" i="549" s="1"/>
  <c r="AK139" i="549" s="1"/>
  <c r="T139" i="549"/>
  <c r="AH139" i="549" s="1"/>
  <c r="AG138" i="549"/>
  <c r="V138" i="549"/>
  <c r="U138" i="549"/>
  <c r="AJ138" i="549" s="1"/>
  <c r="AK138" i="549" s="1"/>
  <c r="T138" i="549"/>
  <c r="AH138" i="549" s="1"/>
  <c r="AG137" i="549"/>
  <c r="V137" i="549"/>
  <c r="U137" i="549"/>
  <c r="AJ137" i="549" s="1"/>
  <c r="AK137" i="549" s="1"/>
  <c r="T137" i="549"/>
  <c r="AH137" i="549" s="1"/>
  <c r="AG136" i="549"/>
  <c r="V136" i="549"/>
  <c r="U136" i="549"/>
  <c r="AJ136" i="549" s="1"/>
  <c r="AK136" i="549" s="1"/>
  <c r="T136" i="549"/>
  <c r="AH136" i="549" s="1"/>
  <c r="AG135" i="549"/>
  <c r="V135" i="549"/>
  <c r="U135" i="549"/>
  <c r="AJ135" i="549" s="1"/>
  <c r="AK135" i="549" s="1"/>
  <c r="T135" i="549"/>
  <c r="AH135" i="549" s="1"/>
  <c r="AG134" i="549"/>
  <c r="V134" i="549"/>
  <c r="U134" i="549"/>
  <c r="AJ134" i="549" s="1"/>
  <c r="AK134" i="549" s="1"/>
  <c r="T134" i="549"/>
  <c r="AH134" i="549" s="1"/>
  <c r="AG133" i="549"/>
  <c r="V133" i="549"/>
  <c r="U133" i="549"/>
  <c r="AJ133" i="549" s="1"/>
  <c r="AK133" i="549" s="1"/>
  <c r="T133" i="549"/>
  <c r="AH133" i="549" s="1"/>
  <c r="AG132" i="549"/>
  <c r="V132" i="549"/>
  <c r="U132" i="549"/>
  <c r="AJ132" i="549" s="1"/>
  <c r="AK132" i="549" s="1"/>
  <c r="T132" i="549"/>
  <c r="AH132" i="549" s="1"/>
  <c r="AG131" i="549"/>
  <c r="V131" i="549"/>
  <c r="U131" i="549"/>
  <c r="AJ131" i="549" s="1"/>
  <c r="AK131" i="549" s="1"/>
  <c r="T131" i="549"/>
  <c r="AH131" i="549" s="1"/>
  <c r="AG130" i="549"/>
  <c r="V130" i="549"/>
  <c r="U130" i="549"/>
  <c r="AJ130" i="549" s="1"/>
  <c r="AK130" i="549" s="1"/>
  <c r="T130" i="549"/>
  <c r="AH130" i="549" s="1"/>
  <c r="AG129" i="549"/>
  <c r="V129" i="549"/>
  <c r="U129" i="549"/>
  <c r="AJ129" i="549" s="1"/>
  <c r="AK129" i="549" s="1"/>
  <c r="T129" i="549"/>
  <c r="AH129" i="549" s="1"/>
  <c r="AG128" i="549"/>
  <c r="V128" i="549"/>
  <c r="U128" i="549"/>
  <c r="AJ128" i="549" s="1"/>
  <c r="AK128" i="549" s="1"/>
  <c r="T128" i="549"/>
  <c r="AH128" i="549" s="1"/>
  <c r="AG127" i="549"/>
  <c r="V127" i="549"/>
  <c r="U127" i="549"/>
  <c r="AJ127" i="549" s="1"/>
  <c r="AK127" i="549" s="1"/>
  <c r="T127" i="549"/>
  <c r="AH127" i="549" s="1"/>
  <c r="AG126" i="549"/>
  <c r="V126" i="549"/>
  <c r="U126" i="549"/>
  <c r="AJ126" i="549" s="1"/>
  <c r="AK126" i="549" s="1"/>
  <c r="T126" i="549"/>
  <c r="AH126" i="549" s="1"/>
  <c r="AG125" i="549"/>
  <c r="V125" i="549"/>
  <c r="U125" i="549"/>
  <c r="AJ125" i="549" s="1"/>
  <c r="AK125" i="549" s="1"/>
  <c r="T125" i="549"/>
  <c r="AH125" i="549" s="1"/>
  <c r="AG124" i="549"/>
  <c r="V124" i="549"/>
  <c r="U124" i="549"/>
  <c r="AJ124" i="549" s="1"/>
  <c r="AK124" i="549" s="1"/>
  <c r="T124" i="549"/>
  <c r="AH124" i="549" s="1"/>
  <c r="AG123" i="549"/>
  <c r="V123" i="549"/>
  <c r="U123" i="549"/>
  <c r="AJ123" i="549" s="1"/>
  <c r="AK123" i="549" s="1"/>
  <c r="T123" i="549"/>
  <c r="AH123" i="549" s="1"/>
  <c r="AG122" i="549"/>
  <c r="V122" i="549"/>
  <c r="U122" i="549"/>
  <c r="AJ122" i="549" s="1"/>
  <c r="AK122" i="549" s="1"/>
  <c r="T122" i="549"/>
  <c r="AH122" i="549" s="1"/>
  <c r="AG121" i="549"/>
  <c r="V121" i="549"/>
  <c r="U121" i="549"/>
  <c r="AJ121" i="549" s="1"/>
  <c r="AK121" i="549" s="1"/>
  <c r="T121" i="549"/>
  <c r="AH121" i="549" s="1"/>
  <c r="AG120" i="549"/>
  <c r="V120" i="549"/>
  <c r="U120" i="549"/>
  <c r="AJ120" i="549" s="1"/>
  <c r="AK120" i="549" s="1"/>
  <c r="T120" i="549"/>
  <c r="AH120" i="549" s="1"/>
  <c r="AG119" i="549"/>
  <c r="V119" i="549"/>
  <c r="U119" i="549"/>
  <c r="AJ119" i="549" s="1"/>
  <c r="AK119" i="549" s="1"/>
  <c r="T119" i="549"/>
  <c r="AH119" i="549" s="1"/>
  <c r="AG118" i="549"/>
  <c r="V118" i="549"/>
  <c r="U118" i="549"/>
  <c r="AJ118" i="549" s="1"/>
  <c r="AK118" i="549" s="1"/>
  <c r="T118" i="549"/>
  <c r="AH118" i="549" s="1"/>
  <c r="AG117" i="549"/>
  <c r="V117" i="549"/>
  <c r="U117" i="549"/>
  <c r="AJ117" i="549" s="1"/>
  <c r="AK117" i="549" s="1"/>
  <c r="T117" i="549"/>
  <c r="AH117" i="549" s="1"/>
  <c r="AG116" i="549"/>
  <c r="V116" i="549"/>
  <c r="U116" i="549"/>
  <c r="AJ116" i="549" s="1"/>
  <c r="AK116" i="549" s="1"/>
  <c r="T116" i="549"/>
  <c r="AH116" i="549" s="1"/>
  <c r="AG115" i="549"/>
  <c r="V115" i="549"/>
  <c r="U115" i="549"/>
  <c r="AJ115" i="549" s="1"/>
  <c r="AK115" i="549" s="1"/>
  <c r="T115" i="549"/>
  <c r="AH115" i="549" s="1"/>
  <c r="AG114" i="549"/>
  <c r="V114" i="549"/>
  <c r="U114" i="549"/>
  <c r="AJ114" i="549" s="1"/>
  <c r="AK114" i="549" s="1"/>
  <c r="T114" i="549"/>
  <c r="AH114" i="549" s="1"/>
  <c r="AG113" i="549"/>
  <c r="V113" i="549"/>
  <c r="U113" i="549"/>
  <c r="AJ113" i="549" s="1"/>
  <c r="AK113" i="549" s="1"/>
  <c r="T113" i="549"/>
  <c r="AH113" i="549" s="1"/>
  <c r="AG112" i="549"/>
  <c r="V112" i="549"/>
  <c r="U112" i="549"/>
  <c r="AJ112" i="549" s="1"/>
  <c r="AK112" i="549" s="1"/>
  <c r="T112" i="549"/>
  <c r="AH112" i="549" s="1"/>
  <c r="AG111" i="549"/>
  <c r="V111" i="549"/>
  <c r="U111" i="549"/>
  <c r="AJ111" i="549" s="1"/>
  <c r="AK111" i="549" s="1"/>
  <c r="T111" i="549"/>
  <c r="AH111" i="549" s="1"/>
  <c r="AG110" i="549"/>
  <c r="V110" i="549"/>
  <c r="U110" i="549"/>
  <c r="AJ110" i="549" s="1"/>
  <c r="AK110" i="549" s="1"/>
  <c r="T110" i="549"/>
  <c r="AH110" i="549" s="1"/>
  <c r="AG109" i="549"/>
  <c r="V109" i="549"/>
  <c r="U109" i="549"/>
  <c r="AJ109" i="549" s="1"/>
  <c r="AK109" i="549" s="1"/>
  <c r="T109" i="549"/>
  <c r="AH109" i="549" s="1"/>
  <c r="AG108" i="549"/>
  <c r="V108" i="549"/>
  <c r="U108" i="549"/>
  <c r="AJ108" i="549" s="1"/>
  <c r="AK108" i="549" s="1"/>
  <c r="T108" i="549"/>
  <c r="AH108" i="549" s="1"/>
  <c r="AG107" i="549"/>
  <c r="V107" i="549"/>
  <c r="U107" i="549"/>
  <c r="AJ107" i="549" s="1"/>
  <c r="AK107" i="549" s="1"/>
  <c r="T107" i="549"/>
  <c r="AH107" i="549" s="1"/>
  <c r="AG106" i="549"/>
  <c r="V106" i="549"/>
  <c r="U106" i="549"/>
  <c r="AJ106" i="549" s="1"/>
  <c r="AK106" i="549" s="1"/>
  <c r="T106" i="549"/>
  <c r="AH106" i="549" s="1"/>
  <c r="AG105" i="549"/>
  <c r="V105" i="549"/>
  <c r="U105" i="549"/>
  <c r="AJ105" i="549" s="1"/>
  <c r="AK105" i="549" s="1"/>
  <c r="T105" i="549"/>
  <c r="AH105" i="549" s="1"/>
  <c r="AG104" i="549"/>
  <c r="V104" i="549"/>
  <c r="U104" i="549"/>
  <c r="AJ104" i="549" s="1"/>
  <c r="AK104" i="549" s="1"/>
  <c r="T104" i="549"/>
  <c r="AH104" i="549" s="1"/>
  <c r="AG103" i="549"/>
  <c r="V103" i="549"/>
  <c r="U103" i="549"/>
  <c r="AJ103" i="549" s="1"/>
  <c r="AK103" i="549" s="1"/>
  <c r="T103" i="549"/>
  <c r="AH103" i="549" s="1"/>
  <c r="AG102" i="549"/>
  <c r="V102" i="549"/>
  <c r="U102" i="549"/>
  <c r="AJ102" i="549" s="1"/>
  <c r="AK102" i="549" s="1"/>
  <c r="T102" i="549"/>
  <c r="AH102" i="549" s="1"/>
  <c r="AG101" i="549"/>
  <c r="V101" i="549"/>
  <c r="U101" i="549"/>
  <c r="AJ101" i="549" s="1"/>
  <c r="AK101" i="549" s="1"/>
  <c r="T101" i="549"/>
  <c r="AH101" i="549" s="1"/>
  <c r="AG100" i="549"/>
  <c r="V100" i="549"/>
  <c r="U100" i="549"/>
  <c r="AJ100" i="549" s="1"/>
  <c r="AK100" i="549" s="1"/>
  <c r="T100" i="549"/>
  <c r="AH100" i="549" s="1"/>
  <c r="AG99" i="549"/>
  <c r="V99" i="549"/>
  <c r="U99" i="549"/>
  <c r="AJ99" i="549" s="1"/>
  <c r="AK99" i="549" s="1"/>
  <c r="T99" i="549"/>
  <c r="AH99" i="549" s="1"/>
  <c r="AG98" i="549"/>
  <c r="V98" i="549"/>
  <c r="U98" i="549"/>
  <c r="AJ98" i="549" s="1"/>
  <c r="AK98" i="549" s="1"/>
  <c r="T98" i="549"/>
  <c r="AH98" i="549" s="1"/>
  <c r="AG97" i="549"/>
  <c r="V97" i="549"/>
  <c r="U97" i="549"/>
  <c r="AJ97" i="549" s="1"/>
  <c r="AK97" i="549" s="1"/>
  <c r="T97" i="549"/>
  <c r="AH97" i="549" s="1"/>
  <c r="AG96" i="549"/>
  <c r="V96" i="549"/>
  <c r="U96" i="549"/>
  <c r="AJ96" i="549" s="1"/>
  <c r="AK96" i="549" s="1"/>
  <c r="T96" i="549"/>
  <c r="AH96" i="549" s="1"/>
  <c r="AG95" i="549"/>
  <c r="V95" i="549"/>
  <c r="U95" i="549"/>
  <c r="AJ95" i="549" s="1"/>
  <c r="AK95" i="549" s="1"/>
  <c r="T95" i="549"/>
  <c r="AH95" i="549" s="1"/>
  <c r="AG94" i="549"/>
  <c r="V94" i="549"/>
  <c r="U94" i="549"/>
  <c r="AJ94" i="549" s="1"/>
  <c r="AK94" i="549" s="1"/>
  <c r="T94" i="549"/>
  <c r="AH94" i="549" s="1"/>
  <c r="AG93" i="549"/>
  <c r="V93" i="549"/>
  <c r="U93" i="549"/>
  <c r="AJ93" i="549" s="1"/>
  <c r="AK93" i="549" s="1"/>
  <c r="T93" i="549"/>
  <c r="AH93" i="549" s="1"/>
  <c r="AG92" i="549"/>
  <c r="V92" i="549"/>
  <c r="U92" i="549"/>
  <c r="AJ92" i="549" s="1"/>
  <c r="AK92" i="549" s="1"/>
  <c r="T92" i="549"/>
  <c r="AH92" i="549" s="1"/>
  <c r="AG91" i="549"/>
  <c r="V91" i="549"/>
  <c r="U91" i="549"/>
  <c r="AJ91" i="549" s="1"/>
  <c r="AK91" i="549" s="1"/>
  <c r="T91" i="549"/>
  <c r="AH91" i="549" s="1"/>
  <c r="AG90" i="549"/>
  <c r="V90" i="549"/>
  <c r="U90" i="549"/>
  <c r="AJ90" i="549" s="1"/>
  <c r="AK90" i="549" s="1"/>
  <c r="T90" i="549"/>
  <c r="AH90" i="549" s="1"/>
  <c r="AG89" i="549"/>
  <c r="V89" i="549"/>
  <c r="U89" i="549"/>
  <c r="AJ89" i="549" s="1"/>
  <c r="AK89" i="549" s="1"/>
  <c r="T89" i="549"/>
  <c r="AH89" i="549" s="1"/>
  <c r="AG88" i="549"/>
  <c r="V88" i="549"/>
  <c r="U88" i="549"/>
  <c r="AJ88" i="549" s="1"/>
  <c r="AK88" i="549" s="1"/>
  <c r="T88" i="549"/>
  <c r="AH88" i="549" s="1"/>
  <c r="AG87" i="549"/>
  <c r="V87" i="549"/>
  <c r="U87" i="549"/>
  <c r="AJ87" i="549" s="1"/>
  <c r="AK87" i="549" s="1"/>
  <c r="T87" i="549"/>
  <c r="AH87" i="549" s="1"/>
  <c r="AG86" i="549"/>
  <c r="V86" i="549"/>
  <c r="U86" i="549"/>
  <c r="AJ86" i="549" s="1"/>
  <c r="AK86" i="549" s="1"/>
  <c r="T86" i="549"/>
  <c r="AH86" i="549" s="1"/>
  <c r="AG85" i="549"/>
  <c r="V85" i="549"/>
  <c r="U85" i="549"/>
  <c r="AJ85" i="549" s="1"/>
  <c r="AK85" i="549" s="1"/>
  <c r="T85" i="549"/>
  <c r="AH85" i="549" s="1"/>
  <c r="AG84" i="549"/>
  <c r="V84" i="549"/>
  <c r="U84" i="549"/>
  <c r="AJ84" i="549" s="1"/>
  <c r="AK84" i="549" s="1"/>
  <c r="T84" i="549"/>
  <c r="AH84" i="549" s="1"/>
  <c r="AG83" i="549"/>
  <c r="V83" i="549"/>
  <c r="U83" i="549"/>
  <c r="AJ83" i="549" s="1"/>
  <c r="AK83" i="549" s="1"/>
  <c r="T83" i="549"/>
  <c r="AH83" i="549" s="1"/>
  <c r="AG82" i="549"/>
  <c r="V82" i="549"/>
  <c r="U82" i="549"/>
  <c r="AJ82" i="549" s="1"/>
  <c r="AK82" i="549" s="1"/>
  <c r="T82" i="549"/>
  <c r="AH82" i="549" s="1"/>
  <c r="AG81" i="549"/>
  <c r="V81" i="549"/>
  <c r="U81" i="549"/>
  <c r="AJ81" i="549" s="1"/>
  <c r="AK81" i="549" s="1"/>
  <c r="T81" i="549"/>
  <c r="AH81" i="549" s="1"/>
  <c r="AG80" i="549"/>
  <c r="V80" i="549"/>
  <c r="U80" i="549"/>
  <c r="AJ80" i="549" s="1"/>
  <c r="AK80" i="549" s="1"/>
  <c r="T80" i="549"/>
  <c r="AH80" i="549" s="1"/>
  <c r="AG79" i="549"/>
  <c r="V79" i="549"/>
  <c r="U79" i="549"/>
  <c r="AJ79" i="549" s="1"/>
  <c r="AK79" i="549" s="1"/>
  <c r="T79" i="549"/>
  <c r="AH79" i="549" s="1"/>
  <c r="AG78" i="549"/>
  <c r="V78" i="549"/>
  <c r="U78" i="549"/>
  <c r="AJ78" i="549" s="1"/>
  <c r="AK78" i="549" s="1"/>
  <c r="T78" i="549"/>
  <c r="AH78" i="549" s="1"/>
  <c r="AG77" i="549"/>
  <c r="V77" i="549"/>
  <c r="U77" i="549"/>
  <c r="AJ77" i="549" s="1"/>
  <c r="AK77" i="549" s="1"/>
  <c r="T77" i="549"/>
  <c r="AH77" i="549" s="1"/>
  <c r="AG76" i="549"/>
  <c r="V76" i="549"/>
  <c r="U76" i="549"/>
  <c r="AJ76" i="549" s="1"/>
  <c r="AK76" i="549" s="1"/>
  <c r="T76" i="549"/>
  <c r="AH76" i="549" s="1"/>
  <c r="AG75" i="549"/>
  <c r="V75" i="549"/>
  <c r="U75" i="549"/>
  <c r="AJ75" i="549" s="1"/>
  <c r="AK75" i="549" s="1"/>
  <c r="T75" i="549"/>
  <c r="AH75" i="549" s="1"/>
  <c r="AG74" i="549"/>
  <c r="V74" i="549"/>
  <c r="U74" i="549"/>
  <c r="AJ74" i="549" s="1"/>
  <c r="AK74" i="549" s="1"/>
  <c r="T74" i="549"/>
  <c r="AH74" i="549" s="1"/>
  <c r="AG73" i="549"/>
  <c r="V73" i="549"/>
  <c r="U73" i="549"/>
  <c r="AJ73" i="549" s="1"/>
  <c r="AK73" i="549" s="1"/>
  <c r="T73" i="549"/>
  <c r="AH73" i="549" s="1"/>
  <c r="AG72" i="549"/>
  <c r="V72" i="549"/>
  <c r="U72" i="549"/>
  <c r="AJ72" i="549" s="1"/>
  <c r="AK72" i="549" s="1"/>
  <c r="T72" i="549"/>
  <c r="AH72" i="549" s="1"/>
  <c r="AG71" i="549"/>
  <c r="V71" i="549"/>
  <c r="U71" i="549"/>
  <c r="AJ71" i="549" s="1"/>
  <c r="AK71" i="549" s="1"/>
  <c r="T71" i="549"/>
  <c r="AH71" i="549" s="1"/>
  <c r="AG70" i="549"/>
  <c r="V70" i="549"/>
  <c r="U70" i="549"/>
  <c r="AJ70" i="549" s="1"/>
  <c r="AK70" i="549" s="1"/>
  <c r="T70" i="549"/>
  <c r="AH70" i="549" s="1"/>
  <c r="AG69" i="549"/>
  <c r="V69" i="549"/>
  <c r="U69" i="549"/>
  <c r="AJ69" i="549" s="1"/>
  <c r="AK69" i="549" s="1"/>
  <c r="T69" i="549"/>
  <c r="AH69" i="549" s="1"/>
  <c r="AG68" i="549"/>
  <c r="V68" i="549"/>
  <c r="U68" i="549"/>
  <c r="AJ68" i="549" s="1"/>
  <c r="AK68" i="549" s="1"/>
  <c r="T68" i="549"/>
  <c r="AH68" i="549" s="1"/>
  <c r="AG67" i="549"/>
  <c r="V67" i="549"/>
  <c r="U67" i="549"/>
  <c r="AJ67" i="549" s="1"/>
  <c r="AK67" i="549" s="1"/>
  <c r="T67" i="549"/>
  <c r="AH67" i="549" s="1"/>
  <c r="AG66" i="549"/>
  <c r="V66" i="549"/>
  <c r="U66" i="549"/>
  <c r="AJ66" i="549" s="1"/>
  <c r="AK66" i="549" s="1"/>
  <c r="T66" i="549"/>
  <c r="AH66" i="549" s="1"/>
  <c r="AG65" i="549"/>
  <c r="V65" i="549"/>
  <c r="U65" i="549"/>
  <c r="AJ65" i="549" s="1"/>
  <c r="AK65" i="549" s="1"/>
  <c r="T65" i="549"/>
  <c r="AH65" i="549" s="1"/>
  <c r="AG64" i="549"/>
  <c r="V64" i="549"/>
  <c r="U64" i="549"/>
  <c r="AJ64" i="549" s="1"/>
  <c r="AK64" i="549" s="1"/>
  <c r="T64" i="549"/>
  <c r="AH64" i="549" s="1"/>
  <c r="AG63" i="549"/>
  <c r="V63" i="549"/>
  <c r="U63" i="549"/>
  <c r="AJ63" i="549" s="1"/>
  <c r="AK63" i="549" s="1"/>
  <c r="T63" i="549"/>
  <c r="AH63" i="549" s="1"/>
  <c r="AG62" i="549"/>
  <c r="V62" i="549"/>
  <c r="U62" i="549"/>
  <c r="AJ62" i="549" s="1"/>
  <c r="AK62" i="549" s="1"/>
  <c r="T62" i="549"/>
  <c r="AH62" i="549" s="1"/>
  <c r="AG61" i="549"/>
  <c r="V61" i="549"/>
  <c r="U61" i="549"/>
  <c r="AJ61" i="549" s="1"/>
  <c r="AK61" i="549" s="1"/>
  <c r="T61" i="549"/>
  <c r="AH61" i="549" s="1"/>
  <c r="AG60" i="549"/>
  <c r="V60" i="549"/>
  <c r="U60" i="549"/>
  <c r="AJ60" i="549" s="1"/>
  <c r="AK60" i="549" s="1"/>
  <c r="T60" i="549"/>
  <c r="AH60" i="549" s="1"/>
  <c r="AG59" i="549"/>
  <c r="V59" i="549"/>
  <c r="U59" i="549"/>
  <c r="AJ59" i="549" s="1"/>
  <c r="AK59" i="549" s="1"/>
  <c r="T59" i="549"/>
  <c r="AH59" i="549" s="1"/>
  <c r="AG58" i="549"/>
  <c r="V58" i="549"/>
  <c r="U58" i="549"/>
  <c r="AJ58" i="549" s="1"/>
  <c r="AK58" i="549" s="1"/>
  <c r="T58" i="549"/>
  <c r="AH58" i="549" s="1"/>
  <c r="AG57" i="549"/>
  <c r="V57" i="549"/>
  <c r="U57" i="549"/>
  <c r="AJ57" i="549" s="1"/>
  <c r="AK57" i="549" s="1"/>
  <c r="T57" i="549"/>
  <c r="AH57" i="549" s="1"/>
  <c r="AG56" i="549"/>
  <c r="V56" i="549"/>
  <c r="U56" i="549"/>
  <c r="AJ56" i="549" s="1"/>
  <c r="AK56" i="549" s="1"/>
  <c r="T56" i="549"/>
  <c r="AH56" i="549" s="1"/>
  <c r="AG55" i="549"/>
  <c r="V55" i="549"/>
  <c r="U55" i="549"/>
  <c r="AJ55" i="549" s="1"/>
  <c r="AK55" i="549" s="1"/>
  <c r="T55" i="549"/>
  <c r="AH55" i="549" s="1"/>
  <c r="AG54" i="549"/>
  <c r="V54" i="549"/>
  <c r="U54" i="549"/>
  <c r="AJ54" i="549" s="1"/>
  <c r="AK54" i="549" s="1"/>
  <c r="T54" i="549"/>
  <c r="AH54" i="549" s="1"/>
  <c r="AG53" i="549"/>
  <c r="V53" i="549"/>
  <c r="U53" i="549"/>
  <c r="AJ53" i="549" s="1"/>
  <c r="AK53" i="549" s="1"/>
  <c r="T53" i="549"/>
  <c r="AH53" i="549" s="1"/>
  <c r="AG52" i="549"/>
  <c r="V52" i="549"/>
  <c r="U52" i="549"/>
  <c r="AJ52" i="549" s="1"/>
  <c r="AK52" i="549" s="1"/>
  <c r="T52" i="549"/>
  <c r="AH52" i="549" s="1"/>
  <c r="AG51" i="549"/>
  <c r="V51" i="549"/>
  <c r="U51" i="549"/>
  <c r="AJ51" i="549" s="1"/>
  <c r="AK51" i="549" s="1"/>
  <c r="T51" i="549"/>
  <c r="AH51" i="549" s="1"/>
  <c r="AG50" i="549"/>
  <c r="V50" i="549"/>
  <c r="U50" i="549"/>
  <c r="AJ50" i="549" s="1"/>
  <c r="AK50" i="549" s="1"/>
  <c r="T50" i="549"/>
  <c r="AH50" i="549" s="1"/>
  <c r="AG49" i="549"/>
  <c r="V49" i="549"/>
  <c r="U49" i="549"/>
  <c r="AJ49" i="549" s="1"/>
  <c r="AK49" i="549" s="1"/>
  <c r="T49" i="549"/>
  <c r="AH49" i="549" s="1"/>
  <c r="AG48" i="549"/>
  <c r="V48" i="549"/>
  <c r="U48" i="549"/>
  <c r="AJ48" i="549" s="1"/>
  <c r="AK48" i="549" s="1"/>
  <c r="T48" i="549"/>
  <c r="AH48" i="549" s="1"/>
  <c r="AG47" i="549"/>
  <c r="V47" i="549"/>
  <c r="U47" i="549"/>
  <c r="AJ47" i="549" s="1"/>
  <c r="AK47" i="549" s="1"/>
  <c r="T47" i="549"/>
  <c r="AH47" i="549" s="1"/>
  <c r="AG46" i="549"/>
  <c r="V46" i="549"/>
  <c r="U46" i="549"/>
  <c r="AJ46" i="549" s="1"/>
  <c r="AK46" i="549" s="1"/>
  <c r="T46" i="549"/>
  <c r="AH46" i="549" s="1"/>
  <c r="AG45" i="549"/>
  <c r="V45" i="549"/>
  <c r="U45" i="549"/>
  <c r="AJ45" i="549" s="1"/>
  <c r="AK45" i="549" s="1"/>
  <c r="T45" i="549"/>
  <c r="AH45" i="549" s="1"/>
  <c r="AG44" i="549"/>
  <c r="V44" i="549"/>
  <c r="U44" i="549"/>
  <c r="AJ44" i="549" s="1"/>
  <c r="AK44" i="549" s="1"/>
  <c r="T44" i="549"/>
  <c r="AH44" i="549" s="1"/>
  <c r="AG43" i="549"/>
  <c r="V43" i="549"/>
  <c r="U43" i="549"/>
  <c r="AJ43" i="549" s="1"/>
  <c r="AK43" i="549" s="1"/>
  <c r="T43" i="549"/>
  <c r="AH43" i="549" s="1"/>
  <c r="AG42" i="549"/>
  <c r="V42" i="549"/>
  <c r="U42" i="549"/>
  <c r="AJ42" i="549" s="1"/>
  <c r="AK42" i="549" s="1"/>
  <c r="T42" i="549"/>
  <c r="AH42" i="549" s="1"/>
  <c r="AG41" i="549"/>
  <c r="V41" i="549"/>
  <c r="U41" i="549"/>
  <c r="AJ41" i="549" s="1"/>
  <c r="AK41" i="549" s="1"/>
  <c r="T41" i="549"/>
  <c r="AH41" i="549" s="1"/>
  <c r="AG40" i="549"/>
  <c r="V40" i="549"/>
  <c r="U40" i="549"/>
  <c r="AJ40" i="549" s="1"/>
  <c r="AK40" i="549" s="1"/>
  <c r="T40" i="549"/>
  <c r="AH40" i="549" s="1"/>
  <c r="AG39" i="549"/>
  <c r="V39" i="549"/>
  <c r="U39" i="549"/>
  <c r="AJ39" i="549" s="1"/>
  <c r="AK39" i="549" s="1"/>
  <c r="T39" i="549"/>
  <c r="AH39" i="549" s="1"/>
  <c r="AG38" i="549"/>
  <c r="V38" i="549"/>
  <c r="U38" i="549"/>
  <c r="AJ38" i="549" s="1"/>
  <c r="AK38" i="549" s="1"/>
  <c r="T38" i="549"/>
  <c r="AH38" i="549" s="1"/>
  <c r="AG37" i="549"/>
  <c r="V37" i="549"/>
  <c r="U37" i="549"/>
  <c r="AJ37" i="549" s="1"/>
  <c r="AK37" i="549" s="1"/>
  <c r="T37" i="549"/>
  <c r="AH37" i="549" s="1"/>
  <c r="AG36" i="549"/>
  <c r="V36" i="549"/>
  <c r="U36" i="549"/>
  <c r="AJ36" i="549" s="1"/>
  <c r="AK36" i="549" s="1"/>
  <c r="T36" i="549"/>
  <c r="AH36" i="549" s="1"/>
  <c r="AG35" i="549"/>
  <c r="V35" i="549"/>
  <c r="U35" i="549"/>
  <c r="AJ35" i="549" s="1"/>
  <c r="AK35" i="549" s="1"/>
  <c r="T35" i="549"/>
  <c r="AH35" i="549" s="1"/>
  <c r="AG34" i="549"/>
  <c r="V34" i="549"/>
  <c r="U34" i="549"/>
  <c r="AJ34" i="549" s="1"/>
  <c r="AK34" i="549" s="1"/>
  <c r="T34" i="549"/>
  <c r="AH34" i="549" s="1"/>
  <c r="AG33" i="549"/>
  <c r="V33" i="549"/>
  <c r="U33" i="549"/>
  <c r="AJ33" i="549" s="1"/>
  <c r="AK33" i="549" s="1"/>
  <c r="T33" i="549"/>
  <c r="AH33" i="549" s="1"/>
  <c r="AG32" i="549"/>
  <c r="V32" i="549"/>
  <c r="U32" i="549"/>
  <c r="AJ32" i="549" s="1"/>
  <c r="AK32" i="549" s="1"/>
  <c r="T32" i="549"/>
  <c r="AH32" i="549" s="1"/>
  <c r="AG31" i="549"/>
  <c r="V31" i="549"/>
  <c r="U31" i="549"/>
  <c r="AJ31" i="549" s="1"/>
  <c r="AK31" i="549" s="1"/>
  <c r="T31" i="549"/>
  <c r="AH31" i="549" s="1"/>
  <c r="AG30" i="549"/>
  <c r="V30" i="549"/>
  <c r="U30" i="549"/>
  <c r="AJ30" i="549" s="1"/>
  <c r="AK30" i="549" s="1"/>
  <c r="T30" i="549"/>
  <c r="AH30" i="549" s="1"/>
  <c r="AJ29" i="549"/>
  <c r="AK27" i="549" s="1"/>
  <c r="AG29" i="549"/>
  <c r="AF29" i="549"/>
  <c r="U29" i="549"/>
  <c r="T29" i="549"/>
  <c r="AH29" i="549" s="1"/>
  <c r="AJ28" i="549"/>
  <c r="AG28" i="549"/>
  <c r="AF28" i="549"/>
  <c r="U28" i="549"/>
  <c r="T28" i="549"/>
  <c r="AH28" i="549" s="1"/>
  <c r="AG27" i="549"/>
  <c r="AF27" i="549"/>
  <c r="V27" i="549"/>
  <c r="AJ27" i="549" s="1"/>
  <c r="U27" i="549"/>
  <c r="T27" i="549"/>
  <c r="AH27" i="549" s="1"/>
  <c r="AI27" i="549" s="1"/>
  <c r="AJ26" i="549"/>
  <c r="AI26" i="549"/>
  <c r="AM26" i="549" s="1"/>
  <c r="AF26" i="549"/>
  <c r="AJ25" i="549"/>
  <c r="AI25" i="549"/>
  <c r="AM25" i="549" s="1"/>
  <c r="AF25" i="549"/>
  <c r="AJ24" i="549"/>
  <c r="AI24" i="549"/>
  <c r="AM24" i="549" s="1"/>
  <c r="AF24" i="549"/>
  <c r="AJ23" i="549"/>
  <c r="AI23" i="549"/>
  <c r="AM23" i="549" s="1"/>
  <c r="AF23" i="549"/>
  <c r="AJ22" i="549"/>
  <c r="AI22" i="549"/>
  <c r="AM22" i="549" s="1"/>
  <c r="AF22" i="549"/>
  <c r="AL21" i="549"/>
  <c r="AK21" i="549"/>
  <c r="AJ21" i="549"/>
  <c r="AI21" i="549"/>
  <c r="AF21" i="549"/>
  <c r="AJ20" i="549"/>
  <c r="AH20" i="549"/>
  <c r="AG20" i="549"/>
  <c r="AJ19" i="549"/>
  <c r="AH19" i="549"/>
  <c r="AG19" i="549"/>
  <c r="AJ18" i="549"/>
  <c r="AH18" i="549"/>
  <c r="AG18" i="549"/>
  <c r="AJ17" i="549"/>
  <c r="AK17" i="549" s="1"/>
  <c r="AL17" i="549" s="1"/>
  <c r="AG17" i="549"/>
  <c r="AH17" i="549" s="1"/>
  <c r="AI17" i="549" s="1"/>
  <c r="O4" i="549"/>
  <c r="I4" i="549"/>
  <c r="G4" i="549"/>
  <c r="AR2" i="549"/>
  <c r="G2" i="549"/>
  <c r="AM27" i="549" l="1"/>
  <c r="AM21" i="549"/>
  <c r="AL29" i="549"/>
  <c r="AI29" i="549"/>
  <c r="AM29" i="549" s="1"/>
  <c r="AI33" i="549"/>
  <c r="AM33" i="549" s="1"/>
  <c r="AL33" i="549"/>
  <c r="AI37" i="549"/>
  <c r="AM37" i="549" s="1"/>
  <c r="AL37" i="549"/>
  <c r="AI41" i="549"/>
  <c r="AM41" i="549" s="1"/>
  <c r="AL41" i="549"/>
  <c r="AI45" i="549"/>
  <c r="AM45" i="549" s="1"/>
  <c r="AL45" i="549"/>
  <c r="AI49" i="549"/>
  <c r="AM49" i="549" s="1"/>
  <c r="AL49" i="549"/>
  <c r="AI53" i="549"/>
  <c r="AM53" i="549" s="1"/>
  <c r="AL53" i="549"/>
  <c r="AI63" i="549"/>
  <c r="AM63" i="549" s="1"/>
  <c r="AL63" i="549"/>
  <c r="AI67" i="549"/>
  <c r="AM67" i="549" s="1"/>
  <c r="AL67" i="549"/>
  <c r="AI71" i="549"/>
  <c r="AM71" i="549" s="1"/>
  <c r="AL71" i="549"/>
  <c r="AI75" i="549"/>
  <c r="AM75" i="549" s="1"/>
  <c r="AL75" i="549"/>
  <c r="AI79" i="549"/>
  <c r="AM79" i="549" s="1"/>
  <c r="AL79" i="549"/>
  <c r="AI83" i="549"/>
  <c r="AM83" i="549" s="1"/>
  <c r="AL83" i="549"/>
  <c r="AI87" i="549"/>
  <c r="AM87" i="549" s="1"/>
  <c r="AL87" i="549"/>
  <c r="AI30" i="549"/>
  <c r="AM30" i="549" s="1"/>
  <c r="AL30" i="549"/>
  <c r="AI34" i="549"/>
  <c r="AM34" i="549" s="1"/>
  <c r="AL34" i="549"/>
  <c r="AI38" i="549"/>
  <c r="AM38" i="549" s="1"/>
  <c r="AL38" i="549"/>
  <c r="AI42" i="549"/>
  <c r="AM42" i="549" s="1"/>
  <c r="AL42" i="549"/>
  <c r="AI46" i="549"/>
  <c r="AM46" i="549" s="1"/>
  <c r="AL46" i="549"/>
  <c r="AI50" i="549"/>
  <c r="AM50" i="549" s="1"/>
  <c r="AL50" i="549"/>
  <c r="AI54" i="549"/>
  <c r="AM54" i="549" s="1"/>
  <c r="AL54" i="549"/>
  <c r="AI59" i="549"/>
  <c r="AM59" i="549" s="1"/>
  <c r="AL59" i="549"/>
  <c r="AI60" i="549"/>
  <c r="AM60" i="549" s="1"/>
  <c r="AL60" i="549"/>
  <c r="AI64" i="549"/>
  <c r="AM64" i="549" s="1"/>
  <c r="AL64" i="549"/>
  <c r="AI68" i="549"/>
  <c r="AM68" i="549" s="1"/>
  <c r="AL68" i="549"/>
  <c r="AI72" i="549"/>
  <c r="AM72" i="549" s="1"/>
  <c r="AL72" i="549"/>
  <c r="AI76" i="549"/>
  <c r="AM76" i="549" s="1"/>
  <c r="AL76" i="549"/>
  <c r="AI80" i="549"/>
  <c r="AM80" i="549" s="1"/>
  <c r="AL80" i="549"/>
  <c r="AI31" i="549"/>
  <c r="AM31" i="549" s="1"/>
  <c r="AL31" i="549"/>
  <c r="AI35" i="549"/>
  <c r="AM35" i="549" s="1"/>
  <c r="AL35" i="549"/>
  <c r="AI39" i="549"/>
  <c r="AM39" i="549" s="1"/>
  <c r="AL39" i="549"/>
  <c r="AI43" i="549"/>
  <c r="AM43" i="549" s="1"/>
  <c r="AL43" i="549"/>
  <c r="AI47" i="549"/>
  <c r="AM47" i="549" s="1"/>
  <c r="AL47" i="549"/>
  <c r="AI51" i="549"/>
  <c r="AM51" i="549" s="1"/>
  <c r="AL51" i="549"/>
  <c r="AI55" i="549"/>
  <c r="AM55" i="549" s="1"/>
  <c r="AL55" i="549"/>
  <c r="AI56" i="549"/>
  <c r="AM56" i="549" s="1"/>
  <c r="AL56" i="549"/>
  <c r="AI61" i="549"/>
  <c r="AM61" i="549" s="1"/>
  <c r="AL61" i="549"/>
  <c r="AI65" i="549"/>
  <c r="AM65" i="549" s="1"/>
  <c r="AL65" i="549"/>
  <c r="AI69" i="549"/>
  <c r="AM69" i="549" s="1"/>
  <c r="AL69" i="549"/>
  <c r="AI73" i="549"/>
  <c r="AM73" i="549" s="1"/>
  <c r="AL73" i="549"/>
  <c r="AI77" i="549"/>
  <c r="AM77" i="549" s="1"/>
  <c r="AL77" i="549"/>
  <c r="AI81" i="549"/>
  <c r="AM81" i="549" s="1"/>
  <c r="AL81" i="549"/>
  <c r="AI85" i="549"/>
  <c r="AM85" i="549" s="1"/>
  <c r="AL85" i="549"/>
  <c r="AI28" i="549"/>
  <c r="AM28" i="549" s="1"/>
  <c r="AL28" i="549"/>
  <c r="AI32" i="549"/>
  <c r="AM32" i="549" s="1"/>
  <c r="AL32" i="549"/>
  <c r="AI36" i="549"/>
  <c r="AM36" i="549" s="1"/>
  <c r="AL36" i="549"/>
  <c r="AI40" i="549"/>
  <c r="AM40" i="549" s="1"/>
  <c r="AL40" i="549"/>
  <c r="AI44" i="549"/>
  <c r="AM44" i="549" s="1"/>
  <c r="AL44" i="549"/>
  <c r="AI48" i="549"/>
  <c r="AM48" i="549" s="1"/>
  <c r="AL48" i="549"/>
  <c r="AI52" i="549"/>
  <c r="AM52" i="549" s="1"/>
  <c r="AL52" i="549"/>
  <c r="AI57" i="549"/>
  <c r="AM57" i="549" s="1"/>
  <c r="AL57" i="549"/>
  <c r="AI58" i="549"/>
  <c r="AM58" i="549" s="1"/>
  <c r="AL58" i="549"/>
  <c r="AI62" i="549"/>
  <c r="AM62" i="549" s="1"/>
  <c r="AL62" i="549"/>
  <c r="AI66" i="549"/>
  <c r="AM66" i="549" s="1"/>
  <c r="AL66" i="549"/>
  <c r="AI70" i="549"/>
  <c r="AM70" i="549" s="1"/>
  <c r="AL70" i="549"/>
  <c r="AI74" i="549"/>
  <c r="AM74" i="549" s="1"/>
  <c r="AL74" i="549"/>
  <c r="AI78" i="549"/>
  <c r="AM78" i="549" s="1"/>
  <c r="AL78" i="549"/>
  <c r="AL27" i="549"/>
  <c r="AI91" i="549"/>
  <c r="AM91" i="549" s="1"/>
  <c r="AL91" i="549"/>
  <c r="AI95" i="549"/>
  <c r="AM95" i="549" s="1"/>
  <c r="AL95" i="549"/>
  <c r="AI101" i="549"/>
  <c r="AM101" i="549" s="1"/>
  <c r="AL101" i="549"/>
  <c r="AI102" i="549"/>
  <c r="AM102" i="549" s="1"/>
  <c r="AL102" i="549"/>
  <c r="AI105" i="549"/>
  <c r="AM105" i="549" s="1"/>
  <c r="AL105" i="549"/>
  <c r="AI109" i="549"/>
  <c r="AM109" i="549" s="1"/>
  <c r="AL109" i="549"/>
  <c r="AI113" i="549"/>
  <c r="AM113" i="549" s="1"/>
  <c r="AL113" i="549"/>
  <c r="AI117" i="549"/>
  <c r="AM117" i="549" s="1"/>
  <c r="AL117" i="549"/>
  <c r="AI121" i="549"/>
  <c r="AM121" i="549" s="1"/>
  <c r="AL121" i="549"/>
  <c r="AI125" i="549"/>
  <c r="AM125" i="549" s="1"/>
  <c r="AL125" i="549"/>
  <c r="AI129" i="549"/>
  <c r="AM129" i="549" s="1"/>
  <c r="AL129" i="549"/>
  <c r="AI133" i="549"/>
  <c r="AM133" i="549" s="1"/>
  <c r="AL133" i="549"/>
  <c r="AI137" i="549"/>
  <c r="AM137" i="549" s="1"/>
  <c r="AL137" i="549"/>
  <c r="AL82" i="549"/>
  <c r="AI82" i="549"/>
  <c r="AM82" i="549" s="1"/>
  <c r="AL84" i="549"/>
  <c r="AI84" i="549"/>
  <c r="AM84" i="549" s="1"/>
  <c r="AL86" i="549"/>
  <c r="AI86" i="549"/>
  <c r="AM86" i="549" s="1"/>
  <c r="AL88" i="549"/>
  <c r="AI88" i="549"/>
  <c r="AM88" i="549" s="1"/>
  <c r="AL92" i="549"/>
  <c r="AI92" i="549"/>
  <c r="AM92" i="549" s="1"/>
  <c r="AL96" i="549"/>
  <c r="AI96" i="549"/>
  <c r="AM96" i="549" s="1"/>
  <c r="AI103" i="549"/>
  <c r="AM103" i="549" s="1"/>
  <c r="AL103" i="549"/>
  <c r="AI106" i="549"/>
  <c r="AM106" i="549" s="1"/>
  <c r="AL106" i="549"/>
  <c r="AI110" i="549"/>
  <c r="AM110" i="549" s="1"/>
  <c r="AL110" i="549"/>
  <c r="AI114" i="549"/>
  <c r="AM114" i="549" s="1"/>
  <c r="AL114" i="549"/>
  <c r="AI118" i="549"/>
  <c r="AM118" i="549" s="1"/>
  <c r="AL118" i="549"/>
  <c r="AI122" i="549"/>
  <c r="AM122" i="549" s="1"/>
  <c r="AL122" i="549"/>
  <c r="AI126" i="549"/>
  <c r="AM126" i="549" s="1"/>
  <c r="AL126" i="549"/>
  <c r="AI130" i="549"/>
  <c r="AM130" i="549" s="1"/>
  <c r="AL130" i="549"/>
  <c r="AI134" i="549"/>
  <c r="AM134" i="549" s="1"/>
  <c r="AL134" i="549"/>
  <c r="AI138" i="549"/>
  <c r="AM138" i="549" s="1"/>
  <c r="AL138" i="549"/>
  <c r="AI89" i="549"/>
  <c r="AM89" i="549" s="1"/>
  <c r="AL89" i="549"/>
  <c r="AI93" i="549"/>
  <c r="AM93" i="549" s="1"/>
  <c r="AL93" i="549"/>
  <c r="AI97" i="549"/>
  <c r="AM97" i="549" s="1"/>
  <c r="AL97" i="549"/>
  <c r="AL98" i="549"/>
  <c r="AI98" i="549"/>
  <c r="AM98" i="549" s="1"/>
  <c r="AI107" i="549"/>
  <c r="AM107" i="549" s="1"/>
  <c r="AL107" i="549"/>
  <c r="AI111" i="549"/>
  <c r="AM111" i="549" s="1"/>
  <c r="AL111" i="549"/>
  <c r="AI115" i="549"/>
  <c r="AM115" i="549" s="1"/>
  <c r="AL115" i="549"/>
  <c r="AI119" i="549"/>
  <c r="AM119" i="549" s="1"/>
  <c r="AL119" i="549"/>
  <c r="AI123" i="549"/>
  <c r="AM123" i="549" s="1"/>
  <c r="AL123" i="549"/>
  <c r="AI127" i="549"/>
  <c r="AM127" i="549" s="1"/>
  <c r="AL127" i="549"/>
  <c r="AI131" i="549"/>
  <c r="AM131" i="549" s="1"/>
  <c r="AL131" i="549"/>
  <c r="AI135" i="549"/>
  <c r="AM135" i="549" s="1"/>
  <c r="AL135" i="549"/>
  <c r="AI139" i="549"/>
  <c r="AM139" i="549" s="1"/>
  <c r="AL139" i="549"/>
  <c r="AL90" i="549"/>
  <c r="AI90" i="549"/>
  <c r="AM90" i="549" s="1"/>
  <c r="AL94" i="549"/>
  <c r="AI94" i="549"/>
  <c r="AM94" i="549" s="1"/>
  <c r="AI99" i="549"/>
  <c r="AM99" i="549" s="1"/>
  <c r="AL99" i="549"/>
  <c r="AL100" i="549"/>
  <c r="AI100" i="549"/>
  <c r="AM100" i="549" s="1"/>
  <c r="AI104" i="549"/>
  <c r="AM104" i="549" s="1"/>
  <c r="AL104" i="549"/>
  <c r="AI108" i="549"/>
  <c r="AM108" i="549" s="1"/>
  <c r="AL108" i="549"/>
  <c r="AI112" i="549"/>
  <c r="AM112" i="549" s="1"/>
  <c r="AL112" i="549"/>
  <c r="AI116" i="549"/>
  <c r="AM116" i="549" s="1"/>
  <c r="AL116" i="549"/>
  <c r="AI120" i="549"/>
  <c r="AM120" i="549" s="1"/>
  <c r="AL120" i="549"/>
  <c r="AI124" i="549"/>
  <c r="AM124" i="549" s="1"/>
  <c r="AL124" i="549"/>
  <c r="AI128" i="549"/>
  <c r="AM128" i="549" s="1"/>
  <c r="AL128" i="549"/>
  <c r="AI132" i="549"/>
  <c r="AM132" i="549" s="1"/>
  <c r="AL132" i="549"/>
  <c r="AI136" i="549"/>
  <c r="AM136" i="549" s="1"/>
  <c r="AL136" i="549"/>
  <c r="AI141" i="549"/>
  <c r="AM141" i="549" s="1"/>
  <c r="AL141" i="549"/>
  <c r="AI145" i="549"/>
  <c r="AM145" i="549" s="1"/>
  <c r="AL145" i="549"/>
  <c r="AI149" i="549"/>
  <c r="AM149" i="549" s="1"/>
  <c r="AL149" i="549"/>
  <c r="AI153" i="549"/>
  <c r="AM153" i="549" s="1"/>
  <c r="AL153" i="549"/>
  <c r="AI157" i="549"/>
  <c r="AM157" i="549" s="1"/>
  <c r="AL157" i="549"/>
  <c r="AI142" i="549"/>
  <c r="AM142" i="549" s="1"/>
  <c r="AL142" i="549"/>
  <c r="AI146" i="549"/>
  <c r="AM146" i="549" s="1"/>
  <c r="AL146" i="549"/>
  <c r="AI150" i="549"/>
  <c r="AM150" i="549" s="1"/>
  <c r="AL150" i="549"/>
  <c r="AI154" i="549"/>
  <c r="AM154" i="549" s="1"/>
  <c r="AL154" i="549"/>
  <c r="AI143" i="549"/>
  <c r="AM143" i="549" s="1"/>
  <c r="AL143" i="549"/>
  <c r="AI147" i="549"/>
  <c r="AM147" i="549" s="1"/>
  <c r="AL147" i="549"/>
  <c r="AI151" i="549"/>
  <c r="AM151" i="549" s="1"/>
  <c r="AL151" i="549"/>
  <c r="AI155" i="549"/>
  <c r="AM155" i="549" s="1"/>
  <c r="AL155" i="549"/>
  <c r="AI140" i="549"/>
  <c r="AM140" i="549" s="1"/>
  <c r="AL140" i="549"/>
  <c r="AI144" i="549"/>
  <c r="AM144" i="549" s="1"/>
  <c r="AL144" i="549"/>
  <c r="AI148" i="549"/>
  <c r="AM148" i="549" s="1"/>
  <c r="AL148" i="549"/>
  <c r="AI152" i="549"/>
  <c r="AM152" i="549" s="1"/>
  <c r="AL152" i="549"/>
  <c r="AI156" i="549"/>
  <c r="AM156" i="549" s="1"/>
  <c r="AL156" i="549"/>
  <c r="AG169" i="548" l="1"/>
  <c r="V169" i="548"/>
  <c r="U169" i="548"/>
  <c r="AJ169" i="548" s="1"/>
  <c r="AK169" i="548" s="1"/>
  <c r="T169" i="548"/>
  <c r="AH169" i="548" s="1"/>
  <c r="AG168" i="548"/>
  <c r="V168" i="548"/>
  <c r="U168" i="548"/>
  <c r="AJ168" i="548" s="1"/>
  <c r="AK168" i="548" s="1"/>
  <c r="T168" i="548"/>
  <c r="AH168" i="548" s="1"/>
  <c r="AG167" i="548"/>
  <c r="V167" i="548"/>
  <c r="U167" i="548"/>
  <c r="AJ167" i="548" s="1"/>
  <c r="AK167" i="548" s="1"/>
  <c r="T167" i="548"/>
  <c r="AH167" i="548" s="1"/>
  <c r="AG166" i="548"/>
  <c r="V166" i="548"/>
  <c r="U166" i="548"/>
  <c r="AJ166" i="548" s="1"/>
  <c r="AK166" i="548" s="1"/>
  <c r="T166" i="548"/>
  <c r="AH166" i="548" s="1"/>
  <c r="AG165" i="548"/>
  <c r="V165" i="548"/>
  <c r="U165" i="548"/>
  <c r="AJ165" i="548" s="1"/>
  <c r="AK165" i="548" s="1"/>
  <c r="T165" i="548"/>
  <c r="AH165" i="548" s="1"/>
  <c r="AG164" i="548"/>
  <c r="V164" i="548"/>
  <c r="U164" i="548"/>
  <c r="AJ164" i="548" s="1"/>
  <c r="AK164" i="548" s="1"/>
  <c r="T164" i="548"/>
  <c r="AH164" i="548" s="1"/>
  <c r="AG163" i="548"/>
  <c r="V163" i="548"/>
  <c r="U163" i="548"/>
  <c r="AJ163" i="548" s="1"/>
  <c r="AK163" i="548" s="1"/>
  <c r="T163" i="548"/>
  <c r="AH163" i="548" s="1"/>
  <c r="AG162" i="548"/>
  <c r="V162" i="548"/>
  <c r="U162" i="548"/>
  <c r="AJ162" i="548" s="1"/>
  <c r="AK162" i="548" s="1"/>
  <c r="T162" i="548"/>
  <c r="AH162" i="548" s="1"/>
  <c r="AG161" i="548"/>
  <c r="V161" i="548"/>
  <c r="U161" i="548"/>
  <c r="AJ161" i="548" s="1"/>
  <c r="AK161" i="548" s="1"/>
  <c r="T161" i="548"/>
  <c r="AH161" i="548" s="1"/>
  <c r="AG160" i="548"/>
  <c r="V160" i="548"/>
  <c r="U160" i="548"/>
  <c r="AJ160" i="548" s="1"/>
  <c r="AK160" i="548" s="1"/>
  <c r="T160" i="548"/>
  <c r="AH160" i="548" s="1"/>
  <c r="AG159" i="548"/>
  <c r="V159" i="548"/>
  <c r="U159" i="548"/>
  <c r="AJ159" i="548" s="1"/>
  <c r="AK159" i="548" s="1"/>
  <c r="T159" i="548"/>
  <c r="AH159" i="548" s="1"/>
  <c r="AG158" i="548"/>
  <c r="V158" i="548"/>
  <c r="U158" i="548"/>
  <c r="AJ158" i="548" s="1"/>
  <c r="AK158" i="548" s="1"/>
  <c r="T158" i="548"/>
  <c r="AH158" i="548" s="1"/>
  <c r="AG157" i="548"/>
  <c r="V157" i="548"/>
  <c r="U157" i="548"/>
  <c r="AJ157" i="548" s="1"/>
  <c r="AK157" i="548" s="1"/>
  <c r="T157" i="548"/>
  <c r="AH157" i="548" s="1"/>
  <c r="AG156" i="548"/>
  <c r="V156" i="548"/>
  <c r="U156" i="548"/>
  <c r="AJ156" i="548" s="1"/>
  <c r="AK156" i="548" s="1"/>
  <c r="T156" i="548"/>
  <c r="AH156" i="548" s="1"/>
  <c r="AG155" i="548"/>
  <c r="V155" i="548"/>
  <c r="U155" i="548"/>
  <c r="AJ155" i="548" s="1"/>
  <c r="AK155" i="548" s="1"/>
  <c r="T155" i="548"/>
  <c r="AH155" i="548" s="1"/>
  <c r="AG154" i="548"/>
  <c r="V154" i="548"/>
  <c r="U154" i="548"/>
  <c r="AJ154" i="548" s="1"/>
  <c r="AK154" i="548" s="1"/>
  <c r="T154" i="548"/>
  <c r="AH154" i="548" s="1"/>
  <c r="AG153" i="548"/>
  <c r="V153" i="548"/>
  <c r="U153" i="548"/>
  <c r="AJ153" i="548" s="1"/>
  <c r="AK153" i="548" s="1"/>
  <c r="T153" i="548"/>
  <c r="AH153" i="548" s="1"/>
  <c r="AG152" i="548"/>
  <c r="V152" i="548"/>
  <c r="U152" i="548"/>
  <c r="AJ152" i="548" s="1"/>
  <c r="AK152" i="548" s="1"/>
  <c r="T152" i="548"/>
  <c r="AH152" i="548" s="1"/>
  <c r="AG151" i="548"/>
  <c r="V151" i="548"/>
  <c r="U151" i="548"/>
  <c r="AJ151" i="548" s="1"/>
  <c r="AK151" i="548" s="1"/>
  <c r="T151" i="548"/>
  <c r="AH151" i="548" s="1"/>
  <c r="AG150" i="548"/>
  <c r="V150" i="548"/>
  <c r="U150" i="548"/>
  <c r="AJ150" i="548" s="1"/>
  <c r="AK150" i="548" s="1"/>
  <c r="T150" i="548"/>
  <c r="AH150" i="548" s="1"/>
  <c r="AG149" i="548"/>
  <c r="V149" i="548"/>
  <c r="U149" i="548"/>
  <c r="AJ149" i="548" s="1"/>
  <c r="AK149" i="548" s="1"/>
  <c r="T149" i="548"/>
  <c r="AH149" i="548" s="1"/>
  <c r="AG148" i="548"/>
  <c r="V148" i="548"/>
  <c r="U148" i="548"/>
  <c r="AJ148" i="548" s="1"/>
  <c r="AK148" i="548" s="1"/>
  <c r="T148" i="548"/>
  <c r="AH148" i="548" s="1"/>
  <c r="AG147" i="548"/>
  <c r="V147" i="548"/>
  <c r="U147" i="548"/>
  <c r="AJ147" i="548" s="1"/>
  <c r="AK147" i="548" s="1"/>
  <c r="T147" i="548"/>
  <c r="AH147" i="548" s="1"/>
  <c r="AG146" i="548"/>
  <c r="V146" i="548"/>
  <c r="U146" i="548"/>
  <c r="AJ146" i="548" s="1"/>
  <c r="AK146" i="548" s="1"/>
  <c r="T146" i="548"/>
  <c r="AH146" i="548" s="1"/>
  <c r="AG145" i="548"/>
  <c r="V145" i="548"/>
  <c r="U145" i="548"/>
  <c r="AJ145" i="548" s="1"/>
  <c r="AK145" i="548" s="1"/>
  <c r="T145" i="548"/>
  <c r="AH145" i="548" s="1"/>
  <c r="AG144" i="548"/>
  <c r="V144" i="548"/>
  <c r="U144" i="548"/>
  <c r="AJ144" i="548" s="1"/>
  <c r="AK144" i="548" s="1"/>
  <c r="T144" i="548"/>
  <c r="AH144" i="548" s="1"/>
  <c r="AG143" i="548"/>
  <c r="V143" i="548"/>
  <c r="U143" i="548"/>
  <c r="AJ143" i="548" s="1"/>
  <c r="AK143" i="548" s="1"/>
  <c r="T143" i="548"/>
  <c r="AH143" i="548" s="1"/>
  <c r="AG142" i="548"/>
  <c r="V142" i="548"/>
  <c r="U142" i="548"/>
  <c r="AJ142" i="548" s="1"/>
  <c r="AK142" i="548" s="1"/>
  <c r="T142" i="548"/>
  <c r="AH142" i="548" s="1"/>
  <c r="AG141" i="548"/>
  <c r="V141" i="548"/>
  <c r="U141" i="548"/>
  <c r="AJ141" i="548" s="1"/>
  <c r="AK141" i="548" s="1"/>
  <c r="T141" i="548"/>
  <c r="AH141" i="548" s="1"/>
  <c r="AG140" i="548"/>
  <c r="V140" i="548"/>
  <c r="U140" i="548"/>
  <c r="AJ140" i="548" s="1"/>
  <c r="AK140" i="548" s="1"/>
  <c r="T140" i="548"/>
  <c r="AH140" i="548" s="1"/>
  <c r="AG139" i="548"/>
  <c r="V139" i="548"/>
  <c r="U139" i="548"/>
  <c r="AJ139" i="548" s="1"/>
  <c r="AK139" i="548" s="1"/>
  <c r="T139" i="548"/>
  <c r="AH139" i="548" s="1"/>
  <c r="AG138" i="548"/>
  <c r="V138" i="548"/>
  <c r="U138" i="548"/>
  <c r="AJ138" i="548" s="1"/>
  <c r="AK138" i="548" s="1"/>
  <c r="T138" i="548"/>
  <c r="AH138" i="548" s="1"/>
  <c r="AG137" i="548"/>
  <c r="V137" i="548"/>
  <c r="U137" i="548"/>
  <c r="AJ137" i="548" s="1"/>
  <c r="AK137" i="548" s="1"/>
  <c r="T137" i="548"/>
  <c r="AH137" i="548" s="1"/>
  <c r="AG136" i="548"/>
  <c r="V136" i="548"/>
  <c r="U136" i="548"/>
  <c r="AJ136" i="548" s="1"/>
  <c r="AK136" i="548" s="1"/>
  <c r="T136" i="548"/>
  <c r="AH136" i="548" s="1"/>
  <c r="AG135" i="548"/>
  <c r="V135" i="548"/>
  <c r="U135" i="548"/>
  <c r="AJ135" i="548" s="1"/>
  <c r="AK135" i="548" s="1"/>
  <c r="T135" i="548"/>
  <c r="AH135" i="548" s="1"/>
  <c r="AG134" i="548"/>
  <c r="V134" i="548"/>
  <c r="U134" i="548"/>
  <c r="AJ134" i="548" s="1"/>
  <c r="AK134" i="548" s="1"/>
  <c r="T134" i="548"/>
  <c r="AH134" i="548" s="1"/>
  <c r="AG133" i="548"/>
  <c r="V133" i="548"/>
  <c r="U133" i="548"/>
  <c r="AJ133" i="548" s="1"/>
  <c r="AK133" i="548" s="1"/>
  <c r="T133" i="548"/>
  <c r="AH133" i="548" s="1"/>
  <c r="AG132" i="548"/>
  <c r="V132" i="548"/>
  <c r="U132" i="548"/>
  <c r="AJ132" i="548" s="1"/>
  <c r="AK132" i="548" s="1"/>
  <c r="T132" i="548"/>
  <c r="AH132" i="548" s="1"/>
  <c r="AG131" i="548"/>
  <c r="V131" i="548"/>
  <c r="U131" i="548"/>
  <c r="AJ131" i="548" s="1"/>
  <c r="AK131" i="548" s="1"/>
  <c r="T131" i="548"/>
  <c r="AH131" i="548" s="1"/>
  <c r="AG130" i="548"/>
  <c r="V130" i="548"/>
  <c r="U130" i="548"/>
  <c r="AJ130" i="548" s="1"/>
  <c r="AK130" i="548" s="1"/>
  <c r="T130" i="548"/>
  <c r="AH130" i="548" s="1"/>
  <c r="AG129" i="548"/>
  <c r="V129" i="548"/>
  <c r="U129" i="548"/>
  <c r="AJ129" i="548" s="1"/>
  <c r="AK129" i="548" s="1"/>
  <c r="T129" i="548"/>
  <c r="AH129" i="548" s="1"/>
  <c r="AG128" i="548"/>
  <c r="V128" i="548"/>
  <c r="U128" i="548"/>
  <c r="AJ128" i="548" s="1"/>
  <c r="AK128" i="548" s="1"/>
  <c r="T128" i="548"/>
  <c r="AH128" i="548" s="1"/>
  <c r="AG127" i="548"/>
  <c r="V127" i="548"/>
  <c r="U127" i="548"/>
  <c r="AJ127" i="548" s="1"/>
  <c r="AK127" i="548" s="1"/>
  <c r="T127" i="548"/>
  <c r="AH127" i="548" s="1"/>
  <c r="AG126" i="548"/>
  <c r="V126" i="548"/>
  <c r="U126" i="548"/>
  <c r="AJ126" i="548" s="1"/>
  <c r="AK126" i="548" s="1"/>
  <c r="T126" i="548"/>
  <c r="AH126" i="548" s="1"/>
  <c r="AG125" i="548"/>
  <c r="V125" i="548"/>
  <c r="U125" i="548"/>
  <c r="AJ125" i="548" s="1"/>
  <c r="AK125" i="548" s="1"/>
  <c r="T125" i="548"/>
  <c r="AH125" i="548" s="1"/>
  <c r="AG124" i="548"/>
  <c r="V124" i="548"/>
  <c r="U124" i="548"/>
  <c r="AJ124" i="548" s="1"/>
  <c r="AK124" i="548" s="1"/>
  <c r="T124" i="548"/>
  <c r="AH124" i="548" s="1"/>
  <c r="AG123" i="548"/>
  <c r="V123" i="548"/>
  <c r="U123" i="548"/>
  <c r="AJ123" i="548" s="1"/>
  <c r="AK123" i="548" s="1"/>
  <c r="T123" i="548"/>
  <c r="AH123" i="548" s="1"/>
  <c r="AG122" i="548"/>
  <c r="V122" i="548"/>
  <c r="U122" i="548"/>
  <c r="AJ122" i="548" s="1"/>
  <c r="AK122" i="548" s="1"/>
  <c r="T122" i="548"/>
  <c r="AH122" i="548" s="1"/>
  <c r="AG121" i="548"/>
  <c r="V121" i="548"/>
  <c r="U121" i="548"/>
  <c r="AJ121" i="548" s="1"/>
  <c r="AK121" i="548" s="1"/>
  <c r="T121" i="548"/>
  <c r="AH121" i="548" s="1"/>
  <c r="AG120" i="548"/>
  <c r="V120" i="548"/>
  <c r="U120" i="548"/>
  <c r="AJ120" i="548" s="1"/>
  <c r="AK120" i="548" s="1"/>
  <c r="T120" i="548"/>
  <c r="AH120" i="548" s="1"/>
  <c r="AG119" i="548"/>
  <c r="V119" i="548"/>
  <c r="U119" i="548"/>
  <c r="AJ119" i="548" s="1"/>
  <c r="AK119" i="548" s="1"/>
  <c r="T119" i="548"/>
  <c r="AH119" i="548" s="1"/>
  <c r="AG118" i="548"/>
  <c r="V118" i="548"/>
  <c r="U118" i="548"/>
  <c r="AJ118" i="548" s="1"/>
  <c r="AK118" i="548" s="1"/>
  <c r="T118" i="548"/>
  <c r="AH118" i="548" s="1"/>
  <c r="AG117" i="548"/>
  <c r="V117" i="548"/>
  <c r="U117" i="548"/>
  <c r="AJ117" i="548" s="1"/>
  <c r="AK117" i="548" s="1"/>
  <c r="T117" i="548"/>
  <c r="AH117" i="548" s="1"/>
  <c r="AG116" i="548"/>
  <c r="V116" i="548"/>
  <c r="U116" i="548"/>
  <c r="AJ116" i="548" s="1"/>
  <c r="AK116" i="548" s="1"/>
  <c r="T116" i="548"/>
  <c r="AH116" i="548" s="1"/>
  <c r="AG115" i="548"/>
  <c r="V115" i="548"/>
  <c r="U115" i="548"/>
  <c r="AJ115" i="548" s="1"/>
  <c r="AK115" i="548" s="1"/>
  <c r="T115" i="548"/>
  <c r="AH115" i="548" s="1"/>
  <c r="AG114" i="548"/>
  <c r="V114" i="548"/>
  <c r="U114" i="548"/>
  <c r="AJ114" i="548" s="1"/>
  <c r="AK114" i="548" s="1"/>
  <c r="T114" i="548"/>
  <c r="AH114" i="548" s="1"/>
  <c r="AG113" i="548"/>
  <c r="V113" i="548"/>
  <c r="U113" i="548"/>
  <c r="AJ113" i="548" s="1"/>
  <c r="AK113" i="548" s="1"/>
  <c r="T113" i="548"/>
  <c r="AH113" i="548" s="1"/>
  <c r="AG112" i="548"/>
  <c r="V112" i="548"/>
  <c r="U112" i="548"/>
  <c r="AJ112" i="548" s="1"/>
  <c r="AK112" i="548" s="1"/>
  <c r="T112" i="548"/>
  <c r="AH112" i="548" s="1"/>
  <c r="AG111" i="548"/>
  <c r="V111" i="548"/>
  <c r="U111" i="548"/>
  <c r="AJ111" i="548" s="1"/>
  <c r="AK111" i="548" s="1"/>
  <c r="T111" i="548"/>
  <c r="AH111" i="548" s="1"/>
  <c r="AG110" i="548"/>
  <c r="V110" i="548"/>
  <c r="U110" i="548"/>
  <c r="AJ110" i="548" s="1"/>
  <c r="AK110" i="548" s="1"/>
  <c r="T110" i="548"/>
  <c r="AH110" i="548" s="1"/>
  <c r="AG109" i="548"/>
  <c r="V109" i="548"/>
  <c r="U109" i="548"/>
  <c r="AJ109" i="548" s="1"/>
  <c r="AK109" i="548" s="1"/>
  <c r="T109" i="548"/>
  <c r="AH109" i="548" s="1"/>
  <c r="AG108" i="548"/>
  <c r="V108" i="548"/>
  <c r="U108" i="548"/>
  <c r="AJ108" i="548" s="1"/>
  <c r="AK108" i="548" s="1"/>
  <c r="T108" i="548"/>
  <c r="AH108" i="548" s="1"/>
  <c r="AG107" i="548"/>
  <c r="V107" i="548"/>
  <c r="U107" i="548"/>
  <c r="AJ107" i="548" s="1"/>
  <c r="AK107" i="548" s="1"/>
  <c r="T107" i="548"/>
  <c r="AH107" i="548" s="1"/>
  <c r="AG106" i="548"/>
  <c r="V106" i="548"/>
  <c r="U106" i="548"/>
  <c r="AJ106" i="548" s="1"/>
  <c r="AK106" i="548" s="1"/>
  <c r="T106" i="548"/>
  <c r="AH106" i="548" s="1"/>
  <c r="AG105" i="548"/>
  <c r="V105" i="548"/>
  <c r="U105" i="548"/>
  <c r="AJ105" i="548" s="1"/>
  <c r="AK105" i="548" s="1"/>
  <c r="T105" i="548"/>
  <c r="AH105" i="548" s="1"/>
  <c r="AG104" i="548"/>
  <c r="V104" i="548"/>
  <c r="U104" i="548"/>
  <c r="AJ104" i="548" s="1"/>
  <c r="AK104" i="548" s="1"/>
  <c r="T104" i="548"/>
  <c r="AH104" i="548" s="1"/>
  <c r="AG103" i="548"/>
  <c r="V103" i="548"/>
  <c r="U103" i="548"/>
  <c r="AJ103" i="548" s="1"/>
  <c r="AK103" i="548" s="1"/>
  <c r="T103" i="548"/>
  <c r="AH103" i="548" s="1"/>
  <c r="AG102" i="548"/>
  <c r="V102" i="548"/>
  <c r="U102" i="548"/>
  <c r="AJ102" i="548" s="1"/>
  <c r="AK102" i="548" s="1"/>
  <c r="T102" i="548"/>
  <c r="AH102" i="548" s="1"/>
  <c r="AG101" i="548"/>
  <c r="V101" i="548"/>
  <c r="U101" i="548"/>
  <c r="AJ101" i="548" s="1"/>
  <c r="AK101" i="548" s="1"/>
  <c r="T101" i="548"/>
  <c r="AH101" i="548" s="1"/>
  <c r="AG100" i="548"/>
  <c r="V100" i="548"/>
  <c r="U100" i="548"/>
  <c r="AJ100" i="548" s="1"/>
  <c r="AK100" i="548" s="1"/>
  <c r="T100" i="548"/>
  <c r="AH100" i="548" s="1"/>
  <c r="AG99" i="548"/>
  <c r="V99" i="548"/>
  <c r="U99" i="548"/>
  <c r="AJ99" i="548" s="1"/>
  <c r="AK99" i="548" s="1"/>
  <c r="T99" i="548"/>
  <c r="AH99" i="548" s="1"/>
  <c r="AG98" i="548"/>
  <c r="V98" i="548"/>
  <c r="U98" i="548"/>
  <c r="AJ98" i="548" s="1"/>
  <c r="AK98" i="548" s="1"/>
  <c r="T98" i="548"/>
  <c r="AH98" i="548" s="1"/>
  <c r="AG97" i="548"/>
  <c r="V97" i="548"/>
  <c r="U97" i="548"/>
  <c r="AJ97" i="548" s="1"/>
  <c r="AK97" i="548" s="1"/>
  <c r="T97" i="548"/>
  <c r="AH97" i="548" s="1"/>
  <c r="AG96" i="548"/>
  <c r="V96" i="548"/>
  <c r="U96" i="548"/>
  <c r="AJ96" i="548" s="1"/>
  <c r="AK96" i="548" s="1"/>
  <c r="T96" i="548"/>
  <c r="AH96" i="548" s="1"/>
  <c r="AG95" i="548"/>
  <c r="V95" i="548"/>
  <c r="U95" i="548"/>
  <c r="AJ95" i="548" s="1"/>
  <c r="AK95" i="548" s="1"/>
  <c r="T95" i="548"/>
  <c r="AH95" i="548" s="1"/>
  <c r="AG94" i="548"/>
  <c r="V94" i="548"/>
  <c r="U94" i="548"/>
  <c r="AJ94" i="548" s="1"/>
  <c r="AK94" i="548" s="1"/>
  <c r="T94" i="548"/>
  <c r="AH94" i="548" s="1"/>
  <c r="AG93" i="548"/>
  <c r="V93" i="548"/>
  <c r="U93" i="548"/>
  <c r="AJ93" i="548" s="1"/>
  <c r="AK93" i="548" s="1"/>
  <c r="T93" i="548"/>
  <c r="AH93" i="548" s="1"/>
  <c r="AG92" i="548"/>
  <c r="V92" i="548"/>
  <c r="U92" i="548"/>
  <c r="AJ92" i="548" s="1"/>
  <c r="AK92" i="548" s="1"/>
  <c r="T92" i="548"/>
  <c r="AH92" i="548" s="1"/>
  <c r="AG91" i="548"/>
  <c r="V91" i="548"/>
  <c r="U91" i="548"/>
  <c r="AJ91" i="548" s="1"/>
  <c r="AK91" i="548" s="1"/>
  <c r="T91" i="548"/>
  <c r="AH91" i="548" s="1"/>
  <c r="AG90" i="548"/>
  <c r="V90" i="548"/>
  <c r="U90" i="548"/>
  <c r="AJ90" i="548" s="1"/>
  <c r="AK90" i="548" s="1"/>
  <c r="T90" i="548"/>
  <c r="AH90" i="548" s="1"/>
  <c r="AG89" i="548"/>
  <c r="V89" i="548"/>
  <c r="U89" i="548"/>
  <c r="AJ89" i="548" s="1"/>
  <c r="AK89" i="548" s="1"/>
  <c r="T89" i="548"/>
  <c r="AH89" i="548" s="1"/>
  <c r="AG88" i="548"/>
  <c r="V88" i="548"/>
  <c r="U88" i="548"/>
  <c r="AJ88" i="548" s="1"/>
  <c r="AK88" i="548" s="1"/>
  <c r="T88" i="548"/>
  <c r="AH88" i="548" s="1"/>
  <c r="AG87" i="548"/>
  <c r="V87" i="548"/>
  <c r="U87" i="548"/>
  <c r="AJ87" i="548" s="1"/>
  <c r="AK87" i="548" s="1"/>
  <c r="T87" i="548"/>
  <c r="AH87" i="548" s="1"/>
  <c r="AG86" i="548"/>
  <c r="V86" i="548"/>
  <c r="U86" i="548"/>
  <c r="AJ86" i="548" s="1"/>
  <c r="AK86" i="548" s="1"/>
  <c r="T86" i="548"/>
  <c r="AH86" i="548" s="1"/>
  <c r="AG85" i="548"/>
  <c r="V85" i="548"/>
  <c r="U85" i="548"/>
  <c r="AJ85" i="548" s="1"/>
  <c r="AK85" i="548" s="1"/>
  <c r="T85" i="548"/>
  <c r="AH85" i="548" s="1"/>
  <c r="AG84" i="548"/>
  <c r="V84" i="548"/>
  <c r="U84" i="548"/>
  <c r="AJ84" i="548" s="1"/>
  <c r="AK84" i="548" s="1"/>
  <c r="T84" i="548"/>
  <c r="AH84" i="548" s="1"/>
  <c r="AG83" i="548"/>
  <c r="V83" i="548"/>
  <c r="U83" i="548"/>
  <c r="AJ83" i="548" s="1"/>
  <c r="AK83" i="548" s="1"/>
  <c r="T83" i="548"/>
  <c r="AH83" i="548" s="1"/>
  <c r="AG82" i="548"/>
  <c r="V82" i="548"/>
  <c r="U82" i="548"/>
  <c r="AJ82" i="548" s="1"/>
  <c r="AK82" i="548" s="1"/>
  <c r="T82" i="548"/>
  <c r="AH82" i="548" s="1"/>
  <c r="AG81" i="548"/>
  <c r="V81" i="548"/>
  <c r="U81" i="548"/>
  <c r="AJ81" i="548" s="1"/>
  <c r="AK81" i="548" s="1"/>
  <c r="T81" i="548"/>
  <c r="AH81" i="548" s="1"/>
  <c r="AG80" i="548"/>
  <c r="V80" i="548"/>
  <c r="U80" i="548"/>
  <c r="AJ80" i="548" s="1"/>
  <c r="AK80" i="548" s="1"/>
  <c r="T80" i="548"/>
  <c r="AH80" i="548" s="1"/>
  <c r="AG79" i="548"/>
  <c r="V79" i="548"/>
  <c r="U79" i="548"/>
  <c r="AJ79" i="548" s="1"/>
  <c r="AK79" i="548" s="1"/>
  <c r="T79" i="548"/>
  <c r="AH79" i="548" s="1"/>
  <c r="AG78" i="548"/>
  <c r="V78" i="548"/>
  <c r="U78" i="548"/>
  <c r="AJ78" i="548" s="1"/>
  <c r="AK78" i="548" s="1"/>
  <c r="T78" i="548"/>
  <c r="AH78" i="548" s="1"/>
  <c r="AG77" i="548"/>
  <c r="V77" i="548"/>
  <c r="U77" i="548"/>
  <c r="AJ77" i="548" s="1"/>
  <c r="AK77" i="548" s="1"/>
  <c r="T77" i="548"/>
  <c r="AH77" i="548" s="1"/>
  <c r="AG76" i="548"/>
  <c r="V76" i="548"/>
  <c r="U76" i="548"/>
  <c r="AJ76" i="548" s="1"/>
  <c r="AK76" i="548" s="1"/>
  <c r="T76" i="548"/>
  <c r="AH76" i="548" s="1"/>
  <c r="AG75" i="548"/>
  <c r="V75" i="548"/>
  <c r="U75" i="548"/>
  <c r="AJ75" i="548" s="1"/>
  <c r="AK75" i="548" s="1"/>
  <c r="T75" i="548"/>
  <c r="AH75" i="548" s="1"/>
  <c r="AG74" i="548"/>
  <c r="V74" i="548"/>
  <c r="U74" i="548"/>
  <c r="AJ74" i="548" s="1"/>
  <c r="AK74" i="548" s="1"/>
  <c r="T74" i="548"/>
  <c r="AH74" i="548" s="1"/>
  <c r="AG73" i="548"/>
  <c r="V73" i="548"/>
  <c r="U73" i="548"/>
  <c r="AJ73" i="548" s="1"/>
  <c r="AK73" i="548" s="1"/>
  <c r="T73" i="548"/>
  <c r="AH73" i="548" s="1"/>
  <c r="AG72" i="548"/>
  <c r="V72" i="548"/>
  <c r="U72" i="548"/>
  <c r="AJ72" i="548" s="1"/>
  <c r="AK72" i="548" s="1"/>
  <c r="T72" i="548"/>
  <c r="AH72" i="548" s="1"/>
  <c r="AG71" i="548"/>
  <c r="V71" i="548"/>
  <c r="U71" i="548"/>
  <c r="AJ71" i="548" s="1"/>
  <c r="AK71" i="548" s="1"/>
  <c r="T71" i="548"/>
  <c r="AH71" i="548" s="1"/>
  <c r="AG70" i="548"/>
  <c r="V70" i="548"/>
  <c r="U70" i="548"/>
  <c r="AJ70" i="548" s="1"/>
  <c r="AK70" i="548" s="1"/>
  <c r="T70" i="548"/>
  <c r="AH70" i="548" s="1"/>
  <c r="AG69" i="548"/>
  <c r="V69" i="548"/>
  <c r="U69" i="548"/>
  <c r="AJ69" i="548" s="1"/>
  <c r="AK69" i="548" s="1"/>
  <c r="T69" i="548"/>
  <c r="AH69" i="548" s="1"/>
  <c r="AG68" i="548"/>
  <c r="V68" i="548"/>
  <c r="U68" i="548"/>
  <c r="AJ68" i="548" s="1"/>
  <c r="AK68" i="548" s="1"/>
  <c r="T68" i="548"/>
  <c r="AH68" i="548" s="1"/>
  <c r="AG67" i="548"/>
  <c r="V67" i="548"/>
  <c r="U67" i="548"/>
  <c r="AJ67" i="548" s="1"/>
  <c r="AK67" i="548" s="1"/>
  <c r="T67" i="548"/>
  <c r="AH67" i="548" s="1"/>
  <c r="AG66" i="548"/>
  <c r="V66" i="548"/>
  <c r="U66" i="548"/>
  <c r="AJ66" i="548" s="1"/>
  <c r="AK66" i="548" s="1"/>
  <c r="T66" i="548"/>
  <c r="AH66" i="548" s="1"/>
  <c r="AG65" i="548"/>
  <c r="V65" i="548"/>
  <c r="U65" i="548"/>
  <c r="AJ65" i="548" s="1"/>
  <c r="AK65" i="548" s="1"/>
  <c r="T65" i="548"/>
  <c r="AH65" i="548" s="1"/>
  <c r="AG64" i="548"/>
  <c r="V64" i="548"/>
  <c r="U64" i="548"/>
  <c r="AJ64" i="548" s="1"/>
  <c r="AK64" i="548" s="1"/>
  <c r="T64" i="548"/>
  <c r="AH64" i="548" s="1"/>
  <c r="AG63" i="548"/>
  <c r="V63" i="548"/>
  <c r="U63" i="548"/>
  <c r="AJ63" i="548" s="1"/>
  <c r="AK63" i="548" s="1"/>
  <c r="T63" i="548"/>
  <c r="AH63" i="548" s="1"/>
  <c r="AG62" i="548"/>
  <c r="V62" i="548"/>
  <c r="U62" i="548"/>
  <c r="AJ62" i="548" s="1"/>
  <c r="AK62" i="548" s="1"/>
  <c r="T62" i="548"/>
  <c r="AH62" i="548" s="1"/>
  <c r="AG61" i="548"/>
  <c r="V61" i="548"/>
  <c r="U61" i="548"/>
  <c r="AJ61" i="548" s="1"/>
  <c r="AK61" i="548" s="1"/>
  <c r="T61" i="548"/>
  <c r="AH61" i="548" s="1"/>
  <c r="AG60" i="548"/>
  <c r="V60" i="548"/>
  <c r="U60" i="548"/>
  <c r="AJ60" i="548" s="1"/>
  <c r="AK60" i="548" s="1"/>
  <c r="T60" i="548"/>
  <c r="AH60" i="548" s="1"/>
  <c r="AG59" i="548"/>
  <c r="V59" i="548"/>
  <c r="U59" i="548"/>
  <c r="AJ59" i="548" s="1"/>
  <c r="AK59" i="548" s="1"/>
  <c r="T59" i="548"/>
  <c r="AH59" i="548" s="1"/>
  <c r="AG58" i="548"/>
  <c r="V58" i="548"/>
  <c r="U58" i="548"/>
  <c r="AJ58" i="548" s="1"/>
  <c r="AK58" i="548" s="1"/>
  <c r="T58" i="548"/>
  <c r="AH58" i="548" s="1"/>
  <c r="AG57" i="548"/>
  <c r="V57" i="548"/>
  <c r="U57" i="548"/>
  <c r="AJ57" i="548" s="1"/>
  <c r="AK57" i="548" s="1"/>
  <c r="T57" i="548"/>
  <c r="AH57" i="548" s="1"/>
  <c r="AG56" i="548"/>
  <c r="V56" i="548"/>
  <c r="U56" i="548"/>
  <c r="AJ56" i="548" s="1"/>
  <c r="AK56" i="548" s="1"/>
  <c r="T56" i="548"/>
  <c r="AH56" i="548" s="1"/>
  <c r="AG55" i="548"/>
  <c r="V55" i="548"/>
  <c r="U55" i="548"/>
  <c r="AJ55" i="548" s="1"/>
  <c r="AK55" i="548" s="1"/>
  <c r="T55" i="548"/>
  <c r="AH55" i="548" s="1"/>
  <c r="AG54" i="548"/>
  <c r="V54" i="548"/>
  <c r="U54" i="548"/>
  <c r="AJ54" i="548" s="1"/>
  <c r="AK54" i="548" s="1"/>
  <c r="T54" i="548"/>
  <c r="AH54" i="548" s="1"/>
  <c r="AG53" i="548"/>
  <c r="V53" i="548"/>
  <c r="U53" i="548"/>
  <c r="AJ53" i="548" s="1"/>
  <c r="AK53" i="548" s="1"/>
  <c r="T53" i="548"/>
  <c r="AH53" i="548" s="1"/>
  <c r="AG52" i="548"/>
  <c r="V52" i="548"/>
  <c r="U52" i="548"/>
  <c r="AJ52" i="548" s="1"/>
  <c r="AK52" i="548" s="1"/>
  <c r="T52" i="548"/>
  <c r="AH52" i="548" s="1"/>
  <c r="AG51" i="548"/>
  <c r="V51" i="548"/>
  <c r="U51" i="548"/>
  <c r="AJ51" i="548" s="1"/>
  <c r="AK51" i="548" s="1"/>
  <c r="T51" i="548"/>
  <c r="AH51" i="548" s="1"/>
  <c r="AG50" i="548"/>
  <c r="V50" i="548"/>
  <c r="U50" i="548"/>
  <c r="AJ50" i="548" s="1"/>
  <c r="AK50" i="548" s="1"/>
  <c r="T50" i="548"/>
  <c r="AH50" i="548" s="1"/>
  <c r="AG49" i="548"/>
  <c r="V49" i="548"/>
  <c r="U49" i="548"/>
  <c r="AJ49" i="548" s="1"/>
  <c r="AK49" i="548" s="1"/>
  <c r="T49" i="548"/>
  <c r="AH49" i="548" s="1"/>
  <c r="AG48" i="548"/>
  <c r="V48" i="548"/>
  <c r="U48" i="548"/>
  <c r="AJ48" i="548" s="1"/>
  <c r="AK48" i="548" s="1"/>
  <c r="T48" i="548"/>
  <c r="AH48" i="548" s="1"/>
  <c r="AG47" i="548"/>
  <c r="V47" i="548"/>
  <c r="U47" i="548"/>
  <c r="AJ47" i="548" s="1"/>
  <c r="AK47" i="548" s="1"/>
  <c r="T47" i="548"/>
  <c r="AH47" i="548" s="1"/>
  <c r="AG46" i="548"/>
  <c r="V46" i="548"/>
  <c r="U46" i="548"/>
  <c r="AJ46" i="548" s="1"/>
  <c r="AK46" i="548" s="1"/>
  <c r="T46" i="548"/>
  <c r="AH46" i="548" s="1"/>
  <c r="AG45" i="548"/>
  <c r="V45" i="548"/>
  <c r="U45" i="548"/>
  <c r="AJ45" i="548" s="1"/>
  <c r="AK45" i="548" s="1"/>
  <c r="T45" i="548"/>
  <c r="AH45" i="548" s="1"/>
  <c r="AG44" i="548"/>
  <c r="V44" i="548"/>
  <c r="U44" i="548"/>
  <c r="AJ44" i="548" s="1"/>
  <c r="AK44" i="548" s="1"/>
  <c r="T44" i="548"/>
  <c r="AH44" i="548" s="1"/>
  <c r="AG43" i="548"/>
  <c r="V43" i="548"/>
  <c r="U43" i="548"/>
  <c r="AJ43" i="548" s="1"/>
  <c r="AK43" i="548" s="1"/>
  <c r="T43" i="548"/>
  <c r="AH43" i="548" s="1"/>
  <c r="AG42" i="548"/>
  <c r="V42" i="548"/>
  <c r="U42" i="548"/>
  <c r="AJ42" i="548" s="1"/>
  <c r="AK42" i="548" s="1"/>
  <c r="T42" i="548"/>
  <c r="AH42" i="548" s="1"/>
  <c r="AG41" i="548"/>
  <c r="V41" i="548"/>
  <c r="U41" i="548"/>
  <c r="AJ41" i="548" s="1"/>
  <c r="AK41" i="548" s="1"/>
  <c r="T41" i="548"/>
  <c r="AH41" i="548" s="1"/>
  <c r="AG40" i="548"/>
  <c r="V40" i="548"/>
  <c r="U40" i="548"/>
  <c r="AJ40" i="548" s="1"/>
  <c r="AK40" i="548" s="1"/>
  <c r="T40" i="548"/>
  <c r="AH40" i="548" s="1"/>
  <c r="AG39" i="548"/>
  <c r="V39" i="548"/>
  <c r="U39" i="548"/>
  <c r="AJ39" i="548" s="1"/>
  <c r="AK39" i="548" s="1"/>
  <c r="T39" i="548"/>
  <c r="AH39" i="548" s="1"/>
  <c r="AG38" i="548"/>
  <c r="V38" i="548"/>
  <c r="U38" i="548"/>
  <c r="AJ38" i="548" s="1"/>
  <c r="AK38" i="548" s="1"/>
  <c r="T38" i="548"/>
  <c r="AH38" i="548" s="1"/>
  <c r="AG37" i="548"/>
  <c r="V37" i="548"/>
  <c r="U37" i="548"/>
  <c r="AJ37" i="548" s="1"/>
  <c r="AK37" i="548" s="1"/>
  <c r="T37" i="548"/>
  <c r="AH37" i="548" s="1"/>
  <c r="AG36" i="548"/>
  <c r="V36" i="548"/>
  <c r="U36" i="548"/>
  <c r="AJ36" i="548" s="1"/>
  <c r="AK36" i="548" s="1"/>
  <c r="T36" i="548"/>
  <c r="AH36" i="548" s="1"/>
  <c r="AG35" i="548"/>
  <c r="V35" i="548"/>
  <c r="U35" i="548"/>
  <c r="AJ35" i="548" s="1"/>
  <c r="AK35" i="548" s="1"/>
  <c r="T35" i="548"/>
  <c r="AH35" i="548" s="1"/>
  <c r="AG34" i="548"/>
  <c r="V34" i="548"/>
  <c r="U34" i="548"/>
  <c r="AJ34" i="548" s="1"/>
  <c r="AK34" i="548" s="1"/>
  <c r="T34" i="548"/>
  <c r="AH34" i="548" s="1"/>
  <c r="AG33" i="548"/>
  <c r="V33" i="548"/>
  <c r="U33" i="548"/>
  <c r="AJ33" i="548" s="1"/>
  <c r="AK33" i="548" s="1"/>
  <c r="T33" i="548"/>
  <c r="AH33" i="548" s="1"/>
  <c r="AG32" i="548"/>
  <c r="V32" i="548"/>
  <c r="U32" i="548"/>
  <c r="AJ32" i="548" s="1"/>
  <c r="AK32" i="548" s="1"/>
  <c r="T32" i="548"/>
  <c r="AH32" i="548" s="1"/>
  <c r="AG31" i="548"/>
  <c r="V31" i="548"/>
  <c r="U31" i="548"/>
  <c r="AJ31" i="548" s="1"/>
  <c r="AK31" i="548" s="1"/>
  <c r="T31" i="548"/>
  <c r="AH31" i="548" s="1"/>
  <c r="AG30" i="548"/>
  <c r="V30" i="548"/>
  <c r="U30" i="548"/>
  <c r="AJ30" i="548" s="1"/>
  <c r="AK30" i="548" s="1"/>
  <c r="T30" i="548"/>
  <c r="AH30" i="548" s="1"/>
  <c r="AG29" i="548"/>
  <c r="V29" i="548"/>
  <c r="U29" i="548"/>
  <c r="AJ29" i="548" s="1"/>
  <c r="AK29" i="548" s="1"/>
  <c r="T29" i="548"/>
  <c r="AH29" i="548" s="1"/>
  <c r="AG28" i="548"/>
  <c r="V28" i="548"/>
  <c r="U28" i="548"/>
  <c r="AJ28" i="548" s="1"/>
  <c r="AK28" i="548" s="1"/>
  <c r="T28" i="548"/>
  <c r="AH28" i="548" s="1"/>
  <c r="AG27" i="548"/>
  <c r="V27" i="548"/>
  <c r="U27" i="548"/>
  <c r="AJ27" i="548" s="1"/>
  <c r="AK27" i="548" s="1"/>
  <c r="T27" i="548"/>
  <c r="AH27" i="548" s="1"/>
  <c r="AG26" i="548"/>
  <c r="V26" i="548"/>
  <c r="U26" i="548"/>
  <c r="AJ26" i="548" s="1"/>
  <c r="AK26" i="548" s="1"/>
  <c r="T26" i="548"/>
  <c r="AH26" i="548" s="1"/>
  <c r="AG25" i="548"/>
  <c r="V25" i="548"/>
  <c r="U25" i="548"/>
  <c r="AJ25" i="548" s="1"/>
  <c r="AK25" i="548" s="1"/>
  <c r="T25" i="548"/>
  <c r="AH25" i="548" s="1"/>
  <c r="AG24" i="548"/>
  <c r="V24" i="548"/>
  <c r="U24" i="548"/>
  <c r="AJ24" i="548" s="1"/>
  <c r="AK24" i="548" s="1"/>
  <c r="T24" i="548"/>
  <c r="AH24" i="548" s="1"/>
  <c r="AG23" i="548"/>
  <c r="V23" i="548"/>
  <c r="U23" i="548"/>
  <c r="AJ23" i="548" s="1"/>
  <c r="AK23" i="548" s="1"/>
  <c r="T23" i="548"/>
  <c r="AH23" i="548" s="1"/>
  <c r="AG22" i="548"/>
  <c r="V22" i="548"/>
  <c r="U22" i="548"/>
  <c r="AJ22" i="548" s="1"/>
  <c r="AK22" i="548" s="1"/>
  <c r="T22" i="548"/>
  <c r="AH22" i="548" s="1"/>
  <c r="AG21" i="548"/>
  <c r="V21" i="548"/>
  <c r="U21" i="548"/>
  <c r="AJ21" i="548" s="1"/>
  <c r="AK21" i="548" s="1"/>
  <c r="T21" i="548"/>
  <c r="AH21" i="548" s="1"/>
  <c r="AG20" i="548"/>
  <c r="V20" i="548"/>
  <c r="U20" i="548"/>
  <c r="AJ20" i="548" s="1"/>
  <c r="AK20" i="548" s="1"/>
  <c r="T20" i="548"/>
  <c r="AH20" i="548" s="1"/>
  <c r="AG19" i="548"/>
  <c r="V19" i="548"/>
  <c r="U19" i="548"/>
  <c r="AJ19" i="548" s="1"/>
  <c r="AK19" i="548" s="1"/>
  <c r="T19" i="548"/>
  <c r="AH19" i="548" s="1"/>
  <c r="AG18" i="548"/>
  <c r="V18" i="548"/>
  <c r="U18" i="548"/>
  <c r="AJ18" i="548" s="1"/>
  <c r="AK18" i="548" s="1"/>
  <c r="T18" i="548"/>
  <c r="AH18" i="548" s="1"/>
  <c r="AG17" i="548"/>
  <c r="V17" i="548"/>
  <c r="U17" i="548"/>
  <c r="AJ17" i="548" s="1"/>
  <c r="AK17" i="548" s="1"/>
  <c r="T17" i="548"/>
  <c r="AH17" i="548" s="1"/>
  <c r="AG16" i="548"/>
  <c r="V16" i="548"/>
  <c r="U16" i="548"/>
  <c r="AJ16" i="548" s="1"/>
  <c r="AK16" i="548" s="1"/>
  <c r="T16" i="548"/>
  <c r="AG15" i="548"/>
  <c r="V15" i="548"/>
  <c r="U15" i="548"/>
  <c r="AJ15" i="548" s="1"/>
  <c r="AK15" i="548" s="1"/>
  <c r="T15" i="548"/>
  <c r="AH15" i="548" s="1"/>
  <c r="AG14" i="548"/>
  <c r="V14" i="548"/>
  <c r="U14" i="548"/>
  <c r="AJ14" i="548" s="1"/>
  <c r="AK14" i="548" s="1"/>
  <c r="T14" i="548"/>
  <c r="AG13" i="548"/>
  <c r="V13" i="548"/>
  <c r="U13" i="548"/>
  <c r="AJ13" i="548" s="1"/>
  <c r="AK13" i="548" s="1"/>
  <c r="T13" i="548"/>
  <c r="AP9" i="548"/>
  <c r="AG9" i="548"/>
  <c r="V9" i="548"/>
  <c r="U9" i="548"/>
  <c r="AJ9" i="548" s="1"/>
  <c r="AK9" i="548" s="1"/>
  <c r="T9" i="548"/>
  <c r="O4" i="548"/>
  <c r="I4" i="548"/>
  <c r="G4" i="548"/>
  <c r="AR2" i="548"/>
  <c r="G2" i="548"/>
  <c r="AH9" i="548" l="1"/>
  <c r="AI9" i="548" s="1"/>
  <c r="AM9" i="548" s="1"/>
  <c r="AH13" i="548"/>
  <c r="AL13" i="548" s="1"/>
  <c r="AH14" i="548"/>
  <c r="AI14" i="548" s="1"/>
  <c r="AM14" i="548" s="1"/>
  <c r="AL37" i="548"/>
  <c r="AL41" i="548"/>
  <c r="AL39" i="548"/>
  <c r="AL15" i="548"/>
  <c r="AI15" i="548"/>
  <c r="AM15" i="548" s="1"/>
  <c r="AL17" i="548"/>
  <c r="AI17" i="548"/>
  <c r="AM17" i="548" s="1"/>
  <c r="AI13" i="548"/>
  <c r="AM13" i="548" s="1"/>
  <c r="AL23" i="548"/>
  <c r="AI23" i="548"/>
  <c r="AM23" i="548" s="1"/>
  <c r="AL9" i="548"/>
  <c r="AL27" i="548"/>
  <c r="AI27" i="548"/>
  <c r="AM27" i="548" s="1"/>
  <c r="AL19" i="548"/>
  <c r="AI19" i="548"/>
  <c r="AM19" i="548" s="1"/>
  <c r="AL25" i="548"/>
  <c r="AI25" i="548"/>
  <c r="AM25" i="548" s="1"/>
  <c r="AL29" i="548"/>
  <c r="AI29" i="548"/>
  <c r="AM29" i="548" s="1"/>
  <c r="AL21" i="548"/>
  <c r="AI21" i="548"/>
  <c r="AM21" i="548" s="1"/>
  <c r="AL76" i="548"/>
  <c r="AI76" i="548"/>
  <c r="AM76" i="548" s="1"/>
  <c r="AI84" i="548"/>
  <c r="AM84" i="548" s="1"/>
  <c r="AL84" i="548"/>
  <c r="AI95" i="548"/>
  <c r="AM95" i="548" s="1"/>
  <c r="AL95" i="548"/>
  <c r="AI96" i="548"/>
  <c r="AM96" i="548" s="1"/>
  <c r="AL96" i="548"/>
  <c r="AI100" i="548"/>
  <c r="AM100" i="548" s="1"/>
  <c r="AL100" i="548"/>
  <c r="AI104" i="548"/>
  <c r="AM104" i="548" s="1"/>
  <c r="AL104" i="548"/>
  <c r="AH16" i="548"/>
  <c r="AI79" i="548"/>
  <c r="AM79" i="548" s="1"/>
  <c r="AL79" i="548"/>
  <c r="AL80" i="548"/>
  <c r="AI80" i="548"/>
  <c r="AM80" i="548" s="1"/>
  <c r="AI87" i="548"/>
  <c r="AM87" i="548" s="1"/>
  <c r="AL87" i="548"/>
  <c r="AI88" i="548"/>
  <c r="AM88" i="548" s="1"/>
  <c r="AL88" i="548"/>
  <c r="AI92" i="548"/>
  <c r="AM92" i="548" s="1"/>
  <c r="AL92" i="548"/>
  <c r="AI98" i="548"/>
  <c r="AM98" i="548" s="1"/>
  <c r="AL98" i="548"/>
  <c r="AI102" i="548"/>
  <c r="AM102" i="548" s="1"/>
  <c r="AL102" i="548"/>
  <c r="AL14" i="548"/>
  <c r="AL18" i="548"/>
  <c r="AI18" i="548"/>
  <c r="AM18" i="548" s="1"/>
  <c r="AL22" i="548"/>
  <c r="AI22" i="548"/>
  <c r="AM22" i="548" s="1"/>
  <c r="AI26" i="548"/>
  <c r="AM26" i="548" s="1"/>
  <c r="AL26" i="548"/>
  <c r="AL30" i="548"/>
  <c r="AI30" i="548"/>
  <c r="AM30" i="548" s="1"/>
  <c r="AI32" i="548"/>
  <c r="AM32" i="548" s="1"/>
  <c r="AL32" i="548"/>
  <c r="AL34" i="548"/>
  <c r="AI34" i="548"/>
  <c r="AM34" i="548" s="1"/>
  <c r="AI36" i="548"/>
  <c r="AM36" i="548" s="1"/>
  <c r="AL36" i="548"/>
  <c r="AL38" i="548"/>
  <c r="AI38" i="548"/>
  <c r="AM38" i="548" s="1"/>
  <c r="AI40" i="548"/>
  <c r="AM40" i="548" s="1"/>
  <c r="AL40" i="548"/>
  <c r="AL42" i="548"/>
  <c r="AI42" i="548"/>
  <c r="AM42" i="548" s="1"/>
  <c r="AI45" i="548"/>
  <c r="AM45" i="548" s="1"/>
  <c r="AL45" i="548"/>
  <c r="AI46" i="548"/>
  <c r="AM46" i="548" s="1"/>
  <c r="AL46" i="548"/>
  <c r="AI49" i="548"/>
  <c r="AM49" i="548" s="1"/>
  <c r="AL49" i="548"/>
  <c r="AL50" i="548"/>
  <c r="AI50" i="548"/>
  <c r="AM50" i="548" s="1"/>
  <c r="AI53" i="548"/>
  <c r="AM53" i="548" s="1"/>
  <c r="AL53" i="548"/>
  <c r="AL54" i="548"/>
  <c r="AI54" i="548"/>
  <c r="AM54" i="548" s="1"/>
  <c r="AI57" i="548"/>
  <c r="AM57" i="548" s="1"/>
  <c r="AL57" i="548"/>
  <c r="AL58" i="548"/>
  <c r="AI58" i="548"/>
  <c r="AM58" i="548" s="1"/>
  <c r="AI61" i="548"/>
  <c r="AM61" i="548" s="1"/>
  <c r="AL61" i="548"/>
  <c r="AL62" i="548"/>
  <c r="AI62" i="548"/>
  <c r="AM62" i="548" s="1"/>
  <c r="AI65" i="548"/>
  <c r="AM65" i="548" s="1"/>
  <c r="AL65" i="548"/>
  <c r="AL66" i="548"/>
  <c r="AI66" i="548"/>
  <c r="AM66" i="548" s="1"/>
  <c r="AI69" i="548"/>
  <c r="AM69" i="548" s="1"/>
  <c r="AL69" i="548"/>
  <c r="AL70" i="548"/>
  <c r="AI70" i="548"/>
  <c r="AM70" i="548" s="1"/>
  <c r="AI73" i="548"/>
  <c r="AM73" i="548" s="1"/>
  <c r="AL73" i="548"/>
  <c r="AL74" i="548"/>
  <c r="AI74" i="548"/>
  <c r="AM74" i="548" s="1"/>
  <c r="AI81" i="548"/>
  <c r="AM81" i="548" s="1"/>
  <c r="AL81" i="548"/>
  <c r="AI82" i="548"/>
  <c r="AM82" i="548" s="1"/>
  <c r="AL82" i="548"/>
  <c r="AL83" i="548"/>
  <c r="AI83" i="548"/>
  <c r="AM83" i="548" s="1"/>
  <c r="AI89" i="548"/>
  <c r="AM89" i="548" s="1"/>
  <c r="AL89" i="548"/>
  <c r="AI90" i="548"/>
  <c r="AM90" i="548" s="1"/>
  <c r="AL90" i="548"/>
  <c r="AL93" i="548"/>
  <c r="AI93" i="548"/>
  <c r="AM93" i="548" s="1"/>
  <c r="AI94" i="548"/>
  <c r="AM94" i="548" s="1"/>
  <c r="AL94" i="548"/>
  <c r="AI99" i="548"/>
  <c r="AM99" i="548" s="1"/>
  <c r="AL99" i="548"/>
  <c r="AI103" i="548"/>
  <c r="AM103" i="548" s="1"/>
  <c r="AL103" i="548"/>
  <c r="AI107" i="548"/>
  <c r="AM107" i="548" s="1"/>
  <c r="AL107" i="548"/>
  <c r="AI75" i="548"/>
  <c r="AM75" i="548" s="1"/>
  <c r="AL75" i="548"/>
  <c r="AI20" i="548"/>
  <c r="AM20" i="548" s="1"/>
  <c r="AL20" i="548"/>
  <c r="AI24" i="548"/>
  <c r="AM24" i="548" s="1"/>
  <c r="AL24" i="548"/>
  <c r="AL28" i="548"/>
  <c r="AI28" i="548"/>
  <c r="AM28" i="548" s="1"/>
  <c r="AL31" i="548"/>
  <c r="AI31" i="548"/>
  <c r="AM31" i="548" s="1"/>
  <c r="AL33" i="548"/>
  <c r="AI33" i="548"/>
  <c r="AM33" i="548" s="1"/>
  <c r="AL35" i="548"/>
  <c r="AI35" i="548"/>
  <c r="AM35" i="548" s="1"/>
  <c r="AI37" i="548"/>
  <c r="AM37" i="548" s="1"/>
  <c r="AI39" i="548"/>
  <c r="AM39" i="548" s="1"/>
  <c r="AI41" i="548"/>
  <c r="AM41" i="548" s="1"/>
  <c r="AL43" i="548"/>
  <c r="AI43" i="548"/>
  <c r="AM43" i="548" s="1"/>
  <c r="AI44" i="548"/>
  <c r="AM44" i="548" s="1"/>
  <c r="AL44" i="548"/>
  <c r="AL47" i="548"/>
  <c r="AI47" i="548"/>
  <c r="AM47" i="548" s="1"/>
  <c r="AI48" i="548"/>
  <c r="AM48" i="548" s="1"/>
  <c r="AL48" i="548"/>
  <c r="AL51" i="548"/>
  <c r="AI51" i="548"/>
  <c r="AM51" i="548" s="1"/>
  <c r="AL52" i="548"/>
  <c r="AI52" i="548"/>
  <c r="AM52" i="548" s="1"/>
  <c r="AL55" i="548"/>
  <c r="AI55" i="548"/>
  <c r="AM55" i="548" s="1"/>
  <c r="AL56" i="548"/>
  <c r="AI56" i="548"/>
  <c r="AM56" i="548" s="1"/>
  <c r="AL59" i="548"/>
  <c r="AI59" i="548"/>
  <c r="AM59" i="548" s="1"/>
  <c r="AL60" i="548"/>
  <c r="AI60" i="548"/>
  <c r="AM60" i="548" s="1"/>
  <c r="AL63" i="548"/>
  <c r="AI63" i="548"/>
  <c r="AM63" i="548" s="1"/>
  <c r="AL64" i="548"/>
  <c r="AI64" i="548"/>
  <c r="AM64" i="548" s="1"/>
  <c r="AL67" i="548"/>
  <c r="AI67" i="548"/>
  <c r="AM67" i="548" s="1"/>
  <c r="AL68" i="548"/>
  <c r="AI68" i="548"/>
  <c r="AM68" i="548" s="1"/>
  <c r="AL71" i="548"/>
  <c r="AI71" i="548"/>
  <c r="AM71" i="548" s="1"/>
  <c r="AL72" i="548"/>
  <c r="AI72" i="548"/>
  <c r="AM72" i="548" s="1"/>
  <c r="AI77" i="548"/>
  <c r="AM77" i="548" s="1"/>
  <c r="AL77" i="548"/>
  <c r="AL78" i="548"/>
  <c r="AI78" i="548"/>
  <c r="AM78" i="548" s="1"/>
  <c r="AL85" i="548"/>
  <c r="AI85" i="548"/>
  <c r="AM85" i="548" s="1"/>
  <c r="AI86" i="548"/>
  <c r="AM86" i="548" s="1"/>
  <c r="AL86" i="548"/>
  <c r="AL91" i="548"/>
  <c r="AI91" i="548"/>
  <c r="AM91" i="548" s="1"/>
  <c r="AI97" i="548"/>
  <c r="AM97" i="548" s="1"/>
  <c r="AL97" i="548"/>
  <c r="AI101" i="548"/>
  <c r="AM101" i="548" s="1"/>
  <c r="AL101" i="548"/>
  <c r="AI105" i="548"/>
  <c r="AM105" i="548" s="1"/>
  <c r="AL105" i="548"/>
  <c r="AI109" i="548"/>
  <c r="AM109" i="548" s="1"/>
  <c r="AL109" i="548"/>
  <c r="AL106" i="548"/>
  <c r="AI106" i="548"/>
  <c r="AM106" i="548" s="1"/>
  <c r="AL108" i="548"/>
  <c r="AI108" i="548"/>
  <c r="AM108" i="548" s="1"/>
  <c r="AL110" i="548"/>
  <c r="AI110" i="548"/>
  <c r="AM110" i="548" s="1"/>
  <c r="AL116" i="548"/>
  <c r="AI116" i="548"/>
  <c r="AM116" i="548" s="1"/>
  <c r="AI122" i="548"/>
  <c r="AM122" i="548" s="1"/>
  <c r="AL122" i="548"/>
  <c r="AI123" i="548"/>
  <c r="AM123" i="548" s="1"/>
  <c r="AL123" i="548"/>
  <c r="AL126" i="548"/>
  <c r="AI126" i="548"/>
  <c r="AM126" i="548" s="1"/>
  <c r="AI127" i="548"/>
  <c r="AM127" i="548" s="1"/>
  <c r="AL127" i="548"/>
  <c r="AL140" i="548"/>
  <c r="AI140" i="548"/>
  <c r="AM140" i="548" s="1"/>
  <c r="AI144" i="548"/>
  <c r="AM144" i="548" s="1"/>
  <c r="AL144" i="548"/>
  <c r="AI148" i="548"/>
  <c r="AM148" i="548" s="1"/>
  <c r="AL148" i="548"/>
  <c r="AI111" i="548"/>
  <c r="AM111" i="548" s="1"/>
  <c r="AL111" i="548"/>
  <c r="AL112" i="548"/>
  <c r="AI112" i="548"/>
  <c r="AM112" i="548" s="1"/>
  <c r="AI117" i="548"/>
  <c r="AM117" i="548" s="1"/>
  <c r="AL117" i="548"/>
  <c r="AL132" i="548"/>
  <c r="AI132" i="548"/>
  <c r="AM132" i="548" s="1"/>
  <c r="AI136" i="548"/>
  <c r="AM136" i="548" s="1"/>
  <c r="AL136" i="548"/>
  <c r="AI137" i="548"/>
  <c r="AM137" i="548" s="1"/>
  <c r="AL137" i="548"/>
  <c r="AI141" i="548"/>
  <c r="AM141" i="548" s="1"/>
  <c r="AL141" i="548"/>
  <c r="AI145" i="548"/>
  <c r="AM145" i="548" s="1"/>
  <c r="AL145" i="548"/>
  <c r="AI149" i="548"/>
  <c r="AM149" i="548" s="1"/>
  <c r="AL149" i="548"/>
  <c r="AI113" i="548"/>
  <c r="AM113" i="548" s="1"/>
  <c r="AL113" i="548"/>
  <c r="AI114" i="548"/>
  <c r="AM114" i="548" s="1"/>
  <c r="AL114" i="548"/>
  <c r="AI115" i="548"/>
  <c r="AM115" i="548" s="1"/>
  <c r="AL115" i="548"/>
  <c r="AL118" i="548"/>
  <c r="AI118" i="548"/>
  <c r="AM118" i="548" s="1"/>
  <c r="AI119" i="548"/>
  <c r="AM119" i="548" s="1"/>
  <c r="AL119" i="548"/>
  <c r="AL124" i="548"/>
  <c r="AI124" i="548"/>
  <c r="AM124" i="548" s="1"/>
  <c r="AI128" i="548"/>
  <c r="AM128" i="548" s="1"/>
  <c r="AL128" i="548"/>
  <c r="AI129" i="548"/>
  <c r="AM129" i="548" s="1"/>
  <c r="AL129" i="548"/>
  <c r="AI133" i="548"/>
  <c r="AM133" i="548" s="1"/>
  <c r="AL133" i="548"/>
  <c r="AI138" i="548"/>
  <c r="AM138" i="548" s="1"/>
  <c r="AL138" i="548"/>
  <c r="AI139" i="548"/>
  <c r="AM139" i="548" s="1"/>
  <c r="AL139" i="548"/>
  <c r="AL142" i="548"/>
  <c r="AI142" i="548"/>
  <c r="AM142" i="548" s="1"/>
  <c r="AI143" i="548"/>
  <c r="AM143" i="548" s="1"/>
  <c r="AL143" i="548"/>
  <c r="AI146" i="548"/>
  <c r="AM146" i="548" s="1"/>
  <c r="AL146" i="548"/>
  <c r="AI147" i="548"/>
  <c r="AM147" i="548" s="1"/>
  <c r="AL147" i="548"/>
  <c r="AI150" i="548"/>
  <c r="AM150" i="548" s="1"/>
  <c r="AL150" i="548"/>
  <c r="AI120" i="548"/>
  <c r="AM120" i="548" s="1"/>
  <c r="AL120" i="548"/>
  <c r="AI121" i="548"/>
  <c r="AM121" i="548" s="1"/>
  <c r="AL121" i="548"/>
  <c r="AI125" i="548"/>
  <c r="AM125" i="548" s="1"/>
  <c r="AL125" i="548"/>
  <c r="AI130" i="548"/>
  <c r="AM130" i="548" s="1"/>
  <c r="AL130" i="548"/>
  <c r="AI131" i="548"/>
  <c r="AM131" i="548" s="1"/>
  <c r="AL131" i="548"/>
  <c r="AL134" i="548"/>
  <c r="AI134" i="548"/>
  <c r="AM134" i="548" s="1"/>
  <c r="AI135" i="548"/>
  <c r="AM135" i="548" s="1"/>
  <c r="AL135" i="548"/>
  <c r="AI152" i="548"/>
  <c r="AM152" i="548" s="1"/>
  <c r="AL152" i="548"/>
  <c r="AI153" i="548"/>
  <c r="AM153" i="548" s="1"/>
  <c r="AL153" i="548"/>
  <c r="AI156" i="548"/>
  <c r="AM156" i="548" s="1"/>
  <c r="AL156" i="548"/>
  <c r="AI157" i="548"/>
  <c r="AM157" i="548" s="1"/>
  <c r="AL157" i="548"/>
  <c r="AI160" i="548"/>
  <c r="AM160" i="548" s="1"/>
  <c r="AL160" i="548"/>
  <c r="AI161" i="548"/>
  <c r="AM161" i="548" s="1"/>
  <c r="AL161" i="548"/>
  <c r="AI164" i="548"/>
  <c r="AM164" i="548" s="1"/>
  <c r="AL164" i="548"/>
  <c r="AI165" i="548"/>
  <c r="AM165" i="548" s="1"/>
  <c r="AL165" i="548"/>
  <c r="AI168" i="548"/>
  <c r="AM168" i="548" s="1"/>
  <c r="AL168" i="548"/>
  <c r="AI169" i="548"/>
  <c r="AM169" i="548" s="1"/>
  <c r="AL169" i="548"/>
  <c r="AI154" i="548"/>
  <c r="AM154" i="548" s="1"/>
  <c r="AL154" i="548"/>
  <c r="AI155" i="548"/>
  <c r="AM155" i="548" s="1"/>
  <c r="AL155" i="548"/>
  <c r="AI158" i="548"/>
  <c r="AM158" i="548" s="1"/>
  <c r="AL158" i="548"/>
  <c r="AI159" i="548"/>
  <c r="AM159" i="548" s="1"/>
  <c r="AL159" i="548"/>
  <c r="AI162" i="548"/>
  <c r="AM162" i="548" s="1"/>
  <c r="AL162" i="548"/>
  <c r="AI163" i="548"/>
  <c r="AM163" i="548" s="1"/>
  <c r="AL163" i="548"/>
  <c r="AI166" i="548"/>
  <c r="AM166" i="548" s="1"/>
  <c r="AL166" i="548"/>
  <c r="AI167" i="548"/>
  <c r="AM167" i="548" s="1"/>
  <c r="AL167" i="548"/>
  <c r="AI151" i="548"/>
  <c r="AM151" i="548" s="1"/>
  <c r="AL151" i="548"/>
  <c r="AL16" i="548" l="1"/>
  <c r="AI16" i="548"/>
  <c r="AM16" i="548" s="1"/>
  <c r="AG163" i="547" l="1"/>
  <c r="V163" i="547"/>
  <c r="U163" i="547"/>
  <c r="AJ163" i="547" s="1"/>
  <c r="AK163" i="547" s="1"/>
  <c r="T163" i="547"/>
  <c r="AH163" i="547" s="1"/>
  <c r="AG162" i="547"/>
  <c r="V162" i="547"/>
  <c r="U162" i="547"/>
  <c r="AJ162" i="547" s="1"/>
  <c r="AK162" i="547" s="1"/>
  <c r="T162" i="547"/>
  <c r="AH162" i="547" s="1"/>
  <c r="AI162" i="547" s="1"/>
  <c r="AG161" i="547"/>
  <c r="V161" i="547"/>
  <c r="U161" i="547"/>
  <c r="AJ161" i="547" s="1"/>
  <c r="AK161" i="547" s="1"/>
  <c r="T161" i="547"/>
  <c r="AH161" i="547" s="1"/>
  <c r="AG160" i="547"/>
  <c r="V160" i="547"/>
  <c r="U160" i="547"/>
  <c r="AJ160" i="547" s="1"/>
  <c r="AK160" i="547" s="1"/>
  <c r="T160" i="547"/>
  <c r="AH160" i="547" s="1"/>
  <c r="AG159" i="547"/>
  <c r="V159" i="547"/>
  <c r="U159" i="547"/>
  <c r="AJ159" i="547" s="1"/>
  <c r="AK159" i="547" s="1"/>
  <c r="T159" i="547"/>
  <c r="AH159" i="547" s="1"/>
  <c r="AG158" i="547"/>
  <c r="V158" i="547"/>
  <c r="U158" i="547"/>
  <c r="AJ158" i="547" s="1"/>
  <c r="T158" i="547"/>
  <c r="AH158" i="547" s="1"/>
  <c r="AI158" i="547" s="1"/>
  <c r="AG157" i="547"/>
  <c r="V157" i="547"/>
  <c r="U157" i="547"/>
  <c r="AJ157" i="547" s="1"/>
  <c r="AK157" i="547" s="1"/>
  <c r="T157" i="547"/>
  <c r="AH157" i="547" s="1"/>
  <c r="AG156" i="547"/>
  <c r="V156" i="547"/>
  <c r="U156" i="547"/>
  <c r="AJ156" i="547" s="1"/>
  <c r="AK156" i="547" s="1"/>
  <c r="T156" i="547"/>
  <c r="AH156" i="547" s="1"/>
  <c r="AG155" i="547"/>
  <c r="V155" i="547"/>
  <c r="U155" i="547"/>
  <c r="AJ155" i="547" s="1"/>
  <c r="AK155" i="547" s="1"/>
  <c r="T155" i="547"/>
  <c r="AH155" i="547" s="1"/>
  <c r="AG154" i="547"/>
  <c r="V154" i="547"/>
  <c r="U154" i="547"/>
  <c r="AJ154" i="547" s="1"/>
  <c r="AK154" i="547" s="1"/>
  <c r="T154" i="547"/>
  <c r="AH154" i="547" s="1"/>
  <c r="AI154" i="547" s="1"/>
  <c r="AG153" i="547"/>
  <c r="V153" i="547"/>
  <c r="U153" i="547"/>
  <c r="AJ153" i="547" s="1"/>
  <c r="AK153" i="547" s="1"/>
  <c r="T153" i="547"/>
  <c r="AH153" i="547" s="1"/>
  <c r="AG152" i="547"/>
  <c r="V152" i="547"/>
  <c r="U152" i="547"/>
  <c r="AJ152" i="547" s="1"/>
  <c r="AK152" i="547" s="1"/>
  <c r="T152" i="547"/>
  <c r="AH152" i="547" s="1"/>
  <c r="AG151" i="547"/>
  <c r="V151" i="547"/>
  <c r="U151" i="547"/>
  <c r="AJ151" i="547" s="1"/>
  <c r="AK151" i="547" s="1"/>
  <c r="T151" i="547"/>
  <c r="AH151" i="547" s="1"/>
  <c r="AG150" i="547"/>
  <c r="V150" i="547"/>
  <c r="U150" i="547"/>
  <c r="AJ150" i="547" s="1"/>
  <c r="T150" i="547"/>
  <c r="AH150" i="547" s="1"/>
  <c r="AI150" i="547" s="1"/>
  <c r="AG149" i="547"/>
  <c r="V149" i="547"/>
  <c r="U149" i="547"/>
  <c r="AJ149" i="547" s="1"/>
  <c r="AK149" i="547" s="1"/>
  <c r="T149" i="547"/>
  <c r="AH149" i="547" s="1"/>
  <c r="AG148" i="547"/>
  <c r="V148" i="547"/>
  <c r="U148" i="547"/>
  <c r="AJ148" i="547" s="1"/>
  <c r="AK148" i="547" s="1"/>
  <c r="T148" i="547"/>
  <c r="AH148" i="547" s="1"/>
  <c r="AG147" i="547"/>
  <c r="V147" i="547"/>
  <c r="U147" i="547"/>
  <c r="AJ147" i="547" s="1"/>
  <c r="AK147" i="547" s="1"/>
  <c r="T147" i="547"/>
  <c r="AH147" i="547" s="1"/>
  <c r="AG146" i="547"/>
  <c r="V146" i="547"/>
  <c r="U146" i="547"/>
  <c r="AJ146" i="547" s="1"/>
  <c r="AK146" i="547" s="1"/>
  <c r="T146" i="547"/>
  <c r="AH146" i="547" s="1"/>
  <c r="AI146" i="547" s="1"/>
  <c r="AG145" i="547"/>
  <c r="V145" i="547"/>
  <c r="U145" i="547"/>
  <c r="AJ145" i="547" s="1"/>
  <c r="AK145" i="547" s="1"/>
  <c r="T145" i="547"/>
  <c r="AH145" i="547" s="1"/>
  <c r="AG144" i="547"/>
  <c r="V144" i="547"/>
  <c r="U144" i="547"/>
  <c r="AJ144" i="547" s="1"/>
  <c r="AK144" i="547" s="1"/>
  <c r="T144" i="547"/>
  <c r="AH144" i="547" s="1"/>
  <c r="AG143" i="547"/>
  <c r="V143" i="547"/>
  <c r="U143" i="547"/>
  <c r="AJ143" i="547" s="1"/>
  <c r="AK143" i="547" s="1"/>
  <c r="T143" i="547"/>
  <c r="AH143" i="547" s="1"/>
  <c r="AG142" i="547"/>
  <c r="V142" i="547"/>
  <c r="U142" i="547"/>
  <c r="AJ142" i="547" s="1"/>
  <c r="AK142" i="547" s="1"/>
  <c r="T142" i="547"/>
  <c r="AH142" i="547" s="1"/>
  <c r="AI142" i="547" s="1"/>
  <c r="AG141" i="547"/>
  <c r="V141" i="547"/>
  <c r="U141" i="547"/>
  <c r="AJ141" i="547" s="1"/>
  <c r="AK141" i="547" s="1"/>
  <c r="T141" i="547"/>
  <c r="AH141" i="547" s="1"/>
  <c r="AG140" i="547"/>
  <c r="V140" i="547"/>
  <c r="U140" i="547"/>
  <c r="AJ140" i="547" s="1"/>
  <c r="AK140" i="547" s="1"/>
  <c r="T140" i="547"/>
  <c r="AH140" i="547" s="1"/>
  <c r="AG139" i="547"/>
  <c r="V139" i="547"/>
  <c r="U139" i="547"/>
  <c r="AJ139" i="547" s="1"/>
  <c r="AK139" i="547" s="1"/>
  <c r="T139" i="547"/>
  <c r="AH139" i="547" s="1"/>
  <c r="AG138" i="547"/>
  <c r="V138" i="547"/>
  <c r="U138" i="547"/>
  <c r="AJ138" i="547" s="1"/>
  <c r="AK138" i="547" s="1"/>
  <c r="T138" i="547"/>
  <c r="AH138" i="547" s="1"/>
  <c r="AI138" i="547" s="1"/>
  <c r="AG137" i="547"/>
  <c r="V137" i="547"/>
  <c r="U137" i="547"/>
  <c r="AJ137" i="547" s="1"/>
  <c r="AK137" i="547" s="1"/>
  <c r="T137" i="547"/>
  <c r="AH137" i="547" s="1"/>
  <c r="AG136" i="547"/>
  <c r="V136" i="547"/>
  <c r="U136" i="547"/>
  <c r="AJ136" i="547" s="1"/>
  <c r="AK136" i="547" s="1"/>
  <c r="T136" i="547"/>
  <c r="AH136" i="547" s="1"/>
  <c r="AG135" i="547"/>
  <c r="V135" i="547"/>
  <c r="U135" i="547"/>
  <c r="AJ135" i="547" s="1"/>
  <c r="AK135" i="547" s="1"/>
  <c r="T135" i="547"/>
  <c r="AH135" i="547" s="1"/>
  <c r="AG134" i="547"/>
  <c r="V134" i="547"/>
  <c r="U134" i="547"/>
  <c r="AJ134" i="547" s="1"/>
  <c r="AK134" i="547" s="1"/>
  <c r="T134" i="547"/>
  <c r="AH134" i="547" s="1"/>
  <c r="AI134" i="547" s="1"/>
  <c r="AG133" i="547"/>
  <c r="V133" i="547"/>
  <c r="U133" i="547"/>
  <c r="AJ133" i="547" s="1"/>
  <c r="AK133" i="547" s="1"/>
  <c r="T133" i="547"/>
  <c r="AH133" i="547" s="1"/>
  <c r="AG132" i="547"/>
  <c r="V132" i="547"/>
  <c r="U132" i="547"/>
  <c r="AJ132" i="547" s="1"/>
  <c r="AK132" i="547" s="1"/>
  <c r="T132" i="547"/>
  <c r="AH132" i="547" s="1"/>
  <c r="AG131" i="547"/>
  <c r="V131" i="547"/>
  <c r="U131" i="547"/>
  <c r="AJ131" i="547" s="1"/>
  <c r="AK131" i="547" s="1"/>
  <c r="T131" i="547"/>
  <c r="AH131" i="547" s="1"/>
  <c r="AG130" i="547"/>
  <c r="V130" i="547"/>
  <c r="U130" i="547"/>
  <c r="AJ130" i="547" s="1"/>
  <c r="AK130" i="547" s="1"/>
  <c r="T130" i="547"/>
  <c r="AH130" i="547" s="1"/>
  <c r="AI130" i="547" s="1"/>
  <c r="AG129" i="547"/>
  <c r="V129" i="547"/>
  <c r="U129" i="547"/>
  <c r="AJ129" i="547" s="1"/>
  <c r="AK129" i="547" s="1"/>
  <c r="T129" i="547"/>
  <c r="AH129" i="547" s="1"/>
  <c r="AG128" i="547"/>
  <c r="V128" i="547"/>
  <c r="U128" i="547"/>
  <c r="AJ128" i="547" s="1"/>
  <c r="AK128" i="547" s="1"/>
  <c r="T128" i="547"/>
  <c r="AH128" i="547" s="1"/>
  <c r="AG127" i="547"/>
  <c r="V127" i="547"/>
  <c r="U127" i="547"/>
  <c r="AJ127" i="547" s="1"/>
  <c r="AK127" i="547" s="1"/>
  <c r="T127" i="547"/>
  <c r="AH127" i="547" s="1"/>
  <c r="AG126" i="547"/>
  <c r="V126" i="547"/>
  <c r="U126" i="547"/>
  <c r="AJ126" i="547" s="1"/>
  <c r="T126" i="547"/>
  <c r="AH126" i="547" s="1"/>
  <c r="AI126" i="547" s="1"/>
  <c r="AG125" i="547"/>
  <c r="V125" i="547"/>
  <c r="U125" i="547"/>
  <c r="AJ125" i="547" s="1"/>
  <c r="AK125" i="547" s="1"/>
  <c r="T125" i="547"/>
  <c r="AH125" i="547" s="1"/>
  <c r="AG124" i="547"/>
  <c r="V124" i="547"/>
  <c r="U124" i="547"/>
  <c r="AJ124" i="547" s="1"/>
  <c r="AK124" i="547" s="1"/>
  <c r="T124" i="547"/>
  <c r="AH124" i="547" s="1"/>
  <c r="AG123" i="547"/>
  <c r="V123" i="547"/>
  <c r="U123" i="547"/>
  <c r="AJ123" i="547" s="1"/>
  <c r="AK123" i="547" s="1"/>
  <c r="T123" i="547"/>
  <c r="AH123" i="547" s="1"/>
  <c r="AG122" i="547"/>
  <c r="V122" i="547"/>
  <c r="U122" i="547"/>
  <c r="AJ122" i="547" s="1"/>
  <c r="AK122" i="547" s="1"/>
  <c r="T122" i="547"/>
  <c r="AH122" i="547" s="1"/>
  <c r="AI122" i="547" s="1"/>
  <c r="AG121" i="547"/>
  <c r="V121" i="547"/>
  <c r="U121" i="547"/>
  <c r="AJ121" i="547" s="1"/>
  <c r="AK121" i="547" s="1"/>
  <c r="T121" i="547"/>
  <c r="AH121" i="547" s="1"/>
  <c r="AG120" i="547"/>
  <c r="V120" i="547"/>
  <c r="U120" i="547"/>
  <c r="AJ120" i="547" s="1"/>
  <c r="AK120" i="547" s="1"/>
  <c r="T120" i="547"/>
  <c r="AH120" i="547" s="1"/>
  <c r="AG119" i="547"/>
  <c r="V119" i="547"/>
  <c r="U119" i="547"/>
  <c r="AJ119" i="547" s="1"/>
  <c r="AK119" i="547" s="1"/>
  <c r="T119" i="547"/>
  <c r="AH119" i="547" s="1"/>
  <c r="AG118" i="547"/>
  <c r="V118" i="547"/>
  <c r="U118" i="547"/>
  <c r="AJ118" i="547" s="1"/>
  <c r="AK118" i="547" s="1"/>
  <c r="T118" i="547"/>
  <c r="AH118" i="547" s="1"/>
  <c r="AI118" i="547" s="1"/>
  <c r="AG117" i="547"/>
  <c r="V117" i="547"/>
  <c r="U117" i="547"/>
  <c r="AJ117" i="547" s="1"/>
  <c r="AK117" i="547" s="1"/>
  <c r="T117" i="547"/>
  <c r="AH117" i="547" s="1"/>
  <c r="AG116" i="547"/>
  <c r="V116" i="547"/>
  <c r="U116" i="547"/>
  <c r="AJ116" i="547" s="1"/>
  <c r="AK116" i="547" s="1"/>
  <c r="T116" i="547"/>
  <c r="AH116" i="547" s="1"/>
  <c r="AG115" i="547"/>
  <c r="V115" i="547"/>
  <c r="U115" i="547"/>
  <c r="AJ115" i="547" s="1"/>
  <c r="AK115" i="547" s="1"/>
  <c r="T115" i="547"/>
  <c r="AH115" i="547" s="1"/>
  <c r="AG114" i="547"/>
  <c r="V114" i="547"/>
  <c r="U114" i="547"/>
  <c r="AJ114" i="547" s="1"/>
  <c r="AK114" i="547" s="1"/>
  <c r="T114" i="547"/>
  <c r="AH114" i="547" s="1"/>
  <c r="AI114" i="547" s="1"/>
  <c r="AG113" i="547"/>
  <c r="V113" i="547"/>
  <c r="U113" i="547"/>
  <c r="AJ113" i="547" s="1"/>
  <c r="AK113" i="547" s="1"/>
  <c r="T113" i="547"/>
  <c r="AH113" i="547" s="1"/>
  <c r="AG112" i="547"/>
  <c r="V112" i="547"/>
  <c r="U112" i="547"/>
  <c r="AJ112" i="547" s="1"/>
  <c r="AK112" i="547" s="1"/>
  <c r="T112" i="547"/>
  <c r="AH112" i="547" s="1"/>
  <c r="AG111" i="547"/>
  <c r="V111" i="547"/>
  <c r="U111" i="547"/>
  <c r="AJ111" i="547" s="1"/>
  <c r="AK111" i="547" s="1"/>
  <c r="T111" i="547"/>
  <c r="AH111" i="547" s="1"/>
  <c r="AG110" i="547"/>
  <c r="V110" i="547"/>
  <c r="U110" i="547"/>
  <c r="AJ110" i="547" s="1"/>
  <c r="AK110" i="547" s="1"/>
  <c r="T110" i="547"/>
  <c r="AH110" i="547" s="1"/>
  <c r="AG109" i="547"/>
  <c r="V109" i="547"/>
  <c r="U109" i="547"/>
  <c r="AJ109" i="547" s="1"/>
  <c r="T109" i="547"/>
  <c r="AH109" i="547" s="1"/>
  <c r="AI109" i="547" s="1"/>
  <c r="AG108" i="547"/>
  <c r="V108" i="547"/>
  <c r="U108" i="547"/>
  <c r="AJ108" i="547" s="1"/>
  <c r="AK108" i="547" s="1"/>
  <c r="T108" i="547"/>
  <c r="AH108" i="547" s="1"/>
  <c r="AI108" i="547" s="1"/>
  <c r="AG107" i="547"/>
  <c r="V107" i="547"/>
  <c r="U107" i="547"/>
  <c r="AJ107" i="547" s="1"/>
  <c r="AK107" i="547" s="1"/>
  <c r="T107" i="547"/>
  <c r="AH107" i="547" s="1"/>
  <c r="AG106" i="547"/>
  <c r="V106" i="547"/>
  <c r="U106" i="547"/>
  <c r="AJ106" i="547" s="1"/>
  <c r="AK106" i="547" s="1"/>
  <c r="T106" i="547"/>
  <c r="AH106" i="547" s="1"/>
  <c r="AG105" i="547"/>
  <c r="V105" i="547"/>
  <c r="U105" i="547"/>
  <c r="AJ105" i="547" s="1"/>
  <c r="AK105" i="547" s="1"/>
  <c r="T105" i="547"/>
  <c r="AH105" i="547" s="1"/>
  <c r="AG104" i="547"/>
  <c r="V104" i="547"/>
  <c r="U104" i="547"/>
  <c r="AJ104" i="547" s="1"/>
  <c r="AK104" i="547" s="1"/>
  <c r="T104" i="547"/>
  <c r="AH104" i="547" s="1"/>
  <c r="AG103" i="547"/>
  <c r="V103" i="547"/>
  <c r="U103" i="547"/>
  <c r="AJ103" i="547" s="1"/>
  <c r="AK103" i="547" s="1"/>
  <c r="T103" i="547"/>
  <c r="AH103" i="547" s="1"/>
  <c r="AG102" i="547"/>
  <c r="V102" i="547"/>
  <c r="U102" i="547"/>
  <c r="AJ102" i="547" s="1"/>
  <c r="AK102" i="547" s="1"/>
  <c r="T102" i="547"/>
  <c r="AH102" i="547" s="1"/>
  <c r="AG101" i="547"/>
  <c r="V101" i="547"/>
  <c r="U101" i="547"/>
  <c r="AJ101" i="547" s="1"/>
  <c r="AK101" i="547" s="1"/>
  <c r="T101" i="547"/>
  <c r="AH101" i="547" s="1"/>
  <c r="AG100" i="547"/>
  <c r="V100" i="547"/>
  <c r="U100" i="547"/>
  <c r="AJ100" i="547" s="1"/>
  <c r="AK100" i="547" s="1"/>
  <c r="T100" i="547"/>
  <c r="AH100" i="547" s="1"/>
  <c r="AG99" i="547"/>
  <c r="V99" i="547"/>
  <c r="U99" i="547"/>
  <c r="AJ99" i="547" s="1"/>
  <c r="AK99" i="547" s="1"/>
  <c r="T99" i="547"/>
  <c r="AH99" i="547" s="1"/>
  <c r="AG98" i="547"/>
  <c r="V98" i="547"/>
  <c r="U98" i="547"/>
  <c r="AJ98" i="547" s="1"/>
  <c r="AK98" i="547" s="1"/>
  <c r="T98" i="547"/>
  <c r="AH98" i="547" s="1"/>
  <c r="AG97" i="547"/>
  <c r="V97" i="547"/>
  <c r="U97" i="547"/>
  <c r="AJ97" i="547" s="1"/>
  <c r="AK97" i="547" s="1"/>
  <c r="T97" i="547"/>
  <c r="AH97" i="547" s="1"/>
  <c r="AG96" i="547"/>
  <c r="V96" i="547"/>
  <c r="U96" i="547"/>
  <c r="AJ96" i="547" s="1"/>
  <c r="AK96" i="547" s="1"/>
  <c r="T96" i="547"/>
  <c r="AH96" i="547" s="1"/>
  <c r="AG95" i="547"/>
  <c r="V95" i="547"/>
  <c r="U95" i="547"/>
  <c r="AJ95" i="547" s="1"/>
  <c r="AK95" i="547" s="1"/>
  <c r="T95" i="547"/>
  <c r="AH95" i="547" s="1"/>
  <c r="AG94" i="547"/>
  <c r="V94" i="547"/>
  <c r="U94" i="547"/>
  <c r="AJ94" i="547" s="1"/>
  <c r="AK94" i="547" s="1"/>
  <c r="T94" i="547"/>
  <c r="AH94" i="547" s="1"/>
  <c r="AG93" i="547"/>
  <c r="V93" i="547"/>
  <c r="U93" i="547"/>
  <c r="AJ93" i="547" s="1"/>
  <c r="AK93" i="547" s="1"/>
  <c r="T93" i="547"/>
  <c r="AH93" i="547" s="1"/>
  <c r="AG92" i="547"/>
  <c r="V92" i="547"/>
  <c r="U92" i="547"/>
  <c r="AJ92" i="547" s="1"/>
  <c r="AK92" i="547" s="1"/>
  <c r="T92" i="547"/>
  <c r="AH92" i="547" s="1"/>
  <c r="AG91" i="547"/>
  <c r="V91" i="547"/>
  <c r="U91" i="547"/>
  <c r="AJ91" i="547" s="1"/>
  <c r="AK91" i="547" s="1"/>
  <c r="T91" i="547"/>
  <c r="AH91" i="547" s="1"/>
  <c r="AG90" i="547"/>
  <c r="V90" i="547"/>
  <c r="U90" i="547"/>
  <c r="AJ90" i="547" s="1"/>
  <c r="AK90" i="547" s="1"/>
  <c r="T90" i="547"/>
  <c r="AH90" i="547" s="1"/>
  <c r="AG89" i="547"/>
  <c r="V89" i="547"/>
  <c r="U89" i="547"/>
  <c r="AJ89" i="547" s="1"/>
  <c r="AK89" i="547" s="1"/>
  <c r="T89" i="547"/>
  <c r="AH89" i="547" s="1"/>
  <c r="AG88" i="547"/>
  <c r="V88" i="547"/>
  <c r="U88" i="547"/>
  <c r="AJ88" i="547" s="1"/>
  <c r="AK88" i="547" s="1"/>
  <c r="T88" i="547"/>
  <c r="AH88" i="547" s="1"/>
  <c r="AG87" i="547"/>
  <c r="V87" i="547"/>
  <c r="U87" i="547"/>
  <c r="AJ87" i="547" s="1"/>
  <c r="AK87" i="547" s="1"/>
  <c r="T87" i="547"/>
  <c r="AH87" i="547" s="1"/>
  <c r="AG86" i="547"/>
  <c r="V86" i="547"/>
  <c r="U86" i="547"/>
  <c r="AJ86" i="547" s="1"/>
  <c r="AK86" i="547" s="1"/>
  <c r="T86" i="547"/>
  <c r="AH86" i="547" s="1"/>
  <c r="AG85" i="547"/>
  <c r="V85" i="547"/>
  <c r="U85" i="547"/>
  <c r="AJ85" i="547" s="1"/>
  <c r="AK85" i="547" s="1"/>
  <c r="T85" i="547"/>
  <c r="AH85" i="547" s="1"/>
  <c r="AG84" i="547"/>
  <c r="V84" i="547"/>
  <c r="U84" i="547"/>
  <c r="AJ84" i="547" s="1"/>
  <c r="AK84" i="547" s="1"/>
  <c r="T84" i="547"/>
  <c r="AH84" i="547" s="1"/>
  <c r="AG83" i="547"/>
  <c r="V83" i="547"/>
  <c r="U83" i="547"/>
  <c r="AJ83" i="547" s="1"/>
  <c r="AK83" i="547" s="1"/>
  <c r="T83" i="547"/>
  <c r="AH83" i="547" s="1"/>
  <c r="AG82" i="547"/>
  <c r="V82" i="547"/>
  <c r="U82" i="547"/>
  <c r="AJ82" i="547" s="1"/>
  <c r="AK82" i="547" s="1"/>
  <c r="T82" i="547"/>
  <c r="AH82" i="547" s="1"/>
  <c r="AG81" i="547"/>
  <c r="V81" i="547"/>
  <c r="U81" i="547"/>
  <c r="AJ81" i="547" s="1"/>
  <c r="AK81" i="547" s="1"/>
  <c r="T81" i="547"/>
  <c r="AH81" i="547" s="1"/>
  <c r="AG80" i="547"/>
  <c r="V80" i="547"/>
  <c r="U80" i="547"/>
  <c r="AJ80" i="547" s="1"/>
  <c r="AK80" i="547" s="1"/>
  <c r="T80" i="547"/>
  <c r="AH80" i="547" s="1"/>
  <c r="AG79" i="547"/>
  <c r="V79" i="547"/>
  <c r="U79" i="547"/>
  <c r="AJ79" i="547" s="1"/>
  <c r="AK79" i="547" s="1"/>
  <c r="T79" i="547"/>
  <c r="AH79" i="547" s="1"/>
  <c r="AG78" i="547"/>
  <c r="V78" i="547"/>
  <c r="U78" i="547"/>
  <c r="AJ78" i="547" s="1"/>
  <c r="AK78" i="547" s="1"/>
  <c r="T78" i="547"/>
  <c r="AH78" i="547" s="1"/>
  <c r="AG77" i="547"/>
  <c r="V77" i="547"/>
  <c r="U77" i="547"/>
  <c r="AJ77" i="547" s="1"/>
  <c r="AK77" i="547" s="1"/>
  <c r="T77" i="547"/>
  <c r="AH77" i="547" s="1"/>
  <c r="AG76" i="547"/>
  <c r="V76" i="547"/>
  <c r="U76" i="547"/>
  <c r="AJ76" i="547" s="1"/>
  <c r="AK76" i="547" s="1"/>
  <c r="T76" i="547"/>
  <c r="AH76" i="547" s="1"/>
  <c r="AG75" i="547"/>
  <c r="V75" i="547"/>
  <c r="U75" i="547"/>
  <c r="AJ75" i="547" s="1"/>
  <c r="AK75" i="547" s="1"/>
  <c r="T75" i="547"/>
  <c r="AH75" i="547" s="1"/>
  <c r="AG74" i="547"/>
  <c r="V74" i="547"/>
  <c r="U74" i="547"/>
  <c r="AJ74" i="547" s="1"/>
  <c r="AK74" i="547" s="1"/>
  <c r="T74" i="547"/>
  <c r="AH74" i="547" s="1"/>
  <c r="AG73" i="547"/>
  <c r="V73" i="547"/>
  <c r="U73" i="547"/>
  <c r="AJ73" i="547" s="1"/>
  <c r="AK73" i="547" s="1"/>
  <c r="T73" i="547"/>
  <c r="AH73" i="547" s="1"/>
  <c r="AG72" i="547"/>
  <c r="V72" i="547"/>
  <c r="U72" i="547"/>
  <c r="AJ72" i="547" s="1"/>
  <c r="AK72" i="547" s="1"/>
  <c r="T72" i="547"/>
  <c r="AH72" i="547" s="1"/>
  <c r="AG71" i="547"/>
  <c r="V71" i="547"/>
  <c r="U71" i="547"/>
  <c r="AJ71" i="547" s="1"/>
  <c r="AK71" i="547" s="1"/>
  <c r="T71" i="547"/>
  <c r="AH71" i="547" s="1"/>
  <c r="AG70" i="547"/>
  <c r="V70" i="547"/>
  <c r="U70" i="547"/>
  <c r="AJ70" i="547" s="1"/>
  <c r="AK70" i="547" s="1"/>
  <c r="T70" i="547"/>
  <c r="AH70" i="547" s="1"/>
  <c r="AG69" i="547"/>
  <c r="V69" i="547"/>
  <c r="U69" i="547"/>
  <c r="AJ69" i="547" s="1"/>
  <c r="AK69" i="547" s="1"/>
  <c r="T69" i="547"/>
  <c r="AH69" i="547" s="1"/>
  <c r="AG68" i="547"/>
  <c r="V68" i="547"/>
  <c r="U68" i="547"/>
  <c r="AJ68" i="547" s="1"/>
  <c r="AK68" i="547" s="1"/>
  <c r="T68" i="547"/>
  <c r="AH68" i="547" s="1"/>
  <c r="AG67" i="547"/>
  <c r="V67" i="547"/>
  <c r="U67" i="547"/>
  <c r="AJ67" i="547" s="1"/>
  <c r="AK67" i="547" s="1"/>
  <c r="T67" i="547"/>
  <c r="AH67" i="547" s="1"/>
  <c r="AG66" i="547"/>
  <c r="V66" i="547"/>
  <c r="U66" i="547"/>
  <c r="AJ66" i="547" s="1"/>
  <c r="AK66" i="547" s="1"/>
  <c r="T66" i="547"/>
  <c r="AH66" i="547" s="1"/>
  <c r="AG65" i="547"/>
  <c r="V65" i="547"/>
  <c r="U65" i="547"/>
  <c r="AJ65" i="547" s="1"/>
  <c r="AK65" i="547" s="1"/>
  <c r="T65" i="547"/>
  <c r="AH65" i="547" s="1"/>
  <c r="AG64" i="547"/>
  <c r="V64" i="547"/>
  <c r="U64" i="547"/>
  <c r="AJ64" i="547" s="1"/>
  <c r="AK64" i="547" s="1"/>
  <c r="T64" i="547"/>
  <c r="AH64" i="547" s="1"/>
  <c r="AG63" i="547"/>
  <c r="V63" i="547"/>
  <c r="U63" i="547"/>
  <c r="AJ63" i="547" s="1"/>
  <c r="AK63" i="547" s="1"/>
  <c r="T63" i="547"/>
  <c r="AH63" i="547" s="1"/>
  <c r="AG62" i="547"/>
  <c r="V62" i="547"/>
  <c r="U62" i="547"/>
  <c r="AJ62" i="547" s="1"/>
  <c r="AK62" i="547" s="1"/>
  <c r="T62" i="547"/>
  <c r="AH62" i="547" s="1"/>
  <c r="AG61" i="547"/>
  <c r="V61" i="547"/>
  <c r="U61" i="547"/>
  <c r="AJ61" i="547" s="1"/>
  <c r="AK61" i="547" s="1"/>
  <c r="T61" i="547"/>
  <c r="AH61" i="547" s="1"/>
  <c r="AG60" i="547"/>
  <c r="V60" i="547"/>
  <c r="U60" i="547"/>
  <c r="AJ60" i="547" s="1"/>
  <c r="AK60" i="547" s="1"/>
  <c r="T60" i="547"/>
  <c r="AH60" i="547" s="1"/>
  <c r="AG59" i="547"/>
  <c r="V59" i="547"/>
  <c r="U59" i="547"/>
  <c r="AJ59" i="547" s="1"/>
  <c r="AK59" i="547" s="1"/>
  <c r="T59" i="547"/>
  <c r="AH59" i="547" s="1"/>
  <c r="AG58" i="547"/>
  <c r="V58" i="547"/>
  <c r="U58" i="547"/>
  <c r="AJ58" i="547" s="1"/>
  <c r="AK58" i="547" s="1"/>
  <c r="T58" i="547"/>
  <c r="AH58" i="547" s="1"/>
  <c r="AG57" i="547"/>
  <c r="V57" i="547"/>
  <c r="U57" i="547"/>
  <c r="AJ57" i="547" s="1"/>
  <c r="AK57" i="547" s="1"/>
  <c r="T57" i="547"/>
  <c r="AH57" i="547" s="1"/>
  <c r="AG56" i="547"/>
  <c r="V56" i="547"/>
  <c r="U56" i="547"/>
  <c r="AJ56" i="547" s="1"/>
  <c r="AK56" i="547" s="1"/>
  <c r="T56" i="547"/>
  <c r="AH56" i="547" s="1"/>
  <c r="AG55" i="547"/>
  <c r="V55" i="547"/>
  <c r="U55" i="547"/>
  <c r="AJ55" i="547" s="1"/>
  <c r="AK55" i="547" s="1"/>
  <c r="T55" i="547"/>
  <c r="AH55" i="547" s="1"/>
  <c r="AG54" i="547"/>
  <c r="V54" i="547"/>
  <c r="U54" i="547"/>
  <c r="AJ54" i="547" s="1"/>
  <c r="AK54" i="547" s="1"/>
  <c r="T54" i="547"/>
  <c r="AH54" i="547" s="1"/>
  <c r="AG53" i="547"/>
  <c r="V53" i="547"/>
  <c r="U53" i="547"/>
  <c r="AJ53" i="547" s="1"/>
  <c r="AK53" i="547" s="1"/>
  <c r="T53" i="547"/>
  <c r="AH53" i="547" s="1"/>
  <c r="AG52" i="547"/>
  <c r="V52" i="547"/>
  <c r="U52" i="547"/>
  <c r="AJ52" i="547" s="1"/>
  <c r="AK52" i="547" s="1"/>
  <c r="T52" i="547"/>
  <c r="AH52" i="547" s="1"/>
  <c r="AG51" i="547"/>
  <c r="V51" i="547"/>
  <c r="U51" i="547"/>
  <c r="AJ51" i="547" s="1"/>
  <c r="AK51" i="547" s="1"/>
  <c r="T51" i="547"/>
  <c r="AH51" i="547" s="1"/>
  <c r="AG50" i="547"/>
  <c r="V50" i="547"/>
  <c r="U50" i="547"/>
  <c r="AJ50" i="547" s="1"/>
  <c r="AK50" i="547" s="1"/>
  <c r="T50" i="547"/>
  <c r="AH50" i="547" s="1"/>
  <c r="AG49" i="547"/>
  <c r="V49" i="547"/>
  <c r="U49" i="547"/>
  <c r="AJ49" i="547" s="1"/>
  <c r="AK49" i="547" s="1"/>
  <c r="T49" i="547"/>
  <c r="AH49" i="547" s="1"/>
  <c r="AG48" i="547"/>
  <c r="V48" i="547"/>
  <c r="U48" i="547"/>
  <c r="AJ48" i="547" s="1"/>
  <c r="AK48" i="547" s="1"/>
  <c r="T48" i="547"/>
  <c r="AH48" i="547" s="1"/>
  <c r="AG47" i="547"/>
  <c r="V47" i="547"/>
  <c r="U47" i="547"/>
  <c r="AJ47" i="547" s="1"/>
  <c r="AK47" i="547" s="1"/>
  <c r="T47" i="547"/>
  <c r="AH47" i="547" s="1"/>
  <c r="AG46" i="547"/>
  <c r="V46" i="547"/>
  <c r="U46" i="547"/>
  <c r="AJ46" i="547" s="1"/>
  <c r="AK46" i="547" s="1"/>
  <c r="T46" i="547"/>
  <c r="AH46" i="547" s="1"/>
  <c r="AG45" i="547"/>
  <c r="V45" i="547"/>
  <c r="U45" i="547"/>
  <c r="AJ45" i="547" s="1"/>
  <c r="AK45" i="547" s="1"/>
  <c r="T45" i="547"/>
  <c r="AH45" i="547" s="1"/>
  <c r="AG44" i="547"/>
  <c r="V44" i="547"/>
  <c r="U44" i="547"/>
  <c r="AJ44" i="547" s="1"/>
  <c r="AK44" i="547" s="1"/>
  <c r="T44" i="547"/>
  <c r="AH44" i="547" s="1"/>
  <c r="AG43" i="547"/>
  <c r="V43" i="547"/>
  <c r="U43" i="547"/>
  <c r="AJ43" i="547" s="1"/>
  <c r="AK43" i="547" s="1"/>
  <c r="T43" i="547"/>
  <c r="AH43" i="547" s="1"/>
  <c r="AG42" i="547"/>
  <c r="V42" i="547"/>
  <c r="U42" i="547"/>
  <c r="AJ42" i="547" s="1"/>
  <c r="AK42" i="547" s="1"/>
  <c r="T42" i="547"/>
  <c r="AH42" i="547" s="1"/>
  <c r="AG41" i="547"/>
  <c r="V41" i="547"/>
  <c r="U41" i="547"/>
  <c r="AJ41" i="547" s="1"/>
  <c r="AK41" i="547" s="1"/>
  <c r="T41" i="547"/>
  <c r="AH41" i="547" s="1"/>
  <c r="AG40" i="547"/>
  <c r="V40" i="547"/>
  <c r="U40" i="547"/>
  <c r="AJ40" i="547" s="1"/>
  <c r="AK40" i="547" s="1"/>
  <c r="T40" i="547"/>
  <c r="AH40" i="547" s="1"/>
  <c r="AG39" i="547"/>
  <c r="V39" i="547"/>
  <c r="U39" i="547"/>
  <c r="AJ39" i="547" s="1"/>
  <c r="AK39" i="547" s="1"/>
  <c r="T39" i="547"/>
  <c r="AH39" i="547" s="1"/>
  <c r="AG38" i="547"/>
  <c r="V38" i="547"/>
  <c r="U38" i="547"/>
  <c r="AJ38" i="547" s="1"/>
  <c r="AK38" i="547" s="1"/>
  <c r="T38" i="547"/>
  <c r="AH38" i="547" s="1"/>
  <c r="AG37" i="547"/>
  <c r="V37" i="547"/>
  <c r="U37" i="547"/>
  <c r="AJ37" i="547" s="1"/>
  <c r="AK37" i="547" s="1"/>
  <c r="T37" i="547"/>
  <c r="AH37" i="547" s="1"/>
  <c r="AG36" i="547"/>
  <c r="V36" i="547"/>
  <c r="U36" i="547"/>
  <c r="AJ36" i="547" s="1"/>
  <c r="AK36" i="547" s="1"/>
  <c r="T36" i="547"/>
  <c r="AH36" i="547" s="1"/>
  <c r="AG35" i="547"/>
  <c r="V35" i="547"/>
  <c r="U35" i="547"/>
  <c r="AJ35" i="547" s="1"/>
  <c r="AK35" i="547" s="1"/>
  <c r="T35" i="547"/>
  <c r="AH35" i="547" s="1"/>
  <c r="AG34" i="547"/>
  <c r="V34" i="547"/>
  <c r="U34" i="547"/>
  <c r="AJ34" i="547" s="1"/>
  <c r="AK34" i="547" s="1"/>
  <c r="T34" i="547"/>
  <c r="AH34" i="547" s="1"/>
  <c r="AG33" i="547"/>
  <c r="V33" i="547"/>
  <c r="U33" i="547"/>
  <c r="AJ33" i="547" s="1"/>
  <c r="AK33" i="547" s="1"/>
  <c r="T33" i="547"/>
  <c r="AH33" i="547" s="1"/>
  <c r="AG32" i="547"/>
  <c r="V32" i="547"/>
  <c r="U32" i="547"/>
  <c r="AJ32" i="547" s="1"/>
  <c r="AK32" i="547" s="1"/>
  <c r="T32" i="547"/>
  <c r="AH32" i="547" s="1"/>
  <c r="AG31" i="547"/>
  <c r="V31" i="547"/>
  <c r="U31" i="547"/>
  <c r="AJ31" i="547" s="1"/>
  <c r="AK31" i="547" s="1"/>
  <c r="T31" i="547"/>
  <c r="AH31" i="547" s="1"/>
  <c r="AG30" i="547"/>
  <c r="V30" i="547"/>
  <c r="U30" i="547"/>
  <c r="AJ30" i="547" s="1"/>
  <c r="AK30" i="547" s="1"/>
  <c r="T30" i="547"/>
  <c r="AH30" i="547" s="1"/>
  <c r="AG29" i="547"/>
  <c r="V29" i="547"/>
  <c r="U29" i="547"/>
  <c r="AJ29" i="547" s="1"/>
  <c r="AK29" i="547" s="1"/>
  <c r="T29" i="547"/>
  <c r="AH29" i="547" s="1"/>
  <c r="AG28" i="547"/>
  <c r="V28" i="547"/>
  <c r="U28" i="547"/>
  <c r="AJ28" i="547" s="1"/>
  <c r="AK28" i="547" s="1"/>
  <c r="T28" i="547"/>
  <c r="AH28" i="547" s="1"/>
  <c r="AG27" i="547"/>
  <c r="V27" i="547"/>
  <c r="U27" i="547"/>
  <c r="AJ27" i="547" s="1"/>
  <c r="AK27" i="547" s="1"/>
  <c r="T27" i="547"/>
  <c r="AH27" i="547" s="1"/>
  <c r="AG26" i="547"/>
  <c r="V26" i="547"/>
  <c r="U26" i="547"/>
  <c r="AJ26" i="547" s="1"/>
  <c r="AK26" i="547" s="1"/>
  <c r="T26" i="547"/>
  <c r="AH26" i="547" s="1"/>
  <c r="AG25" i="547"/>
  <c r="V25" i="547"/>
  <c r="U25" i="547"/>
  <c r="AJ25" i="547" s="1"/>
  <c r="AK25" i="547" s="1"/>
  <c r="T25" i="547"/>
  <c r="AH25" i="547" s="1"/>
  <c r="AG24" i="547"/>
  <c r="V24" i="547"/>
  <c r="U24" i="547"/>
  <c r="AJ24" i="547" s="1"/>
  <c r="AK24" i="547" s="1"/>
  <c r="T24" i="547"/>
  <c r="AH24" i="547" s="1"/>
  <c r="AG23" i="547"/>
  <c r="V23" i="547"/>
  <c r="U23" i="547"/>
  <c r="AJ23" i="547" s="1"/>
  <c r="AK23" i="547" s="1"/>
  <c r="T23" i="547"/>
  <c r="AH23" i="547" s="1"/>
  <c r="AG22" i="547"/>
  <c r="V22" i="547"/>
  <c r="U22" i="547"/>
  <c r="AJ22" i="547" s="1"/>
  <c r="AK22" i="547" s="1"/>
  <c r="T22" i="547"/>
  <c r="AH22" i="547" s="1"/>
  <c r="AG21" i="547"/>
  <c r="V21" i="547"/>
  <c r="U21" i="547"/>
  <c r="AJ21" i="547" s="1"/>
  <c r="AK21" i="547" s="1"/>
  <c r="T21" i="547"/>
  <c r="AH21" i="547" s="1"/>
  <c r="AG20" i="547"/>
  <c r="V20" i="547"/>
  <c r="U20" i="547"/>
  <c r="AJ20" i="547" s="1"/>
  <c r="AK20" i="547" s="1"/>
  <c r="T20" i="547"/>
  <c r="AH20" i="547" s="1"/>
  <c r="AG19" i="547"/>
  <c r="V19" i="547"/>
  <c r="U19" i="547"/>
  <c r="AJ19" i="547" s="1"/>
  <c r="AK19" i="547" s="1"/>
  <c r="T19" i="547"/>
  <c r="AH19" i="547" s="1"/>
  <c r="AG18" i="547"/>
  <c r="V18" i="547"/>
  <c r="U18" i="547"/>
  <c r="AJ18" i="547" s="1"/>
  <c r="AK18" i="547" s="1"/>
  <c r="T18" i="547"/>
  <c r="AH18" i="547" s="1"/>
  <c r="AG17" i="547"/>
  <c r="V17" i="547"/>
  <c r="U17" i="547"/>
  <c r="AJ17" i="547" s="1"/>
  <c r="AK17" i="547" s="1"/>
  <c r="T17" i="547"/>
  <c r="AH17" i="547" s="1"/>
  <c r="AG16" i="547"/>
  <c r="V16" i="547"/>
  <c r="U16" i="547"/>
  <c r="AJ16" i="547" s="1"/>
  <c r="AK16" i="547" s="1"/>
  <c r="T16" i="547"/>
  <c r="AH16" i="547" s="1"/>
  <c r="AG15" i="547"/>
  <c r="V15" i="547"/>
  <c r="U15" i="547"/>
  <c r="AJ15" i="547" s="1"/>
  <c r="AK15" i="547" s="1"/>
  <c r="T15" i="547"/>
  <c r="AG14" i="547"/>
  <c r="V14" i="547"/>
  <c r="U14" i="547"/>
  <c r="AJ14" i="547" s="1"/>
  <c r="AK14" i="547" s="1"/>
  <c r="T14" i="547"/>
  <c r="AG13" i="547"/>
  <c r="V13" i="547"/>
  <c r="U13" i="547"/>
  <c r="AJ13" i="547" s="1"/>
  <c r="AK13" i="547" s="1"/>
  <c r="T13" i="547"/>
  <c r="AG12" i="547"/>
  <c r="V12" i="547"/>
  <c r="U12" i="547"/>
  <c r="AJ12" i="547" s="1"/>
  <c r="AK12" i="547" s="1"/>
  <c r="T12" i="547"/>
  <c r="AG11" i="547"/>
  <c r="V11" i="547"/>
  <c r="U11" i="547"/>
  <c r="T11" i="547"/>
  <c r="AG10" i="547"/>
  <c r="V10" i="547"/>
  <c r="U10" i="547"/>
  <c r="AJ10" i="547" s="1"/>
  <c r="AK10" i="547" s="1"/>
  <c r="T10" i="547"/>
  <c r="AG9" i="547"/>
  <c r="V9" i="547"/>
  <c r="U9" i="547"/>
  <c r="AJ9" i="547" s="1"/>
  <c r="AK9" i="547" s="1"/>
  <c r="T9" i="547"/>
  <c r="O4" i="547"/>
  <c r="I4" i="547"/>
  <c r="G4" i="547"/>
  <c r="AR2" i="547"/>
  <c r="G2" i="547"/>
  <c r="AH9" i="547" l="1"/>
  <c r="AH12" i="547"/>
  <c r="AH10" i="547"/>
  <c r="AH11" i="547"/>
  <c r="AI11" i="547" s="1"/>
  <c r="AJ11" i="547"/>
  <c r="AK11" i="547" s="1"/>
  <c r="AH13" i="547"/>
  <c r="AL13" i="547" s="1"/>
  <c r="AH14" i="547"/>
  <c r="AH15" i="547"/>
  <c r="AL15" i="547" s="1"/>
  <c r="AM134" i="547"/>
  <c r="AM142" i="547"/>
  <c r="AM130" i="547"/>
  <c r="AM138" i="547"/>
  <c r="AK109" i="547"/>
  <c r="AL109" i="547"/>
  <c r="AK126" i="547"/>
  <c r="AM126" i="547" s="1"/>
  <c r="AL126" i="547"/>
  <c r="AK150" i="547"/>
  <c r="AL150" i="547"/>
  <c r="AK158" i="547"/>
  <c r="AM158" i="547" s="1"/>
  <c r="AL158" i="547"/>
  <c r="AM109" i="547"/>
  <c r="AL118" i="547"/>
  <c r="AM122" i="547"/>
  <c r="AM154" i="547"/>
  <c r="AM162" i="547"/>
  <c r="AM108" i="547"/>
  <c r="AL134" i="547"/>
  <c r="AL162" i="547"/>
  <c r="AM114" i="547"/>
  <c r="AM118" i="547"/>
  <c r="AL142" i="547"/>
  <c r="AM146" i="547"/>
  <c r="AM150" i="547"/>
  <c r="AI9" i="547"/>
  <c r="AM9" i="547" s="1"/>
  <c r="AL9" i="547"/>
  <c r="AI13" i="547"/>
  <c r="AM13" i="547" s="1"/>
  <c r="AI17" i="547"/>
  <c r="AM17" i="547" s="1"/>
  <c r="AL17" i="547"/>
  <c r="AI19" i="547"/>
  <c r="AM19" i="547" s="1"/>
  <c r="AL19" i="547"/>
  <c r="AL21" i="547"/>
  <c r="AI21" i="547"/>
  <c r="AM21" i="547" s="1"/>
  <c r="AI29" i="547"/>
  <c r="AM29" i="547" s="1"/>
  <c r="AL29" i="547"/>
  <c r="AL48" i="547"/>
  <c r="AI48" i="547"/>
  <c r="AM48" i="547" s="1"/>
  <c r="AI60" i="547"/>
  <c r="AM60" i="547" s="1"/>
  <c r="AL60" i="547"/>
  <c r="AI69" i="547"/>
  <c r="AM69" i="547" s="1"/>
  <c r="AL69" i="547"/>
  <c r="AI81" i="547"/>
  <c r="AM81" i="547" s="1"/>
  <c r="AL81" i="547"/>
  <c r="AI89" i="547"/>
  <c r="AM89" i="547" s="1"/>
  <c r="AL89" i="547"/>
  <c r="AI101" i="547"/>
  <c r="AM101" i="547" s="1"/>
  <c r="AL101" i="547"/>
  <c r="AI140" i="547"/>
  <c r="AM140" i="547" s="1"/>
  <c r="AL140" i="547"/>
  <c r="AI22" i="547"/>
  <c r="AM22" i="547" s="1"/>
  <c r="AL22" i="547"/>
  <c r="AI26" i="547"/>
  <c r="AM26" i="547" s="1"/>
  <c r="AL26" i="547"/>
  <c r="AI30" i="547"/>
  <c r="AM30" i="547" s="1"/>
  <c r="AL30" i="547"/>
  <c r="AI34" i="547"/>
  <c r="AM34" i="547" s="1"/>
  <c r="AL34" i="547"/>
  <c r="AI38" i="547"/>
  <c r="AM38" i="547" s="1"/>
  <c r="AL38" i="547"/>
  <c r="AI41" i="547"/>
  <c r="AM41" i="547" s="1"/>
  <c r="AL41" i="547"/>
  <c r="AI45" i="547"/>
  <c r="AM45" i="547" s="1"/>
  <c r="AL45" i="547"/>
  <c r="AI49" i="547"/>
  <c r="AM49" i="547" s="1"/>
  <c r="AL49" i="547"/>
  <c r="AI53" i="547"/>
  <c r="AM53" i="547" s="1"/>
  <c r="AL53" i="547"/>
  <c r="AI57" i="547"/>
  <c r="AM57" i="547" s="1"/>
  <c r="AL57" i="547"/>
  <c r="AI61" i="547"/>
  <c r="AM61" i="547" s="1"/>
  <c r="AL61" i="547"/>
  <c r="AI65" i="547"/>
  <c r="AM65" i="547" s="1"/>
  <c r="AL65" i="547"/>
  <c r="AI70" i="547"/>
  <c r="AM70" i="547" s="1"/>
  <c r="AL70" i="547"/>
  <c r="AI74" i="547"/>
  <c r="AM74" i="547" s="1"/>
  <c r="AL74" i="547"/>
  <c r="AI78" i="547"/>
  <c r="AM78" i="547" s="1"/>
  <c r="AL78" i="547"/>
  <c r="AI82" i="547"/>
  <c r="AM82" i="547" s="1"/>
  <c r="AL82" i="547"/>
  <c r="AI86" i="547"/>
  <c r="AM86" i="547" s="1"/>
  <c r="AL86" i="547"/>
  <c r="AL107" i="547"/>
  <c r="AI107" i="547"/>
  <c r="AM107" i="547" s="1"/>
  <c r="AI116" i="547"/>
  <c r="AM116" i="547" s="1"/>
  <c r="AL116" i="547"/>
  <c r="AI144" i="547"/>
  <c r="AM144" i="547" s="1"/>
  <c r="AL144" i="547"/>
  <c r="AI148" i="547"/>
  <c r="AM148" i="547" s="1"/>
  <c r="AL148" i="547"/>
  <c r="AL25" i="547"/>
  <c r="AI25" i="547"/>
  <c r="AM25" i="547" s="1"/>
  <c r="AL37" i="547"/>
  <c r="AI37" i="547"/>
  <c r="AM37" i="547" s="1"/>
  <c r="AI44" i="547"/>
  <c r="AM44" i="547" s="1"/>
  <c r="AL44" i="547"/>
  <c r="AL56" i="547"/>
  <c r="AI56" i="547"/>
  <c r="AM56" i="547" s="1"/>
  <c r="AL64" i="547"/>
  <c r="AI64" i="547"/>
  <c r="AM64" i="547" s="1"/>
  <c r="AI73" i="547"/>
  <c r="AM73" i="547" s="1"/>
  <c r="AL73" i="547"/>
  <c r="AI77" i="547"/>
  <c r="AM77" i="547" s="1"/>
  <c r="AL77" i="547"/>
  <c r="AI85" i="547"/>
  <c r="AM85" i="547" s="1"/>
  <c r="AL85" i="547"/>
  <c r="AI93" i="547"/>
  <c r="AM93" i="547" s="1"/>
  <c r="AL93" i="547"/>
  <c r="AI97" i="547"/>
  <c r="AM97" i="547" s="1"/>
  <c r="AL97" i="547"/>
  <c r="AI136" i="547"/>
  <c r="AM136" i="547" s="1"/>
  <c r="AL136" i="547"/>
  <c r="AL23" i="547"/>
  <c r="AI23" i="547"/>
  <c r="AM23" i="547" s="1"/>
  <c r="AL27" i="547"/>
  <c r="AI27" i="547"/>
  <c r="AM27" i="547" s="1"/>
  <c r="AI31" i="547"/>
  <c r="AM31" i="547" s="1"/>
  <c r="AL31" i="547"/>
  <c r="AL35" i="547"/>
  <c r="AI35" i="547"/>
  <c r="AM35" i="547" s="1"/>
  <c r="AI39" i="547"/>
  <c r="AM39" i="547" s="1"/>
  <c r="AL39" i="547"/>
  <c r="AI42" i="547"/>
  <c r="AM42" i="547" s="1"/>
  <c r="AL42" i="547"/>
  <c r="AI43" i="547"/>
  <c r="AM43" i="547" s="1"/>
  <c r="AL43" i="547"/>
  <c r="AL46" i="547"/>
  <c r="AI46" i="547"/>
  <c r="AM46" i="547" s="1"/>
  <c r="AI47" i="547"/>
  <c r="AM47" i="547" s="1"/>
  <c r="AL47" i="547"/>
  <c r="AI50" i="547"/>
  <c r="AM50" i="547" s="1"/>
  <c r="AL50" i="547"/>
  <c r="AI51" i="547"/>
  <c r="AM51" i="547" s="1"/>
  <c r="AL51" i="547"/>
  <c r="AI54" i="547"/>
  <c r="AM54" i="547" s="1"/>
  <c r="AL54" i="547"/>
  <c r="AI55" i="547"/>
  <c r="AM55" i="547" s="1"/>
  <c r="AL55" i="547"/>
  <c r="AI58" i="547"/>
  <c r="AM58" i="547" s="1"/>
  <c r="AL58" i="547"/>
  <c r="AI59" i="547"/>
  <c r="AM59" i="547" s="1"/>
  <c r="AL59" i="547"/>
  <c r="AL62" i="547"/>
  <c r="AI62" i="547"/>
  <c r="AM62" i="547" s="1"/>
  <c r="AI63" i="547"/>
  <c r="AM63" i="547" s="1"/>
  <c r="AL63" i="547"/>
  <c r="AI66" i="547"/>
  <c r="AM66" i="547" s="1"/>
  <c r="AL66" i="547"/>
  <c r="AI67" i="547"/>
  <c r="AM67" i="547" s="1"/>
  <c r="AL67" i="547"/>
  <c r="AI71" i="547"/>
  <c r="AM71" i="547" s="1"/>
  <c r="AL71" i="547"/>
  <c r="AI75" i="547"/>
  <c r="AM75" i="547" s="1"/>
  <c r="AL75" i="547"/>
  <c r="AI79" i="547"/>
  <c r="AM79" i="547" s="1"/>
  <c r="AL79" i="547"/>
  <c r="AI83" i="547"/>
  <c r="AM83" i="547" s="1"/>
  <c r="AL83" i="547"/>
  <c r="AI87" i="547"/>
  <c r="AM87" i="547" s="1"/>
  <c r="AL87" i="547"/>
  <c r="AI91" i="547"/>
  <c r="AM91" i="547" s="1"/>
  <c r="AL91" i="547"/>
  <c r="AI95" i="547"/>
  <c r="AM95" i="547" s="1"/>
  <c r="AL95" i="547"/>
  <c r="AI99" i="547"/>
  <c r="AM99" i="547" s="1"/>
  <c r="AL99" i="547"/>
  <c r="AI105" i="547"/>
  <c r="AM105" i="547" s="1"/>
  <c r="AL105" i="547"/>
  <c r="AI120" i="547"/>
  <c r="AM120" i="547" s="1"/>
  <c r="AL120" i="547"/>
  <c r="AI124" i="547"/>
  <c r="AM124" i="547" s="1"/>
  <c r="AL124" i="547"/>
  <c r="AI152" i="547"/>
  <c r="AM152" i="547" s="1"/>
  <c r="AL152" i="547"/>
  <c r="AI156" i="547"/>
  <c r="AM156" i="547" s="1"/>
  <c r="AL156" i="547"/>
  <c r="AL33" i="547"/>
  <c r="AI33" i="547"/>
  <c r="AM33" i="547" s="1"/>
  <c r="AL40" i="547"/>
  <c r="AI40" i="547"/>
  <c r="AM40" i="547" s="1"/>
  <c r="AI52" i="547"/>
  <c r="AM52" i="547" s="1"/>
  <c r="AL52" i="547"/>
  <c r="AI68" i="547"/>
  <c r="AM68" i="547" s="1"/>
  <c r="AL68" i="547"/>
  <c r="AI10" i="547"/>
  <c r="AM10" i="547" s="1"/>
  <c r="AL10" i="547"/>
  <c r="AI12" i="547"/>
  <c r="AM12" i="547" s="1"/>
  <c r="AL12" i="547"/>
  <c r="AI14" i="547"/>
  <c r="AM14" i="547" s="1"/>
  <c r="AL14" i="547"/>
  <c r="AI16" i="547"/>
  <c r="AM16" i="547" s="1"/>
  <c r="AL16" i="547"/>
  <c r="AI18" i="547"/>
  <c r="AM18" i="547" s="1"/>
  <c r="AL18" i="547"/>
  <c r="AI20" i="547"/>
  <c r="AM20" i="547" s="1"/>
  <c r="AL20" i="547"/>
  <c r="AI24" i="547"/>
  <c r="AM24" i="547" s="1"/>
  <c r="AL24" i="547"/>
  <c r="AI28" i="547"/>
  <c r="AM28" i="547" s="1"/>
  <c r="AL28" i="547"/>
  <c r="AI32" i="547"/>
  <c r="AM32" i="547" s="1"/>
  <c r="AL32" i="547"/>
  <c r="AI36" i="547"/>
  <c r="AM36" i="547" s="1"/>
  <c r="AL36" i="547"/>
  <c r="AI72" i="547"/>
  <c r="AM72" i="547" s="1"/>
  <c r="AL72" i="547"/>
  <c r="AI76" i="547"/>
  <c r="AM76" i="547" s="1"/>
  <c r="AL76" i="547"/>
  <c r="AI80" i="547"/>
  <c r="AM80" i="547" s="1"/>
  <c r="AL80" i="547"/>
  <c r="AI84" i="547"/>
  <c r="AM84" i="547" s="1"/>
  <c r="AL84" i="547"/>
  <c r="AI88" i="547"/>
  <c r="AM88" i="547" s="1"/>
  <c r="AL88" i="547"/>
  <c r="AI103" i="547"/>
  <c r="AM103" i="547" s="1"/>
  <c r="AL103" i="547"/>
  <c r="AI128" i="547"/>
  <c r="AM128" i="547" s="1"/>
  <c r="AL128" i="547"/>
  <c r="AI132" i="547"/>
  <c r="AM132" i="547" s="1"/>
  <c r="AL132" i="547"/>
  <c r="AI160" i="547"/>
  <c r="AM160" i="547" s="1"/>
  <c r="AL160" i="547"/>
  <c r="AI98" i="547"/>
  <c r="AM98" i="547" s="1"/>
  <c r="AL98" i="547"/>
  <c r="AI110" i="547"/>
  <c r="AM110" i="547" s="1"/>
  <c r="AL110" i="547"/>
  <c r="AI113" i="547"/>
  <c r="AM113" i="547" s="1"/>
  <c r="AL113" i="547"/>
  <c r="AI121" i="547"/>
  <c r="AM121" i="547" s="1"/>
  <c r="AL121" i="547"/>
  <c r="AI129" i="547"/>
  <c r="AM129" i="547" s="1"/>
  <c r="AL129" i="547"/>
  <c r="AI137" i="547"/>
  <c r="AM137" i="547" s="1"/>
  <c r="AL137" i="547"/>
  <c r="AI145" i="547"/>
  <c r="AM145" i="547" s="1"/>
  <c r="AL145" i="547"/>
  <c r="AI153" i="547"/>
  <c r="AM153" i="547" s="1"/>
  <c r="AL153" i="547"/>
  <c r="AI161" i="547"/>
  <c r="AM161" i="547" s="1"/>
  <c r="AL161" i="547"/>
  <c r="AI102" i="547"/>
  <c r="AM102" i="547" s="1"/>
  <c r="AL102" i="547"/>
  <c r="AL108" i="547"/>
  <c r="AI119" i="547"/>
  <c r="AM119" i="547" s="1"/>
  <c r="AL119" i="547"/>
  <c r="AI127" i="547"/>
  <c r="AM127" i="547" s="1"/>
  <c r="AL127" i="547"/>
  <c r="AI135" i="547"/>
  <c r="AM135" i="547" s="1"/>
  <c r="AL135" i="547"/>
  <c r="AI143" i="547"/>
  <c r="AM143" i="547" s="1"/>
  <c r="AL143" i="547"/>
  <c r="AI151" i="547"/>
  <c r="AM151" i="547" s="1"/>
  <c r="AL151" i="547"/>
  <c r="AI159" i="547"/>
  <c r="AM159" i="547" s="1"/>
  <c r="AL159" i="547"/>
  <c r="AI92" i="547"/>
  <c r="AM92" i="547" s="1"/>
  <c r="AL92" i="547"/>
  <c r="AI94" i="547"/>
  <c r="AM94" i="547" s="1"/>
  <c r="AL94" i="547"/>
  <c r="AI96" i="547"/>
  <c r="AM96" i="547" s="1"/>
  <c r="AL96" i="547"/>
  <c r="AI104" i="547"/>
  <c r="AM104" i="547" s="1"/>
  <c r="AL104" i="547"/>
  <c r="AI111" i="547"/>
  <c r="AM111" i="547" s="1"/>
  <c r="AL111" i="547"/>
  <c r="AL114" i="547"/>
  <c r="AI117" i="547"/>
  <c r="AM117" i="547" s="1"/>
  <c r="AL117" i="547"/>
  <c r="AL122" i="547"/>
  <c r="AI125" i="547"/>
  <c r="AM125" i="547" s="1"/>
  <c r="AL125" i="547"/>
  <c r="AL130" i="547"/>
  <c r="AI133" i="547"/>
  <c r="AM133" i="547" s="1"/>
  <c r="AL133" i="547"/>
  <c r="AL138" i="547"/>
  <c r="AI141" i="547"/>
  <c r="AM141" i="547" s="1"/>
  <c r="AL141" i="547"/>
  <c r="AL146" i="547"/>
  <c r="AI149" i="547"/>
  <c r="AM149" i="547" s="1"/>
  <c r="AL149" i="547"/>
  <c r="AL154" i="547"/>
  <c r="AI157" i="547"/>
  <c r="AM157" i="547" s="1"/>
  <c r="AL157" i="547"/>
  <c r="AI90" i="547"/>
  <c r="AM90" i="547" s="1"/>
  <c r="AL90" i="547"/>
  <c r="AI100" i="547"/>
  <c r="AM100" i="547" s="1"/>
  <c r="AL100" i="547"/>
  <c r="AI106" i="547"/>
  <c r="AM106" i="547" s="1"/>
  <c r="AL106" i="547"/>
  <c r="AI112" i="547"/>
  <c r="AM112" i="547" s="1"/>
  <c r="AL112" i="547"/>
  <c r="AI115" i="547"/>
  <c r="AM115" i="547" s="1"/>
  <c r="AL115" i="547"/>
  <c r="AI123" i="547"/>
  <c r="AM123" i="547" s="1"/>
  <c r="AL123" i="547"/>
  <c r="AI131" i="547"/>
  <c r="AM131" i="547" s="1"/>
  <c r="AL131" i="547"/>
  <c r="AI139" i="547"/>
  <c r="AM139" i="547" s="1"/>
  <c r="AL139" i="547"/>
  <c r="AI147" i="547"/>
  <c r="AM147" i="547" s="1"/>
  <c r="AL147" i="547"/>
  <c r="AI155" i="547"/>
  <c r="AM155" i="547" s="1"/>
  <c r="AL155" i="547"/>
  <c r="AI163" i="547"/>
  <c r="AM163" i="547" s="1"/>
  <c r="AL163" i="547"/>
  <c r="AM11" i="547" l="1"/>
  <c r="AI15" i="547"/>
  <c r="AM15" i="547" s="1"/>
  <c r="AL11" i="547"/>
  <c r="AG87" i="546"/>
  <c r="V87" i="546"/>
  <c r="U87" i="546"/>
  <c r="AJ87" i="546" s="1"/>
  <c r="AK87" i="546" s="1"/>
  <c r="T87" i="546"/>
  <c r="AH87" i="546" s="1"/>
  <c r="AG86" i="546"/>
  <c r="V86" i="546"/>
  <c r="U86" i="546"/>
  <c r="AJ86" i="546" s="1"/>
  <c r="AK86" i="546" s="1"/>
  <c r="T86" i="546"/>
  <c r="AH86" i="546" s="1"/>
  <c r="AG85" i="546"/>
  <c r="V85" i="546"/>
  <c r="U85" i="546"/>
  <c r="AJ85" i="546" s="1"/>
  <c r="AK85" i="546" s="1"/>
  <c r="T85" i="546"/>
  <c r="AH85" i="546" s="1"/>
  <c r="AG84" i="546"/>
  <c r="V84" i="546"/>
  <c r="U84" i="546"/>
  <c r="AJ84" i="546" s="1"/>
  <c r="AK84" i="546" s="1"/>
  <c r="T84" i="546"/>
  <c r="AH84" i="546" s="1"/>
  <c r="AG83" i="546"/>
  <c r="V83" i="546"/>
  <c r="U83" i="546"/>
  <c r="AJ83" i="546" s="1"/>
  <c r="AK83" i="546" s="1"/>
  <c r="T83" i="546"/>
  <c r="AH83" i="546" s="1"/>
  <c r="AG82" i="546"/>
  <c r="V82" i="546"/>
  <c r="U82" i="546"/>
  <c r="AJ82" i="546" s="1"/>
  <c r="AK82" i="546" s="1"/>
  <c r="T82" i="546"/>
  <c r="AH82" i="546" s="1"/>
  <c r="AG81" i="546"/>
  <c r="V81" i="546"/>
  <c r="U81" i="546"/>
  <c r="AJ81" i="546" s="1"/>
  <c r="AK81" i="546" s="1"/>
  <c r="T81" i="546"/>
  <c r="AH81" i="546" s="1"/>
  <c r="AG80" i="546"/>
  <c r="V80" i="546"/>
  <c r="U80" i="546"/>
  <c r="AJ80" i="546" s="1"/>
  <c r="AK80" i="546" s="1"/>
  <c r="T80" i="546"/>
  <c r="AH80" i="546" s="1"/>
  <c r="AG79" i="546"/>
  <c r="V79" i="546"/>
  <c r="U79" i="546"/>
  <c r="AJ79" i="546" s="1"/>
  <c r="AK79" i="546" s="1"/>
  <c r="T79" i="546"/>
  <c r="AH79" i="546" s="1"/>
  <c r="AG78" i="546"/>
  <c r="V78" i="546"/>
  <c r="U78" i="546"/>
  <c r="AJ78" i="546" s="1"/>
  <c r="AK78" i="546" s="1"/>
  <c r="T78" i="546"/>
  <c r="AH78" i="546" s="1"/>
  <c r="AG77" i="546"/>
  <c r="V77" i="546"/>
  <c r="U77" i="546"/>
  <c r="AJ77" i="546" s="1"/>
  <c r="AK77" i="546" s="1"/>
  <c r="T77" i="546"/>
  <c r="AH77" i="546" s="1"/>
  <c r="AG76" i="546"/>
  <c r="V76" i="546"/>
  <c r="U76" i="546"/>
  <c r="AJ76" i="546" s="1"/>
  <c r="AK76" i="546" s="1"/>
  <c r="T76" i="546"/>
  <c r="AH76" i="546" s="1"/>
  <c r="AG75" i="546"/>
  <c r="V75" i="546"/>
  <c r="U75" i="546"/>
  <c r="AJ75" i="546" s="1"/>
  <c r="AK75" i="546" s="1"/>
  <c r="T75" i="546"/>
  <c r="AH75" i="546" s="1"/>
  <c r="AG74" i="546"/>
  <c r="V74" i="546"/>
  <c r="U74" i="546"/>
  <c r="AJ74" i="546" s="1"/>
  <c r="AK74" i="546" s="1"/>
  <c r="T74" i="546"/>
  <c r="AH74" i="546" s="1"/>
  <c r="AG73" i="546"/>
  <c r="V73" i="546"/>
  <c r="U73" i="546"/>
  <c r="AJ73" i="546" s="1"/>
  <c r="AK73" i="546" s="1"/>
  <c r="T73" i="546"/>
  <c r="AH73" i="546" s="1"/>
  <c r="AG72" i="546"/>
  <c r="V72" i="546"/>
  <c r="U72" i="546"/>
  <c r="AJ72" i="546" s="1"/>
  <c r="AK72" i="546" s="1"/>
  <c r="T72" i="546"/>
  <c r="AH72" i="546" s="1"/>
  <c r="AG71" i="546"/>
  <c r="V71" i="546"/>
  <c r="U71" i="546"/>
  <c r="AJ71" i="546" s="1"/>
  <c r="AK71" i="546" s="1"/>
  <c r="T71" i="546"/>
  <c r="AH71" i="546" s="1"/>
  <c r="AG70" i="546"/>
  <c r="V70" i="546"/>
  <c r="U70" i="546"/>
  <c r="AJ70" i="546" s="1"/>
  <c r="AK70" i="546" s="1"/>
  <c r="T70" i="546"/>
  <c r="AH70" i="546" s="1"/>
  <c r="AG69" i="546"/>
  <c r="V69" i="546"/>
  <c r="U69" i="546"/>
  <c r="AJ69" i="546" s="1"/>
  <c r="AK69" i="546" s="1"/>
  <c r="T69" i="546"/>
  <c r="AH69" i="546" s="1"/>
  <c r="AG68" i="546"/>
  <c r="V68" i="546"/>
  <c r="U68" i="546"/>
  <c r="AJ68" i="546" s="1"/>
  <c r="AK68" i="546" s="1"/>
  <c r="T68" i="546"/>
  <c r="AH68" i="546" s="1"/>
  <c r="AG67" i="546"/>
  <c r="V67" i="546"/>
  <c r="U67" i="546"/>
  <c r="AJ67" i="546" s="1"/>
  <c r="AK67" i="546" s="1"/>
  <c r="T67" i="546"/>
  <c r="AH67" i="546" s="1"/>
  <c r="AG66" i="546"/>
  <c r="V66" i="546"/>
  <c r="U66" i="546"/>
  <c r="AJ66" i="546" s="1"/>
  <c r="AK66" i="546" s="1"/>
  <c r="T66" i="546"/>
  <c r="AH66" i="546" s="1"/>
  <c r="AG65" i="546"/>
  <c r="V65" i="546"/>
  <c r="U65" i="546"/>
  <c r="AJ65" i="546" s="1"/>
  <c r="AK65" i="546" s="1"/>
  <c r="T65" i="546"/>
  <c r="AH65" i="546" s="1"/>
  <c r="AG64" i="546"/>
  <c r="V64" i="546"/>
  <c r="U64" i="546"/>
  <c r="AJ64" i="546" s="1"/>
  <c r="AK64" i="546" s="1"/>
  <c r="T64" i="546"/>
  <c r="AH64" i="546" s="1"/>
  <c r="AG63" i="546"/>
  <c r="V63" i="546"/>
  <c r="U63" i="546"/>
  <c r="AJ63" i="546" s="1"/>
  <c r="AK63" i="546" s="1"/>
  <c r="T63" i="546"/>
  <c r="AH63" i="546" s="1"/>
  <c r="AG62" i="546"/>
  <c r="V62" i="546"/>
  <c r="U62" i="546"/>
  <c r="AJ62" i="546" s="1"/>
  <c r="AK62" i="546" s="1"/>
  <c r="T62" i="546"/>
  <c r="AH62" i="546" s="1"/>
  <c r="AG61" i="546"/>
  <c r="V61" i="546"/>
  <c r="U61" i="546"/>
  <c r="AJ61" i="546" s="1"/>
  <c r="AK61" i="546" s="1"/>
  <c r="T61" i="546"/>
  <c r="AH61" i="546" s="1"/>
  <c r="AG60" i="546"/>
  <c r="V60" i="546"/>
  <c r="U60" i="546"/>
  <c r="AJ60" i="546" s="1"/>
  <c r="AK60" i="546" s="1"/>
  <c r="T60" i="546"/>
  <c r="AH60" i="546" s="1"/>
  <c r="AG59" i="546"/>
  <c r="V59" i="546"/>
  <c r="U59" i="546"/>
  <c r="AJ59" i="546" s="1"/>
  <c r="AK59" i="546" s="1"/>
  <c r="T59" i="546"/>
  <c r="AH59" i="546" s="1"/>
  <c r="AG58" i="546"/>
  <c r="V58" i="546"/>
  <c r="U58" i="546"/>
  <c r="AJ58" i="546" s="1"/>
  <c r="AK58" i="546" s="1"/>
  <c r="T58" i="546"/>
  <c r="AH58" i="546" s="1"/>
  <c r="AG57" i="546"/>
  <c r="V57" i="546"/>
  <c r="U57" i="546"/>
  <c r="AJ57" i="546" s="1"/>
  <c r="AK57" i="546" s="1"/>
  <c r="T57" i="546"/>
  <c r="AH57" i="546" s="1"/>
  <c r="AG56" i="546"/>
  <c r="V56" i="546"/>
  <c r="U56" i="546"/>
  <c r="AJ56" i="546" s="1"/>
  <c r="AK56" i="546" s="1"/>
  <c r="T56" i="546"/>
  <c r="AH56" i="546" s="1"/>
  <c r="AG55" i="546"/>
  <c r="V55" i="546"/>
  <c r="U55" i="546"/>
  <c r="AJ55" i="546" s="1"/>
  <c r="AK55" i="546" s="1"/>
  <c r="T55" i="546"/>
  <c r="AH55" i="546" s="1"/>
  <c r="AG54" i="546"/>
  <c r="V54" i="546"/>
  <c r="U54" i="546"/>
  <c r="AJ54" i="546" s="1"/>
  <c r="AK54" i="546" s="1"/>
  <c r="T54" i="546"/>
  <c r="AH54" i="546" s="1"/>
  <c r="AG53" i="546"/>
  <c r="V53" i="546"/>
  <c r="U53" i="546"/>
  <c r="AJ53" i="546" s="1"/>
  <c r="AK53" i="546" s="1"/>
  <c r="T53" i="546"/>
  <c r="AH53" i="546" s="1"/>
  <c r="AG52" i="546"/>
  <c r="V52" i="546"/>
  <c r="U52" i="546"/>
  <c r="AJ52" i="546" s="1"/>
  <c r="AK52" i="546" s="1"/>
  <c r="T52" i="546"/>
  <c r="AH52" i="546" s="1"/>
  <c r="AG51" i="546"/>
  <c r="V51" i="546"/>
  <c r="U51" i="546"/>
  <c r="AJ51" i="546" s="1"/>
  <c r="AK51" i="546" s="1"/>
  <c r="T51" i="546"/>
  <c r="AH51" i="546" s="1"/>
  <c r="AG50" i="546"/>
  <c r="V50" i="546"/>
  <c r="U50" i="546"/>
  <c r="AJ50" i="546" s="1"/>
  <c r="AK50" i="546" s="1"/>
  <c r="T50" i="546"/>
  <c r="AH50" i="546" s="1"/>
  <c r="AG49" i="546"/>
  <c r="V49" i="546"/>
  <c r="U49" i="546"/>
  <c r="AJ49" i="546" s="1"/>
  <c r="AK49" i="546" s="1"/>
  <c r="T49" i="546"/>
  <c r="AH49" i="546" s="1"/>
  <c r="AG48" i="546"/>
  <c r="V48" i="546"/>
  <c r="U48" i="546"/>
  <c r="AJ48" i="546" s="1"/>
  <c r="AK48" i="546" s="1"/>
  <c r="T48" i="546"/>
  <c r="AH48" i="546" s="1"/>
  <c r="AG47" i="546"/>
  <c r="V47" i="546"/>
  <c r="U47" i="546"/>
  <c r="AJ47" i="546" s="1"/>
  <c r="AK47" i="546" s="1"/>
  <c r="T47" i="546"/>
  <c r="AH47" i="546" s="1"/>
  <c r="AG46" i="546"/>
  <c r="V46" i="546"/>
  <c r="U46" i="546"/>
  <c r="AJ46" i="546" s="1"/>
  <c r="AK46" i="546" s="1"/>
  <c r="T46" i="546"/>
  <c r="AH46" i="546" s="1"/>
  <c r="AG45" i="546"/>
  <c r="V45" i="546"/>
  <c r="U45" i="546"/>
  <c r="AJ45" i="546" s="1"/>
  <c r="AK45" i="546" s="1"/>
  <c r="T45" i="546"/>
  <c r="AH45" i="546" s="1"/>
  <c r="AG44" i="546"/>
  <c r="V44" i="546"/>
  <c r="U44" i="546"/>
  <c r="AJ44" i="546" s="1"/>
  <c r="AK44" i="546" s="1"/>
  <c r="T44" i="546"/>
  <c r="AH44" i="546" s="1"/>
  <c r="AG43" i="546"/>
  <c r="V43" i="546"/>
  <c r="U43" i="546"/>
  <c r="AJ43" i="546" s="1"/>
  <c r="AK43" i="546" s="1"/>
  <c r="T43" i="546"/>
  <c r="AH43" i="546" s="1"/>
  <c r="AG42" i="546"/>
  <c r="V42" i="546"/>
  <c r="U42" i="546"/>
  <c r="AJ42" i="546" s="1"/>
  <c r="AK42" i="546" s="1"/>
  <c r="T42" i="546"/>
  <c r="AH42" i="546" s="1"/>
  <c r="AI42" i="546" s="1"/>
  <c r="AG41" i="546"/>
  <c r="V41" i="546"/>
  <c r="U41" i="546"/>
  <c r="AJ41" i="546" s="1"/>
  <c r="AK41" i="546" s="1"/>
  <c r="T41" i="546"/>
  <c r="AH41" i="546" s="1"/>
  <c r="AG40" i="546"/>
  <c r="V40" i="546"/>
  <c r="U40" i="546"/>
  <c r="AJ40" i="546" s="1"/>
  <c r="AK40" i="546" s="1"/>
  <c r="T40" i="546"/>
  <c r="AH40" i="546" s="1"/>
  <c r="AG39" i="546"/>
  <c r="V39" i="546"/>
  <c r="U39" i="546"/>
  <c r="AJ39" i="546" s="1"/>
  <c r="AK39" i="546" s="1"/>
  <c r="T39" i="546"/>
  <c r="AH39" i="546" s="1"/>
  <c r="AG38" i="546"/>
  <c r="V38" i="546"/>
  <c r="U38" i="546"/>
  <c r="AJ38" i="546" s="1"/>
  <c r="AK38" i="546" s="1"/>
  <c r="T38" i="546"/>
  <c r="AH38" i="546" s="1"/>
  <c r="AI38" i="546" s="1"/>
  <c r="AG37" i="546"/>
  <c r="V37" i="546"/>
  <c r="U37" i="546"/>
  <c r="AJ37" i="546" s="1"/>
  <c r="AK37" i="546" s="1"/>
  <c r="T37" i="546"/>
  <c r="AH37" i="546" s="1"/>
  <c r="AG36" i="546"/>
  <c r="V36" i="546"/>
  <c r="U36" i="546"/>
  <c r="AJ36" i="546" s="1"/>
  <c r="AK36" i="546" s="1"/>
  <c r="T36" i="546"/>
  <c r="AH36" i="546" s="1"/>
  <c r="AG35" i="546"/>
  <c r="V35" i="546"/>
  <c r="U35" i="546"/>
  <c r="AJ35" i="546" s="1"/>
  <c r="AK35" i="546" s="1"/>
  <c r="T35" i="546"/>
  <c r="AH35" i="546" s="1"/>
  <c r="AG34" i="546"/>
  <c r="V34" i="546"/>
  <c r="U34" i="546"/>
  <c r="AJ34" i="546" s="1"/>
  <c r="AK34" i="546" s="1"/>
  <c r="T34" i="546"/>
  <c r="AH34" i="546" s="1"/>
  <c r="AG33" i="546"/>
  <c r="V33" i="546"/>
  <c r="U33" i="546"/>
  <c r="AJ33" i="546" s="1"/>
  <c r="AK33" i="546" s="1"/>
  <c r="T33" i="546"/>
  <c r="AH33" i="546" s="1"/>
  <c r="AG32" i="546"/>
  <c r="V32" i="546"/>
  <c r="U32" i="546"/>
  <c r="AJ32" i="546" s="1"/>
  <c r="AK32" i="546" s="1"/>
  <c r="T32" i="546"/>
  <c r="AH32" i="546" s="1"/>
  <c r="AG31" i="546"/>
  <c r="V31" i="546"/>
  <c r="U31" i="546"/>
  <c r="AJ31" i="546" s="1"/>
  <c r="AK31" i="546" s="1"/>
  <c r="T31" i="546"/>
  <c r="AH31" i="546" s="1"/>
  <c r="AG30" i="546"/>
  <c r="V30" i="546"/>
  <c r="U30" i="546"/>
  <c r="AJ30" i="546" s="1"/>
  <c r="AK30" i="546" s="1"/>
  <c r="T30" i="546"/>
  <c r="AH30" i="546" s="1"/>
  <c r="AG29" i="546"/>
  <c r="V29" i="546"/>
  <c r="U29" i="546"/>
  <c r="AJ29" i="546" s="1"/>
  <c r="AK29" i="546" s="1"/>
  <c r="T29" i="546"/>
  <c r="AH29" i="546" s="1"/>
  <c r="AG28" i="546"/>
  <c r="V28" i="546"/>
  <c r="U28" i="546"/>
  <c r="AJ28" i="546" s="1"/>
  <c r="AK28" i="546" s="1"/>
  <c r="T28" i="546"/>
  <c r="AH28" i="546" s="1"/>
  <c r="AG27" i="546"/>
  <c r="V27" i="546"/>
  <c r="U27" i="546"/>
  <c r="AJ27" i="546" s="1"/>
  <c r="AK27" i="546" s="1"/>
  <c r="T27" i="546"/>
  <c r="AH27" i="546" s="1"/>
  <c r="AG26" i="546"/>
  <c r="V26" i="546"/>
  <c r="U26" i="546"/>
  <c r="AJ26" i="546" s="1"/>
  <c r="AK26" i="546" s="1"/>
  <c r="T26" i="546"/>
  <c r="AH26" i="546" s="1"/>
  <c r="AG25" i="546"/>
  <c r="V25" i="546"/>
  <c r="U25" i="546"/>
  <c r="AJ25" i="546" s="1"/>
  <c r="AK25" i="546" s="1"/>
  <c r="T25" i="546"/>
  <c r="AH25" i="546" s="1"/>
  <c r="AG24" i="546"/>
  <c r="V24" i="546"/>
  <c r="U24" i="546"/>
  <c r="AJ24" i="546" s="1"/>
  <c r="AK24" i="546" s="1"/>
  <c r="T24" i="546"/>
  <c r="AH24" i="546" s="1"/>
  <c r="AG23" i="546"/>
  <c r="V23" i="546"/>
  <c r="U23" i="546"/>
  <c r="AJ23" i="546" s="1"/>
  <c r="AK23" i="546" s="1"/>
  <c r="T23" i="546"/>
  <c r="AH23" i="546" s="1"/>
  <c r="AG22" i="546"/>
  <c r="V22" i="546"/>
  <c r="U22" i="546"/>
  <c r="AJ22" i="546" s="1"/>
  <c r="AK22" i="546" s="1"/>
  <c r="T22" i="546"/>
  <c r="AH22" i="546" s="1"/>
  <c r="AG21" i="546"/>
  <c r="V21" i="546"/>
  <c r="U21" i="546"/>
  <c r="AJ21" i="546" s="1"/>
  <c r="AK21" i="546" s="1"/>
  <c r="T21" i="546"/>
  <c r="AH21" i="546" s="1"/>
  <c r="AG20" i="546"/>
  <c r="V20" i="546"/>
  <c r="U20" i="546"/>
  <c r="AJ20" i="546" s="1"/>
  <c r="AK20" i="546" s="1"/>
  <c r="T20" i="546"/>
  <c r="AH20" i="546" s="1"/>
  <c r="AG19" i="546"/>
  <c r="V19" i="546"/>
  <c r="U19" i="546"/>
  <c r="AJ19" i="546" s="1"/>
  <c r="AK19" i="546" s="1"/>
  <c r="T19" i="546"/>
  <c r="AH19" i="546" s="1"/>
  <c r="AG18" i="546"/>
  <c r="V18" i="546"/>
  <c r="U18" i="546"/>
  <c r="AJ18" i="546" s="1"/>
  <c r="AK18" i="546" s="1"/>
  <c r="T18" i="546"/>
  <c r="AH18" i="546" s="1"/>
  <c r="AG17" i="546"/>
  <c r="V17" i="546"/>
  <c r="U17" i="546"/>
  <c r="AJ17" i="546" s="1"/>
  <c r="AK17" i="546" s="1"/>
  <c r="T17" i="546"/>
  <c r="AH17" i="546" s="1"/>
  <c r="AG16" i="546"/>
  <c r="V16" i="546"/>
  <c r="U16" i="546"/>
  <c r="AJ16" i="546" s="1"/>
  <c r="AK16" i="546" s="1"/>
  <c r="T16" i="546"/>
  <c r="AH16" i="546" s="1"/>
  <c r="AG15" i="546"/>
  <c r="V15" i="546"/>
  <c r="U15" i="546"/>
  <c r="AJ15" i="546" s="1"/>
  <c r="AK15" i="546" s="1"/>
  <c r="T15" i="546"/>
  <c r="AH15" i="546" s="1"/>
  <c r="AG14" i="546"/>
  <c r="V14" i="546"/>
  <c r="U14" i="546"/>
  <c r="AJ14" i="546" s="1"/>
  <c r="AK14" i="546" s="1"/>
  <c r="T14" i="546"/>
  <c r="AG13" i="546"/>
  <c r="V13" i="546"/>
  <c r="U13" i="546"/>
  <c r="AJ13" i="546" s="1"/>
  <c r="AK13" i="546" s="1"/>
  <c r="T13" i="546"/>
  <c r="AG12" i="546"/>
  <c r="V12" i="546"/>
  <c r="U12" i="546"/>
  <c r="AJ12" i="546" s="1"/>
  <c r="AK12" i="546" s="1"/>
  <c r="T12" i="546"/>
  <c r="AG11" i="546"/>
  <c r="V11" i="546"/>
  <c r="U11" i="546"/>
  <c r="AJ11" i="546" s="1"/>
  <c r="AK11" i="546" s="1"/>
  <c r="T11" i="546"/>
  <c r="AG10" i="546"/>
  <c r="V10" i="546"/>
  <c r="U10" i="546"/>
  <c r="AJ10" i="546" s="1"/>
  <c r="AK10" i="546" s="1"/>
  <c r="T10" i="546"/>
  <c r="AG9" i="546"/>
  <c r="V9" i="546"/>
  <c r="U9" i="546"/>
  <c r="AJ9" i="546" s="1"/>
  <c r="AK9" i="546" s="1"/>
  <c r="T9" i="546"/>
  <c r="O4" i="546"/>
  <c r="I4" i="546"/>
  <c r="G4" i="546"/>
  <c r="AR2" i="546"/>
  <c r="G2" i="546"/>
  <c r="AH14" i="546" l="1"/>
  <c r="AH10" i="546"/>
  <c r="AL10" i="546" s="1"/>
  <c r="AH11" i="546"/>
  <c r="AL11" i="546" s="1"/>
  <c r="AH12" i="546"/>
  <c r="AH9" i="546"/>
  <c r="AL9" i="546" s="1"/>
  <c r="AH13" i="546"/>
  <c r="AL13" i="546" s="1"/>
  <c r="AM38" i="546"/>
  <c r="AM42" i="546"/>
  <c r="AI21" i="546"/>
  <c r="AM21" i="546" s="1"/>
  <c r="AL21" i="546"/>
  <c r="AI14" i="546"/>
  <c r="AM14" i="546" s="1"/>
  <c r="AL14" i="546"/>
  <c r="AI22" i="546"/>
  <c r="AM22" i="546" s="1"/>
  <c r="AL22" i="546"/>
  <c r="AI26" i="546"/>
  <c r="AM26" i="546" s="1"/>
  <c r="AL26" i="546"/>
  <c r="AI15" i="546"/>
  <c r="AM15" i="546" s="1"/>
  <c r="AL15" i="546"/>
  <c r="AI19" i="546"/>
  <c r="AM19" i="546" s="1"/>
  <c r="AL19" i="546"/>
  <c r="AI23" i="546"/>
  <c r="AM23" i="546" s="1"/>
  <c r="AL23" i="546"/>
  <c r="AI27" i="546"/>
  <c r="AM27" i="546" s="1"/>
  <c r="AL27" i="546"/>
  <c r="AI12" i="546"/>
  <c r="AM12" i="546" s="1"/>
  <c r="AL12" i="546"/>
  <c r="AI16" i="546"/>
  <c r="AM16" i="546" s="1"/>
  <c r="AL16" i="546"/>
  <c r="AI20" i="546"/>
  <c r="AM20" i="546" s="1"/>
  <c r="AL20" i="546"/>
  <c r="AI24" i="546"/>
  <c r="AM24" i="546" s="1"/>
  <c r="AL24" i="546"/>
  <c r="AI28" i="546"/>
  <c r="AM28" i="546" s="1"/>
  <c r="AL28" i="546"/>
  <c r="AI36" i="546"/>
  <c r="AM36" i="546" s="1"/>
  <c r="AL36" i="546"/>
  <c r="AI40" i="546"/>
  <c r="AM40" i="546" s="1"/>
  <c r="AL40" i="546"/>
  <c r="AI25" i="546"/>
  <c r="AM25" i="546" s="1"/>
  <c r="AL25" i="546"/>
  <c r="AI18" i="546"/>
  <c r="AM18" i="546" s="1"/>
  <c r="AL18" i="546"/>
  <c r="AI35" i="546"/>
  <c r="AM35" i="546" s="1"/>
  <c r="AL35" i="546"/>
  <c r="AI17" i="546"/>
  <c r="AM17" i="546" s="1"/>
  <c r="AL17" i="546"/>
  <c r="AI30" i="546"/>
  <c r="AM30" i="546" s="1"/>
  <c r="AL30" i="546"/>
  <c r="AI57" i="546"/>
  <c r="AM57" i="546" s="1"/>
  <c r="AL57" i="546"/>
  <c r="AL34" i="546"/>
  <c r="AI34" i="546"/>
  <c r="AM34" i="546" s="1"/>
  <c r="AL38" i="546"/>
  <c r="AI41" i="546"/>
  <c r="AM41" i="546" s="1"/>
  <c r="AL41" i="546"/>
  <c r="AI44" i="546"/>
  <c r="AM44" i="546" s="1"/>
  <c r="AL44" i="546"/>
  <c r="AI48" i="546"/>
  <c r="AM48" i="546" s="1"/>
  <c r="AL48" i="546"/>
  <c r="AI52" i="546"/>
  <c r="AM52" i="546" s="1"/>
  <c r="AL52" i="546"/>
  <c r="AI56" i="546"/>
  <c r="AM56" i="546" s="1"/>
  <c r="AL56" i="546"/>
  <c r="AI60" i="546"/>
  <c r="AM60" i="546" s="1"/>
  <c r="AL60" i="546"/>
  <c r="AI64" i="546"/>
  <c r="AM64" i="546" s="1"/>
  <c r="AL64" i="546"/>
  <c r="AI68" i="546"/>
  <c r="AM68" i="546" s="1"/>
  <c r="AL68" i="546"/>
  <c r="AI72" i="546"/>
  <c r="AM72" i="546" s="1"/>
  <c r="AL72" i="546"/>
  <c r="AI29" i="546"/>
  <c r="AM29" i="546" s="1"/>
  <c r="AL29" i="546"/>
  <c r="AI53" i="546"/>
  <c r="AM53" i="546" s="1"/>
  <c r="AL53" i="546"/>
  <c r="AL32" i="546"/>
  <c r="AI32" i="546"/>
  <c r="AM32" i="546" s="1"/>
  <c r="AI37" i="546"/>
  <c r="AM37" i="546" s="1"/>
  <c r="AL37" i="546"/>
  <c r="AL42" i="546"/>
  <c r="AI46" i="546"/>
  <c r="AM46" i="546" s="1"/>
  <c r="AL46" i="546"/>
  <c r="AI50" i="546"/>
  <c r="AM50" i="546" s="1"/>
  <c r="AL50" i="546"/>
  <c r="AI54" i="546"/>
  <c r="AM54" i="546" s="1"/>
  <c r="AL54" i="546"/>
  <c r="AI58" i="546"/>
  <c r="AM58" i="546" s="1"/>
  <c r="AL58" i="546"/>
  <c r="AI62" i="546"/>
  <c r="AM62" i="546" s="1"/>
  <c r="AL62" i="546"/>
  <c r="AI66" i="546"/>
  <c r="AM66" i="546" s="1"/>
  <c r="AL66" i="546"/>
  <c r="AI70" i="546"/>
  <c r="AM70" i="546" s="1"/>
  <c r="AL70" i="546"/>
  <c r="AI31" i="546"/>
  <c r="AM31" i="546" s="1"/>
  <c r="AL31" i="546"/>
  <c r="AI39" i="546"/>
  <c r="AM39" i="546" s="1"/>
  <c r="AL39" i="546"/>
  <c r="AI45" i="546"/>
  <c r="AM45" i="546" s="1"/>
  <c r="AL45" i="546"/>
  <c r="AI49" i="546"/>
  <c r="AM49" i="546" s="1"/>
  <c r="AL49" i="546"/>
  <c r="AI61" i="546"/>
  <c r="AM61" i="546" s="1"/>
  <c r="AL61" i="546"/>
  <c r="AI65" i="546"/>
  <c r="AM65" i="546" s="1"/>
  <c r="AL65" i="546"/>
  <c r="AI33" i="546"/>
  <c r="AM33" i="546" s="1"/>
  <c r="AL33" i="546"/>
  <c r="AI43" i="546"/>
  <c r="AM43" i="546" s="1"/>
  <c r="AL43" i="546"/>
  <c r="AI47" i="546"/>
  <c r="AM47" i="546" s="1"/>
  <c r="AL47" i="546"/>
  <c r="AI51" i="546"/>
  <c r="AM51" i="546" s="1"/>
  <c r="AL51" i="546"/>
  <c r="AI55" i="546"/>
  <c r="AM55" i="546" s="1"/>
  <c r="AL55" i="546"/>
  <c r="AI59" i="546"/>
  <c r="AM59" i="546" s="1"/>
  <c r="AL59" i="546"/>
  <c r="AI63" i="546"/>
  <c r="AM63" i="546" s="1"/>
  <c r="AL63" i="546"/>
  <c r="AI67" i="546"/>
  <c r="AM67" i="546" s="1"/>
  <c r="AL67" i="546"/>
  <c r="AI76" i="546"/>
  <c r="AM76" i="546" s="1"/>
  <c r="AL76" i="546"/>
  <c r="AI80" i="546"/>
  <c r="AM80" i="546" s="1"/>
  <c r="AL80" i="546"/>
  <c r="AI84" i="546"/>
  <c r="AM84" i="546" s="1"/>
  <c r="AL84" i="546"/>
  <c r="AI87" i="546"/>
  <c r="AM87" i="546" s="1"/>
  <c r="AL87" i="546"/>
  <c r="AI69" i="546"/>
  <c r="AM69" i="546" s="1"/>
  <c r="AL69" i="546"/>
  <c r="AI71" i="546"/>
  <c r="AM71" i="546" s="1"/>
  <c r="AL71" i="546"/>
  <c r="AI73" i="546"/>
  <c r="AM73" i="546" s="1"/>
  <c r="AL73" i="546"/>
  <c r="AI77" i="546"/>
  <c r="AM77" i="546" s="1"/>
  <c r="AL77" i="546"/>
  <c r="AI81" i="546"/>
  <c r="AM81" i="546" s="1"/>
  <c r="AL81" i="546"/>
  <c r="AI85" i="546"/>
  <c r="AM85" i="546" s="1"/>
  <c r="AL85" i="546"/>
  <c r="AI74" i="546"/>
  <c r="AM74" i="546" s="1"/>
  <c r="AL74" i="546"/>
  <c r="AI78" i="546"/>
  <c r="AM78" i="546" s="1"/>
  <c r="AL78" i="546"/>
  <c r="AI82" i="546"/>
  <c r="AM82" i="546" s="1"/>
  <c r="AL82" i="546"/>
  <c r="AI86" i="546"/>
  <c r="AM86" i="546" s="1"/>
  <c r="AL86" i="546"/>
  <c r="AI75" i="546"/>
  <c r="AM75" i="546" s="1"/>
  <c r="AL75" i="546"/>
  <c r="AI79" i="546"/>
  <c r="AM79" i="546" s="1"/>
  <c r="AL79" i="546"/>
  <c r="AI83" i="546"/>
  <c r="AM83" i="546" s="1"/>
  <c r="AL83" i="546"/>
  <c r="AI10" i="546" l="1"/>
  <c r="AM10" i="546" s="1"/>
  <c r="AI13" i="546"/>
  <c r="AM13" i="546" s="1"/>
  <c r="AI11" i="546"/>
  <c r="AM11" i="546" s="1"/>
  <c r="AI9" i="546"/>
  <c r="AM9" i="546" s="1"/>
  <c r="AG168" i="545"/>
  <c r="V168" i="545"/>
  <c r="U168" i="545"/>
  <c r="AJ168" i="545" s="1"/>
  <c r="AK168" i="545" s="1"/>
  <c r="T168" i="545"/>
  <c r="AH168" i="545" s="1"/>
  <c r="AG167" i="545"/>
  <c r="V167" i="545"/>
  <c r="U167" i="545"/>
  <c r="AJ167" i="545" s="1"/>
  <c r="AK167" i="545" s="1"/>
  <c r="T167" i="545"/>
  <c r="AH167" i="545" s="1"/>
  <c r="AG166" i="545"/>
  <c r="V166" i="545"/>
  <c r="U166" i="545"/>
  <c r="AJ166" i="545" s="1"/>
  <c r="AK166" i="545" s="1"/>
  <c r="T166" i="545"/>
  <c r="AH166" i="545" s="1"/>
  <c r="AG165" i="545"/>
  <c r="V165" i="545"/>
  <c r="U165" i="545"/>
  <c r="AJ165" i="545" s="1"/>
  <c r="AK165" i="545" s="1"/>
  <c r="T165" i="545"/>
  <c r="AH165" i="545" s="1"/>
  <c r="AG164" i="545"/>
  <c r="V164" i="545"/>
  <c r="U164" i="545"/>
  <c r="AJ164" i="545" s="1"/>
  <c r="AK164" i="545" s="1"/>
  <c r="T164" i="545"/>
  <c r="AH164" i="545" s="1"/>
  <c r="AG163" i="545"/>
  <c r="V163" i="545"/>
  <c r="U163" i="545"/>
  <c r="AJ163" i="545" s="1"/>
  <c r="AK163" i="545" s="1"/>
  <c r="T163" i="545"/>
  <c r="AH163" i="545" s="1"/>
  <c r="AG162" i="545"/>
  <c r="V162" i="545"/>
  <c r="U162" i="545"/>
  <c r="AJ162" i="545" s="1"/>
  <c r="AK162" i="545" s="1"/>
  <c r="T162" i="545"/>
  <c r="AH162" i="545" s="1"/>
  <c r="AG161" i="545"/>
  <c r="V161" i="545"/>
  <c r="U161" i="545"/>
  <c r="AJ161" i="545" s="1"/>
  <c r="AK161" i="545" s="1"/>
  <c r="T161" i="545"/>
  <c r="AH161" i="545" s="1"/>
  <c r="AG160" i="545"/>
  <c r="V160" i="545"/>
  <c r="U160" i="545"/>
  <c r="AJ160" i="545" s="1"/>
  <c r="AK160" i="545" s="1"/>
  <c r="T160" i="545"/>
  <c r="AH160" i="545" s="1"/>
  <c r="AG159" i="545"/>
  <c r="V159" i="545"/>
  <c r="U159" i="545"/>
  <c r="AJ159" i="545" s="1"/>
  <c r="AK159" i="545" s="1"/>
  <c r="T159" i="545"/>
  <c r="AH159" i="545" s="1"/>
  <c r="AG158" i="545"/>
  <c r="V158" i="545"/>
  <c r="U158" i="545"/>
  <c r="AJ158" i="545" s="1"/>
  <c r="AK158" i="545" s="1"/>
  <c r="T158" i="545"/>
  <c r="AH158" i="545" s="1"/>
  <c r="AG157" i="545"/>
  <c r="V157" i="545"/>
  <c r="U157" i="545"/>
  <c r="AJ157" i="545" s="1"/>
  <c r="AK157" i="545" s="1"/>
  <c r="T157" i="545"/>
  <c r="AH157" i="545" s="1"/>
  <c r="AG156" i="545"/>
  <c r="V156" i="545"/>
  <c r="U156" i="545"/>
  <c r="AJ156" i="545" s="1"/>
  <c r="AK156" i="545" s="1"/>
  <c r="T156" i="545"/>
  <c r="AH156" i="545" s="1"/>
  <c r="AG155" i="545"/>
  <c r="V155" i="545"/>
  <c r="U155" i="545"/>
  <c r="AJ155" i="545" s="1"/>
  <c r="AK155" i="545" s="1"/>
  <c r="T155" i="545"/>
  <c r="AH155" i="545" s="1"/>
  <c r="AG154" i="545"/>
  <c r="V154" i="545"/>
  <c r="U154" i="545"/>
  <c r="AJ154" i="545" s="1"/>
  <c r="AK154" i="545" s="1"/>
  <c r="T154" i="545"/>
  <c r="AH154" i="545" s="1"/>
  <c r="AG153" i="545"/>
  <c r="V153" i="545"/>
  <c r="U153" i="545"/>
  <c r="AJ153" i="545" s="1"/>
  <c r="AK153" i="545" s="1"/>
  <c r="T153" i="545"/>
  <c r="AH153" i="545" s="1"/>
  <c r="AG152" i="545"/>
  <c r="V152" i="545"/>
  <c r="U152" i="545"/>
  <c r="AJ152" i="545" s="1"/>
  <c r="AK152" i="545" s="1"/>
  <c r="T152" i="545"/>
  <c r="AH152" i="545" s="1"/>
  <c r="AG151" i="545"/>
  <c r="V151" i="545"/>
  <c r="U151" i="545"/>
  <c r="AJ151" i="545" s="1"/>
  <c r="AK151" i="545" s="1"/>
  <c r="T151" i="545"/>
  <c r="AH151" i="545" s="1"/>
  <c r="AG150" i="545"/>
  <c r="V150" i="545"/>
  <c r="U150" i="545"/>
  <c r="AJ150" i="545" s="1"/>
  <c r="AK150" i="545" s="1"/>
  <c r="T150" i="545"/>
  <c r="AH150" i="545" s="1"/>
  <c r="AG149" i="545"/>
  <c r="V149" i="545"/>
  <c r="U149" i="545"/>
  <c r="AJ149" i="545" s="1"/>
  <c r="AK149" i="545" s="1"/>
  <c r="T149" i="545"/>
  <c r="AH149" i="545" s="1"/>
  <c r="AG148" i="545"/>
  <c r="V148" i="545"/>
  <c r="U148" i="545"/>
  <c r="AJ148" i="545" s="1"/>
  <c r="AK148" i="545" s="1"/>
  <c r="T148" i="545"/>
  <c r="AH148" i="545" s="1"/>
  <c r="AG147" i="545"/>
  <c r="V147" i="545"/>
  <c r="U147" i="545"/>
  <c r="AJ147" i="545" s="1"/>
  <c r="AK147" i="545" s="1"/>
  <c r="T147" i="545"/>
  <c r="AH147" i="545" s="1"/>
  <c r="AG146" i="545"/>
  <c r="V146" i="545"/>
  <c r="U146" i="545"/>
  <c r="AJ146" i="545" s="1"/>
  <c r="AK146" i="545" s="1"/>
  <c r="T146" i="545"/>
  <c r="AH146" i="545" s="1"/>
  <c r="AG145" i="545"/>
  <c r="V145" i="545"/>
  <c r="U145" i="545"/>
  <c r="AJ145" i="545" s="1"/>
  <c r="AK145" i="545" s="1"/>
  <c r="T145" i="545"/>
  <c r="AH145" i="545" s="1"/>
  <c r="AG144" i="545"/>
  <c r="V144" i="545"/>
  <c r="U144" i="545"/>
  <c r="AJ144" i="545" s="1"/>
  <c r="AK144" i="545" s="1"/>
  <c r="T144" i="545"/>
  <c r="AH144" i="545" s="1"/>
  <c r="AG143" i="545"/>
  <c r="V143" i="545"/>
  <c r="U143" i="545"/>
  <c r="AJ143" i="545" s="1"/>
  <c r="AK143" i="545" s="1"/>
  <c r="T143" i="545"/>
  <c r="AH143" i="545" s="1"/>
  <c r="AG142" i="545"/>
  <c r="V142" i="545"/>
  <c r="U142" i="545"/>
  <c r="AJ142" i="545" s="1"/>
  <c r="AK142" i="545" s="1"/>
  <c r="T142" i="545"/>
  <c r="AH142" i="545" s="1"/>
  <c r="AG141" i="545"/>
  <c r="V141" i="545"/>
  <c r="U141" i="545"/>
  <c r="AJ141" i="545" s="1"/>
  <c r="AK141" i="545" s="1"/>
  <c r="T141" i="545"/>
  <c r="AH141" i="545" s="1"/>
  <c r="AG140" i="545"/>
  <c r="V140" i="545"/>
  <c r="U140" i="545"/>
  <c r="AJ140" i="545" s="1"/>
  <c r="AK140" i="545" s="1"/>
  <c r="T140" i="545"/>
  <c r="AH140" i="545" s="1"/>
  <c r="AG139" i="545"/>
  <c r="V139" i="545"/>
  <c r="U139" i="545"/>
  <c r="AJ139" i="545" s="1"/>
  <c r="AK139" i="545" s="1"/>
  <c r="T139" i="545"/>
  <c r="AH139" i="545" s="1"/>
  <c r="AG138" i="545"/>
  <c r="V138" i="545"/>
  <c r="U138" i="545"/>
  <c r="AJ138" i="545" s="1"/>
  <c r="AK138" i="545" s="1"/>
  <c r="T138" i="545"/>
  <c r="AH138" i="545" s="1"/>
  <c r="AG137" i="545"/>
  <c r="V137" i="545"/>
  <c r="U137" i="545"/>
  <c r="AJ137" i="545" s="1"/>
  <c r="AK137" i="545" s="1"/>
  <c r="T137" i="545"/>
  <c r="AH137" i="545" s="1"/>
  <c r="AG136" i="545"/>
  <c r="V136" i="545"/>
  <c r="U136" i="545"/>
  <c r="AJ136" i="545" s="1"/>
  <c r="AK136" i="545" s="1"/>
  <c r="T136" i="545"/>
  <c r="AH136" i="545" s="1"/>
  <c r="AG135" i="545"/>
  <c r="V135" i="545"/>
  <c r="U135" i="545"/>
  <c r="AJ135" i="545" s="1"/>
  <c r="AK135" i="545" s="1"/>
  <c r="T135" i="545"/>
  <c r="AH135" i="545" s="1"/>
  <c r="AG134" i="545"/>
  <c r="V134" i="545"/>
  <c r="U134" i="545"/>
  <c r="AJ134" i="545" s="1"/>
  <c r="AK134" i="545" s="1"/>
  <c r="T134" i="545"/>
  <c r="AH134" i="545" s="1"/>
  <c r="AG133" i="545"/>
  <c r="V133" i="545"/>
  <c r="U133" i="545"/>
  <c r="AJ133" i="545" s="1"/>
  <c r="AK133" i="545" s="1"/>
  <c r="T133" i="545"/>
  <c r="AH133" i="545" s="1"/>
  <c r="AG132" i="545"/>
  <c r="V132" i="545"/>
  <c r="U132" i="545"/>
  <c r="AJ132" i="545" s="1"/>
  <c r="AK132" i="545" s="1"/>
  <c r="T132" i="545"/>
  <c r="AH132" i="545" s="1"/>
  <c r="AG131" i="545"/>
  <c r="V131" i="545"/>
  <c r="U131" i="545"/>
  <c r="AJ131" i="545" s="1"/>
  <c r="AK131" i="545" s="1"/>
  <c r="T131" i="545"/>
  <c r="AH131" i="545" s="1"/>
  <c r="AG130" i="545"/>
  <c r="V130" i="545"/>
  <c r="U130" i="545"/>
  <c r="AJ130" i="545" s="1"/>
  <c r="AK130" i="545" s="1"/>
  <c r="T130" i="545"/>
  <c r="AH130" i="545" s="1"/>
  <c r="AG129" i="545"/>
  <c r="V129" i="545"/>
  <c r="U129" i="545"/>
  <c r="AJ129" i="545" s="1"/>
  <c r="AK129" i="545" s="1"/>
  <c r="T129" i="545"/>
  <c r="AH129" i="545" s="1"/>
  <c r="AG128" i="545"/>
  <c r="V128" i="545"/>
  <c r="U128" i="545"/>
  <c r="AJ128" i="545" s="1"/>
  <c r="AK128" i="545" s="1"/>
  <c r="T128" i="545"/>
  <c r="AH128" i="545" s="1"/>
  <c r="AG127" i="545"/>
  <c r="V127" i="545"/>
  <c r="U127" i="545"/>
  <c r="AJ127" i="545" s="1"/>
  <c r="AK127" i="545" s="1"/>
  <c r="T127" i="545"/>
  <c r="AH127" i="545" s="1"/>
  <c r="AG126" i="545"/>
  <c r="V126" i="545"/>
  <c r="U126" i="545"/>
  <c r="AJ126" i="545" s="1"/>
  <c r="AK126" i="545" s="1"/>
  <c r="T126" i="545"/>
  <c r="AH126" i="545" s="1"/>
  <c r="AG125" i="545"/>
  <c r="V125" i="545"/>
  <c r="U125" i="545"/>
  <c r="AJ125" i="545" s="1"/>
  <c r="AK125" i="545" s="1"/>
  <c r="T125" i="545"/>
  <c r="AH125" i="545" s="1"/>
  <c r="AG124" i="545"/>
  <c r="V124" i="545"/>
  <c r="U124" i="545"/>
  <c r="AJ124" i="545" s="1"/>
  <c r="AK124" i="545" s="1"/>
  <c r="T124" i="545"/>
  <c r="AH124" i="545" s="1"/>
  <c r="AG123" i="545"/>
  <c r="V123" i="545"/>
  <c r="U123" i="545"/>
  <c r="AJ123" i="545" s="1"/>
  <c r="AK123" i="545" s="1"/>
  <c r="T123" i="545"/>
  <c r="AH123" i="545" s="1"/>
  <c r="AG122" i="545"/>
  <c r="V122" i="545"/>
  <c r="U122" i="545"/>
  <c r="AJ122" i="545" s="1"/>
  <c r="AK122" i="545" s="1"/>
  <c r="T122" i="545"/>
  <c r="AH122" i="545" s="1"/>
  <c r="AG121" i="545"/>
  <c r="V121" i="545"/>
  <c r="U121" i="545"/>
  <c r="AJ121" i="545" s="1"/>
  <c r="AK121" i="545" s="1"/>
  <c r="T121" i="545"/>
  <c r="AH121" i="545" s="1"/>
  <c r="AG120" i="545"/>
  <c r="V120" i="545"/>
  <c r="U120" i="545"/>
  <c r="AJ120" i="545" s="1"/>
  <c r="AK120" i="545" s="1"/>
  <c r="T120" i="545"/>
  <c r="AH120" i="545" s="1"/>
  <c r="AG119" i="545"/>
  <c r="V119" i="545"/>
  <c r="U119" i="545"/>
  <c r="AJ119" i="545" s="1"/>
  <c r="AK119" i="545" s="1"/>
  <c r="T119" i="545"/>
  <c r="AH119" i="545" s="1"/>
  <c r="AG118" i="545"/>
  <c r="V118" i="545"/>
  <c r="U118" i="545"/>
  <c r="AJ118" i="545" s="1"/>
  <c r="AK118" i="545" s="1"/>
  <c r="T118" i="545"/>
  <c r="AH118" i="545" s="1"/>
  <c r="AG117" i="545"/>
  <c r="V117" i="545"/>
  <c r="U117" i="545"/>
  <c r="AJ117" i="545" s="1"/>
  <c r="AK117" i="545" s="1"/>
  <c r="T117" i="545"/>
  <c r="AH117" i="545" s="1"/>
  <c r="AG116" i="545"/>
  <c r="V116" i="545"/>
  <c r="U116" i="545"/>
  <c r="AJ116" i="545" s="1"/>
  <c r="AK116" i="545" s="1"/>
  <c r="T116" i="545"/>
  <c r="AH116" i="545" s="1"/>
  <c r="AG115" i="545"/>
  <c r="V115" i="545"/>
  <c r="U115" i="545"/>
  <c r="AJ115" i="545" s="1"/>
  <c r="AK115" i="545" s="1"/>
  <c r="T115" i="545"/>
  <c r="AH115" i="545" s="1"/>
  <c r="AG114" i="545"/>
  <c r="V114" i="545"/>
  <c r="U114" i="545"/>
  <c r="AJ114" i="545" s="1"/>
  <c r="AK114" i="545" s="1"/>
  <c r="T114" i="545"/>
  <c r="AH114" i="545" s="1"/>
  <c r="AG113" i="545"/>
  <c r="V113" i="545"/>
  <c r="U113" i="545"/>
  <c r="AJ113" i="545" s="1"/>
  <c r="AK113" i="545" s="1"/>
  <c r="T113" i="545"/>
  <c r="AH113" i="545" s="1"/>
  <c r="AG112" i="545"/>
  <c r="V112" i="545"/>
  <c r="U112" i="545"/>
  <c r="AJ112" i="545" s="1"/>
  <c r="AK112" i="545" s="1"/>
  <c r="T112" i="545"/>
  <c r="AH112" i="545" s="1"/>
  <c r="AG111" i="545"/>
  <c r="V111" i="545"/>
  <c r="U111" i="545"/>
  <c r="AJ111" i="545" s="1"/>
  <c r="AK111" i="545" s="1"/>
  <c r="T111" i="545"/>
  <c r="AH111" i="545" s="1"/>
  <c r="AG110" i="545"/>
  <c r="V110" i="545"/>
  <c r="U110" i="545"/>
  <c r="AJ110" i="545" s="1"/>
  <c r="AK110" i="545" s="1"/>
  <c r="T110" i="545"/>
  <c r="AH110" i="545" s="1"/>
  <c r="AG109" i="545"/>
  <c r="V109" i="545"/>
  <c r="U109" i="545"/>
  <c r="AJ109" i="545" s="1"/>
  <c r="AK109" i="545" s="1"/>
  <c r="T109" i="545"/>
  <c r="AH109" i="545" s="1"/>
  <c r="AG108" i="545"/>
  <c r="V108" i="545"/>
  <c r="U108" i="545"/>
  <c r="AJ108" i="545" s="1"/>
  <c r="AK108" i="545" s="1"/>
  <c r="T108" i="545"/>
  <c r="AH108" i="545" s="1"/>
  <c r="AG107" i="545"/>
  <c r="V107" i="545"/>
  <c r="U107" i="545"/>
  <c r="AJ107" i="545" s="1"/>
  <c r="AK107" i="545" s="1"/>
  <c r="T107" i="545"/>
  <c r="AH107" i="545" s="1"/>
  <c r="AG106" i="545"/>
  <c r="V106" i="545"/>
  <c r="U106" i="545"/>
  <c r="AJ106" i="545" s="1"/>
  <c r="AK106" i="545" s="1"/>
  <c r="T106" i="545"/>
  <c r="AH106" i="545" s="1"/>
  <c r="AG105" i="545"/>
  <c r="V105" i="545"/>
  <c r="U105" i="545"/>
  <c r="AJ105" i="545" s="1"/>
  <c r="AK105" i="545" s="1"/>
  <c r="T105" i="545"/>
  <c r="AH105" i="545" s="1"/>
  <c r="AG104" i="545"/>
  <c r="V104" i="545"/>
  <c r="U104" i="545"/>
  <c r="AJ104" i="545" s="1"/>
  <c r="AK104" i="545" s="1"/>
  <c r="T104" i="545"/>
  <c r="AH104" i="545" s="1"/>
  <c r="AG103" i="545"/>
  <c r="V103" i="545"/>
  <c r="U103" i="545"/>
  <c r="AJ103" i="545" s="1"/>
  <c r="AK103" i="545" s="1"/>
  <c r="T103" i="545"/>
  <c r="AH103" i="545" s="1"/>
  <c r="AG102" i="545"/>
  <c r="V102" i="545"/>
  <c r="U102" i="545"/>
  <c r="AJ102" i="545" s="1"/>
  <c r="AK102" i="545" s="1"/>
  <c r="T102" i="545"/>
  <c r="AH102" i="545" s="1"/>
  <c r="AG101" i="545"/>
  <c r="V101" i="545"/>
  <c r="U101" i="545"/>
  <c r="AJ101" i="545" s="1"/>
  <c r="AK101" i="545" s="1"/>
  <c r="T101" i="545"/>
  <c r="AH101" i="545" s="1"/>
  <c r="AG100" i="545"/>
  <c r="V100" i="545"/>
  <c r="U100" i="545"/>
  <c r="AJ100" i="545" s="1"/>
  <c r="AK100" i="545" s="1"/>
  <c r="T100" i="545"/>
  <c r="AH100" i="545" s="1"/>
  <c r="AG99" i="545"/>
  <c r="V99" i="545"/>
  <c r="U99" i="545"/>
  <c r="AJ99" i="545" s="1"/>
  <c r="AK99" i="545" s="1"/>
  <c r="T99" i="545"/>
  <c r="AH99" i="545" s="1"/>
  <c r="AG98" i="545"/>
  <c r="V98" i="545"/>
  <c r="U98" i="545"/>
  <c r="AJ98" i="545" s="1"/>
  <c r="AK98" i="545" s="1"/>
  <c r="T98" i="545"/>
  <c r="AH98" i="545" s="1"/>
  <c r="AG97" i="545"/>
  <c r="V97" i="545"/>
  <c r="U97" i="545"/>
  <c r="AJ97" i="545" s="1"/>
  <c r="AK97" i="545" s="1"/>
  <c r="T97" i="545"/>
  <c r="AH97" i="545" s="1"/>
  <c r="AG96" i="545"/>
  <c r="V96" i="545"/>
  <c r="U96" i="545"/>
  <c r="AJ96" i="545" s="1"/>
  <c r="AK96" i="545" s="1"/>
  <c r="T96" i="545"/>
  <c r="AH96" i="545" s="1"/>
  <c r="AG95" i="545"/>
  <c r="V95" i="545"/>
  <c r="U95" i="545"/>
  <c r="AJ95" i="545" s="1"/>
  <c r="AK95" i="545" s="1"/>
  <c r="T95" i="545"/>
  <c r="AH95" i="545" s="1"/>
  <c r="AG94" i="545"/>
  <c r="V94" i="545"/>
  <c r="U94" i="545"/>
  <c r="AJ94" i="545" s="1"/>
  <c r="AK94" i="545" s="1"/>
  <c r="T94" i="545"/>
  <c r="AH94" i="545" s="1"/>
  <c r="AG93" i="545"/>
  <c r="V93" i="545"/>
  <c r="U93" i="545"/>
  <c r="AJ93" i="545" s="1"/>
  <c r="AK93" i="545" s="1"/>
  <c r="T93" i="545"/>
  <c r="AH93" i="545" s="1"/>
  <c r="AG92" i="545"/>
  <c r="V92" i="545"/>
  <c r="U92" i="545"/>
  <c r="AJ92" i="545" s="1"/>
  <c r="AK92" i="545" s="1"/>
  <c r="T92" i="545"/>
  <c r="AH92" i="545" s="1"/>
  <c r="AG91" i="545"/>
  <c r="V91" i="545"/>
  <c r="U91" i="545"/>
  <c r="AJ91" i="545" s="1"/>
  <c r="AK91" i="545" s="1"/>
  <c r="T91" i="545"/>
  <c r="AH91" i="545" s="1"/>
  <c r="AG90" i="545"/>
  <c r="V90" i="545"/>
  <c r="U90" i="545"/>
  <c r="AJ90" i="545" s="1"/>
  <c r="AK90" i="545" s="1"/>
  <c r="T90" i="545"/>
  <c r="AH90" i="545" s="1"/>
  <c r="AG89" i="545"/>
  <c r="V89" i="545"/>
  <c r="U89" i="545"/>
  <c r="AJ89" i="545" s="1"/>
  <c r="AK89" i="545" s="1"/>
  <c r="T89" i="545"/>
  <c r="AH89" i="545" s="1"/>
  <c r="AG88" i="545"/>
  <c r="V88" i="545"/>
  <c r="U88" i="545"/>
  <c r="AJ88" i="545" s="1"/>
  <c r="AK88" i="545" s="1"/>
  <c r="T88" i="545"/>
  <c r="AH88" i="545" s="1"/>
  <c r="AG87" i="545"/>
  <c r="V87" i="545"/>
  <c r="U87" i="545"/>
  <c r="AJ87" i="545" s="1"/>
  <c r="AK87" i="545" s="1"/>
  <c r="T87" i="545"/>
  <c r="AH87" i="545" s="1"/>
  <c r="AG86" i="545"/>
  <c r="V86" i="545"/>
  <c r="U86" i="545"/>
  <c r="AJ86" i="545" s="1"/>
  <c r="AK86" i="545" s="1"/>
  <c r="T86" i="545"/>
  <c r="AH86" i="545" s="1"/>
  <c r="AG85" i="545"/>
  <c r="V85" i="545"/>
  <c r="U85" i="545"/>
  <c r="AJ85" i="545" s="1"/>
  <c r="AK85" i="545" s="1"/>
  <c r="T85" i="545"/>
  <c r="AH85" i="545" s="1"/>
  <c r="AG84" i="545"/>
  <c r="V84" i="545"/>
  <c r="U84" i="545"/>
  <c r="AJ84" i="545" s="1"/>
  <c r="AK84" i="545" s="1"/>
  <c r="T84" i="545"/>
  <c r="AH84" i="545" s="1"/>
  <c r="AG83" i="545"/>
  <c r="V83" i="545"/>
  <c r="U83" i="545"/>
  <c r="AJ83" i="545" s="1"/>
  <c r="AK83" i="545" s="1"/>
  <c r="T83" i="545"/>
  <c r="AH83" i="545" s="1"/>
  <c r="AG82" i="545"/>
  <c r="V82" i="545"/>
  <c r="U82" i="545"/>
  <c r="AJ82" i="545" s="1"/>
  <c r="AK82" i="545" s="1"/>
  <c r="T82" i="545"/>
  <c r="AH82" i="545" s="1"/>
  <c r="AG81" i="545"/>
  <c r="V81" i="545"/>
  <c r="U81" i="545"/>
  <c r="AJ81" i="545" s="1"/>
  <c r="AK81" i="545" s="1"/>
  <c r="T81" i="545"/>
  <c r="AH81" i="545" s="1"/>
  <c r="AG80" i="545"/>
  <c r="V80" i="545"/>
  <c r="U80" i="545"/>
  <c r="AJ80" i="545" s="1"/>
  <c r="AK80" i="545" s="1"/>
  <c r="T80" i="545"/>
  <c r="AH80" i="545" s="1"/>
  <c r="AG79" i="545"/>
  <c r="V79" i="545"/>
  <c r="U79" i="545"/>
  <c r="AJ79" i="545" s="1"/>
  <c r="AK79" i="545" s="1"/>
  <c r="T79" i="545"/>
  <c r="AH79" i="545" s="1"/>
  <c r="AG78" i="545"/>
  <c r="V78" i="545"/>
  <c r="U78" i="545"/>
  <c r="AJ78" i="545" s="1"/>
  <c r="AK78" i="545" s="1"/>
  <c r="T78" i="545"/>
  <c r="AH78" i="545" s="1"/>
  <c r="AG77" i="545"/>
  <c r="V77" i="545"/>
  <c r="U77" i="545"/>
  <c r="AJ77" i="545" s="1"/>
  <c r="AK77" i="545" s="1"/>
  <c r="T77" i="545"/>
  <c r="AH77" i="545" s="1"/>
  <c r="AG76" i="545"/>
  <c r="V76" i="545"/>
  <c r="U76" i="545"/>
  <c r="AJ76" i="545" s="1"/>
  <c r="AK76" i="545" s="1"/>
  <c r="T76" i="545"/>
  <c r="AH76" i="545" s="1"/>
  <c r="AG75" i="545"/>
  <c r="V75" i="545"/>
  <c r="U75" i="545"/>
  <c r="AJ75" i="545" s="1"/>
  <c r="AK75" i="545" s="1"/>
  <c r="T75" i="545"/>
  <c r="AH75" i="545" s="1"/>
  <c r="AG74" i="545"/>
  <c r="V74" i="545"/>
  <c r="U74" i="545"/>
  <c r="AJ74" i="545" s="1"/>
  <c r="AK74" i="545" s="1"/>
  <c r="T74" i="545"/>
  <c r="AH74" i="545" s="1"/>
  <c r="AG73" i="545"/>
  <c r="V73" i="545"/>
  <c r="U73" i="545"/>
  <c r="AJ73" i="545" s="1"/>
  <c r="AK73" i="545" s="1"/>
  <c r="T73" i="545"/>
  <c r="AH73" i="545" s="1"/>
  <c r="AG72" i="545"/>
  <c r="V72" i="545"/>
  <c r="U72" i="545"/>
  <c r="AJ72" i="545" s="1"/>
  <c r="AK72" i="545" s="1"/>
  <c r="T72" i="545"/>
  <c r="AH72" i="545" s="1"/>
  <c r="AG71" i="545"/>
  <c r="V71" i="545"/>
  <c r="U71" i="545"/>
  <c r="AJ71" i="545" s="1"/>
  <c r="AK71" i="545" s="1"/>
  <c r="T71" i="545"/>
  <c r="AH71" i="545" s="1"/>
  <c r="AG70" i="545"/>
  <c r="V70" i="545"/>
  <c r="U70" i="545"/>
  <c r="AJ70" i="545" s="1"/>
  <c r="AK70" i="545" s="1"/>
  <c r="T70" i="545"/>
  <c r="AH70" i="545" s="1"/>
  <c r="AG69" i="545"/>
  <c r="V69" i="545"/>
  <c r="U69" i="545"/>
  <c r="AJ69" i="545" s="1"/>
  <c r="AK69" i="545" s="1"/>
  <c r="T69" i="545"/>
  <c r="AH69" i="545" s="1"/>
  <c r="AG68" i="545"/>
  <c r="V68" i="545"/>
  <c r="U68" i="545"/>
  <c r="AJ68" i="545" s="1"/>
  <c r="AK68" i="545" s="1"/>
  <c r="T68" i="545"/>
  <c r="AH68" i="545" s="1"/>
  <c r="AG67" i="545"/>
  <c r="V67" i="545"/>
  <c r="U67" i="545"/>
  <c r="AJ67" i="545" s="1"/>
  <c r="AK67" i="545" s="1"/>
  <c r="T67" i="545"/>
  <c r="AH67" i="545" s="1"/>
  <c r="AG66" i="545"/>
  <c r="V66" i="545"/>
  <c r="U66" i="545"/>
  <c r="AJ66" i="545" s="1"/>
  <c r="AK66" i="545" s="1"/>
  <c r="T66" i="545"/>
  <c r="AH66" i="545" s="1"/>
  <c r="AG65" i="545"/>
  <c r="V65" i="545"/>
  <c r="U65" i="545"/>
  <c r="AJ65" i="545" s="1"/>
  <c r="AK65" i="545" s="1"/>
  <c r="T65" i="545"/>
  <c r="AH65" i="545" s="1"/>
  <c r="AG64" i="545"/>
  <c r="V64" i="545"/>
  <c r="U64" i="545"/>
  <c r="AJ64" i="545" s="1"/>
  <c r="AK64" i="545" s="1"/>
  <c r="T64" i="545"/>
  <c r="AH64" i="545" s="1"/>
  <c r="AG63" i="545"/>
  <c r="V63" i="545"/>
  <c r="U63" i="545"/>
  <c r="AJ63" i="545" s="1"/>
  <c r="AK63" i="545" s="1"/>
  <c r="T63" i="545"/>
  <c r="AH63" i="545" s="1"/>
  <c r="AG62" i="545"/>
  <c r="V62" i="545"/>
  <c r="U62" i="545"/>
  <c r="AJ62" i="545" s="1"/>
  <c r="AK62" i="545" s="1"/>
  <c r="T62" i="545"/>
  <c r="AH62" i="545" s="1"/>
  <c r="AG61" i="545"/>
  <c r="V61" i="545"/>
  <c r="U61" i="545"/>
  <c r="AJ61" i="545" s="1"/>
  <c r="AK61" i="545" s="1"/>
  <c r="T61" i="545"/>
  <c r="AH61" i="545" s="1"/>
  <c r="AG60" i="545"/>
  <c r="V60" i="545"/>
  <c r="U60" i="545"/>
  <c r="AJ60" i="545" s="1"/>
  <c r="AK60" i="545" s="1"/>
  <c r="T60" i="545"/>
  <c r="AH60" i="545" s="1"/>
  <c r="AG59" i="545"/>
  <c r="V59" i="545"/>
  <c r="U59" i="545"/>
  <c r="AJ59" i="545" s="1"/>
  <c r="AK59" i="545" s="1"/>
  <c r="T59" i="545"/>
  <c r="AH59" i="545" s="1"/>
  <c r="AG58" i="545"/>
  <c r="V58" i="545"/>
  <c r="U58" i="545"/>
  <c r="AJ58" i="545" s="1"/>
  <c r="AK58" i="545" s="1"/>
  <c r="T58" i="545"/>
  <c r="AH58" i="545" s="1"/>
  <c r="AG57" i="545"/>
  <c r="V57" i="545"/>
  <c r="U57" i="545"/>
  <c r="AJ57" i="545" s="1"/>
  <c r="AK57" i="545" s="1"/>
  <c r="T57" i="545"/>
  <c r="AH57" i="545" s="1"/>
  <c r="AG56" i="545"/>
  <c r="V56" i="545"/>
  <c r="U56" i="545"/>
  <c r="AJ56" i="545" s="1"/>
  <c r="AK56" i="545" s="1"/>
  <c r="T56" i="545"/>
  <c r="AH56" i="545" s="1"/>
  <c r="AG55" i="545"/>
  <c r="V55" i="545"/>
  <c r="U55" i="545"/>
  <c r="AJ55" i="545" s="1"/>
  <c r="AK55" i="545" s="1"/>
  <c r="T55" i="545"/>
  <c r="AH55" i="545" s="1"/>
  <c r="AG54" i="545"/>
  <c r="V54" i="545"/>
  <c r="U54" i="545"/>
  <c r="AJ54" i="545" s="1"/>
  <c r="AK54" i="545" s="1"/>
  <c r="T54" i="545"/>
  <c r="AH54" i="545" s="1"/>
  <c r="AG53" i="545"/>
  <c r="V53" i="545"/>
  <c r="U53" i="545"/>
  <c r="AJ53" i="545" s="1"/>
  <c r="AK53" i="545" s="1"/>
  <c r="T53" i="545"/>
  <c r="AH53" i="545" s="1"/>
  <c r="AG52" i="545"/>
  <c r="V52" i="545"/>
  <c r="U52" i="545"/>
  <c r="AJ52" i="545" s="1"/>
  <c r="AK52" i="545" s="1"/>
  <c r="T52" i="545"/>
  <c r="AH52" i="545" s="1"/>
  <c r="AG51" i="545"/>
  <c r="V51" i="545"/>
  <c r="U51" i="545"/>
  <c r="AJ51" i="545" s="1"/>
  <c r="AK51" i="545" s="1"/>
  <c r="T51" i="545"/>
  <c r="AH51" i="545" s="1"/>
  <c r="AG50" i="545"/>
  <c r="V50" i="545"/>
  <c r="U50" i="545"/>
  <c r="AJ50" i="545" s="1"/>
  <c r="AK50" i="545" s="1"/>
  <c r="T50" i="545"/>
  <c r="AH50" i="545" s="1"/>
  <c r="AG49" i="545"/>
  <c r="V49" i="545"/>
  <c r="U49" i="545"/>
  <c r="AJ49" i="545" s="1"/>
  <c r="AK49" i="545" s="1"/>
  <c r="T49" i="545"/>
  <c r="AH49" i="545" s="1"/>
  <c r="AG48" i="545"/>
  <c r="V48" i="545"/>
  <c r="U48" i="545"/>
  <c r="AJ48" i="545" s="1"/>
  <c r="AK48" i="545" s="1"/>
  <c r="T48" i="545"/>
  <c r="AH48" i="545" s="1"/>
  <c r="AG47" i="545"/>
  <c r="V47" i="545"/>
  <c r="U47" i="545"/>
  <c r="AJ47" i="545" s="1"/>
  <c r="AK47" i="545" s="1"/>
  <c r="T47" i="545"/>
  <c r="AH47" i="545" s="1"/>
  <c r="AG46" i="545"/>
  <c r="V46" i="545"/>
  <c r="U46" i="545"/>
  <c r="AJ46" i="545" s="1"/>
  <c r="AK46" i="545" s="1"/>
  <c r="T46" i="545"/>
  <c r="AH46" i="545" s="1"/>
  <c r="AG45" i="545"/>
  <c r="V45" i="545"/>
  <c r="U45" i="545"/>
  <c r="AJ45" i="545" s="1"/>
  <c r="AK45" i="545" s="1"/>
  <c r="T45" i="545"/>
  <c r="AH45" i="545" s="1"/>
  <c r="AG44" i="545"/>
  <c r="V44" i="545"/>
  <c r="U44" i="545"/>
  <c r="AJ44" i="545" s="1"/>
  <c r="AK44" i="545" s="1"/>
  <c r="T44" i="545"/>
  <c r="AH44" i="545" s="1"/>
  <c r="AG43" i="545"/>
  <c r="V43" i="545"/>
  <c r="U43" i="545"/>
  <c r="AJ43" i="545" s="1"/>
  <c r="AK43" i="545" s="1"/>
  <c r="T43" i="545"/>
  <c r="AH43" i="545" s="1"/>
  <c r="AG42" i="545"/>
  <c r="V42" i="545"/>
  <c r="U42" i="545"/>
  <c r="AJ42" i="545" s="1"/>
  <c r="AK42" i="545" s="1"/>
  <c r="T42" i="545"/>
  <c r="AH42" i="545" s="1"/>
  <c r="AG41" i="545"/>
  <c r="V41" i="545"/>
  <c r="U41" i="545"/>
  <c r="AJ41" i="545" s="1"/>
  <c r="AK41" i="545" s="1"/>
  <c r="T41" i="545"/>
  <c r="AH41" i="545" s="1"/>
  <c r="AG40" i="545"/>
  <c r="V40" i="545"/>
  <c r="U40" i="545"/>
  <c r="AJ40" i="545" s="1"/>
  <c r="AK40" i="545" s="1"/>
  <c r="T40" i="545"/>
  <c r="AH40" i="545" s="1"/>
  <c r="AG39" i="545"/>
  <c r="V39" i="545"/>
  <c r="U39" i="545"/>
  <c r="AJ39" i="545" s="1"/>
  <c r="AK39" i="545" s="1"/>
  <c r="T39" i="545"/>
  <c r="AH39" i="545" s="1"/>
  <c r="AG38" i="545"/>
  <c r="V38" i="545"/>
  <c r="U38" i="545"/>
  <c r="AJ38" i="545" s="1"/>
  <c r="AK38" i="545" s="1"/>
  <c r="T38" i="545"/>
  <c r="AH38" i="545" s="1"/>
  <c r="AG37" i="545"/>
  <c r="V37" i="545"/>
  <c r="U37" i="545"/>
  <c r="AJ37" i="545" s="1"/>
  <c r="AK37" i="545" s="1"/>
  <c r="T37" i="545"/>
  <c r="AH37" i="545" s="1"/>
  <c r="AG36" i="545"/>
  <c r="V36" i="545"/>
  <c r="U36" i="545"/>
  <c r="AJ36" i="545" s="1"/>
  <c r="AK36" i="545" s="1"/>
  <c r="T36" i="545"/>
  <c r="AH36" i="545" s="1"/>
  <c r="AG35" i="545"/>
  <c r="V35" i="545"/>
  <c r="U35" i="545"/>
  <c r="AJ35" i="545" s="1"/>
  <c r="AK35" i="545" s="1"/>
  <c r="T35" i="545"/>
  <c r="AH35" i="545" s="1"/>
  <c r="AG34" i="545"/>
  <c r="V34" i="545"/>
  <c r="U34" i="545"/>
  <c r="AJ34" i="545" s="1"/>
  <c r="AK34" i="545" s="1"/>
  <c r="T34" i="545"/>
  <c r="AH34" i="545" s="1"/>
  <c r="AG33" i="545"/>
  <c r="V33" i="545"/>
  <c r="U33" i="545"/>
  <c r="AJ33" i="545" s="1"/>
  <c r="AK33" i="545" s="1"/>
  <c r="T33" i="545"/>
  <c r="AH33" i="545" s="1"/>
  <c r="AG32" i="545"/>
  <c r="V32" i="545"/>
  <c r="U32" i="545"/>
  <c r="AJ32" i="545" s="1"/>
  <c r="AK32" i="545" s="1"/>
  <c r="T32" i="545"/>
  <c r="AH32" i="545" s="1"/>
  <c r="AG31" i="545"/>
  <c r="V31" i="545"/>
  <c r="U31" i="545"/>
  <c r="AJ31" i="545" s="1"/>
  <c r="AK31" i="545" s="1"/>
  <c r="T31" i="545"/>
  <c r="AH31" i="545" s="1"/>
  <c r="AG30" i="545"/>
  <c r="V30" i="545"/>
  <c r="U30" i="545"/>
  <c r="AJ30" i="545" s="1"/>
  <c r="AK30" i="545" s="1"/>
  <c r="T30" i="545"/>
  <c r="AH30" i="545" s="1"/>
  <c r="AG29" i="545"/>
  <c r="V29" i="545"/>
  <c r="U29" i="545"/>
  <c r="AJ29" i="545" s="1"/>
  <c r="AK29" i="545" s="1"/>
  <c r="T29" i="545"/>
  <c r="AH29" i="545" s="1"/>
  <c r="AG28" i="545"/>
  <c r="V28" i="545"/>
  <c r="U28" i="545"/>
  <c r="AJ28" i="545" s="1"/>
  <c r="AK28" i="545" s="1"/>
  <c r="T28" i="545"/>
  <c r="AH28" i="545" s="1"/>
  <c r="AG27" i="545"/>
  <c r="V27" i="545"/>
  <c r="U27" i="545"/>
  <c r="AJ27" i="545" s="1"/>
  <c r="AK27" i="545" s="1"/>
  <c r="T27" i="545"/>
  <c r="AH27" i="545" s="1"/>
  <c r="AG26" i="545"/>
  <c r="V26" i="545"/>
  <c r="U26" i="545"/>
  <c r="AJ26" i="545" s="1"/>
  <c r="AK26" i="545" s="1"/>
  <c r="T26" i="545"/>
  <c r="AH26" i="545" s="1"/>
  <c r="AG25" i="545"/>
  <c r="V25" i="545"/>
  <c r="U25" i="545"/>
  <c r="AJ25" i="545" s="1"/>
  <c r="AK25" i="545" s="1"/>
  <c r="T25" i="545"/>
  <c r="AH25" i="545" s="1"/>
  <c r="AG24" i="545"/>
  <c r="V24" i="545"/>
  <c r="U24" i="545"/>
  <c r="AJ24" i="545" s="1"/>
  <c r="AK24" i="545" s="1"/>
  <c r="T24" i="545"/>
  <c r="AH24" i="545" s="1"/>
  <c r="AG23" i="545"/>
  <c r="V23" i="545"/>
  <c r="U23" i="545"/>
  <c r="AJ23" i="545" s="1"/>
  <c r="AK23" i="545" s="1"/>
  <c r="T23" i="545"/>
  <c r="AH23" i="545" s="1"/>
  <c r="AG22" i="545"/>
  <c r="V22" i="545"/>
  <c r="U22" i="545"/>
  <c r="AJ22" i="545" s="1"/>
  <c r="AK22" i="545" s="1"/>
  <c r="T22" i="545"/>
  <c r="AH22" i="545" s="1"/>
  <c r="AG21" i="545"/>
  <c r="V21" i="545"/>
  <c r="U21" i="545"/>
  <c r="AJ21" i="545" s="1"/>
  <c r="AK21" i="545" s="1"/>
  <c r="T21" i="545"/>
  <c r="AH21" i="545" s="1"/>
  <c r="AG20" i="545"/>
  <c r="V20" i="545"/>
  <c r="U20" i="545"/>
  <c r="AJ20" i="545" s="1"/>
  <c r="AK20" i="545" s="1"/>
  <c r="T20" i="545"/>
  <c r="AH20" i="545" s="1"/>
  <c r="AG19" i="545"/>
  <c r="V19" i="545"/>
  <c r="U19" i="545"/>
  <c r="AJ19" i="545" s="1"/>
  <c r="AK19" i="545" s="1"/>
  <c r="T19" i="545"/>
  <c r="AH19" i="545" s="1"/>
  <c r="AG18" i="545"/>
  <c r="V18" i="545"/>
  <c r="U18" i="545"/>
  <c r="AJ18" i="545" s="1"/>
  <c r="AK18" i="545" s="1"/>
  <c r="T18" i="545"/>
  <c r="AG17" i="545"/>
  <c r="V17" i="545"/>
  <c r="U17" i="545"/>
  <c r="AJ17" i="545" s="1"/>
  <c r="AK17" i="545" s="1"/>
  <c r="T17" i="545"/>
  <c r="AG16" i="545"/>
  <c r="V16" i="545"/>
  <c r="U16" i="545"/>
  <c r="AJ16" i="545" s="1"/>
  <c r="AK16" i="545" s="1"/>
  <c r="T16" i="545"/>
  <c r="AG15" i="545"/>
  <c r="V15" i="545"/>
  <c r="U15" i="545"/>
  <c r="T15" i="545"/>
  <c r="AP14" i="545"/>
  <c r="AG14" i="545"/>
  <c r="V14" i="545"/>
  <c r="U14" i="545"/>
  <c r="AJ14" i="545" s="1"/>
  <c r="AK14" i="545" s="1"/>
  <c r="T14" i="545"/>
  <c r="AP13" i="545"/>
  <c r="AG13" i="545"/>
  <c r="AJ13" i="545" s="1"/>
  <c r="AK13" i="545" s="1"/>
  <c r="V13" i="545"/>
  <c r="U13" i="545"/>
  <c r="T13" i="545"/>
  <c r="AP12" i="545"/>
  <c r="AG12" i="545"/>
  <c r="V12" i="545"/>
  <c r="U12" i="545"/>
  <c r="T12" i="545"/>
  <c r="AG11" i="545"/>
  <c r="V11" i="545"/>
  <c r="U11" i="545"/>
  <c r="AJ11" i="545" s="1"/>
  <c r="AK11" i="545" s="1"/>
  <c r="T11" i="545"/>
  <c r="AG9" i="545"/>
  <c r="V9" i="545"/>
  <c r="U9" i="545"/>
  <c r="AJ9" i="545" s="1"/>
  <c r="AK9" i="545" s="1"/>
  <c r="T9" i="545"/>
  <c r="O4" i="545"/>
  <c r="I4" i="545"/>
  <c r="G4" i="545"/>
  <c r="AR2" i="545"/>
  <c r="G2" i="545"/>
  <c r="AH14" i="545" l="1"/>
  <c r="AJ15" i="545"/>
  <c r="AK15" i="545" s="1"/>
  <c r="AH11" i="545"/>
  <c r="AL11" i="545" s="1"/>
  <c r="AH12" i="545"/>
  <c r="AI12" i="545" s="1"/>
  <c r="AH15" i="545"/>
  <c r="AH13" i="545"/>
  <c r="AL13" i="545" s="1"/>
  <c r="AH9" i="545"/>
  <c r="AI9" i="545" s="1"/>
  <c r="AM9" i="545" s="1"/>
  <c r="AJ12" i="545"/>
  <c r="AK12" i="545" s="1"/>
  <c r="AH16" i="545"/>
  <c r="AH17" i="545"/>
  <c r="AL17" i="545" s="1"/>
  <c r="AH18" i="545"/>
  <c r="AL18" i="545" s="1"/>
  <c r="AI31" i="545"/>
  <c r="AM31" i="545" s="1"/>
  <c r="AL31" i="545"/>
  <c r="AI65" i="545"/>
  <c r="AM65" i="545" s="1"/>
  <c r="AL65" i="545"/>
  <c r="AI27" i="545"/>
  <c r="AM27" i="545" s="1"/>
  <c r="AL27" i="545"/>
  <c r="AI15" i="545"/>
  <c r="AM15" i="545" s="1"/>
  <c r="AI19" i="545"/>
  <c r="AM19" i="545" s="1"/>
  <c r="AL19" i="545"/>
  <c r="AI23" i="545"/>
  <c r="AM23" i="545" s="1"/>
  <c r="AL23" i="545"/>
  <c r="AI35" i="545"/>
  <c r="AM35" i="545" s="1"/>
  <c r="AL35" i="545"/>
  <c r="AI39" i="545"/>
  <c r="AM39" i="545" s="1"/>
  <c r="AL39" i="545"/>
  <c r="AI43" i="545"/>
  <c r="AM43" i="545" s="1"/>
  <c r="AL43" i="545"/>
  <c r="AI47" i="545"/>
  <c r="AM47" i="545" s="1"/>
  <c r="AL47" i="545"/>
  <c r="AI51" i="545"/>
  <c r="AM51" i="545" s="1"/>
  <c r="AL51" i="545"/>
  <c r="AI55" i="545"/>
  <c r="AM55" i="545" s="1"/>
  <c r="AL55" i="545"/>
  <c r="AI59" i="545"/>
  <c r="AM59" i="545" s="1"/>
  <c r="AL59" i="545"/>
  <c r="AI66" i="545"/>
  <c r="AM66" i="545" s="1"/>
  <c r="AL66" i="545"/>
  <c r="AI72" i="545"/>
  <c r="AM72" i="545" s="1"/>
  <c r="AL72" i="545"/>
  <c r="AI76" i="545"/>
  <c r="AM76" i="545" s="1"/>
  <c r="AL76" i="545"/>
  <c r="AI80" i="545"/>
  <c r="AM80" i="545" s="1"/>
  <c r="AL80" i="545"/>
  <c r="AI84" i="545"/>
  <c r="AM84" i="545" s="1"/>
  <c r="AL84" i="545"/>
  <c r="AI88" i="545"/>
  <c r="AM88" i="545" s="1"/>
  <c r="AL88" i="545"/>
  <c r="AI92" i="545"/>
  <c r="AM92" i="545" s="1"/>
  <c r="AL92" i="545"/>
  <c r="AI16" i="545"/>
  <c r="AM16" i="545" s="1"/>
  <c r="AL16" i="545"/>
  <c r="AI20" i="545"/>
  <c r="AM20" i="545" s="1"/>
  <c r="AL20" i="545"/>
  <c r="AI24" i="545"/>
  <c r="AM24" i="545" s="1"/>
  <c r="AL24" i="545"/>
  <c r="AI28" i="545"/>
  <c r="AM28" i="545" s="1"/>
  <c r="AL28" i="545"/>
  <c r="AI32" i="545"/>
  <c r="AM32" i="545" s="1"/>
  <c r="AL32" i="545"/>
  <c r="AI36" i="545"/>
  <c r="AM36" i="545" s="1"/>
  <c r="AL36" i="545"/>
  <c r="AI40" i="545"/>
  <c r="AM40" i="545" s="1"/>
  <c r="AL40" i="545"/>
  <c r="AI44" i="545"/>
  <c r="AM44" i="545" s="1"/>
  <c r="AL44" i="545"/>
  <c r="AI48" i="545"/>
  <c r="AM48" i="545" s="1"/>
  <c r="AL48" i="545"/>
  <c r="AI52" i="545"/>
  <c r="AM52" i="545" s="1"/>
  <c r="AL52" i="545"/>
  <c r="AI56" i="545"/>
  <c r="AM56" i="545" s="1"/>
  <c r="AL56" i="545"/>
  <c r="AI60" i="545"/>
  <c r="AM60" i="545" s="1"/>
  <c r="AL60" i="545"/>
  <c r="AI67" i="545"/>
  <c r="AM67" i="545" s="1"/>
  <c r="AL67" i="545"/>
  <c r="AI68" i="545"/>
  <c r="AM68" i="545" s="1"/>
  <c r="AL68" i="545"/>
  <c r="AI73" i="545"/>
  <c r="AM73" i="545" s="1"/>
  <c r="AL73" i="545"/>
  <c r="AI77" i="545"/>
  <c r="AM77" i="545" s="1"/>
  <c r="AL77" i="545"/>
  <c r="AI81" i="545"/>
  <c r="AM81" i="545" s="1"/>
  <c r="AL81" i="545"/>
  <c r="AI85" i="545"/>
  <c r="AM85" i="545" s="1"/>
  <c r="AL85" i="545"/>
  <c r="AI89" i="545"/>
  <c r="AM89" i="545" s="1"/>
  <c r="AL89" i="545"/>
  <c r="AI93" i="545"/>
  <c r="AM93" i="545" s="1"/>
  <c r="AL93" i="545"/>
  <c r="AI97" i="545"/>
  <c r="AM97" i="545" s="1"/>
  <c r="AL97" i="545"/>
  <c r="AI21" i="545"/>
  <c r="AM21" i="545" s="1"/>
  <c r="AL21" i="545"/>
  <c r="AI25" i="545"/>
  <c r="AM25" i="545" s="1"/>
  <c r="AL25" i="545"/>
  <c r="AI29" i="545"/>
  <c r="AM29" i="545" s="1"/>
  <c r="AL29" i="545"/>
  <c r="AI33" i="545"/>
  <c r="AM33" i="545" s="1"/>
  <c r="AL33" i="545"/>
  <c r="AI37" i="545"/>
  <c r="AM37" i="545" s="1"/>
  <c r="AL37" i="545"/>
  <c r="AI41" i="545"/>
  <c r="AM41" i="545" s="1"/>
  <c r="AL41" i="545"/>
  <c r="AI45" i="545"/>
  <c r="AM45" i="545" s="1"/>
  <c r="AL45" i="545"/>
  <c r="AI49" i="545"/>
  <c r="AM49" i="545" s="1"/>
  <c r="AL49" i="545"/>
  <c r="AI53" i="545"/>
  <c r="AM53" i="545" s="1"/>
  <c r="AL53" i="545"/>
  <c r="AI57" i="545"/>
  <c r="AM57" i="545" s="1"/>
  <c r="AL57" i="545"/>
  <c r="AI61" i="545"/>
  <c r="AM61" i="545" s="1"/>
  <c r="AL61" i="545"/>
  <c r="AI62" i="545"/>
  <c r="AM62" i="545" s="1"/>
  <c r="AL62" i="545"/>
  <c r="AI69" i="545"/>
  <c r="AM69" i="545" s="1"/>
  <c r="AL69" i="545"/>
  <c r="AI74" i="545"/>
  <c r="AM74" i="545" s="1"/>
  <c r="AL74" i="545"/>
  <c r="AI78" i="545"/>
  <c r="AM78" i="545" s="1"/>
  <c r="AL78" i="545"/>
  <c r="AI82" i="545"/>
  <c r="AM82" i="545" s="1"/>
  <c r="AL82" i="545"/>
  <c r="AI86" i="545"/>
  <c r="AM86" i="545" s="1"/>
  <c r="AL86" i="545"/>
  <c r="AI90" i="545"/>
  <c r="AM90" i="545" s="1"/>
  <c r="AL90" i="545"/>
  <c r="AI94" i="545"/>
  <c r="AM94" i="545" s="1"/>
  <c r="AL94" i="545"/>
  <c r="AL14" i="545"/>
  <c r="AI14" i="545"/>
  <c r="AM14" i="545" s="1"/>
  <c r="AI18" i="545"/>
  <c r="AM18" i="545" s="1"/>
  <c r="AI22" i="545"/>
  <c r="AM22" i="545" s="1"/>
  <c r="AL22" i="545"/>
  <c r="AI26" i="545"/>
  <c r="AM26" i="545" s="1"/>
  <c r="AL26" i="545"/>
  <c r="AI30" i="545"/>
  <c r="AM30" i="545" s="1"/>
  <c r="AL30" i="545"/>
  <c r="AI34" i="545"/>
  <c r="AM34" i="545" s="1"/>
  <c r="AL34" i="545"/>
  <c r="AI38" i="545"/>
  <c r="AM38" i="545" s="1"/>
  <c r="AL38" i="545"/>
  <c r="AI42" i="545"/>
  <c r="AM42" i="545" s="1"/>
  <c r="AL42" i="545"/>
  <c r="AI46" i="545"/>
  <c r="AM46" i="545" s="1"/>
  <c r="AL46" i="545"/>
  <c r="AI50" i="545"/>
  <c r="AM50" i="545" s="1"/>
  <c r="AL50" i="545"/>
  <c r="AI54" i="545"/>
  <c r="AM54" i="545" s="1"/>
  <c r="AL54" i="545"/>
  <c r="AI58" i="545"/>
  <c r="AM58" i="545" s="1"/>
  <c r="AL58" i="545"/>
  <c r="AI63" i="545"/>
  <c r="AM63" i="545" s="1"/>
  <c r="AL63" i="545"/>
  <c r="AI64" i="545"/>
  <c r="AM64" i="545" s="1"/>
  <c r="AL64" i="545"/>
  <c r="AI70" i="545"/>
  <c r="AM70" i="545" s="1"/>
  <c r="AL70" i="545"/>
  <c r="AI71" i="545"/>
  <c r="AM71" i="545" s="1"/>
  <c r="AL71" i="545"/>
  <c r="AI75" i="545"/>
  <c r="AM75" i="545" s="1"/>
  <c r="AL75" i="545"/>
  <c r="AI79" i="545"/>
  <c r="AM79" i="545" s="1"/>
  <c r="AL79" i="545"/>
  <c r="AI83" i="545"/>
  <c r="AM83" i="545" s="1"/>
  <c r="AL83" i="545"/>
  <c r="AI87" i="545"/>
  <c r="AM87" i="545" s="1"/>
  <c r="AL87" i="545"/>
  <c r="AI91" i="545"/>
  <c r="AM91" i="545" s="1"/>
  <c r="AL91" i="545"/>
  <c r="AI95" i="545"/>
  <c r="AM95" i="545" s="1"/>
  <c r="AL95" i="545"/>
  <c r="AI99" i="545"/>
  <c r="AM99" i="545" s="1"/>
  <c r="AL99" i="545"/>
  <c r="AI96" i="545"/>
  <c r="AM96" i="545" s="1"/>
  <c r="AL96" i="545"/>
  <c r="AI98" i="545"/>
  <c r="AM98" i="545" s="1"/>
  <c r="AL98" i="545"/>
  <c r="AI100" i="545"/>
  <c r="AM100" i="545" s="1"/>
  <c r="AL100" i="545"/>
  <c r="AI104" i="545"/>
  <c r="AM104" i="545" s="1"/>
  <c r="AL104" i="545"/>
  <c r="AI108" i="545"/>
  <c r="AM108" i="545" s="1"/>
  <c r="AL108" i="545"/>
  <c r="AI115" i="545"/>
  <c r="AM115" i="545" s="1"/>
  <c r="AL115" i="545"/>
  <c r="AI119" i="545"/>
  <c r="AM119" i="545" s="1"/>
  <c r="AL119" i="545"/>
  <c r="AI123" i="545"/>
  <c r="AM123" i="545" s="1"/>
  <c r="AL123" i="545"/>
  <c r="AI127" i="545"/>
  <c r="AM127" i="545" s="1"/>
  <c r="AL127" i="545"/>
  <c r="AI131" i="545"/>
  <c r="AM131" i="545" s="1"/>
  <c r="AL131" i="545"/>
  <c r="AI135" i="545"/>
  <c r="AM135" i="545" s="1"/>
  <c r="AL135" i="545"/>
  <c r="AI139" i="545"/>
  <c r="AM139" i="545" s="1"/>
  <c r="AL139" i="545"/>
  <c r="AI143" i="545"/>
  <c r="AM143" i="545" s="1"/>
  <c r="AL143" i="545"/>
  <c r="AI147" i="545"/>
  <c r="AM147" i="545" s="1"/>
  <c r="AL147" i="545"/>
  <c r="AI101" i="545"/>
  <c r="AM101" i="545" s="1"/>
  <c r="AL101" i="545"/>
  <c r="AI105" i="545"/>
  <c r="AM105" i="545" s="1"/>
  <c r="AL105" i="545"/>
  <c r="AI109" i="545"/>
  <c r="AM109" i="545" s="1"/>
  <c r="AL109" i="545"/>
  <c r="AI110" i="545"/>
  <c r="AM110" i="545" s="1"/>
  <c r="AL110" i="545"/>
  <c r="AI116" i="545"/>
  <c r="AM116" i="545" s="1"/>
  <c r="AL116" i="545"/>
  <c r="AI120" i="545"/>
  <c r="AM120" i="545" s="1"/>
  <c r="AL120" i="545"/>
  <c r="AI124" i="545"/>
  <c r="AM124" i="545" s="1"/>
  <c r="AL124" i="545"/>
  <c r="AI128" i="545"/>
  <c r="AM128" i="545" s="1"/>
  <c r="AL128" i="545"/>
  <c r="AI132" i="545"/>
  <c r="AM132" i="545" s="1"/>
  <c r="AL132" i="545"/>
  <c r="AI136" i="545"/>
  <c r="AM136" i="545" s="1"/>
  <c r="AL136" i="545"/>
  <c r="AI140" i="545"/>
  <c r="AM140" i="545" s="1"/>
  <c r="AL140" i="545"/>
  <c r="AI144" i="545"/>
  <c r="AM144" i="545" s="1"/>
  <c r="AL144" i="545"/>
  <c r="AI148" i="545"/>
  <c r="AM148" i="545" s="1"/>
  <c r="AL148" i="545"/>
  <c r="AI102" i="545"/>
  <c r="AM102" i="545" s="1"/>
  <c r="AL102" i="545"/>
  <c r="AI106" i="545"/>
  <c r="AM106" i="545" s="1"/>
  <c r="AL106" i="545"/>
  <c r="AI111" i="545"/>
  <c r="AM111" i="545" s="1"/>
  <c r="AL111" i="545"/>
  <c r="AI112" i="545"/>
  <c r="AM112" i="545" s="1"/>
  <c r="AL112" i="545"/>
  <c r="AI117" i="545"/>
  <c r="AM117" i="545" s="1"/>
  <c r="AL117" i="545"/>
  <c r="AI121" i="545"/>
  <c r="AM121" i="545" s="1"/>
  <c r="AL121" i="545"/>
  <c r="AI125" i="545"/>
  <c r="AM125" i="545" s="1"/>
  <c r="AL125" i="545"/>
  <c r="AI129" i="545"/>
  <c r="AM129" i="545" s="1"/>
  <c r="AL129" i="545"/>
  <c r="AI133" i="545"/>
  <c r="AM133" i="545" s="1"/>
  <c r="AL133" i="545"/>
  <c r="AI137" i="545"/>
  <c r="AM137" i="545" s="1"/>
  <c r="AL137" i="545"/>
  <c r="AI141" i="545"/>
  <c r="AM141" i="545" s="1"/>
  <c r="AL141" i="545"/>
  <c r="AI145" i="545"/>
  <c r="AM145" i="545" s="1"/>
  <c r="AL145" i="545"/>
  <c r="AI149" i="545"/>
  <c r="AM149" i="545" s="1"/>
  <c r="AL149" i="545"/>
  <c r="AI103" i="545"/>
  <c r="AM103" i="545" s="1"/>
  <c r="AL103" i="545"/>
  <c r="AI107" i="545"/>
  <c r="AM107" i="545" s="1"/>
  <c r="AL107" i="545"/>
  <c r="AI113" i="545"/>
  <c r="AM113" i="545" s="1"/>
  <c r="AL113" i="545"/>
  <c r="AI114" i="545"/>
  <c r="AM114" i="545" s="1"/>
  <c r="AL114" i="545"/>
  <c r="AI118" i="545"/>
  <c r="AM118" i="545" s="1"/>
  <c r="AL118" i="545"/>
  <c r="AI122" i="545"/>
  <c r="AM122" i="545" s="1"/>
  <c r="AL122" i="545"/>
  <c r="AI126" i="545"/>
  <c r="AM126" i="545" s="1"/>
  <c r="AL126" i="545"/>
  <c r="AI130" i="545"/>
  <c r="AM130" i="545" s="1"/>
  <c r="AL130" i="545"/>
  <c r="AI134" i="545"/>
  <c r="AM134" i="545" s="1"/>
  <c r="AL134" i="545"/>
  <c r="AI138" i="545"/>
  <c r="AM138" i="545" s="1"/>
  <c r="AL138" i="545"/>
  <c r="AI142" i="545"/>
  <c r="AM142" i="545" s="1"/>
  <c r="AL142" i="545"/>
  <c r="AI146" i="545"/>
  <c r="AM146" i="545" s="1"/>
  <c r="AL146" i="545"/>
  <c r="AI151" i="545"/>
  <c r="AM151" i="545" s="1"/>
  <c r="AL151" i="545"/>
  <c r="AI155" i="545"/>
  <c r="AM155" i="545" s="1"/>
  <c r="AL155" i="545"/>
  <c r="AI159" i="545"/>
  <c r="AM159" i="545" s="1"/>
  <c r="AL159" i="545"/>
  <c r="AI163" i="545"/>
  <c r="AM163" i="545" s="1"/>
  <c r="AL163" i="545"/>
  <c r="AI167" i="545"/>
  <c r="AM167" i="545" s="1"/>
  <c r="AL167" i="545"/>
  <c r="AI168" i="545"/>
  <c r="AM168" i="545" s="1"/>
  <c r="AL168" i="545"/>
  <c r="AI152" i="545"/>
  <c r="AM152" i="545" s="1"/>
  <c r="AL152" i="545"/>
  <c r="AI156" i="545"/>
  <c r="AM156" i="545" s="1"/>
  <c r="AL156" i="545"/>
  <c r="AI160" i="545"/>
  <c r="AM160" i="545" s="1"/>
  <c r="AL160" i="545"/>
  <c r="AI164" i="545"/>
  <c r="AM164" i="545" s="1"/>
  <c r="AL164" i="545"/>
  <c r="AI153" i="545"/>
  <c r="AM153" i="545" s="1"/>
  <c r="AL153" i="545"/>
  <c r="AI157" i="545"/>
  <c r="AM157" i="545" s="1"/>
  <c r="AL157" i="545"/>
  <c r="AI161" i="545"/>
  <c r="AM161" i="545" s="1"/>
  <c r="AL161" i="545"/>
  <c r="AI165" i="545"/>
  <c r="AM165" i="545" s="1"/>
  <c r="AL165" i="545"/>
  <c r="AI150" i="545"/>
  <c r="AM150" i="545" s="1"/>
  <c r="AL150" i="545"/>
  <c r="AI154" i="545"/>
  <c r="AM154" i="545" s="1"/>
  <c r="AL154" i="545"/>
  <c r="AI158" i="545"/>
  <c r="AM158" i="545" s="1"/>
  <c r="AL158" i="545"/>
  <c r="AI162" i="545"/>
  <c r="AM162" i="545" s="1"/>
  <c r="AL162" i="545"/>
  <c r="AI166" i="545"/>
  <c r="AM166" i="545" s="1"/>
  <c r="AL166" i="545"/>
  <c r="AM12" i="545" l="1"/>
  <c r="AL9" i="545"/>
  <c r="AI13" i="545"/>
  <c r="AM13" i="545" s="1"/>
  <c r="AI17" i="545"/>
  <c r="AM17" i="545" s="1"/>
  <c r="AL15" i="545"/>
  <c r="AL12" i="545"/>
  <c r="AI11" i="545"/>
  <c r="AM11" i="545" s="1"/>
  <c r="AH147" i="544"/>
  <c r="W147" i="544"/>
  <c r="V147" i="544"/>
  <c r="AK147" i="544" s="1"/>
  <c r="AL147" i="544" s="1"/>
  <c r="U147" i="544"/>
  <c r="AI147" i="544" s="1"/>
  <c r="AJ147" i="544" s="1"/>
  <c r="AH146" i="544"/>
  <c r="W146" i="544"/>
  <c r="V146" i="544"/>
  <c r="AK146" i="544" s="1"/>
  <c r="AL146" i="544" s="1"/>
  <c r="U146" i="544"/>
  <c r="AI146" i="544" s="1"/>
  <c r="AH145" i="544"/>
  <c r="W145" i="544"/>
  <c r="V145" i="544"/>
  <c r="AK145" i="544" s="1"/>
  <c r="AL145" i="544" s="1"/>
  <c r="U145" i="544"/>
  <c r="AI145" i="544" s="1"/>
  <c r="AJ145" i="544" s="1"/>
  <c r="AH144" i="544"/>
  <c r="W144" i="544"/>
  <c r="V144" i="544"/>
  <c r="AK144" i="544" s="1"/>
  <c r="AL144" i="544" s="1"/>
  <c r="U144" i="544"/>
  <c r="AI144" i="544" s="1"/>
  <c r="AH143" i="544"/>
  <c r="W143" i="544"/>
  <c r="V143" i="544"/>
  <c r="AK143" i="544" s="1"/>
  <c r="AL143" i="544" s="1"/>
  <c r="U143" i="544"/>
  <c r="AI143" i="544" s="1"/>
  <c r="AJ143" i="544" s="1"/>
  <c r="AH142" i="544"/>
  <c r="W142" i="544"/>
  <c r="V142" i="544"/>
  <c r="AK142" i="544" s="1"/>
  <c r="AL142" i="544" s="1"/>
  <c r="U142" i="544"/>
  <c r="AI142" i="544" s="1"/>
  <c r="AH141" i="544"/>
  <c r="W141" i="544"/>
  <c r="V141" i="544"/>
  <c r="AK141" i="544" s="1"/>
  <c r="AL141" i="544" s="1"/>
  <c r="U141" i="544"/>
  <c r="AI141" i="544" s="1"/>
  <c r="AJ141" i="544" s="1"/>
  <c r="AH140" i="544"/>
  <c r="W140" i="544"/>
  <c r="V140" i="544"/>
  <c r="AK140" i="544" s="1"/>
  <c r="AL140" i="544" s="1"/>
  <c r="U140" i="544"/>
  <c r="AI140" i="544" s="1"/>
  <c r="AH139" i="544"/>
  <c r="W139" i="544"/>
  <c r="V139" i="544"/>
  <c r="AK139" i="544" s="1"/>
  <c r="AL139" i="544" s="1"/>
  <c r="U139" i="544"/>
  <c r="AI139" i="544" s="1"/>
  <c r="AJ139" i="544" s="1"/>
  <c r="AH138" i="544"/>
  <c r="W138" i="544"/>
  <c r="V138" i="544"/>
  <c r="AK138" i="544" s="1"/>
  <c r="AL138" i="544" s="1"/>
  <c r="U138" i="544"/>
  <c r="AI138" i="544" s="1"/>
  <c r="AH137" i="544"/>
  <c r="W137" i="544"/>
  <c r="V137" i="544"/>
  <c r="AK137" i="544" s="1"/>
  <c r="AL137" i="544" s="1"/>
  <c r="U137" i="544"/>
  <c r="AI137" i="544" s="1"/>
  <c r="AJ137" i="544" s="1"/>
  <c r="AH136" i="544"/>
  <c r="W136" i="544"/>
  <c r="V136" i="544"/>
  <c r="AK136" i="544" s="1"/>
  <c r="AL136" i="544" s="1"/>
  <c r="U136" i="544"/>
  <c r="AI136" i="544" s="1"/>
  <c r="AH135" i="544"/>
  <c r="W135" i="544"/>
  <c r="V135" i="544"/>
  <c r="AK135" i="544" s="1"/>
  <c r="AL135" i="544" s="1"/>
  <c r="U135" i="544"/>
  <c r="AI135" i="544" s="1"/>
  <c r="AJ135" i="544" s="1"/>
  <c r="AH134" i="544"/>
  <c r="W134" i="544"/>
  <c r="V134" i="544"/>
  <c r="AK134" i="544" s="1"/>
  <c r="AL134" i="544" s="1"/>
  <c r="U134" i="544"/>
  <c r="AI134" i="544" s="1"/>
  <c r="AH133" i="544"/>
  <c r="W133" i="544"/>
  <c r="V133" i="544"/>
  <c r="AK133" i="544" s="1"/>
  <c r="AL133" i="544" s="1"/>
  <c r="U133" i="544"/>
  <c r="AI133" i="544" s="1"/>
  <c r="AJ133" i="544" s="1"/>
  <c r="AH132" i="544"/>
  <c r="W132" i="544"/>
  <c r="V132" i="544"/>
  <c r="AK132" i="544" s="1"/>
  <c r="AL132" i="544" s="1"/>
  <c r="U132" i="544"/>
  <c r="AI132" i="544" s="1"/>
  <c r="AH131" i="544"/>
  <c r="W131" i="544"/>
  <c r="V131" i="544"/>
  <c r="AK131" i="544" s="1"/>
  <c r="AL131" i="544" s="1"/>
  <c r="U131" i="544"/>
  <c r="AI131" i="544" s="1"/>
  <c r="AH130" i="544"/>
  <c r="W130" i="544"/>
  <c r="V130" i="544"/>
  <c r="AK130" i="544" s="1"/>
  <c r="AL130" i="544" s="1"/>
  <c r="U130" i="544"/>
  <c r="AI130" i="544" s="1"/>
  <c r="AH129" i="544"/>
  <c r="W129" i="544"/>
  <c r="V129" i="544"/>
  <c r="AK129" i="544" s="1"/>
  <c r="AL129" i="544" s="1"/>
  <c r="U129" i="544"/>
  <c r="AI129" i="544" s="1"/>
  <c r="AH128" i="544"/>
  <c r="W128" i="544"/>
  <c r="V128" i="544"/>
  <c r="AK128" i="544" s="1"/>
  <c r="AL128" i="544" s="1"/>
  <c r="U128" i="544"/>
  <c r="AI128" i="544" s="1"/>
  <c r="AH127" i="544"/>
  <c r="W127" i="544"/>
  <c r="V127" i="544"/>
  <c r="AK127" i="544" s="1"/>
  <c r="AL127" i="544" s="1"/>
  <c r="U127" i="544"/>
  <c r="AI127" i="544" s="1"/>
  <c r="AH126" i="544"/>
  <c r="W126" i="544"/>
  <c r="V126" i="544"/>
  <c r="AK126" i="544" s="1"/>
  <c r="AL126" i="544" s="1"/>
  <c r="U126" i="544"/>
  <c r="AI126" i="544" s="1"/>
  <c r="AH125" i="544"/>
  <c r="W125" i="544"/>
  <c r="V125" i="544"/>
  <c r="AK125" i="544" s="1"/>
  <c r="AL125" i="544" s="1"/>
  <c r="U125" i="544"/>
  <c r="AI125" i="544" s="1"/>
  <c r="AH124" i="544"/>
  <c r="W124" i="544"/>
  <c r="V124" i="544"/>
  <c r="AK124" i="544" s="1"/>
  <c r="AL124" i="544" s="1"/>
  <c r="U124" i="544"/>
  <c r="AI124" i="544" s="1"/>
  <c r="AH123" i="544"/>
  <c r="W123" i="544"/>
  <c r="V123" i="544"/>
  <c r="AK123" i="544" s="1"/>
  <c r="AL123" i="544" s="1"/>
  <c r="U123" i="544"/>
  <c r="AI123" i="544" s="1"/>
  <c r="AH122" i="544"/>
  <c r="W122" i="544"/>
  <c r="V122" i="544"/>
  <c r="AK122" i="544" s="1"/>
  <c r="AL122" i="544" s="1"/>
  <c r="U122" i="544"/>
  <c r="AI122" i="544" s="1"/>
  <c r="AH121" i="544"/>
  <c r="W121" i="544"/>
  <c r="V121" i="544"/>
  <c r="AK121" i="544" s="1"/>
  <c r="AL121" i="544" s="1"/>
  <c r="U121" i="544"/>
  <c r="AI121" i="544" s="1"/>
  <c r="AH120" i="544"/>
  <c r="W120" i="544"/>
  <c r="V120" i="544"/>
  <c r="AK120" i="544" s="1"/>
  <c r="AL120" i="544" s="1"/>
  <c r="U120" i="544"/>
  <c r="AI120" i="544" s="1"/>
  <c r="AH119" i="544"/>
  <c r="W119" i="544"/>
  <c r="V119" i="544"/>
  <c r="AK119" i="544" s="1"/>
  <c r="AL119" i="544" s="1"/>
  <c r="U119" i="544"/>
  <c r="AI119" i="544" s="1"/>
  <c r="AH118" i="544"/>
  <c r="W118" i="544"/>
  <c r="V118" i="544"/>
  <c r="AK118" i="544" s="1"/>
  <c r="AL118" i="544" s="1"/>
  <c r="U118" i="544"/>
  <c r="AI118" i="544" s="1"/>
  <c r="AH117" i="544"/>
  <c r="W117" i="544"/>
  <c r="V117" i="544"/>
  <c r="AK117" i="544" s="1"/>
  <c r="AL117" i="544" s="1"/>
  <c r="U117" i="544"/>
  <c r="AI117" i="544" s="1"/>
  <c r="AH116" i="544"/>
  <c r="W116" i="544"/>
  <c r="V116" i="544"/>
  <c r="AK116" i="544" s="1"/>
  <c r="AL116" i="544" s="1"/>
  <c r="U116" i="544"/>
  <c r="AI116" i="544" s="1"/>
  <c r="AH115" i="544"/>
  <c r="W115" i="544"/>
  <c r="V115" i="544"/>
  <c r="AK115" i="544" s="1"/>
  <c r="AL115" i="544" s="1"/>
  <c r="U115" i="544"/>
  <c r="AI115" i="544" s="1"/>
  <c r="AH114" i="544"/>
  <c r="W114" i="544"/>
  <c r="V114" i="544"/>
  <c r="AK114" i="544" s="1"/>
  <c r="AL114" i="544" s="1"/>
  <c r="U114" i="544"/>
  <c r="AI114" i="544" s="1"/>
  <c r="AH113" i="544"/>
  <c r="W113" i="544"/>
  <c r="V113" i="544"/>
  <c r="AK113" i="544" s="1"/>
  <c r="AL113" i="544" s="1"/>
  <c r="U113" i="544"/>
  <c r="AI113" i="544" s="1"/>
  <c r="AH112" i="544"/>
  <c r="W112" i="544"/>
  <c r="V112" i="544"/>
  <c r="AK112" i="544" s="1"/>
  <c r="AL112" i="544" s="1"/>
  <c r="U112" i="544"/>
  <c r="AI112" i="544" s="1"/>
  <c r="AH111" i="544"/>
  <c r="W111" i="544"/>
  <c r="V111" i="544"/>
  <c r="AK111" i="544" s="1"/>
  <c r="AL111" i="544" s="1"/>
  <c r="U111" i="544"/>
  <c r="AI111" i="544" s="1"/>
  <c r="AH110" i="544"/>
  <c r="W110" i="544"/>
  <c r="V110" i="544"/>
  <c r="AK110" i="544" s="1"/>
  <c r="AL110" i="544" s="1"/>
  <c r="U110" i="544"/>
  <c r="AI110" i="544" s="1"/>
  <c r="AH109" i="544"/>
  <c r="W109" i="544"/>
  <c r="V109" i="544"/>
  <c r="AK109" i="544" s="1"/>
  <c r="AL109" i="544" s="1"/>
  <c r="U109" i="544"/>
  <c r="AI109" i="544" s="1"/>
  <c r="AH108" i="544"/>
  <c r="W108" i="544"/>
  <c r="V108" i="544"/>
  <c r="AK108" i="544" s="1"/>
  <c r="AL108" i="544" s="1"/>
  <c r="U108" i="544"/>
  <c r="AI108" i="544" s="1"/>
  <c r="AH107" i="544"/>
  <c r="W107" i="544"/>
  <c r="V107" i="544"/>
  <c r="AK107" i="544" s="1"/>
  <c r="AL107" i="544" s="1"/>
  <c r="U107" i="544"/>
  <c r="AI107" i="544" s="1"/>
  <c r="AH106" i="544"/>
  <c r="W106" i="544"/>
  <c r="V106" i="544"/>
  <c r="AK106" i="544" s="1"/>
  <c r="AL106" i="544" s="1"/>
  <c r="U106" i="544"/>
  <c r="AI106" i="544" s="1"/>
  <c r="AH105" i="544"/>
  <c r="W105" i="544"/>
  <c r="V105" i="544"/>
  <c r="AK105" i="544" s="1"/>
  <c r="AL105" i="544" s="1"/>
  <c r="U105" i="544"/>
  <c r="AI105" i="544" s="1"/>
  <c r="AH104" i="544"/>
  <c r="W104" i="544"/>
  <c r="V104" i="544"/>
  <c r="AK104" i="544" s="1"/>
  <c r="AL104" i="544" s="1"/>
  <c r="U104" i="544"/>
  <c r="AI104" i="544" s="1"/>
  <c r="AH103" i="544"/>
  <c r="W103" i="544"/>
  <c r="V103" i="544"/>
  <c r="AK103" i="544" s="1"/>
  <c r="AL103" i="544" s="1"/>
  <c r="U103" i="544"/>
  <c r="AI103" i="544" s="1"/>
  <c r="AH102" i="544"/>
  <c r="W102" i="544"/>
  <c r="V102" i="544"/>
  <c r="AK102" i="544" s="1"/>
  <c r="AL102" i="544" s="1"/>
  <c r="U102" i="544"/>
  <c r="AI102" i="544" s="1"/>
  <c r="AH101" i="544"/>
  <c r="W101" i="544"/>
  <c r="V101" i="544"/>
  <c r="AK101" i="544" s="1"/>
  <c r="AL101" i="544" s="1"/>
  <c r="U101" i="544"/>
  <c r="AI101" i="544" s="1"/>
  <c r="AH100" i="544"/>
  <c r="W100" i="544"/>
  <c r="V100" i="544"/>
  <c r="AK100" i="544" s="1"/>
  <c r="AL100" i="544" s="1"/>
  <c r="U100" i="544"/>
  <c r="AI100" i="544" s="1"/>
  <c r="AH99" i="544"/>
  <c r="W99" i="544"/>
  <c r="V99" i="544"/>
  <c r="AK99" i="544" s="1"/>
  <c r="AL99" i="544" s="1"/>
  <c r="U99" i="544"/>
  <c r="AI99" i="544" s="1"/>
  <c r="AH98" i="544"/>
  <c r="W98" i="544"/>
  <c r="V98" i="544"/>
  <c r="AK98" i="544" s="1"/>
  <c r="AL98" i="544" s="1"/>
  <c r="U98" i="544"/>
  <c r="AI98" i="544" s="1"/>
  <c r="AH97" i="544"/>
  <c r="W97" i="544"/>
  <c r="V97" i="544"/>
  <c r="AK97" i="544" s="1"/>
  <c r="AL97" i="544" s="1"/>
  <c r="U97" i="544"/>
  <c r="AI97" i="544" s="1"/>
  <c r="AH96" i="544"/>
  <c r="W96" i="544"/>
  <c r="V96" i="544"/>
  <c r="AK96" i="544" s="1"/>
  <c r="AL96" i="544" s="1"/>
  <c r="U96" i="544"/>
  <c r="AI96" i="544" s="1"/>
  <c r="AH95" i="544"/>
  <c r="W95" i="544"/>
  <c r="V95" i="544"/>
  <c r="AK95" i="544" s="1"/>
  <c r="AL95" i="544" s="1"/>
  <c r="U95" i="544"/>
  <c r="AI95" i="544" s="1"/>
  <c r="AH94" i="544"/>
  <c r="W94" i="544"/>
  <c r="V94" i="544"/>
  <c r="AK94" i="544" s="1"/>
  <c r="AL94" i="544" s="1"/>
  <c r="U94" i="544"/>
  <c r="AI94" i="544" s="1"/>
  <c r="AH93" i="544"/>
  <c r="W93" i="544"/>
  <c r="V93" i="544"/>
  <c r="AK93" i="544" s="1"/>
  <c r="AL93" i="544" s="1"/>
  <c r="U93" i="544"/>
  <c r="AI93" i="544" s="1"/>
  <c r="AH92" i="544"/>
  <c r="W92" i="544"/>
  <c r="V92" i="544"/>
  <c r="AK92" i="544" s="1"/>
  <c r="AL92" i="544" s="1"/>
  <c r="U92" i="544"/>
  <c r="AI92" i="544" s="1"/>
  <c r="AH91" i="544"/>
  <c r="W91" i="544"/>
  <c r="V91" i="544"/>
  <c r="AK91" i="544" s="1"/>
  <c r="AL91" i="544" s="1"/>
  <c r="U91" i="544"/>
  <c r="AI91" i="544" s="1"/>
  <c r="AH90" i="544"/>
  <c r="W90" i="544"/>
  <c r="V90" i="544"/>
  <c r="AK90" i="544" s="1"/>
  <c r="AL90" i="544" s="1"/>
  <c r="U90" i="544"/>
  <c r="AI90" i="544" s="1"/>
  <c r="AH89" i="544"/>
  <c r="W89" i="544"/>
  <c r="V89" i="544"/>
  <c r="AK89" i="544" s="1"/>
  <c r="AL89" i="544" s="1"/>
  <c r="U89" i="544"/>
  <c r="AI89" i="544" s="1"/>
  <c r="AH88" i="544"/>
  <c r="W88" i="544"/>
  <c r="V88" i="544"/>
  <c r="AK88" i="544" s="1"/>
  <c r="AL88" i="544" s="1"/>
  <c r="U88" i="544"/>
  <c r="AI88" i="544" s="1"/>
  <c r="AH87" i="544"/>
  <c r="W87" i="544"/>
  <c r="V87" i="544"/>
  <c r="AK87" i="544" s="1"/>
  <c r="AL87" i="544" s="1"/>
  <c r="U87" i="544"/>
  <c r="AI87" i="544" s="1"/>
  <c r="AH86" i="544"/>
  <c r="W86" i="544"/>
  <c r="V86" i="544"/>
  <c r="AK86" i="544" s="1"/>
  <c r="AL86" i="544" s="1"/>
  <c r="U86" i="544"/>
  <c r="AI86" i="544" s="1"/>
  <c r="AH85" i="544"/>
  <c r="W85" i="544"/>
  <c r="V85" i="544"/>
  <c r="AK85" i="544" s="1"/>
  <c r="AL85" i="544" s="1"/>
  <c r="U85" i="544"/>
  <c r="AI85" i="544" s="1"/>
  <c r="AH84" i="544"/>
  <c r="W84" i="544"/>
  <c r="V84" i="544"/>
  <c r="AK84" i="544" s="1"/>
  <c r="AL84" i="544" s="1"/>
  <c r="U84" i="544"/>
  <c r="AI84" i="544" s="1"/>
  <c r="AH83" i="544"/>
  <c r="W83" i="544"/>
  <c r="V83" i="544"/>
  <c r="AK83" i="544" s="1"/>
  <c r="AL83" i="544" s="1"/>
  <c r="U83" i="544"/>
  <c r="AI83" i="544" s="1"/>
  <c r="AH82" i="544"/>
  <c r="W82" i="544"/>
  <c r="V82" i="544"/>
  <c r="AK82" i="544" s="1"/>
  <c r="AL82" i="544" s="1"/>
  <c r="U82" i="544"/>
  <c r="AI82" i="544" s="1"/>
  <c r="AH81" i="544"/>
  <c r="W81" i="544"/>
  <c r="V81" i="544"/>
  <c r="AK81" i="544" s="1"/>
  <c r="AL81" i="544" s="1"/>
  <c r="U81" i="544"/>
  <c r="AI81" i="544" s="1"/>
  <c r="AH80" i="544"/>
  <c r="W80" i="544"/>
  <c r="V80" i="544"/>
  <c r="AK80" i="544" s="1"/>
  <c r="AL80" i="544" s="1"/>
  <c r="U80" i="544"/>
  <c r="AI80" i="544" s="1"/>
  <c r="AH79" i="544"/>
  <c r="W79" i="544"/>
  <c r="V79" i="544"/>
  <c r="AK79" i="544" s="1"/>
  <c r="AL79" i="544" s="1"/>
  <c r="U79" i="544"/>
  <c r="AI79" i="544" s="1"/>
  <c r="AH78" i="544"/>
  <c r="W78" i="544"/>
  <c r="V78" i="544"/>
  <c r="AK78" i="544" s="1"/>
  <c r="AL78" i="544" s="1"/>
  <c r="U78" i="544"/>
  <c r="AI78" i="544" s="1"/>
  <c r="AH77" i="544"/>
  <c r="W77" i="544"/>
  <c r="V77" i="544"/>
  <c r="AK77" i="544" s="1"/>
  <c r="AL77" i="544" s="1"/>
  <c r="U77" i="544"/>
  <c r="AI77" i="544" s="1"/>
  <c r="AH76" i="544"/>
  <c r="W76" i="544"/>
  <c r="V76" i="544"/>
  <c r="AK76" i="544" s="1"/>
  <c r="AL76" i="544" s="1"/>
  <c r="U76" i="544"/>
  <c r="AI76" i="544" s="1"/>
  <c r="AH75" i="544"/>
  <c r="W75" i="544"/>
  <c r="V75" i="544"/>
  <c r="AK75" i="544" s="1"/>
  <c r="AL75" i="544" s="1"/>
  <c r="U75" i="544"/>
  <c r="AI75" i="544" s="1"/>
  <c r="AH74" i="544"/>
  <c r="W74" i="544"/>
  <c r="V74" i="544"/>
  <c r="AK74" i="544" s="1"/>
  <c r="AL74" i="544" s="1"/>
  <c r="U74" i="544"/>
  <c r="AI74" i="544" s="1"/>
  <c r="AH73" i="544"/>
  <c r="W73" i="544"/>
  <c r="V73" i="544"/>
  <c r="AK73" i="544" s="1"/>
  <c r="AL73" i="544" s="1"/>
  <c r="U73" i="544"/>
  <c r="AI73" i="544" s="1"/>
  <c r="AH72" i="544"/>
  <c r="W72" i="544"/>
  <c r="V72" i="544"/>
  <c r="AK72" i="544" s="1"/>
  <c r="AL72" i="544" s="1"/>
  <c r="U72" i="544"/>
  <c r="AI72" i="544" s="1"/>
  <c r="AH71" i="544"/>
  <c r="W71" i="544"/>
  <c r="V71" i="544"/>
  <c r="AK71" i="544" s="1"/>
  <c r="AL71" i="544" s="1"/>
  <c r="U71" i="544"/>
  <c r="AI71" i="544" s="1"/>
  <c r="AH70" i="544"/>
  <c r="W70" i="544"/>
  <c r="V70" i="544"/>
  <c r="AK70" i="544" s="1"/>
  <c r="AL70" i="544" s="1"/>
  <c r="U70" i="544"/>
  <c r="AI70" i="544" s="1"/>
  <c r="AH69" i="544"/>
  <c r="W69" i="544"/>
  <c r="V69" i="544"/>
  <c r="AK69" i="544" s="1"/>
  <c r="AL69" i="544" s="1"/>
  <c r="U69" i="544"/>
  <c r="AI69" i="544" s="1"/>
  <c r="AH68" i="544"/>
  <c r="W68" i="544"/>
  <c r="V68" i="544"/>
  <c r="AK68" i="544" s="1"/>
  <c r="AL68" i="544" s="1"/>
  <c r="U68" i="544"/>
  <c r="AI68" i="544" s="1"/>
  <c r="AH67" i="544"/>
  <c r="W67" i="544"/>
  <c r="V67" i="544"/>
  <c r="AK67" i="544" s="1"/>
  <c r="AL67" i="544" s="1"/>
  <c r="U67" i="544"/>
  <c r="AI67" i="544" s="1"/>
  <c r="AH66" i="544"/>
  <c r="W66" i="544"/>
  <c r="V66" i="544"/>
  <c r="AK66" i="544" s="1"/>
  <c r="AL66" i="544" s="1"/>
  <c r="U66" i="544"/>
  <c r="AI66" i="544" s="1"/>
  <c r="AH65" i="544"/>
  <c r="W65" i="544"/>
  <c r="V65" i="544"/>
  <c r="AK65" i="544" s="1"/>
  <c r="AL65" i="544" s="1"/>
  <c r="U65" i="544"/>
  <c r="AI65" i="544" s="1"/>
  <c r="AH64" i="544"/>
  <c r="W64" i="544"/>
  <c r="V64" i="544"/>
  <c r="AK64" i="544" s="1"/>
  <c r="AL64" i="544" s="1"/>
  <c r="U64" i="544"/>
  <c r="AI64" i="544" s="1"/>
  <c r="AH63" i="544"/>
  <c r="W63" i="544"/>
  <c r="V63" i="544"/>
  <c r="AK63" i="544" s="1"/>
  <c r="AL63" i="544" s="1"/>
  <c r="U63" i="544"/>
  <c r="AI63" i="544" s="1"/>
  <c r="AH62" i="544"/>
  <c r="W62" i="544"/>
  <c r="V62" i="544"/>
  <c r="AK62" i="544" s="1"/>
  <c r="AL62" i="544" s="1"/>
  <c r="U62" i="544"/>
  <c r="AI62" i="544" s="1"/>
  <c r="AH61" i="544"/>
  <c r="W61" i="544"/>
  <c r="V61" i="544"/>
  <c r="AK61" i="544" s="1"/>
  <c r="AL61" i="544" s="1"/>
  <c r="U61" i="544"/>
  <c r="AI61" i="544" s="1"/>
  <c r="AH60" i="544"/>
  <c r="W60" i="544"/>
  <c r="V60" i="544"/>
  <c r="AK60" i="544" s="1"/>
  <c r="AL60" i="544" s="1"/>
  <c r="U60" i="544"/>
  <c r="AI60" i="544" s="1"/>
  <c r="AH59" i="544"/>
  <c r="W59" i="544"/>
  <c r="V59" i="544"/>
  <c r="AK59" i="544" s="1"/>
  <c r="AL59" i="544" s="1"/>
  <c r="U59" i="544"/>
  <c r="AI59" i="544" s="1"/>
  <c r="AH58" i="544"/>
  <c r="W58" i="544"/>
  <c r="V58" i="544"/>
  <c r="AK58" i="544" s="1"/>
  <c r="AL58" i="544" s="1"/>
  <c r="U58" i="544"/>
  <c r="AI58" i="544" s="1"/>
  <c r="AH57" i="544"/>
  <c r="W57" i="544"/>
  <c r="V57" i="544"/>
  <c r="AK57" i="544" s="1"/>
  <c r="AL57" i="544" s="1"/>
  <c r="U57" i="544"/>
  <c r="AI57" i="544" s="1"/>
  <c r="AH56" i="544"/>
  <c r="W56" i="544"/>
  <c r="V56" i="544"/>
  <c r="AK56" i="544" s="1"/>
  <c r="AL56" i="544" s="1"/>
  <c r="U56" i="544"/>
  <c r="AI56" i="544" s="1"/>
  <c r="AH55" i="544"/>
  <c r="W55" i="544"/>
  <c r="V55" i="544"/>
  <c r="AK55" i="544" s="1"/>
  <c r="AL55" i="544" s="1"/>
  <c r="U55" i="544"/>
  <c r="AI55" i="544" s="1"/>
  <c r="AH54" i="544"/>
  <c r="W54" i="544"/>
  <c r="V54" i="544"/>
  <c r="AK54" i="544" s="1"/>
  <c r="AL54" i="544" s="1"/>
  <c r="U54" i="544"/>
  <c r="AI54" i="544" s="1"/>
  <c r="AH53" i="544"/>
  <c r="W53" i="544"/>
  <c r="V53" i="544"/>
  <c r="AK53" i="544" s="1"/>
  <c r="AL53" i="544" s="1"/>
  <c r="U53" i="544"/>
  <c r="AI53" i="544" s="1"/>
  <c r="AH52" i="544"/>
  <c r="W52" i="544"/>
  <c r="V52" i="544"/>
  <c r="AK52" i="544" s="1"/>
  <c r="AL52" i="544" s="1"/>
  <c r="U52" i="544"/>
  <c r="AI52" i="544" s="1"/>
  <c r="AH51" i="544"/>
  <c r="W51" i="544"/>
  <c r="V51" i="544"/>
  <c r="AK51" i="544" s="1"/>
  <c r="AL51" i="544" s="1"/>
  <c r="U51" i="544"/>
  <c r="AI51" i="544" s="1"/>
  <c r="AH50" i="544"/>
  <c r="W50" i="544"/>
  <c r="V50" i="544"/>
  <c r="AK50" i="544" s="1"/>
  <c r="AL50" i="544" s="1"/>
  <c r="U50" i="544"/>
  <c r="AI50" i="544" s="1"/>
  <c r="AH49" i="544"/>
  <c r="W49" i="544"/>
  <c r="V49" i="544"/>
  <c r="AK49" i="544" s="1"/>
  <c r="AL49" i="544" s="1"/>
  <c r="U49" i="544"/>
  <c r="AI49" i="544" s="1"/>
  <c r="AH48" i="544"/>
  <c r="W48" i="544"/>
  <c r="V48" i="544"/>
  <c r="AK48" i="544" s="1"/>
  <c r="AL48" i="544" s="1"/>
  <c r="U48" i="544"/>
  <c r="AI48" i="544" s="1"/>
  <c r="AH47" i="544"/>
  <c r="W47" i="544"/>
  <c r="V47" i="544"/>
  <c r="AK47" i="544" s="1"/>
  <c r="AL47" i="544" s="1"/>
  <c r="U47" i="544"/>
  <c r="AI47" i="544" s="1"/>
  <c r="AH46" i="544"/>
  <c r="W46" i="544"/>
  <c r="V46" i="544"/>
  <c r="AK46" i="544" s="1"/>
  <c r="AL46" i="544" s="1"/>
  <c r="U46" i="544"/>
  <c r="AI46" i="544" s="1"/>
  <c r="AH45" i="544"/>
  <c r="W45" i="544"/>
  <c r="V45" i="544"/>
  <c r="AK45" i="544" s="1"/>
  <c r="AL45" i="544" s="1"/>
  <c r="U45" i="544"/>
  <c r="AI45" i="544" s="1"/>
  <c r="AH44" i="544"/>
  <c r="W44" i="544"/>
  <c r="V44" i="544"/>
  <c r="AK44" i="544" s="1"/>
  <c r="AL44" i="544" s="1"/>
  <c r="U44" i="544"/>
  <c r="AI44" i="544" s="1"/>
  <c r="AH43" i="544"/>
  <c r="W43" i="544"/>
  <c r="V43" i="544"/>
  <c r="AK43" i="544" s="1"/>
  <c r="AL43" i="544" s="1"/>
  <c r="U43" i="544"/>
  <c r="AI43" i="544" s="1"/>
  <c r="AH42" i="544"/>
  <c r="W42" i="544"/>
  <c r="V42" i="544"/>
  <c r="AK42" i="544" s="1"/>
  <c r="AL42" i="544" s="1"/>
  <c r="U42" i="544"/>
  <c r="AI42" i="544" s="1"/>
  <c r="AH41" i="544"/>
  <c r="W41" i="544"/>
  <c r="V41" i="544"/>
  <c r="AK41" i="544" s="1"/>
  <c r="AL41" i="544" s="1"/>
  <c r="U41" i="544"/>
  <c r="AI41" i="544" s="1"/>
  <c r="AH40" i="544"/>
  <c r="W40" i="544"/>
  <c r="V40" i="544"/>
  <c r="AK40" i="544" s="1"/>
  <c r="AL40" i="544" s="1"/>
  <c r="U40" i="544"/>
  <c r="AI40" i="544" s="1"/>
  <c r="AH39" i="544"/>
  <c r="W39" i="544"/>
  <c r="V39" i="544"/>
  <c r="AK39" i="544" s="1"/>
  <c r="AL39" i="544" s="1"/>
  <c r="U39" i="544"/>
  <c r="AI39" i="544" s="1"/>
  <c r="AH38" i="544"/>
  <c r="W38" i="544"/>
  <c r="V38" i="544"/>
  <c r="AK38" i="544" s="1"/>
  <c r="AL38" i="544" s="1"/>
  <c r="U38" i="544"/>
  <c r="AI38" i="544" s="1"/>
  <c r="AH37" i="544"/>
  <c r="W37" i="544"/>
  <c r="V37" i="544"/>
  <c r="AK37" i="544" s="1"/>
  <c r="AL37" i="544" s="1"/>
  <c r="U37" i="544"/>
  <c r="AI37" i="544" s="1"/>
  <c r="AH36" i="544"/>
  <c r="W36" i="544"/>
  <c r="V36" i="544"/>
  <c r="AK36" i="544" s="1"/>
  <c r="AL36" i="544" s="1"/>
  <c r="U36" i="544"/>
  <c r="AI36" i="544" s="1"/>
  <c r="AH35" i="544"/>
  <c r="W35" i="544"/>
  <c r="V35" i="544"/>
  <c r="AK35" i="544" s="1"/>
  <c r="AL35" i="544" s="1"/>
  <c r="U35" i="544"/>
  <c r="AI35" i="544" s="1"/>
  <c r="AH34" i="544"/>
  <c r="W34" i="544"/>
  <c r="V34" i="544"/>
  <c r="AK34" i="544" s="1"/>
  <c r="AL34" i="544" s="1"/>
  <c r="U34" i="544"/>
  <c r="AI34" i="544" s="1"/>
  <c r="AH33" i="544"/>
  <c r="W33" i="544"/>
  <c r="V33" i="544"/>
  <c r="AK33" i="544" s="1"/>
  <c r="AL33" i="544" s="1"/>
  <c r="U33" i="544"/>
  <c r="AI33" i="544" s="1"/>
  <c r="AH32" i="544"/>
  <c r="W32" i="544"/>
  <c r="V32" i="544"/>
  <c r="AK32" i="544" s="1"/>
  <c r="AL32" i="544" s="1"/>
  <c r="U32" i="544"/>
  <c r="AI32" i="544" s="1"/>
  <c r="AH31" i="544"/>
  <c r="W31" i="544"/>
  <c r="V31" i="544"/>
  <c r="AK31" i="544" s="1"/>
  <c r="AL31" i="544" s="1"/>
  <c r="U31" i="544"/>
  <c r="AI31" i="544" s="1"/>
  <c r="AH30" i="544"/>
  <c r="W30" i="544"/>
  <c r="V30" i="544"/>
  <c r="AK30" i="544" s="1"/>
  <c r="AL30" i="544" s="1"/>
  <c r="U30" i="544"/>
  <c r="AI30" i="544" s="1"/>
  <c r="AH29" i="544"/>
  <c r="W29" i="544"/>
  <c r="V29" i="544"/>
  <c r="AK29" i="544" s="1"/>
  <c r="AL29" i="544" s="1"/>
  <c r="U29" i="544"/>
  <c r="AI29" i="544" s="1"/>
  <c r="AH28" i="544"/>
  <c r="W28" i="544"/>
  <c r="V28" i="544"/>
  <c r="AK28" i="544" s="1"/>
  <c r="AL28" i="544" s="1"/>
  <c r="U28" i="544"/>
  <c r="AI28" i="544" s="1"/>
  <c r="AH27" i="544"/>
  <c r="W27" i="544"/>
  <c r="V27" i="544"/>
  <c r="AK27" i="544" s="1"/>
  <c r="AL27" i="544" s="1"/>
  <c r="U27" i="544"/>
  <c r="AI27" i="544" s="1"/>
  <c r="AH26" i="544"/>
  <c r="W26" i="544"/>
  <c r="V26" i="544"/>
  <c r="AK26" i="544" s="1"/>
  <c r="AL26" i="544" s="1"/>
  <c r="U26" i="544"/>
  <c r="AI26" i="544" s="1"/>
  <c r="AH25" i="544"/>
  <c r="W25" i="544"/>
  <c r="V25" i="544"/>
  <c r="AK25" i="544" s="1"/>
  <c r="AL25" i="544" s="1"/>
  <c r="U25" i="544"/>
  <c r="AI25" i="544" s="1"/>
  <c r="AH24" i="544"/>
  <c r="W24" i="544"/>
  <c r="V24" i="544"/>
  <c r="AK24" i="544" s="1"/>
  <c r="AL24" i="544" s="1"/>
  <c r="U24" i="544"/>
  <c r="AI24" i="544" s="1"/>
  <c r="AH23" i="544"/>
  <c r="W23" i="544"/>
  <c r="V23" i="544"/>
  <c r="AK23" i="544" s="1"/>
  <c r="AL23" i="544" s="1"/>
  <c r="U23" i="544"/>
  <c r="AI23" i="544" s="1"/>
  <c r="AH22" i="544"/>
  <c r="W22" i="544"/>
  <c r="V22" i="544"/>
  <c r="AK22" i="544" s="1"/>
  <c r="AL22" i="544" s="1"/>
  <c r="U22" i="544"/>
  <c r="AI22" i="544" s="1"/>
  <c r="AH21" i="544"/>
  <c r="W21" i="544"/>
  <c r="V21" i="544"/>
  <c r="AK21" i="544" s="1"/>
  <c r="AL21" i="544" s="1"/>
  <c r="U21" i="544"/>
  <c r="AI21" i="544" s="1"/>
  <c r="AH20" i="544"/>
  <c r="W20" i="544"/>
  <c r="V20" i="544"/>
  <c r="AK20" i="544" s="1"/>
  <c r="AL20" i="544" s="1"/>
  <c r="U20" i="544"/>
  <c r="AI20" i="544" s="1"/>
  <c r="AH19" i="544"/>
  <c r="V19" i="544"/>
  <c r="AK19" i="544" s="1"/>
  <c r="U19" i="544"/>
  <c r="AI19" i="544" s="1"/>
  <c r="AH17" i="544"/>
  <c r="W17" i="544"/>
  <c r="V17" i="544"/>
  <c r="U17" i="544"/>
  <c r="AH16" i="544"/>
  <c r="V16" i="544"/>
  <c r="AK16" i="544" s="1"/>
  <c r="U16" i="544"/>
  <c r="AI16" i="544" s="1"/>
  <c r="AH15" i="544"/>
  <c r="V15" i="544"/>
  <c r="AK15" i="544" s="1"/>
  <c r="U15" i="544"/>
  <c r="AI15" i="544" s="1"/>
  <c r="AH14" i="544"/>
  <c r="V14" i="544"/>
  <c r="AK14" i="544" s="1"/>
  <c r="U14" i="544"/>
  <c r="AI14" i="544" s="1"/>
  <c r="AH13" i="544"/>
  <c r="V13" i="544"/>
  <c r="AK13" i="544" s="1"/>
  <c r="U13" i="544"/>
  <c r="AI13" i="544" s="1"/>
  <c r="AH12" i="544"/>
  <c r="W12" i="544"/>
  <c r="V12" i="544"/>
  <c r="U12" i="544"/>
  <c r="AH10" i="544"/>
  <c r="V10" i="544"/>
  <c r="AK10" i="544" s="1"/>
  <c r="U10" i="544"/>
  <c r="AI10" i="544" s="1"/>
  <c r="AH9" i="544"/>
  <c r="W9" i="544"/>
  <c r="V9" i="544"/>
  <c r="U9" i="544"/>
  <c r="P4" i="544"/>
  <c r="J4" i="544"/>
  <c r="H4" i="544"/>
  <c r="AS2" i="544"/>
  <c r="H2" i="544"/>
  <c r="AI9" i="544" l="1"/>
  <c r="AK12" i="544"/>
  <c r="AL12" i="544" s="1"/>
  <c r="AK17" i="544"/>
  <c r="AL17" i="544" s="1"/>
  <c r="AI12" i="544"/>
  <c r="AI17" i="544"/>
  <c r="AK9" i="544"/>
  <c r="AL9" i="544" s="1"/>
  <c r="AM19" i="544"/>
  <c r="AM10" i="544"/>
  <c r="AM13" i="544"/>
  <c r="AM14" i="544"/>
  <c r="AM15" i="544"/>
  <c r="AM16" i="544"/>
  <c r="AN145" i="544"/>
  <c r="AN133" i="544"/>
  <c r="AM123" i="544"/>
  <c r="AJ123" i="544"/>
  <c r="AN123" i="544" s="1"/>
  <c r="AM129" i="544"/>
  <c r="AJ129" i="544"/>
  <c r="AN129" i="544" s="1"/>
  <c r="AM146" i="544"/>
  <c r="AJ146" i="544"/>
  <c r="AN146" i="544" s="1"/>
  <c r="AN135" i="544"/>
  <c r="AN137" i="544"/>
  <c r="AN147" i="544"/>
  <c r="AM127" i="544"/>
  <c r="AJ127" i="544"/>
  <c r="AN127" i="544" s="1"/>
  <c r="AN139" i="544"/>
  <c r="AM125" i="544"/>
  <c r="AJ125" i="544"/>
  <c r="AN125" i="544" s="1"/>
  <c r="AM131" i="544"/>
  <c r="AJ131" i="544"/>
  <c r="AN131" i="544" s="1"/>
  <c r="AN141" i="544"/>
  <c r="AN143" i="544"/>
  <c r="AM144" i="544"/>
  <c r="AJ144" i="544"/>
  <c r="AN144" i="544" s="1"/>
  <c r="AJ23" i="544"/>
  <c r="AN23" i="544" s="1"/>
  <c r="AM23" i="544"/>
  <c r="AJ27" i="544"/>
  <c r="AN27" i="544" s="1"/>
  <c r="AM27" i="544"/>
  <c r="AJ39" i="544"/>
  <c r="AN39" i="544" s="1"/>
  <c r="AM39" i="544"/>
  <c r="AJ47" i="544"/>
  <c r="AN47" i="544" s="1"/>
  <c r="AM47" i="544"/>
  <c r="AJ55" i="544"/>
  <c r="AN55" i="544" s="1"/>
  <c r="AM55" i="544"/>
  <c r="AJ59" i="544"/>
  <c r="AN59" i="544" s="1"/>
  <c r="AM59" i="544"/>
  <c r="AJ63" i="544"/>
  <c r="AN63" i="544" s="1"/>
  <c r="AM63" i="544"/>
  <c r="AJ66" i="544"/>
  <c r="AN66" i="544" s="1"/>
  <c r="AM66" i="544"/>
  <c r="AJ71" i="544"/>
  <c r="AN71" i="544" s="1"/>
  <c r="AM71" i="544"/>
  <c r="AJ20" i="544"/>
  <c r="AN20" i="544" s="1"/>
  <c r="AM20" i="544"/>
  <c r="AJ24" i="544"/>
  <c r="AN24" i="544" s="1"/>
  <c r="AM24" i="544"/>
  <c r="AJ28" i="544"/>
  <c r="AN28" i="544" s="1"/>
  <c r="AM28" i="544"/>
  <c r="AJ32" i="544"/>
  <c r="AN32" i="544" s="1"/>
  <c r="AM32" i="544"/>
  <c r="AJ36" i="544"/>
  <c r="AN36" i="544" s="1"/>
  <c r="AM36" i="544"/>
  <c r="AJ40" i="544"/>
  <c r="AN40" i="544" s="1"/>
  <c r="AM40" i="544"/>
  <c r="AJ44" i="544"/>
  <c r="AN44" i="544" s="1"/>
  <c r="AM44" i="544"/>
  <c r="AJ48" i="544"/>
  <c r="AN48" i="544" s="1"/>
  <c r="AM48" i="544"/>
  <c r="AJ52" i="544"/>
  <c r="AN52" i="544" s="1"/>
  <c r="AM52" i="544"/>
  <c r="AM75" i="544"/>
  <c r="AJ75" i="544"/>
  <c r="AN75" i="544" s="1"/>
  <c r="AJ80" i="544"/>
  <c r="AN80" i="544" s="1"/>
  <c r="AM80" i="544"/>
  <c r="AJ84" i="544"/>
  <c r="AN84" i="544" s="1"/>
  <c r="AM84" i="544"/>
  <c r="AJ88" i="544"/>
  <c r="AN88" i="544" s="1"/>
  <c r="AM88" i="544"/>
  <c r="AJ92" i="544"/>
  <c r="AN92" i="544" s="1"/>
  <c r="AM92" i="544"/>
  <c r="AJ96" i="544"/>
  <c r="AN96" i="544" s="1"/>
  <c r="AM96" i="544"/>
  <c r="AJ100" i="544"/>
  <c r="AN100" i="544" s="1"/>
  <c r="AM100" i="544"/>
  <c r="AJ104" i="544"/>
  <c r="AN104" i="544" s="1"/>
  <c r="AM104" i="544"/>
  <c r="AJ108" i="544"/>
  <c r="AN108" i="544" s="1"/>
  <c r="AM108" i="544"/>
  <c r="AJ112" i="544"/>
  <c r="AN112" i="544" s="1"/>
  <c r="AM112" i="544"/>
  <c r="AJ21" i="544"/>
  <c r="AN21" i="544" s="1"/>
  <c r="AM21" i="544"/>
  <c r="AJ25" i="544"/>
  <c r="AN25" i="544" s="1"/>
  <c r="AM25" i="544"/>
  <c r="AJ29" i="544"/>
  <c r="AN29" i="544" s="1"/>
  <c r="AM29" i="544"/>
  <c r="AJ33" i="544"/>
  <c r="AN33" i="544" s="1"/>
  <c r="AM33" i="544"/>
  <c r="AJ37" i="544"/>
  <c r="AN37" i="544" s="1"/>
  <c r="AM37" i="544"/>
  <c r="AJ41" i="544"/>
  <c r="AN41" i="544" s="1"/>
  <c r="AM41" i="544"/>
  <c r="AJ45" i="544"/>
  <c r="AN45" i="544" s="1"/>
  <c r="AM45" i="544"/>
  <c r="AJ49" i="544"/>
  <c r="AN49" i="544" s="1"/>
  <c r="AM49" i="544"/>
  <c r="AJ53" i="544"/>
  <c r="AN53" i="544" s="1"/>
  <c r="AM53" i="544"/>
  <c r="AJ56" i="544"/>
  <c r="AN56" i="544" s="1"/>
  <c r="AM56" i="544"/>
  <c r="AJ57" i="544"/>
  <c r="AN57" i="544" s="1"/>
  <c r="AM57" i="544"/>
  <c r="AJ60" i="544"/>
  <c r="AN60" i="544" s="1"/>
  <c r="AM60" i="544"/>
  <c r="AJ61" i="544"/>
  <c r="AN61" i="544" s="1"/>
  <c r="AM61" i="544"/>
  <c r="AJ64" i="544"/>
  <c r="AN64" i="544" s="1"/>
  <c r="AM64" i="544"/>
  <c r="AJ65" i="544"/>
  <c r="AN65" i="544" s="1"/>
  <c r="AM65" i="544"/>
  <c r="AJ68" i="544"/>
  <c r="AN68" i="544" s="1"/>
  <c r="AM68" i="544"/>
  <c r="AJ73" i="544"/>
  <c r="AN73" i="544" s="1"/>
  <c r="AM73" i="544"/>
  <c r="AJ76" i="544"/>
  <c r="AN76" i="544" s="1"/>
  <c r="AM76" i="544"/>
  <c r="AJ81" i="544"/>
  <c r="AN81" i="544" s="1"/>
  <c r="AM81" i="544"/>
  <c r="AJ85" i="544"/>
  <c r="AN85" i="544" s="1"/>
  <c r="AM85" i="544"/>
  <c r="AJ89" i="544"/>
  <c r="AN89" i="544" s="1"/>
  <c r="AM89" i="544"/>
  <c r="AJ93" i="544"/>
  <c r="AN93" i="544" s="1"/>
  <c r="AM93" i="544"/>
  <c r="AJ97" i="544"/>
  <c r="AN97" i="544" s="1"/>
  <c r="AM97" i="544"/>
  <c r="AJ12" i="544"/>
  <c r="AN12" i="544" s="1"/>
  <c r="AM12" i="544"/>
  <c r="AJ22" i="544"/>
  <c r="AN22" i="544" s="1"/>
  <c r="AM22" i="544"/>
  <c r="AJ26" i="544"/>
  <c r="AN26" i="544" s="1"/>
  <c r="AM26" i="544"/>
  <c r="AJ30" i="544"/>
  <c r="AN30" i="544" s="1"/>
  <c r="AM30" i="544"/>
  <c r="AJ34" i="544"/>
  <c r="AN34" i="544" s="1"/>
  <c r="AM34" i="544"/>
  <c r="AJ38" i="544"/>
  <c r="AN38" i="544" s="1"/>
  <c r="AM38" i="544"/>
  <c r="AJ42" i="544"/>
  <c r="AN42" i="544" s="1"/>
  <c r="AM42" i="544"/>
  <c r="AJ46" i="544"/>
  <c r="AN46" i="544" s="1"/>
  <c r="AM46" i="544"/>
  <c r="AJ50" i="544"/>
  <c r="AN50" i="544" s="1"/>
  <c r="AM50" i="544"/>
  <c r="AJ54" i="544"/>
  <c r="AN54" i="544" s="1"/>
  <c r="AM54" i="544"/>
  <c r="AM69" i="544"/>
  <c r="AJ69" i="544"/>
  <c r="AN69" i="544" s="1"/>
  <c r="AJ70" i="544"/>
  <c r="AN70" i="544" s="1"/>
  <c r="AM70" i="544"/>
  <c r="AJ74" i="544"/>
  <c r="AN74" i="544" s="1"/>
  <c r="AM74" i="544"/>
  <c r="AM77" i="544"/>
  <c r="AJ77" i="544"/>
  <c r="AN77" i="544" s="1"/>
  <c r="AJ78" i="544"/>
  <c r="AN78" i="544" s="1"/>
  <c r="AM78" i="544"/>
  <c r="AJ82" i="544"/>
  <c r="AN82" i="544" s="1"/>
  <c r="AM82" i="544"/>
  <c r="AJ86" i="544"/>
  <c r="AN86" i="544" s="1"/>
  <c r="AM86" i="544"/>
  <c r="AJ90" i="544"/>
  <c r="AN90" i="544" s="1"/>
  <c r="AM90" i="544"/>
  <c r="AJ94" i="544"/>
  <c r="AN94" i="544" s="1"/>
  <c r="AM94" i="544"/>
  <c r="AJ98" i="544"/>
  <c r="AN98" i="544" s="1"/>
  <c r="AM98" i="544"/>
  <c r="AJ102" i="544"/>
  <c r="AN102" i="544" s="1"/>
  <c r="AM102" i="544"/>
  <c r="AJ106" i="544"/>
  <c r="AN106" i="544" s="1"/>
  <c r="AM106" i="544"/>
  <c r="AJ110" i="544"/>
  <c r="AN110" i="544" s="1"/>
  <c r="AM110" i="544"/>
  <c r="AJ114" i="544"/>
  <c r="AN114" i="544" s="1"/>
  <c r="AM114" i="544"/>
  <c r="AJ9" i="544"/>
  <c r="AM9" i="544"/>
  <c r="AM17" i="544"/>
  <c r="AJ17" i="544"/>
  <c r="AN17" i="544" s="1"/>
  <c r="AJ31" i="544"/>
  <c r="AN31" i="544" s="1"/>
  <c r="AM31" i="544"/>
  <c r="AJ35" i="544"/>
  <c r="AN35" i="544" s="1"/>
  <c r="AM35" i="544"/>
  <c r="AJ43" i="544"/>
  <c r="AN43" i="544" s="1"/>
  <c r="AM43" i="544"/>
  <c r="AJ51" i="544"/>
  <c r="AN51" i="544" s="1"/>
  <c r="AM51" i="544"/>
  <c r="AJ58" i="544"/>
  <c r="AN58" i="544" s="1"/>
  <c r="AM58" i="544"/>
  <c r="AJ62" i="544"/>
  <c r="AN62" i="544" s="1"/>
  <c r="AM62" i="544"/>
  <c r="AJ67" i="544"/>
  <c r="AN67" i="544" s="1"/>
  <c r="AM67" i="544"/>
  <c r="AJ72" i="544"/>
  <c r="AN72" i="544" s="1"/>
  <c r="AM72" i="544"/>
  <c r="AJ79" i="544"/>
  <c r="AN79" i="544" s="1"/>
  <c r="AM79" i="544"/>
  <c r="AJ83" i="544"/>
  <c r="AN83" i="544" s="1"/>
  <c r="AM83" i="544"/>
  <c r="AJ87" i="544"/>
  <c r="AN87" i="544" s="1"/>
  <c r="AM87" i="544"/>
  <c r="AJ91" i="544"/>
  <c r="AN91" i="544" s="1"/>
  <c r="AM91" i="544"/>
  <c r="AJ95" i="544"/>
  <c r="AN95" i="544" s="1"/>
  <c r="AM95" i="544"/>
  <c r="AJ116" i="544"/>
  <c r="AN116" i="544" s="1"/>
  <c r="AM116" i="544"/>
  <c r="AJ121" i="544"/>
  <c r="AN121" i="544" s="1"/>
  <c r="AM121" i="544"/>
  <c r="AJ128" i="544"/>
  <c r="AN128" i="544" s="1"/>
  <c r="AM128" i="544"/>
  <c r="AJ132" i="544"/>
  <c r="AN132" i="544" s="1"/>
  <c r="AM132" i="544"/>
  <c r="AJ140" i="544"/>
  <c r="AN140" i="544" s="1"/>
  <c r="AM140" i="544"/>
  <c r="AJ119" i="544"/>
  <c r="AN119" i="544" s="1"/>
  <c r="AM119" i="544"/>
  <c r="AJ122" i="544"/>
  <c r="AN122" i="544" s="1"/>
  <c r="AM122" i="544"/>
  <c r="AJ134" i="544"/>
  <c r="AN134" i="544" s="1"/>
  <c r="AM134" i="544"/>
  <c r="AJ142" i="544"/>
  <c r="AN142" i="544" s="1"/>
  <c r="AM142" i="544"/>
  <c r="AJ117" i="544"/>
  <c r="AN117" i="544" s="1"/>
  <c r="AM117" i="544"/>
  <c r="AJ120" i="544"/>
  <c r="AN120" i="544" s="1"/>
  <c r="AM120" i="544"/>
  <c r="AJ124" i="544"/>
  <c r="AN124" i="544" s="1"/>
  <c r="AM124" i="544"/>
  <c r="AJ130" i="544"/>
  <c r="AN130" i="544" s="1"/>
  <c r="AM130" i="544"/>
  <c r="AJ136" i="544"/>
  <c r="AN136" i="544" s="1"/>
  <c r="AM136" i="544"/>
  <c r="AJ99" i="544"/>
  <c r="AN99" i="544" s="1"/>
  <c r="AM99" i="544"/>
  <c r="AJ101" i="544"/>
  <c r="AN101" i="544" s="1"/>
  <c r="AM101" i="544"/>
  <c r="AJ103" i="544"/>
  <c r="AN103" i="544" s="1"/>
  <c r="AM103" i="544"/>
  <c r="AJ105" i="544"/>
  <c r="AN105" i="544" s="1"/>
  <c r="AM105" i="544"/>
  <c r="AJ107" i="544"/>
  <c r="AN107" i="544" s="1"/>
  <c r="AM107" i="544"/>
  <c r="AJ109" i="544"/>
  <c r="AN109" i="544" s="1"/>
  <c r="AM109" i="544"/>
  <c r="AJ111" i="544"/>
  <c r="AN111" i="544" s="1"/>
  <c r="AM111" i="544"/>
  <c r="AJ113" i="544"/>
  <c r="AN113" i="544" s="1"/>
  <c r="AM113" i="544"/>
  <c r="AJ115" i="544"/>
  <c r="AN115" i="544" s="1"/>
  <c r="AM115" i="544"/>
  <c r="AJ118" i="544"/>
  <c r="AN118" i="544" s="1"/>
  <c r="AM118" i="544"/>
  <c r="AJ126" i="544"/>
  <c r="AN126" i="544" s="1"/>
  <c r="AM126" i="544"/>
  <c r="AJ138" i="544"/>
  <c r="AN138" i="544" s="1"/>
  <c r="AM138" i="544"/>
  <c r="AM133" i="544"/>
  <c r="AM135" i="544"/>
  <c r="AM137" i="544"/>
  <c r="AM139" i="544"/>
  <c r="AM141" i="544"/>
  <c r="AM143" i="544"/>
  <c r="AM145" i="544"/>
  <c r="AM147" i="544"/>
  <c r="AN9" i="544" l="1"/>
  <c r="AG162" i="543"/>
  <c r="V162" i="543"/>
  <c r="U162" i="543"/>
  <c r="AJ162" i="543" s="1"/>
  <c r="AK162" i="543" s="1"/>
  <c r="T162" i="543"/>
  <c r="AH162" i="543" s="1"/>
  <c r="AG161" i="543"/>
  <c r="V161" i="543"/>
  <c r="U161" i="543"/>
  <c r="AJ161" i="543" s="1"/>
  <c r="AK161" i="543" s="1"/>
  <c r="T161" i="543"/>
  <c r="AH161" i="543" s="1"/>
  <c r="AG160" i="543"/>
  <c r="V160" i="543"/>
  <c r="U160" i="543"/>
  <c r="AJ160" i="543" s="1"/>
  <c r="AK160" i="543" s="1"/>
  <c r="T160" i="543"/>
  <c r="AH160" i="543" s="1"/>
  <c r="AG159" i="543"/>
  <c r="V159" i="543"/>
  <c r="U159" i="543"/>
  <c r="AJ159" i="543" s="1"/>
  <c r="AK159" i="543" s="1"/>
  <c r="T159" i="543"/>
  <c r="AH159" i="543" s="1"/>
  <c r="AG158" i="543"/>
  <c r="V158" i="543"/>
  <c r="U158" i="543"/>
  <c r="AJ158" i="543" s="1"/>
  <c r="AK158" i="543" s="1"/>
  <c r="T158" i="543"/>
  <c r="AH158" i="543" s="1"/>
  <c r="AG157" i="543"/>
  <c r="V157" i="543"/>
  <c r="U157" i="543"/>
  <c r="AJ157" i="543" s="1"/>
  <c r="AK157" i="543" s="1"/>
  <c r="T157" i="543"/>
  <c r="AH157" i="543" s="1"/>
  <c r="AG156" i="543"/>
  <c r="V156" i="543"/>
  <c r="U156" i="543"/>
  <c r="AJ156" i="543" s="1"/>
  <c r="AK156" i="543" s="1"/>
  <c r="T156" i="543"/>
  <c r="AH156" i="543" s="1"/>
  <c r="AG155" i="543"/>
  <c r="V155" i="543"/>
  <c r="U155" i="543"/>
  <c r="AJ155" i="543" s="1"/>
  <c r="AK155" i="543" s="1"/>
  <c r="T155" i="543"/>
  <c r="AH155" i="543" s="1"/>
  <c r="AG154" i="543"/>
  <c r="V154" i="543"/>
  <c r="U154" i="543"/>
  <c r="AJ154" i="543" s="1"/>
  <c r="AK154" i="543" s="1"/>
  <c r="T154" i="543"/>
  <c r="AH154" i="543" s="1"/>
  <c r="AG153" i="543"/>
  <c r="V153" i="543"/>
  <c r="U153" i="543"/>
  <c r="AJ153" i="543" s="1"/>
  <c r="AK153" i="543" s="1"/>
  <c r="T153" i="543"/>
  <c r="AH153" i="543" s="1"/>
  <c r="AG152" i="543"/>
  <c r="V152" i="543"/>
  <c r="U152" i="543"/>
  <c r="AJ152" i="543" s="1"/>
  <c r="AK152" i="543" s="1"/>
  <c r="T152" i="543"/>
  <c r="AH152" i="543" s="1"/>
  <c r="AG151" i="543"/>
  <c r="V151" i="543"/>
  <c r="U151" i="543"/>
  <c r="AJ151" i="543" s="1"/>
  <c r="AK151" i="543" s="1"/>
  <c r="T151" i="543"/>
  <c r="AH151" i="543" s="1"/>
  <c r="AG150" i="543"/>
  <c r="V150" i="543"/>
  <c r="U150" i="543"/>
  <c r="AJ150" i="543" s="1"/>
  <c r="AK150" i="543" s="1"/>
  <c r="T150" i="543"/>
  <c r="AH150" i="543" s="1"/>
  <c r="AG149" i="543"/>
  <c r="V149" i="543"/>
  <c r="U149" i="543"/>
  <c r="AJ149" i="543" s="1"/>
  <c r="AK149" i="543" s="1"/>
  <c r="T149" i="543"/>
  <c r="AH149" i="543" s="1"/>
  <c r="AG148" i="543"/>
  <c r="V148" i="543"/>
  <c r="U148" i="543"/>
  <c r="AJ148" i="543" s="1"/>
  <c r="AK148" i="543" s="1"/>
  <c r="T148" i="543"/>
  <c r="AH148" i="543" s="1"/>
  <c r="AG147" i="543"/>
  <c r="V147" i="543"/>
  <c r="U147" i="543"/>
  <c r="AJ147" i="543" s="1"/>
  <c r="AK147" i="543" s="1"/>
  <c r="T147" i="543"/>
  <c r="AH147" i="543" s="1"/>
  <c r="AG146" i="543"/>
  <c r="V146" i="543"/>
  <c r="U146" i="543"/>
  <c r="AJ146" i="543" s="1"/>
  <c r="AK146" i="543" s="1"/>
  <c r="T146" i="543"/>
  <c r="AH146" i="543" s="1"/>
  <c r="AG145" i="543"/>
  <c r="V145" i="543"/>
  <c r="U145" i="543"/>
  <c r="AJ145" i="543" s="1"/>
  <c r="AK145" i="543" s="1"/>
  <c r="T145" i="543"/>
  <c r="AH145" i="543" s="1"/>
  <c r="AG144" i="543"/>
  <c r="V144" i="543"/>
  <c r="U144" i="543"/>
  <c r="AJ144" i="543" s="1"/>
  <c r="AK144" i="543" s="1"/>
  <c r="T144" i="543"/>
  <c r="AH144" i="543" s="1"/>
  <c r="AG143" i="543"/>
  <c r="V143" i="543"/>
  <c r="U143" i="543"/>
  <c r="AJ143" i="543" s="1"/>
  <c r="AK143" i="543" s="1"/>
  <c r="T143" i="543"/>
  <c r="AH143" i="543" s="1"/>
  <c r="AG142" i="543"/>
  <c r="V142" i="543"/>
  <c r="U142" i="543"/>
  <c r="AJ142" i="543" s="1"/>
  <c r="AK142" i="543" s="1"/>
  <c r="T142" i="543"/>
  <c r="AH142" i="543" s="1"/>
  <c r="AG141" i="543"/>
  <c r="V141" i="543"/>
  <c r="U141" i="543"/>
  <c r="AJ141" i="543" s="1"/>
  <c r="AK141" i="543" s="1"/>
  <c r="T141" i="543"/>
  <c r="AH141" i="543" s="1"/>
  <c r="AG140" i="543"/>
  <c r="V140" i="543"/>
  <c r="U140" i="543"/>
  <c r="AJ140" i="543" s="1"/>
  <c r="AK140" i="543" s="1"/>
  <c r="T140" i="543"/>
  <c r="AH140" i="543" s="1"/>
  <c r="AG139" i="543"/>
  <c r="V139" i="543"/>
  <c r="U139" i="543"/>
  <c r="AJ139" i="543" s="1"/>
  <c r="AK139" i="543" s="1"/>
  <c r="T139" i="543"/>
  <c r="AH139" i="543" s="1"/>
  <c r="AG138" i="543"/>
  <c r="V138" i="543"/>
  <c r="U138" i="543"/>
  <c r="AJ138" i="543" s="1"/>
  <c r="AK138" i="543" s="1"/>
  <c r="T138" i="543"/>
  <c r="AH138" i="543" s="1"/>
  <c r="AG137" i="543"/>
  <c r="V137" i="543"/>
  <c r="U137" i="543"/>
  <c r="AJ137" i="543" s="1"/>
  <c r="AK137" i="543" s="1"/>
  <c r="T137" i="543"/>
  <c r="AH137" i="543" s="1"/>
  <c r="AG136" i="543"/>
  <c r="V136" i="543"/>
  <c r="U136" i="543"/>
  <c r="AJ136" i="543" s="1"/>
  <c r="AK136" i="543" s="1"/>
  <c r="T136" i="543"/>
  <c r="AH136" i="543" s="1"/>
  <c r="AG135" i="543"/>
  <c r="V135" i="543"/>
  <c r="U135" i="543"/>
  <c r="AJ135" i="543" s="1"/>
  <c r="AK135" i="543" s="1"/>
  <c r="T135" i="543"/>
  <c r="AH135" i="543" s="1"/>
  <c r="AG134" i="543"/>
  <c r="V134" i="543"/>
  <c r="U134" i="543"/>
  <c r="AJ134" i="543" s="1"/>
  <c r="AK134" i="543" s="1"/>
  <c r="T134" i="543"/>
  <c r="AH134" i="543" s="1"/>
  <c r="AG133" i="543"/>
  <c r="V133" i="543"/>
  <c r="U133" i="543"/>
  <c r="AJ133" i="543" s="1"/>
  <c r="AK133" i="543" s="1"/>
  <c r="T133" i="543"/>
  <c r="AH133" i="543" s="1"/>
  <c r="AG132" i="543"/>
  <c r="V132" i="543"/>
  <c r="U132" i="543"/>
  <c r="AJ132" i="543" s="1"/>
  <c r="AK132" i="543" s="1"/>
  <c r="T132" i="543"/>
  <c r="AH132" i="543" s="1"/>
  <c r="AG131" i="543"/>
  <c r="V131" i="543"/>
  <c r="U131" i="543"/>
  <c r="AJ131" i="543" s="1"/>
  <c r="AK131" i="543" s="1"/>
  <c r="T131" i="543"/>
  <c r="AH131" i="543" s="1"/>
  <c r="AG130" i="543"/>
  <c r="V130" i="543"/>
  <c r="U130" i="543"/>
  <c r="AJ130" i="543" s="1"/>
  <c r="AK130" i="543" s="1"/>
  <c r="T130" i="543"/>
  <c r="AH130" i="543" s="1"/>
  <c r="AG129" i="543"/>
  <c r="V129" i="543"/>
  <c r="U129" i="543"/>
  <c r="AJ129" i="543" s="1"/>
  <c r="AK129" i="543" s="1"/>
  <c r="T129" i="543"/>
  <c r="AH129" i="543" s="1"/>
  <c r="AG128" i="543"/>
  <c r="V128" i="543"/>
  <c r="U128" i="543"/>
  <c r="AJ128" i="543" s="1"/>
  <c r="AK128" i="543" s="1"/>
  <c r="T128" i="543"/>
  <c r="AH128" i="543" s="1"/>
  <c r="AG127" i="543"/>
  <c r="V127" i="543"/>
  <c r="U127" i="543"/>
  <c r="AJ127" i="543" s="1"/>
  <c r="AK127" i="543" s="1"/>
  <c r="T127" i="543"/>
  <c r="AH127" i="543" s="1"/>
  <c r="AG126" i="543"/>
  <c r="V126" i="543"/>
  <c r="U126" i="543"/>
  <c r="AJ126" i="543" s="1"/>
  <c r="AK126" i="543" s="1"/>
  <c r="T126" i="543"/>
  <c r="AH126" i="543" s="1"/>
  <c r="AG125" i="543"/>
  <c r="V125" i="543"/>
  <c r="U125" i="543"/>
  <c r="AJ125" i="543" s="1"/>
  <c r="AK125" i="543" s="1"/>
  <c r="T125" i="543"/>
  <c r="AH125" i="543" s="1"/>
  <c r="AG124" i="543"/>
  <c r="V124" i="543"/>
  <c r="U124" i="543"/>
  <c r="AJ124" i="543" s="1"/>
  <c r="AK124" i="543" s="1"/>
  <c r="T124" i="543"/>
  <c r="AH124" i="543" s="1"/>
  <c r="AG123" i="543"/>
  <c r="V123" i="543"/>
  <c r="U123" i="543"/>
  <c r="AJ123" i="543" s="1"/>
  <c r="AK123" i="543" s="1"/>
  <c r="T123" i="543"/>
  <c r="AH123" i="543" s="1"/>
  <c r="AG122" i="543"/>
  <c r="V122" i="543"/>
  <c r="U122" i="543"/>
  <c r="AJ122" i="543" s="1"/>
  <c r="AK122" i="543" s="1"/>
  <c r="T122" i="543"/>
  <c r="AH122" i="543" s="1"/>
  <c r="AG121" i="543"/>
  <c r="V121" i="543"/>
  <c r="U121" i="543"/>
  <c r="AJ121" i="543" s="1"/>
  <c r="AK121" i="543" s="1"/>
  <c r="T121" i="543"/>
  <c r="AH121" i="543" s="1"/>
  <c r="AG120" i="543"/>
  <c r="V120" i="543"/>
  <c r="U120" i="543"/>
  <c r="AJ120" i="543" s="1"/>
  <c r="AK120" i="543" s="1"/>
  <c r="T120" i="543"/>
  <c r="AH120" i="543" s="1"/>
  <c r="AG119" i="543"/>
  <c r="V119" i="543"/>
  <c r="U119" i="543"/>
  <c r="AJ119" i="543" s="1"/>
  <c r="AK119" i="543" s="1"/>
  <c r="T119" i="543"/>
  <c r="AH119" i="543" s="1"/>
  <c r="AG118" i="543"/>
  <c r="V118" i="543"/>
  <c r="U118" i="543"/>
  <c r="AJ118" i="543" s="1"/>
  <c r="AK118" i="543" s="1"/>
  <c r="T118" i="543"/>
  <c r="AH118" i="543" s="1"/>
  <c r="AG117" i="543"/>
  <c r="V117" i="543"/>
  <c r="U117" i="543"/>
  <c r="AJ117" i="543" s="1"/>
  <c r="AK117" i="543" s="1"/>
  <c r="T117" i="543"/>
  <c r="AH117" i="543" s="1"/>
  <c r="AG116" i="543"/>
  <c r="V116" i="543"/>
  <c r="U116" i="543"/>
  <c r="AJ116" i="543" s="1"/>
  <c r="AK116" i="543" s="1"/>
  <c r="T116" i="543"/>
  <c r="AH116" i="543" s="1"/>
  <c r="AG115" i="543"/>
  <c r="V115" i="543"/>
  <c r="U115" i="543"/>
  <c r="AJ115" i="543" s="1"/>
  <c r="AK115" i="543" s="1"/>
  <c r="T115" i="543"/>
  <c r="AH115" i="543" s="1"/>
  <c r="AG114" i="543"/>
  <c r="V114" i="543"/>
  <c r="U114" i="543"/>
  <c r="AJ114" i="543" s="1"/>
  <c r="AK114" i="543" s="1"/>
  <c r="T114" i="543"/>
  <c r="AH114" i="543" s="1"/>
  <c r="AG113" i="543"/>
  <c r="V113" i="543"/>
  <c r="U113" i="543"/>
  <c r="AJ113" i="543" s="1"/>
  <c r="AK113" i="543" s="1"/>
  <c r="T113" i="543"/>
  <c r="AH113" i="543" s="1"/>
  <c r="AG112" i="543"/>
  <c r="V112" i="543"/>
  <c r="U112" i="543"/>
  <c r="AJ112" i="543" s="1"/>
  <c r="AK112" i="543" s="1"/>
  <c r="T112" i="543"/>
  <c r="AH112" i="543" s="1"/>
  <c r="AG111" i="543"/>
  <c r="V111" i="543"/>
  <c r="U111" i="543"/>
  <c r="AJ111" i="543" s="1"/>
  <c r="AK111" i="543" s="1"/>
  <c r="T111" i="543"/>
  <c r="AH111" i="543" s="1"/>
  <c r="AG110" i="543"/>
  <c r="V110" i="543"/>
  <c r="U110" i="543"/>
  <c r="AJ110" i="543" s="1"/>
  <c r="AK110" i="543" s="1"/>
  <c r="T110" i="543"/>
  <c r="AH110" i="543" s="1"/>
  <c r="AG109" i="543"/>
  <c r="V109" i="543"/>
  <c r="U109" i="543"/>
  <c r="AJ109" i="543" s="1"/>
  <c r="AK109" i="543" s="1"/>
  <c r="T109" i="543"/>
  <c r="AH109" i="543" s="1"/>
  <c r="AG108" i="543"/>
  <c r="V108" i="543"/>
  <c r="U108" i="543"/>
  <c r="AJ108" i="543" s="1"/>
  <c r="AK108" i="543" s="1"/>
  <c r="T108" i="543"/>
  <c r="AH108" i="543" s="1"/>
  <c r="AG107" i="543"/>
  <c r="V107" i="543"/>
  <c r="U107" i="543"/>
  <c r="AJ107" i="543" s="1"/>
  <c r="AK107" i="543" s="1"/>
  <c r="T107" i="543"/>
  <c r="AH107" i="543" s="1"/>
  <c r="AG106" i="543"/>
  <c r="V106" i="543"/>
  <c r="U106" i="543"/>
  <c r="AJ106" i="543" s="1"/>
  <c r="AK106" i="543" s="1"/>
  <c r="T106" i="543"/>
  <c r="AH106" i="543" s="1"/>
  <c r="AG105" i="543"/>
  <c r="V105" i="543"/>
  <c r="U105" i="543"/>
  <c r="AJ105" i="543" s="1"/>
  <c r="AK105" i="543" s="1"/>
  <c r="T105" i="543"/>
  <c r="AH105" i="543" s="1"/>
  <c r="AG104" i="543"/>
  <c r="V104" i="543"/>
  <c r="U104" i="543"/>
  <c r="AJ104" i="543" s="1"/>
  <c r="AK104" i="543" s="1"/>
  <c r="T104" i="543"/>
  <c r="AH104" i="543" s="1"/>
  <c r="AG103" i="543"/>
  <c r="V103" i="543"/>
  <c r="U103" i="543"/>
  <c r="AJ103" i="543" s="1"/>
  <c r="AK103" i="543" s="1"/>
  <c r="T103" i="543"/>
  <c r="AH103" i="543" s="1"/>
  <c r="AG102" i="543"/>
  <c r="V102" i="543"/>
  <c r="U102" i="543"/>
  <c r="AJ102" i="543" s="1"/>
  <c r="AK102" i="543" s="1"/>
  <c r="T102" i="543"/>
  <c r="AH102" i="543" s="1"/>
  <c r="AG101" i="543"/>
  <c r="V101" i="543"/>
  <c r="U101" i="543"/>
  <c r="AJ101" i="543" s="1"/>
  <c r="AK101" i="543" s="1"/>
  <c r="T101" i="543"/>
  <c r="AH101" i="543" s="1"/>
  <c r="AG100" i="543"/>
  <c r="V100" i="543"/>
  <c r="U100" i="543"/>
  <c r="AJ100" i="543" s="1"/>
  <c r="AK100" i="543" s="1"/>
  <c r="T100" i="543"/>
  <c r="AH100" i="543" s="1"/>
  <c r="AG99" i="543"/>
  <c r="V99" i="543"/>
  <c r="U99" i="543"/>
  <c r="AJ99" i="543" s="1"/>
  <c r="AK99" i="543" s="1"/>
  <c r="T99" i="543"/>
  <c r="AH99" i="543" s="1"/>
  <c r="AG98" i="543"/>
  <c r="V98" i="543"/>
  <c r="U98" i="543"/>
  <c r="AJ98" i="543" s="1"/>
  <c r="AK98" i="543" s="1"/>
  <c r="T98" i="543"/>
  <c r="AH98" i="543" s="1"/>
  <c r="AG97" i="543"/>
  <c r="V97" i="543"/>
  <c r="U97" i="543"/>
  <c r="AJ97" i="543" s="1"/>
  <c r="AK97" i="543" s="1"/>
  <c r="T97" i="543"/>
  <c r="AH97" i="543" s="1"/>
  <c r="AG96" i="543"/>
  <c r="V96" i="543"/>
  <c r="U96" i="543"/>
  <c r="AJ96" i="543" s="1"/>
  <c r="AK96" i="543" s="1"/>
  <c r="T96" i="543"/>
  <c r="AH96" i="543" s="1"/>
  <c r="AG95" i="543"/>
  <c r="V95" i="543"/>
  <c r="U95" i="543"/>
  <c r="AJ95" i="543" s="1"/>
  <c r="AK95" i="543" s="1"/>
  <c r="T95" i="543"/>
  <c r="AH95" i="543" s="1"/>
  <c r="AG94" i="543"/>
  <c r="V94" i="543"/>
  <c r="U94" i="543"/>
  <c r="AJ94" i="543" s="1"/>
  <c r="AK94" i="543" s="1"/>
  <c r="T94" i="543"/>
  <c r="AH94" i="543" s="1"/>
  <c r="AG93" i="543"/>
  <c r="V93" i="543"/>
  <c r="U93" i="543"/>
  <c r="AJ93" i="543" s="1"/>
  <c r="AK93" i="543" s="1"/>
  <c r="T93" i="543"/>
  <c r="AH93" i="543" s="1"/>
  <c r="AG92" i="543"/>
  <c r="V92" i="543"/>
  <c r="U92" i="543"/>
  <c r="AJ92" i="543" s="1"/>
  <c r="AK92" i="543" s="1"/>
  <c r="T92" i="543"/>
  <c r="AH92" i="543" s="1"/>
  <c r="AG91" i="543"/>
  <c r="V91" i="543"/>
  <c r="U91" i="543"/>
  <c r="AJ91" i="543" s="1"/>
  <c r="AK91" i="543" s="1"/>
  <c r="T91" i="543"/>
  <c r="AH91" i="543" s="1"/>
  <c r="AG90" i="543"/>
  <c r="V90" i="543"/>
  <c r="U90" i="543"/>
  <c r="AJ90" i="543" s="1"/>
  <c r="AK90" i="543" s="1"/>
  <c r="T90" i="543"/>
  <c r="AH90" i="543" s="1"/>
  <c r="AG89" i="543"/>
  <c r="V89" i="543"/>
  <c r="U89" i="543"/>
  <c r="AJ89" i="543" s="1"/>
  <c r="AK89" i="543" s="1"/>
  <c r="T89" i="543"/>
  <c r="AH89" i="543" s="1"/>
  <c r="AG88" i="543"/>
  <c r="V88" i="543"/>
  <c r="U88" i="543"/>
  <c r="AJ88" i="543" s="1"/>
  <c r="AK88" i="543" s="1"/>
  <c r="T88" i="543"/>
  <c r="AH88" i="543" s="1"/>
  <c r="AG87" i="543"/>
  <c r="V87" i="543"/>
  <c r="U87" i="543"/>
  <c r="AJ87" i="543" s="1"/>
  <c r="AK87" i="543" s="1"/>
  <c r="T87" i="543"/>
  <c r="AH87" i="543" s="1"/>
  <c r="AG86" i="543"/>
  <c r="V86" i="543"/>
  <c r="U86" i="543"/>
  <c r="AJ86" i="543" s="1"/>
  <c r="AK86" i="543" s="1"/>
  <c r="T86" i="543"/>
  <c r="AH86" i="543" s="1"/>
  <c r="AG85" i="543"/>
  <c r="V85" i="543"/>
  <c r="U85" i="543"/>
  <c r="AJ85" i="543" s="1"/>
  <c r="AK85" i="543" s="1"/>
  <c r="T85" i="543"/>
  <c r="AH85" i="543" s="1"/>
  <c r="AG84" i="543"/>
  <c r="V84" i="543"/>
  <c r="U84" i="543"/>
  <c r="AJ84" i="543" s="1"/>
  <c r="AK84" i="543" s="1"/>
  <c r="T84" i="543"/>
  <c r="AH84" i="543" s="1"/>
  <c r="AG83" i="543"/>
  <c r="V83" i="543"/>
  <c r="U83" i="543"/>
  <c r="AJ83" i="543" s="1"/>
  <c r="AK83" i="543" s="1"/>
  <c r="T83" i="543"/>
  <c r="AH83" i="543" s="1"/>
  <c r="AG82" i="543"/>
  <c r="V82" i="543"/>
  <c r="U82" i="543"/>
  <c r="AJ82" i="543" s="1"/>
  <c r="AK82" i="543" s="1"/>
  <c r="T82" i="543"/>
  <c r="AH82" i="543" s="1"/>
  <c r="AG81" i="543"/>
  <c r="V81" i="543"/>
  <c r="U81" i="543"/>
  <c r="AJ81" i="543" s="1"/>
  <c r="AK81" i="543" s="1"/>
  <c r="T81" i="543"/>
  <c r="AH81" i="543" s="1"/>
  <c r="AG80" i="543"/>
  <c r="V80" i="543"/>
  <c r="U80" i="543"/>
  <c r="AJ80" i="543" s="1"/>
  <c r="AK80" i="543" s="1"/>
  <c r="T80" i="543"/>
  <c r="AH80" i="543" s="1"/>
  <c r="AG79" i="543"/>
  <c r="V79" i="543"/>
  <c r="U79" i="543"/>
  <c r="AJ79" i="543" s="1"/>
  <c r="AK79" i="543" s="1"/>
  <c r="T79" i="543"/>
  <c r="AH79" i="543" s="1"/>
  <c r="AG78" i="543"/>
  <c r="V78" i="543"/>
  <c r="U78" i="543"/>
  <c r="AJ78" i="543" s="1"/>
  <c r="AK78" i="543" s="1"/>
  <c r="T78" i="543"/>
  <c r="AH78" i="543" s="1"/>
  <c r="AG77" i="543"/>
  <c r="V77" i="543"/>
  <c r="U77" i="543"/>
  <c r="AJ77" i="543" s="1"/>
  <c r="AK77" i="543" s="1"/>
  <c r="T77" i="543"/>
  <c r="AH77" i="543" s="1"/>
  <c r="AG76" i="543"/>
  <c r="V76" i="543"/>
  <c r="U76" i="543"/>
  <c r="AJ76" i="543" s="1"/>
  <c r="AK76" i="543" s="1"/>
  <c r="T76" i="543"/>
  <c r="AH76" i="543" s="1"/>
  <c r="AG75" i="543"/>
  <c r="V75" i="543"/>
  <c r="U75" i="543"/>
  <c r="AJ75" i="543" s="1"/>
  <c r="AK75" i="543" s="1"/>
  <c r="T75" i="543"/>
  <c r="AH75" i="543" s="1"/>
  <c r="AG74" i="543"/>
  <c r="V74" i="543"/>
  <c r="U74" i="543"/>
  <c r="AJ74" i="543" s="1"/>
  <c r="AK74" i="543" s="1"/>
  <c r="T74" i="543"/>
  <c r="AH74" i="543" s="1"/>
  <c r="AG73" i="543"/>
  <c r="V73" i="543"/>
  <c r="U73" i="543"/>
  <c r="AJ73" i="543" s="1"/>
  <c r="AK73" i="543" s="1"/>
  <c r="T73" i="543"/>
  <c r="AH73" i="543" s="1"/>
  <c r="AG72" i="543"/>
  <c r="V72" i="543"/>
  <c r="U72" i="543"/>
  <c r="AJ72" i="543" s="1"/>
  <c r="AK72" i="543" s="1"/>
  <c r="T72" i="543"/>
  <c r="AH72" i="543" s="1"/>
  <c r="AG71" i="543"/>
  <c r="V71" i="543"/>
  <c r="U71" i="543"/>
  <c r="AJ71" i="543" s="1"/>
  <c r="AK71" i="543" s="1"/>
  <c r="T71" i="543"/>
  <c r="AH71" i="543" s="1"/>
  <c r="AG70" i="543"/>
  <c r="V70" i="543"/>
  <c r="U70" i="543"/>
  <c r="AJ70" i="543" s="1"/>
  <c r="AK70" i="543" s="1"/>
  <c r="T70" i="543"/>
  <c r="AH70" i="543" s="1"/>
  <c r="AG69" i="543"/>
  <c r="V69" i="543"/>
  <c r="U69" i="543"/>
  <c r="AJ69" i="543" s="1"/>
  <c r="AK69" i="543" s="1"/>
  <c r="T69" i="543"/>
  <c r="AH69" i="543" s="1"/>
  <c r="AG68" i="543"/>
  <c r="V68" i="543"/>
  <c r="U68" i="543"/>
  <c r="AJ68" i="543" s="1"/>
  <c r="AK68" i="543" s="1"/>
  <c r="T68" i="543"/>
  <c r="AH68" i="543" s="1"/>
  <c r="AG67" i="543"/>
  <c r="V67" i="543"/>
  <c r="U67" i="543"/>
  <c r="AJ67" i="543" s="1"/>
  <c r="AK67" i="543" s="1"/>
  <c r="T67" i="543"/>
  <c r="AH67" i="543" s="1"/>
  <c r="AG66" i="543"/>
  <c r="V66" i="543"/>
  <c r="U66" i="543"/>
  <c r="AJ66" i="543" s="1"/>
  <c r="AK66" i="543" s="1"/>
  <c r="T66" i="543"/>
  <c r="AH66" i="543" s="1"/>
  <c r="AG65" i="543"/>
  <c r="V65" i="543"/>
  <c r="U65" i="543"/>
  <c r="AJ65" i="543" s="1"/>
  <c r="AK65" i="543" s="1"/>
  <c r="T65" i="543"/>
  <c r="AH65" i="543" s="1"/>
  <c r="AG64" i="543"/>
  <c r="V64" i="543"/>
  <c r="U64" i="543"/>
  <c r="AJ64" i="543" s="1"/>
  <c r="AK64" i="543" s="1"/>
  <c r="T64" i="543"/>
  <c r="AH64" i="543" s="1"/>
  <c r="AG63" i="543"/>
  <c r="V63" i="543"/>
  <c r="U63" i="543"/>
  <c r="AJ63" i="543" s="1"/>
  <c r="AK63" i="543" s="1"/>
  <c r="T63" i="543"/>
  <c r="AH63" i="543" s="1"/>
  <c r="AG62" i="543"/>
  <c r="V62" i="543"/>
  <c r="U62" i="543"/>
  <c r="AJ62" i="543" s="1"/>
  <c r="AK62" i="543" s="1"/>
  <c r="T62" i="543"/>
  <c r="AH62" i="543" s="1"/>
  <c r="AG61" i="543"/>
  <c r="V61" i="543"/>
  <c r="U61" i="543"/>
  <c r="AJ61" i="543" s="1"/>
  <c r="AK61" i="543" s="1"/>
  <c r="T61" i="543"/>
  <c r="AH61" i="543" s="1"/>
  <c r="AG60" i="543"/>
  <c r="U60" i="543"/>
  <c r="AJ60" i="543" s="1"/>
  <c r="T60" i="543"/>
  <c r="AH60" i="543" s="1"/>
  <c r="AG59" i="543"/>
  <c r="U59" i="543"/>
  <c r="AJ59" i="543" s="1"/>
  <c r="T59" i="543"/>
  <c r="AH59" i="543" s="1"/>
  <c r="AG58" i="543"/>
  <c r="U58" i="543"/>
  <c r="AJ58" i="543" s="1"/>
  <c r="T58" i="543"/>
  <c r="AH58" i="543" s="1"/>
  <c r="AG57" i="543"/>
  <c r="U57" i="543"/>
  <c r="AJ57" i="543" s="1"/>
  <c r="T57" i="543"/>
  <c r="AH57" i="543" s="1"/>
  <c r="AG56" i="543"/>
  <c r="V56" i="543"/>
  <c r="U56" i="543"/>
  <c r="AJ56" i="543" s="1"/>
  <c r="AK56" i="543" s="1"/>
  <c r="T56" i="543"/>
  <c r="AG55" i="543"/>
  <c r="U55" i="543"/>
  <c r="AJ55" i="543" s="1"/>
  <c r="T55" i="543"/>
  <c r="AH55" i="543" s="1"/>
  <c r="AG54" i="543"/>
  <c r="U54" i="543"/>
  <c r="AJ54" i="543" s="1"/>
  <c r="T54" i="543"/>
  <c r="AH54" i="543" s="1"/>
  <c r="AG53" i="543"/>
  <c r="U53" i="543"/>
  <c r="AJ53" i="543" s="1"/>
  <c r="T53" i="543"/>
  <c r="AH53" i="543" s="1"/>
  <c r="AG52" i="543"/>
  <c r="U52" i="543"/>
  <c r="AJ52" i="543" s="1"/>
  <c r="T52" i="543"/>
  <c r="AH52" i="543" s="1"/>
  <c r="AG51" i="543"/>
  <c r="V51" i="543"/>
  <c r="U51" i="543"/>
  <c r="AJ51" i="543" s="1"/>
  <c r="AK51" i="543" s="1"/>
  <c r="T51" i="543"/>
  <c r="AH51" i="543" s="1"/>
  <c r="AG50" i="543"/>
  <c r="U50" i="543"/>
  <c r="AJ50" i="543" s="1"/>
  <c r="T50" i="543"/>
  <c r="AH50" i="543" s="1"/>
  <c r="AG49" i="543"/>
  <c r="U49" i="543"/>
  <c r="AJ49" i="543" s="1"/>
  <c r="T49" i="543"/>
  <c r="AH49" i="543" s="1"/>
  <c r="AG48" i="543"/>
  <c r="U48" i="543"/>
  <c r="AJ48" i="543" s="1"/>
  <c r="T48" i="543"/>
  <c r="AH48" i="543" s="1"/>
  <c r="AG47" i="543"/>
  <c r="U47" i="543"/>
  <c r="AJ47" i="543" s="1"/>
  <c r="T47" i="543"/>
  <c r="AH47" i="543" s="1"/>
  <c r="AG46" i="543"/>
  <c r="U46" i="543"/>
  <c r="AJ46" i="543" s="1"/>
  <c r="T46" i="543"/>
  <c r="AH46" i="543" s="1"/>
  <c r="AG45" i="543"/>
  <c r="V45" i="543"/>
  <c r="U45" i="543"/>
  <c r="AJ45" i="543" s="1"/>
  <c r="AK45" i="543" s="1"/>
  <c r="T45" i="543"/>
  <c r="AG44" i="543"/>
  <c r="U44" i="543"/>
  <c r="AJ44" i="543" s="1"/>
  <c r="T44" i="543"/>
  <c r="AH44" i="543" s="1"/>
  <c r="AG43" i="543"/>
  <c r="U43" i="543"/>
  <c r="AJ43" i="543" s="1"/>
  <c r="T43" i="543"/>
  <c r="AH43" i="543" s="1"/>
  <c r="AG42" i="543"/>
  <c r="U42" i="543"/>
  <c r="AJ42" i="543" s="1"/>
  <c r="T42" i="543"/>
  <c r="AH42" i="543" s="1"/>
  <c r="AG41" i="543"/>
  <c r="V41" i="543"/>
  <c r="U41" i="543"/>
  <c r="AJ41" i="543" s="1"/>
  <c r="AK41" i="543" s="1"/>
  <c r="T41" i="543"/>
  <c r="AH41" i="543" s="1"/>
  <c r="AG40" i="543"/>
  <c r="U40" i="543"/>
  <c r="AJ40" i="543" s="1"/>
  <c r="T40" i="543"/>
  <c r="AH40" i="543" s="1"/>
  <c r="AG39" i="543"/>
  <c r="U39" i="543"/>
  <c r="AJ39" i="543" s="1"/>
  <c r="T39" i="543"/>
  <c r="AH39" i="543" s="1"/>
  <c r="AL39" i="543" s="1"/>
  <c r="AJ38" i="543"/>
  <c r="AG38" i="543"/>
  <c r="U38" i="543"/>
  <c r="T38" i="543"/>
  <c r="AH38" i="543" s="1"/>
  <c r="AJ37" i="543"/>
  <c r="AG37" i="543"/>
  <c r="U37" i="543"/>
  <c r="T37" i="543"/>
  <c r="AH37" i="543" s="1"/>
  <c r="AJ36" i="543"/>
  <c r="AG36" i="543"/>
  <c r="U36" i="543"/>
  <c r="T36" i="543"/>
  <c r="AH36" i="543" s="1"/>
  <c r="AG35" i="543"/>
  <c r="U35" i="543"/>
  <c r="AJ35" i="543" s="1"/>
  <c r="T35" i="543"/>
  <c r="AH35" i="543" s="1"/>
  <c r="AG34" i="543"/>
  <c r="U34" i="543"/>
  <c r="AJ34" i="543" s="1"/>
  <c r="T34" i="543"/>
  <c r="AH34" i="543" s="1"/>
  <c r="AG33" i="543"/>
  <c r="V33" i="543"/>
  <c r="U33" i="543"/>
  <c r="AJ33" i="543" s="1"/>
  <c r="AK33" i="543" s="1"/>
  <c r="T33" i="543"/>
  <c r="AG32" i="543"/>
  <c r="U32" i="543"/>
  <c r="AJ32" i="543" s="1"/>
  <c r="T32" i="543"/>
  <c r="AH32" i="543" s="1"/>
  <c r="AG31" i="543"/>
  <c r="U31" i="543"/>
  <c r="AJ31" i="543" s="1"/>
  <c r="T31" i="543"/>
  <c r="AH31" i="543" s="1"/>
  <c r="AG30" i="543"/>
  <c r="V30" i="543"/>
  <c r="U30" i="543"/>
  <c r="AJ30" i="543" s="1"/>
  <c r="AK30" i="543" s="1"/>
  <c r="T30" i="543"/>
  <c r="AG29" i="543"/>
  <c r="U29" i="543"/>
  <c r="AJ29" i="543" s="1"/>
  <c r="T29" i="543"/>
  <c r="AH29" i="543" s="1"/>
  <c r="AG28" i="543"/>
  <c r="V28" i="543"/>
  <c r="U28" i="543"/>
  <c r="T28" i="543"/>
  <c r="AG27" i="543"/>
  <c r="V27" i="543"/>
  <c r="U27" i="543"/>
  <c r="AJ27" i="543" s="1"/>
  <c r="AK27" i="543" s="1"/>
  <c r="T27" i="543"/>
  <c r="AG26" i="543"/>
  <c r="U26" i="543"/>
  <c r="AJ26" i="543" s="1"/>
  <c r="T26" i="543"/>
  <c r="AH26" i="543" s="1"/>
  <c r="AG25" i="543"/>
  <c r="U25" i="543"/>
  <c r="AJ25" i="543" s="1"/>
  <c r="T25" i="543"/>
  <c r="AH25" i="543" s="1"/>
  <c r="AG24" i="543"/>
  <c r="V24" i="543"/>
  <c r="U24" i="543"/>
  <c r="T24" i="543"/>
  <c r="AG23" i="543"/>
  <c r="U23" i="543"/>
  <c r="AJ23" i="543" s="1"/>
  <c r="T23" i="543"/>
  <c r="AH23" i="543" s="1"/>
  <c r="AG22" i="543"/>
  <c r="U22" i="543"/>
  <c r="AJ22" i="543" s="1"/>
  <c r="T22" i="543"/>
  <c r="AH22" i="543" s="1"/>
  <c r="AG20" i="543"/>
  <c r="V20" i="543"/>
  <c r="U20" i="543"/>
  <c r="AJ20" i="543" s="1"/>
  <c r="AK20" i="543" s="1"/>
  <c r="T20" i="543"/>
  <c r="AG19" i="543"/>
  <c r="U19" i="543"/>
  <c r="AJ19" i="543" s="1"/>
  <c r="T19" i="543"/>
  <c r="AH19" i="543" s="1"/>
  <c r="AG18" i="543"/>
  <c r="U18" i="543"/>
  <c r="AJ18" i="543" s="1"/>
  <c r="T18" i="543"/>
  <c r="AH18" i="543" s="1"/>
  <c r="AG17" i="543"/>
  <c r="U17" i="543"/>
  <c r="AJ17" i="543" s="1"/>
  <c r="T17" i="543"/>
  <c r="AH17" i="543" s="1"/>
  <c r="AG16" i="543"/>
  <c r="V16" i="543"/>
  <c r="U16" i="543"/>
  <c r="T16" i="543"/>
  <c r="AG15" i="543"/>
  <c r="U15" i="543"/>
  <c r="AJ15" i="543" s="1"/>
  <c r="T15" i="543"/>
  <c r="AH15" i="543" s="1"/>
  <c r="AG14" i="543"/>
  <c r="U14" i="543"/>
  <c r="AJ14" i="543" s="1"/>
  <c r="T14" i="543"/>
  <c r="AH14" i="543" s="1"/>
  <c r="AG13" i="543"/>
  <c r="AJ13" i="543" s="1"/>
  <c r="AK13" i="543" s="1"/>
  <c r="V13" i="543"/>
  <c r="U13" i="543"/>
  <c r="T13" i="543"/>
  <c r="AJ12" i="543"/>
  <c r="AG12" i="543"/>
  <c r="U12" i="543"/>
  <c r="T12" i="543"/>
  <c r="AH12" i="543" s="1"/>
  <c r="AJ10" i="543"/>
  <c r="AG10" i="543"/>
  <c r="U10" i="543"/>
  <c r="T10" i="543"/>
  <c r="AH10" i="543" s="1"/>
  <c r="AG9" i="543"/>
  <c r="V9" i="543"/>
  <c r="U9" i="543"/>
  <c r="T9" i="543"/>
  <c r="O4" i="543"/>
  <c r="I4" i="543"/>
  <c r="G4" i="543"/>
  <c r="AR2" i="543"/>
  <c r="G2" i="543"/>
  <c r="AL10" i="543" l="1"/>
  <c r="AL14" i="543"/>
  <c r="AH20" i="543"/>
  <c r="AL19" i="543"/>
  <c r="AL15" i="543"/>
  <c r="AL18" i="543"/>
  <c r="AL17" i="543"/>
  <c r="AL25" i="543"/>
  <c r="AL22" i="543"/>
  <c r="AL23" i="543"/>
  <c r="AL47" i="543"/>
  <c r="AJ28" i="543"/>
  <c r="AK28" i="543" s="1"/>
  <c r="AL43" i="543"/>
  <c r="AH56" i="543"/>
  <c r="AL56" i="543" s="1"/>
  <c r="AJ24" i="543"/>
  <c r="AK24" i="543" s="1"/>
  <c r="AL54" i="543"/>
  <c r="AL40" i="543"/>
  <c r="AL42" i="543"/>
  <c r="AL52" i="543"/>
  <c r="AL53" i="543"/>
  <c r="AL58" i="543"/>
  <c r="AL59" i="543"/>
  <c r="AL60" i="543"/>
  <c r="AH24" i="543"/>
  <c r="AL26" i="543"/>
  <c r="AH27" i="543"/>
  <c r="AL27" i="543" s="1"/>
  <c r="AH28" i="543"/>
  <c r="AI28" i="543" s="1"/>
  <c r="AM28" i="543" s="1"/>
  <c r="AL36" i="543"/>
  <c r="AL37" i="543"/>
  <c r="AL38" i="543"/>
  <c r="AH9" i="543"/>
  <c r="AI9" i="543" s="1"/>
  <c r="AH13" i="543"/>
  <c r="AH16" i="543"/>
  <c r="AH30" i="543"/>
  <c r="AI30" i="543" s="1"/>
  <c r="AM30" i="543" s="1"/>
  <c r="AL32" i="543"/>
  <c r="AL46" i="543"/>
  <c r="AL50" i="543"/>
  <c r="AJ9" i="543"/>
  <c r="AK9" i="543" s="1"/>
  <c r="AL12" i="543"/>
  <c r="AH33" i="543"/>
  <c r="AL34" i="543"/>
  <c r="AJ16" i="543"/>
  <c r="AK16" i="543" s="1"/>
  <c r="AL44" i="543"/>
  <c r="AH45" i="543"/>
  <c r="AL48" i="543"/>
  <c r="AL49" i="543"/>
  <c r="AL41" i="543"/>
  <c r="AI41" i="543"/>
  <c r="AM41" i="543" s="1"/>
  <c r="AI51" i="543"/>
  <c r="AM51" i="543" s="1"/>
  <c r="AL51" i="543"/>
  <c r="AI56" i="543"/>
  <c r="AM56" i="543" s="1"/>
  <c r="AI61" i="543"/>
  <c r="AM61" i="543" s="1"/>
  <c r="AL61" i="543"/>
  <c r="AI62" i="543"/>
  <c r="AM62" i="543" s="1"/>
  <c r="AL62" i="543"/>
  <c r="AI66" i="543"/>
  <c r="AM66" i="543" s="1"/>
  <c r="AL66" i="543"/>
  <c r="AI70" i="543"/>
  <c r="AM70" i="543" s="1"/>
  <c r="AL70" i="543"/>
  <c r="AI74" i="543"/>
  <c r="AM74" i="543" s="1"/>
  <c r="AL74" i="543"/>
  <c r="AI78" i="543"/>
  <c r="AM78" i="543" s="1"/>
  <c r="AL78" i="543"/>
  <c r="AI82" i="543"/>
  <c r="AM82" i="543" s="1"/>
  <c r="AL82" i="543"/>
  <c r="AI86" i="543"/>
  <c r="AM86" i="543" s="1"/>
  <c r="AL86" i="543"/>
  <c r="AI20" i="543"/>
  <c r="AM20" i="543" s="1"/>
  <c r="AL20" i="543"/>
  <c r="AI24" i="543"/>
  <c r="AL55" i="543"/>
  <c r="AL57" i="543"/>
  <c r="AI63" i="543"/>
  <c r="AM63" i="543" s="1"/>
  <c r="AL63" i="543"/>
  <c r="AI67" i="543"/>
  <c r="AM67" i="543" s="1"/>
  <c r="AL67" i="543"/>
  <c r="AI71" i="543"/>
  <c r="AM71" i="543" s="1"/>
  <c r="AL71" i="543"/>
  <c r="AI75" i="543"/>
  <c r="AM75" i="543" s="1"/>
  <c r="AL75" i="543"/>
  <c r="AI16" i="543"/>
  <c r="AL30" i="543"/>
  <c r="AL33" i="543"/>
  <c r="AI33" i="543"/>
  <c r="AM33" i="543" s="1"/>
  <c r="AL35" i="543"/>
  <c r="AI64" i="543"/>
  <c r="AM64" i="543" s="1"/>
  <c r="AL64" i="543"/>
  <c r="AI68" i="543"/>
  <c r="AM68" i="543" s="1"/>
  <c r="AL68" i="543"/>
  <c r="AI72" i="543"/>
  <c r="AM72" i="543" s="1"/>
  <c r="AL72" i="543"/>
  <c r="AI76" i="543"/>
  <c r="AM76" i="543" s="1"/>
  <c r="AL76" i="543"/>
  <c r="AI80" i="543"/>
  <c r="AM80" i="543" s="1"/>
  <c r="AL80" i="543"/>
  <c r="AI84" i="543"/>
  <c r="AM84" i="543" s="1"/>
  <c r="AL84" i="543"/>
  <c r="AL13" i="543"/>
  <c r="AI13" i="543"/>
  <c r="AM13" i="543" s="1"/>
  <c r="AL29" i="543"/>
  <c r="AL31" i="543"/>
  <c r="AL45" i="543"/>
  <c r="AI45" i="543"/>
  <c r="AM45" i="543" s="1"/>
  <c r="AI65" i="543"/>
  <c r="AM65" i="543" s="1"/>
  <c r="AL65" i="543"/>
  <c r="AI69" i="543"/>
  <c r="AM69" i="543" s="1"/>
  <c r="AL69" i="543"/>
  <c r="AI73" i="543"/>
  <c r="AM73" i="543" s="1"/>
  <c r="AL73" i="543"/>
  <c r="AI77" i="543"/>
  <c r="AM77" i="543" s="1"/>
  <c r="AL77" i="543"/>
  <c r="AI89" i="543"/>
  <c r="AM89" i="543" s="1"/>
  <c r="AL89" i="543"/>
  <c r="AI92" i="543"/>
  <c r="AM92" i="543" s="1"/>
  <c r="AL92" i="543"/>
  <c r="AI97" i="543"/>
  <c r="AM97" i="543" s="1"/>
  <c r="AL97" i="543"/>
  <c r="AI100" i="543"/>
  <c r="AM100" i="543" s="1"/>
  <c r="AL100" i="543"/>
  <c r="AI110" i="543"/>
  <c r="AM110" i="543" s="1"/>
  <c r="AL110" i="543"/>
  <c r="AI114" i="543"/>
  <c r="AM114" i="543" s="1"/>
  <c r="AL114" i="543"/>
  <c r="AI118" i="543"/>
  <c r="AM118" i="543" s="1"/>
  <c r="AL118" i="543"/>
  <c r="AI122" i="543"/>
  <c r="AM122" i="543" s="1"/>
  <c r="AL122" i="543"/>
  <c r="AI126" i="543"/>
  <c r="AM126" i="543" s="1"/>
  <c r="AL126" i="543"/>
  <c r="AI130" i="543"/>
  <c r="AM130" i="543" s="1"/>
  <c r="AL130" i="543"/>
  <c r="AI134" i="543"/>
  <c r="AM134" i="543" s="1"/>
  <c r="AL134" i="543"/>
  <c r="AI138" i="543"/>
  <c r="AM138" i="543" s="1"/>
  <c r="AL138" i="543"/>
  <c r="AI142" i="543"/>
  <c r="AM142" i="543" s="1"/>
  <c r="AL142" i="543"/>
  <c r="AI79" i="543"/>
  <c r="AM79" i="543" s="1"/>
  <c r="AL79" i="543"/>
  <c r="AI81" i="543"/>
  <c r="AM81" i="543" s="1"/>
  <c r="AL81" i="543"/>
  <c r="AI83" i="543"/>
  <c r="AM83" i="543" s="1"/>
  <c r="AL83" i="543"/>
  <c r="AI85" i="543"/>
  <c r="AM85" i="543" s="1"/>
  <c r="AL85" i="543"/>
  <c r="AI87" i="543"/>
  <c r="AM87" i="543" s="1"/>
  <c r="AL87" i="543"/>
  <c r="AI90" i="543"/>
  <c r="AM90" i="543" s="1"/>
  <c r="AL90" i="543"/>
  <c r="AI95" i="543"/>
  <c r="AM95" i="543" s="1"/>
  <c r="AL95" i="543"/>
  <c r="AI98" i="543"/>
  <c r="AM98" i="543" s="1"/>
  <c r="AL98" i="543"/>
  <c r="AI103" i="543"/>
  <c r="AM103" i="543" s="1"/>
  <c r="AL103" i="543"/>
  <c r="AI104" i="543"/>
  <c r="AM104" i="543" s="1"/>
  <c r="AL104" i="543"/>
  <c r="AL107" i="543"/>
  <c r="AI107" i="543"/>
  <c r="AM107" i="543" s="1"/>
  <c r="AI111" i="543"/>
  <c r="AM111" i="543" s="1"/>
  <c r="AL111" i="543"/>
  <c r="AI115" i="543"/>
  <c r="AM115" i="543" s="1"/>
  <c r="AL115" i="543"/>
  <c r="AI119" i="543"/>
  <c r="AM119" i="543" s="1"/>
  <c r="AL119" i="543"/>
  <c r="AI123" i="543"/>
  <c r="AM123" i="543" s="1"/>
  <c r="AL123" i="543"/>
  <c r="AI127" i="543"/>
  <c r="AM127" i="543" s="1"/>
  <c r="AL127" i="543"/>
  <c r="AI131" i="543"/>
  <c r="AM131" i="543" s="1"/>
  <c r="AL131" i="543"/>
  <c r="AI135" i="543"/>
  <c r="AM135" i="543" s="1"/>
  <c r="AL135" i="543"/>
  <c r="AI139" i="543"/>
  <c r="AM139" i="543" s="1"/>
  <c r="AL139" i="543"/>
  <c r="AI143" i="543"/>
  <c r="AM143" i="543" s="1"/>
  <c r="AL143" i="543"/>
  <c r="AI147" i="543"/>
  <c r="AM147" i="543" s="1"/>
  <c r="AL147" i="543"/>
  <c r="AI151" i="543"/>
  <c r="AM151" i="543" s="1"/>
  <c r="AL151" i="543"/>
  <c r="AI155" i="543"/>
  <c r="AM155" i="543" s="1"/>
  <c r="AL155" i="543"/>
  <c r="AI159" i="543"/>
  <c r="AM159" i="543" s="1"/>
  <c r="AL159" i="543"/>
  <c r="AI88" i="543"/>
  <c r="AM88" i="543" s="1"/>
  <c r="AL88" i="543"/>
  <c r="AI93" i="543"/>
  <c r="AM93" i="543" s="1"/>
  <c r="AL93" i="543"/>
  <c r="AI96" i="543"/>
  <c r="AM96" i="543" s="1"/>
  <c r="AL96" i="543"/>
  <c r="AI101" i="543"/>
  <c r="AM101" i="543" s="1"/>
  <c r="AL101" i="543"/>
  <c r="AI108" i="543"/>
  <c r="AM108" i="543" s="1"/>
  <c r="AL108" i="543"/>
  <c r="AI112" i="543"/>
  <c r="AM112" i="543" s="1"/>
  <c r="AL112" i="543"/>
  <c r="AI116" i="543"/>
  <c r="AM116" i="543" s="1"/>
  <c r="AL116" i="543"/>
  <c r="AI120" i="543"/>
  <c r="AM120" i="543" s="1"/>
  <c r="AL120" i="543"/>
  <c r="AI124" i="543"/>
  <c r="AM124" i="543" s="1"/>
  <c r="AL124" i="543"/>
  <c r="AI128" i="543"/>
  <c r="AM128" i="543" s="1"/>
  <c r="AL128" i="543"/>
  <c r="AI132" i="543"/>
  <c r="AM132" i="543" s="1"/>
  <c r="AL132" i="543"/>
  <c r="AI136" i="543"/>
  <c r="AM136" i="543" s="1"/>
  <c r="AL136" i="543"/>
  <c r="AI140" i="543"/>
  <c r="AM140" i="543" s="1"/>
  <c r="AL140" i="543"/>
  <c r="AI91" i="543"/>
  <c r="AM91" i="543" s="1"/>
  <c r="AL91" i="543"/>
  <c r="AI94" i="543"/>
  <c r="AM94" i="543" s="1"/>
  <c r="AL94" i="543"/>
  <c r="AI99" i="543"/>
  <c r="AM99" i="543" s="1"/>
  <c r="AL99" i="543"/>
  <c r="AI102" i="543"/>
  <c r="AM102" i="543" s="1"/>
  <c r="AL102" i="543"/>
  <c r="AI105" i="543"/>
  <c r="AM105" i="543" s="1"/>
  <c r="AL105" i="543"/>
  <c r="AI106" i="543"/>
  <c r="AM106" i="543" s="1"/>
  <c r="AL106" i="543"/>
  <c r="AI109" i="543"/>
  <c r="AM109" i="543" s="1"/>
  <c r="AL109" i="543"/>
  <c r="AI113" i="543"/>
  <c r="AM113" i="543" s="1"/>
  <c r="AL113" i="543"/>
  <c r="AI117" i="543"/>
  <c r="AM117" i="543" s="1"/>
  <c r="AL117" i="543"/>
  <c r="AI121" i="543"/>
  <c r="AM121" i="543" s="1"/>
  <c r="AL121" i="543"/>
  <c r="AI125" i="543"/>
  <c r="AM125" i="543" s="1"/>
  <c r="AL125" i="543"/>
  <c r="AI129" i="543"/>
  <c r="AM129" i="543" s="1"/>
  <c r="AL129" i="543"/>
  <c r="AI133" i="543"/>
  <c r="AM133" i="543" s="1"/>
  <c r="AL133" i="543"/>
  <c r="AI137" i="543"/>
  <c r="AM137" i="543" s="1"/>
  <c r="AL137" i="543"/>
  <c r="AI141" i="543"/>
  <c r="AM141" i="543" s="1"/>
  <c r="AL141" i="543"/>
  <c r="AI145" i="543"/>
  <c r="AM145" i="543" s="1"/>
  <c r="AL145" i="543"/>
  <c r="AI149" i="543"/>
  <c r="AM149" i="543" s="1"/>
  <c r="AL149" i="543"/>
  <c r="AI153" i="543"/>
  <c r="AM153" i="543" s="1"/>
  <c r="AL153" i="543"/>
  <c r="AI157" i="543"/>
  <c r="AM157" i="543" s="1"/>
  <c r="AL157" i="543"/>
  <c r="AI161" i="543"/>
  <c r="AM161" i="543" s="1"/>
  <c r="AL161" i="543"/>
  <c r="AI144" i="543"/>
  <c r="AM144" i="543" s="1"/>
  <c r="AL144" i="543"/>
  <c r="AI146" i="543"/>
  <c r="AM146" i="543" s="1"/>
  <c r="AL146" i="543"/>
  <c r="AI148" i="543"/>
  <c r="AM148" i="543" s="1"/>
  <c r="AL148" i="543"/>
  <c r="AI150" i="543"/>
  <c r="AM150" i="543" s="1"/>
  <c r="AL150" i="543"/>
  <c r="AI152" i="543"/>
  <c r="AM152" i="543" s="1"/>
  <c r="AL152" i="543"/>
  <c r="AI154" i="543"/>
  <c r="AM154" i="543" s="1"/>
  <c r="AL154" i="543"/>
  <c r="AI156" i="543"/>
  <c r="AM156" i="543" s="1"/>
  <c r="AL156" i="543"/>
  <c r="AI158" i="543"/>
  <c r="AM158" i="543" s="1"/>
  <c r="AL158" i="543"/>
  <c r="AI160" i="543"/>
  <c r="AM160" i="543" s="1"/>
  <c r="AL160" i="543"/>
  <c r="AI162" i="543"/>
  <c r="AM162" i="543" s="1"/>
  <c r="AL162" i="543"/>
  <c r="AM9" i="543" l="1"/>
  <c r="AI27" i="543"/>
  <c r="AM27" i="543" s="1"/>
  <c r="AM16" i="543"/>
  <c r="AL28" i="543"/>
  <c r="AL24" i="543"/>
  <c r="AL9" i="543"/>
  <c r="AM24" i="543"/>
  <c r="AL16" i="543"/>
  <c r="AG86" i="542"/>
  <c r="V86" i="542"/>
  <c r="U86" i="542"/>
  <c r="AJ86" i="542" s="1"/>
  <c r="AK86" i="542" s="1"/>
  <c r="T86" i="542"/>
  <c r="AH86" i="542" s="1"/>
  <c r="AG85" i="542"/>
  <c r="V85" i="542"/>
  <c r="U85" i="542"/>
  <c r="AJ85" i="542" s="1"/>
  <c r="AK85" i="542" s="1"/>
  <c r="T85" i="542"/>
  <c r="AH85" i="542" s="1"/>
  <c r="AG84" i="542"/>
  <c r="V84" i="542"/>
  <c r="U84" i="542"/>
  <c r="AJ84" i="542" s="1"/>
  <c r="AK84" i="542" s="1"/>
  <c r="T84" i="542"/>
  <c r="AH84" i="542" s="1"/>
  <c r="AG83" i="542"/>
  <c r="V83" i="542"/>
  <c r="U83" i="542"/>
  <c r="AJ83" i="542" s="1"/>
  <c r="AK83" i="542" s="1"/>
  <c r="T83" i="542"/>
  <c r="AH83" i="542" s="1"/>
  <c r="AG82" i="542"/>
  <c r="V82" i="542"/>
  <c r="U82" i="542"/>
  <c r="AJ82" i="542" s="1"/>
  <c r="AK82" i="542" s="1"/>
  <c r="T82" i="542"/>
  <c r="AH82" i="542" s="1"/>
  <c r="AG81" i="542"/>
  <c r="V81" i="542"/>
  <c r="U81" i="542"/>
  <c r="AJ81" i="542" s="1"/>
  <c r="AK81" i="542" s="1"/>
  <c r="T81" i="542"/>
  <c r="AH81" i="542" s="1"/>
  <c r="AG80" i="542"/>
  <c r="V80" i="542"/>
  <c r="U80" i="542"/>
  <c r="AJ80" i="542" s="1"/>
  <c r="AK80" i="542" s="1"/>
  <c r="T80" i="542"/>
  <c r="AH80" i="542" s="1"/>
  <c r="AG79" i="542"/>
  <c r="V79" i="542"/>
  <c r="U79" i="542"/>
  <c r="AJ79" i="542" s="1"/>
  <c r="AK79" i="542" s="1"/>
  <c r="T79" i="542"/>
  <c r="AH79" i="542" s="1"/>
  <c r="AG78" i="542"/>
  <c r="V78" i="542"/>
  <c r="U78" i="542"/>
  <c r="AJ78" i="542" s="1"/>
  <c r="AK78" i="542" s="1"/>
  <c r="T78" i="542"/>
  <c r="AH78" i="542" s="1"/>
  <c r="AG77" i="542"/>
  <c r="V77" i="542"/>
  <c r="U77" i="542"/>
  <c r="AJ77" i="542" s="1"/>
  <c r="AK77" i="542" s="1"/>
  <c r="T77" i="542"/>
  <c r="AH77" i="542" s="1"/>
  <c r="AG76" i="542"/>
  <c r="V76" i="542"/>
  <c r="U76" i="542"/>
  <c r="AJ76" i="542" s="1"/>
  <c r="AK76" i="542" s="1"/>
  <c r="T76" i="542"/>
  <c r="AH76" i="542" s="1"/>
  <c r="AG75" i="542"/>
  <c r="V75" i="542"/>
  <c r="U75" i="542"/>
  <c r="AJ75" i="542" s="1"/>
  <c r="AK75" i="542" s="1"/>
  <c r="T75" i="542"/>
  <c r="AH75" i="542" s="1"/>
  <c r="AG74" i="542"/>
  <c r="V74" i="542"/>
  <c r="U74" i="542"/>
  <c r="AJ74" i="542" s="1"/>
  <c r="AK74" i="542" s="1"/>
  <c r="T74" i="542"/>
  <c r="AH74" i="542" s="1"/>
  <c r="AG73" i="542"/>
  <c r="V73" i="542"/>
  <c r="U73" i="542"/>
  <c r="AJ73" i="542" s="1"/>
  <c r="AK73" i="542" s="1"/>
  <c r="T73" i="542"/>
  <c r="AH73" i="542" s="1"/>
  <c r="AG72" i="542"/>
  <c r="V72" i="542"/>
  <c r="U72" i="542"/>
  <c r="AJ72" i="542" s="1"/>
  <c r="AK72" i="542" s="1"/>
  <c r="T72" i="542"/>
  <c r="AH72" i="542" s="1"/>
  <c r="AG71" i="542"/>
  <c r="V71" i="542"/>
  <c r="U71" i="542"/>
  <c r="AJ71" i="542" s="1"/>
  <c r="AK71" i="542" s="1"/>
  <c r="T71" i="542"/>
  <c r="AH71" i="542" s="1"/>
  <c r="AG70" i="542"/>
  <c r="V70" i="542"/>
  <c r="U70" i="542"/>
  <c r="AJ70" i="542" s="1"/>
  <c r="AK70" i="542" s="1"/>
  <c r="T70" i="542"/>
  <c r="AH70" i="542" s="1"/>
  <c r="AG69" i="542"/>
  <c r="V69" i="542"/>
  <c r="U69" i="542"/>
  <c r="AJ69" i="542" s="1"/>
  <c r="AK69" i="542" s="1"/>
  <c r="T69" i="542"/>
  <c r="AH69" i="542" s="1"/>
  <c r="AG68" i="542"/>
  <c r="V68" i="542"/>
  <c r="U68" i="542"/>
  <c r="AJ68" i="542" s="1"/>
  <c r="AK68" i="542" s="1"/>
  <c r="T68" i="542"/>
  <c r="AH68" i="542" s="1"/>
  <c r="AG67" i="542"/>
  <c r="V67" i="542"/>
  <c r="U67" i="542"/>
  <c r="AJ67" i="542" s="1"/>
  <c r="AK67" i="542" s="1"/>
  <c r="T67" i="542"/>
  <c r="AH67" i="542" s="1"/>
  <c r="AG66" i="542"/>
  <c r="V66" i="542"/>
  <c r="U66" i="542"/>
  <c r="AJ66" i="542" s="1"/>
  <c r="AK66" i="542" s="1"/>
  <c r="T66" i="542"/>
  <c r="AH66" i="542" s="1"/>
  <c r="AG65" i="542"/>
  <c r="V65" i="542"/>
  <c r="U65" i="542"/>
  <c r="AJ65" i="542" s="1"/>
  <c r="AK65" i="542" s="1"/>
  <c r="T65" i="542"/>
  <c r="AH65" i="542" s="1"/>
  <c r="AG64" i="542"/>
  <c r="V64" i="542"/>
  <c r="U64" i="542"/>
  <c r="AJ64" i="542" s="1"/>
  <c r="AK64" i="542" s="1"/>
  <c r="T64" i="542"/>
  <c r="AH64" i="542" s="1"/>
  <c r="AG63" i="542"/>
  <c r="V63" i="542"/>
  <c r="U63" i="542"/>
  <c r="AJ63" i="542" s="1"/>
  <c r="AK63" i="542" s="1"/>
  <c r="T63" i="542"/>
  <c r="AH63" i="542" s="1"/>
  <c r="AG62" i="542"/>
  <c r="V62" i="542"/>
  <c r="U62" i="542"/>
  <c r="AJ62" i="542" s="1"/>
  <c r="AK62" i="542" s="1"/>
  <c r="T62" i="542"/>
  <c r="AH62" i="542" s="1"/>
  <c r="AG61" i="542"/>
  <c r="V61" i="542"/>
  <c r="U61" i="542"/>
  <c r="AJ61" i="542" s="1"/>
  <c r="AK61" i="542" s="1"/>
  <c r="T61" i="542"/>
  <c r="AH61" i="542" s="1"/>
  <c r="AG60" i="542"/>
  <c r="V60" i="542"/>
  <c r="U60" i="542"/>
  <c r="AJ60" i="542" s="1"/>
  <c r="AK60" i="542" s="1"/>
  <c r="T60" i="542"/>
  <c r="AH60" i="542" s="1"/>
  <c r="AG59" i="542"/>
  <c r="V59" i="542"/>
  <c r="U59" i="542"/>
  <c r="AJ59" i="542" s="1"/>
  <c r="AK59" i="542" s="1"/>
  <c r="T59" i="542"/>
  <c r="AH59" i="542" s="1"/>
  <c r="AG58" i="542"/>
  <c r="V58" i="542"/>
  <c r="U58" i="542"/>
  <c r="AJ58" i="542" s="1"/>
  <c r="AK58" i="542" s="1"/>
  <c r="T58" i="542"/>
  <c r="AH58" i="542" s="1"/>
  <c r="AG57" i="542"/>
  <c r="V57" i="542"/>
  <c r="U57" i="542"/>
  <c r="AJ57" i="542" s="1"/>
  <c r="AK57" i="542" s="1"/>
  <c r="T57" i="542"/>
  <c r="AH57" i="542" s="1"/>
  <c r="AG56" i="542"/>
  <c r="V56" i="542"/>
  <c r="U56" i="542"/>
  <c r="AJ56" i="542" s="1"/>
  <c r="AK56" i="542" s="1"/>
  <c r="T56" i="542"/>
  <c r="AH56" i="542" s="1"/>
  <c r="AG55" i="542"/>
  <c r="V55" i="542"/>
  <c r="U55" i="542"/>
  <c r="AJ55" i="542" s="1"/>
  <c r="AK55" i="542" s="1"/>
  <c r="T55" i="542"/>
  <c r="AH55" i="542" s="1"/>
  <c r="AG54" i="542"/>
  <c r="V54" i="542"/>
  <c r="U54" i="542"/>
  <c r="AJ54" i="542" s="1"/>
  <c r="AK54" i="542" s="1"/>
  <c r="T54" i="542"/>
  <c r="AH54" i="542" s="1"/>
  <c r="AG53" i="542"/>
  <c r="V53" i="542"/>
  <c r="U53" i="542"/>
  <c r="AJ53" i="542" s="1"/>
  <c r="AK53" i="542" s="1"/>
  <c r="T53" i="542"/>
  <c r="AH53" i="542" s="1"/>
  <c r="AG52" i="542"/>
  <c r="V52" i="542"/>
  <c r="U52" i="542"/>
  <c r="AJ52" i="542" s="1"/>
  <c r="AK52" i="542" s="1"/>
  <c r="T52" i="542"/>
  <c r="AH52" i="542" s="1"/>
  <c r="AG51" i="542"/>
  <c r="V51" i="542"/>
  <c r="U51" i="542"/>
  <c r="AJ51" i="542" s="1"/>
  <c r="AK51" i="542" s="1"/>
  <c r="T51" i="542"/>
  <c r="AH51" i="542" s="1"/>
  <c r="AG50" i="542"/>
  <c r="V50" i="542"/>
  <c r="U50" i="542"/>
  <c r="AJ50" i="542" s="1"/>
  <c r="AK50" i="542" s="1"/>
  <c r="T50" i="542"/>
  <c r="AH50" i="542" s="1"/>
  <c r="AG49" i="542"/>
  <c r="V49" i="542"/>
  <c r="U49" i="542"/>
  <c r="AJ49" i="542" s="1"/>
  <c r="AK49" i="542" s="1"/>
  <c r="T49" i="542"/>
  <c r="AH49" i="542" s="1"/>
  <c r="AG48" i="542"/>
  <c r="V48" i="542"/>
  <c r="U48" i="542"/>
  <c r="AJ48" i="542" s="1"/>
  <c r="AK48" i="542" s="1"/>
  <c r="T48" i="542"/>
  <c r="AH48" i="542" s="1"/>
  <c r="AG47" i="542"/>
  <c r="V47" i="542"/>
  <c r="U47" i="542"/>
  <c r="AJ47" i="542" s="1"/>
  <c r="AK47" i="542" s="1"/>
  <c r="T47" i="542"/>
  <c r="AH47" i="542" s="1"/>
  <c r="AG46" i="542"/>
  <c r="V46" i="542"/>
  <c r="U46" i="542"/>
  <c r="AJ46" i="542" s="1"/>
  <c r="AK46" i="542" s="1"/>
  <c r="T46" i="542"/>
  <c r="AH46" i="542" s="1"/>
  <c r="AG45" i="542"/>
  <c r="V45" i="542"/>
  <c r="U45" i="542"/>
  <c r="AJ45" i="542" s="1"/>
  <c r="AK45" i="542" s="1"/>
  <c r="T45" i="542"/>
  <c r="AH45" i="542" s="1"/>
  <c r="AG44" i="542"/>
  <c r="V44" i="542"/>
  <c r="U44" i="542"/>
  <c r="AJ44" i="542" s="1"/>
  <c r="AK44" i="542" s="1"/>
  <c r="T44" i="542"/>
  <c r="AH44" i="542" s="1"/>
  <c r="AG43" i="542"/>
  <c r="V43" i="542"/>
  <c r="U43" i="542"/>
  <c r="AJ43" i="542" s="1"/>
  <c r="AK43" i="542" s="1"/>
  <c r="T43" i="542"/>
  <c r="AH43" i="542" s="1"/>
  <c r="AG42" i="542"/>
  <c r="V42" i="542"/>
  <c r="U42" i="542"/>
  <c r="AJ42" i="542" s="1"/>
  <c r="AK42" i="542" s="1"/>
  <c r="T42" i="542"/>
  <c r="AH42" i="542" s="1"/>
  <c r="AG41" i="542"/>
  <c r="V41" i="542"/>
  <c r="U41" i="542"/>
  <c r="AJ41" i="542" s="1"/>
  <c r="AK41" i="542" s="1"/>
  <c r="T41" i="542"/>
  <c r="AH41" i="542" s="1"/>
  <c r="AG40" i="542"/>
  <c r="V40" i="542"/>
  <c r="U40" i="542"/>
  <c r="AJ40" i="542" s="1"/>
  <c r="AK40" i="542" s="1"/>
  <c r="T40" i="542"/>
  <c r="AH40" i="542" s="1"/>
  <c r="AG39" i="542"/>
  <c r="V39" i="542"/>
  <c r="U39" i="542"/>
  <c r="AJ39" i="542" s="1"/>
  <c r="AK39" i="542" s="1"/>
  <c r="T39" i="542"/>
  <c r="AH39" i="542" s="1"/>
  <c r="AG38" i="542"/>
  <c r="V38" i="542"/>
  <c r="U38" i="542"/>
  <c r="AJ38" i="542" s="1"/>
  <c r="AK38" i="542" s="1"/>
  <c r="T38" i="542"/>
  <c r="AH38" i="542" s="1"/>
  <c r="AG37" i="542"/>
  <c r="V37" i="542"/>
  <c r="U37" i="542"/>
  <c r="AJ37" i="542" s="1"/>
  <c r="AK37" i="542" s="1"/>
  <c r="T37" i="542"/>
  <c r="AH37" i="542" s="1"/>
  <c r="AG36" i="542"/>
  <c r="V36" i="542"/>
  <c r="U36" i="542"/>
  <c r="AJ36" i="542" s="1"/>
  <c r="AK36" i="542" s="1"/>
  <c r="T36" i="542"/>
  <c r="AH36" i="542" s="1"/>
  <c r="AG35" i="542"/>
  <c r="V35" i="542"/>
  <c r="U35" i="542"/>
  <c r="AJ35" i="542" s="1"/>
  <c r="AK35" i="542" s="1"/>
  <c r="T35" i="542"/>
  <c r="AH35" i="542" s="1"/>
  <c r="AG34" i="542"/>
  <c r="V34" i="542"/>
  <c r="U34" i="542"/>
  <c r="AJ34" i="542" s="1"/>
  <c r="AK34" i="542" s="1"/>
  <c r="T34" i="542"/>
  <c r="AH34" i="542" s="1"/>
  <c r="AG33" i="542"/>
  <c r="V33" i="542"/>
  <c r="U33" i="542"/>
  <c r="AJ33" i="542" s="1"/>
  <c r="AK33" i="542" s="1"/>
  <c r="T33" i="542"/>
  <c r="AH33" i="542" s="1"/>
  <c r="AG32" i="542"/>
  <c r="V32" i="542"/>
  <c r="U32" i="542"/>
  <c r="AJ32" i="542" s="1"/>
  <c r="AK32" i="542" s="1"/>
  <c r="T32" i="542"/>
  <c r="AH32" i="542" s="1"/>
  <c r="AG31" i="542"/>
  <c r="V31" i="542"/>
  <c r="U31" i="542"/>
  <c r="AJ31" i="542" s="1"/>
  <c r="AK31" i="542" s="1"/>
  <c r="T31" i="542"/>
  <c r="AH31" i="542" s="1"/>
  <c r="AG30" i="542"/>
  <c r="V30" i="542"/>
  <c r="U30" i="542"/>
  <c r="AJ30" i="542" s="1"/>
  <c r="AK30" i="542" s="1"/>
  <c r="T30" i="542"/>
  <c r="AH30" i="542" s="1"/>
  <c r="AG29" i="542"/>
  <c r="V29" i="542"/>
  <c r="U29" i="542"/>
  <c r="AJ29" i="542" s="1"/>
  <c r="AK29" i="542" s="1"/>
  <c r="T29" i="542"/>
  <c r="AH29" i="542" s="1"/>
  <c r="AG28" i="542"/>
  <c r="V28" i="542"/>
  <c r="U28" i="542"/>
  <c r="AJ28" i="542" s="1"/>
  <c r="AK28" i="542" s="1"/>
  <c r="T28" i="542"/>
  <c r="AH28" i="542" s="1"/>
  <c r="AG27" i="542"/>
  <c r="V27" i="542"/>
  <c r="U27" i="542"/>
  <c r="AJ27" i="542" s="1"/>
  <c r="AK27" i="542" s="1"/>
  <c r="T27" i="542"/>
  <c r="AH27" i="542" s="1"/>
  <c r="AG26" i="542"/>
  <c r="V26" i="542"/>
  <c r="U26" i="542"/>
  <c r="AJ26" i="542" s="1"/>
  <c r="AK26" i="542" s="1"/>
  <c r="T26" i="542"/>
  <c r="AH26" i="542" s="1"/>
  <c r="AG25" i="542"/>
  <c r="V25" i="542"/>
  <c r="U25" i="542"/>
  <c r="AJ25" i="542" s="1"/>
  <c r="AK25" i="542" s="1"/>
  <c r="T25" i="542"/>
  <c r="AH25" i="542" s="1"/>
  <c r="AG24" i="542"/>
  <c r="V24" i="542"/>
  <c r="U24" i="542"/>
  <c r="AJ24" i="542" s="1"/>
  <c r="AK24" i="542" s="1"/>
  <c r="T24" i="542"/>
  <c r="AH24" i="542" s="1"/>
  <c r="AG23" i="542"/>
  <c r="V23" i="542"/>
  <c r="U23" i="542"/>
  <c r="AJ23" i="542" s="1"/>
  <c r="AK23" i="542" s="1"/>
  <c r="T23" i="542"/>
  <c r="AH23" i="542" s="1"/>
  <c r="AG22" i="542"/>
  <c r="V22" i="542"/>
  <c r="U22" i="542"/>
  <c r="AJ22" i="542" s="1"/>
  <c r="AK22" i="542" s="1"/>
  <c r="T22" i="542"/>
  <c r="AH22" i="542" s="1"/>
  <c r="AG21" i="542"/>
  <c r="V21" i="542"/>
  <c r="U21" i="542"/>
  <c r="AJ21" i="542" s="1"/>
  <c r="AK21" i="542" s="1"/>
  <c r="T21" i="542"/>
  <c r="AH21" i="542" s="1"/>
  <c r="AG20" i="542"/>
  <c r="V20" i="542"/>
  <c r="U20" i="542"/>
  <c r="AJ20" i="542" s="1"/>
  <c r="AK20" i="542" s="1"/>
  <c r="T20" i="542"/>
  <c r="AH20" i="542" s="1"/>
  <c r="AG19" i="542"/>
  <c r="V19" i="542"/>
  <c r="U19" i="542"/>
  <c r="AJ19" i="542" s="1"/>
  <c r="AK19" i="542" s="1"/>
  <c r="T19" i="542"/>
  <c r="AH19" i="542" s="1"/>
  <c r="AT18" i="542"/>
  <c r="AP18" i="542"/>
  <c r="AG18" i="542"/>
  <c r="V18" i="542"/>
  <c r="U18" i="542"/>
  <c r="T18" i="542"/>
  <c r="AT17" i="542"/>
  <c r="AP17" i="542"/>
  <c r="AG17" i="542"/>
  <c r="V17" i="542"/>
  <c r="U17" i="542"/>
  <c r="AJ17" i="542" s="1"/>
  <c r="AK17" i="542" s="1"/>
  <c r="T17" i="542"/>
  <c r="AH17" i="542" s="1"/>
  <c r="AT16" i="542"/>
  <c r="AP16" i="542"/>
  <c r="AG16" i="542"/>
  <c r="V16" i="542"/>
  <c r="U16" i="542"/>
  <c r="T16" i="542"/>
  <c r="AT15" i="542"/>
  <c r="AP15" i="542"/>
  <c r="AG15" i="542"/>
  <c r="V15" i="542"/>
  <c r="U15" i="542"/>
  <c r="AJ15" i="542" s="1"/>
  <c r="AK15" i="542" s="1"/>
  <c r="T15" i="542"/>
  <c r="AH15" i="542" s="1"/>
  <c r="AT14" i="542"/>
  <c r="AP14" i="542"/>
  <c r="AG14" i="542"/>
  <c r="V14" i="542"/>
  <c r="U14" i="542"/>
  <c r="T14" i="542"/>
  <c r="AT13" i="542"/>
  <c r="AP13" i="542"/>
  <c r="AG13" i="542"/>
  <c r="V13" i="542"/>
  <c r="U13" i="542"/>
  <c r="T13" i="542"/>
  <c r="AT12" i="542"/>
  <c r="AP12" i="542"/>
  <c r="AG12" i="542"/>
  <c r="V12" i="542"/>
  <c r="U12" i="542"/>
  <c r="T12" i="542"/>
  <c r="AT11" i="542"/>
  <c r="AP11" i="542"/>
  <c r="AG11" i="542"/>
  <c r="V11" i="542"/>
  <c r="U11" i="542"/>
  <c r="AJ11" i="542" s="1"/>
  <c r="AK11" i="542" s="1"/>
  <c r="T11" i="542"/>
  <c r="AT10" i="542"/>
  <c r="AP10" i="542"/>
  <c r="AG10" i="542"/>
  <c r="V10" i="542"/>
  <c r="U10" i="542"/>
  <c r="T10" i="542"/>
  <c r="AT9" i="542"/>
  <c r="AP9" i="542"/>
  <c r="AG9" i="542"/>
  <c r="V9" i="542"/>
  <c r="U9" i="542"/>
  <c r="T9" i="542"/>
  <c r="O4" i="542"/>
  <c r="I4" i="542"/>
  <c r="G4" i="542"/>
  <c r="AR2" i="542"/>
  <c r="G2" i="542"/>
  <c r="AH16" i="542" l="1"/>
  <c r="AH18" i="542"/>
  <c r="AI18" i="542" s="1"/>
  <c r="AM18" i="542" s="1"/>
  <c r="AH10" i="542"/>
  <c r="AJ10" i="542"/>
  <c r="AK10" i="542" s="1"/>
  <c r="AH9" i="542"/>
  <c r="AH11" i="542"/>
  <c r="AJ12" i="542"/>
  <c r="AK12" i="542" s="1"/>
  <c r="AJ14" i="542"/>
  <c r="AK14" i="542" s="1"/>
  <c r="AJ9" i="542"/>
  <c r="AK9" i="542" s="1"/>
  <c r="AH13" i="542"/>
  <c r="AI13" i="542" s="1"/>
  <c r="AJ16" i="542"/>
  <c r="AK16" i="542" s="1"/>
  <c r="AJ18" i="542"/>
  <c r="AK18" i="542" s="1"/>
  <c r="AJ13" i="542"/>
  <c r="AK13" i="542" s="1"/>
  <c r="AH12" i="542"/>
  <c r="AH14" i="542"/>
  <c r="AI14" i="542" s="1"/>
  <c r="AI15" i="542"/>
  <c r="AM15" i="542" s="1"/>
  <c r="AL15" i="542"/>
  <c r="AI10" i="542"/>
  <c r="AM10" i="542" s="1"/>
  <c r="AL10" i="542"/>
  <c r="AI20" i="542"/>
  <c r="AM20" i="542" s="1"/>
  <c r="AL20" i="542"/>
  <c r="AI9" i="542"/>
  <c r="AM9" i="542" s="1"/>
  <c r="AL9" i="542"/>
  <c r="AI17" i="542"/>
  <c r="AM17" i="542" s="1"/>
  <c r="AL17" i="542"/>
  <c r="AI22" i="542"/>
  <c r="AM22" i="542" s="1"/>
  <c r="AL22" i="542"/>
  <c r="AI23" i="542"/>
  <c r="AM23" i="542" s="1"/>
  <c r="AL23" i="542"/>
  <c r="AI34" i="542"/>
  <c r="AM34" i="542" s="1"/>
  <c r="AL34" i="542"/>
  <c r="AI38" i="542"/>
  <c r="AM38" i="542" s="1"/>
  <c r="AL38" i="542"/>
  <c r="AI42" i="542"/>
  <c r="AM42" i="542" s="1"/>
  <c r="AL42" i="542"/>
  <c r="AI46" i="542"/>
  <c r="AM46" i="542" s="1"/>
  <c r="AL46" i="542"/>
  <c r="AI50" i="542"/>
  <c r="AM50" i="542" s="1"/>
  <c r="AL50" i="542"/>
  <c r="AI54" i="542"/>
  <c r="AM54" i="542" s="1"/>
  <c r="AL54" i="542"/>
  <c r="AI58" i="542"/>
  <c r="AM58" i="542" s="1"/>
  <c r="AL58" i="542"/>
  <c r="AI62" i="542"/>
  <c r="AM62" i="542" s="1"/>
  <c r="AL62" i="542"/>
  <c r="AI66" i="542"/>
  <c r="AM66" i="542" s="1"/>
  <c r="AL66" i="542"/>
  <c r="AI70" i="542"/>
  <c r="AM70" i="542" s="1"/>
  <c r="AL70" i="542"/>
  <c r="AI74" i="542"/>
  <c r="AM74" i="542" s="1"/>
  <c r="AL74" i="542"/>
  <c r="AI78" i="542"/>
  <c r="AM78" i="542" s="1"/>
  <c r="AL78" i="542"/>
  <c r="AI82" i="542"/>
  <c r="AM82" i="542" s="1"/>
  <c r="AL82" i="542"/>
  <c r="AI86" i="542"/>
  <c r="AM86" i="542" s="1"/>
  <c r="AL86" i="542"/>
  <c r="AI19" i="542"/>
  <c r="AM19" i="542" s="1"/>
  <c r="AL19" i="542"/>
  <c r="AI12" i="542"/>
  <c r="AM12" i="542" s="1"/>
  <c r="AL12" i="542"/>
  <c r="AI16" i="542"/>
  <c r="AI24" i="542"/>
  <c r="AM24" i="542" s="1"/>
  <c r="AL24" i="542"/>
  <c r="AI25" i="542"/>
  <c r="AM25" i="542" s="1"/>
  <c r="AL25" i="542"/>
  <c r="AI30" i="542"/>
  <c r="AM30" i="542" s="1"/>
  <c r="AL30" i="542"/>
  <c r="AL31" i="542"/>
  <c r="AI31" i="542"/>
  <c r="AM31" i="542" s="1"/>
  <c r="AI32" i="542"/>
  <c r="AM32" i="542" s="1"/>
  <c r="AL32" i="542"/>
  <c r="AI35" i="542"/>
  <c r="AM35" i="542" s="1"/>
  <c r="AL35" i="542"/>
  <c r="AI39" i="542"/>
  <c r="AM39" i="542" s="1"/>
  <c r="AL39" i="542"/>
  <c r="AI43" i="542"/>
  <c r="AM43" i="542" s="1"/>
  <c r="AL43" i="542"/>
  <c r="AI47" i="542"/>
  <c r="AM47" i="542" s="1"/>
  <c r="AL47" i="542"/>
  <c r="AI51" i="542"/>
  <c r="AM51" i="542" s="1"/>
  <c r="AL51" i="542"/>
  <c r="AI55" i="542"/>
  <c r="AM55" i="542" s="1"/>
  <c r="AL55" i="542"/>
  <c r="AI59" i="542"/>
  <c r="AM59" i="542" s="1"/>
  <c r="AL59" i="542"/>
  <c r="AI63" i="542"/>
  <c r="AM63" i="542" s="1"/>
  <c r="AL63" i="542"/>
  <c r="AI26" i="542"/>
  <c r="AM26" i="542" s="1"/>
  <c r="AL26" i="542"/>
  <c r="AI27" i="542"/>
  <c r="AM27" i="542" s="1"/>
  <c r="AL27" i="542"/>
  <c r="AI36" i="542"/>
  <c r="AM36" i="542" s="1"/>
  <c r="AL36" i="542"/>
  <c r="AI40" i="542"/>
  <c r="AM40" i="542" s="1"/>
  <c r="AL40" i="542"/>
  <c r="AI44" i="542"/>
  <c r="AM44" i="542" s="1"/>
  <c r="AL44" i="542"/>
  <c r="AI48" i="542"/>
  <c r="AM48" i="542" s="1"/>
  <c r="AL48" i="542"/>
  <c r="AI52" i="542"/>
  <c r="AM52" i="542" s="1"/>
  <c r="AL52" i="542"/>
  <c r="AI56" i="542"/>
  <c r="AM56" i="542" s="1"/>
  <c r="AL56" i="542"/>
  <c r="AI60" i="542"/>
  <c r="AM60" i="542" s="1"/>
  <c r="AL60" i="542"/>
  <c r="AI64" i="542"/>
  <c r="AM64" i="542" s="1"/>
  <c r="AL64" i="542"/>
  <c r="AI68" i="542"/>
  <c r="AM68" i="542" s="1"/>
  <c r="AL68" i="542"/>
  <c r="AI72" i="542"/>
  <c r="AM72" i="542" s="1"/>
  <c r="AL72" i="542"/>
  <c r="AI76" i="542"/>
  <c r="AM76" i="542" s="1"/>
  <c r="AL76" i="542"/>
  <c r="AI80" i="542"/>
  <c r="AM80" i="542" s="1"/>
  <c r="AL80" i="542"/>
  <c r="AI84" i="542"/>
  <c r="AM84" i="542" s="1"/>
  <c r="AL84" i="542"/>
  <c r="AI11" i="542"/>
  <c r="AM11" i="542" s="1"/>
  <c r="AL11" i="542"/>
  <c r="AI21" i="542"/>
  <c r="AM21" i="542" s="1"/>
  <c r="AL21" i="542"/>
  <c r="AI28" i="542"/>
  <c r="AM28" i="542" s="1"/>
  <c r="AL28" i="542"/>
  <c r="AI29" i="542"/>
  <c r="AM29" i="542" s="1"/>
  <c r="AL29" i="542"/>
  <c r="AI33" i="542"/>
  <c r="AM33" i="542" s="1"/>
  <c r="AL33" i="542"/>
  <c r="AI37" i="542"/>
  <c r="AM37" i="542" s="1"/>
  <c r="AL37" i="542"/>
  <c r="AI41" i="542"/>
  <c r="AM41" i="542" s="1"/>
  <c r="AL41" i="542"/>
  <c r="AI45" i="542"/>
  <c r="AM45" i="542" s="1"/>
  <c r="AL45" i="542"/>
  <c r="AI49" i="542"/>
  <c r="AM49" i="542" s="1"/>
  <c r="AL49" i="542"/>
  <c r="AI53" i="542"/>
  <c r="AM53" i="542" s="1"/>
  <c r="AL53" i="542"/>
  <c r="AI57" i="542"/>
  <c r="AM57" i="542" s="1"/>
  <c r="AL57" i="542"/>
  <c r="AI61" i="542"/>
  <c r="AM61" i="542" s="1"/>
  <c r="AL61" i="542"/>
  <c r="AI65" i="542"/>
  <c r="AM65" i="542" s="1"/>
  <c r="AL65" i="542"/>
  <c r="AI67" i="542"/>
  <c r="AM67" i="542" s="1"/>
  <c r="AL67" i="542"/>
  <c r="AI69" i="542"/>
  <c r="AM69" i="542" s="1"/>
  <c r="AL69" i="542"/>
  <c r="AI71" i="542"/>
  <c r="AM71" i="542" s="1"/>
  <c r="AL71" i="542"/>
  <c r="AI73" i="542"/>
  <c r="AM73" i="542" s="1"/>
  <c r="AL73" i="542"/>
  <c r="AI75" i="542"/>
  <c r="AM75" i="542" s="1"/>
  <c r="AL75" i="542"/>
  <c r="AI77" i="542"/>
  <c r="AM77" i="542" s="1"/>
  <c r="AL77" i="542"/>
  <c r="AI79" i="542"/>
  <c r="AM79" i="542" s="1"/>
  <c r="AL79" i="542"/>
  <c r="AI81" i="542"/>
  <c r="AM81" i="542" s="1"/>
  <c r="AL81" i="542"/>
  <c r="AI83" i="542"/>
  <c r="AM83" i="542" s="1"/>
  <c r="AL83" i="542"/>
  <c r="AI85" i="542"/>
  <c r="AM85" i="542" s="1"/>
  <c r="AL85" i="542"/>
  <c r="AM16" i="542" l="1"/>
  <c r="AL16" i="542"/>
  <c r="AL14" i="542"/>
  <c r="AM14" i="542"/>
  <c r="AL18" i="542"/>
  <c r="AL13" i="542"/>
  <c r="AM13" i="542"/>
  <c r="G2" i="541"/>
  <c r="AR2" i="541"/>
  <c r="G4" i="541"/>
  <c r="I4" i="541"/>
  <c r="O4" i="541"/>
  <c r="T9" i="541"/>
  <c r="U9" i="541"/>
  <c r="AJ9" i="541" s="1"/>
  <c r="AK9" i="541" s="1"/>
  <c r="V9" i="541"/>
  <c r="AG9" i="541"/>
  <c r="T10" i="541"/>
  <c r="AH10" i="541" s="1"/>
  <c r="U10" i="541"/>
  <c r="AJ10" i="541" s="1"/>
  <c r="AG10" i="541"/>
  <c r="T11" i="541"/>
  <c r="AH11" i="541" s="1"/>
  <c r="U11" i="541"/>
  <c r="AJ11" i="541" s="1"/>
  <c r="AG11" i="541"/>
  <c r="T12" i="541"/>
  <c r="AH12" i="541" s="1"/>
  <c r="U12" i="541"/>
  <c r="AJ12" i="541" s="1"/>
  <c r="AG12" i="541"/>
  <c r="T13" i="541"/>
  <c r="U13" i="541"/>
  <c r="AJ13" i="541" s="1"/>
  <c r="AK13" i="541" s="1"/>
  <c r="V13" i="541"/>
  <c r="AG13" i="541"/>
  <c r="T14" i="541"/>
  <c r="AH14" i="541" s="1"/>
  <c r="U14" i="541"/>
  <c r="AJ14" i="541" s="1"/>
  <c r="AG14" i="541"/>
  <c r="T15" i="541"/>
  <c r="U15" i="541"/>
  <c r="AJ15" i="541" s="1"/>
  <c r="AK15" i="541" s="1"/>
  <c r="V15" i="541"/>
  <c r="AG15" i="541"/>
  <c r="T16" i="541"/>
  <c r="U16" i="541"/>
  <c r="V16" i="541"/>
  <c r="AG16" i="541"/>
  <c r="T17" i="541"/>
  <c r="AH17" i="541" s="1"/>
  <c r="U17" i="541"/>
  <c r="AJ17" i="541" s="1"/>
  <c r="AG17" i="541"/>
  <c r="T18" i="541"/>
  <c r="AH18" i="541" s="1"/>
  <c r="U18" i="541"/>
  <c r="AJ18" i="541" s="1"/>
  <c r="AG18" i="541"/>
  <c r="T19" i="541"/>
  <c r="AH19" i="541" s="1"/>
  <c r="U19" i="541"/>
  <c r="AJ19" i="541" s="1"/>
  <c r="AG19" i="541"/>
  <c r="T20" i="541"/>
  <c r="AH20" i="541" s="1"/>
  <c r="U20" i="541"/>
  <c r="AJ20" i="541" s="1"/>
  <c r="AG20" i="541"/>
  <c r="T21" i="541"/>
  <c r="U21" i="541"/>
  <c r="V21" i="541"/>
  <c r="AG21" i="541"/>
  <c r="T22" i="541"/>
  <c r="AH22" i="541" s="1"/>
  <c r="U22" i="541"/>
  <c r="AJ22" i="541" s="1"/>
  <c r="AL22" i="541" s="1"/>
  <c r="AG22" i="541"/>
  <c r="T23" i="541"/>
  <c r="AH23" i="541" s="1"/>
  <c r="U23" i="541"/>
  <c r="AJ23" i="541" s="1"/>
  <c r="AG23" i="541"/>
  <c r="T24" i="541"/>
  <c r="U24" i="541"/>
  <c r="V24" i="541"/>
  <c r="AG24" i="541"/>
  <c r="T25" i="541"/>
  <c r="AH25" i="541" s="1"/>
  <c r="U25" i="541"/>
  <c r="AJ25" i="541" s="1"/>
  <c r="AG25" i="541"/>
  <c r="T26" i="541"/>
  <c r="AH26" i="541" s="1"/>
  <c r="U26" i="541"/>
  <c r="AJ26" i="541" s="1"/>
  <c r="AG26" i="541"/>
  <c r="T27" i="541"/>
  <c r="AH27" i="541" s="1"/>
  <c r="U27" i="541"/>
  <c r="AJ27" i="541" s="1"/>
  <c r="AG27" i="541"/>
  <c r="T28" i="541"/>
  <c r="U28" i="541"/>
  <c r="V28" i="541"/>
  <c r="AM28" i="541"/>
  <c r="T29" i="541"/>
  <c r="U29" i="541"/>
  <c r="T30" i="541"/>
  <c r="AH30" i="541" s="1"/>
  <c r="U30" i="541"/>
  <c r="AJ30" i="541" s="1"/>
  <c r="AG30" i="541"/>
  <c r="T31" i="541"/>
  <c r="AH31" i="541" s="1"/>
  <c r="AI31" i="541" s="1"/>
  <c r="U31" i="541"/>
  <c r="AJ31" i="541" s="1"/>
  <c r="V31" i="541"/>
  <c r="AG31" i="541"/>
  <c r="T32" i="541"/>
  <c r="AH32" i="541" s="1"/>
  <c r="AI32" i="541" s="1"/>
  <c r="U32" i="541"/>
  <c r="AJ32" i="541" s="1"/>
  <c r="AK32" i="541" s="1"/>
  <c r="V32" i="541"/>
  <c r="AG32" i="541"/>
  <c r="T33" i="541"/>
  <c r="AH33" i="541" s="1"/>
  <c r="AI33" i="541" s="1"/>
  <c r="U33" i="541"/>
  <c r="AJ33" i="541" s="1"/>
  <c r="V33" i="541"/>
  <c r="AG33" i="541"/>
  <c r="T34" i="541"/>
  <c r="U34" i="541"/>
  <c r="AJ34" i="541" s="1"/>
  <c r="V34" i="541"/>
  <c r="AG34" i="541"/>
  <c r="AH34" i="541"/>
  <c r="AI34" i="541" s="1"/>
  <c r="T35" i="541"/>
  <c r="U35" i="541"/>
  <c r="AJ35" i="541" s="1"/>
  <c r="V35" i="541"/>
  <c r="AG35" i="541"/>
  <c r="AH35" i="541"/>
  <c r="AI35" i="541" s="1"/>
  <c r="T36" i="541"/>
  <c r="AH36" i="541" s="1"/>
  <c r="AI36" i="541" s="1"/>
  <c r="U36" i="541"/>
  <c r="AJ36" i="541" s="1"/>
  <c r="V36" i="541"/>
  <c r="AG36" i="541"/>
  <c r="T37" i="541"/>
  <c r="AH37" i="541" s="1"/>
  <c r="AI37" i="541" s="1"/>
  <c r="U37" i="541"/>
  <c r="AJ37" i="541" s="1"/>
  <c r="V37" i="541"/>
  <c r="AG37" i="541"/>
  <c r="T38" i="541"/>
  <c r="AH38" i="541" s="1"/>
  <c r="AI38" i="541" s="1"/>
  <c r="U38" i="541"/>
  <c r="AJ38" i="541" s="1"/>
  <c r="V38" i="541"/>
  <c r="AG38" i="541"/>
  <c r="T39" i="541"/>
  <c r="AH39" i="541" s="1"/>
  <c r="U39" i="541"/>
  <c r="AJ39" i="541" s="1"/>
  <c r="AK39" i="541" s="1"/>
  <c r="V39" i="541"/>
  <c r="AG39" i="541"/>
  <c r="T40" i="541"/>
  <c r="U40" i="541"/>
  <c r="AJ40" i="541" s="1"/>
  <c r="AK40" i="541" s="1"/>
  <c r="V40" i="541"/>
  <c r="AG40" i="541"/>
  <c r="AH40" i="541"/>
  <c r="AI40" i="541" s="1"/>
  <c r="T41" i="541"/>
  <c r="AH41" i="541" s="1"/>
  <c r="AI41" i="541" s="1"/>
  <c r="U41" i="541"/>
  <c r="AJ41" i="541" s="1"/>
  <c r="V41" i="541"/>
  <c r="AG41" i="541"/>
  <c r="T42" i="541"/>
  <c r="AH42" i="541" s="1"/>
  <c r="AI42" i="541" s="1"/>
  <c r="U42" i="541"/>
  <c r="AJ42" i="541" s="1"/>
  <c r="AK42" i="541" s="1"/>
  <c r="V42" i="541"/>
  <c r="AG42" i="541"/>
  <c r="T43" i="541"/>
  <c r="AH43" i="541" s="1"/>
  <c r="U43" i="541"/>
  <c r="AJ43" i="541" s="1"/>
  <c r="AK43" i="541" s="1"/>
  <c r="V43" i="541"/>
  <c r="AG43" i="541"/>
  <c r="T44" i="541"/>
  <c r="AH44" i="541" s="1"/>
  <c r="AI44" i="541" s="1"/>
  <c r="U44" i="541"/>
  <c r="AJ44" i="541" s="1"/>
  <c r="AK44" i="541" s="1"/>
  <c r="V44" i="541"/>
  <c r="AG44" i="541"/>
  <c r="T45" i="541"/>
  <c r="AH45" i="541" s="1"/>
  <c r="AI45" i="541" s="1"/>
  <c r="U45" i="541"/>
  <c r="AJ45" i="541" s="1"/>
  <c r="V45" i="541"/>
  <c r="AG45" i="541"/>
  <c r="T46" i="541"/>
  <c r="AH46" i="541" s="1"/>
  <c r="U46" i="541"/>
  <c r="AJ46" i="541" s="1"/>
  <c r="AK46" i="541" s="1"/>
  <c r="V46" i="541"/>
  <c r="AG46" i="541"/>
  <c r="T47" i="541"/>
  <c r="AH47" i="541" s="1"/>
  <c r="U47" i="541"/>
  <c r="AJ47" i="541" s="1"/>
  <c r="AK47" i="541" s="1"/>
  <c r="V47" i="541"/>
  <c r="AG47" i="541"/>
  <c r="T48" i="541"/>
  <c r="AH48" i="541" s="1"/>
  <c r="AI48" i="541" s="1"/>
  <c r="U48" i="541"/>
  <c r="AJ48" i="541" s="1"/>
  <c r="AK48" i="541" s="1"/>
  <c r="V48" i="541"/>
  <c r="AG48" i="541"/>
  <c r="T49" i="541"/>
  <c r="AH49" i="541" s="1"/>
  <c r="AI49" i="541" s="1"/>
  <c r="U49" i="541"/>
  <c r="AJ49" i="541" s="1"/>
  <c r="AK49" i="541" s="1"/>
  <c r="V49" i="541"/>
  <c r="AG49" i="541"/>
  <c r="T50" i="541"/>
  <c r="AH50" i="541" s="1"/>
  <c r="AI50" i="541" s="1"/>
  <c r="U50" i="541"/>
  <c r="AJ50" i="541" s="1"/>
  <c r="AK50" i="541" s="1"/>
  <c r="V50" i="541"/>
  <c r="AG50" i="541"/>
  <c r="T51" i="541"/>
  <c r="AH51" i="541" s="1"/>
  <c r="U51" i="541"/>
  <c r="AJ51" i="541" s="1"/>
  <c r="AK51" i="541" s="1"/>
  <c r="V51" i="541"/>
  <c r="AG51" i="541"/>
  <c r="T52" i="541"/>
  <c r="AH52" i="541" s="1"/>
  <c r="AI52" i="541" s="1"/>
  <c r="U52" i="541"/>
  <c r="AJ52" i="541" s="1"/>
  <c r="V52" i="541"/>
  <c r="AG52" i="541"/>
  <c r="T53" i="541"/>
  <c r="AH53" i="541" s="1"/>
  <c r="AI53" i="541" s="1"/>
  <c r="U53" i="541"/>
  <c r="AJ53" i="541" s="1"/>
  <c r="V53" i="541"/>
  <c r="AG53" i="541"/>
  <c r="T54" i="541"/>
  <c r="AH54" i="541" s="1"/>
  <c r="U54" i="541"/>
  <c r="AJ54" i="541" s="1"/>
  <c r="AK54" i="541" s="1"/>
  <c r="V54" i="541"/>
  <c r="AG54" i="541"/>
  <c r="T55" i="541"/>
  <c r="AH55" i="541" s="1"/>
  <c r="U55" i="541"/>
  <c r="AJ55" i="541" s="1"/>
  <c r="AK55" i="541" s="1"/>
  <c r="V55" i="541"/>
  <c r="AG55" i="541"/>
  <c r="T56" i="541"/>
  <c r="AH56" i="541" s="1"/>
  <c r="AI56" i="541" s="1"/>
  <c r="U56" i="541"/>
  <c r="AJ56" i="541" s="1"/>
  <c r="AK56" i="541" s="1"/>
  <c r="V56" i="541"/>
  <c r="AG56" i="541"/>
  <c r="T57" i="541"/>
  <c r="AH57" i="541" s="1"/>
  <c r="AI57" i="541" s="1"/>
  <c r="U57" i="541"/>
  <c r="AJ57" i="541" s="1"/>
  <c r="AK57" i="541" s="1"/>
  <c r="V57" i="541"/>
  <c r="AG57" i="541"/>
  <c r="T58" i="541"/>
  <c r="AH58" i="541" s="1"/>
  <c r="AI58" i="541" s="1"/>
  <c r="U58" i="541"/>
  <c r="AJ58" i="541" s="1"/>
  <c r="AK58" i="541" s="1"/>
  <c r="V58" i="541"/>
  <c r="AG58" i="541"/>
  <c r="T59" i="541"/>
  <c r="AH59" i="541" s="1"/>
  <c r="U59" i="541"/>
  <c r="AJ59" i="541" s="1"/>
  <c r="AK59" i="541" s="1"/>
  <c r="V59" i="541"/>
  <c r="AG59" i="541"/>
  <c r="T60" i="541"/>
  <c r="AH60" i="541" s="1"/>
  <c r="AI60" i="541" s="1"/>
  <c r="U60" i="541"/>
  <c r="AJ60" i="541" s="1"/>
  <c r="V60" i="541"/>
  <c r="AG60" i="541"/>
  <c r="T61" i="541"/>
  <c r="AH61" i="541" s="1"/>
  <c r="AI61" i="541" s="1"/>
  <c r="U61" i="541"/>
  <c r="AJ61" i="541" s="1"/>
  <c r="V61" i="541"/>
  <c r="AG61" i="541"/>
  <c r="T62" i="541"/>
  <c r="U62" i="541"/>
  <c r="AJ62" i="541" s="1"/>
  <c r="AK62" i="541" s="1"/>
  <c r="V62" i="541"/>
  <c r="AG62" i="541"/>
  <c r="AH62" i="541"/>
  <c r="T63" i="541"/>
  <c r="AH63" i="541" s="1"/>
  <c r="U63" i="541"/>
  <c r="AJ63" i="541" s="1"/>
  <c r="AK63" i="541" s="1"/>
  <c r="V63" i="541"/>
  <c r="AG63" i="541"/>
  <c r="T64" i="541"/>
  <c r="AH64" i="541" s="1"/>
  <c r="AI64" i="541" s="1"/>
  <c r="U64" i="541"/>
  <c r="AJ64" i="541" s="1"/>
  <c r="AK64" i="541" s="1"/>
  <c r="V64" i="541"/>
  <c r="AG64" i="541"/>
  <c r="T65" i="541"/>
  <c r="AH65" i="541" s="1"/>
  <c r="U65" i="541"/>
  <c r="AJ65" i="541" s="1"/>
  <c r="AK65" i="541" s="1"/>
  <c r="V65" i="541"/>
  <c r="AG65" i="541"/>
  <c r="T66" i="541"/>
  <c r="AH66" i="541" s="1"/>
  <c r="AI66" i="541" s="1"/>
  <c r="U66" i="541"/>
  <c r="AJ66" i="541" s="1"/>
  <c r="AK66" i="541" s="1"/>
  <c r="V66" i="541"/>
  <c r="AG66" i="541"/>
  <c r="T67" i="541"/>
  <c r="AH67" i="541" s="1"/>
  <c r="U67" i="541"/>
  <c r="AJ67" i="541" s="1"/>
  <c r="AK67" i="541" s="1"/>
  <c r="V67" i="541"/>
  <c r="AG67" i="541"/>
  <c r="T68" i="541"/>
  <c r="AH68" i="541" s="1"/>
  <c r="AI68" i="541" s="1"/>
  <c r="U68" i="541"/>
  <c r="AJ68" i="541" s="1"/>
  <c r="V68" i="541"/>
  <c r="AG68" i="541"/>
  <c r="T69" i="541"/>
  <c r="AH69" i="541" s="1"/>
  <c r="AI69" i="541" s="1"/>
  <c r="U69" i="541"/>
  <c r="AJ69" i="541" s="1"/>
  <c r="V69" i="541"/>
  <c r="AG69" i="541"/>
  <c r="T70" i="541"/>
  <c r="AH70" i="541" s="1"/>
  <c r="U70" i="541"/>
  <c r="AJ70" i="541" s="1"/>
  <c r="AK70" i="541" s="1"/>
  <c r="V70" i="541"/>
  <c r="AG70" i="541"/>
  <c r="T71" i="541"/>
  <c r="AH71" i="541" s="1"/>
  <c r="U71" i="541"/>
  <c r="AJ71" i="541" s="1"/>
  <c r="AK71" i="541" s="1"/>
  <c r="V71" i="541"/>
  <c r="AG71" i="541"/>
  <c r="T72" i="541"/>
  <c r="AH72" i="541" s="1"/>
  <c r="AI72" i="541" s="1"/>
  <c r="U72" i="541"/>
  <c r="AJ72" i="541" s="1"/>
  <c r="V72" i="541"/>
  <c r="AG72" i="541"/>
  <c r="T73" i="541"/>
  <c r="AH73" i="541" s="1"/>
  <c r="AI73" i="541" s="1"/>
  <c r="U73" i="541"/>
  <c r="AJ73" i="541" s="1"/>
  <c r="V73" i="541"/>
  <c r="AG73" i="541"/>
  <c r="T74" i="541"/>
  <c r="AH74" i="541" s="1"/>
  <c r="AI74" i="541" s="1"/>
  <c r="U74" i="541"/>
  <c r="AJ74" i="541" s="1"/>
  <c r="AK74" i="541" s="1"/>
  <c r="V74" i="541"/>
  <c r="AG74" i="541"/>
  <c r="T75" i="541"/>
  <c r="AH75" i="541" s="1"/>
  <c r="AI75" i="541" s="1"/>
  <c r="U75" i="541"/>
  <c r="AJ75" i="541" s="1"/>
  <c r="V75" i="541"/>
  <c r="AG75" i="541"/>
  <c r="T76" i="541"/>
  <c r="AH76" i="541" s="1"/>
  <c r="AI76" i="541" s="1"/>
  <c r="U76" i="541"/>
  <c r="AJ76" i="541" s="1"/>
  <c r="V76" i="541"/>
  <c r="AG76" i="541"/>
  <c r="T77" i="541"/>
  <c r="AH77" i="541" s="1"/>
  <c r="AI77" i="541" s="1"/>
  <c r="U77" i="541"/>
  <c r="AJ77" i="541" s="1"/>
  <c r="V77" i="541"/>
  <c r="AG77" i="541"/>
  <c r="T78" i="541"/>
  <c r="AH78" i="541" s="1"/>
  <c r="AI78" i="541" s="1"/>
  <c r="U78" i="541"/>
  <c r="AJ78" i="541" s="1"/>
  <c r="V78" i="541"/>
  <c r="AG78" i="541"/>
  <c r="T79" i="541"/>
  <c r="AH79" i="541" s="1"/>
  <c r="AI79" i="541" s="1"/>
  <c r="U79" i="541"/>
  <c r="AJ79" i="541" s="1"/>
  <c r="V79" i="541"/>
  <c r="AG79" i="541"/>
  <c r="T80" i="541"/>
  <c r="AH80" i="541" s="1"/>
  <c r="AI80" i="541" s="1"/>
  <c r="U80" i="541"/>
  <c r="AJ80" i="541" s="1"/>
  <c r="AK80" i="541" s="1"/>
  <c r="V80" i="541"/>
  <c r="AG80" i="541"/>
  <c r="T81" i="541"/>
  <c r="AH81" i="541" s="1"/>
  <c r="AI81" i="541" s="1"/>
  <c r="U81" i="541"/>
  <c r="AJ81" i="541" s="1"/>
  <c r="V81" i="541"/>
  <c r="AG81" i="541"/>
  <c r="T82" i="541"/>
  <c r="AH82" i="541" s="1"/>
  <c r="AI82" i="541" s="1"/>
  <c r="U82" i="541"/>
  <c r="AJ82" i="541" s="1"/>
  <c r="AK82" i="541" s="1"/>
  <c r="V82" i="541"/>
  <c r="AG82" i="541"/>
  <c r="T83" i="541"/>
  <c r="AH83" i="541" s="1"/>
  <c r="AI83" i="541" s="1"/>
  <c r="U83" i="541"/>
  <c r="AJ83" i="541" s="1"/>
  <c r="V83" i="541"/>
  <c r="AG83" i="541"/>
  <c r="T84" i="541"/>
  <c r="AH84" i="541" s="1"/>
  <c r="AI84" i="541" s="1"/>
  <c r="U84" i="541"/>
  <c r="AJ84" i="541" s="1"/>
  <c r="AK84" i="541" s="1"/>
  <c r="V84" i="541"/>
  <c r="AG84" i="541"/>
  <c r="T85" i="541"/>
  <c r="AH85" i="541" s="1"/>
  <c r="AI85" i="541" s="1"/>
  <c r="U85" i="541"/>
  <c r="AJ85" i="541" s="1"/>
  <c r="V85" i="541"/>
  <c r="AG85" i="541"/>
  <c r="T86" i="541"/>
  <c r="AH86" i="541" s="1"/>
  <c r="AI86" i="541" s="1"/>
  <c r="U86" i="541"/>
  <c r="AJ86" i="541" s="1"/>
  <c r="AK86" i="541" s="1"/>
  <c r="V86" i="541"/>
  <c r="AG86" i="541"/>
  <c r="T87" i="541"/>
  <c r="AH87" i="541" s="1"/>
  <c r="AI87" i="541" s="1"/>
  <c r="U87" i="541"/>
  <c r="AJ87" i="541" s="1"/>
  <c r="V87" i="541"/>
  <c r="AG87" i="541"/>
  <c r="T88" i="541"/>
  <c r="AH88" i="541" s="1"/>
  <c r="U88" i="541"/>
  <c r="AJ88" i="541" s="1"/>
  <c r="AK88" i="541" s="1"/>
  <c r="V88" i="541"/>
  <c r="AG88" i="541"/>
  <c r="T89" i="541"/>
  <c r="AH89" i="541" s="1"/>
  <c r="AI89" i="541" s="1"/>
  <c r="U89" i="541"/>
  <c r="AJ89" i="541" s="1"/>
  <c r="V89" i="541"/>
  <c r="AG89" i="541"/>
  <c r="T90" i="541"/>
  <c r="AH90" i="541" s="1"/>
  <c r="AI90" i="541" s="1"/>
  <c r="U90" i="541"/>
  <c r="AJ90" i="541" s="1"/>
  <c r="AK90" i="541" s="1"/>
  <c r="V90" i="541"/>
  <c r="AG90" i="541"/>
  <c r="T91" i="541"/>
  <c r="AH91" i="541" s="1"/>
  <c r="AI91" i="541" s="1"/>
  <c r="U91" i="541"/>
  <c r="AJ91" i="541" s="1"/>
  <c r="V91" i="541"/>
  <c r="AG91" i="541"/>
  <c r="T92" i="541"/>
  <c r="AH92" i="541" s="1"/>
  <c r="AI92" i="541" s="1"/>
  <c r="U92" i="541"/>
  <c r="AJ92" i="541" s="1"/>
  <c r="V92" i="541"/>
  <c r="AG92" i="541"/>
  <c r="T93" i="541"/>
  <c r="AH93" i="541" s="1"/>
  <c r="AI93" i="541" s="1"/>
  <c r="U93" i="541"/>
  <c r="AJ93" i="541" s="1"/>
  <c r="AK93" i="541" s="1"/>
  <c r="V93" i="541"/>
  <c r="AG93" i="541"/>
  <c r="T94" i="541"/>
  <c r="AH94" i="541" s="1"/>
  <c r="AI94" i="541" s="1"/>
  <c r="U94" i="541"/>
  <c r="AJ94" i="541" s="1"/>
  <c r="V94" i="541"/>
  <c r="AG94" i="541"/>
  <c r="T95" i="541"/>
  <c r="AH95" i="541" s="1"/>
  <c r="AI95" i="541" s="1"/>
  <c r="U95" i="541"/>
  <c r="AJ95" i="541" s="1"/>
  <c r="V95" i="541"/>
  <c r="AG95" i="541"/>
  <c r="T96" i="541"/>
  <c r="AH96" i="541" s="1"/>
  <c r="U96" i="541"/>
  <c r="AJ96" i="541" s="1"/>
  <c r="AK96" i="541" s="1"/>
  <c r="V96" i="541"/>
  <c r="AG96" i="541"/>
  <c r="T97" i="541"/>
  <c r="AH97" i="541" s="1"/>
  <c r="AI97" i="541" s="1"/>
  <c r="U97" i="541"/>
  <c r="AJ97" i="541" s="1"/>
  <c r="V97" i="541"/>
  <c r="AG97" i="541"/>
  <c r="T98" i="541"/>
  <c r="AH98" i="541" s="1"/>
  <c r="U98" i="541"/>
  <c r="AJ98" i="541" s="1"/>
  <c r="AK98" i="541" s="1"/>
  <c r="V98" i="541"/>
  <c r="AG98" i="541"/>
  <c r="T99" i="541"/>
  <c r="AH99" i="541" s="1"/>
  <c r="AI99" i="541" s="1"/>
  <c r="U99" i="541"/>
  <c r="AJ99" i="541" s="1"/>
  <c r="V99" i="541"/>
  <c r="AG99" i="541"/>
  <c r="T100" i="541"/>
  <c r="AH100" i="541" s="1"/>
  <c r="AI100" i="541" s="1"/>
  <c r="U100" i="541"/>
  <c r="AJ100" i="541" s="1"/>
  <c r="AK100" i="541" s="1"/>
  <c r="V100" i="541"/>
  <c r="AG100" i="541"/>
  <c r="T101" i="541"/>
  <c r="AH101" i="541" s="1"/>
  <c r="AI101" i="541" s="1"/>
  <c r="U101" i="541"/>
  <c r="AJ101" i="541" s="1"/>
  <c r="AK101" i="541" s="1"/>
  <c r="V101" i="541"/>
  <c r="AG101" i="541"/>
  <c r="T102" i="541"/>
  <c r="AH102" i="541" s="1"/>
  <c r="U102" i="541"/>
  <c r="AJ102" i="541" s="1"/>
  <c r="AK102" i="541" s="1"/>
  <c r="V102" i="541"/>
  <c r="AG102" i="541"/>
  <c r="T103" i="541"/>
  <c r="AH103" i="541" s="1"/>
  <c r="AI103" i="541" s="1"/>
  <c r="U103" i="541"/>
  <c r="AJ103" i="541" s="1"/>
  <c r="V103" i="541"/>
  <c r="AG103" i="541"/>
  <c r="T104" i="541"/>
  <c r="AH104" i="541" s="1"/>
  <c r="U104" i="541"/>
  <c r="AJ104" i="541" s="1"/>
  <c r="AK104" i="541" s="1"/>
  <c r="V104" i="541"/>
  <c r="AG104" i="541"/>
  <c r="T105" i="541"/>
  <c r="AH105" i="541" s="1"/>
  <c r="AI105" i="541" s="1"/>
  <c r="U105" i="541"/>
  <c r="AJ105" i="541" s="1"/>
  <c r="V105" i="541"/>
  <c r="AG105" i="541"/>
  <c r="AH16" i="541" l="1"/>
  <c r="AI16" i="541" s="1"/>
  <c r="AH24" i="541"/>
  <c r="AI24" i="541" s="1"/>
  <c r="AL18" i="541"/>
  <c r="AJ24" i="541"/>
  <c r="AL23" i="541"/>
  <c r="AJ16" i="541"/>
  <c r="AL16" i="541" s="1"/>
  <c r="AL30" i="541"/>
  <c r="AL27" i="541"/>
  <c r="AL25" i="541"/>
  <c r="AL17" i="541"/>
  <c r="AL20" i="541"/>
  <c r="AL12" i="541"/>
  <c r="AL11" i="541"/>
  <c r="AH15" i="541"/>
  <c r="AL15" i="541" s="1"/>
  <c r="AL10" i="541"/>
  <c r="AL14" i="541"/>
  <c r="AH13" i="541"/>
  <c r="AL26" i="541"/>
  <c r="AL19" i="541"/>
  <c r="AH9" i="541"/>
  <c r="AI88" i="541"/>
  <c r="AM88" i="541" s="1"/>
  <c r="AL88" i="541"/>
  <c r="AL84" i="541"/>
  <c r="AM57" i="541"/>
  <c r="AL78" i="541"/>
  <c r="AL56" i="541"/>
  <c r="AL76" i="541"/>
  <c r="AL34" i="541"/>
  <c r="AI98" i="541"/>
  <c r="AM98" i="541" s="1"/>
  <c r="AL98" i="541"/>
  <c r="AI102" i="541"/>
  <c r="AM102" i="541" s="1"/>
  <c r="AL102" i="541"/>
  <c r="AK92" i="541"/>
  <c r="AM92" i="541" s="1"/>
  <c r="AL92" i="541"/>
  <c r="AM80" i="541"/>
  <c r="AK76" i="541"/>
  <c r="AM76" i="541" s="1"/>
  <c r="AM93" i="541"/>
  <c r="AL93" i="541"/>
  <c r="AL49" i="541"/>
  <c r="AI104" i="541"/>
  <c r="AM104" i="541" s="1"/>
  <c r="AL104" i="541"/>
  <c r="AL65" i="541"/>
  <c r="AI65" i="541"/>
  <c r="AM65" i="541" s="1"/>
  <c r="AI96" i="541"/>
  <c r="AM96" i="541" s="1"/>
  <c r="AL96" i="541"/>
  <c r="AK94" i="541"/>
  <c r="AM94" i="541" s="1"/>
  <c r="AL94" i="541"/>
  <c r="AM100" i="541"/>
  <c r="AM101" i="541"/>
  <c r="AL72" i="541"/>
  <c r="AL48" i="541"/>
  <c r="AL40" i="541"/>
  <c r="AL36" i="541"/>
  <c r="AK34" i="541"/>
  <c r="AM34" i="541" s="1"/>
  <c r="AL100" i="541"/>
  <c r="AM86" i="541"/>
  <c r="AM74" i="541"/>
  <c r="AL64" i="541"/>
  <c r="AL51" i="541"/>
  <c r="AL43" i="541"/>
  <c r="AL32" i="541"/>
  <c r="AL90" i="541"/>
  <c r="AL86" i="541"/>
  <c r="AL82" i="541"/>
  <c r="AL80" i="541"/>
  <c r="AL74" i="541"/>
  <c r="AK72" i="541"/>
  <c r="AM72" i="541" s="1"/>
  <c r="AL67" i="541"/>
  <c r="AL42" i="541"/>
  <c r="AL38" i="541"/>
  <c r="AK36" i="541"/>
  <c r="AM36" i="541" s="1"/>
  <c r="AI70" i="541"/>
  <c r="AM70" i="541" s="1"/>
  <c r="AL70" i="541"/>
  <c r="AK105" i="541"/>
  <c r="AM105" i="541" s="1"/>
  <c r="AL105" i="541"/>
  <c r="AK103" i="541"/>
  <c r="AM103" i="541" s="1"/>
  <c r="AL103" i="541"/>
  <c r="AK91" i="541"/>
  <c r="AM91" i="541" s="1"/>
  <c r="AL91" i="541"/>
  <c r="AK60" i="541"/>
  <c r="AM60" i="541" s="1"/>
  <c r="AL60" i="541"/>
  <c r="AK75" i="541"/>
  <c r="AM75" i="541" s="1"/>
  <c r="AL75" i="541"/>
  <c r="AK45" i="541"/>
  <c r="AM45" i="541" s="1"/>
  <c r="AL45" i="541"/>
  <c r="AK99" i="541"/>
  <c r="AM99" i="541" s="1"/>
  <c r="AL99" i="541"/>
  <c r="AM90" i="541"/>
  <c r="AK85" i="541"/>
  <c r="AM85" i="541" s="1"/>
  <c r="AL85" i="541"/>
  <c r="AK81" i="541"/>
  <c r="AM81" i="541" s="1"/>
  <c r="AL81" i="541"/>
  <c r="AI71" i="541"/>
  <c r="AM71" i="541" s="1"/>
  <c r="AL71" i="541"/>
  <c r="AK69" i="541"/>
  <c r="AM69" i="541" s="1"/>
  <c r="AL69" i="541"/>
  <c r="AI62" i="541"/>
  <c r="AM62" i="541" s="1"/>
  <c r="AL62" i="541"/>
  <c r="AK52" i="541"/>
  <c r="AM52" i="541" s="1"/>
  <c r="AL52" i="541"/>
  <c r="AM49" i="541"/>
  <c r="AK41" i="541"/>
  <c r="AM41" i="541" s="1"/>
  <c r="AL41" i="541"/>
  <c r="AI39" i="541"/>
  <c r="AM39" i="541" s="1"/>
  <c r="AL39" i="541"/>
  <c r="AK97" i="541"/>
  <c r="AM97" i="541" s="1"/>
  <c r="AL97" i="541"/>
  <c r="AK87" i="541"/>
  <c r="AM87" i="541" s="1"/>
  <c r="AL87" i="541"/>
  <c r="AM84" i="541"/>
  <c r="AK79" i="541"/>
  <c r="AM79" i="541" s="1"/>
  <c r="AL79" i="541"/>
  <c r="AK73" i="541"/>
  <c r="AM73" i="541" s="1"/>
  <c r="AL73" i="541"/>
  <c r="AI63" i="541"/>
  <c r="AM63" i="541" s="1"/>
  <c r="AL63" i="541"/>
  <c r="AK61" i="541"/>
  <c r="AM61" i="541" s="1"/>
  <c r="AL61" i="541"/>
  <c r="AI54" i="541"/>
  <c r="AM54" i="541" s="1"/>
  <c r="AL54" i="541"/>
  <c r="AI47" i="541"/>
  <c r="AM47" i="541" s="1"/>
  <c r="AL47" i="541"/>
  <c r="AK83" i="541"/>
  <c r="AM83" i="541" s="1"/>
  <c r="AL83" i="541"/>
  <c r="AK78" i="541"/>
  <c r="AM78" i="541" s="1"/>
  <c r="AL101" i="541"/>
  <c r="AK95" i="541"/>
  <c r="AM95" i="541" s="1"/>
  <c r="AL95" i="541"/>
  <c r="AK89" i="541"/>
  <c r="AM89" i="541" s="1"/>
  <c r="AL89" i="541"/>
  <c r="AM82" i="541"/>
  <c r="AK77" i="541"/>
  <c r="AM77" i="541" s="1"/>
  <c r="AL77" i="541"/>
  <c r="AK68" i="541"/>
  <c r="AM68" i="541" s="1"/>
  <c r="AL68" i="541"/>
  <c r="AL59" i="541"/>
  <c r="AL57" i="541"/>
  <c r="AI55" i="541"/>
  <c r="AM55" i="541" s="1"/>
  <c r="AL55" i="541"/>
  <c r="AK53" i="541"/>
  <c r="AM53" i="541" s="1"/>
  <c r="AL53" i="541"/>
  <c r="AI46" i="541"/>
  <c r="AM46" i="541" s="1"/>
  <c r="AL46" i="541"/>
  <c r="AL13" i="541"/>
  <c r="AI13" i="541"/>
  <c r="AM13" i="541" s="1"/>
  <c r="AI67" i="541"/>
  <c r="AM67" i="541" s="1"/>
  <c r="AI59" i="541"/>
  <c r="AM59" i="541" s="1"/>
  <c r="AI51" i="541"/>
  <c r="AM51" i="541" s="1"/>
  <c r="AM44" i="541"/>
  <c r="AI43" i="541"/>
  <c r="AM43" i="541" s="1"/>
  <c r="AK38" i="541"/>
  <c r="AM38" i="541" s="1"/>
  <c r="AK37" i="541"/>
  <c r="AM37" i="541" s="1"/>
  <c r="AL37" i="541"/>
  <c r="AK33" i="541"/>
  <c r="AM33" i="541" s="1"/>
  <c r="AL33" i="541"/>
  <c r="AM32" i="541"/>
  <c r="AM66" i="541"/>
  <c r="AM58" i="541"/>
  <c r="AM50" i="541"/>
  <c r="AL44" i="541"/>
  <c r="AM42" i="541"/>
  <c r="AK16" i="541"/>
  <c r="AM16" i="541" s="1"/>
  <c r="AL66" i="541"/>
  <c r="AM64" i="541"/>
  <c r="AL58" i="541"/>
  <c r="AM56" i="541"/>
  <c r="AL50" i="541"/>
  <c r="AM48" i="541"/>
  <c r="AM40" i="541"/>
  <c r="AK35" i="541"/>
  <c r="AM35" i="541" s="1"/>
  <c r="AL35" i="541"/>
  <c r="AK31" i="541"/>
  <c r="AM31" i="541" s="1"/>
  <c r="AL31" i="541"/>
  <c r="AK24" i="541"/>
  <c r="AM24" i="541" s="1"/>
  <c r="AL24" i="541"/>
  <c r="AH21" i="541"/>
  <c r="AJ21" i="541"/>
  <c r="AK21" i="541" s="1"/>
  <c r="AL9" i="541"/>
  <c r="AI9" i="541"/>
  <c r="AM9" i="541" s="1"/>
  <c r="AI15" i="541" l="1"/>
  <c r="AM15" i="541" s="1"/>
  <c r="AL21" i="541"/>
  <c r="AI21" i="541"/>
  <c r="AM21" i="541" s="1"/>
  <c r="W4" i="437" l="1"/>
  <c r="S4" i="437"/>
  <c r="AJ21" i="437" l="1"/>
  <c r="AG21" i="437"/>
  <c r="AD21" i="437"/>
  <c r="AG228" i="437"/>
  <c r="AG227" i="437"/>
  <c r="AG226" i="437"/>
  <c r="AG225" i="437"/>
  <c r="AG224" i="437"/>
  <c r="AG223" i="437"/>
  <c r="AG222" i="437"/>
  <c r="AG221" i="437"/>
  <c r="AG220" i="437"/>
  <c r="AG219" i="437"/>
  <c r="AG218" i="437"/>
  <c r="AG217" i="437"/>
  <c r="AG216" i="437"/>
  <c r="AG215" i="437"/>
  <c r="AG214" i="437"/>
  <c r="AD228" i="437"/>
  <c r="AD227" i="437"/>
  <c r="AD226" i="437"/>
  <c r="AD225" i="437"/>
  <c r="AD224" i="437"/>
  <c r="AD223" i="437"/>
  <c r="AD222" i="437"/>
  <c r="AD221" i="437"/>
  <c r="AD220" i="437"/>
  <c r="AD219" i="437"/>
  <c r="AE219" i="437" s="1"/>
  <c r="AD218" i="437"/>
  <c r="AD217" i="437"/>
  <c r="AE217" i="437" s="1"/>
  <c r="AD216" i="437"/>
  <c r="AD215" i="437"/>
  <c r="AD214" i="437"/>
  <c r="AE214" i="437" s="1"/>
  <c r="AD212" i="437"/>
  <c r="AC212" i="437"/>
  <c r="AC215" i="437"/>
  <c r="AC214" i="437"/>
  <c r="AJ213" i="437"/>
  <c r="AJ212" i="437"/>
  <c r="AJ211" i="437"/>
  <c r="AJ210" i="437"/>
  <c r="AG213" i="437"/>
  <c r="AG212" i="437"/>
  <c r="AG211" i="437"/>
  <c r="AG210" i="437"/>
  <c r="AD213" i="437"/>
  <c r="AD211" i="437"/>
  <c r="AD210" i="437"/>
  <c r="AD473" i="437"/>
  <c r="AE473" i="437" s="1"/>
  <c r="AD472" i="437"/>
  <c r="AE472" i="437" s="1"/>
  <c r="AD471" i="437"/>
  <c r="AE471" i="437" s="1"/>
  <c r="AD470" i="437"/>
  <c r="AE470" i="437" s="1"/>
  <c r="AD469" i="437"/>
  <c r="AE469" i="437" s="1"/>
  <c r="AG473" i="437"/>
  <c r="AH473" i="437" s="1"/>
  <c r="AG472" i="437"/>
  <c r="AH472" i="437" s="1"/>
  <c r="AG471" i="437"/>
  <c r="AG470" i="437"/>
  <c r="AG474" i="437"/>
  <c r="AH474" i="437" s="1"/>
  <c r="AG469" i="437"/>
  <c r="AH469" i="437" s="1"/>
  <c r="AH471" i="437"/>
  <c r="AH470" i="437"/>
  <c r="AG567" i="437"/>
  <c r="AH567" i="437" s="1"/>
  <c r="AG566" i="437"/>
  <c r="AH566" i="437" s="1"/>
  <c r="AG565" i="437"/>
  <c r="AH565" i="437" s="1"/>
  <c r="AG564" i="437"/>
  <c r="AH564" i="437" s="1"/>
  <c r="AG563" i="437"/>
  <c r="AH563" i="437" s="1"/>
  <c r="AG562" i="437"/>
  <c r="AH562" i="437" s="1"/>
  <c r="AG561" i="437"/>
  <c r="AH561" i="437" s="1"/>
  <c r="AG560" i="437"/>
  <c r="AH560" i="437" s="1"/>
  <c r="AG559" i="437"/>
  <c r="AH559" i="437" s="1"/>
  <c r="AG558" i="437"/>
  <c r="AH558" i="437" s="1"/>
  <c r="AG557" i="437"/>
  <c r="AH557" i="437" s="1"/>
  <c r="AG556" i="437"/>
  <c r="AH556" i="437" s="1"/>
  <c r="AG555" i="437"/>
  <c r="AH555" i="437" s="1"/>
  <c r="AG554" i="437"/>
  <c r="AH554" i="437" s="1"/>
  <c r="AD567" i="437"/>
  <c r="AE567" i="437" s="1"/>
  <c r="AD566" i="437"/>
  <c r="AE566" i="437" s="1"/>
  <c r="AD565" i="437"/>
  <c r="AE565" i="437" s="1"/>
  <c r="AD564" i="437"/>
  <c r="AE564" i="437" s="1"/>
  <c r="AD563" i="437"/>
  <c r="AE563" i="437" s="1"/>
  <c r="AD562" i="437"/>
  <c r="AE562" i="437" s="1"/>
  <c r="AD561" i="437"/>
  <c r="AE561" i="437" s="1"/>
  <c r="AD560" i="437"/>
  <c r="AE560" i="437" s="1"/>
  <c r="AD559" i="437"/>
  <c r="AE559" i="437" s="1"/>
  <c r="AD558" i="437"/>
  <c r="AE558" i="437" s="1"/>
  <c r="AD557" i="437"/>
  <c r="AE557" i="437" s="1"/>
  <c r="AD556" i="437"/>
  <c r="AE556" i="437" s="1"/>
  <c r="AD555" i="437"/>
  <c r="AE555" i="437" s="1"/>
  <c r="AD554" i="437"/>
  <c r="AE554" i="437" s="1"/>
  <c r="AD553" i="437"/>
  <c r="AE553" i="437" s="1"/>
  <c r="AG553" i="437"/>
  <c r="AH553" i="437" s="1"/>
  <c r="AJ473" i="437"/>
  <c r="AC473" i="437"/>
  <c r="Z473" i="437"/>
  <c r="AA473" i="437" s="1"/>
  <c r="W473" i="437"/>
  <c r="X473" i="437" s="1"/>
  <c r="S473" i="437"/>
  <c r="R473" i="437"/>
  <c r="U473" i="437" s="1"/>
  <c r="AJ472" i="437"/>
  <c r="AC472" i="437"/>
  <c r="Z472" i="437"/>
  <c r="AA472" i="437" s="1"/>
  <c r="W472" i="437"/>
  <c r="X472" i="437" s="1"/>
  <c r="S472" i="437"/>
  <c r="R472" i="437"/>
  <c r="U472" i="437" s="1"/>
  <c r="AJ471" i="437"/>
  <c r="AC471" i="437"/>
  <c r="Z471" i="437"/>
  <c r="AA471" i="437" s="1"/>
  <c r="W471" i="437"/>
  <c r="X471" i="437" s="1"/>
  <c r="S471" i="437"/>
  <c r="R471" i="437"/>
  <c r="U471" i="437" s="1"/>
  <c r="AJ470" i="437"/>
  <c r="AC470" i="437"/>
  <c r="Z470" i="437"/>
  <c r="AA470" i="437" s="1"/>
  <c r="W470" i="437"/>
  <c r="X470" i="437" s="1"/>
  <c r="S470" i="437"/>
  <c r="R470" i="437"/>
  <c r="U470" i="437" s="1"/>
  <c r="AJ469" i="437"/>
  <c r="AC469" i="437"/>
  <c r="Z469" i="437"/>
  <c r="AA469" i="437" s="1"/>
  <c r="W469" i="437"/>
  <c r="X469" i="437" s="1"/>
  <c r="S469" i="437"/>
  <c r="R469" i="437"/>
  <c r="U469" i="437" s="1"/>
  <c r="AG373" i="437"/>
  <c r="AH373" i="437" s="1"/>
  <c r="AG372" i="437"/>
  <c r="AH372" i="437" s="1"/>
  <c r="AG371" i="437"/>
  <c r="AH371" i="437" s="1"/>
  <c r="AG370" i="437"/>
  <c r="AH370" i="437" s="1"/>
  <c r="AG369" i="437"/>
  <c r="AH369" i="437" s="1"/>
  <c r="AG368" i="437"/>
  <c r="AH368" i="437" s="1"/>
  <c r="AG367" i="437"/>
  <c r="AH367" i="437" s="1"/>
  <c r="AG366" i="437"/>
  <c r="AH366" i="437" s="1"/>
  <c r="AG365" i="437"/>
  <c r="AH365" i="437" s="1"/>
  <c r="AG364" i="437"/>
  <c r="AH364" i="437" s="1"/>
  <c r="AG363" i="437"/>
  <c r="AH363" i="437" s="1"/>
  <c r="AG362" i="437"/>
  <c r="AH362" i="437" s="1"/>
  <c r="AD373" i="437"/>
  <c r="AE373" i="437" s="1"/>
  <c r="AD372" i="437"/>
  <c r="AE372" i="437" s="1"/>
  <c r="AD371" i="437"/>
  <c r="AE371" i="437" s="1"/>
  <c r="AD370" i="437"/>
  <c r="AE370" i="437" s="1"/>
  <c r="AD369" i="437"/>
  <c r="AE369" i="437" s="1"/>
  <c r="AD368" i="437"/>
  <c r="AE368" i="437" s="1"/>
  <c r="AD367" i="437"/>
  <c r="AE367" i="437" s="1"/>
  <c r="AD366" i="437"/>
  <c r="AE366" i="437" s="1"/>
  <c r="AD365" i="437"/>
  <c r="AE365" i="437" s="1"/>
  <c r="AD364" i="437"/>
  <c r="AE364" i="437" s="1"/>
  <c r="AD363" i="437"/>
  <c r="AE363" i="437" s="1"/>
  <c r="AD362" i="437"/>
  <c r="AE362" i="437" s="1"/>
  <c r="AD361" i="437"/>
  <c r="AE361" i="437" s="1"/>
  <c r="AG361" i="437"/>
  <c r="AH361" i="437" s="1"/>
  <c r="Z373" i="437"/>
  <c r="AA373" i="437" s="1"/>
  <c r="Z372" i="437"/>
  <c r="AA372" i="437" s="1"/>
  <c r="Z371" i="437"/>
  <c r="AA371" i="437" s="1"/>
  <c r="Z370" i="437"/>
  <c r="AA370" i="437" s="1"/>
  <c r="Z369" i="437"/>
  <c r="AA369" i="437" s="1"/>
  <c r="Z368" i="437"/>
  <c r="AA368" i="437" s="1"/>
  <c r="Z367" i="437"/>
  <c r="AA367" i="437" s="1"/>
  <c r="Z366" i="437"/>
  <c r="AA366" i="437" s="1"/>
  <c r="Z365" i="437"/>
  <c r="AA365" i="437" s="1"/>
  <c r="Z364" i="437"/>
  <c r="AA364" i="437" s="1"/>
  <c r="Z363" i="437"/>
  <c r="AA363" i="437" s="1"/>
  <c r="Z362" i="437"/>
  <c r="AA362" i="437" s="1"/>
  <c r="W373" i="437"/>
  <c r="X373" i="437" s="1"/>
  <c r="W372" i="437"/>
  <c r="X372" i="437" s="1"/>
  <c r="W371" i="437"/>
  <c r="X371" i="437" s="1"/>
  <c r="W370" i="437"/>
  <c r="X370" i="437" s="1"/>
  <c r="W369" i="437"/>
  <c r="X369" i="437" s="1"/>
  <c r="W368" i="437"/>
  <c r="X368" i="437" s="1"/>
  <c r="W367" i="437"/>
  <c r="X367" i="437" s="1"/>
  <c r="W366" i="437"/>
  <c r="X366" i="437" s="1"/>
  <c r="W365" i="437"/>
  <c r="X365" i="437" s="1"/>
  <c r="W364" i="437"/>
  <c r="X364" i="437" s="1"/>
  <c r="W363" i="437"/>
  <c r="X363" i="437" s="1"/>
  <c r="W362" i="437"/>
  <c r="X362" i="437" s="1"/>
  <c r="Z361" i="437"/>
  <c r="AA361" i="437" s="1"/>
  <c r="Z360" i="437"/>
  <c r="W361" i="437"/>
  <c r="X361" i="437" s="1"/>
  <c r="AE332" i="437" l="1"/>
  <c r="AE331" i="437"/>
  <c r="AE330" i="437"/>
  <c r="AE328" i="437"/>
  <c r="AE325" i="437"/>
  <c r="AE324" i="437"/>
  <c r="AE323" i="437"/>
  <c r="AE321" i="437"/>
  <c r="AE262" i="437"/>
  <c r="AE254" i="437"/>
  <c r="AE190" i="437"/>
  <c r="AE189" i="437"/>
  <c r="AE185" i="437"/>
  <c r="AE171" i="437"/>
  <c r="AE169" i="437"/>
  <c r="AE159" i="437"/>
  <c r="AE155" i="437"/>
  <c r="AE99" i="437"/>
  <c r="AE7" i="437"/>
  <c r="AH332" i="437"/>
  <c r="AH331" i="437"/>
  <c r="AH330" i="437"/>
  <c r="AH328" i="437"/>
  <c r="AH325" i="437"/>
  <c r="AH324" i="437"/>
  <c r="AH323" i="437"/>
  <c r="AH321" i="437"/>
  <c r="AH262" i="437"/>
  <c r="AH254" i="437"/>
  <c r="AH190" i="437"/>
  <c r="AH189" i="437"/>
  <c r="AH185" i="437"/>
  <c r="AH171" i="437"/>
  <c r="AH169" i="437"/>
  <c r="AH159" i="437"/>
  <c r="AH155" i="437"/>
  <c r="AH99" i="437"/>
  <c r="AH7" i="437"/>
  <c r="AA332" i="437"/>
  <c r="AA331" i="437"/>
  <c r="AA330" i="437"/>
  <c r="AA328" i="437"/>
  <c r="AA325" i="437"/>
  <c r="AA324" i="437"/>
  <c r="AA323" i="437"/>
  <c r="AA321" i="437"/>
  <c r="AA262" i="437"/>
  <c r="AA254" i="437"/>
  <c r="AA190" i="437"/>
  <c r="AA189" i="437"/>
  <c r="AA185" i="437"/>
  <c r="AA171" i="437"/>
  <c r="AA169" i="437"/>
  <c r="AA159" i="437"/>
  <c r="AA155" i="437"/>
  <c r="AA99" i="437"/>
  <c r="AA7" i="437"/>
  <c r="X332" i="437"/>
  <c r="X331" i="437"/>
  <c r="X330" i="437"/>
  <c r="X328" i="437"/>
  <c r="X325" i="437"/>
  <c r="X324" i="437"/>
  <c r="X323" i="437"/>
  <c r="X321" i="437"/>
  <c r="X262" i="437"/>
  <c r="X254" i="437"/>
  <c r="X190" i="437"/>
  <c r="X189" i="437"/>
  <c r="X185" i="437"/>
  <c r="X171" i="437"/>
  <c r="X169" i="437"/>
  <c r="X159" i="437"/>
  <c r="X155" i="437"/>
  <c r="X99" i="437"/>
  <c r="X7" i="437"/>
  <c r="AG657" i="437"/>
  <c r="AH657" i="437" s="1"/>
  <c r="AG656" i="437"/>
  <c r="AH656" i="437" s="1"/>
  <c r="AG655" i="437"/>
  <c r="AH655" i="437" s="1"/>
  <c r="AG654" i="437"/>
  <c r="AH654" i="437" s="1"/>
  <c r="AG653" i="437"/>
  <c r="AH653" i="437" s="1"/>
  <c r="AG652" i="437"/>
  <c r="AH652" i="437" s="1"/>
  <c r="AG651" i="437"/>
  <c r="AH651" i="437" s="1"/>
  <c r="AG650" i="437"/>
  <c r="AH650" i="437" s="1"/>
  <c r="AG649" i="437"/>
  <c r="AH649" i="437" s="1"/>
  <c r="AG648" i="437"/>
  <c r="AH648" i="437" s="1"/>
  <c r="AG647" i="437"/>
  <c r="AH647" i="437" s="1"/>
  <c r="AG646" i="437"/>
  <c r="AH646" i="437" s="1"/>
  <c r="AG645" i="437"/>
  <c r="AH645" i="437" s="1"/>
  <c r="AG644" i="437"/>
  <c r="AH644" i="437" s="1"/>
  <c r="AG643" i="437"/>
  <c r="AH643" i="437" s="1"/>
  <c r="AG642" i="437"/>
  <c r="AH642" i="437" s="1"/>
  <c r="AG641" i="437"/>
  <c r="AH641" i="437" s="1"/>
  <c r="AG640" i="437"/>
  <c r="AH640" i="437" s="1"/>
  <c r="AG639" i="437"/>
  <c r="AH639" i="437" s="1"/>
  <c r="AG638" i="437"/>
  <c r="AH638" i="437" s="1"/>
  <c r="AG637" i="437"/>
  <c r="AH637" i="437" s="1"/>
  <c r="AG636" i="437"/>
  <c r="AH636" i="437" s="1"/>
  <c r="AG635" i="437"/>
  <c r="AH635" i="437" s="1"/>
  <c r="AG634" i="437"/>
  <c r="AH634" i="437" s="1"/>
  <c r="AG633" i="437"/>
  <c r="AH633" i="437" s="1"/>
  <c r="AG632" i="437"/>
  <c r="AH632" i="437" s="1"/>
  <c r="AG631" i="437"/>
  <c r="AH631" i="437" s="1"/>
  <c r="AG630" i="437"/>
  <c r="AH630" i="437" s="1"/>
  <c r="AG629" i="437"/>
  <c r="AH629" i="437" s="1"/>
  <c r="AG628" i="437"/>
  <c r="AH628" i="437" s="1"/>
  <c r="AG627" i="437"/>
  <c r="AH627" i="437" s="1"/>
  <c r="AG626" i="437"/>
  <c r="AH626" i="437" s="1"/>
  <c r="AG625" i="437"/>
  <c r="AH625" i="437" s="1"/>
  <c r="AG624" i="437"/>
  <c r="AH624" i="437" s="1"/>
  <c r="AG623" i="437"/>
  <c r="AH623" i="437" s="1"/>
  <c r="AG622" i="437"/>
  <c r="AH622" i="437" s="1"/>
  <c r="AG621" i="437"/>
  <c r="AH621" i="437" s="1"/>
  <c r="AG620" i="437"/>
  <c r="AH620" i="437" s="1"/>
  <c r="AG619" i="437"/>
  <c r="AH619" i="437" s="1"/>
  <c r="AG618" i="437"/>
  <c r="AH618" i="437" s="1"/>
  <c r="AG617" i="437"/>
  <c r="AH617" i="437" s="1"/>
  <c r="AG616" i="437"/>
  <c r="AH616" i="437" s="1"/>
  <c r="AG615" i="437"/>
  <c r="AH615" i="437" s="1"/>
  <c r="AG614" i="437"/>
  <c r="AH614" i="437" s="1"/>
  <c r="AG613" i="437"/>
  <c r="AH613" i="437" s="1"/>
  <c r="AG612" i="437"/>
  <c r="AH612" i="437" s="1"/>
  <c r="AG611" i="437"/>
  <c r="AH611" i="437" s="1"/>
  <c r="AG610" i="437"/>
  <c r="AH610" i="437" s="1"/>
  <c r="AG609" i="437"/>
  <c r="AH609" i="437" s="1"/>
  <c r="AG608" i="437"/>
  <c r="AH608" i="437" s="1"/>
  <c r="AG607" i="437"/>
  <c r="AH607" i="437" s="1"/>
  <c r="AG606" i="437"/>
  <c r="AH606" i="437" s="1"/>
  <c r="AG605" i="437"/>
  <c r="AH605" i="437" s="1"/>
  <c r="AG604" i="437"/>
  <c r="AH604" i="437" s="1"/>
  <c r="AG603" i="437"/>
  <c r="AH603" i="437" s="1"/>
  <c r="AG602" i="437"/>
  <c r="AH602" i="437" s="1"/>
  <c r="AG601" i="437"/>
  <c r="AH601" i="437" s="1"/>
  <c r="AG600" i="437"/>
  <c r="AH600" i="437" s="1"/>
  <c r="AG599" i="437"/>
  <c r="AH599" i="437" s="1"/>
  <c r="AG598" i="437"/>
  <c r="AH598" i="437" s="1"/>
  <c r="AG597" i="437"/>
  <c r="AH597" i="437" s="1"/>
  <c r="AG596" i="437"/>
  <c r="AH596" i="437" s="1"/>
  <c r="AG595" i="437"/>
  <c r="AH595" i="437" s="1"/>
  <c r="AG594" i="437"/>
  <c r="AH594" i="437" s="1"/>
  <c r="AG593" i="437"/>
  <c r="AH593" i="437" s="1"/>
  <c r="AG592" i="437"/>
  <c r="AH592" i="437" s="1"/>
  <c r="AG591" i="437"/>
  <c r="AH591" i="437" s="1"/>
  <c r="AG590" i="437"/>
  <c r="AH590" i="437" s="1"/>
  <c r="AG589" i="437"/>
  <c r="AH589" i="437" s="1"/>
  <c r="AG588" i="437"/>
  <c r="AH588" i="437" s="1"/>
  <c r="AG587" i="437"/>
  <c r="AH587" i="437" s="1"/>
  <c r="AG586" i="437"/>
  <c r="AH586" i="437" s="1"/>
  <c r="AG585" i="437"/>
  <c r="AH585" i="437" s="1"/>
  <c r="AG584" i="437"/>
  <c r="AH584" i="437" s="1"/>
  <c r="AG583" i="437"/>
  <c r="AH583" i="437" s="1"/>
  <c r="AG582" i="437"/>
  <c r="AH582" i="437" s="1"/>
  <c r="AG581" i="437"/>
  <c r="AH581" i="437" s="1"/>
  <c r="AG580" i="437"/>
  <c r="AH580" i="437" s="1"/>
  <c r="AG579" i="437"/>
  <c r="AH579" i="437" s="1"/>
  <c r="AG578" i="437"/>
  <c r="AH578" i="437" s="1"/>
  <c r="AG577" i="437"/>
  <c r="AH577" i="437" s="1"/>
  <c r="AG576" i="437"/>
  <c r="AH576" i="437" s="1"/>
  <c r="AG575" i="437"/>
  <c r="AH575" i="437" s="1"/>
  <c r="AG574" i="437"/>
  <c r="AH574" i="437" s="1"/>
  <c r="AG573" i="437"/>
  <c r="AH573" i="437" s="1"/>
  <c r="AG572" i="437"/>
  <c r="AH572" i="437" s="1"/>
  <c r="AG571" i="437"/>
  <c r="AH571" i="437" s="1"/>
  <c r="AG570" i="437"/>
  <c r="AH570" i="437" s="1"/>
  <c r="AG569" i="437"/>
  <c r="AH569" i="437" s="1"/>
  <c r="AG568" i="437"/>
  <c r="AH568" i="437" s="1"/>
  <c r="AG552" i="437"/>
  <c r="AH552" i="437" s="1"/>
  <c r="AG551" i="437"/>
  <c r="AH551" i="437" s="1"/>
  <c r="AG550" i="437"/>
  <c r="AH550" i="437" s="1"/>
  <c r="AG549" i="437"/>
  <c r="AH549" i="437" s="1"/>
  <c r="AG548" i="437"/>
  <c r="AH548" i="437" s="1"/>
  <c r="AG547" i="437"/>
  <c r="AH547" i="437" s="1"/>
  <c r="AG546" i="437"/>
  <c r="AH546" i="437" s="1"/>
  <c r="AG545" i="437"/>
  <c r="AH545" i="437" s="1"/>
  <c r="AG544" i="437"/>
  <c r="AH544" i="437" s="1"/>
  <c r="AG543" i="437"/>
  <c r="AH543" i="437" s="1"/>
  <c r="AG542" i="437"/>
  <c r="AH542" i="437" s="1"/>
  <c r="AG541" i="437"/>
  <c r="AH541" i="437" s="1"/>
  <c r="AG540" i="437"/>
  <c r="AH540" i="437" s="1"/>
  <c r="AG539" i="437"/>
  <c r="AH539" i="437" s="1"/>
  <c r="AG538" i="437"/>
  <c r="AH538" i="437" s="1"/>
  <c r="AG537" i="437"/>
  <c r="AH537" i="437" s="1"/>
  <c r="AG536" i="437"/>
  <c r="AH536" i="437" s="1"/>
  <c r="AG535" i="437"/>
  <c r="AH535" i="437" s="1"/>
  <c r="AG534" i="437"/>
  <c r="AH534" i="437" s="1"/>
  <c r="AG533" i="437"/>
  <c r="AH533" i="437" s="1"/>
  <c r="AG532" i="437"/>
  <c r="AH532" i="437" s="1"/>
  <c r="AG531" i="437"/>
  <c r="AH531" i="437" s="1"/>
  <c r="AG530" i="437"/>
  <c r="AH530" i="437" s="1"/>
  <c r="AG529" i="437"/>
  <c r="AH529" i="437" s="1"/>
  <c r="AG528" i="437"/>
  <c r="AH528" i="437" s="1"/>
  <c r="AG527" i="437"/>
  <c r="AH527" i="437" s="1"/>
  <c r="AG526" i="437"/>
  <c r="AH526" i="437" s="1"/>
  <c r="AG525" i="437"/>
  <c r="AH525" i="437" s="1"/>
  <c r="AG524" i="437"/>
  <c r="AH524" i="437" s="1"/>
  <c r="AG523" i="437"/>
  <c r="AH523" i="437" s="1"/>
  <c r="AG522" i="437"/>
  <c r="AH522" i="437" s="1"/>
  <c r="AG521" i="437"/>
  <c r="AH521" i="437" s="1"/>
  <c r="AG519" i="437"/>
  <c r="AH519" i="437" s="1"/>
  <c r="AG518" i="437"/>
  <c r="AH518" i="437" s="1"/>
  <c r="AG517" i="437"/>
  <c r="AH517" i="437" s="1"/>
  <c r="AG516" i="437"/>
  <c r="AH516" i="437" s="1"/>
  <c r="AG515" i="437"/>
  <c r="AH515" i="437" s="1"/>
  <c r="AG514" i="437"/>
  <c r="AH514" i="437" s="1"/>
  <c r="AG513" i="437"/>
  <c r="AH513" i="437" s="1"/>
  <c r="AG512" i="437"/>
  <c r="AH512" i="437" s="1"/>
  <c r="AG511" i="437"/>
  <c r="AH511" i="437" s="1"/>
  <c r="AG510" i="437"/>
  <c r="AH510" i="437" s="1"/>
  <c r="AG509" i="437"/>
  <c r="AH509" i="437" s="1"/>
  <c r="AG508" i="437"/>
  <c r="AH508" i="437" s="1"/>
  <c r="AG507" i="437"/>
  <c r="AH507" i="437" s="1"/>
  <c r="AG506" i="437"/>
  <c r="AH506" i="437" s="1"/>
  <c r="AG505" i="437"/>
  <c r="AH505" i="437" s="1"/>
  <c r="AG504" i="437"/>
  <c r="AH504" i="437" s="1"/>
  <c r="AG503" i="437"/>
  <c r="AH503" i="437" s="1"/>
  <c r="AG502" i="437"/>
  <c r="AH502" i="437" s="1"/>
  <c r="AG501" i="437"/>
  <c r="AH501" i="437" s="1"/>
  <c r="AG500" i="437"/>
  <c r="AH500" i="437" s="1"/>
  <c r="AG499" i="437"/>
  <c r="AH499" i="437" s="1"/>
  <c r="AG498" i="437"/>
  <c r="AH498" i="437" s="1"/>
  <c r="AG497" i="437"/>
  <c r="AH497" i="437" s="1"/>
  <c r="AG496" i="437"/>
  <c r="AH496" i="437" s="1"/>
  <c r="AG495" i="437"/>
  <c r="AH495" i="437" s="1"/>
  <c r="AG494" i="437"/>
  <c r="AH494" i="437" s="1"/>
  <c r="AG493" i="437"/>
  <c r="AH493" i="437" s="1"/>
  <c r="AG492" i="437"/>
  <c r="AH492" i="437" s="1"/>
  <c r="AG491" i="437"/>
  <c r="AH491" i="437" s="1"/>
  <c r="AG490" i="437"/>
  <c r="AH490" i="437" s="1"/>
  <c r="AG489" i="437"/>
  <c r="AH489" i="437" s="1"/>
  <c r="AG479" i="437"/>
  <c r="AH479" i="437" s="1"/>
  <c r="AG478" i="437"/>
  <c r="AH478" i="437" s="1"/>
  <c r="AG477" i="437"/>
  <c r="AH477" i="437" s="1"/>
  <c r="AG476" i="437"/>
  <c r="AH476" i="437" s="1"/>
  <c r="AG475" i="437"/>
  <c r="AH475" i="437" s="1"/>
  <c r="AG468" i="437"/>
  <c r="AH468" i="437" s="1"/>
  <c r="AG467" i="437"/>
  <c r="AH467" i="437" s="1"/>
  <c r="AG466" i="437"/>
  <c r="AH466" i="437" s="1"/>
  <c r="AG465" i="437"/>
  <c r="AH465" i="437" s="1"/>
  <c r="AG464" i="437"/>
  <c r="AH464" i="437" s="1"/>
  <c r="AG463" i="437"/>
  <c r="AH463" i="437" s="1"/>
  <c r="AG462" i="437"/>
  <c r="AH462" i="437" s="1"/>
  <c r="AG461" i="437"/>
  <c r="AH461" i="437" s="1"/>
  <c r="AG460" i="437"/>
  <c r="AH460" i="437" s="1"/>
  <c r="AG459" i="437"/>
  <c r="AH459" i="437" s="1"/>
  <c r="AG458" i="437"/>
  <c r="AH458" i="437" s="1"/>
  <c r="AG457" i="437"/>
  <c r="AH457" i="437" s="1"/>
  <c r="AG456" i="437"/>
  <c r="AH456" i="437" s="1"/>
  <c r="AG455" i="437"/>
  <c r="AH455" i="437" s="1"/>
  <c r="AG454" i="437"/>
  <c r="AH454" i="437" s="1"/>
  <c r="AG453" i="437"/>
  <c r="AH453" i="437" s="1"/>
  <c r="AG452" i="437"/>
  <c r="AH452" i="437" s="1"/>
  <c r="AG451" i="437"/>
  <c r="AH451" i="437" s="1"/>
  <c r="AG450" i="437"/>
  <c r="AH450" i="437" s="1"/>
  <c r="AG449" i="437"/>
  <c r="AH449" i="437" s="1"/>
  <c r="AG448" i="437"/>
  <c r="AH448" i="437" s="1"/>
  <c r="AG447" i="437"/>
  <c r="AH447" i="437" s="1"/>
  <c r="AG446" i="437"/>
  <c r="AH446" i="437" s="1"/>
  <c r="AG445" i="437"/>
  <c r="AH445" i="437" s="1"/>
  <c r="AG444" i="437"/>
  <c r="AH444" i="437" s="1"/>
  <c r="AG443" i="437"/>
  <c r="AH443" i="437" s="1"/>
  <c r="AG442" i="437"/>
  <c r="AH442" i="437" s="1"/>
  <c r="AG441" i="437"/>
  <c r="AH441" i="437" s="1"/>
  <c r="AG440" i="437"/>
  <c r="AH440" i="437" s="1"/>
  <c r="AG439" i="437"/>
  <c r="AH439" i="437" s="1"/>
  <c r="AG438" i="437"/>
  <c r="AH438" i="437" s="1"/>
  <c r="AG437" i="437"/>
  <c r="AH437" i="437" s="1"/>
  <c r="AG436" i="437"/>
  <c r="AH436" i="437" s="1"/>
  <c r="AG435" i="437"/>
  <c r="AH435" i="437" s="1"/>
  <c r="AG434" i="437"/>
  <c r="AH434" i="437" s="1"/>
  <c r="AG433" i="437"/>
  <c r="AH433" i="437" s="1"/>
  <c r="AG432" i="437"/>
  <c r="AH432" i="437" s="1"/>
  <c r="AG431" i="437"/>
  <c r="AH431" i="437" s="1"/>
  <c r="AG430" i="437"/>
  <c r="AH430" i="437" s="1"/>
  <c r="AG429" i="437"/>
  <c r="AH429" i="437" s="1"/>
  <c r="AG428" i="437"/>
  <c r="AH428" i="437" s="1"/>
  <c r="AG427" i="437"/>
  <c r="AH427" i="437" s="1"/>
  <c r="AG426" i="437"/>
  <c r="AH426" i="437" s="1"/>
  <c r="AG425" i="437"/>
  <c r="AH425" i="437" s="1"/>
  <c r="AG424" i="437"/>
  <c r="AH424" i="437" s="1"/>
  <c r="AG423" i="437"/>
  <c r="AH423" i="437" s="1"/>
  <c r="AG422" i="437"/>
  <c r="AH422" i="437" s="1"/>
  <c r="AG421" i="437"/>
  <c r="AH421" i="437" s="1"/>
  <c r="AG420" i="437"/>
  <c r="AH420" i="437" s="1"/>
  <c r="AG419" i="437"/>
  <c r="AH419" i="437" s="1"/>
  <c r="AG418" i="437"/>
  <c r="AH418" i="437" s="1"/>
  <c r="AG417" i="437"/>
  <c r="AH417" i="437" s="1"/>
  <c r="AG416" i="437"/>
  <c r="AH416" i="437" s="1"/>
  <c r="AG415" i="437"/>
  <c r="AH415" i="437" s="1"/>
  <c r="AG414" i="437"/>
  <c r="AH414" i="437" s="1"/>
  <c r="AG413" i="437"/>
  <c r="AH413" i="437" s="1"/>
  <c r="AG412" i="437"/>
  <c r="AH412" i="437" s="1"/>
  <c r="AG411" i="437"/>
  <c r="AH411" i="437" s="1"/>
  <c r="AG410" i="437"/>
  <c r="AH410" i="437" s="1"/>
  <c r="AG409" i="437"/>
  <c r="AH409" i="437" s="1"/>
  <c r="AG408" i="437"/>
  <c r="AH408" i="437" s="1"/>
  <c r="AG407" i="437"/>
  <c r="AH407" i="437" s="1"/>
  <c r="AG406" i="437"/>
  <c r="AH406" i="437" s="1"/>
  <c r="AG405" i="437"/>
  <c r="AH405" i="437" s="1"/>
  <c r="AG404" i="437"/>
  <c r="AH404" i="437" s="1"/>
  <c r="AG403" i="437"/>
  <c r="AH403" i="437" s="1"/>
  <c r="AG402" i="437"/>
  <c r="AH402" i="437" s="1"/>
  <c r="AG401" i="437"/>
  <c r="AH401" i="437" s="1"/>
  <c r="AG400" i="437"/>
  <c r="AH400" i="437" s="1"/>
  <c r="AG399" i="437"/>
  <c r="AH399" i="437" s="1"/>
  <c r="AG398" i="437"/>
  <c r="AH398" i="437" s="1"/>
  <c r="AG397" i="437"/>
  <c r="AH397" i="437" s="1"/>
  <c r="AG396" i="437"/>
  <c r="AH396" i="437" s="1"/>
  <c r="AG395" i="437"/>
  <c r="AH395" i="437" s="1"/>
  <c r="AG394" i="437"/>
  <c r="AH394" i="437" s="1"/>
  <c r="AG393" i="437"/>
  <c r="AH393" i="437" s="1"/>
  <c r="AG392" i="437"/>
  <c r="AH392" i="437" s="1"/>
  <c r="AG391" i="437"/>
  <c r="AH391" i="437" s="1"/>
  <c r="AG390" i="437"/>
  <c r="AH390" i="437" s="1"/>
  <c r="AG389" i="437"/>
  <c r="AH389" i="437" s="1"/>
  <c r="AG387" i="437"/>
  <c r="AH387" i="437" s="1"/>
  <c r="AG386" i="437"/>
  <c r="AH386" i="437" s="1"/>
  <c r="AG385" i="437"/>
  <c r="AH385" i="437" s="1"/>
  <c r="AG384" i="437"/>
  <c r="AH384" i="437" s="1"/>
  <c r="AG383" i="437"/>
  <c r="AH383" i="437" s="1"/>
  <c r="AG382" i="437"/>
  <c r="AH382" i="437" s="1"/>
  <c r="AG381" i="437"/>
  <c r="AH381" i="437" s="1"/>
  <c r="AG380" i="437"/>
  <c r="AH380" i="437" s="1"/>
  <c r="AG379" i="437"/>
  <c r="AH379" i="437" s="1"/>
  <c r="AG378" i="437"/>
  <c r="AH378" i="437" s="1"/>
  <c r="AG377" i="437"/>
  <c r="AH377" i="437" s="1"/>
  <c r="AG376" i="437"/>
  <c r="AH376" i="437" s="1"/>
  <c r="AG375" i="437"/>
  <c r="AH375" i="437" s="1"/>
  <c r="AG374" i="437"/>
  <c r="AH374" i="437" s="1"/>
  <c r="AG360" i="437"/>
  <c r="AH360" i="437" s="1"/>
  <c r="AG359" i="437"/>
  <c r="AH359" i="437" s="1"/>
  <c r="AG358" i="437"/>
  <c r="AH358" i="437" s="1"/>
  <c r="AG357" i="437"/>
  <c r="AH357" i="437" s="1"/>
  <c r="AG356" i="437"/>
  <c r="AH356" i="437" s="1"/>
  <c r="AG355" i="437"/>
  <c r="AH355" i="437" s="1"/>
  <c r="AG354" i="437"/>
  <c r="AH354" i="437" s="1"/>
  <c r="AG353" i="437"/>
  <c r="AH353" i="437" s="1"/>
  <c r="AG352" i="437"/>
  <c r="AH352" i="437" s="1"/>
  <c r="AG351" i="437"/>
  <c r="AH351" i="437" s="1"/>
  <c r="AG350" i="437"/>
  <c r="AH350" i="437" s="1"/>
  <c r="AG349" i="437"/>
  <c r="AH349" i="437" s="1"/>
  <c r="AG348" i="437"/>
  <c r="AH348" i="437" s="1"/>
  <c r="AG347" i="437"/>
  <c r="AH347" i="437" s="1"/>
  <c r="AG346" i="437"/>
  <c r="AH346" i="437" s="1"/>
  <c r="AG345" i="437"/>
  <c r="AH345" i="437" s="1"/>
  <c r="AG344" i="437"/>
  <c r="AH344" i="437" s="1"/>
  <c r="AG343" i="437"/>
  <c r="AH343" i="437" s="1"/>
  <c r="AG342" i="437"/>
  <c r="AH342" i="437" s="1"/>
  <c r="AG341" i="437"/>
  <c r="AH341" i="437" s="1"/>
  <c r="AG340" i="437"/>
  <c r="AH340" i="437" s="1"/>
  <c r="AG339" i="437"/>
  <c r="AH339" i="437" s="1"/>
  <c r="AG488" i="437"/>
  <c r="AH488" i="437" s="1"/>
  <c r="AG487" i="437"/>
  <c r="AH487" i="437" s="1"/>
  <c r="AG486" i="437"/>
  <c r="AH486" i="437" s="1"/>
  <c r="AG485" i="437"/>
  <c r="AH485" i="437" s="1"/>
  <c r="AG484" i="437"/>
  <c r="AH484" i="437" s="1"/>
  <c r="AG483" i="437"/>
  <c r="AH483" i="437" s="1"/>
  <c r="AG482" i="437"/>
  <c r="AH482" i="437" s="1"/>
  <c r="AG481" i="437"/>
  <c r="AH481" i="437" s="1"/>
  <c r="AG480" i="437"/>
  <c r="AH480" i="437" s="1"/>
  <c r="AD657" i="437"/>
  <c r="AE657" i="437" s="1"/>
  <c r="AD656" i="437"/>
  <c r="AE656" i="437" s="1"/>
  <c r="AD655" i="437"/>
  <c r="AE655" i="437" s="1"/>
  <c r="AD654" i="437"/>
  <c r="AE654" i="437" s="1"/>
  <c r="AD653" i="437"/>
  <c r="AE653" i="437" s="1"/>
  <c r="AD652" i="437"/>
  <c r="AE652" i="437" s="1"/>
  <c r="AD651" i="437"/>
  <c r="AE651" i="437" s="1"/>
  <c r="AD650" i="437"/>
  <c r="AE650" i="437" s="1"/>
  <c r="AD649" i="437"/>
  <c r="AE649" i="437" s="1"/>
  <c r="AD648" i="437"/>
  <c r="AE648" i="437" s="1"/>
  <c r="AD647" i="437"/>
  <c r="AE647" i="437" s="1"/>
  <c r="AD646" i="437"/>
  <c r="AE646" i="437" s="1"/>
  <c r="AD645" i="437"/>
  <c r="AE645" i="437" s="1"/>
  <c r="AD644" i="437"/>
  <c r="AE644" i="437" s="1"/>
  <c r="AD643" i="437"/>
  <c r="AE643" i="437" s="1"/>
  <c r="AD642" i="437"/>
  <c r="AE642" i="437" s="1"/>
  <c r="AD641" i="437"/>
  <c r="AE641" i="437" s="1"/>
  <c r="AD640" i="437"/>
  <c r="AE640" i="437" s="1"/>
  <c r="AD639" i="437"/>
  <c r="AE639" i="437" s="1"/>
  <c r="AD638" i="437"/>
  <c r="AE638" i="437" s="1"/>
  <c r="AD637" i="437"/>
  <c r="AE637" i="437" s="1"/>
  <c r="AD636" i="437"/>
  <c r="AE636" i="437" s="1"/>
  <c r="AD635" i="437"/>
  <c r="AE635" i="437" s="1"/>
  <c r="AD634" i="437"/>
  <c r="AE634" i="437" s="1"/>
  <c r="AD633" i="437"/>
  <c r="AE633" i="437" s="1"/>
  <c r="AD632" i="437"/>
  <c r="AE632" i="437" s="1"/>
  <c r="AD631" i="437"/>
  <c r="AE631" i="437" s="1"/>
  <c r="AD630" i="437"/>
  <c r="AE630" i="437" s="1"/>
  <c r="AD629" i="437"/>
  <c r="AE629" i="437" s="1"/>
  <c r="AD628" i="437"/>
  <c r="AE628" i="437" s="1"/>
  <c r="AD627" i="437"/>
  <c r="AE627" i="437" s="1"/>
  <c r="AD626" i="437"/>
  <c r="AE626" i="437" s="1"/>
  <c r="AD625" i="437"/>
  <c r="AE625" i="437" s="1"/>
  <c r="AD624" i="437"/>
  <c r="AE624" i="437" s="1"/>
  <c r="AD623" i="437"/>
  <c r="AE623" i="437" s="1"/>
  <c r="AD622" i="437"/>
  <c r="AE622" i="437" s="1"/>
  <c r="AD621" i="437"/>
  <c r="AE621" i="437" s="1"/>
  <c r="AD620" i="437"/>
  <c r="AE620" i="437" s="1"/>
  <c r="AD619" i="437"/>
  <c r="AE619" i="437" s="1"/>
  <c r="AD618" i="437"/>
  <c r="AE618" i="437" s="1"/>
  <c r="AD617" i="437"/>
  <c r="AE617" i="437" s="1"/>
  <c r="AD616" i="437"/>
  <c r="AE616" i="437" s="1"/>
  <c r="AD615" i="437"/>
  <c r="AE615" i="437" s="1"/>
  <c r="AD614" i="437"/>
  <c r="AE614" i="437" s="1"/>
  <c r="AD613" i="437"/>
  <c r="AE613" i="437" s="1"/>
  <c r="AD612" i="437"/>
  <c r="AE612" i="437" s="1"/>
  <c r="AD611" i="437"/>
  <c r="AE611" i="437" s="1"/>
  <c r="AD610" i="437"/>
  <c r="AE610" i="437" s="1"/>
  <c r="AD609" i="437"/>
  <c r="AE609" i="437" s="1"/>
  <c r="AD608" i="437"/>
  <c r="AE608" i="437" s="1"/>
  <c r="AD607" i="437"/>
  <c r="AE607" i="437" s="1"/>
  <c r="AD606" i="437"/>
  <c r="AE606" i="437" s="1"/>
  <c r="AD605" i="437"/>
  <c r="AE605" i="437" s="1"/>
  <c r="AD604" i="437"/>
  <c r="AE604" i="437" s="1"/>
  <c r="AD603" i="437"/>
  <c r="AE603" i="437" s="1"/>
  <c r="AD602" i="437"/>
  <c r="AE602" i="437" s="1"/>
  <c r="AD601" i="437"/>
  <c r="AE601" i="437" s="1"/>
  <c r="AD600" i="437"/>
  <c r="AE600" i="437" s="1"/>
  <c r="AD599" i="437"/>
  <c r="AE599" i="437" s="1"/>
  <c r="AD598" i="437"/>
  <c r="AE598" i="437" s="1"/>
  <c r="AD597" i="437"/>
  <c r="AE597" i="437" s="1"/>
  <c r="AD596" i="437"/>
  <c r="AE596" i="437" s="1"/>
  <c r="AD595" i="437"/>
  <c r="AE595" i="437" s="1"/>
  <c r="AD594" i="437"/>
  <c r="AE594" i="437" s="1"/>
  <c r="AD593" i="437"/>
  <c r="AE593" i="437" s="1"/>
  <c r="AD592" i="437"/>
  <c r="AE592" i="437" s="1"/>
  <c r="AD591" i="437"/>
  <c r="AE591" i="437" s="1"/>
  <c r="AD590" i="437"/>
  <c r="AE590" i="437" s="1"/>
  <c r="AD589" i="437"/>
  <c r="AE589" i="437" s="1"/>
  <c r="AD588" i="437"/>
  <c r="AE588" i="437" s="1"/>
  <c r="AD587" i="437"/>
  <c r="AE587" i="437" s="1"/>
  <c r="AD586" i="437"/>
  <c r="AE586" i="437" s="1"/>
  <c r="AD585" i="437"/>
  <c r="AE585" i="437" s="1"/>
  <c r="AD584" i="437"/>
  <c r="AE584" i="437" s="1"/>
  <c r="AD583" i="437"/>
  <c r="AE583" i="437" s="1"/>
  <c r="AD582" i="437"/>
  <c r="AE582" i="437" s="1"/>
  <c r="AD581" i="437"/>
  <c r="AE581" i="437" s="1"/>
  <c r="AD580" i="437"/>
  <c r="AE580" i="437" s="1"/>
  <c r="AD579" i="437"/>
  <c r="AE579" i="437" s="1"/>
  <c r="AD578" i="437"/>
  <c r="AE578" i="437" s="1"/>
  <c r="AD577" i="437"/>
  <c r="AE577" i="437" s="1"/>
  <c r="AD576" i="437"/>
  <c r="AE576" i="437" s="1"/>
  <c r="AD575" i="437"/>
  <c r="AE575" i="437" s="1"/>
  <c r="AD574" i="437"/>
  <c r="AE574" i="437" s="1"/>
  <c r="AD573" i="437"/>
  <c r="AE573" i="437" s="1"/>
  <c r="AD572" i="437"/>
  <c r="AE572" i="437" s="1"/>
  <c r="AD571" i="437"/>
  <c r="AE571" i="437" s="1"/>
  <c r="AD570" i="437"/>
  <c r="AE570" i="437" s="1"/>
  <c r="AD569" i="437"/>
  <c r="AE569" i="437" s="1"/>
  <c r="AD568" i="437"/>
  <c r="AE568" i="437" s="1"/>
  <c r="AD552" i="437"/>
  <c r="AE552" i="437" s="1"/>
  <c r="AD551" i="437"/>
  <c r="AE551" i="437" s="1"/>
  <c r="AD550" i="437"/>
  <c r="AE550" i="437" s="1"/>
  <c r="AD549" i="437"/>
  <c r="AE549" i="437" s="1"/>
  <c r="AD548" i="437"/>
  <c r="AE548" i="437" s="1"/>
  <c r="AD547" i="437"/>
  <c r="AE547" i="437" s="1"/>
  <c r="AD546" i="437"/>
  <c r="AE546" i="437" s="1"/>
  <c r="AD545" i="437"/>
  <c r="AE545" i="437" s="1"/>
  <c r="AD544" i="437"/>
  <c r="AE544" i="437" s="1"/>
  <c r="AD543" i="437"/>
  <c r="AE543" i="437" s="1"/>
  <c r="AD542" i="437"/>
  <c r="AE542" i="437" s="1"/>
  <c r="AD541" i="437"/>
  <c r="AE541" i="437" s="1"/>
  <c r="AD540" i="437"/>
  <c r="AE540" i="437" s="1"/>
  <c r="AD539" i="437"/>
  <c r="AE539" i="437" s="1"/>
  <c r="AD538" i="437"/>
  <c r="AE538" i="437" s="1"/>
  <c r="AD537" i="437"/>
  <c r="AE537" i="437" s="1"/>
  <c r="AD536" i="437"/>
  <c r="AE536" i="437" s="1"/>
  <c r="AD535" i="437"/>
  <c r="AE535" i="437" s="1"/>
  <c r="AD534" i="437"/>
  <c r="AE534" i="437" s="1"/>
  <c r="AD533" i="437"/>
  <c r="AE533" i="437" s="1"/>
  <c r="AD532" i="437"/>
  <c r="AE532" i="437" s="1"/>
  <c r="AD531" i="437"/>
  <c r="AE531" i="437" s="1"/>
  <c r="AD530" i="437"/>
  <c r="AE530" i="437" s="1"/>
  <c r="AD529" i="437"/>
  <c r="AE529" i="437" s="1"/>
  <c r="AD528" i="437"/>
  <c r="AE528" i="437" s="1"/>
  <c r="AD527" i="437"/>
  <c r="AE527" i="437" s="1"/>
  <c r="AD526" i="437"/>
  <c r="AE526" i="437" s="1"/>
  <c r="AD525" i="437"/>
  <c r="AE525" i="437" s="1"/>
  <c r="AD524" i="437"/>
  <c r="AE524" i="437" s="1"/>
  <c r="AD523" i="437"/>
  <c r="AE523" i="437" s="1"/>
  <c r="AD522" i="437"/>
  <c r="AE522" i="437" s="1"/>
  <c r="AD521" i="437"/>
  <c r="AE521" i="437" s="1"/>
  <c r="AD519" i="437"/>
  <c r="AE519" i="437" s="1"/>
  <c r="AD518" i="437"/>
  <c r="AE518" i="437" s="1"/>
  <c r="AD517" i="437"/>
  <c r="AE517" i="437" s="1"/>
  <c r="AD516" i="437"/>
  <c r="AE516" i="437" s="1"/>
  <c r="AD515" i="437"/>
  <c r="AE515" i="437" s="1"/>
  <c r="AD514" i="437"/>
  <c r="AE514" i="437" s="1"/>
  <c r="AD513" i="437"/>
  <c r="AE513" i="437" s="1"/>
  <c r="AD512" i="437"/>
  <c r="AE512" i="437" s="1"/>
  <c r="AD511" i="437"/>
  <c r="AE511" i="437" s="1"/>
  <c r="AD510" i="437"/>
  <c r="AE510" i="437" s="1"/>
  <c r="AD509" i="437"/>
  <c r="AE509" i="437" s="1"/>
  <c r="AD508" i="437"/>
  <c r="AE508" i="437" s="1"/>
  <c r="AD507" i="437"/>
  <c r="AE507" i="437" s="1"/>
  <c r="AD506" i="437"/>
  <c r="AE506" i="437" s="1"/>
  <c r="AD505" i="437"/>
  <c r="AE505" i="437" s="1"/>
  <c r="AD504" i="437"/>
  <c r="AE504" i="437" s="1"/>
  <c r="AD503" i="437"/>
  <c r="AE503" i="437" s="1"/>
  <c r="AD502" i="437"/>
  <c r="AE502" i="437" s="1"/>
  <c r="AD501" i="437"/>
  <c r="AE501" i="437" s="1"/>
  <c r="AD500" i="437"/>
  <c r="AE500" i="437" s="1"/>
  <c r="AD499" i="437"/>
  <c r="AE499" i="437" s="1"/>
  <c r="AD498" i="437"/>
  <c r="AE498" i="437" s="1"/>
  <c r="AD497" i="437"/>
  <c r="AE497" i="437" s="1"/>
  <c r="AD496" i="437"/>
  <c r="AE496" i="437" s="1"/>
  <c r="AD495" i="437"/>
  <c r="AE495" i="437" s="1"/>
  <c r="AD494" i="437"/>
  <c r="AE494" i="437" s="1"/>
  <c r="AD493" i="437"/>
  <c r="AE493" i="437" s="1"/>
  <c r="AD492" i="437"/>
  <c r="AE492" i="437" s="1"/>
  <c r="AD491" i="437"/>
  <c r="AE491" i="437" s="1"/>
  <c r="AD490" i="437"/>
  <c r="AE490" i="437" s="1"/>
  <c r="AD489" i="437"/>
  <c r="AE489" i="437" s="1"/>
  <c r="AD479" i="437"/>
  <c r="AE479" i="437" s="1"/>
  <c r="AD478" i="437"/>
  <c r="AE478" i="437" s="1"/>
  <c r="AD477" i="437"/>
  <c r="AE477" i="437" s="1"/>
  <c r="AD476" i="437"/>
  <c r="AE476" i="437" s="1"/>
  <c r="AD475" i="437"/>
  <c r="AE475" i="437" s="1"/>
  <c r="AD474" i="437"/>
  <c r="AE474" i="437" s="1"/>
  <c r="AD468" i="437"/>
  <c r="AE468" i="437" s="1"/>
  <c r="AD467" i="437"/>
  <c r="AE467" i="437" s="1"/>
  <c r="AD466" i="437"/>
  <c r="AE466" i="437" s="1"/>
  <c r="AD465" i="437"/>
  <c r="AE465" i="437" s="1"/>
  <c r="AD464" i="437"/>
  <c r="AE464" i="437" s="1"/>
  <c r="AD463" i="437"/>
  <c r="AE463" i="437" s="1"/>
  <c r="AD462" i="437"/>
  <c r="AE462" i="437" s="1"/>
  <c r="AD461" i="437"/>
  <c r="AE461" i="437" s="1"/>
  <c r="AD460" i="437"/>
  <c r="AE460" i="437" s="1"/>
  <c r="AD459" i="437"/>
  <c r="AE459" i="437" s="1"/>
  <c r="AD458" i="437"/>
  <c r="AE458" i="437" s="1"/>
  <c r="AD457" i="437"/>
  <c r="AE457" i="437" s="1"/>
  <c r="AD456" i="437"/>
  <c r="AE456" i="437" s="1"/>
  <c r="AD455" i="437"/>
  <c r="AE455" i="437" s="1"/>
  <c r="AD454" i="437"/>
  <c r="AE454" i="437" s="1"/>
  <c r="AD453" i="437"/>
  <c r="AE453" i="437" s="1"/>
  <c r="AD452" i="437"/>
  <c r="AE452" i="437" s="1"/>
  <c r="AD451" i="437"/>
  <c r="AE451" i="437" s="1"/>
  <c r="AD450" i="437"/>
  <c r="AE450" i="437" s="1"/>
  <c r="AD449" i="437"/>
  <c r="AE449" i="437" s="1"/>
  <c r="AD448" i="437"/>
  <c r="AE448" i="437" s="1"/>
  <c r="AD447" i="437"/>
  <c r="AE447" i="437" s="1"/>
  <c r="AD446" i="437"/>
  <c r="AE446" i="437" s="1"/>
  <c r="AD445" i="437"/>
  <c r="AE445" i="437" s="1"/>
  <c r="AD444" i="437"/>
  <c r="AE444" i="437" s="1"/>
  <c r="AD443" i="437"/>
  <c r="AE443" i="437" s="1"/>
  <c r="AD442" i="437"/>
  <c r="AE442" i="437" s="1"/>
  <c r="AD441" i="437"/>
  <c r="AE441" i="437" s="1"/>
  <c r="AD440" i="437"/>
  <c r="AE440" i="437" s="1"/>
  <c r="AD439" i="437"/>
  <c r="AE439" i="437" s="1"/>
  <c r="AD438" i="437"/>
  <c r="AE438" i="437" s="1"/>
  <c r="AD437" i="437"/>
  <c r="AE437" i="437" s="1"/>
  <c r="AD436" i="437"/>
  <c r="AE436" i="437" s="1"/>
  <c r="AD435" i="437"/>
  <c r="AE435" i="437" s="1"/>
  <c r="AD434" i="437"/>
  <c r="AE434" i="437" s="1"/>
  <c r="AD433" i="437"/>
  <c r="AE433" i="437" s="1"/>
  <c r="AD432" i="437"/>
  <c r="AE432" i="437" s="1"/>
  <c r="AD431" i="437"/>
  <c r="AE431" i="437" s="1"/>
  <c r="AD430" i="437"/>
  <c r="AE430" i="437" s="1"/>
  <c r="AD429" i="437"/>
  <c r="AE429" i="437" s="1"/>
  <c r="AD428" i="437"/>
  <c r="AE428" i="437" s="1"/>
  <c r="AD427" i="437"/>
  <c r="AE427" i="437" s="1"/>
  <c r="AD426" i="437"/>
  <c r="AE426" i="437" s="1"/>
  <c r="AD425" i="437"/>
  <c r="AE425" i="437" s="1"/>
  <c r="AD424" i="437"/>
  <c r="AE424" i="437" s="1"/>
  <c r="AD423" i="437"/>
  <c r="AE423" i="437" s="1"/>
  <c r="AD422" i="437"/>
  <c r="AE422" i="437" s="1"/>
  <c r="AD421" i="437"/>
  <c r="AE421" i="437" s="1"/>
  <c r="AD420" i="437"/>
  <c r="AE420" i="437" s="1"/>
  <c r="AD419" i="437"/>
  <c r="AE419" i="437" s="1"/>
  <c r="AD418" i="437"/>
  <c r="AE418" i="437" s="1"/>
  <c r="AD417" i="437"/>
  <c r="AE417" i="437" s="1"/>
  <c r="AD416" i="437"/>
  <c r="AE416" i="437" s="1"/>
  <c r="AD415" i="437"/>
  <c r="AE415" i="437" s="1"/>
  <c r="AD414" i="437"/>
  <c r="AE414" i="437" s="1"/>
  <c r="AD413" i="437"/>
  <c r="AE413" i="437" s="1"/>
  <c r="AD412" i="437"/>
  <c r="AE412" i="437" s="1"/>
  <c r="AD411" i="437"/>
  <c r="AE411" i="437" s="1"/>
  <c r="AD410" i="437"/>
  <c r="AE410" i="437" s="1"/>
  <c r="AD409" i="437"/>
  <c r="AE409" i="437" s="1"/>
  <c r="AD408" i="437"/>
  <c r="AE408" i="437" s="1"/>
  <c r="AD407" i="437"/>
  <c r="AE407" i="437" s="1"/>
  <c r="AD406" i="437"/>
  <c r="AE406" i="437" s="1"/>
  <c r="AD405" i="437"/>
  <c r="AE405" i="437" s="1"/>
  <c r="AD404" i="437"/>
  <c r="AE404" i="437" s="1"/>
  <c r="AD403" i="437"/>
  <c r="AE403" i="437" s="1"/>
  <c r="AD402" i="437"/>
  <c r="AE402" i="437" s="1"/>
  <c r="AD401" i="437"/>
  <c r="AE401" i="437" s="1"/>
  <c r="AD400" i="437"/>
  <c r="AE400" i="437" s="1"/>
  <c r="AD399" i="437"/>
  <c r="AE399" i="437" s="1"/>
  <c r="AD398" i="437"/>
  <c r="AE398" i="437" s="1"/>
  <c r="AD397" i="437"/>
  <c r="AE397" i="437" s="1"/>
  <c r="AD396" i="437"/>
  <c r="AE396" i="437" s="1"/>
  <c r="AD395" i="437"/>
  <c r="AE395" i="437" s="1"/>
  <c r="AD394" i="437"/>
  <c r="AE394" i="437" s="1"/>
  <c r="AD393" i="437"/>
  <c r="AE393" i="437" s="1"/>
  <c r="AD392" i="437"/>
  <c r="AE392" i="437" s="1"/>
  <c r="AD391" i="437"/>
  <c r="AE391" i="437" s="1"/>
  <c r="AD390" i="437"/>
  <c r="AE390" i="437" s="1"/>
  <c r="AD389" i="437"/>
  <c r="AE389" i="437" s="1"/>
  <c r="AD387" i="437"/>
  <c r="AE387" i="437" s="1"/>
  <c r="AD386" i="437"/>
  <c r="AE386" i="437" s="1"/>
  <c r="AD385" i="437"/>
  <c r="AE385" i="437" s="1"/>
  <c r="AD384" i="437"/>
  <c r="AE384" i="437" s="1"/>
  <c r="AD383" i="437"/>
  <c r="AE383" i="437" s="1"/>
  <c r="AD382" i="437"/>
  <c r="AE382" i="437" s="1"/>
  <c r="AD381" i="437"/>
  <c r="AE381" i="437" s="1"/>
  <c r="AD380" i="437"/>
  <c r="AE380" i="437" s="1"/>
  <c r="AD379" i="437"/>
  <c r="AE379" i="437" s="1"/>
  <c r="AD378" i="437"/>
  <c r="AE378" i="437" s="1"/>
  <c r="AD377" i="437"/>
  <c r="AE377" i="437" s="1"/>
  <c r="AD376" i="437"/>
  <c r="AE376" i="437" s="1"/>
  <c r="AD375" i="437"/>
  <c r="AE375" i="437" s="1"/>
  <c r="AD374" i="437"/>
  <c r="AE374" i="437" s="1"/>
  <c r="AD360" i="437"/>
  <c r="AE360" i="437" s="1"/>
  <c r="AD359" i="437"/>
  <c r="AE359" i="437" s="1"/>
  <c r="AD358" i="437"/>
  <c r="AE358" i="437" s="1"/>
  <c r="AD357" i="437"/>
  <c r="AE357" i="437" s="1"/>
  <c r="AD356" i="437"/>
  <c r="AE356" i="437" s="1"/>
  <c r="AD355" i="437"/>
  <c r="AE355" i="437" s="1"/>
  <c r="AD354" i="437"/>
  <c r="AE354" i="437" s="1"/>
  <c r="AD353" i="437"/>
  <c r="AE353" i="437" s="1"/>
  <c r="AD352" i="437"/>
  <c r="AE352" i="437" s="1"/>
  <c r="AD351" i="437"/>
  <c r="AE351" i="437" s="1"/>
  <c r="AD350" i="437"/>
  <c r="AE350" i="437" s="1"/>
  <c r="AD349" i="437"/>
  <c r="AE349" i="437" s="1"/>
  <c r="AD348" i="437"/>
  <c r="AE348" i="437" s="1"/>
  <c r="AD347" i="437"/>
  <c r="AE347" i="437" s="1"/>
  <c r="AD346" i="437"/>
  <c r="AE346" i="437" s="1"/>
  <c r="AD345" i="437"/>
  <c r="AE345" i="437" s="1"/>
  <c r="AD344" i="437"/>
  <c r="AE344" i="437" s="1"/>
  <c r="AD343" i="437"/>
  <c r="AE343" i="437" s="1"/>
  <c r="AD342" i="437"/>
  <c r="AE342" i="437" s="1"/>
  <c r="AD341" i="437"/>
  <c r="AE341" i="437" s="1"/>
  <c r="AD340" i="437"/>
  <c r="AE340" i="437" s="1"/>
  <c r="AD339" i="437"/>
  <c r="AE339" i="437" s="1"/>
  <c r="AD488" i="437"/>
  <c r="AE488" i="437" s="1"/>
  <c r="AD487" i="437"/>
  <c r="AE487" i="437" s="1"/>
  <c r="AD486" i="437"/>
  <c r="AE486" i="437" s="1"/>
  <c r="AD485" i="437"/>
  <c r="AE485" i="437" s="1"/>
  <c r="AD484" i="437"/>
  <c r="AE484" i="437" s="1"/>
  <c r="AD483" i="437"/>
  <c r="AE483" i="437" s="1"/>
  <c r="AD482" i="437"/>
  <c r="AE482" i="437" s="1"/>
  <c r="AD481" i="437"/>
  <c r="AE481" i="437" s="1"/>
  <c r="AD480" i="437"/>
  <c r="AE480" i="437" s="1"/>
  <c r="Z567" i="437"/>
  <c r="AA567" i="437" s="1"/>
  <c r="Z566" i="437"/>
  <c r="AA566" i="437" s="1"/>
  <c r="Z565" i="437"/>
  <c r="AA565" i="437" s="1"/>
  <c r="Z564" i="437"/>
  <c r="AA564" i="437" s="1"/>
  <c r="Z563" i="437"/>
  <c r="AA563" i="437" s="1"/>
  <c r="Z562" i="437"/>
  <c r="AA562" i="437" s="1"/>
  <c r="Z561" i="437"/>
  <c r="AA561" i="437" s="1"/>
  <c r="Z560" i="437"/>
  <c r="AA560" i="437" s="1"/>
  <c r="Z559" i="437"/>
  <c r="AA559" i="437" s="1"/>
  <c r="Z558" i="437"/>
  <c r="AA558" i="437" s="1"/>
  <c r="Z557" i="437"/>
  <c r="AA557" i="437" s="1"/>
  <c r="Z556" i="437"/>
  <c r="AA556" i="437" s="1"/>
  <c r="Z555" i="437"/>
  <c r="AA555" i="437" s="1"/>
  <c r="Z554" i="437"/>
  <c r="AA554" i="437" s="1"/>
  <c r="W567" i="437"/>
  <c r="X567" i="437" s="1"/>
  <c r="W566" i="437"/>
  <c r="X566" i="437" s="1"/>
  <c r="W565" i="437"/>
  <c r="X565" i="437" s="1"/>
  <c r="W564" i="437"/>
  <c r="X564" i="437" s="1"/>
  <c r="W563" i="437"/>
  <c r="X563" i="437" s="1"/>
  <c r="W562" i="437"/>
  <c r="X562" i="437" s="1"/>
  <c r="W561" i="437"/>
  <c r="X561" i="437" s="1"/>
  <c r="W560" i="437"/>
  <c r="X560" i="437" s="1"/>
  <c r="W559" i="437"/>
  <c r="X559" i="437" s="1"/>
  <c r="W558" i="437"/>
  <c r="X558" i="437" s="1"/>
  <c r="W557" i="437"/>
  <c r="X557" i="437" s="1"/>
  <c r="W556" i="437"/>
  <c r="X556" i="437" s="1"/>
  <c r="W555" i="437"/>
  <c r="X555" i="437" s="1"/>
  <c r="W554" i="437"/>
  <c r="X554" i="437" s="1"/>
  <c r="Z553" i="437"/>
  <c r="AA553" i="437" s="1"/>
  <c r="W553" i="437"/>
  <c r="X553" i="437" s="1"/>
  <c r="Z488" i="437"/>
  <c r="AA488" i="437" s="1"/>
  <c r="Z487" i="437"/>
  <c r="AA487" i="437" s="1"/>
  <c r="Z486" i="437"/>
  <c r="AA486" i="437" s="1"/>
  <c r="Z485" i="437"/>
  <c r="AA485" i="437" s="1"/>
  <c r="Z484" i="437"/>
  <c r="AA484" i="437" s="1"/>
  <c r="Z483" i="437"/>
  <c r="AA483" i="437" s="1"/>
  <c r="Z482" i="437"/>
  <c r="AA482" i="437" s="1"/>
  <c r="Z481" i="437"/>
  <c r="AA481" i="437" s="1"/>
  <c r="Z480" i="437"/>
  <c r="AA480" i="437" s="1"/>
  <c r="W488" i="437"/>
  <c r="X488" i="437" s="1"/>
  <c r="W487" i="437"/>
  <c r="X487" i="437" s="1"/>
  <c r="W486" i="437"/>
  <c r="X486" i="437" s="1"/>
  <c r="W485" i="437"/>
  <c r="X485" i="437" s="1"/>
  <c r="W484" i="437"/>
  <c r="X484" i="437" s="1"/>
  <c r="W483" i="437"/>
  <c r="X483" i="437" s="1"/>
  <c r="W482" i="437"/>
  <c r="X482" i="437" s="1"/>
  <c r="W481" i="437"/>
  <c r="X481" i="437" s="1"/>
  <c r="W480" i="437"/>
  <c r="X480" i="437" s="1"/>
  <c r="Z657" i="437"/>
  <c r="AA657" i="437" s="1"/>
  <c r="Z656" i="437"/>
  <c r="AA656" i="437" s="1"/>
  <c r="Z655" i="437"/>
  <c r="AA655" i="437" s="1"/>
  <c r="Z654" i="437"/>
  <c r="AA654" i="437" s="1"/>
  <c r="Z653" i="437"/>
  <c r="AA653" i="437" s="1"/>
  <c r="Z652" i="437"/>
  <c r="AA652" i="437" s="1"/>
  <c r="Z651" i="437"/>
  <c r="AA651" i="437" s="1"/>
  <c r="Z650" i="437"/>
  <c r="AA650" i="437" s="1"/>
  <c r="Z649" i="437"/>
  <c r="AA649" i="437" s="1"/>
  <c r="Z648" i="437"/>
  <c r="AA648" i="437" s="1"/>
  <c r="Z647" i="437"/>
  <c r="AA647" i="437" s="1"/>
  <c r="Z646" i="437"/>
  <c r="AA646" i="437" s="1"/>
  <c r="Z645" i="437"/>
  <c r="AA645" i="437" s="1"/>
  <c r="Z644" i="437"/>
  <c r="AA644" i="437" s="1"/>
  <c r="Z643" i="437"/>
  <c r="AA643" i="437" s="1"/>
  <c r="Z642" i="437"/>
  <c r="AA642" i="437" s="1"/>
  <c r="Z641" i="437"/>
  <c r="AA641" i="437" s="1"/>
  <c r="Z640" i="437"/>
  <c r="AA640" i="437" s="1"/>
  <c r="Z639" i="437"/>
  <c r="AA639" i="437" s="1"/>
  <c r="Z638" i="437"/>
  <c r="AA638" i="437" s="1"/>
  <c r="Z637" i="437"/>
  <c r="AA637" i="437" s="1"/>
  <c r="Z636" i="437"/>
  <c r="AA636" i="437" s="1"/>
  <c r="Z635" i="437"/>
  <c r="AA635" i="437" s="1"/>
  <c r="Z634" i="437"/>
  <c r="AA634" i="437" s="1"/>
  <c r="Z633" i="437"/>
  <c r="AA633" i="437" s="1"/>
  <c r="Z632" i="437"/>
  <c r="AA632" i="437" s="1"/>
  <c r="Z631" i="437"/>
  <c r="AA631" i="437" s="1"/>
  <c r="Z630" i="437"/>
  <c r="AA630" i="437" s="1"/>
  <c r="Z629" i="437"/>
  <c r="AA629" i="437" s="1"/>
  <c r="Z628" i="437"/>
  <c r="AA628" i="437" s="1"/>
  <c r="Z627" i="437"/>
  <c r="AA627" i="437" s="1"/>
  <c r="Z626" i="437"/>
  <c r="AA626" i="437" s="1"/>
  <c r="Z625" i="437"/>
  <c r="AA625" i="437" s="1"/>
  <c r="Z624" i="437"/>
  <c r="AA624" i="437" s="1"/>
  <c r="Z623" i="437"/>
  <c r="AA623" i="437" s="1"/>
  <c r="Z622" i="437"/>
  <c r="AA622" i="437" s="1"/>
  <c r="Z621" i="437"/>
  <c r="AA621" i="437" s="1"/>
  <c r="Z620" i="437"/>
  <c r="AA620" i="437" s="1"/>
  <c r="Z619" i="437"/>
  <c r="AA619" i="437" s="1"/>
  <c r="Z618" i="437"/>
  <c r="AA618" i="437" s="1"/>
  <c r="Z617" i="437"/>
  <c r="AA617" i="437" s="1"/>
  <c r="Z616" i="437"/>
  <c r="AA616" i="437" s="1"/>
  <c r="Z615" i="437"/>
  <c r="AA615" i="437" s="1"/>
  <c r="Z614" i="437"/>
  <c r="AA614" i="437" s="1"/>
  <c r="Z613" i="437"/>
  <c r="AA613" i="437" s="1"/>
  <c r="Z612" i="437"/>
  <c r="AA612" i="437" s="1"/>
  <c r="Z611" i="437"/>
  <c r="AA611" i="437" s="1"/>
  <c r="Z610" i="437"/>
  <c r="AA610" i="437" s="1"/>
  <c r="Z609" i="437"/>
  <c r="AA609" i="437" s="1"/>
  <c r="Z608" i="437"/>
  <c r="AA608" i="437" s="1"/>
  <c r="Z607" i="437"/>
  <c r="AA607" i="437" s="1"/>
  <c r="Z606" i="437"/>
  <c r="AA606" i="437" s="1"/>
  <c r="Z605" i="437"/>
  <c r="AA605" i="437" s="1"/>
  <c r="Z604" i="437"/>
  <c r="AA604" i="437" s="1"/>
  <c r="Z603" i="437"/>
  <c r="AA603" i="437" s="1"/>
  <c r="Z602" i="437"/>
  <c r="AA602" i="437" s="1"/>
  <c r="Z601" i="437"/>
  <c r="AA601" i="437" s="1"/>
  <c r="Z600" i="437"/>
  <c r="AA600" i="437" s="1"/>
  <c r="Z599" i="437"/>
  <c r="AA599" i="437" s="1"/>
  <c r="Z598" i="437"/>
  <c r="AA598" i="437" s="1"/>
  <c r="Z597" i="437"/>
  <c r="AA597" i="437" s="1"/>
  <c r="Z596" i="437"/>
  <c r="AA596" i="437" s="1"/>
  <c r="Z595" i="437"/>
  <c r="AA595" i="437" s="1"/>
  <c r="Z594" i="437"/>
  <c r="AA594" i="437" s="1"/>
  <c r="Z593" i="437"/>
  <c r="AA593" i="437" s="1"/>
  <c r="Z592" i="437"/>
  <c r="AA592" i="437" s="1"/>
  <c r="Z591" i="437"/>
  <c r="AA591" i="437" s="1"/>
  <c r="Z590" i="437"/>
  <c r="AA590" i="437" s="1"/>
  <c r="Z589" i="437"/>
  <c r="AA589" i="437" s="1"/>
  <c r="Z588" i="437"/>
  <c r="AA588" i="437" s="1"/>
  <c r="Z587" i="437"/>
  <c r="AA587" i="437" s="1"/>
  <c r="Z586" i="437"/>
  <c r="AA586" i="437" s="1"/>
  <c r="Z585" i="437"/>
  <c r="AA585" i="437" s="1"/>
  <c r="Z584" i="437"/>
  <c r="AA584" i="437" s="1"/>
  <c r="Z583" i="437"/>
  <c r="AA583" i="437" s="1"/>
  <c r="Z582" i="437"/>
  <c r="AA582" i="437" s="1"/>
  <c r="Z581" i="437"/>
  <c r="AA581" i="437" s="1"/>
  <c r="Z580" i="437"/>
  <c r="AA580" i="437" s="1"/>
  <c r="Z579" i="437"/>
  <c r="AA579" i="437" s="1"/>
  <c r="Z578" i="437"/>
  <c r="AA578" i="437" s="1"/>
  <c r="Z577" i="437"/>
  <c r="AA577" i="437" s="1"/>
  <c r="Z576" i="437"/>
  <c r="AA576" i="437" s="1"/>
  <c r="Z575" i="437"/>
  <c r="AA575" i="437" s="1"/>
  <c r="Z574" i="437"/>
  <c r="AA574" i="437" s="1"/>
  <c r="Z573" i="437"/>
  <c r="AA573" i="437" s="1"/>
  <c r="Z572" i="437"/>
  <c r="AA572" i="437" s="1"/>
  <c r="Z571" i="437"/>
  <c r="AA571" i="437" s="1"/>
  <c r="Z570" i="437"/>
  <c r="AA570" i="437" s="1"/>
  <c r="Z569" i="437"/>
  <c r="AA569" i="437" s="1"/>
  <c r="Z568" i="437"/>
  <c r="AA568" i="437" s="1"/>
  <c r="Z552" i="437"/>
  <c r="AA552" i="437" s="1"/>
  <c r="Z551" i="437"/>
  <c r="AA551" i="437" s="1"/>
  <c r="Z550" i="437"/>
  <c r="AA550" i="437" s="1"/>
  <c r="Z549" i="437"/>
  <c r="AA549" i="437" s="1"/>
  <c r="Z548" i="437"/>
  <c r="AA548" i="437" s="1"/>
  <c r="Z547" i="437"/>
  <c r="AA547" i="437" s="1"/>
  <c r="Z546" i="437"/>
  <c r="AA546" i="437" s="1"/>
  <c r="Z545" i="437"/>
  <c r="AA545" i="437" s="1"/>
  <c r="Z544" i="437"/>
  <c r="AA544" i="437" s="1"/>
  <c r="Z543" i="437"/>
  <c r="AA543" i="437" s="1"/>
  <c r="Z542" i="437"/>
  <c r="AA542" i="437" s="1"/>
  <c r="Z541" i="437"/>
  <c r="AA541" i="437" s="1"/>
  <c r="Z540" i="437"/>
  <c r="AA540" i="437" s="1"/>
  <c r="Z539" i="437"/>
  <c r="AA539" i="437" s="1"/>
  <c r="Z538" i="437"/>
  <c r="AA538" i="437" s="1"/>
  <c r="Z537" i="437"/>
  <c r="AA537" i="437" s="1"/>
  <c r="Z536" i="437"/>
  <c r="AA536" i="437" s="1"/>
  <c r="Z535" i="437"/>
  <c r="AA535" i="437" s="1"/>
  <c r="Z534" i="437"/>
  <c r="AA534" i="437" s="1"/>
  <c r="Z533" i="437"/>
  <c r="AA533" i="437" s="1"/>
  <c r="Z532" i="437"/>
  <c r="AA532" i="437" s="1"/>
  <c r="Z531" i="437"/>
  <c r="AA531" i="437" s="1"/>
  <c r="Z530" i="437"/>
  <c r="AA530" i="437" s="1"/>
  <c r="Z529" i="437"/>
  <c r="AA529" i="437" s="1"/>
  <c r="Z528" i="437"/>
  <c r="AA528" i="437" s="1"/>
  <c r="Z527" i="437"/>
  <c r="AA527" i="437" s="1"/>
  <c r="Z526" i="437"/>
  <c r="AA526" i="437" s="1"/>
  <c r="Z525" i="437"/>
  <c r="AA525" i="437" s="1"/>
  <c r="Z524" i="437"/>
  <c r="AA524" i="437" s="1"/>
  <c r="Z523" i="437"/>
  <c r="AA523" i="437" s="1"/>
  <c r="Z522" i="437"/>
  <c r="AA522" i="437" s="1"/>
  <c r="Z521" i="437"/>
  <c r="AA521" i="437" s="1"/>
  <c r="Z520" i="437"/>
  <c r="AA520" i="437" s="1"/>
  <c r="Z519" i="437"/>
  <c r="AA519" i="437" s="1"/>
  <c r="Z518" i="437"/>
  <c r="AA518" i="437" s="1"/>
  <c r="Z517" i="437"/>
  <c r="AA517" i="437" s="1"/>
  <c r="Z516" i="437"/>
  <c r="AA516" i="437" s="1"/>
  <c r="Z515" i="437"/>
  <c r="AA515" i="437" s="1"/>
  <c r="Z514" i="437"/>
  <c r="AA514" i="437" s="1"/>
  <c r="Z513" i="437"/>
  <c r="AA513" i="437" s="1"/>
  <c r="Z512" i="437"/>
  <c r="AA512" i="437" s="1"/>
  <c r="Z511" i="437"/>
  <c r="AA511" i="437" s="1"/>
  <c r="Z510" i="437"/>
  <c r="AA510" i="437" s="1"/>
  <c r="Z509" i="437"/>
  <c r="AA509" i="437" s="1"/>
  <c r="Z508" i="437"/>
  <c r="AA508" i="437" s="1"/>
  <c r="Z507" i="437"/>
  <c r="AA507" i="437" s="1"/>
  <c r="Z506" i="437"/>
  <c r="AA506" i="437" s="1"/>
  <c r="Z505" i="437"/>
  <c r="AA505" i="437" s="1"/>
  <c r="Z504" i="437"/>
  <c r="AA504" i="437" s="1"/>
  <c r="Z503" i="437"/>
  <c r="AA503" i="437" s="1"/>
  <c r="Z502" i="437"/>
  <c r="AA502" i="437" s="1"/>
  <c r="Z501" i="437"/>
  <c r="AA501" i="437" s="1"/>
  <c r="Z500" i="437"/>
  <c r="AA500" i="437" s="1"/>
  <c r="Z499" i="437"/>
  <c r="AA499" i="437" s="1"/>
  <c r="Z498" i="437"/>
  <c r="AA498" i="437" s="1"/>
  <c r="Z497" i="437"/>
  <c r="AA497" i="437" s="1"/>
  <c r="Z496" i="437"/>
  <c r="AA496" i="437" s="1"/>
  <c r="Z495" i="437"/>
  <c r="AA495" i="437" s="1"/>
  <c r="Z494" i="437"/>
  <c r="AA494" i="437" s="1"/>
  <c r="Z493" i="437"/>
  <c r="AA493" i="437" s="1"/>
  <c r="Z492" i="437"/>
  <c r="AA492" i="437" s="1"/>
  <c r="Z491" i="437"/>
  <c r="AA491" i="437" s="1"/>
  <c r="Z490" i="437"/>
  <c r="AA490" i="437" s="1"/>
  <c r="Z489" i="437"/>
  <c r="AA489" i="437" s="1"/>
  <c r="Z479" i="437"/>
  <c r="AA479" i="437" s="1"/>
  <c r="Z478" i="437"/>
  <c r="AA478" i="437" s="1"/>
  <c r="Z477" i="437"/>
  <c r="AA477" i="437" s="1"/>
  <c r="Z476" i="437"/>
  <c r="AA476" i="437" s="1"/>
  <c r="Z475" i="437"/>
  <c r="AA475" i="437" s="1"/>
  <c r="Z474" i="437"/>
  <c r="AA474" i="437" s="1"/>
  <c r="Z468" i="437"/>
  <c r="AA468" i="437" s="1"/>
  <c r="Z467" i="437"/>
  <c r="AA467" i="437" s="1"/>
  <c r="Z466" i="437"/>
  <c r="AA466" i="437" s="1"/>
  <c r="Z465" i="437"/>
  <c r="AA465" i="437" s="1"/>
  <c r="Z464" i="437"/>
  <c r="AA464" i="437" s="1"/>
  <c r="Z463" i="437"/>
  <c r="AA463" i="437" s="1"/>
  <c r="Z462" i="437"/>
  <c r="AA462" i="437" s="1"/>
  <c r="Z461" i="437"/>
  <c r="AA461" i="437" s="1"/>
  <c r="Z460" i="437"/>
  <c r="AA460" i="437" s="1"/>
  <c r="Z459" i="437"/>
  <c r="AA459" i="437" s="1"/>
  <c r="Z458" i="437"/>
  <c r="AA458" i="437" s="1"/>
  <c r="Z457" i="437"/>
  <c r="AA457" i="437" s="1"/>
  <c r="Z456" i="437"/>
  <c r="AA456" i="437" s="1"/>
  <c r="Z455" i="437"/>
  <c r="AA455" i="437" s="1"/>
  <c r="Z454" i="437"/>
  <c r="AA454" i="437" s="1"/>
  <c r="Z453" i="437"/>
  <c r="AA453" i="437" s="1"/>
  <c r="Z452" i="437"/>
  <c r="AA452" i="437" s="1"/>
  <c r="Z451" i="437"/>
  <c r="AA451" i="437" s="1"/>
  <c r="Z450" i="437"/>
  <c r="AA450" i="437" s="1"/>
  <c r="Z449" i="437"/>
  <c r="AA449" i="437" s="1"/>
  <c r="Z448" i="437"/>
  <c r="AA448" i="437" s="1"/>
  <c r="Z447" i="437"/>
  <c r="AA447" i="437" s="1"/>
  <c r="Z446" i="437"/>
  <c r="AA446" i="437" s="1"/>
  <c r="Z445" i="437"/>
  <c r="AA445" i="437" s="1"/>
  <c r="Z444" i="437"/>
  <c r="AA444" i="437" s="1"/>
  <c r="Z443" i="437"/>
  <c r="AA443" i="437" s="1"/>
  <c r="Z442" i="437"/>
  <c r="AA442" i="437" s="1"/>
  <c r="Z441" i="437"/>
  <c r="AA441" i="437" s="1"/>
  <c r="Z440" i="437"/>
  <c r="AA440" i="437" s="1"/>
  <c r="Z439" i="437"/>
  <c r="AA439" i="437" s="1"/>
  <c r="Z438" i="437"/>
  <c r="AA438" i="437" s="1"/>
  <c r="Z437" i="437"/>
  <c r="AA437" i="437" s="1"/>
  <c r="Z436" i="437"/>
  <c r="AA436" i="437" s="1"/>
  <c r="Z435" i="437"/>
  <c r="AA435" i="437" s="1"/>
  <c r="Z434" i="437"/>
  <c r="AA434" i="437" s="1"/>
  <c r="Z433" i="437"/>
  <c r="AA433" i="437" s="1"/>
  <c r="Z432" i="437"/>
  <c r="AA432" i="437" s="1"/>
  <c r="Z431" i="437"/>
  <c r="AA431" i="437" s="1"/>
  <c r="Z430" i="437"/>
  <c r="AA430" i="437" s="1"/>
  <c r="Z429" i="437"/>
  <c r="AA429" i="437" s="1"/>
  <c r="Z428" i="437"/>
  <c r="AA428" i="437" s="1"/>
  <c r="Z427" i="437"/>
  <c r="AA427" i="437" s="1"/>
  <c r="Z426" i="437"/>
  <c r="AA426" i="437" s="1"/>
  <c r="Z425" i="437"/>
  <c r="AA425" i="437" s="1"/>
  <c r="Z424" i="437"/>
  <c r="AA424" i="437" s="1"/>
  <c r="Z423" i="437"/>
  <c r="AA423" i="437" s="1"/>
  <c r="Z422" i="437"/>
  <c r="AA422" i="437" s="1"/>
  <c r="Z421" i="437"/>
  <c r="AA421" i="437" s="1"/>
  <c r="Z420" i="437"/>
  <c r="AA420" i="437" s="1"/>
  <c r="Z419" i="437"/>
  <c r="AA419" i="437" s="1"/>
  <c r="Z418" i="437"/>
  <c r="AA418" i="437" s="1"/>
  <c r="Z417" i="437"/>
  <c r="AA417" i="437" s="1"/>
  <c r="Z416" i="437"/>
  <c r="AA416" i="437" s="1"/>
  <c r="Z415" i="437"/>
  <c r="AA415" i="437" s="1"/>
  <c r="Z414" i="437"/>
  <c r="AA414" i="437" s="1"/>
  <c r="Z413" i="437"/>
  <c r="AA413" i="437" s="1"/>
  <c r="Z412" i="437"/>
  <c r="AA412" i="437" s="1"/>
  <c r="Z411" i="437"/>
  <c r="AA411" i="437" s="1"/>
  <c r="Z410" i="437"/>
  <c r="AA410" i="437" s="1"/>
  <c r="Z409" i="437"/>
  <c r="AA409" i="437" s="1"/>
  <c r="Z408" i="437"/>
  <c r="AA408" i="437" s="1"/>
  <c r="Z407" i="437"/>
  <c r="AA407" i="437" s="1"/>
  <c r="Z406" i="437"/>
  <c r="AA406" i="437" s="1"/>
  <c r="Z405" i="437"/>
  <c r="AA405" i="437" s="1"/>
  <c r="Z404" i="437"/>
  <c r="AA404" i="437" s="1"/>
  <c r="Z403" i="437"/>
  <c r="AA403" i="437" s="1"/>
  <c r="Z402" i="437"/>
  <c r="AA402" i="437" s="1"/>
  <c r="Z401" i="437"/>
  <c r="AA401" i="437" s="1"/>
  <c r="Z400" i="437"/>
  <c r="AA400" i="437" s="1"/>
  <c r="Z399" i="437"/>
  <c r="AA399" i="437" s="1"/>
  <c r="Z398" i="437"/>
  <c r="AA398" i="437" s="1"/>
  <c r="Z397" i="437"/>
  <c r="AA397" i="437" s="1"/>
  <c r="Z396" i="437"/>
  <c r="AA396" i="437" s="1"/>
  <c r="Z395" i="437"/>
  <c r="AA395" i="437" s="1"/>
  <c r="Z394" i="437"/>
  <c r="AA394" i="437" s="1"/>
  <c r="Z393" i="437"/>
  <c r="AA393" i="437" s="1"/>
  <c r="Z392" i="437"/>
  <c r="AA392" i="437" s="1"/>
  <c r="Z391" i="437"/>
  <c r="AA391" i="437" s="1"/>
  <c r="Z390" i="437"/>
  <c r="AA390" i="437" s="1"/>
  <c r="Z389" i="437"/>
  <c r="AA389" i="437" s="1"/>
  <c r="Z388" i="437"/>
  <c r="AA388" i="437" s="1"/>
  <c r="Z387" i="437"/>
  <c r="AA387" i="437" s="1"/>
  <c r="Z386" i="437"/>
  <c r="AA386" i="437" s="1"/>
  <c r="Z385" i="437"/>
  <c r="AA385" i="437" s="1"/>
  <c r="Z384" i="437"/>
  <c r="AA384" i="437" s="1"/>
  <c r="Z383" i="437"/>
  <c r="AA383" i="437" s="1"/>
  <c r="Z382" i="437"/>
  <c r="AA382" i="437" s="1"/>
  <c r="Z381" i="437"/>
  <c r="AA381" i="437" s="1"/>
  <c r="Z380" i="437"/>
  <c r="AA380" i="437" s="1"/>
  <c r="Z379" i="437"/>
  <c r="AA379" i="437" s="1"/>
  <c r="Z378" i="437"/>
  <c r="AA378" i="437" s="1"/>
  <c r="Z377" i="437"/>
  <c r="AA377" i="437" s="1"/>
  <c r="Z376" i="437"/>
  <c r="AA376" i="437" s="1"/>
  <c r="Z375" i="437"/>
  <c r="AA375" i="437" s="1"/>
  <c r="Z374" i="437"/>
  <c r="AA374" i="437" s="1"/>
  <c r="Z359" i="437"/>
  <c r="Z358" i="437"/>
  <c r="Z357" i="437"/>
  <c r="Z356" i="437"/>
  <c r="Z355" i="437"/>
  <c r="Z354" i="437"/>
  <c r="Z353" i="437"/>
  <c r="Z352" i="437"/>
  <c r="Z351" i="437"/>
  <c r="AA351" i="437" s="1"/>
  <c r="Z350" i="437"/>
  <c r="AA350" i="437" s="1"/>
  <c r="Z349" i="437"/>
  <c r="Z348" i="437"/>
  <c r="Z347" i="437"/>
  <c r="Z346" i="437"/>
  <c r="Z345" i="437"/>
  <c r="Z344" i="437"/>
  <c r="Z343" i="437"/>
  <c r="Z342" i="437"/>
  <c r="Z341" i="437"/>
  <c r="Z340" i="437"/>
  <c r="Z339" i="437"/>
  <c r="Z338" i="437"/>
  <c r="AA338" i="437" s="1"/>
  <c r="W657" i="437"/>
  <c r="X657" i="437" s="1"/>
  <c r="W656" i="437"/>
  <c r="X656" i="437" s="1"/>
  <c r="W655" i="437"/>
  <c r="X655" i="437" s="1"/>
  <c r="W654" i="437"/>
  <c r="X654" i="437" s="1"/>
  <c r="W653" i="437"/>
  <c r="X653" i="437" s="1"/>
  <c r="W652" i="437"/>
  <c r="X652" i="437" s="1"/>
  <c r="W651" i="437"/>
  <c r="X651" i="437" s="1"/>
  <c r="W650" i="437"/>
  <c r="X650" i="437" s="1"/>
  <c r="W649" i="437"/>
  <c r="X649" i="437" s="1"/>
  <c r="W648" i="437"/>
  <c r="X648" i="437" s="1"/>
  <c r="W647" i="437"/>
  <c r="X647" i="437" s="1"/>
  <c r="W646" i="437"/>
  <c r="X646" i="437" s="1"/>
  <c r="W645" i="437"/>
  <c r="X645" i="437" s="1"/>
  <c r="W644" i="437"/>
  <c r="X644" i="437" s="1"/>
  <c r="W643" i="437"/>
  <c r="X643" i="437" s="1"/>
  <c r="W642" i="437"/>
  <c r="X642" i="437" s="1"/>
  <c r="W641" i="437"/>
  <c r="X641" i="437" s="1"/>
  <c r="W640" i="437"/>
  <c r="X640" i="437" s="1"/>
  <c r="W639" i="437"/>
  <c r="X639" i="437" s="1"/>
  <c r="W638" i="437"/>
  <c r="X638" i="437" s="1"/>
  <c r="W637" i="437"/>
  <c r="X637" i="437" s="1"/>
  <c r="W636" i="437"/>
  <c r="X636" i="437" s="1"/>
  <c r="W635" i="437"/>
  <c r="X635" i="437" s="1"/>
  <c r="W634" i="437"/>
  <c r="X634" i="437" s="1"/>
  <c r="W633" i="437"/>
  <c r="X633" i="437" s="1"/>
  <c r="W632" i="437"/>
  <c r="X632" i="437" s="1"/>
  <c r="W631" i="437"/>
  <c r="X631" i="437" s="1"/>
  <c r="W630" i="437"/>
  <c r="X630" i="437" s="1"/>
  <c r="W629" i="437"/>
  <c r="X629" i="437" s="1"/>
  <c r="W628" i="437"/>
  <c r="X628" i="437" s="1"/>
  <c r="W627" i="437"/>
  <c r="X627" i="437" s="1"/>
  <c r="W626" i="437"/>
  <c r="X626" i="437" s="1"/>
  <c r="W625" i="437"/>
  <c r="X625" i="437" s="1"/>
  <c r="W624" i="437"/>
  <c r="X624" i="437" s="1"/>
  <c r="W623" i="437"/>
  <c r="X623" i="437" s="1"/>
  <c r="W622" i="437"/>
  <c r="X622" i="437" s="1"/>
  <c r="W621" i="437"/>
  <c r="X621" i="437" s="1"/>
  <c r="W620" i="437"/>
  <c r="X620" i="437" s="1"/>
  <c r="W619" i="437"/>
  <c r="X619" i="437" s="1"/>
  <c r="W618" i="437"/>
  <c r="X618" i="437" s="1"/>
  <c r="W617" i="437"/>
  <c r="X617" i="437" s="1"/>
  <c r="W616" i="437"/>
  <c r="X616" i="437" s="1"/>
  <c r="W615" i="437"/>
  <c r="X615" i="437" s="1"/>
  <c r="W614" i="437"/>
  <c r="X614" i="437" s="1"/>
  <c r="W613" i="437"/>
  <c r="X613" i="437" s="1"/>
  <c r="W612" i="437"/>
  <c r="X612" i="437" s="1"/>
  <c r="W611" i="437"/>
  <c r="X611" i="437" s="1"/>
  <c r="W610" i="437"/>
  <c r="X610" i="437" s="1"/>
  <c r="W609" i="437"/>
  <c r="X609" i="437" s="1"/>
  <c r="W608" i="437"/>
  <c r="X608" i="437" s="1"/>
  <c r="W607" i="437"/>
  <c r="X607" i="437" s="1"/>
  <c r="W606" i="437"/>
  <c r="X606" i="437" s="1"/>
  <c r="W605" i="437"/>
  <c r="X605" i="437" s="1"/>
  <c r="W604" i="437"/>
  <c r="X604" i="437" s="1"/>
  <c r="W603" i="437"/>
  <c r="X603" i="437" s="1"/>
  <c r="W602" i="437"/>
  <c r="X602" i="437" s="1"/>
  <c r="W601" i="437"/>
  <c r="X601" i="437" s="1"/>
  <c r="W600" i="437"/>
  <c r="X600" i="437" s="1"/>
  <c r="W599" i="437"/>
  <c r="X599" i="437" s="1"/>
  <c r="W598" i="437"/>
  <c r="X598" i="437" s="1"/>
  <c r="W597" i="437"/>
  <c r="X597" i="437" s="1"/>
  <c r="W596" i="437"/>
  <c r="X596" i="437" s="1"/>
  <c r="W595" i="437"/>
  <c r="X595" i="437" s="1"/>
  <c r="W594" i="437"/>
  <c r="X594" i="437" s="1"/>
  <c r="W593" i="437"/>
  <c r="X593" i="437" s="1"/>
  <c r="W592" i="437"/>
  <c r="X592" i="437" s="1"/>
  <c r="W591" i="437"/>
  <c r="X591" i="437" s="1"/>
  <c r="W590" i="437"/>
  <c r="X590" i="437" s="1"/>
  <c r="W589" i="437"/>
  <c r="X589" i="437" s="1"/>
  <c r="W588" i="437"/>
  <c r="X588" i="437" s="1"/>
  <c r="W587" i="437"/>
  <c r="X587" i="437" s="1"/>
  <c r="W586" i="437"/>
  <c r="X586" i="437" s="1"/>
  <c r="W585" i="437"/>
  <c r="X585" i="437" s="1"/>
  <c r="W584" i="437"/>
  <c r="X584" i="437" s="1"/>
  <c r="W583" i="437"/>
  <c r="X583" i="437" s="1"/>
  <c r="W582" i="437"/>
  <c r="X582" i="437" s="1"/>
  <c r="W581" i="437"/>
  <c r="X581" i="437" s="1"/>
  <c r="W580" i="437"/>
  <c r="X580" i="437" s="1"/>
  <c r="W579" i="437"/>
  <c r="X579" i="437" s="1"/>
  <c r="W578" i="437"/>
  <c r="X578" i="437" s="1"/>
  <c r="W577" i="437"/>
  <c r="X577" i="437" s="1"/>
  <c r="W576" i="437"/>
  <c r="X576" i="437" s="1"/>
  <c r="W575" i="437"/>
  <c r="X575" i="437" s="1"/>
  <c r="W574" i="437"/>
  <c r="X574" i="437" s="1"/>
  <c r="W573" i="437"/>
  <c r="X573" i="437" s="1"/>
  <c r="W572" i="437"/>
  <c r="X572" i="437" s="1"/>
  <c r="W571" i="437"/>
  <c r="X571" i="437" s="1"/>
  <c r="W570" i="437"/>
  <c r="X570" i="437" s="1"/>
  <c r="W569" i="437"/>
  <c r="X569" i="437" s="1"/>
  <c r="W568" i="437"/>
  <c r="X568" i="437" s="1"/>
  <c r="W552" i="437"/>
  <c r="X552" i="437" s="1"/>
  <c r="W551" i="437"/>
  <c r="X551" i="437" s="1"/>
  <c r="W550" i="437"/>
  <c r="X550" i="437" s="1"/>
  <c r="W549" i="437"/>
  <c r="X549" i="437" s="1"/>
  <c r="W548" i="437"/>
  <c r="X548" i="437" s="1"/>
  <c r="W547" i="437"/>
  <c r="X547" i="437" s="1"/>
  <c r="W546" i="437"/>
  <c r="X546" i="437" s="1"/>
  <c r="W545" i="437"/>
  <c r="X545" i="437" s="1"/>
  <c r="W544" i="437"/>
  <c r="X544" i="437" s="1"/>
  <c r="W543" i="437"/>
  <c r="X543" i="437" s="1"/>
  <c r="W542" i="437"/>
  <c r="X542" i="437" s="1"/>
  <c r="W541" i="437"/>
  <c r="X541" i="437" s="1"/>
  <c r="W540" i="437"/>
  <c r="X540" i="437" s="1"/>
  <c r="W539" i="437"/>
  <c r="X539" i="437" s="1"/>
  <c r="W538" i="437"/>
  <c r="X538" i="437" s="1"/>
  <c r="W537" i="437"/>
  <c r="X537" i="437" s="1"/>
  <c r="W536" i="437"/>
  <c r="X536" i="437" s="1"/>
  <c r="W535" i="437"/>
  <c r="X535" i="437" s="1"/>
  <c r="W534" i="437"/>
  <c r="X534" i="437" s="1"/>
  <c r="W533" i="437"/>
  <c r="X533" i="437" s="1"/>
  <c r="W532" i="437"/>
  <c r="X532" i="437" s="1"/>
  <c r="W531" i="437"/>
  <c r="X531" i="437" s="1"/>
  <c r="W530" i="437"/>
  <c r="X530" i="437" s="1"/>
  <c r="W529" i="437"/>
  <c r="X529" i="437" s="1"/>
  <c r="W528" i="437"/>
  <c r="X528" i="437" s="1"/>
  <c r="W527" i="437"/>
  <c r="X527" i="437" s="1"/>
  <c r="W526" i="437"/>
  <c r="X526" i="437" s="1"/>
  <c r="W525" i="437"/>
  <c r="X525" i="437" s="1"/>
  <c r="W524" i="437"/>
  <c r="X524" i="437" s="1"/>
  <c r="W523" i="437"/>
  <c r="X523" i="437" s="1"/>
  <c r="W522" i="437"/>
  <c r="X522" i="437" s="1"/>
  <c r="W521" i="437"/>
  <c r="X521" i="437" s="1"/>
  <c r="W520" i="437"/>
  <c r="X520" i="437" s="1"/>
  <c r="W519" i="437"/>
  <c r="X519" i="437" s="1"/>
  <c r="W518" i="437"/>
  <c r="X518" i="437" s="1"/>
  <c r="W517" i="437"/>
  <c r="X517" i="437" s="1"/>
  <c r="W516" i="437"/>
  <c r="X516" i="437" s="1"/>
  <c r="W515" i="437"/>
  <c r="X515" i="437" s="1"/>
  <c r="W514" i="437"/>
  <c r="X514" i="437" s="1"/>
  <c r="W513" i="437"/>
  <c r="X513" i="437" s="1"/>
  <c r="W512" i="437"/>
  <c r="X512" i="437" s="1"/>
  <c r="W511" i="437"/>
  <c r="X511" i="437" s="1"/>
  <c r="W510" i="437"/>
  <c r="X510" i="437" s="1"/>
  <c r="W509" i="437"/>
  <c r="X509" i="437" s="1"/>
  <c r="W508" i="437"/>
  <c r="X508" i="437" s="1"/>
  <c r="W507" i="437"/>
  <c r="X507" i="437" s="1"/>
  <c r="W506" i="437"/>
  <c r="X506" i="437" s="1"/>
  <c r="W505" i="437"/>
  <c r="X505" i="437" s="1"/>
  <c r="W504" i="437"/>
  <c r="X504" i="437" s="1"/>
  <c r="W503" i="437"/>
  <c r="X503" i="437" s="1"/>
  <c r="W502" i="437"/>
  <c r="X502" i="437" s="1"/>
  <c r="W501" i="437"/>
  <c r="X501" i="437" s="1"/>
  <c r="W500" i="437"/>
  <c r="X500" i="437" s="1"/>
  <c r="W499" i="437"/>
  <c r="X499" i="437" s="1"/>
  <c r="W498" i="437"/>
  <c r="X498" i="437" s="1"/>
  <c r="W497" i="437"/>
  <c r="X497" i="437" s="1"/>
  <c r="W496" i="437"/>
  <c r="X496" i="437" s="1"/>
  <c r="W495" i="437"/>
  <c r="X495" i="437" s="1"/>
  <c r="W494" i="437"/>
  <c r="X494" i="437" s="1"/>
  <c r="W493" i="437"/>
  <c r="X493" i="437" s="1"/>
  <c r="W492" i="437"/>
  <c r="X492" i="437" s="1"/>
  <c r="W491" i="437"/>
  <c r="X491" i="437" s="1"/>
  <c r="W490" i="437"/>
  <c r="X490" i="437" s="1"/>
  <c r="W489" i="437"/>
  <c r="X489" i="437" s="1"/>
  <c r="W479" i="437"/>
  <c r="X479" i="437" s="1"/>
  <c r="W478" i="437"/>
  <c r="X478" i="437" s="1"/>
  <c r="W477" i="437"/>
  <c r="X477" i="437" s="1"/>
  <c r="W476" i="437"/>
  <c r="X476" i="437" s="1"/>
  <c r="W475" i="437"/>
  <c r="X475" i="437" s="1"/>
  <c r="W474" i="437"/>
  <c r="X474" i="437" s="1"/>
  <c r="W468" i="437"/>
  <c r="X468" i="437" s="1"/>
  <c r="W467" i="437"/>
  <c r="X467" i="437" s="1"/>
  <c r="W466" i="437"/>
  <c r="X466" i="437" s="1"/>
  <c r="W465" i="437"/>
  <c r="X465" i="437" s="1"/>
  <c r="W464" i="437"/>
  <c r="X464" i="437" s="1"/>
  <c r="W463" i="437"/>
  <c r="X463" i="437" s="1"/>
  <c r="W462" i="437"/>
  <c r="X462" i="437" s="1"/>
  <c r="W461" i="437"/>
  <c r="X461" i="437" s="1"/>
  <c r="W460" i="437"/>
  <c r="X460" i="437" s="1"/>
  <c r="W459" i="437"/>
  <c r="X459" i="437" s="1"/>
  <c r="W458" i="437"/>
  <c r="X458" i="437" s="1"/>
  <c r="W457" i="437"/>
  <c r="X457" i="437" s="1"/>
  <c r="W456" i="437"/>
  <c r="X456" i="437" s="1"/>
  <c r="W455" i="437"/>
  <c r="X455" i="437" s="1"/>
  <c r="W454" i="437"/>
  <c r="X454" i="437" s="1"/>
  <c r="W453" i="437"/>
  <c r="X453" i="437" s="1"/>
  <c r="W452" i="437"/>
  <c r="X452" i="437" s="1"/>
  <c r="W451" i="437"/>
  <c r="X451" i="437" s="1"/>
  <c r="W450" i="437"/>
  <c r="X450" i="437" s="1"/>
  <c r="W449" i="437"/>
  <c r="X449" i="437" s="1"/>
  <c r="W448" i="437"/>
  <c r="X448" i="437" s="1"/>
  <c r="W447" i="437"/>
  <c r="X447" i="437" s="1"/>
  <c r="W446" i="437"/>
  <c r="X446" i="437" s="1"/>
  <c r="W445" i="437"/>
  <c r="X445" i="437" s="1"/>
  <c r="W444" i="437"/>
  <c r="X444" i="437" s="1"/>
  <c r="W443" i="437"/>
  <c r="X443" i="437" s="1"/>
  <c r="W442" i="437"/>
  <c r="X442" i="437" s="1"/>
  <c r="W441" i="437"/>
  <c r="X441" i="437" s="1"/>
  <c r="W440" i="437"/>
  <c r="X440" i="437" s="1"/>
  <c r="W439" i="437"/>
  <c r="X439" i="437" s="1"/>
  <c r="W438" i="437"/>
  <c r="X438" i="437" s="1"/>
  <c r="W437" i="437"/>
  <c r="X437" i="437" s="1"/>
  <c r="W436" i="437"/>
  <c r="X436" i="437" s="1"/>
  <c r="W435" i="437"/>
  <c r="X435" i="437" s="1"/>
  <c r="W434" i="437"/>
  <c r="X434" i="437" s="1"/>
  <c r="W433" i="437"/>
  <c r="X433" i="437" s="1"/>
  <c r="W432" i="437"/>
  <c r="X432" i="437" s="1"/>
  <c r="W431" i="437"/>
  <c r="X431" i="437" s="1"/>
  <c r="W430" i="437"/>
  <c r="X430" i="437" s="1"/>
  <c r="W429" i="437"/>
  <c r="X429" i="437" s="1"/>
  <c r="W428" i="437"/>
  <c r="X428" i="437" s="1"/>
  <c r="W427" i="437"/>
  <c r="X427" i="437" s="1"/>
  <c r="W426" i="437"/>
  <c r="X426" i="437" s="1"/>
  <c r="W425" i="437"/>
  <c r="X425" i="437" s="1"/>
  <c r="W424" i="437"/>
  <c r="X424" i="437" s="1"/>
  <c r="W423" i="437"/>
  <c r="X423" i="437" s="1"/>
  <c r="W422" i="437"/>
  <c r="X422" i="437" s="1"/>
  <c r="W421" i="437"/>
  <c r="X421" i="437" s="1"/>
  <c r="W420" i="437"/>
  <c r="X420" i="437" s="1"/>
  <c r="W419" i="437"/>
  <c r="X419" i="437" s="1"/>
  <c r="W418" i="437"/>
  <c r="X418" i="437" s="1"/>
  <c r="W417" i="437"/>
  <c r="X417" i="437" s="1"/>
  <c r="W416" i="437"/>
  <c r="X416" i="437" s="1"/>
  <c r="W415" i="437"/>
  <c r="X415" i="437" s="1"/>
  <c r="W414" i="437"/>
  <c r="X414" i="437" s="1"/>
  <c r="W413" i="437"/>
  <c r="X413" i="437" s="1"/>
  <c r="W412" i="437"/>
  <c r="X412" i="437" s="1"/>
  <c r="W411" i="437"/>
  <c r="X411" i="437" s="1"/>
  <c r="W410" i="437"/>
  <c r="X410" i="437" s="1"/>
  <c r="W409" i="437"/>
  <c r="X409" i="437" s="1"/>
  <c r="W408" i="437"/>
  <c r="X408" i="437" s="1"/>
  <c r="W407" i="437"/>
  <c r="X407" i="437" s="1"/>
  <c r="W406" i="437"/>
  <c r="X406" i="437" s="1"/>
  <c r="W405" i="437"/>
  <c r="X405" i="437" s="1"/>
  <c r="W404" i="437"/>
  <c r="X404" i="437" s="1"/>
  <c r="W403" i="437"/>
  <c r="X403" i="437" s="1"/>
  <c r="W402" i="437"/>
  <c r="X402" i="437" s="1"/>
  <c r="W401" i="437"/>
  <c r="X401" i="437" s="1"/>
  <c r="W400" i="437"/>
  <c r="X400" i="437" s="1"/>
  <c r="W399" i="437"/>
  <c r="X399" i="437" s="1"/>
  <c r="W398" i="437"/>
  <c r="X398" i="437" s="1"/>
  <c r="W397" i="437"/>
  <c r="X397" i="437" s="1"/>
  <c r="W396" i="437"/>
  <c r="X396" i="437" s="1"/>
  <c r="W395" i="437"/>
  <c r="X395" i="437" s="1"/>
  <c r="W394" i="437"/>
  <c r="X394" i="437" s="1"/>
  <c r="W393" i="437"/>
  <c r="X393" i="437" s="1"/>
  <c r="W392" i="437"/>
  <c r="X392" i="437" s="1"/>
  <c r="W391" i="437"/>
  <c r="X391" i="437" s="1"/>
  <c r="W390" i="437"/>
  <c r="X390" i="437" s="1"/>
  <c r="W389" i="437"/>
  <c r="X389" i="437" s="1"/>
  <c r="W388" i="437"/>
  <c r="X388" i="437" s="1"/>
  <c r="W387" i="437"/>
  <c r="X387" i="437" s="1"/>
  <c r="W386" i="437"/>
  <c r="X386" i="437" s="1"/>
  <c r="W385" i="437"/>
  <c r="X385" i="437" s="1"/>
  <c r="W384" i="437"/>
  <c r="X384" i="437" s="1"/>
  <c r="W383" i="437"/>
  <c r="X383" i="437" s="1"/>
  <c r="W382" i="437"/>
  <c r="X382" i="437" s="1"/>
  <c r="W381" i="437"/>
  <c r="X381" i="437" s="1"/>
  <c r="W380" i="437"/>
  <c r="X380" i="437" s="1"/>
  <c r="W379" i="437"/>
  <c r="X379" i="437" s="1"/>
  <c r="W378" i="437"/>
  <c r="X378" i="437" s="1"/>
  <c r="W377" i="437"/>
  <c r="X377" i="437" s="1"/>
  <c r="W376" i="437"/>
  <c r="X376" i="437" s="1"/>
  <c r="W375" i="437"/>
  <c r="X375" i="437" s="1"/>
  <c r="W374" i="437"/>
  <c r="X374" i="437" s="1"/>
  <c r="W360" i="437"/>
  <c r="X360" i="437" s="1"/>
  <c r="W359" i="437"/>
  <c r="X359" i="437" s="1"/>
  <c r="W358" i="437"/>
  <c r="X358" i="437" s="1"/>
  <c r="W357" i="437"/>
  <c r="X357" i="437" s="1"/>
  <c r="W356" i="437"/>
  <c r="X356" i="437" s="1"/>
  <c r="W355" i="437"/>
  <c r="X355" i="437" s="1"/>
  <c r="W354" i="437"/>
  <c r="X354" i="437" s="1"/>
  <c r="W353" i="437"/>
  <c r="X353" i="437" s="1"/>
  <c r="W352" i="437"/>
  <c r="X352" i="437" s="1"/>
  <c r="W351" i="437"/>
  <c r="X351" i="437" s="1"/>
  <c r="W350" i="437"/>
  <c r="X350" i="437" s="1"/>
  <c r="W349" i="437"/>
  <c r="X349" i="437" s="1"/>
  <c r="W348" i="437"/>
  <c r="X348" i="437" s="1"/>
  <c r="W347" i="437"/>
  <c r="X347" i="437" s="1"/>
  <c r="W346" i="437"/>
  <c r="X346" i="437" s="1"/>
  <c r="W345" i="437"/>
  <c r="X345" i="437" s="1"/>
  <c r="W344" i="437"/>
  <c r="X344" i="437" s="1"/>
  <c r="W343" i="437"/>
  <c r="X343" i="437" s="1"/>
  <c r="W342" i="437"/>
  <c r="X342" i="437" s="1"/>
  <c r="W341" i="437"/>
  <c r="X341" i="437" s="1"/>
  <c r="W340" i="437"/>
  <c r="X340" i="437" s="1"/>
  <c r="W339" i="437"/>
  <c r="X339" i="437" s="1"/>
  <c r="W338" i="437"/>
  <c r="X338" i="437" s="1"/>
  <c r="W337" i="437"/>
  <c r="X337" i="437" s="1"/>
  <c r="Z337" i="437"/>
  <c r="AA337" i="437" s="1"/>
  <c r="AG333" i="437"/>
  <c r="AH333" i="437" s="1"/>
  <c r="AG329" i="437"/>
  <c r="AH329" i="437" s="1"/>
  <c r="AG327" i="437"/>
  <c r="AH327" i="437" s="1"/>
  <c r="AG326" i="437"/>
  <c r="AH326" i="437" s="1"/>
  <c r="AG322" i="437"/>
  <c r="AH322" i="437" s="1"/>
  <c r="AG320" i="437"/>
  <c r="AH320" i="437" s="1"/>
  <c r="AG319" i="437"/>
  <c r="AH319" i="437" s="1"/>
  <c r="AG318" i="437"/>
  <c r="AH318" i="437" s="1"/>
  <c r="AG317" i="437"/>
  <c r="AH317" i="437" s="1"/>
  <c r="AG316" i="437"/>
  <c r="AH316" i="437" s="1"/>
  <c r="AG315" i="437"/>
  <c r="AH315" i="437" s="1"/>
  <c r="AG314" i="437"/>
  <c r="AH314" i="437" s="1"/>
  <c r="AG313" i="437"/>
  <c r="AH313" i="437" s="1"/>
  <c r="AG312" i="437"/>
  <c r="AH312" i="437" s="1"/>
  <c r="AG311" i="437"/>
  <c r="AH311" i="437" s="1"/>
  <c r="AG310" i="437"/>
  <c r="AH310" i="437" s="1"/>
  <c r="AG309" i="437"/>
  <c r="AH309" i="437" s="1"/>
  <c r="AG308" i="437"/>
  <c r="AH308" i="437" s="1"/>
  <c r="AG307" i="437"/>
  <c r="AH307" i="437" s="1"/>
  <c r="AG304" i="437"/>
  <c r="AH304" i="437" s="1"/>
  <c r="AG303" i="437"/>
  <c r="AH303" i="437" s="1"/>
  <c r="AG302" i="437"/>
  <c r="AH302" i="437" s="1"/>
  <c r="AG301" i="437"/>
  <c r="AH301" i="437" s="1"/>
  <c r="AG300" i="437"/>
  <c r="AH300" i="437" s="1"/>
  <c r="AG299" i="437"/>
  <c r="AH299" i="437" s="1"/>
  <c r="AG298" i="437"/>
  <c r="AH298" i="437" s="1"/>
  <c r="AG297" i="437"/>
  <c r="AH297" i="437" s="1"/>
  <c r="AG296" i="437"/>
  <c r="AH296" i="437" s="1"/>
  <c r="AG295" i="437"/>
  <c r="AH295" i="437" s="1"/>
  <c r="AG294" i="437"/>
  <c r="AH294" i="437" s="1"/>
  <c r="AG293" i="437"/>
  <c r="AH293" i="437" s="1"/>
  <c r="AG292" i="437"/>
  <c r="AH292" i="437" s="1"/>
  <c r="AG291" i="437"/>
  <c r="AH291" i="437" s="1"/>
  <c r="AG290" i="437"/>
  <c r="AH290" i="437" s="1"/>
  <c r="AG289" i="437"/>
  <c r="AH289" i="437" s="1"/>
  <c r="AG288" i="437"/>
  <c r="AH288" i="437" s="1"/>
  <c r="AG287" i="437"/>
  <c r="AH287" i="437" s="1"/>
  <c r="AG286" i="437"/>
  <c r="AH286" i="437" s="1"/>
  <c r="AG285" i="437"/>
  <c r="AH285" i="437" s="1"/>
  <c r="AG284" i="437"/>
  <c r="AH284" i="437" s="1"/>
  <c r="AG283" i="437"/>
  <c r="AH283" i="437" s="1"/>
  <c r="AG282" i="437"/>
  <c r="AH282" i="437" s="1"/>
  <c r="AG281" i="437"/>
  <c r="AH281" i="437" s="1"/>
  <c r="AG280" i="437"/>
  <c r="AH280" i="437" s="1"/>
  <c r="AG279" i="437"/>
  <c r="AH279" i="437" s="1"/>
  <c r="AG278" i="437"/>
  <c r="AH278" i="437" s="1"/>
  <c r="AG277" i="437"/>
  <c r="AH277" i="437" s="1"/>
  <c r="AG276" i="437"/>
  <c r="AH276" i="437" s="1"/>
  <c r="AG275" i="437"/>
  <c r="AH275" i="437" s="1"/>
  <c r="AG274" i="437"/>
  <c r="AH274" i="437" s="1"/>
  <c r="AG273" i="437"/>
  <c r="AH273" i="437" s="1"/>
  <c r="AG272" i="437"/>
  <c r="AH272" i="437" s="1"/>
  <c r="AG271" i="437"/>
  <c r="AH271" i="437" s="1"/>
  <c r="AG270" i="437"/>
  <c r="AH270" i="437" s="1"/>
  <c r="AG269" i="437"/>
  <c r="AH269" i="437" s="1"/>
  <c r="AG268" i="437"/>
  <c r="AH268" i="437" s="1"/>
  <c r="AG267" i="437"/>
  <c r="AH267" i="437" s="1"/>
  <c r="AG266" i="437"/>
  <c r="AH266" i="437" s="1"/>
  <c r="AG265" i="437"/>
  <c r="AH265" i="437" s="1"/>
  <c r="AG264" i="437"/>
  <c r="AH264" i="437" s="1"/>
  <c r="AG263" i="437"/>
  <c r="AH263" i="437" s="1"/>
  <c r="AG261" i="437"/>
  <c r="AH261" i="437" s="1"/>
  <c r="AG260" i="437"/>
  <c r="AH260" i="437" s="1"/>
  <c r="AG259" i="437"/>
  <c r="AH259" i="437" s="1"/>
  <c r="AG258" i="437"/>
  <c r="AH258" i="437" s="1"/>
  <c r="AG257" i="437"/>
  <c r="AH257" i="437" s="1"/>
  <c r="AG256" i="437"/>
  <c r="AH256" i="437" s="1"/>
  <c r="AG255" i="437"/>
  <c r="AH255" i="437" s="1"/>
  <c r="AG253" i="437"/>
  <c r="AH253" i="437" s="1"/>
  <c r="AG252" i="437"/>
  <c r="AH252" i="437" s="1"/>
  <c r="AG251" i="437"/>
  <c r="AH251" i="437" s="1"/>
  <c r="AG250" i="437"/>
  <c r="AH250" i="437" s="1"/>
  <c r="AG249" i="437"/>
  <c r="AH249" i="437" s="1"/>
  <c r="AG248" i="437"/>
  <c r="AH248" i="437" s="1"/>
  <c r="AG247" i="437"/>
  <c r="AH247" i="437" s="1"/>
  <c r="AG246" i="437"/>
  <c r="AH246" i="437" s="1"/>
  <c r="AG245" i="437"/>
  <c r="AH245" i="437" s="1"/>
  <c r="AG244" i="437"/>
  <c r="AH244" i="437" s="1"/>
  <c r="AG243" i="437"/>
  <c r="AH243" i="437" s="1"/>
  <c r="AG242" i="437"/>
  <c r="AH242" i="437" s="1"/>
  <c r="AG241" i="437"/>
  <c r="AH241" i="437" s="1"/>
  <c r="AG240" i="437"/>
  <c r="AH240" i="437" s="1"/>
  <c r="AG239" i="437"/>
  <c r="AH239" i="437" s="1"/>
  <c r="AG238" i="437"/>
  <c r="AH238" i="437" s="1"/>
  <c r="AG237" i="437"/>
  <c r="AH237" i="437" s="1"/>
  <c r="AG236" i="437"/>
  <c r="AH236" i="437" s="1"/>
  <c r="AG235" i="437"/>
  <c r="AH235" i="437" s="1"/>
  <c r="AG234" i="437"/>
  <c r="AH234" i="437" s="1"/>
  <c r="AG233" i="437"/>
  <c r="AH233" i="437" s="1"/>
  <c r="AG232" i="437"/>
  <c r="AH232" i="437" s="1"/>
  <c r="AG231" i="437"/>
  <c r="AH231" i="437" s="1"/>
  <c r="AG230" i="437"/>
  <c r="AH230" i="437" s="1"/>
  <c r="AG229" i="437"/>
  <c r="AH229" i="437" s="1"/>
  <c r="AH228" i="437"/>
  <c r="AH227" i="437"/>
  <c r="AH226" i="437"/>
  <c r="AH225" i="437"/>
  <c r="AH224" i="437"/>
  <c r="AH223" i="437"/>
  <c r="AH222" i="437"/>
  <c r="AH221" i="437"/>
  <c r="AH220" i="437"/>
  <c r="AH219" i="437"/>
  <c r="AH218" i="437"/>
  <c r="AH217" i="437"/>
  <c r="AH216" i="437"/>
  <c r="AH215" i="437"/>
  <c r="AH214" i="437"/>
  <c r="AH213" i="437"/>
  <c r="AH212" i="437"/>
  <c r="AH211" i="437"/>
  <c r="AH210" i="437"/>
  <c r="AG209" i="437"/>
  <c r="AH209" i="437" s="1"/>
  <c r="AG208" i="437"/>
  <c r="AH208" i="437" s="1"/>
  <c r="AG207" i="437"/>
  <c r="AH207" i="437" s="1"/>
  <c r="AG206" i="437"/>
  <c r="AH206" i="437" s="1"/>
  <c r="AG205" i="437"/>
  <c r="AH205" i="437" s="1"/>
  <c r="AG204" i="437"/>
  <c r="AH204" i="437" s="1"/>
  <c r="AG203" i="437"/>
  <c r="AH203" i="437" s="1"/>
  <c r="AG202" i="437"/>
  <c r="AH202" i="437" s="1"/>
  <c r="AG201" i="437"/>
  <c r="AH201" i="437" s="1"/>
  <c r="AG200" i="437"/>
  <c r="AH200" i="437" s="1"/>
  <c r="AG199" i="437"/>
  <c r="AH199" i="437" s="1"/>
  <c r="AG198" i="437"/>
  <c r="AH198" i="437" s="1"/>
  <c r="AG197" i="437"/>
  <c r="AH197" i="437" s="1"/>
  <c r="AG196" i="437"/>
  <c r="AH196" i="437" s="1"/>
  <c r="AG195" i="437"/>
  <c r="AH195" i="437" s="1"/>
  <c r="AG194" i="437"/>
  <c r="AH194" i="437" s="1"/>
  <c r="AG193" i="437"/>
  <c r="AH193" i="437" s="1"/>
  <c r="AG192" i="437"/>
  <c r="AH192" i="437" s="1"/>
  <c r="AG191" i="437"/>
  <c r="AH191" i="437" s="1"/>
  <c r="AG188" i="437"/>
  <c r="AH188" i="437" s="1"/>
  <c r="AG187" i="437"/>
  <c r="AH187" i="437" s="1"/>
  <c r="AG186" i="437"/>
  <c r="AH186" i="437" s="1"/>
  <c r="AG184" i="437"/>
  <c r="AH184" i="437" s="1"/>
  <c r="AG183" i="437"/>
  <c r="AH183" i="437" s="1"/>
  <c r="AG182" i="437"/>
  <c r="AH182" i="437" s="1"/>
  <c r="AG181" i="437"/>
  <c r="AH181" i="437" s="1"/>
  <c r="AG180" i="437"/>
  <c r="AH180" i="437" s="1"/>
  <c r="AG179" i="437"/>
  <c r="AH179" i="437" s="1"/>
  <c r="AG178" i="437"/>
  <c r="AH178" i="437" s="1"/>
  <c r="AG177" i="437"/>
  <c r="AH177" i="437" s="1"/>
  <c r="AG176" i="437"/>
  <c r="AH176" i="437" s="1"/>
  <c r="AG175" i="437"/>
  <c r="AH175" i="437" s="1"/>
  <c r="AG174" i="437"/>
  <c r="AH174" i="437" s="1"/>
  <c r="AG173" i="437"/>
  <c r="AH173" i="437" s="1"/>
  <c r="AG172" i="437"/>
  <c r="AH172" i="437" s="1"/>
  <c r="AG170" i="437"/>
  <c r="AH170" i="437" s="1"/>
  <c r="AG168" i="437"/>
  <c r="AH168" i="437" s="1"/>
  <c r="AG167" i="437"/>
  <c r="AH167" i="437" s="1"/>
  <c r="AG166" i="437"/>
  <c r="AH166" i="437" s="1"/>
  <c r="AG165" i="437"/>
  <c r="AH165" i="437" s="1"/>
  <c r="AG164" i="437"/>
  <c r="AH164" i="437" s="1"/>
  <c r="AG163" i="437"/>
  <c r="AH163" i="437" s="1"/>
  <c r="AG162" i="437"/>
  <c r="AH162" i="437" s="1"/>
  <c r="AG161" i="437"/>
  <c r="AH161" i="437" s="1"/>
  <c r="AG160" i="437"/>
  <c r="AH160" i="437" s="1"/>
  <c r="AG158" i="437"/>
  <c r="AH158" i="437" s="1"/>
  <c r="AG157" i="437"/>
  <c r="AH157" i="437" s="1"/>
  <c r="AG156" i="437"/>
  <c r="AH156" i="437" s="1"/>
  <c r="AG154" i="437"/>
  <c r="AH154" i="437" s="1"/>
  <c r="AG153" i="437"/>
  <c r="AH153" i="437" s="1"/>
  <c r="AG152" i="437"/>
  <c r="AH152" i="437" s="1"/>
  <c r="AG151" i="437"/>
  <c r="AH151" i="437" s="1"/>
  <c r="AG150" i="437"/>
  <c r="AH150" i="437" s="1"/>
  <c r="AG149" i="437"/>
  <c r="AH149" i="437" s="1"/>
  <c r="AG148" i="437"/>
  <c r="AH148" i="437" s="1"/>
  <c r="AG147" i="437"/>
  <c r="AH147" i="437" s="1"/>
  <c r="AG146" i="437"/>
  <c r="AH146" i="437" s="1"/>
  <c r="AG145" i="437"/>
  <c r="AH145" i="437" s="1"/>
  <c r="AG144" i="437"/>
  <c r="AH144" i="437" s="1"/>
  <c r="AG143" i="437"/>
  <c r="AH143" i="437" s="1"/>
  <c r="AG142" i="437"/>
  <c r="AH142" i="437" s="1"/>
  <c r="AG141" i="437"/>
  <c r="AH141" i="437" s="1"/>
  <c r="AG140" i="437"/>
  <c r="AH140" i="437" s="1"/>
  <c r="AG139" i="437"/>
  <c r="AH139" i="437" s="1"/>
  <c r="AG138" i="437"/>
  <c r="AH138" i="437" s="1"/>
  <c r="AG137" i="437"/>
  <c r="AH137" i="437" s="1"/>
  <c r="AG136" i="437"/>
  <c r="AH136" i="437" s="1"/>
  <c r="AG135" i="437"/>
  <c r="AH135" i="437" s="1"/>
  <c r="AG134" i="437"/>
  <c r="AH134" i="437" s="1"/>
  <c r="AG133" i="437"/>
  <c r="AH133" i="437" s="1"/>
  <c r="AG132" i="437"/>
  <c r="AH132" i="437" s="1"/>
  <c r="AG131" i="437"/>
  <c r="AH131" i="437" s="1"/>
  <c r="AG130" i="437"/>
  <c r="AH130" i="437" s="1"/>
  <c r="AG129" i="437"/>
  <c r="AH129" i="437" s="1"/>
  <c r="AG128" i="437"/>
  <c r="AH128" i="437" s="1"/>
  <c r="AG127" i="437"/>
  <c r="AH127" i="437" s="1"/>
  <c r="AG126" i="437"/>
  <c r="AH126" i="437" s="1"/>
  <c r="AG125" i="437"/>
  <c r="AH125" i="437" s="1"/>
  <c r="AG124" i="437"/>
  <c r="AH124" i="437" s="1"/>
  <c r="AG123" i="437"/>
  <c r="AH123" i="437" s="1"/>
  <c r="AG122" i="437"/>
  <c r="AH122" i="437" s="1"/>
  <c r="AG121" i="437"/>
  <c r="AH121" i="437" s="1"/>
  <c r="AG120" i="437"/>
  <c r="AH120" i="437" s="1"/>
  <c r="AG119" i="437"/>
  <c r="AH119" i="437" s="1"/>
  <c r="AG118" i="437"/>
  <c r="AH118" i="437" s="1"/>
  <c r="AG117" i="437"/>
  <c r="AH117" i="437" s="1"/>
  <c r="AG116" i="437"/>
  <c r="AH116" i="437" s="1"/>
  <c r="AG115" i="437"/>
  <c r="AH115" i="437" s="1"/>
  <c r="AG114" i="437"/>
  <c r="AH114" i="437" s="1"/>
  <c r="AG113" i="437"/>
  <c r="AH113" i="437" s="1"/>
  <c r="AG112" i="437"/>
  <c r="AH112" i="437" s="1"/>
  <c r="AG111" i="437"/>
  <c r="AH111" i="437" s="1"/>
  <c r="AG110" i="437"/>
  <c r="AH110" i="437" s="1"/>
  <c r="AG109" i="437"/>
  <c r="AH109" i="437" s="1"/>
  <c r="AG108" i="437"/>
  <c r="AH108" i="437" s="1"/>
  <c r="AG107" i="437"/>
  <c r="AH107" i="437" s="1"/>
  <c r="AG106" i="437"/>
  <c r="AH106" i="437" s="1"/>
  <c r="AG105" i="437"/>
  <c r="AH105" i="437" s="1"/>
  <c r="AG104" i="437"/>
  <c r="AH104" i="437" s="1"/>
  <c r="AG103" i="437"/>
  <c r="AH103" i="437" s="1"/>
  <c r="AG102" i="437"/>
  <c r="AH102" i="437" s="1"/>
  <c r="AG101" i="437"/>
  <c r="AH101" i="437" s="1"/>
  <c r="AG100" i="437"/>
  <c r="AH100" i="437" s="1"/>
  <c r="AG98" i="437"/>
  <c r="AH98" i="437" s="1"/>
  <c r="AG97" i="437"/>
  <c r="AH97" i="437" s="1"/>
  <c r="AG96" i="437"/>
  <c r="AH96" i="437" s="1"/>
  <c r="AG95" i="437"/>
  <c r="AH95" i="437" s="1"/>
  <c r="AG94" i="437"/>
  <c r="AH94" i="437" s="1"/>
  <c r="AG93" i="437"/>
  <c r="AH93" i="437" s="1"/>
  <c r="AG92" i="437"/>
  <c r="AH92" i="437" s="1"/>
  <c r="AG91" i="437"/>
  <c r="AH91" i="437" s="1"/>
  <c r="AG90" i="437"/>
  <c r="AH90" i="437" s="1"/>
  <c r="AG89" i="437"/>
  <c r="AH89" i="437" s="1"/>
  <c r="AG88" i="437"/>
  <c r="AH88" i="437" s="1"/>
  <c r="AG87" i="437"/>
  <c r="AH87" i="437" s="1"/>
  <c r="AG86" i="437"/>
  <c r="AH86" i="437" s="1"/>
  <c r="AG85" i="437"/>
  <c r="AH85" i="437" s="1"/>
  <c r="AG84" i="437"/>
  <c r="AH84" i="437" s="1"/>
  <c r="AG83" i="437"/>
  <c r="AH83" i="437" s="1"/>
  <c r="AG82" i="437"/>
  <c r="AH82" i="437" s="1"/>
  <c r="AG81" i="437"/>
  <c r="AH81" i="437" s="1"/>
  <c r="AG80" i="437"/>
  <c r="AH80" i="437" s="1"/>
  <c r="AG79" i="437"/>
  <c r="AH79" i="437" s="1"/>
  <c r="AG78" i="437"/>
  <c r="AH78" i="437" s="1"/>
  <c r="AG77" i="437"/>
  <c r="AH77" i="437" s="1"/>
  <c r="AG76" i="437"/>
  <c r="AH76" i="437" s="1"/>
  <c r="AG75" i="437"/>
  <c r="AH75" i="437" s="1"/>
  <c r="AG74" i="437"/>
  <c r="AH74" i="437" s="1"/>
  <c r="AG73" i="437"/>
  <c r="AH73" i="437" s="1"/>
  <c r="AG72" i="437"/>
  <c r="AH72" i="437" s="1"/>
  <c r="AG71" i="437"/>
  <c r="AH71" i="437" s="1"/>
  <c r="AG70" i="437"/>
  <c r="AH70" i="437" s="1"/>
  <c r="AG69" i="437"/>
  <c r="AH69" i="437" s="1"/>
  <c r="AG68" i="437"/>
  <c r="AH68" i="437" s="1"/>
  <c r="AG67" i="437"/>
  <c r="AH67" i="437" s="1"/>
  <c r="AG66" i="437"/>
  <c r="AH66" i="437" s="1"/>
  <c r="AG65" i="437"/>
  <c r="AH65" i="437" s="1"/>
  <c r="AG64" i="437"/>
  <c r="AH64" i="437" s="1"/>
  <c r="AG63" i="437"/>
  <c r="AH63" i="437" s="1"/>
  <c r="AG62" i="437"/>
  <c r="AH62" i="437" s="1"/>
  <c r="AG61" i="437"/>
  <c r="AH61" i="437" s="1"/>
  <c r="AG60" i="437"/>
  <c r="AH60" i="437" s="1"/>
  <c r="AG59" i="437"/>
  <c r="AH59" i="437" s="1"/>
  <c r="AG58" i="437"/>
  <c r="AH58" i="437" s="1"/>
  <c r="AG57" i="437"/>
  <c r="AH57" i="437" s="1"/>
  <c r="AG56" i="437"/>
  <c r="AH56" i="437" s="1"/>
  <c r="AG55" i="437"/>
  <c r="AH55" i="437" s="1"/>
  <c r="AG54" i="437"/>
  <c r="AH54" i="437" s="1"/>
  <c r="AG53" i="437"/>
  <c r="AH53" i="437" s="1"/>
  <c r="AG52" i="437"/>
  <c r="AH52" i="437" s="1"/>
  <c r="AG51" i="437"/>
  <c r="AH51" i="437" s="1"/>
  <c r="AG50" i="437"/>
  <c r="AH50" i="437" s="1"/>
  <c r="AG49" i="437"/>
  <c r="AH49" i="437" s="1"/>
  <c r="AG48" i="437"/>
  <c r="AH48" i="437" s="1"/>
  <c r="AG47" i="437"/>
  <c r="AH47" i="437" s="1"/>
  <c r="AG46" i="437"/>
  <c r="AH46" i="437" s="1"/>
  <c r="AG45" i="437"/>
  <c r="AH45" i="437" s="1"/>
  <c r="AG44" i="437"/>
  <c r="AH44" i="437" s="1"/>
  <c r="AG43" i="437"/>
  <c r="AH43" i="437" s="1"/>
  <c r="AG42" i="437"/>
  <c r="AH42" i="437" s="1"/>
  <c r="AG41" i="437"/>
  <c r="AH41" i="437" s="1"/>
  <c r="AG40" i="437"/>
  <c r="AH40" i="437" s="1"/>
  <c r="AG39" i="437"/>
  <c r="AH39" i="437" s="1"/>
  <c r="AG38" i="437"/>
  <c r="AH38" i="437" s="1"/>
  <c r="AG37" i="437"/>
  <c r="AH37" i="437" s="1"/>
  <c r="AG36" i="437"/>
  <c r="AH36" i="437" s="1"/>
  <c r="AG35" i="437"/>
  <c r="AH35" i="437" s="1"/>
  <c r="AG34" i="437"/>
  <c r="AH34" i="437" s="1"/>
  <c r="AG33" i="437"/>
  <c r="AH33" i="437" s="1"/>
  <c r="AG32" i="437"/>
  <c r="AH32" i="437" s="1"/>
  <c r="AG31" i="437"/>
  <c r="AH31" i="437" s="1"/>
  <c r="AG30" i="437"/>
  <c r="AH30" i="437" s="1"/>
  <c r="AG29" i="437"/>
  <c r="AH29" i="437" s="1"/>
  <c r="AG28" i="437"/>
  <c r="AH28" i="437" s="1"/>
  <c r="AG27" i="437"/>
  <c r="AH27" i="437" s="1"/>
  <c r="AG26" i="437"/>
  <c r="AH26" i="437" s="1"/>
  <c r="AG25" i="437"/>
  <c r="AH25" i="437" s="1"/>
  <c r="AG24" i="437"/>
  <c r="AH24" i="437" s="1"/>
  <c r="AG23" i="437"/>
  <c r="AH23" i="437" s="1"/>
  <c r="AG22" i="437"/>
  <c r="AH22" i="437" s="1"/>
  <c r="AH21" i="437"/>
  <c r="AG20" i="437"/>
  <c r="AH20" i="437" s="1"/>
  <c r="AG19" i="437"/>
  <c r="AH19" i="437" s="1"/>
  <c r="AG18" i="437"/>
  <c r="AH18" i="437" s="1"/>
  <c r="AG17" i="437"/>
  <c r="AH17" i="437" s="1"/>
  <c r="AG16" i="437"/>
  <c r="AH16" i="437" s="1"/>
  <c r="AG15" i="437"/>
  <c r="AH15" i="437" s="1"/>
  <c r="AG14" i="437"/>
  <c r="AH14" i="437" s="1"/>
  <c r="AG13" i="437"/>
  <c r="AH13" i="437" s="1"/>
  <c r="AG12" i="437"/>
  <c r="AH12" i="437" s="1"/>
  <c r="AG11" i="437"/>
  <c r="AH11" i="437" s="1"/>
  <c r="AG10" i="437"/>
  <c r="AH10" i="437" s="1"/>
  <c r="AG9" i="437"/>
  <c r="AH9" i="437" s="1"/>
  <c r="AG8" i="437"/>
  <c r="AH8" i="437" s="1"/>
  <c r="AG6" i="437"/>
  <c r="AH6" i="437" s="1"/>
  <c r="AG5" i="437"/>
  <c r="AH5" i="437" s="1"/>
  <c r="AD333" i="437"/>
  <c r="AE333" i="437" s="1"/>
  <c r="AD329" i="437"/>
  <c r="AE329" i="437" s="1"/>
  <c r="AD327" i="437"/>
  <c r="AE327" i="437" s="1"/>
  <c r="AD326" i="437"/>
  <c r="AE326" i="437" s="1"/>
  <c r="AD322" i="437"/>
  <c r="AE322" i="437" s="1"/>
  <c r="AD320" i="437"/>
  <c r="AE320" i="437" s="1"/>
  <c r="AD319" i="437"/>
  <c r="AE319" i="437" s="1"/>
  <c r="AD318" i="437"/>
  <c r="AE318" i="437" s="1"/>
  <c r="AD317" i="437"/>
  <c r="AE317" i="437" s="1"/>
  <c r="AD316" i="437"/>
  <c r="AE316" i="437" s="1"/>
  <c r="AD315" i="437"/>
  <c r="AE315" i="437" s="1"/>
  <c r="AD314" i="437"/>
  <c r="AE314" i="437" s="1"/>
  <c r="AD313" i="437"/>
  <c r="AE313" i="437" s="1"/>
  <c r="AD312" i="437"/>
  <c r="AE312" i="437" s="1"/>
  <c r="AD311" i="437"/>
  <c r="AE311" i="437" s="1"/>
  <c r="AD310" i="437"/>
  <c r="AE310" i="437" s="1"/>
  <c r="AD309" i="437"/>
  <c r="AE309" i="437" s="1"/>
  <c r="AD308" i="437"/>
  <c r="AE308" i="437" s="1"/>
  <c r="AD307" i="437"/>
  <c r="AE307" i="437" s="1"/>
  <c r="AD304" i="437"/>
  <c r="AE304" i="437" s="1"/>
  <c r="AD303" i="437"/>
  <c r="AE303" i="437" s="1"/>
  <c r="AD302" i="437"/>
  <c r="AE302" i="437" s="1"/>
  <c r="AD301" i="437"/>
  <c r="AE301" i="437" s="1"/>
  <c r="AD300" i="437"/>
  <c r="AE300" i="437" s="1"/>
  <c r="AD299" i="437"/>
  <c r="AE299" i="437" s="1"/>
  <c r="AD298" i="437"/>
  <c r="AE298" i="437" s="1"/>
  <c r="AD297" i="437"/>
  <c r="AE297" i="437" s="1"/>
  <c r="AD296" i="437"/>
  <c r="AE296" i="437" s="1"/>
  <c r="AD295" i="437"/>
  <c r="AE295" i="437" s="1"/>
  <c r="AD294" i="437"/>
  <c r="AE294" i="437" s="1"/>
  <c r="AD293" i="437"/>
  <c r="AE293" i="437" s="1"/>
  <c r="AD292" i="437"/>
  <c r="AE292" i="437" s="1"/>
  <c r="AD291" i="437"/>
  <c r="AE291" i="437" s="1"/>
  <c r="AD290" i="437"/>
  <c r="AE290" i="437" s="1"/>
  <c r="AD289" i="437"/>
  <c r="AE289" i="437" s="1"/>
  <c r="AD288" i="437"/>
  <c r="AE288" i="437" s="1"/>
  <c r="AD287" i="437"/>
  <c r="AE287" i="437" s="1"/>
  <c r="AD286" i="437"/>
  <c r="AE286" i="437" s="1"/>
  <c r="AD285" i="437"/>
  <c r="AE285" i="437" s="1"/>
  <c r="AD284" i="437"/>
  <c r="AE284" i="437" s="1"/>
  <c r="AD283" i="437"/>
  <c r="AE283" i="437" s="1"/>
  <c r="AD282" i="437"/>
  <c r="AE282" i="437" s="1"/>
  <c r="AD281" i="437"/>
  <c r="AE281" i="437" s="1"/>
  <c r="AD280" i="437"/>
  <c r="AE280" i="437" s="1"/>
  <c r="AD279" i="437"/>
  <c r="AE279" i="437" s="1"/>
  <c r="AD278" i="437"/>
  <c r="AE278" i="437" s="1"/>
  <c r="AD277" i="437"/>
  <c r="AE277" i="437" s="1"/>
  <c r="AD276" i="437"/>
  <c r="AE276" i="437" s="1"/>
  <c r="AD275" i="437"/>
  <c r="AE275" i="437" s="1"/>
  <c r="AD274" i="437"/>
  <c r="AE274" i="437" s="1"/>
  <c r="AD273" i="437"/>
  <c r="AE273" i="437" s="1"/>
  <c r="AD272" i="437"/>
  <c r="AE272" i="437" s="1"/>
  <c r="AD271" i="437"/>
  <c r="AE271" i="437" s="1"/>
  <c r="AD270" i="437"/>
  <c r="AE270" i="437" s="1"/>
  <c r="AD269" i="437"/>
  <c r="AE269" i="437" s="1"/>
  <c r="AD268" i="437"/>
  <c r="AE268" i="437" s="1"/>
  <c r="AD267" i="437"/>
  <c r="AE267" i="437" s="1"/>
  <c r="AD266" i="437"/>
  <c r="AE266" i="437" s="1"/>
  <c r="AD265" i="437"/>
  <c r="AE265" i="437" s="1"/>
  <c r="AD264" i="437"/>
  <c r="AE264" i="437" s="1"/>
  <c r="AD263" i="437"/>
  <c r="AE263" i="437" s="1"/>
  <c r="AD261" i="437"/>
  <c r="AE261" i="437" s="1"/>
  <c r="AD260" i="437"/>
  <c r="AE260" i="437" s="1"/>
  <c r="AD259" i="437"/>
  <c r="AE259" i="437" s="1"/>
  <c r="AD258" i="437"/>
  <c r="AE258" i="437" s="1"/>
  <c r="AD257" i="437"/>
  <c r="AE257" i="437" s="1"/>
  <c r="AD256" i="437"/>
  <c r="AE256" i="437" s="1"/>
  <c r="AD255" i="437"/>
  <c r="AE255" i="437" s="1"/>
  <c r="AD253" i="437"/>
  <c r="AE253" i="437" s="1"/>
  <c r="AD252" i="437"/>
  <c r="AE252" i="437" s="1"/>
  <c r="AD251" i="437"/>
  <c r="AE251" i="437" s="1"/>
  <c r="AD250" i="437"/>
  <c r="AE250" i="437" s="1"/>
  <c r="AD249" i="437"/>
  <c r="AE249" i="437" s="1"/>
  <c r="AD248" i="437"/>
  <c r="AE248" i="437" s="1"/>
  <c r="AD247" i="437"/>
  <c r="AE247" i="437" s="1"/>
  <c r="AD246" i="437"/>
  <c r="AE246" i="437" s="1"/>
  <c r="AD245" i="437"/>
  <c r="AE245" i="437" s="1"/>
  <c r="AD244" i="437"/>
  <c r="AE244" i="437" s="1"/>
  <c r="AD243" i="437"/>
  <c r="AE243" i="437" s="1"/>
  <c r="AD242" i="437"/>
  <c r="AE242" i="437" s="1"/>
  <c r="AD241" i="437"/>
  <c r="AE241" i="437" s="1"/>
  <c r="AD240" i="437"/>
  <c r="AE240" i="437" s="1"/>
  <c r="AD239" i="437"/>
  <c r="AE239" i="437" s="1"/>
  <c r="AD238" i="437"/>
  <c r="AE238" i="437" s="1"/>
  <c r="AD237" i="437"/>
  <c r="AE237" i="437" s="1"/>
  <c r="AD236" i="437"/>
  <c r="AE236" i="437" s="1"/>
  <c r="AD235" i="437"/>
  <c r="AE235" i="437" s="1"/>
  <c r="AD234" i="437"/>
  <c r="AE234" i="437" s="1"/>
  <c r="AD233" i="437"/>
  <c r="AE233" i="437" s="1"/>
  <c r="AD232" i="437"/>
  <c r="AE232" i="437" s="1"/>
  <c r="AD231" i="437"/>
  <c r="AE231" i="437" s="1"/>
  <c r="AD230" i="437"/>
  <c r="AE230" i="437" s="1"/>
  <c r="AD229" i="437"/>
  <c r="AE229" i="437" s="1"/>
  <c r="AE228" i="437"/>
  <c r="AE227" i="437"/>
  <c r="AE226" i="437"/>
  <c r="AE225" i="437"/>
  <c r="AE224" i="437"/>
  <c r="AE223" i="437"/>
  <c r="AE222" i="437"/>
  <c r="AE221" i="437"/>
  <c r="AE220" i="437"/>
  <c r="AE218" i="437"/>
  <c r="AE216" i="437"/>
  <c r="AE215" i="437"/>
  <c r="AE213" i="437"/>
  <c r="AE212" i="437"/>
  <c r="AE211" i="437"/>
  <c r="AE210" i="437"/>
  <c r="AD209" i="437"/>
  <c r="AE209" i="437" s="1"/>
  <c r="AD208" i="437"/>
  <c r="AE208" i="437" s="1"/>
  <c r="AD207" i="437"/>
  <c r="AE207" i="437" s="1"/>
  <c r="AD206" i="437"/>
  <c r="AE206" i="437" s="1"/>
  <c r="AD205" i="437"/>
  <c r="AE205" i="437" s="1"/>
  <c r="AD204" i="437"/>
  <c r="AE204" i="437" s="1"/>
  <c r="AD203" i="437"/>
  <c r="AE203" i="437" s="1"/>
  <c r="AD202" i="437"/>
  <c r="AE202" i="437" s="1"/>
  <c r="AD201" i="437"/>
  <c r="AE201" i="437" s="1"/>
  <c r="AD200" i="437"/>
  <c r="AE200" i="437" s="1"/>
  <c r="AD199" i="437"/>
  <c r="AE199" i="437" s="1"/>
  <c r="AD198" i="437"/>
  <c r="AE198" i="437" s="1"/>
  <c r="AD197" i="437"/>
  <c r="AE197" i="437" s="1"/>
  <c r="AD196" i="437"/>
  <c r="AE196" i="437" s="1"/>
  <c r="AD195" i="437"/>
  <c r="AE195" i="437" s="1"/>
  <c r="AD194" i="437"/>
  <c r="AE194" i="437" s="1"/>
  <c r="AD193" i="437"/>
  <c r="AE193" i="437" s="1"/>
  <c r="AD192" i="437"/>
  <c r="AE192" i="437" s="1"/>
  <c r="AD191" i="437"/>
  <c r="AE191" i="437" s="1"/>
  <c r="AD188" i="437"/>
  <c r="AE188" i="437" s="1"/>
  <c r="AD187" i="437"/>
  <c r="AE187" i="437" s="1"/>
  <c r="AD186" i="437"/>
  <c r="AE186" i="437" s="1"/>
  <c r="AD184" i="437"/>
  <c r="AE184" i="437" s="1"/>
  <c r="AD183" i="437"/>
  <c r="AE183" i="437" s="1"/>
  <c r="AD182" i="437"/>
  <c r="AE182" i="437" s="1"/>
  <c r="AD181" i="437"/>
  <c r="AE181" i="437" s="1"/>
  <c r="AD180" i="437"/>
  <c r="AE180" i="437" s="1"/>
  <c r="AD179" i="437"/>
  <c r="AE179" i="437" s="1"/>
  <c r="AD178" i="437"/>
  <c r="AE178" i="437" s="1"/>
  <c r="AD177" i="437"/>
  <c r="AE177" i="437" s="1"/>
  <c r="AD176" i="437"/>
  <c r="AE176" i="437" s="1"/>
  <c r="AD175" i="437"/>
  <c r="AE175" i="437" s="1"/>
  <c r="AD174" i="437"/>
  <c r="AE174" i="437" s="1"/>
  <c r="AD173" i="437"/>
  <c r="AE173" i="437" s="1"/>
  <c r="AD172" i="437"/>
  <c r="AE172" i="437" s="1"/>
  <c r="AD170" i="437"/>
  <c r="AE170" i="437" s="1"/>
  <c r="AD168" i="437"/>
  <c r="AE168" i="437" s="1"/>
  <c r="AD167" i="437"/>
  <c r="AE167" i="437" s="1"/>
  <c r="AD166" i="437"/>
  <c r="AE166" i="437" s="1"/>
  <c r="AD165" i="437"/>
  <c r="AE165" i="437" s="1"/>
  <c r="AD164" i="437"/>
  <c r="AE164" i="437" s="1"/>
  <c r="AD163" i="437"/>
  <c r="AE163" i="437" s="1"/>
  <c r="AD162" i="437"/>
  <c r="AE162" i="437" s="1"/>
  <c r="AD161" i="437"/>
  <c r="AE161" i="437" s="1"/>
  <c r="AD160" i="437"/>
  <c r="AE160" i="437" s="1"/>
  <c r="AD158" i="437"/>
  <c r="AE158" i="437" s="1"/>
  <c r="AD157" i="437"/>
  <c r="AE157" i="437" s="1"/>
  <c r="AD156" i="437"/>
  <c r="AE156" i="437" s="1"/>
  <c r="AD154" i="437"/>
  <c r="AE154" i="437" s="1"/>
  <c r="AD153" i="437"/>
  <c r="AE153" i="437" s="1"/>
  <c r="AD152" i="437"/>
  <c r="AE152" i="437" s="1"/>
  <c r="AD151" i="437"/>
  <c r="AE151" i="437" s="1"/>
  <c r="AD150" i="437"/>
  <c r="AE150" i="437" s="1"/>
  <c r="AD149" i="437"/>
  <c r="AE149" i="437" s="1"/>
  <c r="AD148" i="437"/>
  <c r="AE148" i="437" s="1"/>
  <c r="AD147" i="437"/>
  <c r="AE147" i="437" s="1"/>
  <c r="AD146" i="437"/>
  <c r="AE146" i="437" s="1"/>
  <c r="AD145" i="437"/>
  <c r="AE145" i="437" s="1"/>
  <c r="AD144" i="437"/>
  <c r="AE144" i="437" s="1"/>
  <c r="AD143" i="437"/>
  <c r="AE143" i="437" s="1"/>
  <c r="AD142" i="437"/>
  <c r="AE142" i="437" s="1"/>
  <c r="AD141" i="437"/>
  <c r="AE141" i="437" s="1"/>
  <c r="AD140" i="437"/>
  <c r="AE140" i="437" s="1"/>
  <c r="AD139" i="437"/>
  <c r="AE139" i="437" s="1"/>
  <c r="AD138" i="437"/>
  <c r="AE138" i="437" s="1"/>
  <c r="AD137" i="437"/>
  <c r="AE137" i="437" s="1"/>
  <c r="AD136" i="437"/>
  <c r="AE136" i="437" s="1"/>
  <c r="AD135" i="437"/>
  <c r="AE135" i="437" s="1"/>
  <c r="AD134" i="437"/>
  <c r="AE134" i="437" s="1"/>
  <c r="AD133" i="437"/>
  <c r="AE133" i="437" s="1"/>
  <c r="AD132" i="437"/>
  <c r="AE132" i="437" s="1"/>
  <c r="AD131" i="437"/>
  <c r="AE131" i="437" s="1"/>
  <c r="AD130" i="437"/>
  <c r="AE130" i="437" s="1"/>
  <c r="AD129" i="437"/>
  <c r="AE129" i="437" s="1"/>
  <c r="AD128" i="437"/>
  <c r="AE128" i="437" s="1"/>
  <c r="AD127" i="437"/>
  <c r="AE127" i="437" s="1"/>
  <c r="AD126" i="437"/>
  <c r="AE126" i="437" s="1"/>
  <c r="AD125" i="437"/>
  <c r="AE125" i="437" s="1"/>
  <c r="AD124" i="437"/>
  <c r="AE124" i="437" s="1"/>
  <c r="AD123" i="437"/>
  <c r="AE123" i="437" s="1"/>
  <c r="AD122" i="437"/>
  <c r="AE122" i="437" s="1"/>
  <c r="AD121" i="437"/>
  <c r="AE121" i="437" s="1"/>
  <c r="AD120" i="437"/>
  <c r="AE120" i="437" s="1"/>
  <c r="AD119" i="437"/>
  <c r="AE119" i="437" s="1"/>
  <c r="AD118" i="437"/>
  <c r="AE118" i="437" s="1"/>
  <c r="AD117" i="437"/>
  <c r="AE117" i="437" s="1"/>
  <c r="AD116" i="437"/>
  <c r="AE116" i="437" s="1"/>
  <c r="AD115" i="437"/>
  <c r="AE115" i="437" s="1"/>
  <c r="AD114" i="437"/>
  <c r="AE114" i="437" s="1"/>
  <c r="AD113" i="437"/>
  <c r="AE113" i="437" s="1"/>
  <c r="AD112" i="437"/>
  <c r="AE112" i="437" s="1"/>
  <c r="AD111" i="437"/>
  <c r="AE111" i="437" s="1"/>
  <c r="AD110" i="437"/>
  <c r="AE110" i="437" s="1"/>
  <c r="AD109" i="437"/>
  <c r="AE109" i="437" s="1"/>
  <c r="AD108" i="437"/>
  <c r="AE108" i="437" s="1"/>
  <c r="AD107" i="437"/>
  <c r="AE107" i="437" s="1"/>
  <c r="AD106" i="437"/>
  <c r="AE106" i="437" s="1"/>
  <c r="AD105" i="437"/>
  <c r="AE105" i="437" s="1"/>
  <c r="AD104" i="437"/>
  <c r="AE104" i="437" s="1"/>
  <c r="AD103" i="437"/>
  <c r="AE103" i="437" s="1"/>
  <c r="AD102" i="437"/>
  <c r="AE102" i="437" s="1"/>
  <c r="AD101" i="437"/>
  <c r="AE101" i="437" s="1"/>
  <c r="AD100" i="437"/>
  <c r="AE100" i="437" s="1"/>
  <c r="AD98" i="437"/>
  <c r="AE98" i="437" s="1"/>
  <c r="AD97" i="437"/>
  <c r="AE97" i="437" s="1"/>
  <c r="AD96" i="437"/>
  <c r="AE96" i="437" s="1"/>
  <c r="AD95" i="437"/>
  <c r="AE95" i="437" s="1"/>
  <c r="AD94" i="437"/>
  <c r="AE94" i="437" s="1"/>
  <c r="AD93" i="437"/>
  <c r="AE93" i="437" s="1"/>
  <c r="AD92" i="437"/>
  <c r="AE92" i="437" s="1"/>
  <c r="AD91" i="437"/>
  <c r="AE91" i="437" s="1"/>
  <c r="AD90" i="437"/>
  <c r="AE90" i="437" s="1"/>
  <c r="AD89" i="437"/>
  <c r="AE89" i="437" s="1"/>
  <c r="AD88" i="437"/>
  <c r="AE88" i="437" s="1"/>
  <c r="AD87" i="437"/>
  <c r="AE87" i="437" s="1"/>
  <c r="AD86" i="437"/>
  <c r="AE86" i="437" s="1"/>
  <c r="AD85" i="437"/>
  <c r="AE85" i="437" s="1"/>
  <c r="AD84" i="437"/>
  <c r="AE84" i="437" s="1"/>
  <c r="AD83" i="437"/>
  <c r="AE83" i="437" s="1"/>
  <c r="AD82" i="437"/>
  <c r="AE82" i="437" s="1"/>
  <c r="AD81" i="437"/>
  <c r="AE81" i="437" s="1"/>
  <c r="AD80" i="437"/>
  <c r="AE80" i="437" s="1"/>
  <c r="AD79" i="437"/>
  <c r="AE79" i="437" s="1"/>
  <c r="AD78" i="437"/>
  <c r="AE78" i="437" s="1"/>
  <c r="AD77" i="437"/>
  <c r="AE77" i="437" s="1"/>
  <c r="AD76" i="437"/>
  <c r="AE76" i="437" s="1"/>
  <c r="AD75" i="437"/>
  <c r="AE75" i="437" s="1"/>
  <c r="AD74" i="437"/>
  <c r="AE74" i="437" s="1"/>
  <c r="AD73" i="437"/>
  <c r="AE73" i="437" s="1"/>
  <c r="AD72" i="437"/>
  <c r="AE72" i="437" s="1"/>
  <c r="AD71" i="437"/>
  <c r="AE71" i="437" s="1"/>
  <c r="AD70" i="437"/>
  <c r="AE70" i="437" s="1"/>
  <c r="AD69" i="437"/>
  <c r="AE69" i="437" s="1"/>
  <c r="AD68" i="437"/>
  <c r="AE68" i="437" s="1"/>
  <c r="AD67" i="437"/>
  <c r="AE67" i="437" s="1"/>
  <c r="AD66" i="437"/>
  <c r="AE66" i="437" s="1"/>
  <c r="AD65" i="437"/>
  <c r="AE65" i="437" s="1"/>
  <c r="AD64" i="437"/>
  <c r="AE64" i="437" s="1"/>
  <c r="AD63" i="437"/>
  <c r="AE63" i="437" s="1"/>
  <c r="AD62" i="437"/>
  <c r="AE62" i="437" s="1"/>
  <c r="AD61" i="437"/>
  <c r="AE61" i="437" s="1"/>
  <c r="AD60" i="437"/>
  <c r="AE60" i="437" s="1"/>
  <c r="AD59" i="437"/>
  <c r="AE59" i="437" s="1"/>
  <c r="AD58" i="437"/>
  <c r="AE58" i="437" s="1"/>
  <c r="AD57" i="437"/>
  <c r="AE57" i="437" s="1"/>
  <c r="AD56" i="437"/>
  <c r="AE56" i="437" s="1"/>
  <c r="AD55" i="437"/>
  <c r="AE55" i="437" s="1"/>
  <c r="AD54" i="437"/>
  <c r="AE54" i="437" s="1"/>
  <c r="AD53" i="437"/>
  <c r="AE53" i="437" s="1"/>
  <c r="AD52" i="437"/>
  <c r="AE52" i="437" s="1"/>
  <c r="AD51" i="437"/>
  <c r="AE51" i="437" s="1"/>
  <c r="AD50" i="437"/>
  <c r="AE50" i="437" s="1"/>
  <c r="AD49" i="437"/>
  <c r="AE49" i="437" s="1"/>
  <c r="AD48" i="437"/>
  <c r="AE48" i="437" s="1"/>
  <c r="AD47" i="437"/>
  <c r="AE47" i="437" s="1"/>
  <c r="AD46" i="437"/>
  <c r="AE46" i="437" s="1"/>
  <c r="AD45" i="437"/>
  <c r="AE45" i="437" s="1"/>
  <c r="AD44" i="437"/>
  <c r="AE44" i="437" s="1"/>
  <c r="AD43" i="437"/>
  <c r="AE43" i="437" s="1"/>
  <c r="AD42" i="437"/>
  <c r="AE42" i="437" s="1"/>
  <c r="AD41" i="437"/>
  <c r="AE41" i="437" s="1"/>
  <c r="AD40" i="437"/>
  <c r="AE40" i="437" s="1"/>
  <c r="AD39" i="437"/>
  <c r="AE39" i="437" s="1"/>
  <c r="AD38" i="437"/>
  <c r="AE38" i="437" s="1"/>
  <c r="AD37" i="437"/>
  <c r="AE37" i="437" s="1"/>
  <c r="AD36" i="437"/>
  <c r="AE36" i="437" s="1"/>
  <c r="AD35" i="437"/>
  <c r="AE35" i="437" s="1"/>
  <c r="AD34" i="437"/>
  <c r="AE34" i="437" s="1"/>
  <c r="AD33" i="437"/>
  <c r="AE33" i="437" s="1"/>
  <c r="AD32" i="437"/>
  <c r="AE32" i="437" s="1"/>
  <c r="AD31" i="437"/>
  <c r="AE31" i="437" s="1"/>
  <c r="AD30" i="437"/>
  <c r="AE30" i="437" s="1"/>
  <c r="AD29" i="437"/>
  <c r="AE29" i="437" s="1"/>
  <c r="AD28" i="437"/>
  <c r="AE28" i="437" s="1"/>
  <c r="AD27" i="437"/>
  <c r="AE27" i="437" s="1"/>
  <c r="AD26" i="437"/>
  <c r="AE26" i="437" s="1"/>
  <c r="AD25" i="437"/>
  <c r="AE25" i="437" s="1"/>
  <c r="AD24" i="437"/>
  <c r="AE24" i="437" s="1"/>
  <c r="AD23" i="437"/>
  <c r="AE23" i="437" s="1"/>
  <c r="AD22" i="437"/>
  <c r="AE22" i="437" s="1"/>
  <c r="AE21" i="437"/>
  <c r="AD20" i="437"/>
  <c r="AE20" i="437" s="1"/>
  <c r="AD19" i="437"/>
  <c r="AE19" i="437" s="1"/>
  <c r="AD18" i="437"/>
  <c r="AE18" i="437" s="1"/>
  <c r="AD17" i="437"/>
  <c r="AE17" i="437" s="1"/>
  <c r="AD16" i="437"/>
  <c r="AE16" i="437" s="1"/>
  <c r="AD15" i="437"/>
  <c r="AE15" i="437" s="1"/>
  <c r="AD14" i="437"/>
  <c r="AE14" i="437" s="1"/>
  <c r="AD13" i="437"/>
  <c r="AE13" i="437" s="1"/>
  <c r="AD12" i="437"/>
  <c r="AE12" i="437" s="1"/>
  <c r="AD11" i="437"/>
  <c r="AE11" i="437" s="1"/>
  <c r="AD10" i="437"/>
  <c r="AE10" i="437" s="1"/>
  <c r="AD9" i="437"/>
  <c r="AE9" i="437" s="1"/>
  <c r="AD8" i="437"/>
  <c r="AE8" i="437" s="1"/>
  <c r="AD6" i="437"/>
  <c r="AE6" i="437" s="1"/>
  <c r="AD5" i="437"/>
  <c r="AE5" i="437" s="1"/>
  <c r="AG4" i="437"/>
  <c r="AH4" i="437" s="1"/>
  <c r="AD4" i="437"/>
  <c r="AE4" i="437" s="1"/>
  <c r="Z333" i="437"/>
  <c r="AA333" i="437" s="1"/>
  <c r="Z329" i="437"/>
  <c r="AA329" i="437" s="1"/>
  <c r="Z327" i="437"/>
  <c r="AA327" i="437" s="1"/>
  <c r="Z326" i="437"/>
  <c r="AA326" i="437" s="1"/>
  <c r="Z322" i="437"/>
  <c r="AA322" i="437" s="1"/>
  <c r="Z320" i="437"/>
  <c r="AA320" i="437" s="1"/>
  <c r="Z319" i="437"/>
  <c r="AA319" i="437" s="1"/>
  <c r="Z318" i="437"/>
  <c r="AA318" i="437" s="1"/>
  <c r="Z317" i="437"/>
  <c r="AA317" i="437" s="1"/>
  <c r="Z316" i="437"/>
  <c r="AA316" i="437" s="1"/>
  <c r="Z315" i="437"/>
  <c r="AA315" i="437" s="1"/>
  <c r="Z314" i="437"/>
  <c r="AA314" i="437" s="1"/>
  <c r="Z313" i="437"/>
  <c r="AA313" i="437" s="1"/>
  <c r="Z312" i="437"/>
  <c r="AA312" i="437" s="1"/>
  <c r="Z311" i="437"/>
  <c r="AA311" i="437" s="1"/>
  <c r="Z310" i="437"/>
  <c r="AA310" i="437" s="1"/>
  <c r="Z309" i="437"/>
  <c r="AA309" i="437" s="1"/>
  <c r="Z308" i="437"/>
  <c r="AA308" i="437" s="1"/>
  <c r="Z307" i="437"/>
  <c r="AA307" i="437" s="1"/>
  <c r="Z306" i="437"/>
  <c r="AA306" i="437" s="1"/>
  <c r="Z305" i="437"/>
  <c r="AA305" i="437" s="1"/>
  <c r="Z304" i="437"/>
  <c r="AA304" i="437" s="1"/>
  <c r="Z303" i="437"/>
  <c r="AA303" i="437" s="1"/>
  <c r="Z302" i="437"/>
  <c r="AA302" i="437" s="1"/>
  <c r="Z301" i="437"/>
  <c r="AA301" i="437" s="1"/>
  <c r="Z300" i="437"/>
  <c r="AA300" i="437" s="1"/>
  <c r="Z299" i="437"/>
  <c r="AA299" i="437" s="1"/>
  <c r="Z298" i="437"/>
  <c r="AA298" i="437" s="1"/>
  <c r="Z297" i="437"/>
  <c r="AA297" i="437" s="1"/>
  <c r="Z296" i="437"/>
  <c r="AA296" i="437" s="1"/>
  <c r="Z295" i="437"/>
  <c r="AA295" i="437" s="1"/>
  <c r="Z294" i="437"/>
  <c r="AA294" i="437" s="1"/>
  <c r="Z293" i="437"/>
  <c r="AA293" i="437" s="1"/>
  <c r="Z292" i="437"/>
  <c r="AA292" i="437" s="1"/>
  <c r="Z291" i="437"/>
  <c r="AA291" i="437" s="1"/>
  <c r="Z290" i="437"/>
  <c r="AA290" i="437" s="1"/>
  <c r="Z289" i="437"/>
  <c r="AA289" i="437" s="1"/>
  <c r="Z288" i="437"/>
  <c r="AA288" i="437" s="1"/>
  <c r="Z287" i="437"/>
  <c r="AA287" i="437" s="1"/>
  <c r="Z286" i="437"/>
  <c r="AA286" i="437" s="1"/>
  <c r="Z285" i="437"/>
  <c r="AA285" i="437" s="1"/>
  <c r="Z284" i="437"/>
  <c r="AA284" i="437" s="1"/>
  <c r="Z283" i="437"/>
  <c r="AA283" i="437" s="1"/>
  <c r="Z282" i="437"/>
  <c r="AA282" i="437" s="1"/>
  <c r="Z281" i="437"/>
  <c r="AA281" i="437" s="1"/>
  <c r="Z280" i="437"/>
  <c r="AA280" i="437" s="1"/>
  <c r="Z279" i="437"/>
  <c r="AA279" i="437" s="1"/>
  <c r="Z278" i="437"/>
  <c r="AA278" i="437" s="1"/>
  <c r="Z277" i="437"/>
  <c r="AA277" i="437" s="1"/>
  <c r="Z276" i="437"/>
  <c r="AA276" i="437" s="1"/>
  <c r="Z275" i="437"/>
  <c r="AA275" i="437" s="1"/>
  <c r="Z274" i="437"/>
  <c r="AA274" i="437" s="1"/>
  <c r="Z273" i="437"/>
  <c r="AA273" i="437" s="1"/>
  <c r="Z272" i="437"/>
  <c r="AA272" i="437" s="1"/>
  <c r="Z271" i="437"/>
  <c r="AA271" i="437" s="1"/>
  <c r="Z270" i="437"/>
  <c r="AA270" i="437" s="1"/>
  <c r="Z269" i="437"/>
  <c r="AA269" i="437" s="1"/>
  <c r="Z268" i="437"/>
  <c r="AA268" i="437" s="1"/>
  <c r="Z267" i="437"/>
  <c r="AA267" i="437" s="1"/>
  <c r="Z266" i="437"/>
  <c r="AA266" i="437" s="1"/>
  <c r="Z265" i="437"/>
  <c r="AA265" i="437" s="1"/>
  <c r="Z264" i="437"/>
  <c r="AA264" i="437" s="1"/>
  <c r="Z263" i="437"/>
  <c r="AA263" i="437" s="1"/>
  <c r="Z261" i="437"/>
  <c r="AA261" i="437" s="1"/>
  <c r="Z260" i="437"/>
  <c r="AA260" i="437" s="1"/>
  <c r="Z259" i="437"/>
  <c r="AA259" i="437" s="1"/>
  <c r="Z258" i="437"/>
  <c r="AA258" i="437" s="1"/>
  <c r="Z257" i="437"/>
  <c r="AA257" i="437" s="1"/>
  <c r="Z256" i="437"/>
  <c r="AA256" i="437" s="1"/>
  <c r="Z255" i="437"/>
  <c r="AA255" i="437" s="1"/>
  <c r="Z253" i="437"/>
  <c r="AA253" i="437" s="1"/>
  <c r="Z252" i="437"/>
  <c r="AA252" i="437" s="1"/>
  <c r="Z251" i="437"/>
  <c r="AA251" i="437" s="1"/>
  <c r="Z250" i="437"/>
  <c r="AA250" i="437" s="1"/>
  <c r="Z249" i="437"/>
  <c r="AA249" i="437" s="1"/>
  <c r="Z248" i="437"/>
  <c r="AA248" i="437" s="1"/>
  <c r="Z247" i="437"/>
  <c r="AA247" i="437" s="1"/>
  <c r="Z246" i="437"/>
  <c r="AA246" i="437" s="1"/>
  <c r="Z245" i="437"/>
  <c r="AA245" i="437" s="1"/>
  <c r="Z244" i="437"/>
  <c r="AA244" i="437" s="1"/>
  <c r="Z243" i="437"/>
  <c r="AA243" i="437" s="1"/>
  <c r="Z242" i="437"/>
  <c r="AA242" i="437" s="1"/>
  <c r="Z241" i="437"/>
  <c r="AA241" i="437" s="1"/>
  <c r="Z240" i="437"/>
  <c r="AA240" i="437" s="1"/>
  <c r="Z239" i="437"/>
  <c r="AA239" i="437" s="1"/>
  <c r="Z238" i="437"/>
  <c r="AA238" i="437" s="1"/>
  <c r="Z237" i="437"/>
  <c r="AA237" i="437" s="1"/>
  <c r="Z236" i="437"/>
  <c r="AA236" i="437" s="1"/>
  <c r="Z235" i="437"/>
  <c r="AA235" i="437" s="1"/>
  <c r="Z234" i="437"/>
  <c r="AA234" i="437" s="1"/>
  <c r="Z233" i="437"/>
  <c r="AA233" i="437" s="1"/>
  <c r="Z232" i="437"/>
  <c r="AA232" i="437" s="1"/>
  <c r="Z231" i="437"/>
  <c r="AA231" i="437" s="1"/>
  <c r="Z230" i="437"/>
  <c r="AA230" i="437" s="1"/>
  <c r="Z229" i="437"/>
  <c r="AA229" i="437" s="1"/>
  <c r="Z228" i="437"/>
  <c r="AA228" i="437" s="1"/>
  <c r="Z227" i="437"/>
  <c r="AA227" i="437" s="1"/>
  <c r="Z226" i="437"/>
  <c r="AA226" i="437" s="1"/>
  <c r="Z225" i="437"/>
  <c r="AA225" i="437" s="1"/>
  <c r="Z224" i="437"/>
  <c r="AA224" i="437" s="1"/>
  <c r="Z223" i="437"/>
  <c r="AA223" i="437" s="1"/>
  <c r="Z222" i="437"/>
  <c r="AA222" i="437" s="1"/>
  <c r="Z221" i="437"/>
  <c r="AA221" i="437" s="1"/>
  <c r="Z220" i="437"/>
  <c r="AA220" i="437" s="1"/>
  <c r="Z219" i="437"/>
  <c r="AA219" i="437" s="1"/>
  <c r="Z218" i="437"/>
  <c r="AA218" i="437" s="1"/>
  <c r="Z217" i="437"/>
  <c r="AA217" i="437" s="1"/>
  <c r="Z216" i="437"/>
  <c r="AA216" i="437" s="1"/>
  <c r="Z215" i="437"/>
  <c r="AA215" i="437" s="1"/>
  <c r="Z214" i="437"/>
  <c r="AA214" i="437" s="1"/>
  <c r="Z213" i="437"/>
  <c r="AA213" i="437" s="1"/>
  <c r="Z212" i="437"/>
  <c r="AA212" i="437" s="1"/>
  <c r="Z211" i="437"/>
  <c r="AA211" i="437" s="1"/>
  <c r="Z210" i="437"/>
  <c r="AA210" i="437" s="1"/>
  <c r="Z209" i="437"/>
  <c r="AA209" i="437" s="1"/>
  <c r="Z208" i="437"/>
  <c r="AA208" i="437" s="1"/>
  <c r="Z207" i="437"/>
  <c r="AA207" i="437" s="1"/>
  <c r="Z206" i="437"/>
  <c r="AA206" i="437" s="1"/>
  <c r="Z205" i="437"/>
  <c r="AA205" i="437" s="1"/>
  <c r="Z204" i="437"/>
  <c r="AA204" i="437" s="1"/>
  <c r="Z203" i="437"/>
  <c r="AA203" i="437" s="1"/>
  <c r="Z202" i="437"/>
  <c r="AA202" i="437" s="1"/>
  <c r="Z201" i="437"/>
  <c r="AA201" i="437" s="1"/>
  <c r="Z200" i="437"/>
  <c r="AA200" i="437" s="1"/>
  <c r="Z199" i="437"/>
  <c r="AA199" i="437" s="1"/>
  <c r="Z198" i="437"/>
  <c r="AA198" i="437" s="1"/>
  <c r="Z197" i="437"/>
  <c r="AA197" i="437" s="1"/>
  <c r="Z196" i="437"/>
  <c r="AA196" i="437" s="1"/>
  <c r="Z195" i="437"/>
  <c r="AA195" i="437" s="1"/>
  <c r="Z194" i="437"/>
  <c r="AA194" i="437" s="1"/>
  <c r="Z193" i="437"/>
  <c r="AA193" i="437" s="1"/>
  <c r="Z192" i="437"/>
  <c r="AA192" i="437" s="1"/>
  <c r="Z191" i="437"/>
  <c r="AA191" i="437" s="1"/>
  <c r="Z188" i="437"/>
  <c r="AA188" i="437" s="1"/>
  <c r="Z187" i="437"/>
  <c r="AA187" i="437" s="1"/>
  <c r="Z186" i="437"/>
  <c r="AA186" i="437" s="1"/>
  <c r="Z184" i="437"/>
  <c r="AA184" i="437" s="1"/>
  <c r="Z183" i="437"/>
  <c r="AA183" i="437" s="1"/>
  <c r="Z182" i="437"/>
  <c r="AA182" i="437" s="1"/>
  <c r="Z181" i="437"/>
  <c r="AA181" i="437" s="1"/>
  <c r="Z180" i="437"/>
  <c r="AA180" i="437" s="1"/>
  <c r="Z179" i="437"/>
  <c r="AA179" i="437" s="1"/>
  <c r="Z178" i="437"/>
  <c r="AA178" i="437" s="1"/>
  <c r="Z177" i="437"/>
  <c r="AA177" i="437" s="1"/>
  <c r="Z176" i="437"/>
  <c r="AA176" i="437" s="1"/>
  <c r="Z175" i="437"/>
  <c r="AA175" i="437" s="1"/>
  <c r="Z174" i="437"/>
  <c r="AA174" i="437" s="1"/>
  <c r="Z173" i="437"/>
  <c r="AA173" i="437" s="1"/>
  <c r="Z172" i="437"/>
  <c r="AA172" i="437" s="1"/>
  <c r="Z170" i="437"/>
  <c r="AA170" i="437" s="1"/>
  <c r="Z168" i="437"/>
  <c r="AA168" i="437" s="1"/>
  <c r="Z167" i="437"/>
  <c r="AA167" i="437" s="1"/>
  <c r="Z166" i="437"/>
  <c r="AA166" i="437" s="1"/>
  <c r="Z165" i="437"/>
  <c r="AA165" i="437" s="1"/>
  <c r="Z164" i="437"/>
  <c r="AA164" i="437" s="1"/>
  <c r="Z163" i="437"/>
  <c r="AA163" i="437" s="1"/>
  <c r="Z162" i="437"/>
  <c r="AA162" i="437" s="1"/>
  <c r="Z161" i="437"/>
  <c r="AA161" i="437" s="1"/>
  <c r="Z160" i="437"/>
  <c r="AA160" i="437" s="1"/>
  <c r="Z158" i="437"/>
  <c r="AA158" i="437" s="1"/>
  <c r="Z157" i="437"/>
  <c r="AA157" i="437" s="1"/>
  <c r="Z156" i="437"/>
  <c r="AA156" i="437" s="1"/>
  <c r="Z154" i="437"/>
  <c r="AA154" i="437" s="1"/>
  <c r="Z153" i="437"/>
  <c r="AA153" i="437" s="1"/>
  <c r="Z152" i="437"/>
  <c r="AA152" i="437" s="1"/>
  <c r="Z151" i="437"/>
  <c r="AA151" i="437" s="1"/>
  <c r="Z150" i="437"/>
  <c r="AA150" i="437" s="1"/>
  <c r="Z149" i="437"/>
  <c r="AA149" i="437" s="1"/>
  <c r="Z148" i="437"/>
  <c r="AA148" i="437" s="1"/>
  <c r="Z147" i="437"/>
  <c r="AA147" i="437" s="1"/>
  <c r="Z146" i="437"/>
  <c r="AA146" i="437" s="1"/>
  <c r="Z145" i="437"/>
  <c r="AA145" i="437" s="1"/>
  <c r="Z144" i="437"/>
  <c r="AA144" i="437" s="1"/>
  <c r="Z143" i="437"/>
  <c r="AA143" i="437" s="1"/>
  <c r="Z142" i="437"/>
  <c r="AA142" i="437" s="1"/>
  <c r="Z141" i="437"/>
  <c r="AA141" i="437" s="1"/>
  <c r="Z140" i="437"/>
  <c r="AA140" i="437" s="1"/>
  <c r="Z139" i="437"/>
  <c r="AA139" i="437" s="1"/>
  <c r="Z138" i="437"/>
  <c r="AA138" i="437" s="1"/>
  <c r="Z137" i="437"/>
  <c r="AA137" i="437" s="1"/>
  <c r="Z136" i="437"/>
  <c r="AA136" i="437" s="1"/>
  <c r="Z135" i="437"/>
  <c r="AA135" i="437" s="1"/>
  <c r="Z134" i="437"/>
  <c r="AA134" i="437" s="1"/>
  <c r="Z133" i="437"/>
  <c r="AA133" i="437" s="1"/>
  <c r="Z132" i="437"/>
  <c r="AA132" i="437" s="1"/>
  <c r="Z131" i="437"/>
  <c r="AA131" i="437" s="1"/>
  <c r="Z130" i="437"/>
  <c r="AA130" i="437" s="1"/>
  <c r="Z129" i="437"/>
  <c r="AA129" i="437" s="1"/>
  <c r="Z128" i="437"/>
  <c r="AA128" i="437" s="1"/>
  <c r="Z127" i="437"/>
  <c r="AA127" i="437" s="1"/>
  <c r="Z126" i="437"/>
  <c r="AA126" i="437" s="1"/>
  <c r="Z125" i="437"/>
  <c r="AA125" i="437" s="1"/>
  <c r="Z124" i="437"/>
  <c r="AA124" i="437" s="1"/>
  <c r="Z123" i="437"/>
  <c r="AA123" i="437" s="1"/>
  <c r="Z122" i="437"/>
  <c r="AA122" i="437" s="1"/>
  <c r="Z121" i="437"/>
  <c r="AA121" i="437" s="1"/>
  <c r="Z120" i="437"/>
  <c r="AA120" i="437" s="1"/>
  <c r="Z119" i="437"/>
  <c r="AA119" i="437" s="1"/>
  <c r="Z118" i="437"/>
  <c r="AA118" i="437" s="1"/>
  <c r="Z117" i="437"/>
  <c r="AA117" i="437" s="1"/>
  <c r="Z116" i="437"/>
  <c r="AA116" i="437" s="1"/>
  <c r="Z115" i="437"/>
  <c r="AA115" i="437" s="1"/>
  <c r="Z114" i="437"/>
  <c r="AA114" i="437" s="1"/>
  <c r="Z113" i="437"/>
  <c r="AA113" i="437" s="1"/>
  <c r="Z112" i="437"/>
  <c r="AA112" i="437" s="1"/>
  <c r="Z111" i="437"/>
  <c r="AA111" i="437" s="1"/>
  <c r="Z110" i="437"/>
  <c r="AA110" i="437" s="1"/>
  <c r="Z109" i="437"/>
  <c r="AA109" i="437" s="1"/>
  <c r="Z108" i="437"/>
  <c r="AA108" i="437" s="1"/>
  <c r="Z107" i="437"/>
  <c r="AA107" i="437" s="1"/>
  <c r="Z106" i="437"/>
  <c r="AA106" i="437" s="1"/>
  <c r="Z105" i="437"/>
  <c r="AA105" i="437" s="1"/>
  <c r="Z104" i="437"/>
  <c r="AA104" i="437" s="1"/>
  <c r="Z103" i="437"/>
  <c r="AA103" i="437" s="1"/>
  <c r="Z102" i="437"/>
  <c r="AA102" i="437" s="1"/>
  <c r="Z101" i="437"/>
  <c r="AA101" i="437" s="1"/>
  <c r="Z100" i="437"/>
  <c r="AA100" i="437" s="1"/>
  <c r="Z98" i="437"/>
  <c r="AA98" i="437" s="1"/>
  <c r="Z97" i="437"/>
  <c r="AA97" i="437" s="1"/>
  <c r="Z96" i="437"/>
  <c r="AA96" i="437" s="1"/>
  <c r="Z95" i="437"/>
  <c r="AA95" i="437" s="1"/>
  <c r="Z94" i="437"/>
  <c r="AA94" i="437" s="1"/>
  <c r="Z93" i="437"/>
  <c r="AA93" i="437" s="1"/>
  <c r="Z92" i="437"/>
  <c r="AA92" i="437" s="1"/>
  <c r="Z91" i="437"/>
  <c r="AA91" i="437" s="1"/>
  <c r="Z90" i="437"/>
  <c r="AA90" i="437" s="1"/>
  <c r="Z89" i="437"/>
  <c r="AA89" i="437" s="1"/>
  <c r="Z88" i="437"/>
  <c r="AA88" i="437" s="1"/>
  <c r="Z87" i="437"/>
  <c r="AA87" i="437" s="1"/>
  <c r="Z86" i="437"/>
  <c r="AA86" i="437" s="1"/>
  <c r="Z85" i="437"/>
  <c r="AA85" i="437" s="1"/>
  <c r="Z84" i="437"/>
  <c r="AA84" i="437" s="1"/>
  <c r="Z83" i="437"/>
  <c r="AA83" i="437" s="1"/>
  <c r="Z82" i="437"/>
  <c r="AA82" i="437" s="1"/>
  <c r="Z81" i="437"/>
  <c r="AA81" i="437" s="1"/>
  <c r="Z80" i="437"/>
  <c r="AA80" i="437" s="1"/>
  <c r="Z79" i="437"/>
  <c r="AA79" i="437" s="1"/>
  <c r="Z78" i="437"/>
  <c r="AA78" i="437" s="1"/>
  <c r="Z77" i="437"/>
  <c r="AA77" i="437" s="1"/>
  <c r="Z76" i="437"/>
  <c r="AA76" i="437" s="1"/>
  <c r="Z75" i="437"/>
  <c r="AA75" i="437" s="1"/>
  <c r="Z74" i="437"/>
  <c r="AA74" i="437" s="1"/>
  <c r="Z73" i="437"/>
  <c r="AA73" i="437" s="1"/>
  <c r="Z72" i="437"/>
  <c r="AA72" i="437" s="1"/>
  <c r="Z71" i="437"/>
  <c r="AA71" i="437" s="1"/>
  <c r="Z70" i="437"/>
  <c r="AA70" i="437" s="1"/>
  <c r="Z69" i="437"/>
  <c r="AA69" i="437" s="1"/>
  <c r="Z68" i="437"/>
  <c r="AA68" i="437" s="1"/>
  <c r="Z67" i="437"/>
  <c r="AA67" i="437" s="1"/>
  <c r="Z66" i="437"/>
  <c r="AA66" i="437" s="1"/>
  <c r="Z65" i="437"/>
  <c r="AA65" i="437" s="1"/>
  <c r="Z64" i="437"/>
  <c r="AA64" i="437" s="1"/>
  <c r="Z63" i="437"/>
  <c r="AA63" i="437" s="1"/>
  <c r="Z62" i="437"/>
  <c r="AA62" i="437" s="1"/>
  <c r="Z61" i="437"/>
  <c r="AA61" i="437" s="1"/>
  <c r="Z60" i="437"/>
  <c r="AA60" i="437" s="1"/>
  <c r="Z59" i="437"/>
  <c r="AA59" i="437" s="1"/>
  <c r="Z58" i="437"/>
  <c r="AA58" i="437" s="1"/>
  <c r="Z57" i="437"/>
  <c r="AA57" i="437" s="1"/>
  <c r="Z56" i="437"/>
  <c r="AA56" i="437" s="1"/>
  <c r="Z55" i="437"/>
  <c r="AA55" i="437" s="1"/>
  <c r="Z54" i="437"/>
  <c r="AA54" i="437" s="1"/>
  <c r="Z53" i="437"/>
  <c r="AA53" i="437" s="1"/>
  <c r="Z52" i="437"/>
  <c r="AA52" i="437" s="1"/>
  <c r="Z51" i="437"/>
  <c r="AA51" i="437" s="1"/>
  <c r="Z50" i="437"/>
  <c r="AA50" i="437" s="1"/>
  <c r="Z49" i="437"/>
  <c r="AA49" i="437" s="1"/>
  <c r="Z48" i="437"/>
  <c r="AA48" i="437" s="1"/>
  <c r="Z47" i="437"/>
  <c r="AA47" i="437" s="1"/>
  <c r="Z46" i="437"/>
  <c r="AA46" i="437" s="1"/>
  <c r="Z45" i="437"/>
  <c r="AA45" i="437" s="1"/>
  <c r="Z44" i="437"/>
  <c r="AA44" i="437" s="1"/>
  <c r="Z43" i="437"/>
  <c r="AA43" i="437" s="1"/>
  <c r="Z42" i="437"/>
  <c r="AA42" i="437" s="1"/>
  <c r="Z41" i="437"/>
  <c r="AA41" i="437" s="1"/>
  <c r="Z40" i="437"/>
  <c r="AA40" i="437" s="1"/>
  <c r="Z39" i="437"/>
  <c r="AA39" i="437" s="1"/>
  <c r="Z38" i="437"/>
  <c r="AA38" i="437" s="1"/>
  <c r="Z37" i="437"/>
  <c r="AA37" i="437" s="1"/>
  <c r="Z36" i="437"/>
  <c r="AA36" i="437" s="1"/>
  <c r="Z35" i="437"/>
  <c r="AA35" i="437" s="1"/>
  <c r="Z34" i="437"/>
  <c r="AA34" i="437" s="1"/>
  <c r="Z33" i="437"/>
  <c r="AA33" i="437" s="1"/>
  <c r="Z32" i="437"/>
  <c r="AA32" i="437" s="1"/>
  <c r="Z31" i="437"/>
  <c r="AA31" i="437" s="1"/>
  <c r="Z30" i="437"/>
  <c r="AA30" i="437" s="1"/>
  <c r="Z29" i="437"/>
  <c r="AA29" i="437" s="1"/>
  <c r="Z28" i="437"/>
  <c r="AA28" i="437" s="1"/>
  <c r="Z27" i="437"/>
  <c r="AA27" i="437" s="1"/>
  <c r="Z26" i="437"/>
  <c r="AA26" i="437" s="1"/>
  <c r="Z25" i="437"/>
  <c r="AA25" i="437" s="1"/>
  <c r="Z24" i="437"/>
  <c r="AA24" i="437" s="1"/>
  <c r="Z23" i="437"/>
  <c r="AA23" i="437" s="1"/>
  <c r="Z22" i="437"/>
  <c r="AA22" i="437" s="1"/>
  <c r="Z21" i="437"/>
  <c r="AA21" i="437" s="1"/>
  <c r="Z20" i="437"/>
  <c r="AA20" i="437" s="1"/>
  <c r="Z19" i="437"/>
  <c r="AA19" i="437" s="1"/>
  <c r="Z18" i="437"/>
  <c r="AA18" i="437" s="1"/>
  <c r="Z17" i="437"/>
  <c r="AA17" i="437" s="1"/>
  <c r="Z16" i="437"/>
  <c r="AA16" i="437" s="1"/>
  <c r="Z15" i="437"/>
  <c r="AA15" i="437" s="1"/>
  <c r="Z14" i="437"/>
  <c r="AA14" i="437" s="1"/>
  <c r="Z13" i="437"/>
  <c r="AA13" i="437" s="1"/>
  <c r="Z12" i="437"/>
  <c r="AA12" i="437" s="1"/>
  <c r="Z11" i="437"/>
  <c r="AA11" i="437" s="1"/>
  <c r="Z10" i="437"/>
  <c r="AA10" i="437" s="1"/>
  <c r="Z9" i="437"/>
  <c r="AA9" i="437" s="1"/>
  <c r="Z8" i="437"/>
  <c r="AA8" i="437" s="1"/>
  <c r="Z6" i="437"/>
  <c r="AA6" i="437" s="1"/>
  <c r="Z5" i="437"/>
  <c r="AA5" i="437" s="1"/>
  <c r="W333" i="437"/>
  <c r="X333" i="437" s="1"/>
  <c r="W329" i="437"/>
  <c r="X329" i="437" s="1"/>
  <c r="W327" i="437"/>
  <c r="X327" i="437" s="1"/>
  <c r="W326" i="437"/>
  <c r="X326" i="437" s="1"/>
  <c r="W322" i="437"/>
  <c r="X322" i="437" s="1"/>
  <c r="W320" i="437"/>
  <c r="X320" i="437" s="1"/>
  <c r="W319" i="437"/>
  <c r="X319" i="437" s="1"/>
  <c r="W318" i="437"/>
  <c r="X318" i="437" s="1"/>
  <c r="W317" i="437"/>
  <c r="X317" i="437" s="1"/>
  <c r="W316" i="437"/>
  <c r="X316" i="437" s="1"/>
  <c r="W315" i="437"/>
  <c r="X315" i="437" s="1"/>
  <c r="W314" i="437"/>
  <c r="X314" i="437" s="1"/>
  <c r="W313" i="437"/>
  <c r="X313" i="437" s="1"/>
  <c r="W312" i="437"/>
  <c r="X312" i="437" s="1"/>
  <c r="W311" i="437"/>
  <c r="X311" i="437" s="1"/>
  <c r="W310" i="437"/>
  <c r="X310" i="437" s="1"/>
  <c r="W309" i="437"/>
  <c r="X309" i="437" s="1"/>
  <c r="W308" i="437"/>
  <c r="X308" i="437" s="1"/>
  <c r="W307" i="437"/>
  <c r="X307" i="437" s="1"/>
  <c r="W306" i="437"/>
  <c r="X306" i="437" s="1"/>
  <c r="W305" i="437"/>
  <c r="X305" i="437" s="1"/>
  <c r="W304" i="437"/>
  <c r="X304" i="437" s="1"/>
  <c r="W303" i="437"/>
  <c r="X303" i="437" s="1"/>
  <c r="W302" i="437"/>
  <c r="X302" i="437" s="1"/>
  <c r="W301" i="437"/>
  <c r="X301" i="437" s="1"/>
  <c r="W300" i="437"/>
  <c r="X300" i="437" s="1"/>
  <c r="W299" i="437"/>
  <c r="X299" i="437" s="1"/>
  <c r="W298" i="437"/>
  <c r="X298" i="437" s="1"/>
  <c r="W297" i="437"/>
  <c r="X297" i="437" s="1"/>
  <c r="W296" i="437"/>
  <c r="X296" i="437" s="1"/>
  <c r="W295" i="437"/>
  <c r="X295" i="437" s="1"/>
  <c r="W294" i="437"/>
  <c r="X294" i="437" s="1"/>
  <c r="W293" i="437"/>
  <c r="X293" i="437" s="1"/>
  <c r="W292" i="437"/>
  <c r="X292" i="437" s="1"/>
  <c r="W291" i="437"/>
  <c r="X291" i="437" s="1"/>
  <c r="W290" i="437"/>
  <c r="X290" i="437" s="1"/>
  <c r="W289" i="437"/>
  <c r="X289" i="437" s="1"/>
  <c r="W288" i="437"/>
  <c r="X288" i="437" s="1"/>
  <c r="W287" i="437"/>
  <c r="X287" i="437" s="1"/>
  <c r="W286" i="437"/>
  <c r="X286" i="437" s="1"/>
  <c r="W285" i="437"/>
  <c r="X285" i="437" s="1"/>
  <c r="W284" i="437"/>
  <c r="X284" i="437" s="1"/>
  <c r="W283" i="437"/>
  <c r="X283" i="437" s="1"/>
  <c r="W282" i="437"/>
  <c r="X282" i="437" s="1"/>
  <c r="W281" i="437"/>
  <c r="X281" i="437" s="1"/>
  <c r="W280" i="437"/>
  <c r="X280" i="437" s="1"/>
  <c r="W279" i="437"/>
  <c r="X279" i="437" s="1"/>
  <c r="W278" i="437"/>
  <c r="X278" i="437" s="1"/>
  <c r="W277" i="437"/>
  <c r="X277" i="437" s="1"/>
  <c r="W276" i="437"/>
  <c r="X276" i="437" s="1"/>
  <c r="W275" i="437"/>
  <c r="X275" i="437" s="1"/>
  <c r="W274" i="437"/>
  <c r="X274" i="437" s="1"/>
  <c r="W273" i="437"/>
  <c r="X273" i="437" s="1"/>
  <c r="W272" i="437"/>
  <c r="X272" i="437" s="1"/>
  <c r="W271" i="437"/>
  <c r="X271" i="437" s="1"/>
  <c r="W270" i="437"/>
  <c r="X270" i="437" s="1"/>
  <c r="W269" i="437"/>
  <c r="X269" i="437" s="1"/>
  <c r="W268" i="437"/>
  <c r="X268" i="437" s="1"/>
  <c r="W267" i="437"/>
  <c r="X267" i="437" s="1"/>
  <c r="W266" i="437"/>
  <c r="X266" i="437" s="1"/>
  <c r="W265" i="437"/>
  <c r="X265" i="437" s="1"/>
  <c r="W264" i="437"/>
  <c r="X264" i="437" s="1"/>
  <c r="W263" i="437"/>
  <c r="X263" i="437" s="1"/>
  <c r="W261" i="437"/>
  <c r="X261" i="437" s="1"/>
  <c r="W260" i="437"/>
  <c r="X260" i="437" s="1"/>
  <c r="W259" i="437"/>
  <c r="X259" i="437" s="1"/>
  <c r="W258" i="437"/>
  <c r="X258" i="437" s="1"/>
  <c r="W257" i="437"/>
  <c r="X257" i="437" s="1"/>
  <c r="W256" i="437"/>
  <c r="X256" i="437" s="1"/>
  <c r="W255" i="437"/>
  <c r="X255" i="437" s="1"/>
  <c r="W253" i="437"/>
  <c r="X253" i="437" s="1"/>
  <c r="W252" i="437"/>
  <c r="X252" i="437" s="1"/>
  <c r="W251" i="437"/>
  <c r="X251" i="437" s="1"/>
  <c r="W250" i="437"/>
  <c r="X250" i="437" s="1"/>
  <c r="W249" i="437"/>
  <c r="X249" i="437" s="1"/>
  <c r="W248" i="437"/>
  <c r="X248" i="437" s="1"/>
  <c r="W247" i="437"/>
  <c r="X247" i="437" s="1"/>
  <c r="W246" i="437"/>
  <c r="X246" i="437" s="1"/>
  <c r="W245" i="437"/>
  <c r="X245" i="437" s="1"/>
  <c r="W244" i="437"/>
  <c r="X244" i="437" s="1"/>
  <c r="W243" i="437"/>
  <c r="X243" i="437" s="1"/>
  <c r="W242" i="437"/>
  <c r="X242" i="437" s="1"/>
  <c r="W241" i="437"/>
  <c r="X241" i="437" s="1"/>
  <c r="W240" i="437"/>
  <c r="X240" i="437" s="1"/>
  <c r="W239" i="437"/>
  <c r="X239" i="437" s="1"/>
  <c r="W238" i="437"/>
  <c r="X238" i="437" s="1"/>
  <c r="W237" i="437"/>
  <c r="X237" i="437" s="1"/>
  <c r="W236" i="437"/>
  <c r="X236" i="437" s="1"/>
  <c r="W235" i="437"/>
  <c r="X235" i="437" s="1"/>
  <c r="W234" i="437"/>
  <c r="X234" i="437" s="1"/>
  <c r="W233" i="437"/>
  <c r="X233" i="437" s="1"/>
  <c r="W232" i="437"/>
  <c r="X232" i="437" s="1"/>
  <c r="W231" i="437"/>
  <c r="X231" i="437" s="1"/>
  <c r="W230" i="437"/>
  <c r="X230" i="437" s="1"/>
  <c r="W229" i="437"/>
  <c r="X229" i="437" s="1"/>
  <c r="W228" i="437"/>
  <c r="X228" i="437" s="1"/>
  <c r="W227" i="437"/>
  <c r="X227" i="437" s="1"/>
  <c r="W226" i="437"/>
  <c r="X226" i="437" s="1"/>
  <c r="W225" i="437"/>
  <c r="X225" i="437" s="1"/>
  <c r="W224" i="437"/>
  <c r="X224" i="437" s="1"/>
  <c r="W223" i="437"/>
  <c r="X223" i="437" s="1"/>
  <c r="W222" i="437"/>
  <c r="X222" i="437" s="1"/>
  <c r="W221" i="437"/>
  <c r="X221" i="437" s="1"/>
  <c r="W220" i="437"/>
  <c r="X220" i="437" s="1"/>
  <c r="W219" i="437"/>
  <c r="X219" i="437" s="1"/>
  <c r="W218" i="437"/>
  <c r="X218" i="437" s="1"/>
  <c r="W217" i="437"/>
  <c r="X217" i="437" s="1"/>
  <c r="W216" i="437"/>
  <c r="X216" i="437" s="1"/>
  <c r="W215" i="437"/>
  <c r="X215" i="437" s="1"/>
  <c r="W214" i="437"/>
  <c r="X214" i="437" s="1"/>
  <c r="W213" i="437"/>
  <c r="X213" i="437" s="1"/>
  <c r="W212" i="437"/>
  <c r="X212" i="437" s="1"/>
  <c r="W211" i="437"/>
  <c r="X211" i="437" s="1"/>
  <c r="W210" i="437"/>
  <c r="X210" i="437" s="1"/>
  <c r="W209" i="437"/>
  <c r="X209" i="437" s="1"/>
  <c r="W208" i="437"/>
  <c r="X208" i="437" s="1"/>
  <c r="W207" i="437"/>
  <c r="X207" i="437" s="1"/>
  <c r="W206" i="437"/>
  <c r="X206" i="437" s="1"/>
  <c r="W205" i="437"/>
  <c r="X205" i="437" s="1"/>
  <c r="W204" i="437"/>
  <c r="X204" i="437" s="1"/>
  <c r="W203" i="437"/>
  <c r="X203" i="437" s="1"/>
  <c r="W202" i="437"/>
  <c r="X202" i="437" s="1"/>
  <c r="W201" i="437"/>
  <c r="X201" i="437" s="1"/>
  <c r="W200" i="437"/>
  <c r="X200" i="437" s="1"/>
  <c r="W199" i="437"/>
  <c r="X199" i="437" s="1"/>
  <c r="W198" i="437"/>
  <c r="X198" i="437" s="1"/>
  <c r="W197" i="437"/>
  <c r="X197" i="437" s="1"/>
  <c r="W196" i="437"/>
  <c r="X196" i="437" s="1"/>
  <c r="W195" i="437"/>
  <c r="X195" i="437" s="1"/>
  <c r="W194" i="437"/>
  <c r="X194" i="437" s="1"/>
  <c r="W193" i="437"/>
  <c r="X193" i="437" s="1"/>
  <c r="W192" i="437"/>
  <c r="X192" i="437" s="1"/>
  <c r="W191" i="437"/>
  <c r="X191" i="437" s="1"/>
  <c r="W188" i="437"/>
  <c r="X188" i="437" s="1"/>
  <c r="W187" i="437"/>
  <c r="X187" i="437" s="1"/>
  <c r="W186" i="437"/>
  <c r="X186" i="437" s="1"/>
  <c r="W184" i="437"/>
  <c r="X184" i="437" s="1"/>
  <c r="W183" i="437"/>
  <c r="X183" i="437" s="1"/>
  <c r="W182" i="437"/>
  <c r="X182" i="437" s="1"/>
  <c r="W181" i="437"/>
  <c r="X181" i="437" s="1"/>
  <c r="W180" i="437"/>
  <c r="X180" i="437" s="1"/>
  <c r="W179" i="437"/>
  <c r="X179" i="437" s="1"/>
  <c r="W178" i="437"/>
  <c r="X178" i="437" s="1"/>
  <c r="W177" i="437"/>
  <c r="X177" i="437" s="1"/>
  <c r="W176" i="437"/>
  <c r="X176" i="437" s="1"/>
  <c r="W175" i="437"/>
  <c r="X175" i="437" s="1"/>
  <c r="W174" i="437"/>
  <c r="X174" i="437" s="1"/>
  <c r="W173" i="437"/>
  <c r="X173" i="437" s="1"/>
  <c r="W172" i="437"/>
  <c r="X172" i="437" s="1"/>
  <c r="W170" i="437"/>
  <c r="X170" i="437" s="1"/>
  <c r="W168" i="437"/>
  <c r="X168" i="437" s="1"/>
  <c r="W167" i="437"/>
  <c r="X167" i="437" s="1"/>
  <c r="W166" i="437"/>
  <c r="X166" i="437" s="1"/>
  <c r="W165" i="437"/>
  <c r="X165" i="437" s="1"/>
  <c r="W164" i="437"/>
  <c r="X164" i="437" s="1"/>
  <c r="W163" i="437"/>
  <c r="X163" i="437" s="1"/>
  <c r="W162" i="437"/>
  <c r="X162" i="437" s="1"/>
  <c r="W161" i="437"/>
  <c r="X161" i="437" s="1"/>
  <c r="W160" i="437"/>
  <c r="X160" i="437" s="1"/>
  <c r="W158" i="437"/>
  <c r="X158" i="437" s="1"/>
  <c r="W157" i="437"/>
  <c r="X157" i="437" s="1"/>
  <c r="W156" i="437"/>
  <c r="X156" i="437" s="1"/>
  <c r="W154" i="437"/>
  <c r="X154" i="437" s="1"/>
  <c r="W153" i="437"/>
  <c r="X153" i="437" s="1"/>
  <c r="W152" i="437"/>
  <c r="X152" i="437" s="1"/>
  <c r="W151" i="437"/>
  <c r="X151" i="437" s="1"/>
  <c r="W150" i="437"/>
  <c r="X150" i="437" s="1"/>
  <c r="W149" i="437"/>
  <c r="X149" i="437" s="1"/>
  <c r="W148" i="437"/>
  <c r="X148" i="437" s="1"/>
  <c r="W147" i="437"/>
  <c r="X147" i="437" s="1"/>
  <c r="W146" i="437"/>
  <c r="X146" i="437" s="1"/>
  <c r="W145" i="437"/>
  <c r="X145" i="437" s="1"/>
  <c r="W144" i="437"/>
  <c r="X144" i="437" s="1"/>
  <c r="W143" i="437"/>
  <c r="X143" i="437" s="1"/>
  <c r="W142" i="437"/>
  <c r="X142" i="437" s="1"/>
  <c r="W141" i="437"/>
  <c r="X141" i="437" s="1"/>
  <c r="W140" i="437"/>
  <c r="X140" i="437" s="1"/>
  <c r="W139" i="437"/>
  <c r="X139" i="437" s="1"/>
  <c r="W138" i="437"/>
  <c r="X138" i="437" s="1"/>
  <c r="W137" i="437"/>
  <c r="X137" i="437" s="1"/>
  <c r="W136" i="437"/>
  <c r="X136" i="437" s="1"/>
  <c r="W135" i="437"/>
  <c r="X135" i="437" s="1"/>
  <c r="W134" i="437"/>
  <c r="X134" i="437" s="1"/>
  <c r="W133" i="437"/>
  <c r="X133" i="437" s="1"/>
  <c r="W132" i="437"/>
  <c r="X132" i="437" s="1"/>
  <c r="W131" i="437"/>
  <c r="X131" i="437" s="1"/>
  <c r="W130" i="437"/>
  <c r="X130" i="437" s="1"/>
  <c r="W129" i="437"/>
  <c r="X129" i="437" s="1"/>
  <c r="W128" i="437"/>
  <c r="X128" i="437" s="1"/>
  <c r="W127" i="437"/>
  <c r="X127" i="437" s="1"/>
  <c r="W126" i="437"/>
  <c r="X126" i="437" s="1"/>
  <c r="W125" i="437"/>
  <c r="X125" i="437" s="1"/>
  <c r="W124" i="437"/>
  <c r="X124" i="437" s="1"/>
  <c r="W123" i="437"/>
  <c r="X123" i="437" s="1"/>
  <c r="W122" i="437"/>
  <c r="X122" i="437" s="1"/>
  <c r="W121" i="437"/>
  <c r="X121" i="437" s="1"/>
  <c r="W120" i="437"/>
  <c r="X120" i="437" s="1"/>
  <c r="W119" i="437"/>
  <c r="X119" i="437" s="1"/>
  <c r="W118" i="437"/>
  <c r="X118" i="437" s="1"/>
  <c r="W117" i="437"/>
  <c r="X117" i="437" s="1"/>
  <c r="W116" i="437"/>
  <c r="X116" i="437" s="1"/>
  <c r="W115" i="437"/>
  <c r="X115" i="437" s="1"/>
  <c r="W114" i="437"/>
  <c r="X114" i="437" s="1"/>
  <c r="W113" i="437"/>
  <c r="X113" i="437" s="1"/>
  <c r="W112" i="437"/>
  <c r="X112" i="437" s="1"/>
  <c r="W111" i="437"/>
  <c r="X111" i="437" s="1"/>
  <c r="W110" i="437"/>
  <c r="X110" i="437" s="1"/>
  <c r="W109" i="437"/>
  <c r="X109" i="437" s="1"/>
  <c r="W108" i="437"/>
  <c r="X108" i="437" s="1"/>
  <c r="W107" i="437"/>
  <c r="X107" i="437" s="1"/>
  <c r="W106" i="437"/>
  <c r="X106" i="437" s="1"/>
  <c r="W105" i="437"/>
  <c r="X105" i="437" s="1"/>
  <c r="W104" i="437"/>
  <c r="X104" i="437" s="1"/>
  <c r="W103" i="437"/>
  <c r="X103" i="437" s="1"/>
  <c r="W102" i="437"/>
  <c r="X102" i="437" s="1"/>
  <c r="W101" i="437"/>
  <c r="X101" i="437" s="1"/>
  <c r="W100" i="437"/>
  <c r="X100" i="437" s="1"/>
  <c r="W98" i="437"/>
  <c r="X98" i="437" s="1"/>
  <c r="W97" i="437"/>
  <c r="X97" i="437" s="1"/>
  <c r="W96" i="437"/>
  <c r="X96" i="437" s="1"/>
  <c r="W95" i="437"/>
  <c r="X95" i="437" s="1"/>
  <c r="W94" i="437"/>
  <c r="X94" i="437" s="1"/>
  <c r="W93" i="437"/>
  <c r="X93" i="437" s="1"/>
  <c r="W92" i="437"/>
  <c r="X92" i="437" s="1"/>
  <c r="W91" i="437"/>
  <c r="X91" i="437" s="1"/>
  <c r="W90" i="437"/>
  <c r="X90" i="437" s="1"/>
  <c r="W89" i="437"/>
  <c r="X89" i="437" s="1"/>
  <c r="W88" i="437"/>
  <c r="X88" i="437" s="1"/>
  <c r="W87" i="437"/>
  <c r="X87" i="437" s="1"/>
  <c r="W86" i="437"/>
  <c r="X86" i="437" s="1"/>
  <c r="W85" i="437"/>
  <c r="X85" i="437" s="1"/>
  <c r="W84" i="437"/>
  <c r="X84" i="437" s="1"/>
  <c r="W83" i="437"/>
  <c r="X83" i="437" s="1"/>
  <c r="W82" i="437"/>
  <c r="X82" i="437" s="1"/>
  <c r="W81" i="437"/>
  <c r="X81" i="437" s="1"/>
  <c r="W80" i="437"/>
  <c r="X80" i="437" s="1"/>
  <c r="W79" i="437"/>
  <c r="X79" i="437" s="1"/>
  <c r="W78" i="437"/>
  <c r="X78" i="437" s="1"/>
  <c r="W77" i="437"/>
  <c r="X77" i="437" s="1"/>
  <c r="W76" i="437"/>
  <c r="X76" i="437" s="1"/>
  <c r="W75" i="437"/>
  <c r="X75" i="437" s="1"/>
  <c r="W74" i="437"/>
  <c r="X74" i="437" s="1"/>
  <c r="W73" i="437"/>
  <c r="X73" i="437" s="1"/>
  <c r="W72" i="437"/>
  <c r="X72" i="437" s="1"/>
  <c r="W71" i="437"/>
  <c r="X71" i="437" s="1"/>
  <c r="W70" i="437"/>
  <c r="X70" i="437" s="1"/>
  <c r="W69" i="437"/>
  <c r="X69" i="437" s="1"/>
  <c r="W68" i="437"/>
  <c r="X68" i="437" s="1"/>
  <c r="W67" i="437"/>
  <c r="X67" i="437" s="1"/>
  <c r="W66" i="437"/>
  <c r="X66" i="437" s="1"/>
  <c r="W65" i="437"/>
  <c r="X65" i="437" s="1"/>
  <c r="W64" i="437"/>
  <c r="X64" i="437" s="1"/>
  <c r="W63" i="437"/>
  <c r="X63" i="437" s="1"/>
  <c r="W62" i="437"/>
  <c r="X62" i="437" s="1"/>
  <c r="W61" i="437"/>
  <c r="X61" i="437" s="1"/>
  <c r="W60" i="437"/>
  <c r="X60" i="437" s="1"/>
  <c r="W59" i="437"/>
  <c r="X59" i="437" s="1"/>
  <c r="W58" i="437"/>
  <c r="X58" i="437" s="1"/>
  <c r="W57" i="437"/>
  <c r="X57" i="437" s="1"/>
  <c r="W56" i="437"/>
  <c r="X56" i="437" s="1"/>
  <c r="W55" i="437"/>
  <c r="X55" i="437" s="1"/>
  <c r="W54" i="437"/>
  <c r="X54" i="437" s="1"/>
  <c r="W53" i="437"/>
  <c r="X53" i="437" s="1"/>
  <c r="W52" i="437"/>
  <c r="X52" i="437" s="1"/>
  <c r="W51" i="437"/>
  <c r="X51" i="437" s="1"/>
  <c r="W50" i="437"/>
  <c r="X50" i="437" s="1"/>
  <c r="W49" i="437"/>
  <c r="X49" i="437" s="1"/>
  <c r="W48" i="437"/>
  <c r="X48" i="437" s="1"/>
  <c r="W47" i="437"/>
  <c r="X47" i="437" s="1"/>
  <c r="W46" i="437"/>
  <c r="X46" i="437" s="1"/>
  <c r="W45" i="437"/>
  <c r="X45" i="437" s="1"/>
  <c r="W44" i="437"/>
  <c r="X44" i="437" s="1"/>
  <c r="W43" i="437"/>
  <c r="X43" i="437" s="1"/>
  <c r="W42" i="437"/>
  <c r="X42" i="437" s="1"/>
  <c r="W41" i="437"/>
  <c r="X41" i="437" s="1"/>
  <c r="W40" i="437"/>
  <c r="X40" i="437" s="1"/>
  <c r="W39" i="437"/>
  <c r="X39" i="437" s="1"/>
  <c r="W38" i="437"/>
  <c r="X38" i="437" s="1"/>
  <c r="W37" i="437"/>
  <c r="X37" i="437" s="1"/>
  <c r="W36" i="437"/>
  <c r="X36" i="437" s="1"/>
  <c r="W35" i="437"/>
  <c r="X35" i="437" s="1"/>
  <c r="W34" i="437"/>
  <c r="X34" i="437" s="1"/>
  <c r="W33" i="437"/>
  <c r="X33" i="437" s="1"/>
  <c r="W32" i="437"/>
  <c r="X32" i="437" s="1"/>
  <c r="W31" i="437"/>
  <c r="X31" i="437" s="1"/>
  <c r="W30" i="437"/>
  <c r="X30" i="437" s="1"/>
  <c r="W29" i="437"/>
  <c r="X29" i="437" s="1"/>
  <c r="W28" i="437"/>
  <c r="X28" i="437" s="1"/>
  <c r="W27" i="437"/>
  <c r="X27" i="437" s="1"/>
  <c r="W26" i="437"/>
  <c r="X26" i="437" s="1"/>
  <c r="W25" i="437"/>
  <c r="X25" i="437" s="1"/>
  <c r="W24" i="437"/>
  <c r="X24" i="437" s="1"/>
  <c r="W23" i="437"/>
  <c r="X23" i="437" s="1"/>
  <c r="W22" i="437"/>
  <c r="X22" i="437" s="1"/>
  <c r="W21" i="437"/>
  <c r="X21" i="437" s="1"/>
  <c r="W20" i="437"/>
  <c r="X20" i="437" s="1"/>
  <c r="W19" i="437"/>
  <c r="X19" i="437" s="1"/>
  <c r="W18" i="437"/>
  <c r="X18" i="437" s="1"/>
  <c r="W17" i="437"/>
  <c r="X17" i="437" s="1"/>
  <c r="W16" i="437"/>
  <c r="X16" i="437" s="1"/>
  <c r="W15" i="437"/>
  <c r="X15" i="437" s="1"/>
  <c r="W14" i="437"/>
  <c r="X14" i="437" s="1"/>
  <c r="W13" i="437"/>
  <c r="X13" i="437" s="1"/>
  <c r="W12" i="437"/>
  <c r="X12" i="437" s="1"/>
  <c r="W11" i="437"/>
  <c r="X11" i="437" s="1"/>
  <c r="W10" i="437"/>
  <c r="X10" i="437" s="1"/>
  <c r="W9" i="437"/>
  <c r="X9" i="437" s="1"/>
  <c r="W8" i="437"/>
  <c r="X8" i="437" s="1"/>
  <c r="W6" i="437"/>
  <c r="X6" i="437" s="1"/>
  <c r="W5" i="437"/>
  <c r="X5" i="437" s="1"/>
  <c r="Z4" i="437"/>
  <c r="AA4" i="437" s="1"/>
  <c r="X4" i="437"/>
  <c r="AJ339" i="437"/>
  <c r="AJ340" i="437" l="1"/>
  <c r="AJ341" i="437"/>
  <c r="AJ342" i="437"/>
  <c r="AJ343" i="437"/>
  <c r="AJ344" i="437"/>
  <c r="AJ345" i="437"/>
  <c r="AJ346" i="437"/>
  <c r="AJ347" i="437"/>
  <c r="AJ348" i="437"/>
  <c r="AJ349" i="437"/>
  <c r="AJ350" i="437"/>
  <c r="AJ351" i="437"/>
  <c r="AJ352" i="437"/>
  <c r="AJ353" i="437"/>
  <c r="AJ354" i="437"/>
  <c r="AJ355" i="437"/>
  <c r="AJ356" i="437"/>
  <c r="AJ357" i="437"/>
  <c r="AJ358" i="437"/>
  <c r="AJ359" i="437"/>
  <c r="AJ360" i="437"/>
  <c r="AJ361" i="437"/>
  <c r="AJ362" i="437"/>
  <c r="AJ363" i="437"/>
  <c r="AJ364" i="437"/>
  <c r="AJ365" i="437"/>
  <c r="AJ366" i="437"/>
  <c r="AJ367" i="437"/>
  <c r="AJ368" i="437"/>
  <c r="AJ369" i="437"/>
  <c r="AJ370" i="437"/>
  <c r="AJ371" i="437"/>
  <c r="AJ372" i="437"/>
  <c r="AJ373" i="437"/>
  <c r="AJ374" i="437"/>
  <c r="AJ375" i="437"/>
  <c r="AJ376" i="437"/>
  <c r="AJ377" i="437"/>
  <c r="AJ378" i="437"/>
  <c r="AJ379" i="437"/>
  <c r="AJ380" i="437"/>
  <c r="AJ381" i="437"/>
  <c r="AJ382" i="437"/>
  <c r="AJ383" i="437"/>
  <c r="AJ384" i="437"/>
  <c r="AJ385" i="437"/>
  <c r="AJ386" i="437"/>
  <c r="AJ387" i="437"/>
  <c r="AJ389" i="437"/>
  <c r="AJ390" i="437"/>
  <c r="AJ391" i="437"/>
  <c r="AJ392" i="437"/>
  <c r="AJ393" i="437"/>
  <c r="AJ394" i="437"/>
  <c r="AJ395" i="437"/>
  <c r="AJ396" i="437"/>
  <c r="AJ397" i="437"/>
  <c r="AJ398" i="437"/>
  <c r="AJ399" i="437"/>
  <c r="AJ400" i="437"/>
  <c r="AJ401" i="437"/>
  <c r="AJ402" i="437"/>
  <c r="AJ403" i="437"/>
  <c r="AJ404" i="437"/>
  <c r="AJ405" i="437"/>
  <c r="AJ406" i="437"/>
  <c r="AJ407" i="437"/>
  <c r="AJ408" i="437"/>
  <c r="AJ409" i="437"/>
  <c r="AJ410" i="437"/>
  <c r="AJ411" i="437"/>
  <c r="AJ412" i="437"/>
  <c r="AJ413" i="437"/>
  <c r="AJ414" i="437"/>
  <c r="AJ415" i="437"/>
  <c r="AJ416" i="437"/>
  <c r="AJ417" i="437"/>
  <c r="AJ418" i="437"/>
  <c r="AJ419" i="437"/>
  <c r="AJ420" i="437"/>
  <c r="AJ421" i="437"/>
  <c r="AJ422" i="437"/>
  <c r="AJ423" i="437"/>
  <c r="AJ424" i="437"/>
  <c r="AJ425" i="437"/>
  <c r="AJ426" i="437"/>
  <c r="AJ427" i="437"/>
  <c r="AJ428" i="437"/>
  <c r="AJ429" i="437"/>
  <c r="AJ430" i="437"/>
  <c r="AJ431" i="437"/>
  <c r="AJ432" i="437"/>
  <c r="AJ433" i="437"/>
  <c r="AJ434" i="437"/>
  <c r="AJ435" i="437"/>
  <c r="AJ436" i="437"/>
  <c r="AJ437" i="437"/>
  <c r="AJ438" i="437"/>
  <c r="AJ439" i="437"/>
  <c r="AJ440" i="437"/>
  <c r="AJ441" i="437"/>
  <c r="AJ442" i="437"/>
  <c r="AJ443" i="437"/>
  <c r="AJ444" i="437"/>
  <c r="AJ445" i="437"/>
  <c r="AJ446" i="437"/>
  <c r="AJ447" i="437"/>
  <c r="AJ448" i="437"/>
  <c r="AJ449" i="437"/>
  <c r="AJ450" i="437"/>
  <c r="AJ451" i="437"/>
  <c r="AJ452" i="437"/>
  <c r="AJ453" i="437"/>
  <c r="AJ454" i="437"/>
  <c r="AJ455" i="437"/>
  <c r="AJ456" i="437"/>
  <c r="AJ457" i="437"/>
  <c r="AJ458" i="437"/>
  <c r="AJ459" i="437"/>
  <c r="AJ460" i="437"/>
  <c r="AJ461" i="437"/>
  <c r="AJ462" i="437"/>
  <c r="AJ463" i="437"/>
  <c r="AJ464" i="437"/>
  <c r="AJ465" i="437"/>
  <c r="AJ466" i="437"/>
  <c r="AJ467" i="437"/>
  <c r="AJ468" i="437"/>
  <c r="AJ474" i="437"/>
  <c r="AJ475" i="437"/>
  <c r="AJ476" i="437"/>
  <c r="AJ477" i="437"/>
  <c r="AJ478" i="437"/>
  <c r="AJ479" i="437"/>
  <c r="AJ480" i="437"/>
  <c r="AJ481" i="437"/>
  <c r="AJ482" i="437"/>
  <c r="AJ483" i="437"/>
  <c r="AJ484" i="437"/>
  <c r="AJ485" i="437"/>
  <c r="AJ486" i="437"/>
  <c r="AJ487" i="437"/>
  <c r="AJ488" i="437"/>
  <c r="AJ489" i="437"/>
  <c r="AJ490" i="437"/>
  <c r="AJ491" i="437"/>
  <c r="AJ492" i="437"/>
  <c r="AJ493" i="437"/>
  <c r="AJ494" i="437"/>
  <c r="AJ495" i="437"/>
  <c r="AJ496" i="437"/>
  <c r="AJ497" i="437"/>
  <c r="AJ498" i="437"/>
  <c r="AJ499" i="437"/>
  <c r="AJ500" i="437"/>
  <c r="AJ501" i="437"/>
  <c r="AJ502" i="437"/>
  <c r="AJ503" i="437"/>
  <c r="AJ504" i="437"/>
  <c r="AJ505" i="437"/>
  <c r="AJ506" i="437"/>
  <c r="AJ507" i="437"/>
  <c r="AJ508" i="437"/>
  <c r="AJ509" i="437"/>
  <c r="AJ510" i="437"/>
  <c r="AJ511" i="437"/>
  <c r="AJ512" i="437"/>
  <c r="AJ513" i="437"/>
  <c r="AJ514" i="437"/>
  <c r="AJ515" i="437"/>
  <c r="AJ516" i="437"/>
  <c r="AJ517" i="437"/>
  <c r="AJ518" i="437"/>
  <c r="AJ519" i="437"/>
  <c r="AJ521" i="437"/>
  <c r="AJ522" i="437"/>
  <c r="AJ523" i="437"/>
  <c r="AJ524" i="437"/>
  <c r="AJ525" i="437"/>
  <c r="AJ526" i="437"/>
  <c r="AJ527" i="437"/>
  <c r="AJ528" i="437"/>
  <c r="AJ529" i="437"/>
  <c r="AJ530" i="437"/>
  <c r="AJ531" i="437"/>
  <c r="AJ532" i="437"/>
  <c r="AJ533" i="437"/>
  <c r="AJ534" i="437"/>
  <c r="AJ535" i="437"/>
  <c r="AJ536" i="437"/>
  <c r="AJ537" i="437"/>
  <c r="AJ538" i="437"/>
  <c r="AJ539" i="437"/>
  <c r="AJ540" i="437"/>
  <c r="AJ541" i="437"/>
  <c r="AJ542" i="437"/>
  <c r="AJ543" i="437"/>
  <c r="AJ544" i="437"/>
  <c r="AJ545" i="437"/>
  <c r="AJ546" i="437"/>
  <c r="AJ547" i="437"/>
  <c r="AJ548" i="437"/>
  <c r="AJ549" i="437"/>
  <c r="AJ550" i="437"/>
  <c r="AJ551" i="437"/>
  <c r="AJ552" i="437"/>
  <c r="AJ553" i="437"/>
  <c r="AJ554" i="437"/>
  <c r="AJ555" i="437"/>
  <c r="AJ556" i="437"/>
  <c r="AJ557" i="437"/>
  <c r="AJ558" i="437"/>
  <c r="AJ559" i="437"/>
  <c r="AJ560" i="437"/>
  <c r="AJ561" i="437"/>
  <c r="AJ562" i="437"/>
  <c r="AJ563" i="437"/>
  <c r="AJ564" i="437"/>
  <c r="AJ565" i="437"/>
  <c r="AJ566" i="437"/>
  <c r="AJ567" i="437"/>
  <c r="AJ568" i="437"/>
  <c r="AJ569" i="437"/>
  <c r="AJ570" i="437"/>
  <c r="AJ571" i="437"/>
  <c r="AJ572" i="437"/>
  <c r="AJ573" i="437"/>
  <c r="AJ574" i="437"/>
  <c r="AJ575" i="437"/>
  <c r="AJ576" i="437"/>
  <c r="AJ577" i="437"/>
  <c r="AJ578" i="437"/>
  <c r="AJ579" i="437"/>
  <c r="AJ580" i="437"/>
  <c r="AJ581" i="437"/>
  <c r="AJ582" i="437"/>
  <c r="AJ583" i="437"/>
  <c r="AJ584" i="437"/>
  <c r="AJ585" i="437"/>
  <c r="AJ586" i="437"/>
  <c r="AJ587" i="437"/>
  <c r="AJ588" i="437"/>
  <c r="AJ589" i="437"/>
  <c r="AJ590" i="437"/>
  <c r="AJ591" i="437"/>
  <c r="AJ592" i="437"/>
  <c r="AJ593" i="437"/>
  <c r="AJ594" i="437"/>
  <c r="AJ595" i="437"/>
  <c r="AJ596" i="437"/>
  <c r="AJ597" i="437"/>
  <c r="AJ598" i="437"/>
  <c r="AJ599" i="437"/>
  <c r="AJ600" i="437"/>
  <c r="AJ601" i="437"/>
  <c r="AJ602" i="437"/>
  <c r="AJ603" i="437"/>
  <c r="AJ604" i="437"/>
  <c r="AJ605" i="437"/>
  <c r="AJ606" i="437"/>
  <c r="AJ607" i="437"/>
  <c r="AJ608" i="437"/>
  <c r="AJ609" i="437"/>
  <c r="AJ610" i="437"/>
  <c r="AJ611" i="437"/>
  <c r="AJ612" i="437"/>
  <c r="AJ613" i="437"/>
  <c r="AJ614" i="437"/>
  <c r="AJ615" i="437"/>
  <c r="AJ616" i="437"/>
  <c r="AJ617" i="437"/>
  <c r="AJ618" i="437"/>
  <c r="AJ619" i="437"/>
  <c r="AJ620" i="437"/>
  <c r="AJ621" i="437"/>
  <c r="AJ622" i="437"/>
  <c r="AJ623" i="437"/>
  <c r="AJ624" i="437"/>
  <c r="AJ625" i="437"/>
  <c r="AJ626" i="437"/>
  <c r="AJ627" i="437"/>
  <c r="AJ628" i="437"/>
  <c r="AJ629" i="437"/>
  <c r="AJ630" i="437"/>
  <c r="AJ631" i="437"/>
  <c r="AJ632" i="437"/>
  <c r="AJ633" i="437"/>
  <c r="AJ634" i="437"/>
  <c r="AJ635" i="437"/>
  <c r="AJ636" i="437"/>
  <c r="AJ637" i="437"/>
  <c r="AJ638" i="437"/>
  <c r="AJ639" i="437"/>
  <c r="AJ640" i="437"/>
  <c r="AJ641" i="437"/>
  <c r="AJ642" i="437"/>
  <c r="AJ643" i="437"/>
  <c r="AJ644" i="437"/>
  <c r="AJ645" i="437"/>
  <c r="AJ646" i="437"/>
  <c r="AJ647" i="437"/>
  <c r="AJ648" i="437"/>
  <c r="AJ649" i="437"/>
  <c r="AJ650" i="437"/>
  <c r="AJ651" i="437"/>
  <c r="AJ652" i="437"/>
  <c r="AJ653" i="437"/>
  <c r="AJ654" i="437"/>
  <c r="AJ655" i="437"/>
  <c r="AJ656" i="437"/>
  <c r="AJ657" i="437"/>
  <c r="AC644" i="437"/>
  <c r="AC479" i="437"/>
  <c r="S479" i="437"/>
  <c r="R479" i="437"/>
  <c r="U479" i="437" s="1"/>
  <c r="AC478" i="437"/>
  <c r="S478" i="437"/>
  <c r="R478" i="437"/>
  <c r="U478" i="437" s="1"/>
  <c r="AC477" i="437"/>
  <c r="S477" i="437"/>
  <c r="R477" i="437"/>
  <c r="U477" i="437" s="1"/>
  <c r="AC476" i="437"/>
  <c r="S476" i="437"/>
  <c r="R476" i="437"/>
  <c r="U476" i="437" s="1"/>
  <c r="AC475" i="437"/>
  <c r="S475" i="437"/>
  <c r="R475" i="437"/>
  <c r="U475" i="437" s="1"/>
  <c r="AC474" i="437"/>
  <c r="S474" i="437"/>
  <c r="R474" i="437"/>
  <c r="U474" i="437" s="1"/>
  <c r="S644" i="437"/>
  <c r="S657" i="437"/>
  <c r="R657" i="437"/>
  <c r="U657" i="437" s="1"/>
  <c r="S656" i="437"/>
  <c r="R656" i="437"/>
  <c r="U656" i="437" s="1"/>
  <c r="S655" i="437"/>
  <c r="R655" i="437"/>
  <c r="U655" i="437" s="1"/>
  <c r="S654" i="437"/>
  <c r="R654" i="437"/>
  <c r="U654" i="437" s="1"/>
  <c r="S653" i="437"/>
  <c r="R653" i="437"/>
  <c r="U653" i="437" s="1"/>
  <c r="S652" i="437"/>
  <c r="R652" i="437"/>
  <c r="U652" i="437" s="1"/>
  <c r="S651" i="437"/>
  <c r="R651" i="437"/>
  <c r="U651" i="437" s="1"/>
  <c r="S650" i="437"/>
  <c r="R650" i="437"/>
  <c r="U650" i="437" s="1"/>
  <c r="S649" i="437"/>
  <c r="R649" i="437"/>
  <c r="U649" i="437" s="1"/>
  <c r="S648" i="437"/>
  <c r="R648" i="437"/>
  <c r="U648" i="437" s="1"/>
  <c r="S647" i="437"/>
  <c r="R647" i="437"/>
  <c r="U647" i="437" s="1"/>
  <c r="S646" i="437"/>
  <c r="R646" i="437"/>
  <c r="U646" i="437" s="1"/>
  <c r="S645" i="437"/>
  <c r="R645" i="437"/>
  <c r="U645" i="437" s="1"/>
  <c r="AC643" i="437"/>
  <c r="S643" i="437"/>
  <c r="R643" i="437"/>
  <c r="U643" i="437" s="1"/>
  <c r="AC642" i="437"/>
  <c r="S642" i="437"/>
  <c r="R642" i="437"/>
  <c r="U642" i="437" s="1"/>
  <c r="AC641" i="437"/>
  <c r="S641" i="437"/>
  <c r="R641" i="437"/>
  <c r="U641" i="437" s="1"/>
  <c r="AC640" i="437"/>
  <c r="S640" i="437"/>
  <c r="R640" i="437"/>
  <c r="U640" i="437" s="1"/>
  <c r="AC639" i="437"/>
  <c r="S639" i="437"/>
  <c r="R639" i="437"/>
  <c r="U639" i="437" s="1"/>
  <c r="AC638" i="437"/>
  <c r="S638" i="437"/>
  <c r="R638" i="437"/>
  <c r="U638" i="437" s="1"/>
  <c r="AC637" i="437"/>
  <c r="S637" i="437"/>
  <c r="R637" i="437"/>
  <c r="U637" i="437" s="1"/>
  <c r="AC636" i="437"/>
  <c r="S636" i="437"/>
  <c r="R636" i="437"/>
  <c r="U636" i="437" s="1"/>
  <c r="AC635" i="437"/>
  <c r="S635" i="437"/>
  <c r="R635" i="437"/>
  <c r="U635" i="437" s="1"/>
  <c r="AC634" i="437"/>
  <c r="S634" i="437"/>
  <c r="R634" i="437"/>
  <c r="U634" i="437" s="1"/>
  <c r="AC633" i="437"/>
  <c r="S633" i="437"/>
  <c r="R633" i="437"/>
  <c r="U633" i="437" s="1"/>
  <c r="AC632" i="437"/>
  <c r="S632" i="437"/>
  <c r="R632" i="437"/>
  <c r="U632" i="437" s="1"/>
  <c r="AC631" i="437"/>
  <c r="S631" i="437"/>
  <c r="R631" i="437"/>
  <c r="U631" i="437" s="1"/>
  <c r="AC630" i="437"/>
  <c r="S630" i="437"/>
  <c r="R630" i="437"/>
  <c r="U630" i="437" s="1"/>
  <c r="AC628" i="437"/>
  <c r="S628" i="437"/>
  <c r="R628" i="437"/>
  <c r="U628" i="437" s="1"/>
  <c r="AC627" i="437"/>
  <c r="S627" i="437"/>
  <c r="R627" i="437"/>
  <c r="U627" i="437" s="1"/>
  <c r="AC626" i="437"/>
  <c r="S626" i="437"/>
  <c r="R626" i="437"/>
  <c r="U626" i="437" s="1"/>
  <c r="AC625" i="437"/>
  <c r="S625" i="437"/>
  <c r="R625" i="437"/>
  <c r="U625" i="437" s="1"/>
  <c r="AC624" i="437"/>
  <c r="S624" i="437"/>
  <c r="R624" i="437"/>
  <c r="U624" i="437" s="1"/>
  <c r="AC623" i="437"/>
  <c r="S623" i="437"/>
  <c r="R623" i="437"/>
  <c r="U623" i="437" s="1"/>
  <c r="AC622" i="437"/>
  <c r="S622" i="437"/>
  <c r="R622" i="437"/>
  <c r="U622" i="437" s="1"/>
  <c r="AC621" i="437"/>
  <c r="S621" i="437"/>
  <c r="R621" i="437"/>
  <c r="U621" i="437" s="1"/>
  <c r="AC620" i="437"/>
  <c r="S620" i="437"/>
  <c r="R620" i="437"/>
  <c r="U620" i="437" s="1"/>
  <c r="AC619" i="437"/>
  <c r="S619" i="437"/>
  <c r="R619" i="437"/>
  <c r="U619" i="437" s="1"/>
  <c r="AC618" i="437"/>
  <c r="S618" i="437"/>
  <c r="R618" i="437"/>
  <c r="U618" i="437" s="1"/>
  <c r="AC617" i="437"/>
  <c r="S617" i="437"/>
  <c r="R617" i="437"/>
  <c r="U617" i="437" s="1"/>
  <c r="AC616" i="437"/>
  <c r="S616" i="437"/>
  <c r="R616" i="437"/>
  <c r="U616" i="437" s="1"/>
  <c r="AC615" i="437"/>
  <c r="S615" i="437"/>
  <c r="R615" i="437"/>
  <c r="U615" i="437" s="1"/>
  <c r="AC614" i="437"/>
  <c r="S614" i="437"/>
  <c r="R614" i="437"/>
  <c r="U614" i="437" s="1"/>
  <c r="AC612" i="437"/>
  <c r="S612" i="437"/>
  <c r="R612" i="437"/>
  <c r="U612" i="437" s="1"/>
  <c r="AC611" i="437"/>
  <c r="S611" i="437"/>
  <c r="R611" i="437"/>
  <c r="U611" i="437" s="1"/>
  <c r="AC610" i="437"/>
  <c r="S610" i="437"/>
  <c r="R610" i="437"/>
  <c r="U610" i="437" s="1"/>
  <c r="AC609" i="437"/>
  <c r="S609" i="437"/>
  <c r="R609" i="437"/>
  <c r="U609" i="437" s="1"/>
  <c r="AC608" i="437"/>
  <c r="S608" i="437"/>
  <c r="R608" i="437"/>
  <c r="U608" i="437" s="1"/>
  <c r="AC607" i="437"/>
  <c r="S607" i="437"/>
  <c r="R607" i="437"/>
  <c r="U607" i="437" s="1"/>
  <c r="AC606" i="437"/>
  <c r="S606" i="437"/>
  <c r="R606" i="437"/>
  <c r="U606" i="437" s="1"/>
  <c r="AC605" i="437"/>
  <c r="S605" i="437"/>
  <c r="R605" i="437"/>
  <c r="U605" i="437" s="1"/>
  <c r="AC604" i="437"/>
  <c r="S604" i="437"/>
  <c r="R604" i="437"/>
  <c r="U604" i="437" s="1"/>
  <c r="AC603" i="437"/>
  <c r="S603" i="437"/>
  <c r="R603" i="437"/>
  <c r="U603" i="437" s="1"/>
  <c r="AC602" i="437"/>
  <c r="S602" i="437"/>
  <c r="R602" i="437"/>
  <c r="U602" i="437" s="1"/>
  <c r="AC601" i="437"/>
  <c r="S601" i="437"/>
  <c r="R601" i="437"/>
  <c r="U601" i="437" s="1"/>
  <c r="AC600" i="437"/>
  <c r="S600" i="437"/>
  <c r="R600" i="437"/>
  <c r="U600" i="437" s="1"/>
  <c r="AC599" i="437"/>
  <c r="S599" i="437"/>
  <c r="R599" i="437"/>
  <c r="U599" i="437" s="1"/>
  <c r="AC598" i="437"/>
  <c r="S598" i="437"/>
  <c r="R598" i="437"/>
  <c r="U598" i="437" s="1"/>
  <c r="AC597" i="437"/>
  <c r="S597" i="437"/>
  <c r="R597" i="437"/>
  <c r="U597" i="437" s="1"/>
  <c r="AC595" i="437"/>
  <c r="S595" i="437"/>
  <c r="R595" i="437"/>
  <c r="U595" i="437" s="1"/>
  <c r="AC594" i="437"/>
  <c r="S594" i="437"/>
  <c r="R594" i="437"/>
  <c r="U594" i="437" s="1"/>
  <c r="AC593" i="437"/>
  <c r="S593" i="437"/>
  <c r="R593" i="437"/>
  <c r="U593" i="437" s="1"/>
  <c r="AC592" i="437"/>
  <c r="S592" i="437"/>
  <c r="R592" i="437"/>
  <c r="U592" i="437" s="1"/>
  <c r="AC591" i="437"/>
  <c r="S591" i="437"/>
  <c r="R591" i="437"/>
  <c r="U591" i="437" s="1"/>
  <c r="AC590" i="437"/>
  <c r="S590" i="437"/>
  <c r="R590" i="437"/>
  <c r="U590" i="437" s="1"/>
  <c r="AC589" i="437"/>
  <c r="S589" i="437"/>
  <c r="R589" i="437"/>
  <c r="U589" i="437" s="1"/>
  <c r="AC588" i="437"/>
  <c r="S588" i="437"/>
  <c r="R588" i="437"/>
  <c r="U588" i="437" s="1"/>
  <c r="AC587" i="437"/>
  <c r="S587" i="437"/>
  <c r="R587" i="437"/>
  <c r="U587" i="437" s="1"/>
  <c r="AC586" i="437"/>
  <c r="S586" i="437"/>
  <c r="R586" i="437"/>
  <c r="U586" i="437" s="1"/>
  <c r="AC585" i="437"/>
  <c r="S585" i="437"/>
  <c r="R585" i="437"/>
  <c r="U585" i="437" s="1"/>
  <c r="AC584" i="437"/>
  <c r="S584" i="437"/>
  <c r="R584" i="437"/>
  <c r="U584" i="437" s="1"/>
  <c r="AC582" i="437"/>
  <c r="S582" i="437"/>
  <c r="R582" i="437"/>
  <c r="U582" i="437" s="1"/>
  <c r="AC581" i="437"/>
  <c r="S581" i="437"/>
  <c r="R581" i="437"/>
  <c r="U581" i="437" s="1"/>
  <c r="AC580" i="437"/>
  <c r="S580" i="437"/>
  <c r="R580" i="437"/>
  <c r="U580" i="437" s="1"/>
  <c r="AC579" i="437"/>
  <c r="S579" i="437"/>
  <c r="R579" i="437"/>
  <c r="U579" i="437" s="1"/>
  <c r="AC578" i="437"/>
  <c r="S578" i="437"/>
  <c r="R578" i="437"/>
  <c r="U578" i="437" s="1"/>
  <c r="AC577" i="437"/>
  <c r="S577" i="437"/>
  <c r="R577" i="437"/>
  <c r="U577" i="437" s="1"/>
  <c r="AC576" i="437"/>
  <c r="S576" i="437"/>
  <c r="R576" i="437"/>
  <c r="U576" i="437" s="1"/>
  <c r="AC575" i="437"/>
  <c r="S575" i="437"/>
  <c r="R575" i="437"/>
  <c r="U575" i="437" s="1"/>
  <c r="AC574" i="437"/>
  <c r="S574" i="437"/>
  <c r="R574" i="437"/>
  <c r="U574" i="437" s="1"/>
  <c r="AC573" i="437"/>
  <c r="S573" i="437"/>
  <c r="R573" i="437"/>
  <c r="U573" i="437" s="1"/>
  <c r="AC572" i="437"/>
  <c r="S572" i="437"/>
  <c r="R572" i="437"/>
  <c r="U572" i="437" s="1"/>
  <c r="AC571" i="437"/>
  <c r="S571" i="437"/>
  <c r="R571" i="437"/>
  <c r="U571" i="437" s="1"/>
  <c r="AC570" i="437"/>
  <c r="S570" i="437"/>
  <c r="R570" i="437"/>
  <c r="U570" i="437" s="1"/>
  <c r="AC569" i="437"/>
  <c r="S569" i="437"/>
  <c r="R569" i="437"/>
  <c r="U569" i="437" s="1"/>
  <c r="AC567" i="437"/>
  <c r="S567" i="437"/>
  <c r="R567" i="437"/>
  <c r="U567" i="437" s="1"/>
  <c r="AC566" i="437"/>
  <c r="S566" i="437"/>
  <c r="R566" i="437"/>
  <c r="U566" i="437" s="1"/>
  <c r="AC565" i="437"/>
  <c r="S565" i="437"/>
  <c r="R565" i="437"/>
  <c r="U565" i="437" s="1"/>
  <c r="AC564" i="437"/>
  <c r="S564" i="437"/>
  <c r="R564" i="437"/>
  <c r="U564" i="437" s="1"/>
  <c r="AC563" i="437"/>
  <c r="S563" i="437"/>
  <c r="R563" i="437"/>
  <c r="U563" i="437" s="1"/>
  <c r="AC562" i="437"/>
  <c r="S562" i="437"/>
  <c r="R562" i="437"/>
  <c r="U562" i="437" s="1"/>
  <c r="AC561" i="437"/>
  <c r="S561" i="437"/>
  <c r="R561" i="437"/>
  <c r="U561" i="437" s="1"/>
  <c r="AC560" i="437"/>
  <c r="S560" i="437"/>
  <c r="R560" i="437"/>
  <c r="U560" i="437" s="1"/>
  <c r="AC559" i="437"/>
  <c r="S559" i="437"/>
  <c r="R559" i="437"/>
  <c r="U559" i="437" s="1"/>
  <c r="AC558" i="437"/>
  <c r="S558" i="437"/>
  <c r="R558" i="437"/>
  <c r="U558" i="437" s="1"/>
  <c r="AC557" i="437"/>
  <c r="S557" i="437"/>
  <c r="R557" i="437"/>
  <c r="U557" i="437" s="1"/>
  <c r="AC556" i="437"/>
  <c r="S556" i="437"/>
  <c r="R556" i="437"/>
  <c r="U556" i="437" s="1"/>
  <c r="AC555" i="437"/>
  <c r="S555" i="437"/>
  <c r="R555" i="437"/>
  <c r="U555" i="437" s="1"/>
  <c r="AC554" i="437"/>
  <c r="S554" i="437"/>
  <c r="R554" i="437"/>
  <c r="U554" i="437" s="1"/>
  <c r="AC552" i="437"/>
  <c r="S552" i="437"/>
  <c r="R552" i="437"/>
  <c r="U552" i="437" s="1"/>
  <c r="AC551" i="437"/>
  <c r="S551" i="437"/>
  <c r="R551" i="437"/>
  <c r="U551" i="437" s="1"/>
  <c r="AC550" i="437"/>
  <c r="S550" i="437"/>
  <c r="R550" i="437"/>
  <c r="U550" i="437" s="1"/>
  <c r="AC549" i="437"/>
  <c r="S549" i="437"/>
  <c r="R549" i="437"/>
  <c r="U549" i="437" s="1"/>
  <c r="AC548" i="437"/>
  <c r="S548" i="437"/>
  <c r="R548" i="437"/>
  <c r="U548" i="437" s="1"/>
  <c r="AC547" i="437"/>
  <c r="S547" i="437"/>
  <c r="R547" i="437"/>
  <c r="U547" i="437" s="1"/>
  <c r="AC546" i="437"/>
  <c r="S546" i="437"/>
  <c r="R546" i="437"/>
  <c r="U546" i="437" s="1"/>
  <c r="AC545" i="437"/>
  <c r="S545" i="437"/>
  <c r="R545" i="437"/>
  <c r="U545" i="437" s="1"/>
  <c r="AC544" i="437"/>
  <c r="S544" i="437"/>
  <c r="R544" i="437"/>
  <c r="U544" i="437" s="1"/>
  <c r="AC543" i="437"/>
  <c r="S543" i="437"/>
  <c r="R543" i="437"/>
  <c r="U543" i="437" s="1"/>
  <c r="AC542" i="437"/>
  <c r="S542" i="437"/>
  <c r="R542" i="437"/>
  <c r="U542" i="437" s="1"/>
  <c r="AC541" i="437"/>
  <c r="S541" i="437"/>
  <c r="R541" i="437"/>
  <c r="U541" i="437" s="1"/>
  <c r="AC540" i="437"/>
  <c r="S540" i="437"/>
  <c r="R540" i="437"/>
  <c r="U540" i="437" s="1"/>
  <c r="AC539" i="437"/>
  <c r="S539" i="437"/>
  <c r="R539" i="437"/>
  <c r="U539" i="437" s="1"/>
  <c r="AC538" i="437"/>
  <c r="S538" i="437"/>
  <c r="R538" i="437"/>
  <c r="U538" i="437" s="1"/>
  <c r="AC537" i="437"/>
  <c r="S537" i="437"/>
  <c r="R537" i="437"/>
  <c r="U537" i="437" s="1"/>
  <c r="AC535" i="437"/>
  <c r="S535" i="437"/>
  <c r="R535" i="437"/>
  <c r="U535" i="437" s="1"/>
  <c r="AC534" i="437"/>
  <c r="S534" i="437"/>
  <c r="R534" i="437"/>
  <c r="U534" i="437" s="1"/>
  <c r="AC533" i="437"/>
  <c r="S533" i="437"/>
  <c r="R533" i="437"/>
  <c r="U533" i="437" s="1"/>
  <c r="AC532" i="437"/>
  <c r="S532" i="437"/>
  <c r="R532" i="437"/>
  <c r="U532" i="437" s="1"/>
  <c r="AC531" i="437"/>
  <c r="S531" i="437"/>
  <c r="R531" i="437"/>
  <c r="U531" i="437" s="1"/>
  <c r="AC530" i="437"/>
  <c r="S530" i="437"/>
  <c r="R530" i="437"/>
  <c r="U530" i="437" s="1"/>
  <c r="AC529" i="437"/>
  <c r="S529" i="437"/>
  <c r="R529" i="437"/>
  <c r="U529" i="437" s="1"/>
  <c r="AC528" i="437"/>
  <c r="S528" i="437"/>
  <c r="R528" i="437"/>
  <c r="U528" i="437" s="1"/>
  <c r="AC527" i="437"/>
  <c r="S527" i="437"/>
  <c r="R527" i="437"/>
  <c r="U527" i="437" s="1"/>
  <c r="AC526" i="437"/>
  <c r="S526" i="437"/>
  <c r="R526" i="437"/>
  <c r="U526" i="437" s="1"/>
  <c r="AC525" i="437"/>
  <c r="S525" i="437"/>
  <c r="R525" i="437"/>
  <c r="U525" i="437" s="1"/>
  <c r="AC524" i="437"/>
  <c r="S524" i="437"/>
  <c r="R524" i="437"/>
  <c r="U524" i="437" s="1"/>
  <c r="AC523" i="437"/>
  <c r="S523" i="437"/>
  <c r="R523" i="437"/>
  <c r="U523" i="437" s="1"/>
  <c r="AC522" i="437"/>
  <c r="S522" i="437"/>
  <c r="R522" i="437"/>
  <c r="U522" i="437" s="1"/>
  <c r="AC521" i="437"/>
  <c r="S521" i="437"/>
  <c r="R521" i="437"/>
  <c r="U521" i="437" s="1"/>
  <c r="AC519" i="437"/>
  <c r="S519" i="437"/>
  <c r="R519" i="437"/>
  <c r="U519" i="437" s="1"/>
  <c r="AC518" i="437"/>
  <c r="S518" i="437"/>
  <c r="R518" i="437"/>
  <c r="U518" i="437" s="1"/>
  <c r="AC517" i="437"/>
  <c r="S517" i="437"/>
  <c r="R517" i="437"/>
  <c r="U517" i="437" s="1"/>
  <c r="AC516" i="437"/>
  <c r="S516" i="437"/>
  <c r="R516" i="437"/>
  <c r="U516" i="437" s="1"/>
  <c r="AC515" i="437"/>
  <c r="S515" i="437"/>
  <c r="R515" i="437"/>
  <c r="U515" i="437" s="1"/>
  <c r="AC514" i="437"/>
  <c r="S514" i="437"/>
  <c r="R514" i="437"/>
  <c r="U514" i="437" s="1"/>
  <c r="AC513" i="437"/>
  <c r="S513" i="437"/>
  <c r="R513" i="437"/>
  <c r="U513" i="437" s="1"/>
  <c r="AC512" i="437"/>
  <c r="S512" i="437"/>
  <c r="R512" i="437"/>
  <c r="U512" i="437" s="1"/>
  <c r="AC511" i="437"/>
  <c r="S511" i="437"/>
  <c r="R511" i="437"/>
  <c r="U511" i="437" s="1"/>
  <c r="AC510" i="437"/>
  <c r="S510" i="437"/>
  <c r="R510" i="437"/>
  <c r="U510" i="437" s="1"/>
  <c r="AC509" i="437"/>
  <c r="S509" i="437"/>
  <c r="R509" i="437"/>
  <c r="U509" i="437" s="1"/>
  <c r="AC508" i="437"/>
  <c r="S508" i="437"/>
  <c r="R508" i="437"/>
  <c r="U508" i="437" s="1"/>
  <c r="AC507" i="437"/>
  <c r="S507" i="437"/>
  <c r="R507" i="437"/>
  <c r="U507" i="437" s="1"/>
  <c r="AC506" i="437"/>
  <c r="S506" i="437"/>
  <c r="R506" i="437"/>
  <c r="U506" i="437" s="1"/>
  <c r="AC505" i="437"/>
  <c r="S505" i="437"/>
  <c r="R505" i="437"/>
  <c r="U505" i="437" s="1"/>
  <c r="AC503" i="437"/>
  <c r="S503" i="437"/>
  <c r="R503" i="437"/>
  <c r="U503" i="437" s="1"/>
  <c r="AC502" i="437"/>
  <c r="S502" i="437"/>
  <c r="R502" i="437"/>
  <c r="U502" i="437" s="1"/>
  <c r="AC501" i="437"/>
  <c r="S501" i="437"/>
  <c r="R501" i="437"/>
  <c r="U501" i="437" s="1"/>
  <c r="AC500" i="437"/>
  <c r="S500" i="437"/>
  <c r="R500" i="437"/>
  <c r="U500" i="437" s="1"/>
  <c r="AC499" i="437"/>
  <c r="S499" i="437"/>
  <c r="R499" i="437"/>
  <c r="U499" i="437" s="1"/>
  <c r="AC498" i="437"/>
  <c r="S498" i="437"/>
  <c r="R498" i="437"/>
  <c r="U498" i="437" s="1"/>
  <c r="AC497" i="437"/>
  <c r="S497" i="437"/>
  <c r="R497" i="437"/>
  <c r="U497" i="437" s="1"/>
  <c r="AC496" i="437"/>
  <c r="S496" i="437"/>
  <c r="R496" i="437"/>
  <c r="U496" i="437" s="1"/>
  <c r="AC495" i="437"/>
  <c r="S495" i="437"/>
  <c r="R495" i="437"/>
  <c r="U495" i="437" s="1"/>
  <c r="AC494" i="437"/>
  <c r="S494" i="437"/>
  <c r="R494" i="437"/>
  <c r="U494" i="437" s="1"/>
  <c r="AC493" i="437"/>
  <c r="S493" i="437"/>
  <c r="R493" i="437"/>
  <c r="U493" i="437" s="1"/>
  <c r="AC492" i="437"/>
  <c r="S492" i="437"/>
  <c r="R492" i="437"/>
  <c r="U492" i="437" s="1"/>
  <c r="AC491" i="437"/>
  <c r="S491" i="437"/>
  <c r="R491" i="437"/>
  <c r="U491" i="437" s="1"/>
  <c r="AC490" i="437"/>
  <c r="S490" i="437"/>
  <c r="R490" i="437"/>
  <c r="U490" i="437" s="1"/>
  <c r="AC488" i="437"/>
  <c r="S488" i="437"/>
  <c r="R488" i="437"/>
  <c r="U488" i="437" s="1"/>
  <c r="AC487" i="437"/>
  <c r="S487" i="437"/>
  <c r="R487" i="437"/>
  <c r="U487" i="437" s="1"/>
  <c r="AC486" i="437"/>
  <c r="S486" i="437"/>
  <c r="R486" i="437"/>
  <c r="U486" i="437" s="1"/>
  <c r="AC485" i="437"/>
  <c r="S485" i="437"/>
  <c r="R485" i="437"/>
  <c r="U485" i="437" s="1"/>
  <c r="AC484" i="437"/>
  <c r="S484" i="437"/>
  <c r="R484" i="437"/>
  <c r="U484" i="437" s="1"/>
  <c r="AC483" i="437"/>
  <c r="S483" i="437"/>
  <c r="R483" i="437"/>
  <c r="U483" i="437" s="1"/>
  <c r="AC482" i="437"/>
  <c r="S482" i="437"/>
  <c r="R482" i="437"/>
  <c r="U482" i="437" s="1"/>
  <c r="AC481" i="437"/>
  <c r="S481" i="437"/>
  <c r="R481" i="437"/>
  <c r="U481" i="437" s="1"/>
  <c r="AC480" i="437"/>
  <c r="S480" i="437"/>
  <c r="R480" i="437"/>
  <c r="U480" i="437" s="1"/>
  <c r="AC468" i="437"/>
  <c r="S468" i="437"/>
  <c r="R468" i="437"/>
  <c r="U468" i="437" s="1"/>
  <c r="AC467" i="437"/>
  <c r="S467" i="437"/>
  <c r="R467" i="437"/>
  <c r="U467" i="437" s="1"/>
  <c r="AC466" i="437"/>
  <c r="S466" i="437"/>
  <c r="R466" i="437"/>
  <c r="U466" i="437" s="1"/>
  <c r="AC465" i="437"/>
  <c r="S465" i="437"/>
  <c r="R465" i="437"/>
  <c r="U465" i="437" s="1"/>
  <c r="AC464" i="437"/>
  <c r="S464" i="437"/>
  <c r="R464" i="437"/>
  <c r="U464" i="437" s="1"/>
  <c r="AC463" i="437"/>
  <c r="S463" i="437"/>
  <c r="R463" i="437"/>
  <c r="U463" i="437" s="1"/>
  <c r="AC462" i="437"/>
  <c r="S462" i="437"/>
  <c r="R462" i="437"/>
  <c r="U462" i="437" s="1"/>
  <c r="AC461" i="437"/>
  <c r="S461" i="437"/>
  <c r="R461" i="437"/>
  <c r="U461" i="437" s="1"/>
  <c r="AC460" i="437"/>
  <c r="S460" i="437"/>
  <c r="R460" i="437"/>
  <c r="U460" i="437" s="1"/>
  <c r="AC459" i="437"/>
  <c r="S459" i="437"/>
  <c r="R459" i="437"/>
  <c r="U459" i="437" s="1"/>
  <c r="AC458" i="437"/>
  <c r="S458" i="437"/>
  <c r="R458" i="437"/>
  <c r="U458" i="437" s="1"/>
  <c r="AC456" i="437"/>
  <c r="S456" i="437"/>
  <c r="R456" i="437"/>
  <c r="U456" i="437" s="1"/>
  <c r="AC455" i="437"/>
  <c r="S455" i="437"/>
  <c r="R455" i="437"/>
  <c r="U455" i="437" s="1"/>
  <c r="AC454" i="437"/>
  <c r="S454" i="437"/>
  <c r="R454" i="437"/>
  <c r="U454" i="437" s="1"/>
  <c r="AC453" i="437"/>
  <c r="S453" i="437"/>
  <c r="R453" i="437"/>
  <c r="U453" i="437" s="1"/>
  <c r="AC452" i="437"/>
  <c r="S452" i="437"/>
  <c r="R452" i="437"/>
  <c r="U452" i="437" s="1"/>
  <c r="AC451" i="437"/>
  <c r="S451" i="437"/>
  <c r="R451" i="437"/>
  <c r="U451" i="437" s="1"/>
  <c r="AC450" i="437"/>
  <c r="S450" i="437"/>
  <c r="R450" i="437"/>
  <c r="U450" i="437" s="1"/>
  <c r="AC449" i="437"/>
  <c r="S449" i="437"/>
  <c r="R449" i="437"/>
  <c r="U449" i="437" s="1"/>
  <c r="AC448" i="437"/>
  <c r="S448" i="437"/>
  <c r="R448" i="437"/>
  <c r="U448" i="437" s="1"/>
  <c r="AC447" i="437"/>
  <c r="S447" i="437"/>
  <c r="R447" i="437"/>
  <c r="U447" i="437" s="1"/>
  <c r="AC446" i="437"/>
  <c r="S446" i="437"/>
  <c r="R446" i="437"/>
  <c r="U446" i="437" s="1"/>
  <c r="AC445" i="437"/>
  <c r="S445" i="437"/>
  <c r="R445" i="437"/>
  <c r="U445" i="437" s="1"/>
  <c r="AC444" i="437"/>
  <c r="S444" i="437"/>
  <c r="R444" i="437"/>
  <c r="U444" i="437" s="1"/>
  <c r="AC442" i="437"/>
  <c r="S442" i="437"/>
  <c r="R442" i="437"/>
  <c r="U442" i="437" s="1"/>
  <c r="AC441" i="437"/>
  <c r="S441" i="437"/>
  <c r="R441" i="437"/>
  <c r="U441" i="437" s="1"/>
  <c r="AC440" i="437"/>
  <c r="S440" i="437"/>
  <c r="R440" i="437"/>
  <c r="U440" i="437" s="1"/>
  <c r="AC439" i="437"/>
  <c r="S439" i="437"/>
  <c r="R439" i="437"/>
  <c r="U439" i="437" s="1"/>
  <c r="AC438" i="437"/>
  <c r="S438" i="437"/>
  <c r="R438" i="437"/>
  <c r="U438" i="437" s="1"/>
  <c r="AC437" i="437"/>
  <c r="S437" i="437"/>
  <c r="R437" i="437"/>
  <c r="U437" i="437" s="1"/>
  <c r="AC436" i="437"/>
  <c r="S436" i="437"/>
  <c r="R436" i="437"/>
  <c r="U436" i="437" s="1"/>
  <c r="AC435" i="437"/>
  <c r="S435" i="437"/>
  <c r="R435" i="437"/>
  <c r="U435" i="437" s="1"/>
  <c r="AC434" i="437"/>
  <c r="S434" i="437"/>
  <c r="R434" i="437"/>
  <c r="U434" i="437" s="1"/>
  <c r="AC433" i="437"/>
  <c r="S433" i="437"/>
  <c r="R433" i="437"/>
  <c r="U433" i="437" s="1"/>
  <c r="AC432" i="437"/>
  <c r="S432" i="437"/>
  <c r="R432" i="437"/>
  <c r="U432" i="437" s="1"/>
  <c r="AC431" i="437"/>
  <c r="S431" i="437"/>
  <c r="R431" i="437"/>
  <c r="U431" i="437" s="1"/>
  <c r="AC430" i="437"/>
  <c r="S430" i="437"/>
  <c r="R430" i="437"/>
  <c r="U430" i="437" s="1"/>
  <c r="AC428" i="437"/>
  <c r="S428" i="437"/>
  <c r="R428" i="437"/>
  <c r="U428" i="437" s="1"/>
  <c r="AC427" i="437"/>
  <c r="S427" i="437"/>
  <c r="R427" i="437"/>
  <c r="U427" i="437" s="1"/>
  <c r="AC426" i="437"/>
  <c r="S426" i="437"/>
  <c r="R426" i="437"/>
  <c r="U426" i="437" s="1"/>
  <c r="AC425" i="437"/>
  <c r="S425" i="437"/>
  <c r="R425" i="437"/>
  <c r="U425" i="437" s="1"/>
  <c r="AC424" i="437"/>
  <c r="S424" i="437"/>
  <c r="R424" i="437"/>
  <c r="U424" i="437" s="1"/>
  <c r="AC423" i="437"/>
  <c r="S423" i="437"/>
  <c r="R423" i="437"/>
  <c r="U423" i="437" s="1"/>
  <c r="AC422" i="437"/>
  <c r="S422" i="437"/>
  <c r="R422" i="437"/>
  <c r="U422" i="437" s="1"/>
  <c r="AC421" i="437"/>
  <c r="S421" i="437"/>
  <c r="R421" i="437"/>
  <c r="U421" i="437" s="1"/>
  <c r="AC420" i="437"/>
  <c r="S420" i="437"/>
  <c r="R420" i="437"/>
  <c r="U420" i="437" s="1"/>
  <c r="AC419" i="437"/>
  <c r="S419" i="437"/>
  <c r="R419" i="437"/>
  <c r="U419" i="437" s="1"/>
  <c r="AC418" i="437"/>
  <c r="S418" i="437"/>
  <c r="R418" i="437"/>
  <c r="U418" i="437" s="1"/>
  <c r="AC416" i="437"/>
  <c r="S416" i="437"/>
  <c r="R416" i="437"/>
  <c r="U416" i="437" s="1"/>
  <c r="AC415" i="437"/>
  <c r="S415" i="437"/>
  <c r="R415" i="437"/>
  <c r="U415" i="437" s="1"/>
  <c r="AC414" i="437"/>
  <c r="S414" i="437"/>
  <c r="R414" i="437"/>
  <c r="U414" i="437" s="1"/>
  <c r="AC413" i="437"/>
  <c r="S413" i="437"/>
  <c r="R413" i="437"/>
  <c r="U413" i="437" s="1"/>
  <c r="AC412" i="437"/>
  <c r="S412" i="437"/>
  <c r="R412" i="437"/>
  <c r="U412" i="437" s="1"/>
  <c r="AC411" i="437"/>
  <c r="S411" i="437"/>
  <c r="R411" i="437"/>
  <c r="U411" i="437" s="1"/>
  <c r="AC410" i="437"/>
  <c r="S410" i="437"/>
  <c r="R410" i="437"/>
  <c r="U410" i="437" s="1"/>
  <c r="AC409" i="437"/>
  <c r="S409" i="437"/>
  <c r="R409" i="437"/>
  <c r="U409" i="437" s="1"/>
  <c r="AC408" i="437"/>
  <c r="S408" i="437"/>
  <c r="R408" i="437"/>
  <c r="U408" i="437" s="1"/>
  <c r="AC407" i="437"/>
  <c r="S407" i="437"/>
  <c r="R407" i="437"/>
  <c r="U407" i="437" s="1"/>
  <c r="AC406" i="437"/>
  <c r="S406" i="437"/>
  <c r="R406" i="437"/>
  <c r="U406" i="437" s="1"/>
  <c r="AC405" i="437"/>
  <c r="S405" i="437"/>
  <c r="R405" i="437"/>
  <c r="U405" i="437" s="1"/>
  <c r="AC404" i="437"/>
  <c r="S404" i="437"/>
  <c r="R404" i="437"/>
  <c r="U404" i="437" s="1"/>
  <c r="AC403" i="437"/>
  <c r="S403" i="437"/>
  <c r="R403" i="437"/>
  <c r="U403" i="437" s="1"/>
  <c r="AC401" i="437"/>
  <c r="S401" i="437"/>
  <c r="R401" i="437"/>
  <c r="U401" i="437" s="1"/>
  <c r="AC400" i="437"/>
  <c r="S400" i="437"/>
  <c r="R400" i="437"/>
  <c r="U400" i="437" s="1"/>
  <c r="AC399" i="437"/>
  <c r="S399" i="437"/>
  <c r="R399" i="437"/>
  <c r="U399" i="437" s="1"/>
  <c r="AC398" i="437"/>
  <c r="S398" i="437"/>
  <c r="R398" i="437"/>
  <c r="U398" i="437" s="1"/>
  <c r="AC397" i="437"/>
  <c r="S397" i="437"/>
  <c r="R397" i="437"/>
  <c r="U397" i="437" s="1"/>
  <c r="AC396" i="437"/>
  <c r="S396" i="437"/>
  <c r="R396" i="437"/>
  <c r="U396" i="437" s="1"/>
  <c r="AC395" i="437"/>
  <c r="S395" i="437"/>
  <c r="R395" i="437"/>
  <c r="U395" i="437" s="1"/>
  <c r="AC394" i="437"/>
  <c r="S394" i="437"/>
  <c r="R394" i="437"/>
  <c r="U394" i="437" s="1"/>
  <c r="AC393" i="437"/>
  <c r="S393" i="437"/>
  <c r="R393" i="437"/>
  <c r="U393" i="437" s="1"/>
  <c r="AC392" i="437"/>
  <c r="S392" i="437"/>
  <c r="R392" i="437"/>
  <c r="U392" i="437" s="1"/>
  <c r="AC391" i="437"/>
  <c r="S391" i="437"/>
  <c r="R391" i="437"/>
  <c r="U391" i="437" s="1"/>
  <c r="AC390" i="437"/>
  <c r="S390" i="437"/>
  <c r="R390" i="437"/>
  <c r="U390" i="437" s="1"/>
  <c r="AC389" i="437"/>
  <c r="S389" i="437"/>
  <c r="R389" i="437"/>
  <c r="U389" i="437" s="1"/>
  <c r="AC387" i="437"/>
  <c r="S387" i="437"/>
  <c r="R387" i="437"/>
  <c r="U387" i="437" s="1"/>
  <c r="AC386" i="437"/>
  <c r="S386" i="437"/>
  <c r="R386" i="437"/>
  <c r="U386" i="437" s="1"/>
  <c r="AC385" i="437"/>
  <c r="S385" i="437"/>
  <c r="R385" i="437"/>
  <c r="U385" i="437" s="1"/>
  <c r="AC384" i="437"/>
  <c r="S384" i="437"/>
  <c r="R384" i="437"/>
  <c r="U384" i="437" s="1"/>
  <c r="AC383" i="437"/>
  <c r="S383" i="437"/>
  <c r="R383" i="437"/>
  <c r="U383" i="437" s="1"/>
  <c r="AC382" i="437"/>
  <c r="S382" i="437"/>
  <c r="R382" i="437"/>
  <c r="U382" i="437" s="1"/>
  <c r="AC381" i="437"/>
  <c r="S381" i="437"/>
  <c r="R381" i="437"/>
  <c r="U381" i="437" s="1"/>
  <c r="AC380" i="437"/>
  <c r="S380" i="437"/>
  <c r="R380" i="437"/>
  <c r="U380" i="437" s="1"/>
  <c r="AC379" i="437"/>
  <c r="S379" i="437"/>
  <c r="R379" i="437"/>
  <c r="U379" i="437" s="1"/>
  <c r="AC378" i="437"/>
  <c r="S378" i="437"/>
  <c r="R378" i="437"/>
  <c r="U378" i="437" s="1"/>
  <c r="AC377" i="437"/>
  <c r="S377" i="437"/>
  <c r="R377" i="437"/>
  <c r="U377" i="437" s="1"/>
  <c r="AC376" i="437"/>
  <c r="S376" i="437"/>
  <c r="R376" i="437"/>
  <c r="U376" i="437" s="1"/>
  <c r="AC375" i="437"/>
  <c r="S375" i="437"/>
  <c r="R375" i="437"/>
  <c r="U375" i="437" s="1"/>
  <c r="AC373" i="437"/>
  <c r="S373" i="437"/>
  <c r="R373" i="437"/>
  <c r="U373" i="437" s="1"/>
  <c r="AC372" i="437"/>
  <c r="S372" i="437"/>
  <c r="R372" i="437"/>
  <c r="U372" i="437" s="1"/>
  <c r="AC371" i="437"/>
  <c r="S371" i="437"/>
  <c r="R371" i="437"/>
  <c r="U371" i="437" s="1"/>
  <c r="AC370" i="437"/>
  <c r="S370" i="437"/>
  <c r="R370" i="437"/>
  <c r="U370" i="437" s="1"/>
  <c r="AC369" i="437"/>
  <c r="S369" i="437"/>
  <c r="R369" i="437"/>
  <c r="U369" i="437" s="1"/>
  <c r="AC368" i="437"/>
  <c r="S368" i="437"/>
  <c r="R368" i="437"/>
  <c r="U368" i="437" s="1"/>
  <c r="AC367" i="437"/>
  <c r="S367" i="437"/>
  <c r="R367" i="437"/>
  <c r="U367" i="437" s="1"/>
  <c r="AC366" i="437"/>
  <c r="S366" i="437"/>
  <c r="R366" i="437"/>
  <c r="U366" i="437" s="1"/>
  <c r="AC365" i="437"/>
  <c r="S365" i="437"/>
  <c r="R365" i="437"/>
  <c r="U365" i="437" s="1"/>
  <c r="AC364" i="437"/>
  <c r="S364" i="437"/>
  <c r="R364" i="437"/>
  <c r="U364" i="437" s="1"/>
  <c r="AC363" i="437"/>
  <c r="S363" i="437"/>
  <c r="R363" i="437"/>
  <c r="U363" i="437" s="1"/>
  <c r="AC362" i="437"/>
  <c r="S362" i="437"/>
  <c r="R362" i="437"/>
  <c r="U362" i="437" s="1"/>
  <c r="AC360" i="437"/>
  <c r="S360" i="437"/>
  <c r="R360" i="437"/>
  <c r="U360" i="437" s="1"/>
  <c r="AC359" i="437"/>
  <c r="S359" i="437"/>
  <c r="R359" i="437"/>
  <c r="U359" i="437" s="1"/>
  <c r="AC358" i="437"/>
  <c r="S358" i="437"/>
  <c r="R358" i="437"/>
  <c r="U358" i="437" s="1"/>
  <c r="AC357" i="437"/>
  <c r="S357" i="437"/>
  <c r="R357" i="437"/>
  <c r="U357" i="437" s="1"/>
  <c r="AC356" i="437"/>
  <c r="S356" i="437"/>
  <c r="R356" i="437"/>
  <c r="U356" i="437" s="1"/>
  <c r="AC355" i="437"/>
  <c r="S355" i="437"/>
  <c r="R355" i="437"/>
  <c r="U355" i="437" s="1"/>
  <c r="AC354" i="437"/>
  <c r="S354" i="437"/>
  <c r="R354" i="437"/>
  <c r="U354" i="437" s="1"/>
  <c r="AC353" i="437"/>
  <c r="S353" i="437"/>
  <c r="R353" i="437"/>
  <c r="U353" i="437" s="1"/>
  <c r="AC352" i="437"/>
  <c r="S352" i="437"/>
  <c r="R352" i="437"/>
  <c r="U352" i="437" s="1"/>
  <c r="AC351" i="437"/>
  <c r="S351" i="437"/>
  <c r="R351" i="437"/>
  <c r="U351" i="437" s="1"/>
  <c r="AC349" i="437"/>
  <c r="S349" i="437"/>
  <c r="R349" i="437"/>
  <c r="U349" i="437" s="1"/>
  <c r="AC348" i="437"/>
  <c r="S348" i="437"/>
  <c r="R348" i="437"/>
  <c r="U348" i="437" s="1"/>
  <c r="AC347" i="437"/>
  <c r="S347" i="437"/>
  <c r="R347" i="437"/>
  <c r="U347" i="437" s="1"/>
  <c r="AC346" i="437"/>
  <c r="S346" i="437"/>
  <c r="R346" i="437"/>
  <c r="U346" i="437" s="1"/>
  <c r="AC345" i="437"/>
  <c r="S345" i="437"/>
  <c r="R345" i="437"/>
  <c r="U345" i="437" s="1"/>
  <c r="AC344" i="437"/>
  <c r="S344" i="437"/>
  <c r="R344" i="437"/>
  <c r="U344" i="437" s="1"/>
  <c r="AC343" i="437"/>
  <c r="S343" i="437"/>
  <c r="R343" i="437"/>
  <c r="U343" i="437" s="1"/>
  <c r="AC342" i="437"/>
  <c r="S342" i="437"/>
  <c r="R342" i="437"/>
  <c r="U342" i="437" s="1"/>
  <c r="AC341" i="437"/>
  <c r="S341" i="437"/>
  <c r="R341" i="437"/>
  <c r="U341" i="437" s="1"/>
  <c r="AC340" i="437"/>
  <c r="S340" i="437"/>
  <c r="R340" i="437"/>
  <c r="U340" i="437" s="1"/>
  <c r="AC339" i="437"/>
  <c r="S339" i="437"/>
  <c r="R339" i="437"/>
  <c r="U339" i="437" s="1"/>
  <c r="S338" i="437"/>
  <c r="R338" i="437"/>
  <c r="U338" i="437" s="1"/>
  <c r="AJ333" i="437" l="1"/>
  <c r="AJ329" i="437"/>
  <c r="AJ327" i="437"/>
  <c r="AJ326" i="437"/>
  <c r="AJ322" i="437"/>
  <c r="AJ320" i="437"/>
  <c r="AJ319" i="437"/>
  <c r="AJ318" i="437"/>
  <c r="AJ317" i="437"/>
  <c r="AJ316" i="437"/>
  <c r="AJ315" i="437"/>
  <c r="AJ314" i="437"/>
  <c r="AJ313" i="437"/>
  <c r="AJ312" i="437"/>
  <c r="AJ311" i="437"/>
  <c r="AJ310" i="437"/>
  <c r="AJ309" i="437"/>
  <c r="AJ308" i="437"/>
  <c r="AJ307" i="437"/>
  <c r="AJ304" i="437"/>
  <c r="AJ303" i="437"/>
  <c r="AJ302" i="437"/>
  <c r="AJ301" i="437"/>
  <c r="AJ300" i="437"/>
  <c r="AJ299" i="437"/>
  <c r="AJ298" i="437"/>
  <c r="AJ297" i="437"/>
  <c r="AJ296" i="437"/>
  <c r="AJ295" i="437"/>
  <c r="AJ294" i="437"/>
  <c r="AJ293" i="437"/>
  <c r="AJ292" i="437"/>
  <c r="AJ291" i="437"/>
  <c r="AJ290" i="437"/>
  <c r="AJ289" i="437"/>
  <c r="AJ288" i="437"/>
  <c r="AJ287" i="437"/>
  <c r="AJ286" i="437"/>
  <c r="AJ285" i="437"/>
  <c r="AJ284" i="437"/>
  <c r="AJ283" i="437"/>
  <c r="AJ282" i="437"/>
  <c r="AJ281" i="437"/>
  <c r="AJ280" i="437"/>
  <c r="AJ279" i="437"/>
  <c r="AJ278" i="437"/>
  <c r="AJ277" i="437"/>
  <c r="AJ276" i="437"/>
  <c r="AJ275" i="437"/>
  <c r="AJ274" i="437"/>
  <c r="AJ273" i="437"/>
  <c r="AJ272" i="437"/>
  <c r="AJ271" i="437"/>
  <c r="AJ270" i="437"/>
  <c r="AJ269" i="437"/>
  <c r="AJ268" i="437"/>
  <c r="AJ267" i="437"/>
  <c r="AJ266" i="437"/>
  <c r="AJ265" i="437"/>
  <c r="AJ264" i="437"/>
  <c r="AJ263" i="437"/>
  <c r="AJ261" i="437"/>
  <c r="AJ260" i="437"/>
  <c r="AJ259" i="437"/>
  <c r="AJ258" i="437"/>
  <c r="AJ257" i="437"/>
  <c r="AJ256" i="437"/>
  <c r="AJ255" i="437"/>
  <c r="AJ253" i="437"/>
  <c r="AJ252" i="437"/>
  <c r="AJ251" i="437"/>
  <c r="AJ250" i="437"/>
  <c r="AJ249" i="437"/>
  <c r="AJ248" i="437"/>
  <c r="AJ247" i="437"/>
  <c r="AJ246" i="437"/>
  <c r="AJ245" i="437"/>
  <c r="AJ244" i="437"/>
  <c r="AJ243" i="437"/>
  <c r="AJ242" i="437"/>
  <c r="AJ241" i="437"/>
  <c r="AJ240" i="437"/>
  <c r="AJ239" i="437"/>
  <c r="AJ238" i="437"/>
  <c r="AJ237" i="437"/>
  <c r="AJ236" i="437"/>
  <c r="AJ235" i="437"/>
  <c r="AJ234" i="437"/>
  <c r="AJ233" i="437"/>
  <c r="AJ232" i="437"/>
  <c r="AJ231" i="437"/>
  <c r="AJ230" i="437"/>
  <c r="AJ229" i="437"/>
  <c r="AJ228" i="437"/>
  <c r="AJ227" i="437"/>
  <c r="AJ226" i="437"/>
  <c r="AJ225" i="437"/>
  <c r="AJ224" i="437"/>
  <c r="AJ223" i="437"/>
  <c r="AJ222" i="437"/>
  <c r="AJ221" i="437"/>
  <c r="AJ220" i="437"/>
  <c r="AJ219" i="437"/>
  <c r="AJ218" i="437"/>
  <c r="AJ217" i="437"/>
  <c r="AJ216" i="437"/>
  <c r="AJ215" i="437"/>
  <c r="AJ214" i="437"/>
  <c r="AJ209" i="437"/>
  <c r="AJ208" i="437"/>
  <c r="AJ207" i="437"/>
  <c r="AJ206" i="437"/>
  <c r="AJ205" i="437"/>
  <c r="AJ204" i="437"/>
  <c r="AJ203" i="437"/>
  <c r="AJ202" i="437"/>
  <c r="AJ201" i="437"/>
  <c r="AJ200" i="437"/>
  <c r="AJ199" i="437"/>
  <c r="AJ198" i="437"/>
  <c r="AJ197" i="437"/>
  <c r="AJ196" i="437"/>
  <c r="AJ195" i="437"/>
  <c r="AJ194" i="437"/>
  <c r="AJ193" i="437"/>
  <c r="AJ192" i="437"/>
  <c r="AJ191" i="437"/>
  <c r="AJ188" i="437"/>
  <c r="AJ187" i="437"/>
  <c r="AJ186" i="437"/>
  <c r="AJ184" i="437"/>
  <c r="AJ183" i="437"/>
  <c r="AJ182" i="437"/>
  <c r="AJ181" i="437"/>
  <c r="AJ180" i="437"/>
  <c r="AJ179" i="437"/>
  <c r="AJ178" i="437"/>
  <c r="AJ177" i="437"/>
  <c r="AJ176" i="437"/>
  <c r="AJ175" i="437"/>
  <c r="AJ174" i="437"/>
  <c r="AJ173" i="437"/>
  <c r="AJ172" i="437"/>
  <c r="AJ170" i="437"/>
  <c r="AJ168" i="437"/>
  <c r="AJ167" i="437"/>
  <c r="AJ166" i="437"/>
  <c r="AJ165" i="437"/>
  <c r="AJ164" i="437"/>
  <c r="AJ163" i="437"/>
  <c r="AJ162" i="437"/>
  <c r="AJ161" i="437"/>
  <c r="AJ160" i="437"/>
  <c r="AJ158" i="437"/>
  <c r="AJ157" i="437"/>
  <c r="AJ156" i="437"/>
  <c r="AJ154" i="437"/>
  <c r="AJ153" i="437"/>
  <c r="AJ152" i="437"/>
  <c r="AJ151" i="437"/>
  <c r="AJ150" i="437"/>
  <c r="AJ149" i="437"/>
  <c r="AJ148" i="437"/>
  <c r="AJ147" i="437"/>
  <c r="AJ146" i="437"/>
  <c r="AJ145" i="437"/>
  <c r="AJ144" i="437"/>
  <c r="AJ143" i="437"/>
  <c r="AJ142" i="437"/>
  <c r="AJ141" i="437"/>
  <c r="AJ140" i="437"/>
  <c r="AJ139" i="437"/>
  <c r="AJ138" i="437"/>
  <c r="AJ137" i="437"/>
  <c r="AJ136" i="437"/>
  <c r="AJ135" i="437"/>
  <c r="AJ134" i="437"/>
  <c r="AJ133" i="437"/>
  <c r="AJ132" i="437"/>
  <c r="AJ131" i="437"/>
  <c r="AJ130" i="437"/>
  <c r="AJ129" i="437"/>
  <c r="AJ128" i="437"/>
  <c r="AJ127" i="437"/>
  <c r="AJ126" i="437"/>
  <c r="AJ125" i="437"/>
  <c r="AJ124" i="437"/>
  <c r="AJ123" i="437"/>
  <c r="AJ122" i="437"/>
  <c r="AJ121" i="437"/>
  <c r="AJ120" i="437"/>
  <c r="AJ119" i="437"/>
  <c r="AJ118" i="437"/>
  <c r="AJ117" i="437"/>
  <c r="AJ116" i="437"/>
  <c r="AJ115" i="437"/>
  <c r="AJ114" i="437"/>
  <c r="AJ113" i="437"/>
  <c r="AJ112" i="437"/>
  <c r="AJ111" i="437"/>
  <c r="AJ110" i="437"/>
  <c r="AJ109" i="437"/>
  <c r="AJ108" i="437"/>
  <c r="AJ107" i="437"/>
  <c r="AJ106" i="437"/>
  <c r="AJ105" i="437"/>
  <c r="AJ104" i="437"/>
  <c r="AJ103" i="437"/>
  <c r="AJ102" i="437"/>
  <c r="AJ101" i="437"/>
  <c r="AJ100" i="437"/>
  <c r="AJ98" i="437"/>
  <c r="AJ97" i="437"/>
  <c r="AJ96" i="437"/>
  <c r="AJ95" i="437"/>
  <c r="AJ94" i="437"/>
  <c r="AJ93" i="437"/>
  <c r="AJ92" i="437"/>
  <c r="AJ91" i="437"/>
  <c r="AJ90" i="437"/>
  <c r="AJ89" i="437"/>
  <c r="AJ88" i="437"/>
  <c r="AJ87" i="437"/>
  <c r="AJ86" i="437"/>
  <c r="AJ85" i="437"/>
  <c r="AJ84" i="437"/>
  <c r="AJ83" i="437"/>
  <c r="AJ82" i="437"/>
  <c r="AJ81" i="437"/>
  <c r="AJ80" i="437"/>
  <c r="AJ79" i="437"/>
  <c r="AJ78" i="437"/>
  <c r="AJ77" i="437"/>
  <c r="AJ76" i="437"/>
  <c r="AJ75" i="437"/>
  <c r="AJ74" i="437"/>
  <c r="AJ73" i="437"/>
  <c r="AJ72" i="437"/>
  <c r="AJ71" i="437"/>
  <c r="AJ70" i="437"/>
  <c r="AJ69" i="437"/>
  <c r="AJ68" i="437"/>
  <c r="AJ67" i="437"/>
  <c r="AJ66" i="437"/>
  <c r="AJ65" i="437"/>
  <c r="AJ64" i="437"/>
  <c r="AJ63" i="437"/>
  <c r="AJ62" i="437"/>
  <c r="AJ61" i="437"/>
  <c r="AJ60" i="437"/>
  <c r="AJ59" i="437"/>
  <c r="AJ58" i="437"/>
  <c r="AJ57" i="437"/>
  <c r="AJ56" i="437"/>
  <c r="AJ55" i="437"/>
  <c r="AJ54" i="437"/>
  <c r="AJ53" i="437"/>
  <c r="AJ52" i="437"/>
  <c r="AJ51" i="437"/>
  <c r="AJ50" i="437"/>
  <c r="AJ49" i="437"/>
  <c r="AJ48" i="437"/>
  <c r="AJ47" i="437"/>
  <c r="AJ46" i="437"/>
  <c r="AJ45" i="437"/>
  <c r="AJ44" i="437"/>
  <c r="AJ43" i="437"/>
  <c r="AJ42" i="437"/>
  <c r="AJ41" i="437"/>
  <c r="AJ40" i="437"/>
  <c r="AJ39" i="437"/>
  <c r="AJ38" i="437"/>
  <c r="AJ37" i="437"/>
  <c r="AJ36" i="437"/>
  <c r="AJ35" i="437"/>
  <c r="AJ34" i="437"/>
  <c r="AJ33" i="437"/>
  <c r="AJ32" i="437"/>
  <c r="AJ31" i="437"/>
  <c r="AJ30" i="437"/>
  <c r="AJ29" i="437"/>
  <c r="AJ28" i="437"/>
  <c r="AJ27" i="437"/>
  <c r="AJ26" i="437"/>
  <c r="AJ25" i="437"/>
  <c r="AJ24" i="437"/>
  <c r="AJ23" i="437"/>
  <c r="AJ22" i="437"/>
  <c r="AJ20" i="437"/>
  <c r="AJ19" i="437"/>
  <c r="AJ18" i="437"/>
  <c r="AJ17" i="437"/>
  <c r="AJ16" i="437"/>
  <c r="AJ15" i="437"/>
  <c r="AJ14" i="437"/>
  <c r="AJ13" i="437"/>
  <c r="AJ12" i="437"/>
  <c r="AJ11" i="437"/>
  <c r="AJ10" i="437"/>
  <c r="AJ9" i="437"/>
  <c r="AJ8" i="437"/>
  <c r="AJ6" i="437"/>
  <c r="AJ5" i="437"/>
  <c r="AJ4" i="437"/>
  <c r="AC204" i="437"/>
  <c r="AC203" i="437"/>
  <c r="AC202" i="437"/>
  <c r="AC201" i="437"/>
  <c r="AC200" i="437"/>
  <c r="AC199" i="437"/>
  <c r="S184" i="437"/>
  <c r="S199" i="437"/>
  <c r="R199" i="437"/>
  <c r="U199" i="437" s="1"/>
  <c r="S205" i="437"/>
  <c r="R205" i="437"/>
  <c r="U205" i="437" s="1"/>
  <c r="AC170" i="437"/>
  <c r="R169" i="437"/>
  <c r="AC333" i="437"/>
  <c r="AC329" i="437"/>
  <c r="AC327" i="437"/>
  <c r="AC326" i="437"/>
  <c r="AC322" i="437"/>
  <c r="AC320" i="437"/>
  <c r="AC318" i="437"/>
  <c r="AC317" i="437"/>
  <c r="AC316" i="437"/>
  <c r="AC315" i="437"/>
  <c r="AC314" i="437"/>
  <c r="AC313" i="437"/>
  <c r="AC312" i="437"/>
  <c r="AC311" i="437"/>
  <c r="AC310" i="437"/>
  <c r="AC309" i="437"/>
  <c r="AC308" i="437"/>
  <c r="AC307" i="437"/>
  <c r="AC303" i="437"/>
  <c r="AC302" i="437"/>
  <c r="AC301" i="437"/>
  <c r="AC300" i="437"/>
  <c r="AC299" i="437"/>
  <c r="AC298" i="437"/>
  <c r="AC297" i="437"/>
  <c r="AC296" i="437"/>
  <c r="AC295" i="437"/>
  <c r="AC294" i="437"/>
  <c r="AC293" i="437"/>
  <c r="AC292" i="437"/>
  <c r="AC291" i="437"/>
  <c r="AC290" i="437"/>
  <c r="AC288" i="437"/>
  <c r="AC287" i="437"/>
  <c r="AC286" i="437"/>
  <c r="AC285" i="437"/>
  <c r="AC284" i="437"/>
  <c r="AC283" i="437"/>
  <c r="AC282" i="437"/>
  <c r="AC281" i="437"/>
  <c r="AC280" i="437"/>
  <c r="AC279" i="437"/>
  <c r="AC278" i="437"/>
  <c r="AC277" i="437"/>
  <c r="AC276" i="437"/>
  <c r="AC275" i="437"/>
  <c r="AC273" i="437"/>
  <c r="AC272" i="437"/>
  <c r="AC271" i="437"/>
  <c r="AC270" i="437"/>
  <c r="AC269" i="437"/>
  <c r="AC268" i="437"/>
  <c r="AC267" i="437"/>
  <c r="AC266" i="437"/>
  <c r="AC265" i="437"/>
  <c r="AC264" i="437"/>
  <c r="AC263" i="437"/>
  <c r="AC261" i="437"/>
  <c r="AC260" i="437"/>
  <c r="AC258" i="437"/>
  <c r="AC257" i="437"/>
  <c r="AC256" i="437"/>
  <c r="AC255" i="437"/>
  <c r="AC253" i="437"/>
  <c r="AC252" i="437"/>
  <c r="AC251" i="437"/>
  <c r="AC250" i="437"/>
  <c r="AC249" i="437"/>
  <c r="AC248" i="437"/>
  <c r="AC247" i="437"/>
  <c r="AC246" i="437"/>
  <c r="AC245" i="437"/>
  <c r="AC243" i="437"/>
  <c r="AC242" i="437"/>
  <c r="AC241" i="437"/>
  <c r="AC240" i="437"/>
  <c r="AC239" i="437"/>
  <c r="AC238" i="437"/>
  <c r="AC237" i="437"/>
  <c r="AC236" i="437"/>
  <c r="AC235" i="437"/>
  <c r="AC234" i="437"/>
  <c r="AC233" i="437"/>
  <c r="AC232" i="437"/>
  <c r="AC231" i="437"/>
  <c r="AC230" i="437"/>
  <c r="AC228" i="437"/>
  <c r="AC227" i="437"/>
  <c r="AC226" i="437"/>
  <c r="AC225" i="437"/>
  <c r="AC224" i="437"/>
  <c r="AC223" i="437"/>
  <c r="AC222" i="437"/>
  <c r="AC221" i="437"/>
  <c r="AC220" i="437"/>
  <c r="AC219" i="437"/>
  <c r="AC218" i="437"/>
  <c r="AC217" i="437"/>
  <c r="AC216" i="437"/>
  <c r="AC213" i="437"/>
  <c r="AC211" i="437"/>
  <c r="AC210" i="437"/>
  <c r="AC209" i="437"/>
  <c r="AC208" i="437"/>
  <c r="AC207" i="437"/>
  <c r="AC206" i="437"/>
  <c r="AC205" i="437"/>
  <c r="AC198" i="437"/>
  <c r="AC197" i="437"/>
  <c r="AC196" i="437"/>
  <c r="AC195" i="437"/>
  <c r="AC194" i="437"/>
  <c r="AC193" i="437"/>
  <c r="AC192" i="437"/>
  <c r="AC191" i="437"/>
  <c r="AC188" i="437"/>
  <c r="AC187" i="437"/>
  <c r="AC186" i="437"/>
  <c r="AC183" i="437"/>
  <c r="AC182" i="437"/>
  <c r="AC181" i="437"/>
  <c r="AC180" i="437"/>
  <c r="AC179" i="437"/>
  <c r="AC178" i="437"/>
  <c r="AC177" i="437"/>
  <c r="AC176" i="437"/>
  <c r="AC175" i="437"/>
  <c r="AC174" i="437"/>
  <c r="AC173" i="437"/>
  <c r="AC172" i="437"/>
  <c r="AC168" i="437"/>
  <c r="AC167" i="437"/>
  <c r="AC166" i="437"/>
  <c r="AC165" i="437"/>
  <c r="AC164" i="437"/>
  <c r="AC163" i="437"/>
  <c r="AC162" i="437"/>
  <c r="AC161" i="437"/>
  <c r="AC160" i="437"/>
  <c r="AC158" i="437"/>
  <c r="AC157" i="437"/>
  <c r="AC156" i="437"/>
  <c r="AC153" i="437"/>
  <c r="AC152" i="437"/>
  <c r="AC151" i="437"/>
  <c r="AC150" i="437"/>
  <c r="AC149" i="437"/>
  <c r="AC148" i="437"/>
  <c r="AC147" i="437"/>
  <c r="AC146" i="437"/>
  <c r="AC145" i="437"/>
  <c r="AC144" i="437"/>
  <c r="AC143" i="437"/>
  <c r="AC142" i="437"/>
  <c r="AC141" i="437"/>
  <c r="AC140" i="437"/>
  <c r="AC138" i="437"/>
  <c r="AC137" i="437"/>
  <c r="AC136" i="437"/>
  <c r="AC135" i="437"/>
  <c r="AC134" i="437"/>
  <c r="AC133" i="437"/>
  <c r="AC132" i="437"/>
  <c r="AC131" i="437"/>
  <c r="AC130" i="437"/>
  <c r="AC129" i="437"/>
  <c r="AC128" i="437"/>
  <c r="AC127" i="437"/>
  <c r="AC126" i="437"/>
  <c r="AC125" i="437"/>
  <c r="AC123" i="437"/>
  <c r="AC122" i="437"/>
  <c r="AC121" i="437"/>
  <c r="AC120" i="437"/>
  <c r="AC119" i="437"/>
  <c r="AC118" i="437"/>
  <c r="AC117" i="437"/>
  <c r="AC116" i="437"/>
  <c r="AC115" i="437"/>
  <c r="AC114" i="437"/>
  <c r="AC113" i="437"/>
  <c r="AC112" i="437"/>
  <c r="AC111" i="437"/>
  <c r="AC110" i="437"/>
  <c r="AC108" i="437"/>
  <c r="AC107" i="437"/>
  <c r="AC106" i="437"/>
  <c r="AC105" i="437"/>
  <c r="AC104" i="437"/>
  <c r="AC103" i="437"/>
  <c r="AC102" i="437"/>
  <c r="AC101" i="437"/>
  <c r="AC100" i="437"/>
  <c r="AC98" i="437"/>
  <c r="AC97" i="437"/>
  <c r="AC96" i="437"/>
  <c r="AC95" i="437"/>
  <c r="AC93" i="437"/>
  <c r="AC92" i="437"/>
  <c r="AC91" i="437"/>
  <c r="AC90" i="437"/>
  <c r="AC89" i="437"/>
  <c r="AC88" i="437"/>
  <c r="AC87" i="437"/>
  <c r="AC86" i="437"/>
  <c r="AC85" i="437"/>
  <c r="AC84" i="437"/>
  <c r="AC83" i="437"/>
  <c r="AC82" i="437"/>
  <c r="AC81" i="437"/>
  <c r="AC80" i="437"/>
  <c r="AC78" i="437"/>
  <c r="AC77" i="437"/>
  <c r="AC76" i="437"/>
  <c r="AC75" i="437"/>
  <c r="AC74" i="437"/>
  <c r="AC73" i="437"/>
  <c r="AC72" i="437"/>
  <c r="AC71" i="437"/>
  <c r="AC70" i="437"/>
  <c r="AC69" i="437"/>
  <c r="AC68" i="437"/>
  <c r="AC67" i="437"/>
  <c r="AC66" i="437"/>
  <c r="AC65" i="437"/>
  <c r="AC63" i="437"/>
  <c r="AC62" i="437"/>
  <c r="AC61" i="437"/>
  <c r="AC60" i="437"/>
  <c r="AC59" i="437"/>
  <c r="AC58" i="437"/>
  <c r="AC57" i="437"/>
  <c r="AC56" i="437"/>
  <c r="AC55" i="437"/>
  <c r="AC54" i="437"/>
  <c r="AC53" i="437"/>
  <c r="AC52" i="437"/>
  <c r="AC51" i="437"/>
  <c r="AC50" i="437"/>
  <c r="AC48" i="437"/>
  <c r="AC47" i="437"/>
  <c r="AC46" i="437"/>
  <c r="AC45" i="437"/>
  <c r="AC44" i="437"/>
  <c r="AC43" i="437"/>
  <c r="AC42" i="437"/>
  <c r="AC41" i="437"/>
  <c r="AC40" i="437"/>
  <c r="AC39" i="437"/>
  <c r="AC38" i="437"/>
  <c r="AC37" i="437"/>
  <c r="AC36" i="437"/>
  <c r="AC35" i="437"/>
  <c r="AC33" i="437"/>
  <c r="AC32" i="437"/>
  <c r="AC31" i="437"/>
  <c r="AC30" i="437"/>
  <c r="AC29" i="437"/>
  <c r="AC28" i="437"/>
  <c r="AC27" i="437"/>
  <c r="AC26" i="437"/>
  <c r="AC25" i="437"/>
  <c r="AC24" i="437"/>
  <c r="AC23" i="437"/>
  <c r="AC22" i="437"/>
  <c r="AC21" i="437"/>
  <c r="AC20" i="437"/>
  <c r="AC18" i="437"/>
  <c r="AC17" i="437"/>
  <c r="AC16" i="437"/>
  <c r="AC15" i="437"/>
  <c r="AC14" i="437"/>
  <c r="AC13" i="437"/>
  <c r="AC12" i="437"/>
  <c r="AC11" i="437"/>
  <c r="AC10" i="437"/>
  <c r="AC9" i="437"/>
  <c r="AC8" i="437"/>
  <c r="AC6" i="437"/>
  <c r="AC5" i="437"/>
  <c r="AC417" i="437"/>
  <c r="AC553" i="437"/>
  <c r="AC361" i="437"/>
  <c r="AC629" i="437"/>
  <c r="AC613" i="437"/>
  <c r="AC596" i="437"/>
  <c r="AC583" i="437"/>
  <c r="AC568" i="437"/>
  <c r="AC536" i="437"/>
  <c r="AC504" i="437"/>
  <c r="AC489" i="437"/>
  <c r="AC457" i="437"/>
  <c r="AC443" i="437"/>
  <c r="AC429" i="437"/>
  <c r="AC402" i="437"/>
  <c r="AC374" i="437"/>
  <c r="AC350" i="437"/>
  <c r="S629" i="437"/>
  <c r="S613" i="437"/>
  <c r="S596" i="437"/>
  <c r="S583" i="437"/>
  <c r="S568" i="437"/>
  <c r="S553" i="437"/>
  <c r="S536" i="437"/>
  <c r="S520" i="437"/>
  <c r="S504" i="437"/>
  <c r="S489" i="437"/>
  <c r="S457" i="437"/>
  <c r="S443" i="437"/>
  <c r="S429" i="437"/>
  <c r="S417" i="437"/>
  <c r="S402" i="437"/>
  <c r="S388" i="437"/>
  <c r="S374" i="437"/>
  <c r="S361" i="437"/>
  <c r="S350" i="437"/>
  <c r="S337" i="437"/>
  <c r="AC319" i="437"/>
  <c r="AC304" i="437"/>
  <c r="AC289" i="437"/>
  <c r="AC274" i="437"/>
  <c r="AC259" i="437"/>
  <c r="AC244" i="437"/>
  <c r="AC229" i="437"/>
  <c r="AC184" i="437"/>
  <c r="AC154" i="437"/>
  <c r="AC139" i="437"/>
  <c r="AC124" i="437"/>
  <c r="AC109" i="437"/>
  <c r="AC94" i="437"/>
  <c r="AC79" i="437"/>
  <c r="AC64" i="437"/>
  <c r="AC49" i="437"/>
  <c r="AC34" i="437"/>
  <c r="AC19" i="437"/>
  <c r="R19" i="437"/>
  <c r="U19" i="437" s="1"/>
  <c r="R4" i="437"/>
  <c r="U4" i="437" s="1"/>
  <c r="R644" i="437"/>
  <c r="U644" i="437" s="1"/>
  <c r="R629" i="437"/>
  <c r="U629" i="437" s="1"/>
  <c r="R613" i="437"/>
  <c r="U613" i="437" s="1"/>
  <c r="R596" i="437"/>
  <c r="U596" i="437" s="1"/>
  <c r="R583" i="437"/>
  <c r="U583" i="437" s="1"/>
  <c r="R568" i="437"/>
  <c r="U568" i="437" s="1"/>
  <c r="R553" i="437"/>
  <c r="U553" i="437" s="1"/>
  <c r="R536" i="437"/>
  <c r="U536" i="437" s="1"/>
  <c r="R520" i="437"/>
  <c r="U520" i="437" s="1"/>
  <c r="R504" i="437"/>
  <c r="U504" i="437" s="1"/>
  <c r="R489" i="437"/>
  <c r="U489" i="437" s="1"/>
  <c r="R457" i="437"/>
  <c r="U457" i="437" s="1"/>
  <c r="R443" i="437"/>
  <c r="U443" i="437" s="1"/>
  <c r="R429" i="437"/>
  <c r="U429" i="437" s="1"/>
  <c r="R417" i="437"/>
  <c r="U417" i="437" s="1"/>
  <c r="R402" i="437"/>
  <c r="U402" i="437" s="1"/>
  <c r="R388" i="437"/>
  <c r="U388" i="437" s="1"/>
  <c r="R374" i="437"/>
  <c r="U374" i="437" s="1"/>
  <c r="R361" i="437"/>
  <c r="U361" i="437" s="1"/>
  <c r="R350" i="437"/>
  <c r="U350" i="437" s="1"/>
  <c r="R337" i="437"/>
  <c r="U337" i="437" s="1"/>
  <c r="R319" i="437"/>
  <c r="U319" i="437" s="1"/>
  <c r="R304" i="437"/>
  <c r="U304" i="437" s="1"/>
  <c r="R289" i="437"/>
  <c r="U289" i="437" s="1"/>
  <c r="R274" i="437"/>
  <c r="U274" i="437" s="1"/>
  <c r="R259" i="437"/>
  <c r="U259" i="437" s="1"/>
  <c r="R244" i="437"/>
  <c r="U244" i="437" s="1"/>
  <c r="R229" i="437"/>
  <c r="U229" i="437" s="1"/>
  <c r="R214" i="437"/>
  <c r="U214" i="437" s="1"/>
  <c r="R184" i="437"/>
  <c r="U184" i="437" s="1"/>
  <c r="R170" i="437"/>
  <c r="U170" i="437" s="1"/>
  <c r="R154" i="437"/>
  <c r="U154" i="437" s="1"/>
  <c r="R139" i="437"/>
  <c r="U139" i="437" s="1"/>
  <c r="R124" i="437"/>
  <c r="U124" i="437" s="1"/>
  <c r="R109" i="437"/>
  <c r="U109" i="437" s="1"/>
  <c r="R94" i="437"/>
  <c r="U94" i="437" s="1"/>
  <c r="R79" i="437"/>
  <c r="U79" i="437" s="1"/>
  <c r="R64" i="437"/>
  <c r="U64" i="437" s="1"/>
  <c r="R49" i="437"/>
  <c r="U49" i="437" s="1"/>
  <c r="R34" i="437"/>
  <c r="U34" i="437" s="1"/>
  <c r="AC4" i="437"/>
  <c r="S319" i="437" l="1"/>
  <c r="S304" i="437"/>
  <c r="S289" i="437"/>
  <c r="S274" i="437"/>
  <c r="S259" i="437"/>
  <c r="S244" i="437"/>
  <c r="S229" i="437"/>
  <c r="S214" i="437"/>
  <c r="S170" i="437"/>
  <c r="S154" i="437"/>
  <c r="S139" i="437"/>
  <c r="S124" i="437"/>
  <c r="S109" i="437"/>
  <c r="S94" i="437"/>
  <c r="S79" i="437"/>
  <c r="S64" i="437"/>
  <c r="S49" i="437"/>
  <c r="S34" i="437"/>
  <c r="S19" i="437"/>
  <c r="AC338" i="437" l="1"/>
  <c r="AG338" i="437"/>
  <c r="AH338" i="437" s="1"/>
  <c r="AC337" i="437"/>
  <c r="AG337" i="437"/>
  <c r="AH337" i="437" s="1"/>
  <c r="AJ338" i="437" l="1"/>
  <c r="AD338" i="437"/>
  <c r="AE338" i="437" s="1"/>
  <c r="AJ337" i="437" l="1"/>
  <c r="AD337" i="437"/>
  <c r="AE337" i="437" s="1"/>
  <c r="AC647" i="437"/>
  <c r="AC657" i="437"/>
  <c r="AC653" i="437"/>
  <c r="AC649" i="437"/>
  <c r="AC646" i="437"/>
  <c r="AC656" i="437"/>
  <c r="AC652" i="437"/>
  <c r="AC648" i="437"/>
  <c r="AC645" i="437"/>
  <c r="AC655" i="437"/>
  <c r="AC651" i="437"/>
  <c r="AC654" i="437"/>
  <c r="AC650" i="437"/>
  <c r="AC520" i="437" l="1"/>
  <c r="AG520" i="437"/>
  <c r="AH520" i="437" s="1"/>
  <c r="AJ520" i="437" l="1"/>
  <c r="AD520" i="437"/>
  <c r="AE520" i="437" s="1"/>
  <c r="AC388" i="437" l="1"/>
  <c r="AG388" i="437"/>
  <c r="AH388" i="437" s="1"/>
  <c r="AJ388" i="437" l="1"/>
  <c r="AD388" i="437"/>
  <c r="AE388" i="437" s="1"/>
  <c r="AC306" i="437" l="1"/>
  <c r="AG306" i="437"/>
  <c r="AH306" i="437" s="1"/>
  <c r="AC305" i="437"/>
  <c r="AG305" i="437"/>
  <c r="AH305" i="437" s="1"/>
  <c r="AJ306" i="437" l="1"/>
  <c r="AD306" i="437"/>
  <c r="AE306" i="437" s="1"/>
  <c r="AJ305" i="437"/>
  <c r="AD305" i="437"/>
  <c r="AE305" i="437" s="1"/>
</calcChain>
</file>

<file path=xl/comments1.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B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10.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B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11.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B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12.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B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13.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B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14.xml><?xml version="1.0" encoding="utf-8"?>
<comments xmlns="http://schemas.openxmlformats.org/spreadsheetml/2006/main">
  <authors>
    <author>John Alexander Quiroga Fuquene</author>
  </authors>
  <commentList>
    <comment ref="G7" authorId="0">
      <text>
        <r>
          <rPr>
            <sz val="9"/>
            <color indexed="81"/>
            <rFont val="Tahoma"/>
            <family val="2"/>
          </rPr>
          <t xml:space="preserve">Preferiblemente el Cargo de quien tiene a cargo la gestión del riesgo (no necesariamente es quien ejecuta los controles)
</t>
        </r>
      </text>
    </comment>
    <comment ref="N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C7" authorId="0">
      <text>
        <r>
          <rPr>
            <sz val="9"/>
            <color indexed="81"/>
            <rFont val="Tahoma"/>
            <family val="2"/>
          </rPr>
          <t>Cargo, o cargos, perfiles que deben ejecutar los controles.</t>
        </r>
        <r>
          <rPr>
            <b/>
            <sz val="9"/>
            <color indexed="81"/>
            <rFont val="Tahoma"/>
            <family val="2"/>
          </rPr>
          <t xml:space="preserve">
</t>
        </r>
      </text>
    </comment>
    <comment ref="O8" authorId="0">
      <text>
        <r>
          <rPr>
            <sz val="9"/>
            <color indexed="81"/>
            <rFont val="Tahoma"/>
            <family val="2"/>
          </rPr>
          <t xml:space="preserve">Indicar el número del objetivo institucional ó estratégico que se ve afectado por el riesgo.
</t>
        </r>
      </text>
    </comment>
    <comment ref="Q8" authorId="0">
      <text>
        <r>
          <rPr>
            <sz val="9"/>
            <color indexed="81"/>
            <rFont val="Tahoma"/>
            <family val="2"/>
          </rPr>
          <t>Indicar con una X si el riesgo afecta algun producto, trámite o servicio institucional</t>
        </r>
      </text>
    </comment>
  </commentList>
</comments>
</file>

<file path=xl/comments15.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B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16.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B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17.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ítems que afecta el riesgo:
PDD: Plan de Desarrollo
OBJ: Objetivo Estratégico
SI: Seguridad de La Información
P/S: Producto, trámite o servicio.</t>
        </r>
      </text>
    </comment>
    <comment ref="AB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o estratégico que se ve afectado por el riesgo.
</t>
        </r>
      </text>
    </comment>
    <comment ref="P8" authorId="0">
      <text>
        <r>
          <rPr>
            <sz val="9"/>
            <color indexed="81"/>
            <rFont val="Tahoma"/>
            <family val="2"/>
          </rPr>
          <t>Indicar con una X si el riesgo afecta algún producto, trámite o servicio institucional</t>
        </r>
      </text>
    </comment>
  </commentList>
</comments>
</file>

<file path=xl/comments18.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B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19.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B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2.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B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20.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B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3.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ítems que afecta el riesgo:
PDD: Plan de Desarrollo
OBJ: Objetivo Estratégico
SI: Seguridad de La Información
P/S: Producto, trámite o servicio.</t>
        </r>
      </text>
    </comment>
    <comment ref="Z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o estratégico que se ve afectado por el riesgo.
</t>
        </r>
      </text>
    </comment>
    <comment ref="P8" authorId="0">
      <text>
        <r>
          <rPr>
            <sz val="9"/>
            <color indexed="81"/>
            <rFont val="Tahoma"/>
            <family val="2"/>
          </rPr>
          <t>Indicar con una X si el riesgo afecta algún producto, trámite o servicio institucional</t>
        </r>
      </text>
    </comment>
  </commentList>
</comments>
</file>

<file path=xl/comments4.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B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5.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ítems que afecta el riesgo:
PDD: Plan de Desarrollo
OBJ: Objetivo Estratégico
SI: Seguridad de La Información
P/S: Producto, trámite ó servicio.</t>
        </r>
      </text>
    </comment>
    <comment ref="AB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algún producto, trámite o servicio institucional</t>
        </r>
      </text>
    </comment>
  </commentList>
</comments>
</file>

<file path=xl/comments6.xml><?xml version="1.0" encoding="utf-8"?>
<comments xmlns="http://schemas.openxmlformats.org/spreadsheetml/2006/main">
  <authors>
    <author>John Alexander Quiroga Fuquene</author>
  </authors>
  <commentList>
    <comment ref="G7" authorId="0">
      <text>
        <r>
          <rPr>
            <sz val="9"/>
            <color indexed="81"/>
            <rFont val="Tahoma"/>
            <family val="2"/>
          </rPr>
          <t xml:space="preserve">Preferiblemente el Cargo de quien tiene a cargo la gestión del riesgo (no necesariamente es quien ejecuta los controles)
</t>
        </r>
      </text>
    </comment>
    <comment ref="N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C7" authorId="0">
      <text>
        <r>
          <rPr>
            <sz val="9"/>
            <color indexed="81"/>
            <rFont val="Tahoma"/>
            <family val="2"/>
          </rPr>
          <t>Cargo, o cargos, perfiles que deben ejecutar los controles.</t>
        </r>
        <r>
          <rPr>
            <b/>
            <sz val="9"/>
            <color indexed="81"/>
            <rFont val="Tahoma"/>
            <family val="2"/>
          </rPr>
          <t xml:space="preserve">
</t>
        </r>
      </text>
    </comment>
    <comment ref="O8" authorId="0">
      <text>
        <r>
          <rPr>
            <sz val="9"/>
            <color indexed="81"/>
            <rFont val="Tahoma"/>
            <family val="2"/>
          </rPr>
          <t xml:space="preserve">Indicar el número del objetivo institucional ó estratégico que se ve afectado por el riesgo.
</t>
        </r>
      </text>
    </comment>
    <comment ref="Q8" authorId="0">
      <text>
        <r>
          <rPr>
            <sz val="9"/>
            <color indexed="81"/>
            <rFont val="Tahoma"/>
            <family val="2"/>
          </rPr>
          <t>Indicar con una X si el riesgo afecta algun producto, trámite o servicio institucional</t>
        </r>
      </text>
    </comment>
  </commentList>
</comments>
</file>

<file path=xl/comments7.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ítems que afecta el riesgo:
PDD: Plan de Desarrollo
OBJ: Objetivo Estratégico
SI: Seguridad de La Información
P/S: Producto, trámite ó servicio.</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algún producto, trámite o servicio institucional</t>
        </r>
      </text>
    </comment>
  </commentList>
</comments>
</file>

<file path=xl/comments8.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items que afecta el riesgo:
PDD: Plan de Desarrollo
OBJ: Objetivo Estratégico
SI: Seguridad de La Información
P/S: Producto, trámite ó servicio.</t>
        </r>
      </text>
    </comment>
    <comment ref="AB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algun producto, trámite o servicio institucional</t>
        </r>
      </text>
    </comment>
  </commentList>
</comments>
</file>

<file path=xl/comments9.xml><?xml version="1.0" encoding="utf-8"?>
<comments xmlns="http://schemas.openxmlformats.org/spreadsheetml/2006/main">
  <authors>
    <author>John Alexander Quiroga Fuquene</author>
  </authors>
  <commentList>
    <comment ref="F7" authorId="0">
      <text>
        <r>
          <rPr>
            <sz val="9"/>
            <color indexed="81"/>
            <rFont val="Tahoma"/>
            <family val="2"/>
          </rPr>
          <t xml:space="preserve">Preferiblemente el Cargo de quien tiene a cargo la gestión del riesgo (no necesariamente es quien ejecuta los controles)
</t>
        </r>
      </text>
    </comment>
    <comment ref="M7" authorId="0">
      <text>
        <r>
          <rPr>
            <sz val="9"/>
            <color indexed="81"/>
            <rFont val="Tahoma"/>
            <family val="2"/>
          </rPr>
          <t>Marcar con una X el o los tipos de ítems que afecta el riesgo:
PDD: Plan de Desarrollo
OBJ: Objetivo Estratégico
SI: Seguridad de La Información
P/S: Producto, trámite ó servicio.</t>
        </r>
      </text>
    </comment>
    <comment ref="AB7" authorId="0">
      <text>
        <r>
          <rPr>
            <sz val="9"/>
            <color indexed="81"/>
            <rFont val="Tahoma"/>
            <family val="2"/>
          </rPr>
          <t>Cargo, o cargos, perfiles que deben ejecutar los controles.</t>
        </r>
        <r>
          <rPr>
            <b/>
            <sz val="9"/>
            <color indexed="81"/>
            <rFont val="Tahoma"/>
            <family val="2"/>
          </rPr>
          <t xml:space="preserve">
</t>
        </r>
      </text>
    </comment>
    <comment ref="N8" authorId="0">
      <text>
        <r>
          <rPr>
            <sz val="9"/>
            <color indexed="81"/>
            <rFont val="Tahoma"/>
            <family val="2"/>
          </rPr>
          <t xml:space="preserve">Indicar el número del objetivo institucional ó estratégico que se ve afectado por el riesgo.
</t>
        </r>
      </text>
    </comment>
    <comment ref="P8" authorId="0">
      <text>
        <r>
          <rPr>
            <sz val="9"/>
            <color indexed="81"/>
            <rFont val="Tahoma"/>
            <family val="2"/>
          </rPr>
          <t>Indicar con una X si el riesgo afecta algún producto, trámite o servicio institucional</t>
        </r>
      </text>
    </comment>
  </commentList>
</comments>
</file>

<file path=xl/sharedStrings.xml><?xml version="1.0" encoding="utf-8"?>
<sst xmlns="http://schemas.openxmlformats.org/spreadsheetml/2006/main" count="18422" uniqueCount="4291">
  <si>
    <t>RECAUDO</t>
  </si>
  <si>
    <t>Que no se encuentren disponibles los medios de pago que ofrece la entidad (pago electrónico y bancos)</t>
  </si>
  <si>
    <t>1) Quejas, reclamos, derechos de petición
2) No recepción oportuna de recursos para desarrollar la misión del IDU</t>
  </si>
  <si>
    <t>ADMINISTRACIÓN DE RECURSOS</t>
  </si>
  <si>
    <t>1) No contar con los recursos necesarios para el pago de obligaciones. 
2) Cobro de intereses de mora en los pagos
3) Quejas y reclamos de beneficiarios del pago</t>
  </si>
  <si>
    <t>PAGO A TERCEROS</t>
  </si>
  <si>
    <t>Realizar un pago diferente a lo ordenado (valor mayor, menor valor o a un tercero diferente)</t>
  </si>
  <si>
    <t>Proceso Disciplinario</t>
  </si>
  <si>
    <t>X</t>
  </si>
  <si>
    <t>Riesgos de Corrupción</t>
  </si>
  <si>
    <t>INNOVACIÓN Y GESTIÓN DEL CONOCIMENTO</t>
  </si>
  <si>
    <t>Estructurar, adelantar, orientar y acompañar la gestión precontractual y contractual, de conformidad con las disposiciones legales vigentes, para el éxito de los procesos institucionales.</t>
  </si>
  <si>
    <t>DTPS</t>
  </si>
  <si>
    <t>TECNOLOGÍAS DE INFORMACIÓN Y COMUNICACIÓN</t>
  </si>
  <si>
    <t xml:space="preserve">Riesgos de Gestión </t>
  </si>
  <si>
    <t>OCD</t>
  </si>
  <si>
    <t>C.TI.02</t>
  </si>
  <si>
    <t>C.TI.03</t>
  </si>
  <si>
    <t>C.CI.01</t>
  </si>
  <si>
    <t>OCI</t>
  </si>
  <si>
    <t>C.CI.02</t>
  </si>
  <si>
    <t>C.CI.03</t>
  </si>
  <si>
    <t>C.CI.04</t>
  </si>
  <si>
    <t>Dilatación del proceso de auditoría y/o evaluación para beneficiar a un tercero</t>
  </si>
  <si>
    <t>C.CI.05</t>
  </si>
  <si>
    <t>C.MC.01</t>
  </si>
  <si>
    <t>Desarrollar las competencias del talento humano, gestionando planes, programas y proyectos que contribuyan a mejorar su calidad de vida para el cumplimiento de la misión, visión y objetivos estratégicos bajo la normatividad vigente.</t>
  </si>
  <si>
    <t>Gestionar la implementación, actualización y mantenimiento de los sistemas de información y la infraestructura tecnológica de acuerdo con las necesidades de la entidad y la incorporación de nuevas tecnologías, para asegurar la confidencialidad, integridad y disponibilidad de la información requerida en el logro de los objetivos institucionales.</t>
  </si>
  <si>
    <t>STRT</t>
  </si>
  <si>
    <t>C.RF.01</t>
  </si>
  <si>
    <t>C.RF.02</t>
  </si>
  <si>
    <t>C.RF.03</t>
  </si>
  <si>
    <t>C.RF.04</t>
  </si>
  <si>
    <t>C.RF.05</t>
  </si>
  <si>
    <t>DTGC</t>
  </si>
  <si>
    <t>EJECUCIÓN DE OBRAS</t>
  </si>
  <si>
    <t>NO</t>
  </si>
  <si>
    <t>Casi Seguro</t>
  </si>
  <si>
    <t>Acuerdos entre el propietario y el profesional que haga visita a terreno</t>
  </si>
  <si>
    <t>STOP</t>
  </si>
  <si>
    <t>Introducir datos errados que favorecen al contribuyente.</t>
  </si>
  <si>
    <t>STJEF</t>
  </si>
  <si>
    <t>Previa verificación del estado de cuenta del inmueble, se proyectará un oficio con la solicitud de levantamiento del gravamen de valorización para ser remitido a la Oficina de Registro de Instrumentos Públicos que corresponda</t>
  </si>
  <si>
    <t>C.GP.01</t>
  </si>
  <si>
    <t>C.GP.02</t>
  </si>
  <si>
    <t>C.GP.03</t>
  </si>
  <si>
    <t>OTC</t>
  </si>
  <si>
    <t>OAC</t>
  </si>
  <si>
    <t>Actas de reunión</t>
  </si>
  <si>
    <t>MEJORAMIENTO CONTINUO</t>
  </si>
  <si>
    <t>Planes de Mejoramiento</t>
  </si>
  <si>
    <t>1. Inicio de procesos sancionatorios por parte del Ente de control.
2. Inicio de procesos disciplinarios por parte del ente competente.
3. Desmejora en la calificación del Sistema de Control Interno
4. Bajos niveles de la Gestión Institucional</t>
  </si>
  <si>
    <t>1. Inicio de procesos sancionatorios por parte del Ente de control.
2. Inicio de procesos disciplinarios por parte del ente competente.
3. Desmejora en la clasificación del Sistema de Control Interno
4. Bajos niveles de la Gestión Institucional</t>
  </si>
  <si>
    <t>Que dentro del grupo que define las AC-AP, no estén presentes las personas que están relacionadas con la responsabilidad y ejecución de las mismas. Que los ejecutores no conozcan las acciones a implementar.</t>
  </si>
  <si>
    <t>No realizar una adecuada identificación de causas relacionadas con los eventos ocurridos o potenciales.</t>
  </si>
  <si>
    <t>MATRIZ DE RIESGOS DE CORRUPCIÓN</t>
  </si>
  <si>
    <t>FO-PE-05</t>
  </si>
  <si>
    <t>ENTIDAD:</t>
  </si>
  <si>
    <t>INSTITUTO DE DESARROLLO URBANO</t>
  </si>
  <si>
    <t>OBJETIVO DEL PROCESO:</t>
  </si>
  <si>
    <t>Proveer al IDU de una estructura de gestión estratégica, táctica y operativa, capaz de aportar a la entidad un enfoque sistémico e integral,  proyectado en el tiempo y en el territorio de conformidad con los estatutos institucionales y el Plan Distrital de Desarrollo. para garantizar la sostenibilidad y reconocimiento institucional de la entidad por la generación de valores públicos.</t>
  </si>
  <si>
    <t>CAUSAS</t>
  </si>
  <si>
    <t>RESPONSABLE</t>
  </si>
  <si>
    <t>Efectividad</t>
  </si>
  <si>
    <t>Posible</t>
  </si>
  <si>
    <t>SI</t>
  </si>
  <si>
    <t xml:space="preserve">INNOVACIÓN Y GESTIÓN DEL CONOCIMIENTO </t>
  </si>
  <si>
    <t>DTE</t>
  </si>
  <si>
    <t>Gestión de Tecnologías de la Información y la Comunicación</t>
  </si>
  <si>
    <t>Desarrollo de 
Aplicaciones</t>
  </si>
  <si>
    <t>Inadecuada definición de los requerimientos del software a desarrollar</t>
  </si>
  <si>
    <t>Proyectos no funcionales para atender los requerimientos de la entidad</t>
  </si>
  <si>
    <t>Seguridad</t>
  </si>
  <si>
    <t>GESTIÓN DOCUMENTAL</t>
  </si>
  <si>
    <t>No contar con el presupuesto requerido para la implementación del Sistema de Gestión Documental</t>
  </si>
  <si>
    <t>Traslado de documentos entre sedes</t>
  </si>
  <si>
    <t>EVALUACIÓN Y CONTROL</t>
  </si>
  <si>
    <t>Etapa de planeación y ejecución</t>
  </si>
  <si>
    <t>Etapa de Planear</t>
  </si>
  <si>
    <t>No contar con disponibilidad financiera en algunos de los rubros  por los cuales se debe efectuar el pago.</t>
  </si>
  <si>
    <t>No contar con el reembolso a tiempo para atender las necesidades del mes siguiente.</t>
  </si>
  <si>
    <t>GESTIÓN FINANCIERA</t>
  </si>
  <si>
    <t>PRESUPUESTO Y CONTABILIDAD</t>
  </si>
  <si>
    <t>GESTIÓN DEL TALENTO HUMANO</t>
  </si>
  <si>
    <t>SUBDIRECCIÓN TÉCNICA DE RECURSOS HUMANOS</t>
  </si>
  <si>
    <t>PROCESOS JURÍDICOS</t>
  </si>
  <si>
    <t>CAPACITACIÓN</t>
  </si>
  <si>
    <t>BIODATA</t>
  </si>
  <si>
    <t>DAR INFORMACION INEXACTA ACERCA DE LA GESTION Y/O PROYECTOS DE LA ENTIDAD</t>
  </si>
  <si>
    <t>QUE LAS AREAS DEL IDU NO UTILICEN LOS CANALES Y/O PROCESOS DE COMUNICACION INTERNOS ESTABLECIDOS</t>
  </si>
  <si>
    <t>GESTIÓN CONTRACTUAL</t>
  </si>
  <si>
    <t>Mayor tiempo en la elaboración, suscripción, legalización de los contratos y sus modificaciones contractuales.</t>
  </si>
  <si>
    <t>EFECTUAR APOYO JURÍDICO DURANTE LA EJECUCIÓN DE LOS CONTRATOS Y CONVENIOS CELEBRADOS POR EL IDU</t>
  </si>
  <si>
    <t xml:space="preserve">1. Acciones populares
2. Perjuicios económicos que podrían terminar en demandas
3. Vencimiento de las actuaciones administrativas dentro del término legal.
4. Deterioro de la imagen de la Entidad.
5. Reclamaciones económicas de los contratistas.
</t>
  </si>
  <si>
    <t>VERIFICAR LA OPORTUNIDAD EN LA PUBLICACIÓN EN LOS PORTALES DE CONTRATACIÓN</t>
  </si>
  <si>
    <t>GESTIÓN LEGAL</t>
  </si>
  <si>
    <t>Recepción de información, análisis preliminar y ejecución del proceso</t>
  </si>
  <si>
    <t>Falta de Representación Judicial del IDU</t>
  </si>
  <si>
    <t>Actualización del Sistema de Información de Procesos Judiciales SIPROJ</t>
  </si>
  <si>
    <t>OAP</t>
  </si>
  <si>
    <t>Sistema Integrado de Gestión (SIG)</t>
  </si>
  <si>
    <t>GESTIÓN DE RECURSOS FÍSICOS</t>
  </si>
  <si>
    <t>RECURSOS FÍSICOS</t>
  </si>
  <si>
    <t xml:space="preserve">Programación y Seguimiento de Inversión </t>
  </si>
  <si>
    <t>INNOVACIÓN Y GESTIÓN DEL CONOCIMIENTO</t>
  </si>
  <si>
    <t>GESTIÓN SOCIAL Y PARTICIPACION CIUDADANA</t>
  </si>
  <si>
    <t>ADMINISTRACIÓN Y POLÍTICAS DE CANALES</t>
  </si>
  <si>
    <t>No responder en el tiempo oportuno una queja o reclamo</t>
  </si>
  <si>
    <t>Fallas en el proceso de comunicación interna entre las áreas del IDU.</t>
  </si>
  <si>
    <t>Que existan fallas en la plataforma Orfeo, afectando la radicación y seguimiento de quejas.</t>
  </si>
  <si>
    <t>Que existan fallas o deficiencias en las plataformas tecnológicas del IDU, que demore o imposibilite la consulta de información para el ciudadano.</t>
  </si>
  <si>
    <t>Que no exista un adecuado análisis del requerimiento del ciudadano por parte del funcionario que recibe la queja  inicialmente (Tipología de las solicitudes)</t>
  </si>
  <si>
    <t>Que el personal de atención al ciudadano no reciba actualización en los temas de interés de los ciudadanos referentes a los servicios que presta el IDU.</t>
  </si>
  <si>
    <t>Que el personal que atiende la solicitud no cuente con la competencia, habilidad o actitud requerida</t>
  </si>
  <si>
    <t xml:space="preserve">1. Falta de legitimidad del IDU frente a las comunidades
2. Bajos niveles de participación de la comunidad en el desarrollo de los proyectos, lo que repercute en el bajo control social a contratistas e interventores. 
3. Aumento de PQRS por falta de información o mala calidad de la misma a la comunidad, sobre los proyectos IDU. </t>
  </si>
  <si>
    <t>Que las organizaciones sociales de cada territorio no estén identificadas</t>
  </si>
  <si>
    <t xml:space="preserve">Directorios sociales </t>
  </si>
  <si>
    <t>No establecer canales efectivos de diálogo continuo con los ciudadanos del área de influencia de los proyectos</t>
  </si>
  <si>
    <t>GESTIÓN SOCIAL Y PARTICIPACIÓN CIUDADANA</t>
  </si>
  <si>
    <t>GESTIÓN INTERINSTITUCIONAL</t>
  </si>
  <si>
    <t>COMUNICACIONES</t>
  </si>
  <si>
    <t>NO INFORMAR  LA GESTION Y/O  PROYECTOS DE LA ENTIDAD A LA COMUNIDAD</t>
  </si>
  <si>
    <t>QUE LAS AREAS DEL IDU NO ENTREGUEN DE MANERA CLARA Y OPORTUNA LA INFORMACION A DIVULGAR</t>
  </si>
  <si>
    <t>DESACREDITACION DE LA ENTIDAD ANTE LACIUDADANIA, POSIBLES SANCIONES DISCIPLINARIAS</t>
  </si>
  <si>
    <t>Recibo y Liquidación de Proyectos de Construcción</t>
  </si>
  <si>
    <t>CONSERVACIÓN DE INFRAESTRUCTURA</t>
  </si>
  <si>
    <t>CONTROLES: En el manual de Gestión Contractual vigente se establece  en el numeral 5.3 "Otros requisitos para el trámite de procesos"; literal (e) Concepto de adquisición de predios, dado por la Dirección Técnica de Predios, antes de iniciar el proceso selectivo el cual debe ser favorable. Mínimo 80% de predios adquiridos y el 100% de ofertas de compra.
Procedimiento de gestión contractual.</t>
  </si>
  <si>
    <t>CONTROLES: Comités interinstitucionales, QUIEN LO EJECUTA?: Coordinadores, CUANDO SE HACE? Antes de iniciar las obras. ACCIÓN DE: control. El control cubre parcialmente la causa, El control se encuentra documentado mediante actas, CALIFICACIÓN DEL CONTROL: medio.
En el manual de Gestión Contractual vigente se establece  en el numeral 5.3 "Otros requisitos para el trámite de procesos"; literal (L) que para la ejecución de los proyectos se debe contar con estudios,  diseños, planos, evaluaciones de prefactibilidad y factibilidad, estudios y diseños de redes, licencias ambientales y PMT, aprobados.</t>
  </si>
  <si>
    <t>Falta de coordinación entre las áreas del IDU.</t>
  </si>
  <si>
    <t>No disponer de la totalidad de los predios requeridos para la ejecución de la obra.</t>
  </si>
  <si>
    <t>Inadecuado seguimiento por parte de la interventoría.</t>
  </si>
  <si>
    <t>CONTROLES: Puntos de atención a la comunidad CREA.
Reuniones con la comunidad.
El Instituto creo la figura del defensor del ciudadano, Jefe de la Oficina de Atención al Ciudadano.</t>
  </si>
  <si>
    <t>DISEÑO DE PROYECTOS</t>
  </si>
  <si>
    <t>GESTIÓN PREDIAL</t>
  </si>
  <si>
    <t>DIRECCIÓN TÉCNICA DE PREDIOS</t>
  </si>
  <si>
    <t>Seguimiento a la Ejecución de Proyectos de Construcción</t>
  </si>
  <si>
    <t>1. Posibles reclamaciones del contratista y/o interventor, por restablecimiento del equilibrio económico.
2. Demandas de la comunidad, acciones populares.
3. Inicio de investigaciones administrativas y disciplinarias por parte de los entes de control.
4. Retraso en plazos del contrato.
5. Mayores costos de obra. (Reajuste en precios).</t>
  </si>
  <si>
    <t>FORMATO</t>
  </si>
  <si>
    <t>PROCESO:</t>
  </si>
  <si>
    <t>CÓDIGO</t>
  </si>
  <si>
    <t>PROCESO</t>
  </si>
  <si>
    <t>VERSIÓN</t>
  </si>
  <si>
    <t>PLANEACIÓN ESTRATÉGICA</t>
  </si>
  <si>
    <t>IDENTIFICACIÓN</t>
  </si>
  <si>
    <t>TIPOS</t>
  </si>
  <si>
    <t>CONSECUENCIAS</t>
  </si>
  <si>
    <t>PDD</t>
  </si>
  <si>
    <t>P</t>
  </si>
  <si>
    <t>I</t>
  </si>
  <si>
    <t>Ri</t>
  </si>
  <si>
    <t>Rr</t>
  </si>
  <si>
    <t>Impacto</t>
  </si>
  <si>
    <t>Ambos</t>
  </si>
  <si>
    <t>Probabilidad</t>
  </si>
  <si>
    <t>JEFE OFICINA ASESORA DE PLANEACIÓN</t>
  </si>
  <si>
    <t>FACTIBILIDAD DE PROYECTOS</t>
  </si>
  <si>
    <t>GESTIÓN DE LA VALORIZACIÓN Y FINANCIACIÓN</t>
  </si>
  <si>
    <t>Cobro y Recaudo</t>
  </si>
  <si>
    <t>VLADIMIRO ALBERTO ESTRADA MONCAYO</t>
  </si>
  <si>
    <t>1- Procedimiento 
PR-CI-03 Seguimiento a la estabilidad y calidad de obras con póliza vigente V_5.0</t>
  </si>
  <si>
    <t>Desconocer el cumplimiento del anexo técnico vigente al momento de recibir las recuperaciones del espacio público intervenido con Licencia de Excavación.</t>
  </si>
  <si>
    <t>Otorgar permisos de uso temporal del espacio público y/o antejardines a cargo del Instituto, sin el cumplimiento de la totalidad de requisitos.</t>
  </si>
  <si>
    <t>Pago a profesionales de la entidad para que otorguen la licencia de excavación sin el cumplimiento de requisitos exigidos.</t>
  </si>
  <si>
    <t>Otorgar licencias de excavación sin el cumplimiento de la totalidad de los requisitos.</t>
  </si>
  <si>
    <t>1- La solicitud de Licencia de Excavación (FO-CI-02) debe radicarse en correspondencia, donde al momento de recibir efectúan un primer filtro de verificación de documentación requerida, dejando por escrito y como parte del expediente las observaciones respecto al cumplimiento de requisitos (formato de revisión de información).
2- Una vez la solicitud es recibida por el profesional se verifica el cumplimiento y validez de la información entregada como soporte, acorde con la lista de chequeo establecida en el formato de solicitud (FO-CI-02).
3- Si en el momento de la revisión se encuentra documentos faltantes o que no tienen validez dentro del proceso, se requiere al solicitante mediante Acta de observaciones y correcciones.</t>
  </si>
  <si>
    <t>Pérdida de material de fresado</t>
  </si>
  <si>
    <t>Subdirector General de Infraestructura</t>
  </si>
  <si>
    <t>Director Técnico de Administración de Infraestructura</t>
  </si>
  <si>
    <t>DTP</t>
  </si>
  <si>
    <t xml:space="preserve">No contar con la información necesaria para la programación y/o seguimiento del módulo de seguimiento de territorialización y/o del módulo de Plan de Acción de SEGPLAN </t>
  </si>
  <si>
    <t>NOMBRE</t>
  </si>
  <si>
    <t>CARGO</t>
  </si>
  <si>
    <t>FIRMA</t>
  </si>
  <si>
    <t>SGDU</t>
  </si>
  <si>
    <t>OFICINA DE ATENCIÓN AL CIUDADANO</t>
  </si>
  <si>
    <t>Aplicativo para el seguimiento de requerimiento ciudadanos</t>
  </si>
  <si>
    <t>Correo electrónico, memorando, actas de reunión</t>
  </si>
  <si>
    <t>Que el personal  que atiende la queja por los canales de atención dispuestos por la OTC no sea competente para este fin</t>
  </si>
  <si>
    <t>1. Capacitación permanente del personal de atención al ciudadano.</t>
  </si>
  <si>
    <t>Soportes de Capacitación, listados de asistencia, actas de reunión</t>
  </si>
  <si>
    <t>1. Realización de encuestas de satisfacción a los ciudadanos frente al servicio recibido por los encargados de responder a los requerimientos de la ciudadanía.
2. Entrenamiento a las personas que atienden a la ciudadanía.</t>
  </si>
  <si>
    <t>Actas de Reunión 
Listados de asistencia</t>
  </si>
  <si>
    <t>GUSC01_GESTION_SOCIAL_PARA_EL_DESARROLLO_URBANO_SUSTENTABLE_V_1.0.pdf</t>
  </si>
  <si>
    <t>1. Ayudas de Memoria
2. Actas de Reunión
3. FOSC228_FORMATO_ DE_ ASISTENCIA_ A REUNIONES CON POBLACIONES Y O ORGANIZACIONES V_2.0.xlsx</t>
  </si>
  <si>
    <t>SGI</t>
  </si>
  <si>
    <t>OFICINA ASESORA DE COMUNICACIONES</t>
  </si>
  <si>
    <t>COMUNICACIÓN EXTERNA</t>
  </si>
  <si>
    <t>Procedimiento y formato de anteproyecto de presupuesto</t>
  </si>
  <si>
    <t>1. Demora en el inicio y/o ejecución de los contratos.
2. Demora en los plazos de elaboración y entrega de los contratos y/o convenios
3. Atraso en el inicio y ejecución de los proyectos asociados al Plan de Desarrollo Distrital.
4.Obras y/o proyectos inconclusos.
5. Demandas a la entidad.
6.Deterioro de la imagen de la Entidad.
7. Reclamaciones económicas de los contratistas.</t>
  </si>
  <si>
    <t>SGJ</t>
  </si>
  <si>
    <t xml:space="preserve">* Incumplimiento en los términos que generan sanciones disciplinarias 
* No ejercer en debida forma la defensa judicial </t>
  </si>
  <si>
    <t>* Fallos desfavorables al IDU 
* Condenas para la Entidad Acciones de Repetición.</t>
  </si>
  <si>
    <t>Desactualizacion del sistema de información SIPROJ, incumpliendo con el Decreto 654 de 2011 Articulo 110  de la Alcaldia Mayor de Bogotá.</t>
  </si>
  <si>
    <t>DTGJ</t>
  </si>
  <si>
    <t>Que la documentación publicada se encuentre desactualizada y/o  incompleta</t>
  </si>
  <si>
    <t>STRH</t>
  </si>
  <si>
    <t>Acumulación o sobre stock de bienes inservibles en bodega</t>
  </si>
  <si>
    <t>Plan  Anual de Seguridad y Salud en el Trabajo  STRH</t>
  </si>
  <si>
    <t>SGGC</t>
  </si>
  <si>
    <t>DTAF</t>
  </si>
  <si>
    <t>STRF</t>
  </si>
  <si>
    <t xml:space="preserve">Pérdida de recursos por inadecuada inversión </t>
  </si>
  <si>
    <t>Robo o desviación de dineros o pérdida</t>
  </si>
  <si>
    <t xml:space="preserve">Registrar  valores inexactos en los aplicativos Administrativos y Financieros </t>
  </si>
  <si>
    <t>STTR</t>
  </si>
  <si>
    <t>STPC</t>
  </si>
  <si>
    <t>DEMORA EN LA EJECUCIÓN DEL PIC (Plan Institucional de Capacitación)</t>
  </si>
  <si>
    <t>Direccionamiento estratégico de TIC</t>
  </si>
  <si>
    <t>Gestión de Infraestructura de T.I.</t>
  </si>
  <si>
    <t>Inadecuada gestión de la Infraestructura de TI</t>
  </si>
  <si>
    <t>SUBDIRECCIÓN TÉCNICA DE RECURSOS FÍSICOS</t>
  </si>
  <si>
    <t>Actas de Comité</t>
  </si>
  <si>
    <t>Desconocimiento de la normatividad archivística y de los beneficios que esta brinda</t>
  </si>
  <si>
    <t>Se socializan los procesos técnicos en organización documental al personal asignado.</t>
  </si>
  <si>
    <t xml:space="preserve">Que se presente pérdida o deterioro de la información </t>
  </si>
  <si>
    <t>Desconocimiento de los procedimientos del proceso</t>
  </si>
  <si>
    <t>Anteproyecto de presupuesto</t>
  </si>
  <si>
    <t>Que no se asignen los recursos necesarios financieros o logísticos para una adecuada implementación de las AC-AP, originadas en la autoevaluación del proceso.</t>
  </si>
  <si>
    <t>Asesoría Independiente OCI</t>
  </si>
  <si>
    <t>1. Perdida potencial de oportunidades para mejorar los procesos de la entidad al no disponer de la asesoría que puede brindar la OCI.</t>
  </si>
  <si>
    <t>JEFE OFICINA DE CONTROL DISCIPLINARIO</t>
  </si>
  <si>
    <t>DTAV</t>
  </si>
  <si>
    <t>DTDP</t>
  </si>
  <si>
    <t>MARIA DEL PILAR GRAJALES RESTREPO</t>
  </si>
  <si>
    <t>DTAI</t>
  </si>
  <si>
    <t>DTM</t>
  </si>
  <si>
    <t>DIRECCIÓN TÉCNICA DE CONSTRUCCIONES</t>
  </si>
  <si>
    <t>Que no se cumpla el término establecido en el contrato y/o la Ley, para liquidar.</t>
  </si>
  <si>
    <t>DTC</t>
  </si>
  <si>
    <t>C.CI.07</t>
  </si>
  <si>
    <t>C.CI.08</t>
  </si>
  <si>
    <t>C.CI.10</t>
  </si>
  <si>
    <t>C.CI.11</t>
  </si>
  <si>
    <t>C.GC.05</t>
  </si>
  <si>
    <t>C.GC.06</t>
  </si>
  <si>
    <t>C.GC.07</t>
  </si>
  <si>
    <t>ANÁLISIS (Riesgo inherente)</t>
  </si>
  <si>
    <t>RIESGO
Descripción</t>
  </si>
  <si>
    <t>PROBABILIDAD</t>
  </si>
  <si>
    <t>Pro_inh</t>
  </si>
  <si>
    <t># Preguntas Imp</t>
  </si>
  <si>
    <t>IMPACTO</t>
  </si>
  <si>
    <t>Imp_inh</t>
  </si>
  <si>
    <t>ZONA RIESGO INHERENTE</t>
  </si>
  <si>
    <t>CONTROLES</t>
  </si>
  <si>
    <t>PREVENTIVO</t>
  </si>
  <si>
    <t>CORRECTIVO</t>
  </si>
  <si>
    <t>DETECTIVO</t>
  </si>
  <si>
    <t>Documentado</t>
  </si>
  <si>
    <t>Doc</t>
  </si>
  <si>
    <t>Responsable</t>
  </si>
  <si>
    <t>Resp</t>
  </si>
  <si>
    <t>Automático</t>
  </si>
  <si>
    <t>Aut</t>
  </si>
  <si>
    <t>Manual</t>
  </si>
  <si>
    <t>Man</t>
  </si>
  <si>
    <t>Frecuencia</t>
  </si>
  <si>
    <t>Frec</t>
  </si>
  <si>
    <t>Evidencia</t>
  </si>
  <si>
    <t>Evid</t>
  </si>
  <si>
    <t>Efec</t>
  </si>
  <si>
    <t>CALIFICACIÓN CONTROL</t>
  </si>
  <si>
    <t>NIVEL A DISMINUIR</t>
  </si>
  <si>
    <t>VALORACIÓN
CONTROL</t>
  </si>
  <si>
    <t>Pro_res</t>
  </si>
  <si>
    <t>Imp_res</t>
  </si>
  <si>
    <t>ZONA RIESGO RESIDUAL</t>
  </si>
  <si>
    <t>PERIODO DE EJECUCIÓN</t>
  </si>
  <si>
    <t>ACCIONES ASOCIADAS AL CONTROL</t>
  </si>
  <si>
    <t>REGISTRO</t>
  </si>
  <si>
    <t>Mayor</t>
  </si>
  <si>
    <t>Según evento</t>
  </si>
  <si>
    <t>Ocultar o manipular información, relacionada con la planeación, la inversión, sus resultados y metas alcanzados para favorecer a terceros (externos o internos)</t>
  </si>
  <si>
    <t>1. Presentar información inexacta a la SHD y/o a la comunidad.
2. Investigaciones disciplinarias y/o administrativas
3. Reprocesos</t>
  </si>
  <si>
    <t>Moderado</t>
  </si>
  <si>
    <t>Mensual</t>
  </si>
  <si>
    <t>No Aplica</t>
  </si>
  <si>
    <t>Firmas de revisión por parte del líder del proceso y líder(es) Operativo(s):</t>
  </si>
  <si>
    <t>ÁREA</t>
  </si>
  <si>
    <t>NOMBRES</t>
  </si>
  <si>
    <t>OFICINA ASESORA DE PLANEACIÓN</t>
  </si>
  <si>
    <t>ISAURO CABRERA VEGA</t>
  </si>
  <si>
    <t xml:space="preserve">JEFE DE OFICINA </t>
  </si>
  <si>
    <t>Rara vez</t>
  </si>
  <si>
    <t>NO APLICA</t>
  </si>
  <si>
    <t xml:space="preserve">Subdirección General de Desarrollo Urbano </t>
  </si>
  <si>
    <t>Improbable</t>
  </si>
  <si>
    <t>Catastrófico</t>
  </si>
  <si>
    <t>Subdirección General de Infraestructura</t>
  </si>
  <si>
    <t>Ocultar y/o manipular la información  que se publica sobre la entidad y su gestión, en beneficio de un tercero, una dependencia de la entidad o la entidad en general</t>
  </si>
  <si>
    <t xml:space="preserve">1. Desinformacion a la comunicadad y medios
2. Desprestigio en la imagen de la entidad
3. Ocurrencia de procesos disciplinarios, penales y fiscales
4. Afectacion del clima organizacional
</t>
  </si>
  <si>
    <t>1. Realizar seguimiento para que las fuentes de información la entreguen siempre a través de un medio que permita su seguimiento y trazabilidad (correo electrónico)
2. Seguimiento a través del formato FO-CO-193 para registro de solicitudes de información y entrevistas externas.</t>
  </si>
  <si>
    <t>C.FP.01</t>
  </si>
  <si>
    <t>SUBDIRECCIÓN GENERAL DE DESARROLLO URBANO</t>
  </si>
  <si>
    <t>DIRECCIÓN TÉCNICA DE PROYECTOS</t>
  </si>
  <si>
    <t>Estructurar e implementar los acuerdos de valorización conforme a la planeación y formulación de proyectos de infraestructura para la ciudad, de tal forma que se garantice su financiación y el recaudo efectivo de la contribución de valorización, así como desarrollar proyectos de iniciativa comunitaria bajo el esquema de valorización.</t>
  </si>
  <si>
    <t>Impacto social.
Impacto económico al no percibir posibles cobros de valorización.</t>
  </si>
  <si>
    <t>Introducir datos errados o falsos para favorecer a terceros en registros ya incorporados al sistema</t>
  </si>
  <si>
    <t>Afectación en el monto individual de los cobros de valorización.
Menor recaudo percibido</t>
  </si>
  <si>
    <t>Realizar un trámite indebido ante la notaria y
Menor recuado percibido por parte del IDU</t>
  </si>
  <si>
    <t>Alertas en la homologación de los predios y en la detección del chip
Comparación contínua entre el estado de cuenta de los predios con paz y salvos emitidos</t>
  </si>
  <si>
    <t>Instructivo para generar CECTN (Paz y salvos)
Archivos mensuales de las verificaciones realizadas</t>
  </si>
  <si>
    <t>Menor recaudo percibido por parte del IDU</t>
  </si>
  <si>
    <t>Comparación entre los datos cargados en el sistema, datos oficiales, imágenes y cartografías
Verificación de las bases de datos en el sistema valoricemos</t>
  </si>
  <si>
    <t xml:space="preserve">Instructivo para elaborar conceptos técnico
</t>
  </si>
  <si>
    <t>Menor recaudo por parte del IDU</t>
  </si>
  <si>
    <t>Verificar que en el certificado de tradición y libertad  conste una medida de gravamen vigente y que el estado de cuenta de la contribución este al día, para solicitar el levantamiento de la misma en la Oficina de Registro de Instrumentos Públicos que corresponda</t>
  </si>
  <si>
    <t xml:space="preserve">Lista de chequeo de los Actos Administrativos revisados y su  físico
</t>
  </si>
  <si>
    <t>SUBDIRECTOR TÉCNICO</t>
  </si>
  <si>
    <t>Probable</t>
  </si>
  <si>
    <t>Realizar seguimiento a la ejecución de los proyectos del sistema vial, de transporte y espacio público, de acuerdo con las características de diseño para construir las obras definidas en el plan de desarrollo y cumplir la misión del IDU.</t>
  </si>
  <si>
    <t>Dirección Técnica de Construcciones</t>
  </si>
  <si>
    <t>Acuerdo entre el contratista con profesionales de la entidad para no reportar el daño o afectación de la infraestructura vial.</t>
  </si>
  <si>
    <t>C.CI.06</t>
  </si>
  <si>
    <t>Omisión en la identificación de daños en la infraestructura vial, favoreciendo a terceros en el procedimiento de seguimiento a pólizas.</t>
  </si>
  <si>
    <t>* Deterioro de la infraestructura vial y espacio público de la Ciudad
* Afectación a la calidad de vida de los ciudadanos</t>
  </si>
  <si>
    <t xml:space="preserve">1- El procedimiento establece que la identificación de daños se realice en visita de seguimiento, a la cual no asiste el contratista (no hay acuerdos).
2- Los daños identificados se ingresan al aplicativo SIP (tiene controles de usuario) para generar el informe de visita, que finalmente es revisado y aprobado por el Coordinador Técnico. </t>
  </si>
  <si>
    <t xml:space="preserve">1- Revisiones periódicas con muestras aleatorias.     </t>
  </si>
  <si>
    <t>1- En el artículo tercero de la resolución que otorga la licencia de excavación establece la obligación de recuperación del espacio público cumpliendo con lo dispuesto en la Guía GU-CI-01_versión 3.0.
2- Se realiza visita de recibo de recuperaciones, previa solicitud y cumplimiento de requisitos (Art. 4 de la Resolución que otorga la licencia) por parte del contratista, dejando como evidencia el registro fotográfico tomado en terreno.
3- Se elabora el correspondiente informe de visita (FO-AI-047) donde se establece el cumplimiento o incumplimiento de la recuperación.</t>
  </si>
  <si>
    <t>1- Guía GU-CI-01 V_3.0 Anexo técnico para la recuperación del espacio público intervenido bajo Licencia de Excavación
2- Instructivo IN-CI-02 Expedición y recibo de obra del espacio público intervenido con licencia de excavación V_1.0</t>
  </si>
  <si>
    <t>C.CI.09</t>
  </si>
  <si>
    <t>* Uso indebido del espacio público y/o antejardines.
* Daño del espacio público y correspondiente mobiliario urbano.
* Afectación a la calidad de vida de los ciudadanos.</t>
  </si>
  <si>
    <t>Dentro de la Guía de tramites y servicios:
1- Están establecidos los requisitos para la ocupación temporal acorde con el Decreto 190 de 2004.
2- Se establece que la solicitud de ocupación se debe dirigir al IDU con información exigida.
3- Se establecen los documentos necesarios que debe aportar el solicitante para la expedición del permiso.</t>
  </si>
  <si>
    <t>* Deterioro de la infraestructura vial y espacio público de la Ciudad.
* Fomentar practicas indebidas por parte de tramitadores.
* Afectación a la calidad de vida de los ciudadanos.</t>
  </si>
  <si>
    <t>1- Decreto Nacional 1469-2010 «...reglamenta las disposiciones relativas a las licencias urbanísticas...»
2- Procedimiento PR-CI-09 Expedición y recibo de licencias de excavación V_5.0</t>
  </si>
  <si>
    <t>Que se presente manipulación de los sistemas electrónicos instalados en parqueaderos de manera que no se reporte la totalidad de los componentes variables.</t>
  </si>
  <si>
    <t>* Detrimento patrimonial.</t>
  </si>
  <si>
    <t>1- Contratos de concesión de parqueaderos vigentes
2- Instructivo IN-CI-03 Supervisión de contratos de concesión de parqueaderos V_1.0</t>
  </si>
  <si>
    <t>C.GC.01</t>
  </si>
  <si>
    <t>C.GC.03</t>
  </si>
  <si>
    <t>C.GC.04</t>
  </si>
  <si>
    <t xml:space="preserve">Omisión o inoportunidad de la publicación de los documentos en los portales de contratación, con el fin de manipular la información y favorecer a un particular </t>
  </si>
  <si>
    <t>Intereses economicos de terceros (proponentes), dirigidos a obtener por medios persuasivos no licitos determinado comportamiento por parte del comité evaluador.</t>
  </si>
  <si>
    <t>Presiones indebidas de terceros, tendientes a obtener el favorecimiento a un particular, mediante la adjudicación irregular de un proceso de selección.</t>
  </si>
  <si>
    <t>Realizar modificaciones contractuales omitiendo los requisitos legales, técnicos y/o presupuestales con el fin de favorecer un tercero.</t>
  </si>
  <si>
    <t>1. Memorando de solicitud de modificación radicado por el sistema de gestión documental ORFEO y sus respectivos documentos soporte.
2. Normograma Institucional publicado en la pagina Web institucional con sus respectivas actualizaciones.
3. Lista de chequeo verificación documental de contratación debidamente validado por el abogado asignado.</t>
  </si>
  <si>
    <t>C.GC.08</t>
  </si>
  <si>
    <t xml:space="preserve">Alteración de las condiciones del proceso de selección adjudicado, las cuales se plasman a  través de la minuta contractual con el fin de beneficiar a un particular. </t>
  </si>
  <si>
    <t>C.GL.01</t>
  </si>
  <si>
    <t>DIRECTOR TÉCNICO</t>
  </si>
  <si>
    <t>GESTIÓN AMBIENTAL, CALIDAD Y SST</t>
  </si>
  <si>
    <t>C.AC.01</t>
  </si>
  <si>
    <t>01 de Enero - 30 de Abril</t>
  </si>
  <si>
    <t>SUBDIRECCIÓN GENERAL DE GESTIÓN CORPORATIVA</t>
  </si>
  <si>
    <t>Administrar, gestionar y suministrar los bienes muebles e inmuebles de la entidad así como,  los recursos físicos de forma oportuna, adecuada y eficiente, asegurando el normal funcionamiento de los procesos y las áreas del Instituto y la correspondiente satisfacción de las necesidades internas.</t>
  </si>
  <si>
    <t xml:space="preserve">PÉRDIDA DE RECURSOS FINANCIEROS DE LA CAJA MENOR DEL IDU
</t>
  </si>
  <si>
    <t xml:space="preserve">Imposibilidad de recuperar los bienes muebles o inmuebles siniestrados
Detrimento patrimonial 
Afectación de los activos fijos </t>
  </si>
  <si>
    <t>ROBO CONTINUADO DE COMBUSTIBLE O REPUESTOS DE VEHÍCULOS</t>
  </si>
  <si>
    <t>Detrimento en el patrimonio público</t>
  </si>
  <si>
    <t>C.RF.06</t>
  </si>
  <si>
    <t>Aplicación del manual de gestión contractual del  Instituto, para dar cumplimiento a las etapas precontractuales de los procesos</t>
  </si>
  <si>
    <t>C.RF.07</t>
  </si>
  <si>
    <t>EJECUCIÓN DE CONTRATOS REALIZADA PARA FAVORECIMIENTO A TERCEROS</t>
  </si>
  <si>
    <t>SUBDIRECTORA TÉCNICA DE RECURSOS FÍSICOS</t>
  </si>
  <si>
    <t>DIRECCIÓN TÉCNICA ADMINISTRATIVA Y FINANCIERA</t>
  </si>
  <si>
    <t>1. Investigaciones disciplinarias y/o fiscales.
2. Falta de credibilidad hacia la Institución y funcionarios.
3. No contar con el personal idóneo para desarrollar las funciones.</t>
  </si>
  <si>
    <t>GESTIÓN TECNOLOGÍAS DE LA INFORMACIÓN Y COMUNICACIÓN</t>
  </si>
  <si>
    <t>C.TI.01</t>
  </si>
  <si>
    <t>Pérdida de la integridad de la información.
Procesos poco transparentes.
Pérdida de imagen institucional.
Responsabilidades Disciplinarias y/o fiscales.</t>
  </si>
  <si>
    <t>Diario</t>
  </si>
  <si>
    <t>Revelar información de carácter confidencial a terceros que se vean beneficiados por la oportunidad de la misma</t>
  </si>
  <si>
    <t>Ocultar o NO divulgar a la ciudadanía información considerada pública en beneficio propio o de un tercero.</t>
  </si>
  <si>
    <t>Pérdida de la disponibilidad de la información.
Procesos poco transparentes.
Pérdida de imagen institucional.
Responsabilidades Disciplinarias y/o fiscales.</t>
  </si>
  <si>
    <t>Página web actualizada</t>
  </si>
  <si>
    <t>C.TI.04</t>
  </si>
  <si>
    <t>Pérdida de la confianza en los procesos involucrados
Procesos poco transparentes.</t>
  </si>
  <si>
    <t>Informe de casos atendidos y en proceso</t>
  </si>
  <si>
    <t>Determinar e implementar las directrices para la administración documental mediante la aplicación de políticas y lineamientos, para garantizar la recuperación, consulta y conservación
de la memoria institucional.</t>
  </si>
  <si>
    <t>C.GF.01</t>
  </si>
  <si>
    <t>C.GF.02</t>
  </si>
  <si>
    <t xml:space="preserve">Manipulación de la información en el Sistema VALORICEMOS con el ánimo de aplicar y/o reversar pagos, con el fin de favorecer a un tercero. </t>
  </si>
  <si>
    <t>C.GF.03</t>
  </si>
  <si>
    <t>Tramitar pagos, con  documentos  incompletos, falsos o adulterados, así como violar el derecho al turno, consignado en el articulo 19 de la Ley 1150 de 2007, con el fin de favorecer un tercero.</t>
  </si>
  <si>
    <t>C.GF.04</t>
  </si>
  <si>
    <t>1. Desvío de recursos.
2. Investigaciones penales, fiscales, disciplinarias y/o administrativas, al cometer errores que contradicen la normatividad vigente.</t>
  </si>
  <si>
    <t xml:space="preserve">SUBDIRECTOR GENERAL </t>
  </si>
  <si>
    <t>DIRECCCIÓN ADMINISTRATIVA Y FINANCIERA</t>
  </si>
  <si>
    <t>SUBDIRECCIÓN TÉCNICA DE TESORERÍA Y RECAUDO</t>
  </si>
  <si>
    <t>SUBDIRECCIÓN TÉCNICA DE PRESUPUESTO Y CONTABILIDAD</t>
  </si>
  <si>
    <t>GESTIÓN INTEGRAL DE PROYECTOS</t>
  </si>
  <si>
    <t>Semanal</t>
  </si>
  <si>
    <t>Verificar el cumplimiento de metas, planes y normas en los procesos de la Entidad y en las actuaciones de los servidores públicos, para asegurar el cumplimiento de los fines institucionales a través de la aplicación de los instrumentos pertinentes.</t>
  </si>
  <si>
    <t>1. No formulación de Planes de Mejoramiento
2. Planes de mejoramiento inocuos.
3. Materialización de riesgos identificados en los informes</t>
  </si>
  <si>
    <t>Permanente</t>
  </si>
  <si>
    <t>OFICINA DE CONTROL INTERNO</t>
  </si>
  <si>
    <t>JEFE DE OFICINA</t>
  </si>
  <si>
    <t>OFICINA DE CONTROL DISCIPLINARIO</t>
  </si>
  <si>
    <t>1. Materialización de riesgos institucionales.
2. Investigaciones  disciplinarias y/o  administrativas y/o fiscales y/o penales.
3. Reprocesos.
4. Ineficacia del proceso.
5. Pérdida de credibilidad en el proceso de mejoramiento continuo.</t>
  </si>
  <si>
    <t>1. Verificación y consistencia de los datos y  avance de los proyectos de inversión, son registrados en SEGPLAN y PREDIS.
2. Reportes de plan de acción
3. Reportes de inversión y gestión.
4. Reporte de componente de inversión.
5. Reporte de teritorialización de la inversión</t>
  </si>
  <si>
    <t xml:space="preserve">Emisión de conceptos técnicos omitiendo los procedimientos definidos, con la intención de favorecer un contribuyente en cuanto a factores gravables </t>
  </si>
  <si>
    <t>Acuerdos entre propietarios y el profesional que realice  las liquidaciones de cartera</t>
  </si>
  <si>
    <t>Afectación en la tradición de inmuebles sin que la contribución de valorización haya sido cancelada por el interesado, para favorecer a terceros</t>
  </si>
  <si>
    <t>Se genera detrimento patrimonial y acciones de repetición en contra del IDU</t>
  </si>
  <si>
    <t>Proyectar actos administrativos con información errada. Acuerdos entre funcionarios y contribuyentes</t>
  </si>
  <si>
    <t>Omitir o extralimitarse en la elaboración y aprobación de  un acto adminsitrativo con contenido no congruente con la normatividad con el ánimo de favorecer a un particular</t>
  </si>
  <si>
    <t>Constatar que tanto la infomación jurídica como la perteneciente a los atributos prediales corresponda a los que se encuentran en el sistema de información Valoricemos.</t>
  </si>
  <si>
    <t>HERNANDO ARENAS CASTRO</t>
  </si>
  <si>
    <t>Director Técnico de Apoyo a la Valorización</t>
  </si>
  <si>
    <t>DIRECTORA TÉCNICA DE PREDIOS</t>
  </si>
  <si>
    <t>EJECUTAR PROGRAMAS  PARA EL MANTENIMIENTO, REHABILITACIÓN,  Y RECONSTRUCCIÓN DE LA MALLA VIAL Y EL ESPACIO PÚBLICO A TRAVÉS DE LA SUPERVISIÓN Y CONTROL DE CONTRATOS Y CONVENIOS  Y REALIZAR EL CONTROL Y SEGUIMIENTO A LAS INTERVENCIONES  EJECUTADAS POR TERCEROS, PARA MEJORAR LA MOVILIDAD Y SEGURIDAD VIAL EN LA CIUDAD</t>
  </si>
  <si>
    <t>DIRECTOR TECNICO DE PROCESOS SELECTIVOS</t>
  </si>
  <si>
    <t>Integración de las políticas de confidencialidad a los procedimientos estandarizados, a las minutas PSP y fortalecimiento de los mecanismos de ingreso a DTPS (físico y tecnológico).</t>
  </si>
  <si>
    <t>DIRECCIÓN TÉCNICA DE GESTIÓN CONTRACTUAL</t>
  </si>
  <si>
    <t>Acceso indebido para manipular  o  adulterar datos almacenados en los servidores de la Entidad,  en beneficio propio o de un tercero. (Integridad)</t>
  </si>
  <si>
    <t>Omitir intencionalmente la aplicación de los  procedimientos  para la prestación de los servicios de T.I. o cambiar la prioridad en la prestación del mismo,  en beneficio propio o de un tercero.</t>
  </si>
  <si>
    <t>Herramienta de gestión de eventos (incidentes o requerimientos - Aranda) correctamente diligenciada, en orden de llegada, o evento priorizado según criterios descritos en el Catálogo de Servicios.
Revisiones periódicas de los registros en la herramienta de gestión por parte del líder del grupo de mesa de servicios.</t>
  </si>
  <si>
    <t>Subdirector Técnico de Tesorería y Recaudo</t>
  </si>
  <si>
    <t>C.EC-01</t>
  </si>
  <si>
    <t>C.EC-02</t>
  </si>
  <si>
    <t>C.EC-03</t>
  </si>
  <si>
    <t>1. Tráfico de influencias
2. Baja cultura de autocontrol en los auditores
3. Bajo nivel de supervisión, control y evaluación por parte del jefe de la Oficina de Control Interno
4. Coacción</t>
  </si>
  <si>
    <t>C.EC-04</t>
  </si>
  <si>
    <t>C.EC-05</t>
  </si>
  <si>
    <t>C.EC-06</t>
  </si>
  <si>
    <t>C.EC-07</t>
  </si>
  <si>
    <t>10
BAJA</t>
  </si>
  <si>
    <t>1-Dilación injustificada de términos en los procesos disciplinarios, en provecho propio o de un tercero
2-Omisión del deber de dar trámite a las quejas e informes que se reciban en la oficina, en beneficio propio o de un tercero</t>
  </si>
  <si>
    <t>C.EC-08</t>
  </si>
  <si>
    <t>5
BAJA</t>
  </si>
  <si>
    <t>C.EC-09</t>
  </si>
  <si>
    <t>Que se de una respuesta y/o atención deficiente, incompleta o no pertinente de acuerdo a la solicitud</t>
  </si>
  <si>
    <t>1. Se aplican los criterios definidos en el manual de comunicaciones. 
2. Se sigue el estilo y coordinación de la Dirección del IDU.</t>
  </si>
  <si>
    <t>1. Se aplica el procedimiento y formato de anteproyecto de presupuesto en donde se identifican las diferentes necesidades para el proceso de comunicaciones.</t>
  </si>
  <si>
    <t>QUE VOCEROS NO AUTORIZADOS POR PARTE DE LA ENTIDAD, SUMINISTREN INFORMACIÓN YA SEAN SERVIDORES PUBLICOS O PERSONAL DE LOS CONTRATISTAS</t>
  </si>
  <si>
    <t xml:space="preserve">1. Aplicación de la politica definida en el Manual de Comunicaciones del IDU. </t>
  </si>
  <si>
    <t>Procedimiento de Estructuración de Acuerdos de Valorización.
Actas de reunión y/o listado
de asistencia</t>
  </si>
  <si>
    <t>Tramitar las solicitudes y reclamaciones</t>
  </si>
  <si>
    <t>Administrar y vender predios sobrantes de obra</t>
  </si>
  <si>
    <t>Administración de Parqueaderos a cargo de la entidad</t>
  </si>
  <si>
    <t>Intervención del espacio público por parte de las ESP o particulares para intervención de redes de servicios públicos, sin contar con la licencia de excavación o el incumplimiento de la misma.</t>
  </si>
  <si>
    <t>Administración del espacio público a cargo de la entidad</t>
  </si>
  <si>
    <t>Seguimiento a la estabilidad y calidad de las obras con póliza vigente</t>
  </si>
  <si>
    <t>Inconvenientes con la comunidad y/o sectores interesados</t>
  </si>
  <si>
    <t>Componentes Ambiental. SST y Social</t>
  </si>
  <si>
    <t>1. Actualización del Normograma periódicamente.
2. Realización de los comités operativos en donde se socializan los diferentes cambios que surten las normas.
3. Divulgación a los servidores públicos del IDU, de los cambios que sufre la norma y cómo afecta al SIG. 
4. Revisión y validación de los documentos generados dentro del Sistema Integrado a fin de evaluar que estos estén acordes a los lineamientos vigentes al interior de la entidad.</t>
  </si>
  <si>
    <t>Intranet</t>
  </si>
  <si>
    <t>No dar cumplimiento a los programas de vigilancia epidemiológica, estudios de la ARL.</t>
  </si>
  <si>
    <t xml:space="preserve">Que los exámenes de ingreso, periódicos y/o de retiro no sean realizados. </t>
  </si>
  <si>
    <t>1. No ejecutar las acciones del plan de mantenimiento según lo programado.
2. Retrasos en la ejecución del Plan Anual de Adquisiciones.
3. Afectación del PAC del proceso</t>
  </si>
  <si>
    <t>Solicitud de ampliación de plazos para evaluación de ofertas u otras actividades dentro del proceso de selección.</t>
  </si>
  <si>
    <t xml:space="preserve">Baja calidad del suministro de bienes  y/o servicios </t>
  </si>
  <si>
    <t>Falta de organización para la ejecución del contrato por parte del contratista</t>
  </si>
  <si>
    <t>Falta de celeridad y competencia de la aseguradora en la definición y/o trámite de un siniestro.</t>
  </si>
  <si>
    <t>Servicio de Vigilancia y Seguridad y Control de Acceso a la Entidad</t>
  </si>
  <si>
    <t xml:space="preserve">Incumplimiento del manual de seguridad y vigilancia del IDU por parte del equipo vigilancia y servidores públicos. </t>
  </si>
  <si>
    <t>Fallas en los equipos tecnológicos que soportan el control de acceso a la Entidad</t>
  </si>
  <si>
    <t xml:space="preserve">Ausencia de autocontrol y descuido de los objetos personales y de la entidad, por parte de funcionarios y contratistas y de personal de vigilancia y seguridad. 
</t>
  </si>
  <si>
    <t>No atención oportuna a requerimientos urgentes e imprescindibles</t>
  </si>
  <si>
    <t xml:space="preserve">No adquisición del bien y/o prestación del servicio a tiempo </t>
  </si>
  <si>
    <t>Comunicaciones internas
Pautas publicitarias</t>
  </si>
  <si>
    <t>Procedimiento de Ejecución de compras</t>
  </si>
  <si>
    <t>Accidentalidad de conductores, pasajeros o peatones</t>
  </si>
  <si>
    <t>Talleres contratados no realizan el mantenimiento en forma adecuada</t>
  </si>
  <si>
    <t>1) Quejas, reclamos, derechos de petición
2) Errores en los reportes o informes generados
3) Aplicación de pagos a otro predio
4) Imposibilidad de expedición de paz y salvos</t>
  </si>
  <si>
    <t>1. GU-GAF-015 Guía pago a terceros.
2. Orden de Pago del sistema PRONTO PAGO.</t>
  </si>
  <si>
    <t>ARANDA.
Registro de llamadas call Center
Email IDU</t>
  </si>
  <si>
    <t>Orfeo
Correo electrónico
ARANDA.</t>
  </si>
  <si>
    <t xml:space="preserve">Protocolo de seguridad
Bitácora </t>
  </si>
  <si>
    <t>1) Reprocesos, ajustes y reclasificaciones.
2) Retrasos en la producción y entrega de los estados, informes y reportes.
3) Estados, informes y reportes presupuestales y contables no confiables y/o no relevantes.</t>
  </si>
  <si>
    <t xml:space="preserve">Inadecuada clasificación de los hechos, transacciones y operaciones  en los estados contables de la entidad y/o en los informes  presupuestales. </t>
  </si>
  <si>
    <t xml:space="preserve">1) Estados, informes y reportes contables no confiables y/o no relevantes.
2) Los estados, informes y reportes conducen a decisiones erradas.
3) Observaciones de los entes de control </t>
  </si>
  <si>
    <t>NÓMINA</t>
  </si>
  <si>
    <t>1. Formato FO-TH-31 INFORMACIÓN BASE AL INGRESO DE PERSONAL 
2. Formato FO-TH-23 RUTA DE SEGUIMIENTO POSESIONES
3. Reportes, Certificados y/o formularios de afiliación, generados por cada entidad.</t>
  </si>
  <si>
    <t>1. Formato FO-TH-12 PERMISOS Y LICENCIAS
2. Oficios
3. Actos Administrativos</t>
  </si>
  <si>
    <t>1. Flash IDU
2. Memorandos
3. Circular de Programación de Pagos de Nómina.
4. Formato FO-TH- 29 LISTA DE CHEQUEO NÓMINA</t>
  </si>
  <si>
    <t>Ingreso del registro de forma errónea.</t>
  </si>
  <si>
    <t>Liquidación de Prenómina (KACTUS)</t>
  </si>
  <si>
    <t>1. ORFEO
2. KACTUS
3. Historia Laboral</t>
  </si>
  <si>
    <t>Indisponibilidad y/o retrasos de los servicios</t>
  </si>
  <si>
    <t xml:space="preserve">Sistema ORFEO y correos electrónicos </t>
  </si>
  <si>
    <t>Planillas de traslado de documentos</t>
  </si>
  <si>
    <t>Socialización de los procesos técnicos en gestión documental al personal asignado.</t>
  </si>
  <si>
    <t>Manual de Interventoría y Supervisión y coordinación de contratos</t>
  </si>
  <si>
    <t>R.__.__</t>
  </si>
  <si>
    <t>Etapa de Hacer</t>
  </si>
  <si>
    <t>Memorando - ORFEO</t>
  </si>
  <si>
    <t>Inadecuado manejo de la información en los asuntos de carácter disciplinario a cargo de la OCD</t>
  </si>
  <si>
    <t>1. Desactualización de los sistemas de información de la OCD
2. Falta de fiabilidad en los reportes que emita la OCD
3. Pérdida parcial o total de información de los expedientes a cargo de la OCD
4. Inicio de acciones disciplinarias y/o penales en contra de los responsables
5. Imposibilidad de reconstrucción de expedientes
6. Violación de la reserva procesal
7. Violación de la reserva legal a que están sometidos los datos personales sensibles
8. Posibilidad de declaratoria de nulidades en los procesos disciplinarios o que se revoquen las decisiones adoptadas en la OCD
9. Acciones legales en contra de la OCD</t>
  </si>
  <si>
    <t>Incumplimiento de los términos legales en los procesos disciplinarios</t>
  </si>
  <si>
    <t>1. Violación del derecho al debido proceso.
2. Dilación de términos en los procesos disciplinarios.
3. Los procesos disciplinarios podrían no contar con el debido soporte probatorio para tomar la decisión que en derecho corresponda.
4. Prescripción de la acción disciplinaria.
5.Procesos disciplinarios en contra de los responsables.</t>
  </si>
  <si>
    <t>Indebida aplicación de la normatividad de carácter disciplinario</t>
  </si>
  <si>
    <t>Desconocimiento del procedimiento del plan de mejoramiento por parte de los responsables</t>
  </si>
  <si>
    <t>Falta de compromiso de responsables involucrados en el tema</t>
  </si>
  <si>
    <t>Constante rotación de personal de apoyo en la gestión de planes de mejoramiento en los diferentes procesos y/o dependencias</t>
  </si>
  <si>
    <t>1. Sensibilización a los diferentes procesos en lo concerniente a la formulación y seguimiento a los planes de mejoramiento.</t>
  </si>
  <si>
    <t>1. Listas de asistencia.
2. Memorandos, email, actas de reunión.</t>
  </si>
  <si>
    <t>Dificultades en la consecución de información requerida para la formulación del plan de mejoramiento</t>
  </si>
  <si>
    <t>1. Aplicación de las políticas de operación contenidas en el procedimiento PR-MC-04 Respuesta informe auditoria y gestión plan mejoramiento organismos control.</t>
  </si>
  <si>
    <t>Inadecuada formulación de las acciones planteadas (definición de plazos muy cortos, indicadores, responsables, acciones)</t>
  </si>
  <si>
    <t>No involucrar a las diferentes áreas que tienen ingerencia y/o responsabilidades en la formulación de un plan de mejoramiento</t>
  </si>
  <si>
    <t>Inexistencia y/o inadecuado seguimiento y compromiso por parte del director o jefe de la dependencia responsable</t>
  </si>
  <si>
    <t>Constante rotación de personal de apoyo a la gestión para el seguimiento de planes de mejoramiento</t>
  </si>
  <si>
    <t>1. Procedimiento de planes de mejoramiento
2. Listas de asistencia 
3. Informes mensuales y final</t>
  </si>
  <si>
    <t>Insuficiencia de recursos presupuestados para la ejecución del plan  de mejoramiento</t>
  </si>
  <si>
    <t>Labor Preventiva
(Disciplinario)</t>
  </si>
  <si>
    <t>Deficiente desarrollo de la labor preventiva</t>
  </si>
  <si>
    <t>Fallas en la plataforma tecnológica para la elaboración y envío del flash disciplinario y/o productos de la labor preventiva de la OCD</t>
  </si>
  <si>
    <t>1. El IDU pone a disposición los dispositivos de tecnología y los medios de comunicación interna para la difusión de los productos elaborados por la OCD para desarrollar la labor preventiva</t>
  </si>
  <si>
    <t>1. La SDP cierra el sistema, generando incumplimiento de la circular de seguimiento.
2. Retrasos en el proceso de programación y seguimiento de la territorialización.
3. No contar con informes de territorialización para brindar a la comunidad
Observaciones .</t>
  </si>
  <si>
    <t>ACTUALIZADA :</t>
  </si>
  <si>
    <t>01 de Mayo - 30 de Agosto</t>
  </si>
  <si>
    <t>LUCY MOLANO RODRIGUEZ</t>
  </si>
  <si>
    <t>Tráfico de influencias para la atención y/o gestión de las necesidades expuestas por un ciudadano o grupo de ciudadanos, con el fin de favorecer a estos.</t>
  </si>
  <si>
    <t>No permitir o limitar el control social  de la ciudadanía frente a los proyectos de infraestructura vial y de espacio público de competencia del IDU, con el fin de beneficiar un particular.</t>
  </si>
  <si>
    <t xml:space="preserve">Formato de encuestas de satisfacción.
</t>
  </si>
  <si>
    <t>JEFE DE OFICINA DE ATENCIÓN AL CIUDADANO</t>
  </si>
  <si>
    <t xml:space="preserve">1. Que la interventoría no ejerce el debido control y seguimiento a la inversión del anticipo </t>
  </si>
  <si>
    <t>1. Que la interventoría no ejerce el debido control y seguimiento a la ejecución reportada en las actas de recibo parcial y/o final de obra</t>
  </si>
  <si>
    <t>Uso indebido del poder para la aprobación por parte del interventor en la elaboración y/o ajuste de  estudios y diseños sobredimensionados por parte del constructor  en la etapa de ejecución de obras.</t>
  </si>
  <si>
    <t>Que por extralimitación u omisión por parte de la interventoría y/o contratista y/o supervisión del contrato, se dé mal uso por parte del contratista de los dineros girados por concepto de anticipo, con el fin de favorecer un tercero.</t>
  </si>
  <si>
    <t>1. Formato Acta de Mayores Cantidades de Obra.</t>
  </si>
  <si>
    <t>C.VF.01</t>
  </si>
  <si>
    <t>Manipular o alterar la información de los predios en cuanto a los factores y atributos requeridos para la liquidación y/o visita de verificación, omitiendo o extralimitándose en funciones u olbigaciones contractuales, con el fin de beneficiar un particular</t>
  </si>
  <si>
    <t>Comparación bases de datos IDU frente a la de CATASTRO 
Verificar la información de las planillas con la información almacenada en el sistema de información
Revisar coincidencia de datos del inventario con los de las bases y verificar con la fotografía</t>
  </si>
  <si>
    <t>Documento descriptivo de los procedimientos y resultados generados en el control de calidad
Registro de datos e imágenes</t>
  </si>
  <si>
    <t>C.VF.04</t>
  </si>
  <si>
    <t>Que por omisión se expidan paz y salvos de predios con deuda pendiente, con el fin de favorecer un tercero|.</t>
  </si>
  <si>
    <t>C.VF.05</t>
  </si>
  <si>
    <t>C.VF.06</t>
  </si>
  <si>
    <t>C.VF.07</t>
  </si>
  <si>
    <t>C.VF.08</t>
  </si>
  <si>
    <t xml:space="preserve">Generación de la resolución a través de Valoricemos que se encuentra en interfaz con Orfeo. 
El revisor realiza el control de calidad de los actos administrativos proyectados por el abogado y lo asigna, a través de la plataforma Orfeo a la SGJ.
</t>
  </si>
  <si>
    <t>Pago a profesionales de la entidad para que otorguen el permisos sin el cumplimiento de los requisitos exigidos.</t>
  </si>
  <si>
    <t>Acuerdos entre el concesionario y el profesional de la entidad, para no reportar la totalidad de costos variables</t>
  </si>
  <si>
    <t>Utilización irregular y/o fuga de la información conocida con ocasión de sus funciones y/u obligaciones  contractuales por quienes intervienen en el proceso de selección, con el propósito de favorecer a un particular</t>
  </si>
  <si>
    <t>20
MODERADA</t>
  </si>
  <si>
    <t>1. Investigaciones Disciplinarias. 
2. Hallazgos por parte de los entes de control.
3. Demandas a la entidad.
4. Alteración del alcance del proyecto.
5. Reprocesos administrativos.
6.Impacto reputacional del instituto en cuanto la perdida de confianza y credibilidad.</t>
  </si>
  <si>
    <t>40
ALTA</t>
  </si>
  <si>
    <t>Aplicación del manual de Interventoría y supervisión contractual del Instituto lograr una ejecución que permita el cumplimiento de los objetivos Estatales.</t>
  </si>
  <si>
    <t xml:space="preserve">
Actas de seguimiento a la ejecución contractual
Informes de ejecución de los contratos y seguimiento al mismo</t>
  </si>
  <si>
    <t>Tomar decisiones que contradicen la ejecución presupuestal las cuales  alteran la destinación inicial de los recursos, omitiendo la normatividad presupuestal vigente.</t>
  </si>
  <si>
    <t>Adulteración, sustracción, robo y manipulación de los archivos y documentos del IDU con el fin de beneficiar a un particular</t>
  </si>
  <si>
    <t>01 de Septiembre - 30 de Diciembre</t>
  </si>
  <si>
    <t>1. Que la interventoría no ejerce el debido control y seguimiento a la elaboración y/o ajuste de estudios y diseños requeridos en el etapa de ejecución de obra.
2. Que los diseños iniciales no se ajustan a la realidad del proyecto.
3. Solicitud de nuevas obras en la etapa de ejecución de obras por parte de las ESP y otras entidades.</t>
  </si>
  <si>
    <t>1. Que la interventoría no ejerce el debido control y seguimiento a la elaboración de los análisis de precios unitarios No previstos que no se encuentren en la base de Datos del IDU.
2. Productos de estudios y diseños deficientes o desactualizados.</t>
  </si>
  <si>
    <t>*Minuta del contrato 
*Manual de Interventoría  y/o Supervisión de Contratos del IDU
*Informe mensual de Inversión y buen manejo del anticipo
*Oficios remitdos</t>
  </si>
  <si>
    <t>* Informe mensual de interventoría
* Manual de Interventoría
manual de Gestión Contractual
* Acta de Recibo Parcial De obra
* Acta de Recibo Final de Obra
*Oficios remitidos</t>
  </si>
  <si>
    <t>Acuerdo entre el titular de la licencia y los profesionales de la entidad para recibir las recuperaciones del espacio público intervenido con Licencia de Excavación sin el cumplimiento de las especificaciones vigentes.</t>
  </si>
  <si>
    <t>1. Información enviada por las áreas que no se ajuste a la realidad de la gestión institucional y operacional.
 2. Presiones de funcionarios con poder de decisión para ajustar resultados de la gestión.</t>
  </si>
  <si>
    <t>25
MODERADA</t>
  </si>
  <si>
    <t>50
ALTA</t>
  </si>
  <si>
    <t>100
EXTREMO</t>
  </si>
  <si>
    <t>80
EXTREMO</t>
  </si>
  <si>
    <t>15
MDOERADA</t>
  </si>
  <si>
    <t>30
ALTA</t>
  </si>
  <si>
    <t>60
EXTREMO</t>
  </si>
  <si>
    <t>VALOR</t>
  </si>
  <si>
    <t>SUBDIRECCIÓN TÉCNICA JURÍDICA Y EJECUCIONES FISCALES</t>
  </si>
  <si>
    <t>SUBDIRECCIÓN TÉCNICA DE OPERACIONES</t>
  </si>
  <si>
    <t>SUBDIRECCIÓP TÉCNICA DE PRESUPUESTO Y CONTABILIDAD</t>
  </si>
  <si>
    <t>SUBDIRECCIÓN TÉCNICA DE RECURSOS TECNOLÓGICOS</t>
  </si>
  <si>
    <t>SUBDIRECCIÓN TÉCNICA DE MANTENIMIENTO SUBSISTEMA DE TRANSPORTE</t>
  </si>
  <si>
    <t>SUBDIRECCIÓN TÉCNICA DE MANTENIMIENTO DEL SUBSISTEMA VIAL</t>
  </si>
  <si>
    <t>SUBDIRECCIÓN TÉCNICA DE EJECUCIÓN SUBSISTEMA DE TRANSPORTE</t>
  </si>
  <si>
    <t>SUBDIRECCIÓN TÉCNICA DE EJECUCIÓN DEL SUBSISTEMA VIAL</t>
  </si>
  <si>
    <t>DIRECCIÓN TÉCNICA DE APOYO A LA VALORIZACIÓN</t>
  </si>
  <si>
    <t xml:space="preserve">DIRECCIÓN TÉCNICA DE GESTIÓN JUDICIAL </t>
  </si>
  <si>
    <t>DIRECCIÓN TÉCNICA DE PROCESOS SELECTIVOS</t>
  </si>
  <si>
    <t>DIRECCIÓN TÉCNICA DE ADMINISTRACIÓN DE INFRAESTRUCTURA</t>
  </si>
  <si>
    <t xml:space="preserve">DIRECCIÓN TÉCNICA DE MANTENIMIENTO </t>
  </si>
  <si>
    <t>DIRECCIÓN TÉCNIA DE DISEÑO DE PROYECTOS</t>
  </si>
  <si>
    <t>DIRECCIÓN TÉCNICA ESTRATÉGICA</t>
  </si>
  <si>
    <t>SUBDIRECCIÓN GENERAL JURÍDICA</t>
  </si>
  <si>
    <t>SUBDIRECCION GENERAL DE INFRAESTRUCTURA</t>
  </si>
  <si>
    <t xml:space="preserve">OFICINA DE CONTROL INTERNO </t>
  </si>
  <si>
    <t>DIRECCIÓN GENERAL</t>
  </si>
  <si>
    <t>Proceso</t>
  </si>
  <si>
    <t>Monitoreo</t>
  </si>
  <si>
    <t>Cuatrianual</t>
  </si>
  <si>
    <t>Anual</t>
  </si>
  <si>
    <t>Semestral</t>
  </si>
  <si>
    <t>Periodo</t>
  </si>
  <si>
    <t>Evitar</t>
  </si>
  <si>
    <t>Reducir</t>
  </si>
  <si>
    <t>Administración</t>
  </si>
  <si>
    <t>Correctivo</t>
  </si>
  <si>
    <t>Detectivo</t>
  </si>
  <si>
    <t>Preventivo</t>
  </si>
  <si>
    <t>Control</t>
  </si>
  <si>
    <t>Definir e Implementar prácticas en Calidad, Gestión Ambiental y Seguridad y Salud en el Trabajo de acuerdo con las necesidades organizacionales, los requisitos legales y normativos con el fin de mejorar el desempeño de la Entidad.</t>
  </si>
  <si>
    <t>JEFE OFICINA ASESORA</t>
  </si>
  <si>
    <t>Identificar, establecer, implementar y ejecutar acciones para incrementar el desempeño de los procesos con el propósito de fortalecer el Sistema Integrado de Gestión a través de la aplicación de metodologías de mejoramiento y acciones de prevención.</t>
  </si>
  <si>
    <t>1. Baja apropiación de los valores éticos establecidos en el Acuerdo Ético de la entidad.
2. Omitir de manera intencionada la aplicación de las metodologías establecidas para identificar las causas raíz , y/o su correcta y pertinente formulación, en la determinación de acciones correctivas, preventivas, y/o de mejoramiento.
3. Omisión intencional de la revisión de las acciones correctivas, preventivas, y/o de mejoramiento.</t>
  </si>
  <si>
    <t>Formulación de acciones correctivas, preventivas, y/o de mejoramiento cuyo contenido esté dirigido a evadir y/o eliminar controles necesarios, así como a proponer acciones inocuas o que favorezcan intereses de terceros.</t>
  </si>
  <si>
    <t>1.  Servidores con poder de decisión que influyen en el direccionamiento del mejoramiento institucional, definiendo políticas o instrucciones que impactan negativamente los mecanismos de control y el mejoramiento efectivo.
2. Intereses políticos y  presiones de terceros, que influyen en decisiones de la administración.</t>
  </si>
  <si>
    <t>C.MC.02</t>
  </si>
  <si>
    <t>Formulación intencional del mejoramiento institucional para favorecer intereses de terceros perjudicando la misión de la Entidad.</t>
  </si>
  <si>
    <t>Actualización del Código de Buen Gobierno.
Ejecución del Plan de Acción del Sistema de Control Interno.</t>
  </si>
  <si>
    <t>Plataforma Estratégica
Documentos del SIG aprobados
Registros de Auditoría
Presentación Informe de la Ley 1474 del 2011</t>
  </si>
  <si>
    <t>1. Aplicación de la política de gestión social y servicio a la ciudadanía del IDU.
2. Inclusión y cumplimiento de requisitos de puntos de atención al ciudadano 
3. Divulgación de los proyectos y sus avances a través de la WEB  y de medios masivos de comunicación.</t>
  </si>
  <si>
    <t>Divulgar de manera eficaz, eficiente y oportuna la gestión de la entidad, con el fin de garantizar el derecho de la información, dar a conocer la ejecución de los recursos públicos, lograr la identidad institucional al interior de la organización y fortalecer la cultura ciudadana.</t>
  </si>
  <si>
    <t>CARLOS ANDRES ESPEJO OSORIO</t>
  </si>
  <si>
    <t>1. Presión por parte del nivel directivo
2. Tráfico de influencias
3. Interpretaciones subjetivas dentro de los informes de auditoría y/o evaluación en provecho propio o de un tercero
4. Carencia de valores y/o  falta de aplicación del código de ética por parte de los auditores.</t>
  </si>
  <si>
    <t>Informes  de Ley e informes de evaluación ajustados a intereses personales y/o de un tercero</t>
  </si>
  <si>
    <t>1. Relaciones familiares y/o de amistad entre el auditor y auditado
2. Tráfico de influencias
3. Amenazas 
4. Carencia de valores y/o  falta de aplicación del código de ética por parte de los auditores.</t>
  </si>
  <si>
    <t>No informar, cuando sea pertinente, a las autoridades competentes respecto de la existencia de presuntas irregularidades encontradas en los procesos de auditoría y/o evaluación.</t>
  </si>
  <si>
    <t>Afectación del proceso disciplinario
Necesidad de reconstrucción del expediente o piezas procesales
Acciones legales contra la Entidad
Acciones disciplinarias y/o penales, en contra del responsable(s)
Impunidad.
Pérdida de credibilidad del operador disciplinario.</t>
  </si>
  <si>
    <t>Edgar Francisco Uribe Ramos</t>
  </si>
  <si>
    <t>1. Posible demora en los trámites de aprobación y armonización con las ESP.                                                                       2.  Sobrecostos por la necesidad de ajustes y actualizaciones a los diseños aprobados.                                                     3.  Inicio de procesos legales, tales como disciplinarios en contra de los funcionarios y demandas en contra de los consultores implicados.
4. Posibles hallazgos de los Entes de Control</t>
  </si>
  <si>
    <t>1. Posible demora en los trámites de aprobación y armonización con las ESP.                                                                       2. Sobrecostos por la necesidad de ajustes y actualizaciones a los diseños aprobados.                                                     3.  Inicio de procesos legales, tales como demandas, en contra de los consultores e interventores implicados. 
4. Posibles hallazgos de los Entes de Control.</t>
  </si>
  <si>
    <t>Uso indebido del poder por parte del interventor para aprobar Ítems no previstos por fuera de los valores del mercado con el fin de beneficiar al contratista y/o el mismo interventor</t>
  </si>
  <si>
    <t>Que por omisión o extralimitación de funciones o de común acuerdo con el contratista el interventor apruebe Mayores cantidades de obra injustificados con el fin de beneficiar al contratista y/o el mismo interventor</t>
  </si>
  <si>
    <t>Que por omisión o extralimitación de funciones se suscriba el acta de recibo parcial y/o final de obra, sin el debido cumplimiento de los requisitos técnicos  ni  contractuales, con el fin de favorecer al contratista y/o interventor.</t>
  </si>
  <si>
    <t xml:space="preserve">*Documentos  contractuales
*Manual de interventoría y/o supervisión de contratos  IDU
*Oficios remitidos 
*Memorandos remitidos
</t>
  </si>
  <si>
    <t>DTAI - Ricardo Andrés Mosquera Noguera</t>
  </si>
  <si>
    <t>DTAI - Álvaro Enrique Reinoso Guerra</t>
  </si>
  <si>
    <t>DTAI - Magda Cristina Amado Galindo</t>
  </si>
  <si>
    <t>EDGAR FRANCISCO URIBE RAMOS</t>
  </si>
  <si>
    <t>Que por omisión o extralimitación de funciones  o por instrucciones de la alta gerencia o por indebida presión de terceros se celebren contratos sin el cumplimiento de los requisitos establecidos  por la normatividad con el ánimo de favorecer un particular.</t>
  </si>
  <si>
    <t>Omisión y/o modificación al momento de incluir la información  en la elaboración de las minutas (clausulado específico del contrato)
Presiones internas o externas para alterar los documentos contractuales</t>
  </si>
  <si>
    <t xml:space="preserve">1. Sustitución o manipulación de documentos financieros por parte de terceros o por parte de funcionarios.
2. Uso indebido del poder para modificar el orden de turno de las cuentas.
</t>
  </si>
  <si>
    <t>1. Investigaciones disciplinarias y/o fiscales.
2. Detrimento patrimonial</t>
  </si>
  <si>
    <t>Subdirectora Técnica de
Recursos Humanos</t>
  </si>
  <si>
    <t>Registro en el sistema STONE módulo inventarios
Revisión para validación y firma del formato de paz y salvo de la Entidad
Reporte de existencias del aplicativo Stone y planilla de arqueos en Bodega</t>
  </si>
  <si>
    <t>Contratación indebida
Pérdida de imagen institucional
Afectación en la prestación del servicio
Favorecimiento  a terceros</t>
  </si>
  <si>
    <t>Detrimento en el patrimonio público
Afectación al servicio
Pérdida de confianza hacia la Entidad
Pérdida de imagen institucional</t>
  </si>
  <si>
    <t>Actividades de socialización al personal de la STRF en el cumplimiento del manual interventoría y supervisión de contratos
Revisión de informes de supervisión frente a las obligaciones contractuales
Reuniones de seguimiento con el contratista para verificar ejecución y cumplimiento de los contratos.
Designación por parte del supervisor del contrato del personal de apoyo a esta labor.</t>
  </si>
  <si>
    <t>1. En los préstamos de documentación, los funcionarios o contratistas sustraigan o adulteren documentación y colecciones, u otros documentos en general
2. Acuerdos entre funcionarios que administran la documentación y terceros interesados en manipular o sustraer la información.
3. Ineficiencia de los controles y mecanismos de préstamos de documentos digitalizados
4. Falta de divulgación y socialización de las políticas de seguridad de la documentación</t>
  </si>
  <si>
    <t xml:space="preserve">Se cuenta con reporte impreso de los préstamos realizados como mecanismo de control en caso de fallo de los sistemas
Verificación de la firma del acuerdo de confidencialidad.
Revisión y control de los expedientes virtuales frente a los físicos que impida pérdida de documentación
</t>
  </si>
  <si>
    <t>Formatos de préstamo
Formato PRÉSTAMO_DE_DOCUMENTOS_EN_EL_ARCHIVO_CENTRAL
Minuta de Contrato
Formato de confidencialidad de la empresa de Outsourcing</t>
  </si>
  <si>
    <t xml:space="preserve">1. Falla de Políticas para el manejo de información. 
 2. Complicidad de funcionarios o proveedores para cometer actividades de fraude o corrupción. </t>
  </si>
  <si>
    <t>Uso indebido de información crítica y sensible de los procesos de la Entidad, por parte de las personas que realizan el procesamiento técnico,  almacenamiento y custodia de la información</t>
  </si>
  <si>
    <t>Investigaciones disciplinarias 
Investigaciones administrativas
Obstaculización de investigaciones
Deterioro de la imagen institucional</t>
  </si>
  <si>
    <t xml:space="preserve">Capacitaciones en la administración documental física y digitalizada
Comunicaciones y programación de la transferencia documental 
Aplicación del  Manual de Gestión Documental
</t>
  </si>
  <si>
    <t xml:space="preserve">Listas de asistencias a Capacitaciones
Manual de Gestión Documental y documentación actualizada del proceso 
Actas de capacitación
Planillas de transferencia documental al archivo central
Memorandos de transferencia </t>
  </si>
  <si>
    <t>Control físico y lógico para el acceso al centro de cómputo. 
Control de acceso lógico a las aplicaciones y a las bases de datos.
Cámaras de video.  
Sistema de copias de seguridad de la información.  
Política de bloqueo de estación.  
Requerimiento por parte de los funcionarios para el acceso a los servicios con autorización del jefe de la dependencia.  
Implementación y seguimiento a los acuerdos de transmisión segura de datos entre las entidades financieras y los servicios internos de recaudo.</t>
  </si>
  <si>
    <t>Planillas que incluyen la actualización de factores prediales.
Proyecto de Acuerdo revisado por las dependencias según procedimiento de Estructuración.</t>
  </si>
  <si>
    <t>C.VF.03</t>
  </si>
  <si>
    <t xml:space="preserve">Manipular o excluir la informacion de los intereses, afectando la liquidación, con el ánimo de beneficiar a  un tercero </t>
  </si>
  <si>
    <t xml:space="preserve">
Se están haciendo revisiones periódicas al riesgo, para evitar que se materialice. </t>
  </si>
  <si>
    <t>Registro en el sistema de correspondecia Orfeo y en el aplicativo Valoricemos.</t>
  </si>
  <si>
    <t>Implementar buenas prácticas de gestión de proyectos basadas en los lineamientos del Project Management Institute – PMI® aplicables al entorno corporativo del IDU, que contribuyan al cumplimiento de los objetivos institucionales, al mejoramiento integral de la organización y al  desempeño eficiente y eficaz de los proyectos y/o etapas del ciclo de vida que desarrolla la entidad.</t>
  </si>
  <si>
    <t xml:space="preserve">1)  Los informes de avance de los proyectos generados por los contratistas y/o interventores contienen información adulterada y/o falsa.
2) Presión indebida de los grupos de interés del proyecto (internos y/o externos) para manipular u omitir la información de avance de los proyectos que se registra en el Sistema de Gestión Integral de Proyectos ZIPA.
3)  Acuerdo entre las partes para omitir y/o dilatar el cargue de la información de avance de los proyectos en el Sistema de Gestión Integral de Proyectos ZIPA.
</t>
  </si>
  <si>
    <t>1) Desconocimiento del estado real de los proyectos.
2) No contar con información actualizada para la toma oportuna de decisiones.
3) No generar en forma oportuna acciones de mejora para promover el cumplimiento de las metas de los proyectos.
4) Remitir información inexacta como parte de las respuestas a grupos de interés y/o entes de control que solicitan información de los proyectos.
5) Pérdida de credibilidad de la entidad tanto a nivel interno como externo.
6) Procesos sancionatorios a contratistas y/o interventores y procesos disciplinarios a funcionarios.
7) Reprocesos administrativos.</t>
  </si>
  <si>
    <t>1) Realizar reuniones periódicas entre el equipo interdisciplinario y los responsables de elaborar, revisar y aprobar los informes de avance de los proyectos.
2) Revisar los informes de avance de los proyectos recibidos por las áreas misionales.
3) Actualizar y consolidar la información de avance de los proyectos en el Sistema de Gestión Integral de Proyectos ZIPA.
4) Realizar el seguimiento del desempeño de los proyectos con base en la información registrada en el Sistema de Gestión Integral de Proyectos ZIPA.</t>
  </si>
  <si>
    <t>JEFE OFICINA</t>
  </si>
  <si>
    <t>PROCESO
DE ANÁLISIS:</t>
  </si>
  <si>
    <t>RIESGO INHERENTE</t>
  </si>
  <si>
    <t>EFECTO</t>
  </si>
  <si>
    <t>RIESGO RESIDUAL</t>
  </si>
  <si>
    <t>Cód.</t>
  </si>
  <si>
    <t>DOCUMENTACIÓN</t>
  </si>
  <si>
    <t>Niv Dismi</t>
  </si>
  <si>
    <t>Menor</t>
  </si>
  <si>
    <t>ASPECTOS DE CARACTER POLITICO/ADMINISTRATIVO, QUE INFLUYAN EN EL MOMENTO DE LA COMUNICACIÓN</t>
  </si>
  <si>
    <t>NO CONTAR CON  LOS RECURSOS NECESARIOS PARA EL PROCESO DE COMUNICACIONES.</t>
  </si>
  <si>
    <t>1. En el manual de comunicaciones se encuentra definido quienes son los voceros para cada de las situaciones que se presenten. 
2. La oficina asesora de comunicaciones realiza seguimiento a cada una de las publicaciones o entrevistas que se dan a los medios de comunicación.</t>
  </si>
  <si>
    <t>QUE NO SE APLIQUE UN PROTOCOLO PARA DAR INFORMACIÓN A LAS PARTES INTERESADAS</t>
  </si>
  <si>
    <t>Alta</t>
  </si>
  <si>
    <r>
      <rPr>
        <b/>
        <i/>
        <sz val="8"/>
        <rFont val="Arial"/>
        <family val="2"/>
      </rPr>
      <t>OBSERVACIONES</t>
    </r>
    <r>
      <rPr>
        <i/>
        <sz val="8"/>
        <rFont val="Arial"/>
        <family val="2"/>
      </rPr>
      <t>: Indique para ésta versión, el código de los riesgos nuevos y justifique el por qué de los riesgos eliminados. (Adicional registre las observaciones que considere necearias):</t>
    </r>
  </si>
  <si>
    <t>Revisión y aprobación del líder del proceso y líderes operativos:</t>
  </si>
  <si>
    <t>Expedición y recibo de Licencias de Excavación</t>
  </si>
  <si>
    <t xml:space="preserve">Documentos con información errada y/o no correspondientes a la solicitud efectuada. </t>
  </si>
  <si>
    <t>Monitoreo de los pasos elevados vehiculares y peatonales</t>
  </si>
  <si>
    <t>Remota</t>
  </si>
  <si>
    <t>Baja</t>
  </si>
  <si>
    <r>
      <rPr>
        <b/>
        <i/>
        <sz val="8"/>
        <rFont val="Arial"/>
        <family val="2"/>
      </rPr>
      <t>OBSERVACIONES</t>
    </r>
    <r>
      <rPr>
        <i/>
        <sz val="8"/>
        <rFont val="Arial"/>
        <family val="2"/>
      </rPr>
      <t>: Indique para ésta versión, el código de los riesgos nuevos y justifique el por qué de los riesgos eliminados. (Adicional registre las observaciones que considere necesarias):</t>
    </r>
  </si>
  <si>
    <t>GUSTAVO MONTAÑO RODRÍGUEZ</t>
  </si>
  <si>
    <t>Recibo parcial y/o final de  Obras sin el cumplimiento de las condiciones técnicas.</t>
  </si>
  <si>
    <t xml:space="preserve">No contar con los requisitos y aprobaciones por parte de ESP, entidades distritales y nacionales necesarios para la etapa de ejecución de Obra.
</t>
  </si>
  <si>
    <t>Falta de seguimiento oportuno e integral de los componentes técnico, Ambiental, SST y Social durante la ejecución de los contratos a cargo.</t>
  </si>
  <si>
    <t>Insignificante</t>
  </si>
  <si>
    <t xml:space="preserve">1. Desconocimiento de la metodología de seguimiento por parte de las personas involucradas (SEGPLAN).
2. Incumplimiento de plazos establecidos para el reporte por parte de las áreas.
3. Diferencias metodológicas de los software de información geográfica del IDU vs. SDP.
</t>
  </si>
  <si>
    <t>* Listas de asistencia
* ORFEO Gestión Documental
* Reportes del sistema</t>
  </si>
  <si>
    <t>OCI - OCD - OAP</t>
  </si>
  <si>
    <t>Etapa
Planear
Hacer
Verificar
Actuar</t>
  </si>
  <si>
    <t>No contar con una adecuada metodología de evaluación Independiente</t>
  </si>
  <si>
    <t>1. Desvío de políticas, objetivos y metas establecidos por la Entidad.
2. Debilitamiento del Sistema de Control Interno.
3. Incumplimiento de objetivos del SCI</t>
  </si>
  <si>
    <t>No contar con una adecuada metodología de autoevaluación de control</t>
  </si>
  <si>
    <t>Normograma IDU</t>
  </si>
  <si>
    <t>Registros de sensibilización</t>
  </si>
  <si>
    <t>OAP, SGDU, STRH</t>
  </si>
  <si>
    <t>Que los Servidores Públicos del IDU no cuenten con el conocimiento sobre el Sistema Integrado de Gestión y sus componentes.</t>
  </si>
  <si>
    <t>Accidentes de trabajo y/o enfermedades laborales.</t>
  </si>
  <si>
    <t>Actas de comité 
Informes de seguimiento.</t>
  </si>
  <si>
    <t>Presupuesto insuficiente para desarrollar el plan anual de Seguridad y Salud en el Trabajo.</t>
  </si>
  <si>
    <t>Presupuesto anual aprobado.</t>
  </si>
  <si>
    <t>1. IN-TH-18 Ingreso de personal en carrera, encargo y/o provisionalidad
2. IN-TH-04 Desvinculación de planta.
3. Procedimiento PR-GC-12 Contratación de servicios profesionales de apoyo a la gestión con personas naturales</t>
  </si>
  <si>
    <t>Desconocimiento de técnicas de prevención de accidentes de trabajo.</t>
  </si>
  <si>
    <t>8. Se realizan jornadas de sensibilización y entrenamiento para los servidores públicos del IDU.</t>
  </si>
  <si>
    <t>Inadecuado uso de los elementos de protección personal.</t>
  </si>
  <si>
    <t>9. Capacitaciones periódicas sobre el uso de los elementos de protección personal.
10. Campañas de divulgación del uso adecuado de los elementos de protección personal.</t>
  </si>
  <si>
    <t>Actas de comité 
Piezas comunicacionales.</t>
  </si>
  <si>
    <t>SGJ - DTPS - DTGC</t>
  </si>
  <si>
    <t>x</t>
  </si>
  <si>
    <t>Mayor tiempo en la proyección de actos administrativos relacionados con 
Sancionatorios - Liquidación</t>
  </si>
  <si>
    <t>Demoras en la revisión de los documentos para la estructuración del proceso</t>
  </si>
  <si>
    <t>1. Baja calidad de los  doctumentos del proceso
2. Inconvenientes en la ejecución contractual.
3. Investigaciones administrativas y/o judiciales en contra de los funcionarios y/o contratistas de apoyo a la gestión.
4. Demora en el inicio de los proyectos misionales.
5. Incumplimiento en los plazos de los procedimientos internos.
6. Dificultades para determinar el equipo de trabajo de la DTPS</t>
  </si>
  <si>
    <t>Deficiente elaboración de los pliegos de condiciones</t>
  </si>
  <si>
    <t xml:space="preserve">1. Carpeta de Proceso de Selección.
2. PRGC01 Mínima cuantía contratación hasta el 10 de la menor cuantía
3. PRGC02 Licitación publica
4. PRGC03 Selección abreviada menor cuantía
5. PRGC04 Concurso de méritos abierto o con precalificación
6. PRGC07 Selección abreviada subasta inversa  </t>
  </si>
  <si>
    <t>SGGC - DTAV - STOP - STJEF</t>
  </si>
  <si>
    <t>Asignación Notificación y Envío de Cuentas de Cobro</t>
  </si>
  <si>
    <t>DIRECTOR TECNICO DE APOYO A LA VALORIZACION</t>
  </si>
  <si>
    <t>JOSE ANTONIO VELANDIA CLAVIJO</t>
  </si>
  <si>
    <t>SUBDIRECTOR TECNICO DE OPERACIONES</t>
  </si>
  <si>
    <t>Información desactualizada de  inventarios</t>
  </si>
  <si>
    <t>Que los funcionarios no informen traslados de bienes a su cargo o lleven a cabo el procedimiento en forma indebida.</t>
  </si>
  <si>
    <t>1. Posibles pérdidas físicas de los elementos
2. Falta de confiabilidad en la información del sistema</t>
  </si>
  <si>
    <t>Falta de conocimiento de servidores públicos y contratistas de la responsabilidad que les asiste sobre los bienes asignados.</t>
  </si>
  <si>
    <t>Falta de mantenimiento y actualización del software de inventarios y activos fijos "STONE"</t>
  </si>
  <si>
    <t>No contar con espacios suficientes y adecuados para el almacenamiento de los bienes en deposito</t>
  </si>
  <si>
    <t>Falta de mantenimiento preventivo y correctivo de las bodegas existentes.</t>
  </si>
  <si>
    <t xml:space="preserve">Deficiencias en la planeación de tiempos de las etapas pre contractual y contractual </t>
  </si>
  <si>
    <t xml:space="preserve">1. Deterioro de la imagen Institucional
2. Mobiliario e inmobiliario deteriorado
3. Incumplimiento de metas del plan de acción </t>
  </si>
  <si>
    <t>Contratista no cuenta con la capacidad financiera para ejecutar el contrato</t>
  </si>
  <si>
    <t>Inadecuada atención y agilidad en la definición de siniestros y reclamaciones por parte de la aseguradora.</t>
  </si>
  <si>
    <t>Inadecuada prestación del servicio de transporte del idu</t>
  </si>
  <si>
    <t xml:space="preserve">Archivo en Excel </t>
  </si>
  <si>
    <t>1. Pérdida de activos de la entidad y/o  de los servidores públicos y contratistas, 
2. Posibles demandas,
3. Reclamación y afectación a pólizas.</t>
  </si>
  <si>
    <t xml:space="preserve">Ingreso y retiro de elementos sin el previo registro y autorización por parte de los responsables </t>
  </si>
  <si>
    <t>1. La devolución de pedidos.
2. Incumplimiento contractual por parte del proveedor
3. Que la entidad no cuente con los insumos para su funcionamiento 
4. Deficiente prestación del servicio.</t>
  </si>
  <si>
    <t>Resolución de constitución de caja menor</t>
  </si>
  <si>
    <t>Solicitud de bienes y/o servicios que  se encuentran incluidos en  otros contratos vigentes.</t>
  </si>
  <si>
    <t>Seguridad Vial</t>
  </si>
  <si>
    <t>1. Parque automotor en mal estado
2. Arrollamientos,
3. Choques 
4. Volcamientos
5. Demandas contra la Entidad
6. Baja oferta del parque automotor afectando los servicios de la entidad</t>
  </si>
  <si>
    <t>Fatiga física y mental, pérdida progresiva de la capacidad de respuesta debido a la ejecución prolongada de una tarea, por falta de personal por incapacidades, vacaciones, compensatorios y alta demanda de servicios.</t>
  </si>
  <si>
    <t xml:space="preserve">Biomecánica (postura forzada) Postura sedente durante mas del 50% de la jornada laboral. </t>
  </si>
  <si>
    <r>
      <rPr>
        <b/>
        <i/>
        <sz val="8"/>
        <rFont val="Arial"/>
        <family val="2"/>
      </rPr>
      <t>OBSERVACIONES</t>
    </r>
    <r>
      <rPr>
        <i/>
        <sz val="8"/>
        <rFont val="Arial"/>
        <family val="2"/>
      </rPr>
      <t>: Indique para ésta versión, el código de los riesgos nuevos y justifique el por qué de los riesgos eliminados. (Adicional registre las observaciones que considere necearías):</t>
    </r>
  </si>
  <si>
    <t>1. Las buenas prácticas para transferir y consignar el conocimiento no se están dejando documentadas.
2. Falta de compromiso y responsabilidad de los usuarios en la definición de los requerimientos o mala documentación de los mismos.
3. Falta de aplicación e investigación de arquitecturas de integración.
4. Baja aplicación de metodologías de desarrollo de software orientadas a la gestión de procesos y flujos de trabajo.</t>
  </si>
  <si>
    <t>- Verificación del contenido de los formatos para el ciclo de desarrollo de soluciones de TI por parte del arquitecto de software.  
- Aplicación de metodologías de conocimiento general de especificación de requerimientos donde se establezca participación de las áreas especialistas con los usuarios. Se involucra al usuario en la aceptación del producto o servicio de software. 
- Validación de los requerimientos identificados por las partes interesadas.
- Actualmente se está implementando la arquitectura de información que fue definida previamente.  
- Se ha identificado un conjunto de actividades a realizar para que se apliquen los métodos para la integración de los sistemas de información y estas son asignadas a un grupo de trabajo interno del proceso.</t>
  </si>
  <si>
    <t>- Formatos del ciclo de vida de desarrollo de software.
- Documentación de la arquitectura.
- Actas de Reunión.</t>
  </si>
  <si>
    <t>- Actividades importantes que se deben aplazar.
- Proyectos inconclusos o sin entregables acordes con lo requerido.
- Detención o demora en el registro de datos en los sistemas de información.
- Las solicitudes no puedan ser atendidas en los tiempos esperados.
- Proyectos con prioridad de alto impacto para el funcionamiento del Instituto no pueden ser realizados.
- Demoras en procesamiento de información relevante para el instituto.
- Aislamiento o lentitud en el intercambio de información interna o externa.</t>
  </si>
  <si>
    <t>1 Fallas del servicio prestado por el proveedor en el suministro de: a). canales de comunicación; b). Servicio de energía; c). Soporte técnico especializado.
2 Falta de calidad en el cableado estructurado y los equipos de comunicación que soportan la red.
3 Bajo nivel de control en la generación y restauración de copias de seguridad.
4 Debilidades en la administración de la actualización de la infraestructura.
5 Obsolescencia no controlada de los recursos tecnológicos.
6 Falta de mantenimiento periódico.
7 Desactualización de los últimos parches de seguridad en los servidores.
8 Ausencia de controles para evitar el uso de software no licenciado o realizar copias del software licenciado por el Instituto.
9 Apagado forzado de los equipos servidores, bandejas de almacenamiento y/o elementos activos de red del centro de cómputo.</t>
  </si>
  <si>
    <t>- Se afecta la operación y continuidad del servicio.
- Pérdida de información.
- No disponibilidad de la información oportuna para respaldar o restaurar datos en procesos de contingencia.
- Afectación a la integridad, disponibilidad y confidencialidad de la información.
- Daños en cualquiera de los elementos o equipos del centro de cómputo.</t>
  </si>
  <si>
    <t>Gestión de Servicios de TI</t>
  </si>
  <si>
    <t>Problemas en la relación entre usuarios finales y prestadores de los servicios de T.I.</t>
  </si>
  <si>
    <t>1 Falta de personal especializado y competente para la atención de incidentes en forma oportuna.
2 Incumplimiento de los Acuerdos de Niveles de Servicio ANS.
3 No gestionar la base de conocimiento de manera adecuada.
4 No registrar el 100% de las incidencias / requerimientos de los usuarios en el software Aranda.
5 Alta rotación de personal.
6 Desactualización del catálogo de servicios</t>
  </si>
  <si>
    <t>- Demoras en la operación de los procesos.
- Insatisfacción por parte del cliente interno.
- Deterioro de la credibilidad del proceso frente a las necesidades institucionales.</t>
  </si>
  <si>
    <t>- Portafolio y Catálogo de servicios de tecnologías de la información (DUTI01)
- Informe de seguimiento e Indicador de servicios.
- Actas de la mesa de trabajo de la STRT"
- Reportes de la Herramienta Aranda
- Instructivo de Solicitud de Soporte Técnico por Aranda - USDK (IN-TI-02)
- Campañas de divulgación, Listas de asistencia.
- Informes de gestión del personal PSP.
- Actas de entrega de puesto al finalizar los contratos.
- Paz y salvos.</t>
  </si>
  <si>
    <t>Acceso a los sistemas de información o a los documentos por personas no autorizadas</t>
  </si>
  <si>
    <t>R.TI.07</t>
  </si>
  <si>
    <t>1 Mal uso o abuso de los derechos otorgados como usuario o como administrador.
2 Control inadecuado de fechas, tratamiento de los formatos y/o falta de control para la sincronización de tiempo en los equipos del Instituto.
3 Realización de análisis de flujo de mensajes,  análisis de tráfico, infiltración de comunicaciones, engaño o suplantación de direcciones IP, engaño o suplantación de los servicios de directorio de nombres (DNS) o enrutamiento no autorizado de comunicaciones.  
4 Registro inadecuado de cambios y/o modificaciones. 
5 Abuso de medidas de seguridad para realizar seguimientos no autorizados, o mal uso de los registros de acceso.
6 Conflictos de interés entre las actividades realizadas y las responsabilidades.
7 Falta de definiciones de perfiles de usuario limitados para el acceso a los recursos.</t>
  </si>
  <si>
    <t>-Pérdida o afectación de la imagen institucional.
- Fuga de información.
- Imposibilidad de hacer seguimientos independientes.
(Integridad + Confidencialidad)</t>
  </si>
  <si>
    <t>- La instalación de software se realiza cuando son preparados y configurados los equipos que se entregan al usuario. Las instalaciones de aplicaciones por demanda deben ser autorizadas por los dueños de proceso y realizadas por personal autorizado de la mesa de servicios.
- Adecuada gestión de telecomunicaciones y gestión de las UPS. 
- Trabajos de concienciación en el uso de los equipos.
- Control de la obsolescencia y modernización tecnológica.
- Desarrollo seguro de aplicaciones / Uso del antivirus.</t>
  </si>
  <si>
    <t xml:space="preserve">- Instructivo de preparación de un equipo de usuario. (IN-TI-14)
- Campañas de divulgación sobre el uso y cuidado de los recursos de TIC (OAC - STRT).
- Registros de control de inventario de equipos. </t>
  </si>
  <si>
    <t>- Indisponibilidad y/o retrasos de los servicios
- Pérdida de la Disponibilidad</t>
  </si>
  <si>
    <t>Apoyo a la gestión y Seguridad</t>
  </si>
  <si>
    <t>R.TI.10</t>
  </si>
  <si>
    <t>1 Daños a la información provocado por animales (insectos o roedores).
2 Susceptibilidad de daño en almacenamiento de medios.
3 Almacenamiento no protegido de datos.
4 Ubicación de archivos temporales en lugares con condiciones ambientales no apropiadas.
5 Almacenamiento no estructurado de datos y/o poca disponibilidad de datos respaldados.
6 Tablas de retención documental desactualizadas o no aplicadas.</t>
  </si>
  <si>
    <t>- Contrato de custodia externa.
- Procedimiento de generación de copias de seguridad (PR-TI-11)
- Circular Interna 15 de 2016
- Instructivo de uso adecuado de las carpetas compartidas (en construcción)</t>
  </si>
  <si>
    <t>R.TI.11</t>
  </si>
  <si>
    <t>1 Intento sistemático de usar contraseñas de acceso por personal no autorizado o suplantación de usuarios.
2 Uso inapropiado de equipos de comunicaciones o de medios de procesamiento.
3 Falta de seguimiento a los dispositivos que conforman la seguridad del perímetro físico o lógico de la entidad.</t>
  </si>
  <si>
    <t>- Indisponibilidad y/o retrasos de los servicios
(Disponibilidad)</t>
  </si>
  <si>
    <t>- Instructivo de Administración del Directorio Activo (IN-TI-07).
- Instructivo de protección de la información digital (IN-TI-08).
- Instructivo Uso adecuado de los recursos TI (IN-TI-06).
- Piezas de divulgación OAC.
- Procedimiento de gestión de incidentes de seguridad de la información (PR-TI-22)</t>
  </si>
  <si>
    <t>- Se revisa la adecuada instalación de "parches de seguridad" a través de las consolas de monitoreo de los elementos de tecnología y se hacen revisiones periódicas de dichas aplicaciones a través del procedimiento de revisión de la plataforma.
- Se mantiene control sobre los ambientes de trabajo separados (desarrollo, pruebas y producción).
- Como contramedidas para los ataques de ingeniería social, se evita la atención telefónica a los usuarios y se prefiere el registro de los casos en la herramienta de gestión de TI - Aranda.</t>
  </si>
  <si>
    <t>R.TI.13</t>
  </si>
  <si>
    <t>1 Dificultad para encontrar fallas y/o problemas
2 Desconocimiento de los acuerdos de niveles de servicio y/o los protocolos de reporte de fallas.</t>
  </si>
  <si>
    <t>- Multas o sanciones para el Instituto
(Integridad)</t>
  </si>
  <si>
    <t>- Procedimiento de Gestión de Servicios de TI (PR-TI-06)
- Procedimiento de Gestión de Incidentes de seguridad de la información (PR-TI-22)</t>
  </si>
  <si>
    <t>R.TI.14</t>
  </si>
  <si>
    <t>1 Descarga no controlada de archivos o aplicaciones.
2 Uso de herramientas no autorizadas para revisión de la red o de los equipos de cómputo.
3 Ausencia o desconocimiento de la política de uso de los servicios de red.</t>
  </si>
  <si>
    <t>- Indisponibilidad y/o retrasos de los servicios
- Multas o sanciones para el Instituto</t>
  </si>
  <si>
    <t>- El acceso a los servicios de consulta de información digital externa por medio de Internet está restringido por tipos de contenidos presentados y operado a través de los dispositivos de seguridad perimetral.
- Preventivamente se hace el seguimiento y monitoreo del tráfico de la red interna a través de Nagios.
- Adicionalmente se tiene el control de instalación de software que está restringido por el directorio activo y apoyado por la aplicación de antivirus.</t>
  </si>
  <si>
    <t>- Instructivo de Administración del Directorio Activo (IN-TI-07).
- Documento Definición de Perfiles de navegación para Internet. (En construcción).
- Instructivo de uso del antivirus  (En construcción).
- Registros de tráfico de red en los dispositivos.</t>
  </si>
  <si>
    <t>1 No existencia de políticas sobre el uso del correo electrónico.
2 Frustración o inconformidad por parte de los usuarios.</t>
  </si>
  <si>
    <t>- Indisponibilidad y/o retrasos de los servicios
- (Disponibilidad)</t>
  </si>
  <si>
    <t>- El servicio de correo electrónico es prestado por un tercero, se realizaron sesiones de capacitación respecto al uso del servicio.
- Divulgación y toma de conciencia sobre conceptos de uso adecuado de los recursos de TI, incluyendo el correo electrónico.
- Aplicación de los conceptos y actividades que el proceso de talento humano realiza para mantener el clima laboral, atender las inquietudes de los colaboradores (de planta o contratistas).</t>
  </si>
  <si>
    <t>R.TI.16</t>
  </si>
  <si>
    <t>1 No se cuenta con una política formal sobre la utilización de computadores portátiles.
2 No se han formalizado o no se aplican las condiciones para atender visitas en las oficinas.
3 Dificultad para hacer verificaciones y/o validaciones.
4 No se tiene control de los activos que se encuentran fuera de las instalaciones.</t>
  </si>
  <si>
    <t>- Instructivo de Uso adecuado de los recursos de TI (IN-TI-06).
- Instructivo de uso adecuado de los dispositivos de almacenamiento (IN-TI-05).
- Procedimiento de generación de copias de seguridad (PR-TI-11).
- Instructivo de preparación de un equipo de usuario. (IN-TI-14).
- Libro blanco de Teletrabajo IDU (GU-TH-01).</t>
  </si>
  <si>
    <t>1 Acceso no autorizado al edificio o a las áreas críticas.
2 No contar con el plan de continuidad del negocio.
3 Falla técnica de los elementos dispuestos para proteger la información.
4 Por temblor, vendaval, o fenómeno meteorológico.
5 Por inundación interna o externa.</t>
  </si>
  <si>
    <t>- Violaciones a la seguridad.
- Pérdida de equipos.
- Robo de información, equipos y/o dispositivos.
(Integridad + Confidencialidad)</t>
  </si>
  <si>
    <t>- El acceso a las instalaciones de la STRT, al Centro de Cómputo Principal y a los centros de cableado, se encuentra restringido y controlado.
- Se han identificado los elementos y servicios críticos del proceso de GTIC.
- Se ha diseñado el Plan de continuidad de los servicios de TI.
- Se están actualizando los planes de contingencia e instructivos de recuperación.
- Diseño de Plan de Recuperación ante Desastres para los componentes de TI</t>
  </si>
  <si>
    <t>- Instructivo de ingreso al centro de cómputo y centro de cableado (IN-TI-04)
- Documento de Plan de Continuidad de Servicios de TI (en construcción)
- Documento Plan de Recuperación ante desastres (en revisión)</t>
  </si>
  <si>
    <t>1 Dificultad para hacer verificaciones y/o validaciones.
2 Ausencia de un protocolo de "limpieza o sanitización" de equipos y medios de almacenamiento.
3 Falta de conciencia de los usuarios respecto al uso de los recursos compartidos.</t>
  </si>
  <si>
    <t>- Fuga de información y/o uso indebido de datos institucionales (Confidencialidad)</t>
  </si>
  <si>
    <t>- Instructivo Borrado Seguro y Formateo Final de Equipos (IN-TI-15)
- Campañas de sensibilización con OAC.</t>
  </si>
  <si>
    <t>1 Por fallas en los servicios de suministro de energía eléctrica.
2 Por fallas en la operación de los componentes de la solución de aire acondicionado.
3 Por temblor, vendaval, o fenómeno meteorológico.
4 Por inundación interna o externa.
5. Conato de incendio</t>
  </si>
  <si>
    <t>- Afectación en la prestación de los servicios a los usuarios internos y a la ciudadanía.
(Disponibilidad)</t>
  </si>
  <si>
    <t>- Seguimiento a la gestión de los servicios de suministro contratados a través de la revisión de los informes mensuales entregados por los proveedores antes de autorizar los pagos de facturación.
- Acuerdos de trabajo con el proceso de gestión de recursos físicos.</t>
  </si>
  <si>
    <t>- Gestión de compras de productos y o servicios de tecnología de información (PRTI21)
- Memorando Orfeo (20155260339143)</t>
  </si>
  <si>
    <t>YOHANA PINEDA AFANADOR</t>
  </si>
  <si>
    <t>Subdirectora Técnica</t>
  </si>
  <si>
    <t>SUBDIRECCIÓN TÉCNICA DE RECURSOS HUMANOS (STRH)</t>
  </si>
  <si>
    <t xml:space="preserve">4. Recibo y revisión de las incapacidades radicadas por el servidor a través de la plataforma ORFEO.
5. Recibo y revisión del formato de permisos y licencias debidamente diligenciado y aprobado. 
6. Recibo y revisión de los actos administrativos de aprobación de los permisos y licencias según corresponda. </t>
  </si>
  <si>
    <t>SISTEMA KACTUS CAJERO  DESACTUALIZADO</t>
  </si>
  <si>
    <t>Se verifica el control de los préstamos de documentos y la devolución de los mismos.</t>
  </si>
  <si>
    <r>
      <t xml:space="preserve">Se cuenta con planillas </t>
    </r>
    <r>
      <rPr>
        <sz val="8"/>
        <rFont val="Arial"/>
        <family val="2"/>
      </rPr>
      <t>que permiten el control de documentos</t>
    </r>
  </si>
  <si>
    <t>Áreas inadecuadas y falta de presupuesto para contar con infraestructura óptima que permita la conservación y preservación de la información así como la ubicación del recurso humano.</t>
  </si>
  <si>
    <t>No contar con el presupuesto requerido para la implementación del Sistema de Gestión Documental.</t>
  </si>
  <si>
    <t>SUBDIRECTORA TÉCNICA  
DE RECURSOS FISICOS</t>
  </si>
  <si>
    <t xml:space="preserve">1. Socialización a los servidores públicos del proceso (STTR) cuando se presentan cambios en los procedimientos. </t>
  </si>
  <si>
    <t xml:space="preserve">2. Verificación de la información en el sistema y físicamente.
3. Solicitud a la STRT del ajuste del valor pagado por el contribuyente en el sistema Valoricemos cuando el pago se ha realizado y la factura presenta errores. </t>
  </si>
  <si>
    <t>4. Aplicación del procedimiento de conciliación bancaria de la información con los reportes de los bancos.</t>
  </si>
  <si>
    <t>5. Conciliaciones bancarias, cláusulas del convenio, exigencia de abono inmediato del dinero y verificación de los pagos en las cintas de recaudo.</t>
  </si>
  <si>
    <t xml:space="preserve">6. Conciliaciones bancarias, cuadre diario de caja y verificación de registros por parte de los servidores públicos del proceso Gestión Financiera (STTR) </t>
  </si>
  <si>
    <t>7. Solicitud al proceso de Tecnologías de Información y Comunicaciones (STRT) para reportar incidencia.</t>
  </si>
  <si>
    <t>1. Realización de pruebas para el recaudo y disponibilidad de las plataformas dispuestas por los bancos. (IDU-Banco)
2. Aplicación de cláusulas de cumplimiento de los convenios con bancos y supervisión permanente de los mismos.</t>
  </si>
  <si>
    <t>1. Documento de Certificación de pruebas exitosas (STRT)
2. Convenios de Recaudo
3. Convenios
4. Sistema VALORICEMOS 
5. Memorandos
6. Correos electrónicos</t>
  </si>
  <si>
    <t xml:space="preserve">3. Información de la facturación de valorización mensual, actualizada y disponible para la consulta en línea de los bancos. 
4. Envío oportuno de los archivos planos con la facturación  a los bancos que lo requieran. </t>
  </si>
  <si>
    <t>5. Reporte al proceso de  Tecnologías de Información y Comunicaciones (STRT) ya sea vía correo electrónico a Help desk o registrar la incidencia en la plataforma dispuesta para ello en caso de problemas de conectividad. (ARANDA)</t>
  </si>
  <si>
    <t xml:space="preserve">5. Solicitud a través de ORFEO al área ejecutora, sobre la definición de la disponibilidad de los recursos para cumplir con el compromiso no programado.
6. Validación en SISPAC de la existencia de recursos disponibles de otros rubros programados para solventar lo no programado por las áreas. 
7. Informes de ejecución de PAC mensual. 
8. Actualización del modulo PAC del sistema STONE para asegurar la inclusión de la información de programación de pagos. </t>
  </si>
  <si>
    <t>9. Recepción y atención de incidencias funcionales, reportadas por las áreas. En caso que la incidencia sea técnica, se remite al usuario al proceso de Tecnologías de Información y Comunicaciones (STRT).
10. Utilización de formatos en Excel para luego generar migración de datos y actualizar el módulo PAC del sistema STONE.</t>
  </si>
  <si>
    <t>Oportunidad en los traslados según los tiempos establecidos en los convenios bancarios y los compromisos adquiridos.</t>
  </si>
  <si>
    <t>1) Detrimento económico
2) Hallazgos e investigaciones de entes de control (Disciplinarias, fiscales)
3) Pérdidas de recursos dinerarios para el IDU</t>
  </si>
  <si>
    <t>4. Conciliaciones bancarias, movimientos bancarios diarios y de saldos para identificar los errores.  
5. Reporte diario de reintegros por fuentes -STONE 
6. Conciliación de inversiones a corto plazo con la Subdirección Técnica de Presupuesto y Contabilidad</t>
  </si>
  <si>
    <t>2. PR-GAF-054 Conciliación Bancaria y 
3. Procedimientos PR-GF-04 Administración de Inversiones de Tesorería
4. FOGAF005 Conciliación Bancaria
5. FOGF01 Conciliación mensual de recaudo</t>
  </si>
  <si>
    <t>7. Solicitud de apoyo a la mesa de ayuda de los bancos por parte de los servidores públicos del proceso.</t>
  </si>
  <si>
    <t>6. Oficios
7. Correos electrónicos</t>
  </si>
  <si>
    <t>8. Ordenar traslados manualmente a través de oficios que contengan las condiciones de manejo de cuenta a los bancos.</t>
  </si>
  <si>
    <t>1) Reprocesos 
2) Incumplimiento del tiempo establecido para el pago
3) Pérdida de recursos dinerarios para el IDU
4) Investigaciones disciplinarias, fiscales, penales.</t>
  </si>
  <si>
    <t>Inoportunidad en el pago de obligaciones financieras (a proveedores y/o contratista, impuestos, seguridad social, beneficiario de pago, etc.)</t>
  </si>
  <si>
    <t xml:space="preserve">1) Quejas y reclamos del beneficiario
2) Incumplimiento de indicadores de gestión
3) Pago de intereses de mora  
4) Pérdida de imagen institucional
5) Apertura de procesos disciplinarios </t>
  </si>
  <si>
    <t>7. Verificación de saldos bancarios en los libros (STONE) y en los extractos bancarios, previo al giro.
8. Verificación del saldo en las cuentas por parte del sistema OPGET.</t>
  </si>
  <si>
    <t>9. Solicitud de soporte a la mesa de ayuda de los bancos, al igual que el soporte técnico a la mesa de ayuda del IDU.</t>
  </si>
  <si>
    <t>11. Exigencia del sistema para realizar el pago en tres pasos: alimentar el sistema, aprobar el pago y firmar el pago, los cuales son realizados por personas diferentes.</t>
  </si>
  <si>
    <t>12. Soporte técnico del área de sistemas de manera oportuna, alta disponibilidad del canal de Internet .</t>
  </si>
  <si>
    <t>Protocolo de seguridad
Listado de asistencia
Informes de auditoría
Memorando
Correo electrónico
Bitácora de ajustes, actualizaciones o atención de solicitudes por incidencias con portales bancarios.</t>
  </si>
  <si>
    <t>Reporte de información presupuestal con errores y/o de forma inoportuna</t>
  </si>
  <si>
    <t>Guiovanni Cubides Moreno</t>
  </si>
  <si>
    <t>Vladimiro Alberto Estrada Moncayo</t>
  </si>
  <si>
    <t>No registrar información de manera oportuna y/o registrar información inexacta o incompleta del desempeño de los proyectos en el Sistema de Gestión Integral de Proyectos ZIPA</t>
  </si>
  <si>
    <t>Tener documentación del proceso no alineada con la realidad operativa del mismo</t>
  </si>
  <si>
    <t>1. Demoras y/o reprocesos al interior de la entidad
2. Incumplimiento de los objetivos del proceso</t>
  </si>
  <si>
    <t>Demora en el pago de las sentencias proferidas en contra de la entidad</t>
  </si>
  <si>
    <t>Trámites dispendiosos al interior de la entidad.</t>
  </si>
  <si>
    <t>* Pago de intereses                       *Posible incidente de desacato                 *Repetición</t>
  </si>
  <si>
    <t>1. Aplicación del procedimiento "Cumplimiento de Sentencias y MASC" y de la guia de pagos a terceros.
2. Informar al área responsable cuando el pago no se genere en la DTGJ.</t>
  </si>
  <si>
    <t>* Guia pagos a terceros
* Procedimiento Cumplimiento de Sentencias y MASC</t>
  </si>
  <si>
    <t>1. Comunicar a la mesa de ayuda para solicitar asistencia técnica de las personas de Helpdesk (mesa de servicio).
2. Revisión periódica de la actualización de los procesos en el aplicativo SIPROJ.</t>
  </si>
  <si>
    <t>GESTION SOCIAL Y PARTICIPACION CIUDADANA</t>
  </si>
  <si>
    <t>Insatisfacción de la ciudadanía.
Investigación disciplinaria.
Pérdida de imagen del IDU.
Reprocesos.</t>
  </si>
  <si>
    <t>Soportes de Capactiación, listados de asistencia, actas de reunión</t>
  </si>
  <si>
    <t>Capacitación al personal de correspondencia y del área de canales, en clasificación de los requerimientos ciudadanos</t>
  </si>
  <si>
    <t>Revisiones periodicas del área de canales para actualizar la información sobre tramites, servicios y avances de obra</t>
  </si>
  <si>
    <t>Insatisfacción de la ciudadanía.
Investigación disciplinaria.
Pérdida de imagen del IDU.</t>
  </si>
  <si>
    <t>El sistema de gestión de PQR controla el termino de respuesta y permite su seguimiento por parte de la interventoría y del supervisor social del IDU para cada contrato.</t>
  </si>
  <si>
    <t>Informar al personal de Correspondencia y Recursos Tecnológicos cada vez que hay una falla, con el procedimiento de soporte Técnico</t>
  </si>
  <si>
    <t>Informar a Recursos Tecnológicos cada vez que hay una falla, con el procedimiento de soporte Técnico</t>
  </si>
  <si>
    <t>Que no se creen, mantengan o fortalezcan espacios o mecanismos de gestion social y participación ciudadana en los proyectos de Desarrollo Urbano.</t>
  </si>
  <si>
    <t>Desconocimiento de los espacios y derechos de la ciudadania por parte de quienes representan a la entidad en los proyectos. (contratistas y áreas ejecutoras)</t>
  </si>
  <si>
    <t>Que en los pliegos no esten definidos los requisitos de la gestión social de acuerdo con la etapa y magnitud del proyecto.</t>
  </si>
  <si>
    <t xml:space="preserve">Permanentemente se actualizan los directorios locales de organizaciones, lidereres y ciudadania en general.  </t>
  </si>
  <si>
    <t>SGDU - SGI</t>
  </si>
  <si>
    <t>Información desactualizada de los sistemas asociados al proceso</t>
  </si>
  <si>
    <t>1. Socializaciones de documentos Técnicos y visores publicados en la pagina WEB asociados al proceso de Innovación y Gestión del Conocimiento.</t>
  </si>
  <si>
    <t>Directora Técnica Estratégica</t>
  </si>
  <si>
    <t>1. Informes de seguimiento presentados a dirección general.
2. Rendición de cuenta anual - formato CB-402
3. Memorandos de seguimientos a planes de mejoramientos
4. Oficios de entes de control</t>
  </si>
  <si>
    <t>1. PR-MC-04 Respuesta informe auditoria y gestión plan mejoramiento organismos control
2. Memorandos</t>
  </si>
  <si>
    <t>1. reportes del sistema de información CHIE. Plataforma correo electrónico.
2. procedimiento PRMC01 Formulación monitoreo y seguimiento a planes de mejoramiento interno y/o por procesos
2. Procedimiento de prmc04 respuesta informe auditoria y gestión Plan Mejoramiento organismos control
3. Formato FO-MC-01 plan de mejoramiento interno.</t>
  </si>
  <si>
    <t>1. Procedimiento Elaboración Anteproyecto del Presupuesto
2. Procedimiento PRMC01 formulación monitoreo  y seguimiento a planes de  mejoramiento interno y/o  por procesos
3. Aplicación del procedimiento PR-PE-01 modificaciones presupuestales.</t>
  </si>
  <si>
    <t>Constante rotación de personal de apoyo en la gestión de planes de mejoramiento.</t>
  </si>
  <si>
    <t>Desconocimiento del concepto y/o rol de asesoría de la Oficina de Control Interno por parte de los líderes de proceso y servidores públicos del IDU.</t>
  </si>
  <si>
    <t>1. PRMC02 Asesoría o Acompañamiento en la Gestión por Parte de Control Interno.</t>
  </si>
  <si>
    <t>Desconocimiento del procedimiento existente por parte de los líderes de proceso y servidores públicos del IDU.</t>
  </si>
  <si>
    <t>Que las actividades de promoción y prevención no correspondan a una planeación previa.</t>
  </si>
  <si>
    <t>1- Incumplimiento de la labor preventiva por parte de la OCD
2- El destinatario desatiende el mensaje enviado por la OCD de la actividad preventiva
3- Aumento de procesos disciplinarios</t>
  </si>
  <si>
    <t>PATRICIA DEL PILAR ZAPATA OLIVEROS</t>
  </si>
  <si>
    <t xml:space="preserve">Fraude por parte de servidores que administran la nómina, o por los servidores que administran los sistemas. </t>
  </si>
  <si>
    <t>Que por omisión y/o extralimitación se alteren las bases de datos de la información asociada a la nómina beneficiando y/o afectando a un servidor.</t>
  </si>
  <si>
    <t>Paula Tatiana Arenas González</t>
  </si>
  <si>
    <t>Salvador Mendoza Suárez</t>
  </si>
  <si>
    <t>Director Técnico Administrativo y Financiero</t>
  </si>
  <si>
    <t>SALVADOR MENDOZA SUAREZ</t>
  </si>
  <si>
    <t>PAULA TATIANA ARENAS GONZALEZ</t>
  </si>
  <si>
    <t xml:space="preserve">Dirección Técnica Estratégica </t>
  </si>
  <si>
    <t>Que no se inicien o adelanten las acciones judiciales de demanda y/o de defensa producto de una denuncia,  queja o auditoría que indiquen un acto de corrupción que cursen en la entidad, por omisión y/o extralimitación del responsable del proceso al interior del IDU.</t>
  </si>
  <si>
    <t>Modificaciones por intereses externos al Proyecto</t>
  </si>
  <si>
    <t xml:space="preserve">Que por extralimitación se realicen cambios en el proyecto de Acuerdo de Valorización o  en el alcance de las obra. </t>
  </si>
  <si>
    <t xml:space="preserve">Verificación de cumplimiento de requisitos y procedimientos.
Verificación de la ficha Tecnica de las Obras </t>
  </si>
  <si>
    <t xml:space="preserve">1. Minuta de contrato de prestación de servicios. 
2. Planilla de registro de ingreso al área restringida DTPS.
3. Solicitud de perfiles de usuarios codificados a la STRT
4. Formato de designación de evaluadores. 
</t>
  </si>
  <si>
    <t>1. Integración de las políticas de confidencialidad a los procedimientos estandarizados, a las minutas PSP y fortalecimiento de los mecanismos de ingreso a DTPS (físico y tecnológico).
2. Codificación de los perfiles de usuario para el acceso a la red por parte de los servidores públicos y contratistas de la DTPS.</t>
  </si>
  <si>
    <t>1. Oficio de Aprobación por parte de la Interventoría de los informes presentados para el desembolso de los pagos parciales y/o finales.
2.  Aval por parte de la Supervisión para el pago de las  actas parciales y/o final.</t>
  </si>
  <si>
    <t>Matriz Multicriterio diligenciada en etapa de Factibilidad.  Memorandos de envío, DTS           ( documento técnico soporte)
Lista de chequeo de Entregables</t>
  </si>
  <si>
    <t>DTAI - Oscar Iván Bustos Pabón</t>
  </si>
  <si>
    <t xml:space="preserve">Subdirector Técnico de Operaciones </t>
  </si>
  <si>
    <t>Detrimento  patrimonial
Afectación en la calidad de las obras
Afectación a la comunidad beneficiada por reprocesos o daño prematuro de las obras
Afectaciópn de imagen de la entidad</t>
  </si>
  <si>
    <t>Inadecuada aplicación de los controles de acceso a los servicios de TI en la red.</t>
  </si>
  <si>
    <t>Componendas entre funcionarios y terceros.</t>
  </si>
  <si>
    <t>Inadecuada gestión de privilegios de usuario.</t>
  </si>
  <si>
    <t>Interceptación de datos de las transferencias de recaudo electrónico</t>
  </si>
  <si>
    <t>Cambios no controlados sobre las versiones de los documentos.</t>
  </si>
  <si>
    <t>Falta de apropiación de las políticas de privacidad de la información.</t>
  </si>
  <si>
    <t>Conflictos de Interés.</t>
  </si>
  <si>
    <t>Desactualización de la información en los medios de comunicación  institucionales</t>
  </si>
  <si>
    <t>Empleado descontento y sin cultura de la legalidad</t>
  </si>
  <si>
    <t>Exceso de tramitología</t>
  </si>
  <si>
    <t>GUIOVANNI CUBIDES MORENO</t>
  </si>
  <si>
    <t>1. Estudios y diseños sobredimensionados generando sobrecostos en las obras y la necesidad de realizar modificaciones contractuales (prórrogas, suspensiones, adiciones, mayores cantidades, ítems no previstos.)
2. Detrimento patrimonial.
3. Que no se ejecuten la totalidad de las metas físicas contempladas en el proyecto.
4. Des financiación de otros proyectos por la necesidad de nuevos recursos.
5. Investigaciones a la Entidad por parte de los Entes de control.
6. Aumento en el Tiempo en la ejecución de los proyectos</t>
  </si>
  <si>
    <t>1. Comunicaciones oficiales y/o informes de Interventoría
Nota. El Control de los productos de Estudios y Diseños es ejercido por la DT de Proyectos.
2. Acta de competencia de pago debidamente suscritas por las ESP
3. Convenios con las ESP.</t>
  </si>
  <si>
    <t>1. Desfinanciación del contrato, incumplimiento del objeto contractual
2. Mala imagen hacia el IDU por parte de la ciudadanía, los medios de comunicación y partes interesadas
3.  Sanciones a los contratistas e interventores y Supervisores
4. Detrimento patrimonial
5. Peculado por apropiación y/o destinación.
6. Retrasos en la Ejecución del contrato.
7. Investigaciones a la Entidad por parte de los Entes de control.
8. Aumento en la carga Laboral en diferentes dependencias del IDU por el inicio de procesos sancionatorios</t>
  </si>
  <si>
    <t>1. Desfinanciación del contrato.
2. Disminución de las metas físicas del proyecto
3. Mala imagen hacia el IDU por parte de la ciudadanía, los medios de comunicación y partes interesadas
4. Sanciones a los contratistas e interventores y supervisores
5. Detrimento patrimonial.
6. Incremento en el valor del contrato.
7. Desfinanciación de otros proyectos por la necesidad de nuevos recursos.
8. Investigaciones a la Entidad por parte de los Entes de control</t>
  </si>
  <si>
    <t>1. Desfinanciación del contrato.
2. Disminución de las metas físicas del proyecto
3. Mala imagen hacia el IDU por parte de la ciudadanía, los medios de comunicación y partes interesadas
4. Sanciones a los contratistas e interventores
5. Detrimento patrimonial.
6. Incremento en el valor del contrato.
7. Desfinanciación de otros proyectos por la necesidad de nuevos recursos.
8. Investigaciones a la Entidad por parte de los Entes de control</t>
  </si>
  <si>
    <t>1. Verificar que el acta de mayores cantidades se encuentre aprobada por el Interventor.
2. Revisión por parte de la Interventoría y el profesional de apoyo a la Supervisión las cantidades y costos que representa cada una de las modificaciones.</t>
  </si>
  <si>
    <t>1. Desembolsos injustificados
2. Detrimento patrimonial
3. Incumplimiento de obligaciones contractuales.
4. Mala imagen por parte del IDU al no entregar los productos a la ciudadanía.
5. Sanciones y procesos judiciales.
6. Obras inconclusas, sin acabados.
7. Calidad deficiente de las obras.
8. Aplicación de la póliza de garantía.
9. Investigaciones a la Entidad por parte de los Entes de control</t>
  </si>
  <si>
    <t>1- Traumatismos en los términos de atención del proceso
2- Reproceso por reconstrucción del expediente o documento
3- Perdida de confianza en el equipo de trabajo
4- Denuncia por perdida del expediente o documento
5- Inicio de investigación disciplinaria</t>
  </si>
  <si>
    <t>Perdida de expedientes o documentos de procesos disciplinarios</t>
  </si>
  <si>
    <t>1- Falta de control del responsable del expediente o documento.
2- No utilizar los canales oficiales para el envío de documentos remitidos por la OCD</t>
  </si>
  <si>
    <t>1. Pérdida de competencia disciplinaria
2. Impunidad
3. Acciones disciplinarias y/o penales, en contra del responsable(s)
4. Pérdida de credibilidad del operador disciplinario.
5. Comunicación del hecho a la Personería y la Procuraduría</t>
  </si>
  <si>
    <t>Incumplimiento de los términos legales para adoptar las decisiones correspondientes, que dé lugar a caducidad o prescripción.</t>
  </si>
  <si>
    <t>Manipulación indebida de la información en las actuaciones disciplinarias que se adelantan o adulteración de la misma.</t>
  </si>
  <si>
    <t>1. Baja calidad en las obras de Infraestructura Vial y Espacio Público.
2. Detrimento Patrimonial.
3. Pérdida de credibilidad institucional.</t>
  </si>
  <si>
    <t xml:space="preserve">1. Equipo interdisciplinario para la revisión del tema.
2.  Socialización cuando aplique. 
3.  Publicación página Web.
</t>
  </si>
  <si>
    <t>1. Concusión generada por la aprobación de documentación falsa.
2. Por falta de verificación o conocimiento de requisitos.</t>
  </si>
  <si>
    <t xml:space="preserve">1. Retiro de material instalado. 
2. Retraso en obras de infraestructura vial y espacio público. 
3. Sanciones económicas y ambientales. 
4. Requerimientos de entes de control.
</t>
  </si>
  <si>
    <t xml:space="preserve">1.  Socialización interna y externa.
2.  Publicación página Web.
</t>
  </si>
  <si>
    <t>Presentar o aprobar alternativas de factibilidad como viables en los proyectos de Infraestructura vial  y/o espacio público  a cambio  de una contraprestación.</t>
  </si>
  <si>
    <t>1. Elaborar o solicitar se elabore la matriz Multicriterio con los componentes que apliquen y que los porcentajes de cada componente sean equitativos de tal manera que uno o dos componentes no determinen la alternativa viable.</t>
  </si>
  <si>
    <t xml:space="preserve">Seguimiento al cumplimiento y correcta aplicación de la matriz Multicriterio. </t>
  </si>
  <si>
    <t>C.FP.02</t>
  </si>
  <si>
    <t>Modificar la priorización de intervenciones referentes a la conservación (mantenimiento, rehabilitación y reconstrucción) para favorecer a un tercero.</t>
  </si>
  <si>
    <t>1. Inicio de procesos legales, tales como disciplinarios en contra de los funcionarios y demandas en contra de los consultores implicados.
2. Posibles hallazgos de los Entes de Control</t>
  </si>
  <si>
    <t>1. Definición de criterio haciendo uso del modelo matemático de priorización.</t>
  </si>
  <si>
    <t>Seguimiento a la implementación del modelo de priorización.</t>
  </si>
  <si>
    <t>Matriz Multicriterio diligenciada en etapa de Factibilidad.  Memorandos de envío, DTS           ( documento técnico soporte)</t>
  </si>
  <si>
    <t>Que se filtre información por falta de manejo y/o protección documental o se entregue información relevante con el fin de favorecer a un tercero anticipandose al momento que se presente la futura licitación.</t>
  </si>
  <si>
    <t>C.FP.03</t>
  </si>
  <si>
    <t>Entregar información relevante de  los pliegos  a un tercero antes de su  publicación con el fín de beneficiar a un tercero.</t>
  </si>
  <si>
    <t xml:space="preserve">1. Campañas de socialización de las  políticas de seguridad de la información.
2. Sensibilización a los usuarios que manejan la información sobre confidencialidad de la misma.
3. Campañas de divulgación del Código Unico Disciplinario. </t>
  </si>
  <si>
    <t>1. Seguimiento al cumplimiento de los controles establecidos para este riesgo: boletines informativos, flash (OCD), circulares.</t>
  </si>
  <si>
    <t>1. Listas de asistencia.
2. Correos electrónicos.
3. Orfeo</t>
  </si>
  <si>
    <t>Que en los contratos de factibilidad, donde no hay interventoría se concerte y/o realicen acuerdos con el consultor, supervisor y/o Directivos IDU, para aceptar productos no conformes.</t>
  </si>
  <si>
    <t>C.FP.04</t>
  </si>
  <si>
    <t>Aceptar y Aprobar productos  de estudios de prefactibilidad o factibilidad  que no  cumplen requisitos y o normatividad vigente para favorecer a un tercero.</t>
  </si>
  <si>
    <t>1. Posible demora en los trámites de aprobación y armonización con las ESP.                                                                       2.  Sobrecostos por la necesidad de ajustes y actualizaciones de las factibilidades.                                                     3.  Inicio de procesos legales, tales como disciplinarios en contra de los funcionarios y demandas en contra de los consultores implicados.
4. Posibles hallazgos de los Entes de Control</t>
  </si>
  <si>
    <t xml:space="preserve">Verificar que  el Formato FO-FP-02 se haya diligenciado correctamente y que se haya emitido el concepto de aprobación de todos los  productos en el periodo correspondiente o al finalizar el contrato.      
                            </t>
  </si>
  <si>
    <t>• Oficios, *ORFEO.
• Formato FO-FP-02 en cada contrato monitoreado.</t>
  </si>
  <si>
    <t>Que en los contratos de factibilidad, donde hay interventoría se concierte y/o realicen acuerdos con el consultor, interventor, supervisor y/o Directivo IDU, para aceptar productos no conformes</t>
  </si>
  <si>
    <t>C.FP.05</t>
  </si>
  <si>
    <t>Admitir productos de factibilidad aprobados  por el  interventor que no  cumplan con los  requisitos a cambio  de un  beneficio  personal o de un tercero o de una dadiva.</t>
  </si>
  <si>
    <t>1. Posible demora en los trámites de aprobación y armonización con las ESP.                                                                       2. Sobrecostos por la necesidad de ajustes y actualizaciones de factibilidades aprobadas.                                                     3.  Inicio de procesos legales, tales como demandas, en contra de los consultores e interventores implicados. 
4. Posibles hallazgos de los Entes de Control.</t>
  </si>
  <si>
    <t xml:space="preserve">Verificar que en el Formato FO-FP-02 se haya diligenciado correctamente y que se haya emitido el concepto de aprobación de todos los  productos en el periodo correspondiente o al finalizar el contrato.      </t>
  </si>
  <si>
    <t>• Oficios, ORFEO.
• Formato FO-FP-02 en cada contrato monitoreado</t>
  </si>
  <si>
    <t>Que en los contratos de factibilidad, se autoricen ampliaciones de plazos no justificados, y/o cambios en forma de pago y/o adiciones  con el fin de favorecer al contratista o a un tercero</t>
  </si>
  <si>
    <t>C.FP.06</t>
  </si>
  <si>
    <t>Permitir que se realicen modificaciones contractuales  para favorecer a un tercero.</t>
  </si>
  <si>
    <t>1. Demoras injustificadas en la entrega de las factibilidades.
2. Recibo de productos que no cumplen con las especificaciones y la normatividad aplicable.
3. Inicio de procesos legales, tales como disciplinarios en contra de los funcionarios y demandas en contra de los consultores implicados.</t>
  </si>
  <si>
    <t>1. Se cuenta con un cronorama del proyecto el cual debe ser aprobado para el inicio del mismo.
2. Se realiza seguimiento en comites semanales.
3. Se realiza seguimiento financiero.
4. Se cuenta con formatos para el registro y tramite de Adiciones o Prorrogas.</t>
  </si>
  <si>
    <t>Realizar por parte de los profesionales y especialistas de Apoyo a la supervisión un seguimiento permanente del cronograma del contrato y del control financiero del contrato, y pronunciarse oportunamente para que no se disminuya o se termine el plazo de la etapa, obligando a realizar prórrogas y adiciones al contrato de factibilidad y al contrato de interventoría.</t>
  </si>
  <si>
    <t>Actas de Comités de seguimiento  FO-DP-06, en la que se prioriza la revisión y control del cronograma del proyecto, formato FO-IDU-47 Cuadro de control financiero, oficios de requerimiento a la interventoría y/o consultor, memorandos de la DTP solicitando acciones legales en contra de los contratistas por incumplimientos, Solicitude de Adicion o prorroga con FO-GC-27.</t>
  </si>
  <si>
    <t>Director Técnico de Proyectos</t>
  </si>
  <si>
    <r>
      <t xml:space="preserve">Que en los contratos de Estudios y Diseños, donde no hay interventoría se </t>
    </r>
    <r>
      <rPr>
        <sz val="8"/>
        <rFont val="Arial"/>
        <family val="2"/>
      </rPr>
      <t>concerte y/o realicen acuerdos con</t>
    </r>
    <r>
      <rPr>
        <sz val="8"/>
        <color indexed="10"/>
        <rFont val="Arial"/>
        <family val="2"/>
      </rPr>
      <t xml:space="preserve"> </t>
    </r>
    <r>
      <rPr>
        <sz val="8"/>
        <color indexed="8"/>
        <rFont val="Arial"/>
        <family val="2"/>
      </rPr>
      <t>el consultor, supervisor y/o Directivos IDU, para aceptar productos no conformes.</t>
    </r>
  </si>
  <si>
    <t>Aceptar y aprobar  productos  de Estudios y Diseños que se desarrollen   sin interventoría que no  cumplen requisitos y o normatividad vigente, con el fin de beneficiar a un tercero.</t>
  </si>
  <si>
    <r>
      <t xml:space="preserve">Que en los contratos de Estudios y Diseños, donde hay interventoría </t>
    </r>
    <r>
      <rPr>
        <sz val="8"/>
        <rFont val="Arial"/>
        <family val="2"/>
      </rPr>
      <t xml:space="preserve">se concierte y/o realicen acuerdos con el consultor, </t>
    </r>
    <r>
      <rPr>
        <sz val="8"/>
        <color indexed="8"/>
        <rFont val="Arial"/>
        <family val="2"/>
      </rPr>
      <t>interventor, supervisor y/o Directivo IDU, para aceptar productos no conformes</t>
    </r>
  </si>
  <si>
    <t>Admitir Estudios y Diseños aprobados por interventoría que no cumplen requisitos y/o normatividad vigente, con el fin de beneficiar a un tercero</t>
  </si>
  <si>
    <t>Que en los contratos de Estudios y Diseños, se autoricen ampliaciones de plazos no justificados, y/o cambios en forma de pago y/o adiciones  con el fin de favorecer al contratista o a un tercero</t>
  </si>
  <si>
    <t>Realizar por parte de los profesionales y especialistas de Apoyo a la supervisión un seguimiento permanente del cronograma del contrato y del control financiero del contrato, y pronunciarse oportunamente para que no se disminuya o se termine el plazo de la etapa, obligando a realizar prórrogas y adiciones al contrato de estudios y diseños y al contrato de interventoría.</t>
  </si>
  <si>
    <r>
      <t xml:space="preserve">Que se acepte liquidar </t>
    </r>
    <r>
      <rPr>
        <strike/>
        <sz val="8"/>
        <rFont val="Arial"/>
        <family val="2"/>
      </rPr>
      <t xml:space="preserve"> </t>
    </r>
    <r>
      <rPr>
        <sz val="8"/>
        <rFont val="Arial"/>
        <family val="2"/>
      </rPr>
      <t>contratos de Estudios y Diseños, sin haber cumplido con la entrega de los productos y/o entregables completos, y/o no aprobados por los entes competentes, y/o sin el cumplimiento de las especificaciones realizando a cambio descuentos que no compensan los faltantes, con el fin de favorecer al contratista y exonerarlo de responsabilidades futuras.</t>
    </r>
  </si>
  <si>
    <t>1. Que se requiera la contratación de nuevos Estudios y Diseños, generando detrimento patrimonial.
2. Inicio de procesos legales, tales como disciplinarios en contra de los funcionarios y demandas en contra de los consultores implicados.</t>
  </si>
  <si>
    <t>1. Diligenciamiento de la lista de chequeo y recibo de productos en la etapa de diseños.
2. Realización de comités o mesas de trabajo de liquidación.
3. Diligenciamiento, trámite y control del Acta de recibo final y liquidación.
4. Diligenciamiento, verificación y cierre de las glosas con el acta de verificación de cumplimiento para cierre de glosas (Si aplica)</t>
  </si>
  <si>
    <t>Exigir por parte de los profesionales y especialistas de Apoyo a la supervisión y del Supervisor, la entrega de todos los productos debidamente aprobados por los entes competentes, número u oficio de aprobación que debe quedar relacionada en el acta de liquidación.</t>
  </si>
  <si>
    <t>DIRECTOR TÉCNICO DE GESTIÓN CONTRACTUAL</t>
  </si>
  <si>
    <t>Adición de actividades que no guarden relación directa con el alcance del objeto del contrato.
(Deficiente análisis de la imputabilidad de las causas que generan la modificación).
El uso inadecuado de figuras establecidas por la Ley para la modificación del contrato.
Dar visto bueno a la solicitud de modificación, omitiendo los requisitos establecidos para realizar modificaciones (Adición, Prorroga otrosí, etc.)</t>
  </si>
  <si>
    <t>FERNEY BAQUERO FIGUEREDO</t>
  </si>
  <si>
    <t>SUBDIRECTORA GENERAL</t>
  </si>
  <si>
    <t>Pérdida de los bienes muebles de la Entidad
Detrimento patrimonial.
Afectación de los activos fijos.
Investigaciones disciplinarias y/o fiscales.</t>
  </si>
  <si>
    <t>Aplicar el procedimiento: Administración de inventario de bienes muebles PR-RF-103 
Aplicar el Manual: Manual de Administración de bienes muebles e inmuebles del IDU MGFR02</t>
  </si>
  <si>
    <t>Realización de inventario físico anual 
Realización de inventario mensual a Quince (15) funcionarios de planta y contratistas.
Aplicación y control de inventarios, a través del formato de paz y salvo del IDU al retiro de contratistas y funcionarios.
Realización mensual de informe de existencia en bodegas.
Realización de arqueos trimestrales de los bienes en bodega.</t>
  </si>
  <si>
    <t>Investigaciones disciplinarias.
Sanciones de inhabilidades por parte de entes de control.</t>
  </si>
  <si>
    <t>MANIPULACIÓN DE LOS REGISTROS DE ACCESO A LA ENTIDAD O GRABACIONES DEL CCTV</t>
  </si>
  <si>
    <t>Perdida parcial o completa de los registros de acceso a la Entidad o grabaciones del CCTV.
Adulteración registros de acceso a la Entidad o grabaciones del CCTV.
Información no verídica o fidedigna.
Investigaciones disciplinarias y/o administrativas</t>
  </si>
  <si>
    <t>Aplicación del Manual de Seguridad Física (MG-GAF-003).
Supervisión y seguimiento al contrato de vigilancia y seguridad para las sedes administrativas de la Entidad.
Preservación como obligación del contratista del servicio de vigilancia, de los archivos, carpetas de ingreso y salida  de elementos  y visitantes, consignas, libros, cuadernos de minuta, grabaciones y demás documentos  relativos  a la ejecución del contrato, por un término no inferior a cinco (5) años, después de finalizado el contrato y los cuales estarán a disposición del IDU.</t>
  </si>
  <si>
    <t>Implementación del Manual de Seguridad Física (MG-GAF-003). 
Back Up de las grabaciones del circuito cerrado de televisión por parte de la empresa de vigilancia.
Back Up mensual con el registro de visitantes en las sedes IDU.
Back up de la información del software de control de acceso de la Entidad por parte de la STRT</t>
  </si>
  <si>
    <t>Informe mensual del la empresa de vigilancia, describiendo las gestiones realizadas con ocasión a la ejecución del contrato.
Informe de gestión mensual por parte del apoyo a la supervisión del contrato de vigilancia.
Socialización del Manual de Seguridad Física MG-GAF-003), a todo el dispositivo de vigilancia.  
Inclusión de clausula contractual en donde se establece la responsabilidad de  conservar los archivos, carpeta de ingreso y salida  de elementos  y visitantes, consignas, libros, cuadernos de| minuta, grabaciones y demás documentos  relativos  a la ejecución del contrato por un término no inferior a cinco (5) años, después de finalizado el contrato, los cuales estarán a disposición del IDU.</t>
  </si>
  <si>
    <t>1. Trámite ineficiente a reclamaciones por parte del IDU, ante las compañías de seguros, por acuerdo en beneficio de un tercero.</t>
  </si>
  <si>
    <t>MANEJO INADECUADO DE RECLAMACIONES ANTE LAS ASEGURADORAS, CON EL FIN DE BENEFICIAR A UN TERCERO.
(Se materializa con reclamaciones no efectivas, o menor valor pagado por parte de la aseguradora ante una reclamación)</t>
  </si>
  <si>
    <t>Verificación y seguimiento de la presentación de reclamaciones ante el corredor de seguros dentro del tiempo regular. (60 días) 
Exigencia de la presentación del informe de seguimiento del programa de seguros de la Entidad.</t>
  </si>
  <si>
    <t xml:space="preserve">Seguimiento a la ejecución del contrato de intermediación de corredores de seguros.
Informes de Ejecución generados por el profesional que apoya la supervisión del contrato </t>
  </si>
  <si>
    <t>Comunicaciones oficiales dirigidas a los corredores de seguros y a la compañía aseguradora.</t>
  </si>
  <si>
    <t>Control del soporte físico del suministro de gasolina el cual es generado automáticamente por la máquina que expende el combustible.
Instalación de Chip de control en el vehículo y no puede ser suministrado en ningún carro diferente al de la Entidad.
Control en la plataforma de la empresa que suministra combustible.
Control del soporte del suministro de repuestos y verificación física de los elementos instalados.</t>
  </si>
  <si>
    <t>Seguimiento del presupuesto del contrato contra los comprobantes de suministro de combustible.
Reportes mensuales por parte del contratista, donde se detalla el suministro de combustible (Kilometraje, cantidad y fecha) para cada vehículo. 
Seguimiento a los diagnósticos técnicos emitidos por el conductor mecánico de la Entidad, y las ordenes de servicio del contratista de mantenimiento de vehículos.</t>
  </si>
  <si>
    <t>Informe de gestión mensual por parte de los apoyos a la supervisión del contrato.
Cuadro consolidado mensual de consumos para control de estadísticas por vehículo.</t>
  </si>
  <si>
    <t>MANEJO INADECUADO DE LA INFORMACIÓN REQUERIDA PARA LA REALIZACIÓN DE PROCESOS CONTRACTUALES</t>
  </si>
  <si>
    <t>Ficha técnica de la necesidad de bien o servicio a adquirir
Análisis del sector
Cotizaciones para análisis de mercado
Estudio de mercado
Estudios y documentos previos que describen la necesidad y anexan las conclusiones del análisis del sector.</t>
  </si>
  <si>
    <t>1. Revisión semestral de la efectividad de los controles existentes.
2. Socialización de las políticas de Seguridad de la Información con base en el plan de comunicaciones.</t>
  </si>
  <si>
    <t>2. Aplicación de las políticas de Seguridad de la Información.</t>
  </si>
  <si>
    <t>Copias de seguridad.
Bitácoras de acceso a la STRT y al  centro de cómputo. 
Módulo CHIE: Gestión TIC (para administración de usuarios de tecnología).</t>
  </si>
  <si>
    <t>Inclusión de cláusula de confidencialidad en los contratos de prestación de servicios profesionales y de Outsourcing.
Socialización a los contratistas de prestación de servicios profesionales y de Outsourcing, acerca de  las políticas de gestión documental, en especial sobre el uso adecuado de la información física y digital.
Capacitación y divulgación de recomendaciones por parte de la OCD sobre  las conductas inapropiadas de los servidores públicos y sus consecuencias frente al uso de la información.</t>
  </si>
  <si>
    <t>ISMAEL MARTÍNEZ GUERRERO</t>
  </si>
  <si>
    <t>1. Desviación De recursos, detrimento patrimonial.
2. Pérdida de credibilidad de la Entidad.
3. Afectación de la misionalidad.
4. Investigaciones administrativas, disciplinarias, penales y fiscales.</t>
  </si>
  <si>
    <t>Realizar la adquisición predial, reasentamiento integral de población y expedir viabilidades prediales basados en Decreto de Urgencia, oferta de compra, evaluación técnica, jurídica y
social para desarrollar proyectos de infraestructura vial y espacio público adelantados por el IDU, en el marco del Plan de Ordenamiento Territorial, el Plan Maestro de Movilidad y los
Planes de Desarrollo Distrital, de acuerdo con las normas legales vigentes y garantizando los Derechos Constitucionales de la ciudadanía.</t>
  </si>
  <si>
    <t xml:space="preserve"> </t>
  </si>
  <si>
    <t xml:space="preserve">
Sobrecostos en actividades del contrato de obra para beneficio del contratista.</t>
  </si>
  <si>
    <t>(# de revisiones periódicas con muestra aleatoria realizadas / # de revisiones periódicas con muestra aleatoria programadas)</t>
  </si>
  <si>
    <t>Interceptación total o parcial de datos (físicos o lógicos).</t>
  </si>
  <si>
    <t>Comunicación desde la STRT sobre las políticas y controles asociados al SGSI.
Control de acceso a los sistemas de información.
Administración de usuarios y claves.
Control de invitados a las instalaciones.</t>
  </si>
  <si>
    <t>Manipulación por parte de terceros de equipos o de programas de cómputo o datos (físico o lógicos).</t>
  </si>
  <si>
    <t>Resolución 34217 de 2015 de  Políticas de seguridad de la información.</t>
  </si>
  <si>
    <t>OAP -STRT - STRF</t>
  </si>
  <si>
    <t>Comunicación desde la STRT sobre las políticas y controles asociados al SGSI.
Aplicación de los manuales, procedimientos e instructivos asociados al proceso.
Almacenamiento de información según los lineamientos vigentes.
Entrega de documentos a Archivo.</t>
  </si>
  <si>
    <t>No se puedan atender a tiempo los requerimientos de la ciudadanía o de los entes de control
Imposibilidad para atender los trámites y/o servicios ofrecidos a los ciudadanos.
(Disponibilidad + Integridad)</t>
  </si>
  <si>
    <t>Manejo inadecuado de los datos o información por parte de los usuarios responsables.</t>
  </si>
  <si>
    <t>Pérdida o alteración de información</t>
  </si>
  <si>
    <t>Uso de software ilegal o malicioso.</t>
  </si>
  <si>
    <t>Almacenamiento de información según los lineamientos vigentes.
Entrega de documentos a Archivo.
Política de Escritorios limpios.</t>
  </si>
  <si>
    <t>Disposición de documentos de oficina en sitios no adecuados para su almacenamiento y control.</t>
  </si>
  <si>
    <t>Fuga de información y/o uso indebido de datos institucionales (Confidencialidad)</t>
  </si>
  <si>
    <t xml:space="preserve">No recolección de los documentos que se han enviado a impresión o escaneado. </t>
  </si>
  <si>
    <t>Lectura, copia, modificación o sustracción no autorizada de documentos archivados o datos institucionales.</t>
  </si>
  <si>
    <t>Visitantes desatendidos en las instalaciones de la entidad.</t>
  </si>
  <si>
    <t>Acceso no autorizado a los sistemas de información o a los documentos por parte de personal de mantenimiento locativo, aseo o vigilancia.</t>
  </si>
  <si>
    <t>Recuperación información a partir de medios de almacenamiento o procesamiento reciclados o desechados.</t>
  </si>
  <si>
    <t>Mal uso de las contraseñas.</t>
  </si>
  <si>
    <t>Fuga de información y/o uso indebido de datos institucionales (Confidencialidad)
Divulgación de información a terceras partes o a personal no autorizado 
(Confidencialidad)</t>
  </si>
  <si>
    <t>No bloquear la sesión de usuario cuando se abandona la estación de trabajo.</t>
  </si>
  <si>
    <t>FACILITADORES SIG - OAP - AUDITORES - OCI</t>
  </si>
  <si>
    <t>P/S</t>
  </si>
  <si>
    <t>OBJ</t>
  </si>
  <si>
    <t>QUIÉN</t>
  </si>
  <si>
    <t>CAUSAS
(Vulnerabilidad)</t>
  </si>
  <si>
    <t>DUEÑO Riesgo</t>
  </si>
  <si>
    <t>RIESGO
(Amenaza)</t>
  </si>
  <si>
    <t>Procedimento / Actividad / Producto</t>
  </si>
  <si>
    <t>ANÁLISIS</t>
  </si>
  <si>
    <t>Procedimiento / Actividad / Producto</t>
  </si>
  <si>
    <t xml:space="preserve">1. FOIC01 Reporte de elementos viales objeto de la contratación
2. FOIC02 Reporte para la actualización de los estudios diagnósticos diseños e intervenciones 
3. PRIC02 Actualización del Sistema de Información Geográfica
</t>
  </si>
  <si>
    <t>1. Listados de Asistencia
2. Publicaciones en pagina WEB
3. Publicaciones Oficina Asesora de Comunicaciones. 
4. Presentaciones</t>
  </si>
  <si>
    <t>4.Inconvenientes en la etapa precontractual y contractual (Demoras en  trámites, cambios documentales, cambios de directrices, incumplimientos contractuales)</t>
  </si>
  <si>
    <t>1. Aplicación de los directrices y lineamientos existentes para la preparación de la documentación precontractual y contractual 
2. Aplicación de Manual de interventoría para los contratos asociados al proceso de Innovación y Gestión del Conocimiento. 
3. Aplicación de Manual de gestión contractual</t>
  </si>
  <si>
    <t>1. Documentación precontractual, lista de chequeo para iniciar los procesos de selección y sus anexos.
2. Plataforma ORFEO
3. Manual de Interventoría
4. Manual de gestión contractual</t>
  </si>
  <si>
    <t>I.IC.01</t>
  </si>
  <si>
    <t>Acceso a los sistemas de información por personas no autorizadas</t>
  </si>
  <si>
    <t>Sensibilización del uso correcto de la impresora y escáner</t>
  </si>
  <si>
    <t>Sensibilización del uso adecuado de los datos o información por parte de los usuarios responsables.</t>
  </si>
  <si>
    <t>Sensibilización a los usuarios del proceso sobre la utilización de equipos</t>
  </si>
  <si>
    <t>I.IC.03</t>
  </si>
  <si>
    <t xml:space="preserve">Manejo inadecuado de la información </t>
  </si>
  <si>
    <t>Aplicación de los procedimientos del proceso de Innovación y Gestión del conocimiento</t>
  </si>
  <si>
    <t>JOSE JAVIER SUAREZ BERNAL</t>
  </si>
  <si>
    <t>JOANNY CAMELO YEPEZ</t>
  </si>
  <si>
    <t>Que en el punto IDU no de trámite a un requerimiento del ciudadano.</t>
  </si>
  <si>
    <t>La OTC participa, acompaña y promueve espacios de participación ciudadana en cada una de las localidades, mesas de dialogo, capacitaciones, seguimiento comites de participación  IDU</t>
  </si>
  <si>
    <t>Gestión Interinstitucional</t>
  </si>
  <si>
    <t xml:space="preserve">Estructuración Propuestas de Convenios o Acuerdos </t>
  </si>
  <si>
    <t>Que el IDU suscriba convenios marco, acuerdos o actas de compromiso con las Empresas de Servicios Públicos, Entidades  Públicas del Orden Nacional, Departamental, Municipal, Distrital y/o Privados, asumiendo responsabilidades más allá del marco misional institucional.</t>
  </si>
  <si>
    <t>SGDU 
SGI</t>
  </si>
  <si>
    <t>1.  Retrasos en la ejecución de los proyectos IDU.
2.  Costos adicionales de los proyectos IDU.
3. Posible afectación de meta física.
4. Reclamaciones de contratistas o terceros
5. Requerimientos Entes de Control.</t>
  </si>
  <si>
    <t>Estructuración de Estudios Previos o el documento que aplique para el acompañamiento a la ejecución de Cargas Urbanísticas y/o acciones de mitigación a Cargo de Terceros</t>
  </si>
  <si>
    <t>Seguimiento a los proyectos desarrollados en el marco de los convenios, acuerdos y/o actos administrativos.</t>
  </si>
  <si>
    <t>I.GI.01</t>
  </si>
  <si>
    <t>Acceso a los sistemas de información o a los documentos por personas no autorizadas que conlleva a lectura, copia, modificación o sustracción no autorizada de documentos archivados o datos institucionales.</t>
  </si>
  <si>
    <t>1. No bloquear la sesión de usuario cuando se abandona la estación de trabajo.
2. Falta de control en el manejo de las contraseñas.
3. Por aplicación de ingeniería social. (manipulación de las personas para obtener información)
4. Inadecuada aplicación del etiquetado de activos de información.
5. Enlaces de comunicaciones que permanecen activos al completar las transmisiones a través de las redes. (Comunicaciones entre personas sin mirar entorno)
6. Utilización o extracción de información a partir de medios de almacenamiento o procesamiento reciclados o desechados (hojas reciclaje).
7. Acceso no autorizado a los sistemas de información o a los documentos por parte de personal de mantenimiento locativo, aseo o vigilancia.
8. Visitantes atendidos o no atendidos en las instalaciones de la entidad.
9. No recolección de los documentos que se han enviado a impresión o escaneado. 
10. Disposición de documentos de oficina en sitios no adecuados para su almacenamiento y control.
11. Acceso a los sistemas operativos o a las aplicaciones por "puertas traseras" no controladas (correos falsos y software mal intencionado).
12. Uso de software ilegal o malicioso.</t>
  </si>
  <si>
    <t>1. Fuga de información y/o uso indebido de datos institucionales (Confidencialidad)
2. Divulgación de información a terceras partes o a personal no autorizado 
(Confidencialidad)</t>
  </si>
  <si>
    <t>1. Sensibilización por parte de la STRT a los usuarios del proceso sobre bloqueo de sesión.
Existe bloqueo automático 
2. Sensibilización por parte de la STRT a los usuarios del proceso sobre uso de las contraseñas.
Manual políticas de seguridad de la información.
3. Sensibilización por parte de la STRT a los usuarios del proceso sobre ingeniería social.
4. Revisión y aplicación de la marcación de información por parte de los usuarios del proceso.
5. Sensibilización por parte de la STRT a los usuarios del proceso sobre bloqueo de sesión, uso de telefonía, uso de mensajería electrónica.
6. Sensibilización por parte de la STRT a los usuarios del proceso sobre devolución de equipos.
7. Sensibilización por parte de la STRT a los usuarios del proceso sobre cuidado de la información.
8. Sensibilización por parte de la STRT a los usuarios del proceso sobre atención de visitantes.
9. Pistas o registros de auditoria (físico o lógico) por parte de los usuarios del proceso.
10. Almacenamiento de información según los lineamientos vigentes por parte de los usuarios del proceso.
11. Capacitación y sensibilización por parte de la STRT a los usuarios del proceso sobre verificación del estado actual de los computadores asignados.
12. Capacitación y sensibilización por parte de la STRT a los usuarios del proceso sobre instalación de software.</t>
  </si>
  <si>
    <t>1. Flash Informativos
2. Correos Electrónicos emitidos por la STRT
3. Correos Electrónicos emitidos por la SGDU y la SGI sobre la aplicación de las políticas de seguridad de la información.</t>
  </si>
  <si>
    <t>1. Manejo inadecuado de los datos o información por parte de los usuarios responsables.
2. Manipulación por parte de terceros de equipos o de programas de cómputo o datos (físico o lógicos).
3. Espionaje dirigido a personal directivo o técnico.
4. Interceptación total o parcial de datos (físicos o lógicos). Sacamos información del IDU</t>
  </si>
  <si>
    <t>1. Uso inadecuado e indebido de la información en favor de terceros, afectando a la entidad o a un tercero.</t>
  </si>
  <si>
    <t>1. Aplicación de la documentación del proceso por parte de los usuarios del proceso.
2. Capacitación y sensibilización por parte de la STRT a los usuarios del proceso sobre bloqueo de sesión.
3. Capacitación y sensibilización por parte de la STRT a los usuarios del proceso sobre manejo de la información verbal.
4. Validación de entrega de los mensajes enviados por parte de los usuarios del proceso.</t>
  </si>
  <si>
    <t>1. Flash Informativos
2. Correos Electrónicos emitidos por la STRT
3. Correos Electrónicos emitidos por la SGDU y la SGI sobre la aplicación de las políticas de seguridad de la información.
4. Acuerdo de Confidencialidad de los documentos con reserva como las APP</t>
  </si>
  <si>
    <t>Manejo inadecuado de la información de terceros.</t>
  </si>
  <si>
    <t>1. Ausencia o deficiencia en los procedimientos de manejo de la información de terceros.
2. Desconocimiento de la custodia y salvaguarda de la información por parte de los servidores públicos.
3. Omisión intencional de los controles para el manejo de la información.
4. Inadecuada gestión de los archivos físicos y digitales.
5. Presión o coacción de terceras partes para modificar o publicar datos o información de terceros.</t>
  </si>
  <si>
    <t>1. Incumplimiento legal (ley de protección de datos)
2. Reclamaciones de los titulares de los datos
3. Afectación al buen nombre de la entidad
4. Pérdida de confidencialidad de la información.
5. Pérdida de la integridad de la información.</t>
  </si>
  <si>
    <t>1. Sensibilización por parte de la STRT a los usuarios del proceso sobre el manejo de la información de ciudadanos o terceros.
2. Sensibilización por parte de la STRT a los usuarios del proceso sobre el cuidado de la información de ciudadanos o terceros.
3. Sensibilización por parte de la STRT a los usuarios del proceso sobre los controles asociados al manejo de la información.
4. Sensibilización por parte de la STRT a los usuarios del proceso sobre el manejo y gestión de archivo físicos y digitales.
5. Revisión y seguimiento a los controles por parte de los usuarios del proceso.</t>
  </si>
  <si>
    <t>Presión o coacción de terceras partes para modificar o publicar datos personales</t>
  </si>
  <si>
    <t xml:space="preserve">1. Solicitudes realizadas a las áreas a traves de correo electrónico.
2. Actualización de la pagina web de la entidad cumpliendo con los requerimientos exigidos en el manual de GEL vigente del MInTIC
3. Diariamente se actualiza la pagina web de la entidad cumpliendo con los requerimientos exigidos en el manual de GEL vigente del MInTIC.
</t>
  </si>
  <si>
    <t>PROFESIONALES OAC</t>
  </si>
  <si>
    <t>*Correo electrónico.
* FOCO02_ SOLICITUD_ DE_ MATERIAL_ DE_ DIVULGACION_ Y_ BOLETINES_ DE_ PRENSA_ PARA_ PROYECTOS_ IDU
* Manual GEL vigente</t>
  </si>
  <si>
    <t>Manual de Comunicaciones DU-CO-01 _V3.0</t>
  </si>
  <si>
    <r>
      <t xml:space="preserve">1. Socialización al interior del IDU de los diferentes canales de comunicacióin interna.
2. Medición del conocimiento de lso canales de comunicación al interior del IDU:
3.  </t>
    </r>
    <r>
      <rPr>
        <sz val="8"/>
        <rFont val="Arial"/>
        <family val="2"/>
      </rPr>
      <t>Se realizan encuestas sobre el conocimiento en el uso de los medios de comunicación.</t>
    </r>
  </si>
  <si>
    <t>Manual de Comunicaciones DU-CO-01 _V3.0
Formato SOLICITUDES DE INFORMACIÓN Y ENTREVISTAS EXTERNAS</t>
  </si>
  <si>
    <t>Comunicaciones</t>
  </si>
  <si>
    <t>I.CO.01</t>
  </si>
  <si>
    <t>1. INTI06_USO_ADECUADO_DE_LOS_RECURSOS_DE_TI_V_1.0.pdf</t>
  </si>
  <si>
    <t>1. Resolución IDU 34217 de 2015
Adopción de Marco de Políticas de Control para Seguridad de la Información
2. Declaración de aplicabilidad.
3. Documentos específicos descritos en el control</t>
  </si>
  <si>
    <t>Canales de comunicaciones que permanecen activos al completar las transmisiones a través de las redes.</t>
  </si>
  <si>
    <t>■ INTI06_USO_ADECUADO_DE_LOS_RECURSOS_DE_TI_V_1.0.pdf
■ Plan de acción SGSI, piezas de información en medios virtuales
Mail Comunicaciones 9 de marzo de 2017, 11:37 - Seguridad de la información es para ti
Mail Comunicaciones 30 de marzo de 2017, 11:41 - Protege la información al hablar</t>
  </si>
  <si>
    <t>Acceso no autorizado a los sistemas de información o a los documentos por parte de terceros</t>
  </si>
  <si>
    <t>■INTI06_USO_ADECUADO_DE_LOS_RECURSOS_DE_TI_V_1.0.pdf
■Control centralizado para acceso a la red de datos por Directorio Activo, con asignación de roles en los computadores personales
■ Plan de acción SGSI, piezas de información en medios virtuales
Mail Comunicaciones 23 de marzo de 2017, 11:27 - Protege la información física</t>
  </si>
  <si>
    <t>MGRF03_MANUAL_SEGURIDAD_Y_VIGILANCIA_V_3.0.pdf</t>
  </si>
  <si>
    <t>Circular 18 de 2017 - Directrices en materia de orden  y aseo
(Incluir Política de escritorio limpio)
■ Mail Comunicaciones 23 de marzo de 2017, 11:27 - Protege la información física</t>
  </si>
  <si>
    <t>1. Resolución IDU 34217 de 2015
Adopción de Marco de Políticas de Control para Seguridad de la Información
2. Declaración de aplicabilidad.
3. Documentos específicos descritos en el control
4. Circular 01 de 2016 Uso de la información</t>
  </si>
  <si>
    <t>Acceso a los sistemas operativos o a las aplicaciones por "puertas traseras" no controladas.</t>
  </si>
  <si>
    <t>1. Control centralizado para acceso a la red de datos por Directorio Activo, con asignación de roles en los computadores personales
2. Antivirus institucional Bitdefender, módulos cambiso de procesos, control de acceso web, protección de datos, Antiphishing, control de dispositivos</t>
  </si>
  <si>
    <t>1. FO-TI-05 COMPROMISO SOBRE EL USO DE RECURSOS DE TECNOLOGÍA (No se aplica actualmente)
2. Antivirus institucional Bitdefender, módulos cambiso de procesos, control de acceso web, protección de datos, Antiphishing, control de dispositivos</t>
  </si>
  <si>
    <t>No se puedan atender a tiempo los requerimientos de la ciudadanía o de los entes de control
Imposibilidad para atender los trámites y/o servicios ofrecidos a los 
ciudadanos.
(Disponibilidad + Integridad)</t>
  </si>
  <si>
    <t>1. FO-TI-05 COMPROMISO SOBRE EL USO DE RECURSOS DE TECNOLOGÍA 
2. Circular 01 de 2016 - Uso de la información</t>
  </si>
  <si>
    <t>■ La STRT informa por carterleras  los servcios de mantenimientos, 14 de noviembre de 2017, 11:53.
■Plan de acción SGSI, piezas de información en medios virtuales
Mail Comunicaciones 9 de marzo de 2017, 11:37 - Seguridad de la información es para ti</t>
  </si>
  <si>
    <t>Espionaje dirigido a personal directivo o técnico.</t>
  </si>
  <si>
    <t>Capacitación y sensibilización a los usuarios del proceso sobre manejo de la información verbal.</t>
  </si>
  <si>
    <t>1. Antivirus institucional Bitdefender, módulos cambiso de procesos, control de acceso web, protección de datos, Antiphishing, control de dispositivos
2. Equipos FIREWALL para la seguridad de la red de datos de la entidad</t>
  </si>
  <si>
    <t xml:space="preserve">Comunicaciones </t>
  </si>
  <si>
    <t>Imposibilidad de uso de los equipos de cómputo, sistemas de información y/o aplicaciones institucionales</t>
  </si>
  <si>
    <t>Por eventos naturales como temblor, tifón, vendaval, o fenómeno metererológico.</t>
  </si>
  <si>
    <t>Afectación en la prestación de los servicios a los usuarios internos y a la ciudadanía.
(Disponibilidad)</t>
  </si>
  <si>
    <t>baja</t>
  </si>
  <si>
    <t>Plan de acción SGSI, piezas de información en medios virtuales
Mail Comunicaciones 30 de marzo de 2017, 11:41 16 de marzo de 2017, 15:24 - Protege la información digital</t>
  </si>
  <si>
    <t>1. Resolución IDU 34217 de 2015
Adopción de Marco de Políticas de Control para Seguridad de la Información
2. Declaración de aplicabilidad.
3. Documentos específicos descritos en el control1. Resolución IDU 34217 de 2015
Adopción de Marco de Políticas de Control para Seguridad de la Información
2. Declaración de aplicabilidad.
3. Documentos específicos descritos en el control</t>
  </si>
  <si>
    <t>Pérdida o desabastecimiento de energía eléctrica regulada</t>
  </si>
  <si>
    <t>Objetivo de Control A.11.2.2 Servicios de suministro (Declaración de Aplicabilidad)
Memorando 20155260339143 de Gestión de Recursos Físicos respecto al SGSI</t>
  </si>
  <si>
    <t>Daños accidentales en el edificio o áreas críticas</t>
  </si>
  <si>
    <t>Consultar con la STRF</t>
  </si>
  <si>
    <t>1. Teniendo en cuenta el plan de secibilización efectuada por la OAC para que el personal de las diferentes dependencias del IDU interioricen los protocolos y los tiempos para efectuar las solicitudes de servicios, se ha logrado una reducción considerable de los casos en los cuales las dependencias solictan servicios o productos sin la debida antelación, por lo cual se ha seducido la probabilidad de que estos casos se presenten, por lo cual la calificación del riesgo R.CO.03 se redujo de alto a moderado
2. Se elimina del riesgo R-CO-01 del tercer cuadro de descripción del control el literal 3. Aplicación del procedimiento PR-CO-026 Medios de Comunicación V1.0. y PR-CO-027 Canales de Información V1.0., al igual que de la columna de Documentos, lo anterior por encontrarse derogados
 3. Se actualiza en la columna de los documentos lo siguiente: Manual de Comunicaciones DU-CO-01 _V3.0
4. Se elimina del riesgo R-CO-03 el literal 1. Existe del procedimiento PR-CO-026 Medios de Comunicación V1.0. al igual que de la columna de Documentos, lo anterior por encontrarse derogado</t>
  </si>
  <si>
    <t>GESTIONAR DE MANERA INTEGRAL LOS PROYECTOS A TRAVES DE LAS ETAPAS DEL CICLO DE VIDA EN ZIPA</t>
  </si>
  <si>
    <t>DTP, DTC, DTM</t>
  </si>
  <si>
    <t>1. No recibir y/o recibir información errónea por parte de la Interventoría, lo cual no permite reportar información de avance.
2. Error humano del personal de las áreas ejecutoras durante el ingreso de la información reportada por la Interventoría al Sistema de Gestión Integral de Proyectos ZIPA.
3. Conocimiento insuficiente de la metodología de gestión de proyectos corporativa por parte del personal asignado en las áreas para consolidar los reportes.</t>
  </si>
  <si>
    <t xml:space="preserve">OAP y Áreas ejecutoras a cargo de las etapas del ciclo de vida de los proyectos </t>
  </si>
  <si>
    <t>ESTRUCTURAR Y/O ACTUALIZAR LOS ACTIVOS DE DOCUMENTACION DEL PROCESO Y EL BANCO DE PROYECTOS</t>
  </si>
  <si>
    <t>1. Cambio de la caracterización del proceso para la vigencia 2018
2. Mejoramiento, a través del desarrollo de nuevos módulos, del Sistema de Gestión Integral de Proyectos ZIPA.
3. Necesidad de implementación gradual de la metodología de gestión de proyectos al interior de la entidad</t>
  </si>
  <si>
    <t>1. No bloquear la sesión de usuario cuando se abandona la estación de trabajo.
2. Mal uso de las contraseñas.
3. Recuperación información a partir de medios de almacenamiento o procesamiento reciclados o desechados.
4.Acceso no autorizado a los sistemas de información o a los documentos por parte de personal de mantenimiento locativo, aseo o vigilancia.</t>
  </si>
  <si>
    <t>1.Fuga de información y/o uso indebido de datos institucionales (Confidencialidad)
2. Divulgación de información a terceras partes o a personal no autorizado 
(Confidencialidad)</t>
  </si>
  <si>
    <t>1. Comunicación desde la STRT sobre las políticas y controles asociados al SGSI.
2.Bloqueo automático para las estaciones de trabajo.
3. Manual polítcas de seguridad de la información.
4. Configuración y control de contraseñas (procesos TI).
5. Gestión de Backups para personal que se retira o cambio de cargo.
6. Gestión de Escritorios limpios, Bloqueo de las estaciones de trabajo. Archivo adecuado de la documentación.
7. Cámaras de vigilancia.</t>
  </si>
  <si>
    <t xml:space="preserve">1) Seguimiento y control de los cronogramas de presentación de los estudios. 
2) Reuniones y/o mesas de trabajo internas e interinstitucionales. 
</t>
  </si>
  <si>
    <t>Actividades administrativas en oficina</t>
  </si>
  <si>
    <t>4 INFERIOR</t>
  </si>
  <si>
    <t>BAJA</t>
  </si>
  <si>
    <t>MENOR</t>
  </si>
  <si>
    <t>Por aplicación de ingeniería social. (manipulación de las personas para obtener información)</t>
  </si>
  <si>
    <t xml:space="preserve">Sensibilización a los usuarios del proceso sobre uso de las contraseñas por parte de la STRT. </t>
  </si>
  <si>
    <t>Inadecuada aplicación del etiquetado de activos de información.</t>
  </si>
  <si>
    <t xml:space="preserve">Aplicar políticas contenidas en el Manual de Seguridad de la Información </t>
  </si>
  <si>
    <t>Enlaces de comunicaciones que permanecen activos al completar las transmisiones a través de las redes.</t>
  </si>
  <si>
    <t>Revisión y aplicación de la marcación de información por parte de la STRT</t>
  </si>
  <si>
    <t>2 INFERIOR</t>
  </si>
  <si>
    <t>Pistas o registros de auditoria (físico o lógico).</t>
  </si>
  <si>
    <t>Almacenamiento de información según los lineamientos vigentes, por instrucción de la STRT</t>
  </si>
  <si>
    <t>Capacitación y sensibilización a los usuarios del proceso sobre verificación del estado actual de los computadores asignados por parte de la STRT.</t>
  </si>
  <si>
    <t>Capacitación y sensibilización a los usuarios del proceso sobre instalación de software por parte de la STRT.</t>
  </si>
  <si>
    <t>No se puedan atender a tiempo los requerimientos de otras dependencias de la entidad,  de la ciudadanía y/o de los entes de control
Reprocesos en la gestión de la Dirección Técnica.</t>
  </si>
  <si>
    <t>6 MODERADO</t>
  </si>
  <si>
    <t>Sensibilización sobre la adecuada aplicación de la documentación del proceso de seguridad de la información por parte de la STRT</t>
  </si>
  <si>
    <t xml:space="preserve">Menor </t>
  </si>
  <si>
    <t>Capacitación y sensibilización a los usuarios del proceso sobre bloqueo de sesión por parte de la STRT.</t>
  </si>
  <si>
    <t>Capacitación y sensibilización a los usuarios del proceso sobre manejo de la información verbal por parte de la STRT.</t>
  </si>
  <si>
    <t>Validación de entrega de los mensajes enviados.</t>
  </si>
  <si>
    <t>Estrategia de Comunicación del Acuerdos de Valorización</t>
  </si>
  <si>
    <t>Director DTAV, Jefe OAC, Jefe OTC</t>
  </si>
  <si>
    <t xml:space="preserve">Debilidad en la articulación de la estrategia de comunicaciones del Acuerdo de valorización
 </t>
  </si>
  <si>
    <t>1. Reacciones adversas de la comunidad.
2. Afecta el normal desarrollo del proceso.
3. Desgaste para la gestión de cobro.</t>
  </si>
  <si>
    <t>Director DTAV</t>
  </si>
  <si>
    <t>Director DTAV, Subdirector STJEF, Subdirector STOP</t>
  </si>
  <si>
    <t>Subdirector STJEF-SGJ</t>
  </si>
  <si>
    <t xml:space="preserve">1. Inicio de investigaciones                
2. Interposición de demandas ante la jurisdicción contencioso administrativa.
3. Declaratorias de nulidad por parte de la jurisdicción contencioso administrativa   
4. Alto volumen de derechos de petición                                                      
5. Mayores costos a nivel operativo.
6. Silencio administrativo que genere demandas ante la Jurisdicción Contencioso Administrativa, con decisiones desfavorables que implican devoluciones en el pago de la Contribución de Valorización.          </t>
  </si>
  <si>
    <t xml:space="preserve">Subdirector STJEF,Subdirector STOP </t>
  </si>
  <si>
    <t xml:space="preserve">Reportes por generación de actividades en Valoricemos y Orfeo
Formato anteproyecto de presupuesto.
Plan de contratación PSP
Planillas,  de ser necesario visita a terreno procedimiento No.2DTFGF22.1.6_ELABORAR_CONCEPTO_TECNICO_PARA_RECLAMACIONES_POR_VALORIZACION
Correo Electrónico, actas, memorandos, Casos Aranda
Memorandos y oficios y reportes del sistema Valoricemos.
</t>
  </si>
  <si>
    <t>Subdirector STJEF</t>
  </si>
  <si>
    <t>1.No recaudo de la contribución de valorización.
2. Investigación de los entes de control.</t>
  </si>
  <si>
    <t>Director DTAV,Subdirector STJEF</t>
  </si>
  <si>
    <t xml:space="preserve">
Memorandos Orfeo y /o correo electrónico institucional
Plan de Contratación PSP.</t>
  </si>
  <si>
    <t>1 y 2</t>
  </si>
  <si>
    <t>1. Lista de chequeo de entregables en la etapa de factibilidad.
2. Estudio de factibilidad.
3. Guía  GU-DP-01  Alcance de los Entregables en la etapa de diseño.
4. FO-DP-11 Lista de chequeo y recibo de productos en la etapa de diseño
4. MG-GC-01 Manual de Interventoría y/o supervisión de contratos.
5. Guía GUDP017 Elaboración de Presupuesto para contratos de obra, consultoría, interventoría y apoyo a la gestión.
6. Actas de seguimiento y/o reunión.</t>
  </si>
  <si>
    <t>1. Afectación de la programación establecida por el IDU para la Licitación de la Obra y etapas posteriores.
2. Apertura de presuntos procesos de incumplimiento al contratista e interventoría.</t>
  </si>
  <si>
    <t>Estructuración de los estudios y diseños.</t>
  </si>
  <si>
    <t>1. Problemas contractuales durante la ejecución del proyecto.
2. Variación en el alcance del proyecto.</t>
  </si>
  <si>
    <t>1. Contar con equipo multidisciplinario para la estructuración de los procesos.
2. Aplicación del procedimiento de estructuración de procesos selectivos.</t>
  </si>
  <si>
    <t xml:space="preserve">Fuga de información y/o uso indebido de datos institucionales (Confidencialidad)
Divulgación de información a terceras partes o a personal no autorizado 
(Confidencialidad)
Acceso a información privilegiada que pone en ventaja a un proponente sobre otro en un proceso de contratación. </t>
  </si>
  <si>
    <t>1. Resolución 34217 de 2015 de  Políticas de seguridad de la información
2. Boletines informativos vía correo electrónico.
3.  DU-TI-06 Políticas operacionales de tecnologías de información y comunicación para el IDU</t>
  </si>
  <si>
    <t>1. Resolución 34217 de 2015 de  Políticas de seguridad de la información
2. Boletines informativos vía correo electrónico.
3.  DU-TI-06 Políticas operacionales de tecnologías de información y comunicación para el IDU</t>
  </si>
  <si>
    <t>José Javier Suarez Bernal</t>
  </si>
  <si>
    <t>PROCESO DE GESTION PREDIAL</t>
  </si>
  <si>
    <t>Elaborar insumos técnicos, jurídicos y sociales. 
Realizar la adquisición predial</t>
  </si>
  <si>
    <t xml:space="preserve">Invasión de los predios en administración a cargo de la DTDP  </t>
  </si>
  <si>
    <t>COMPONENTE FINANCIERO
COMPONENTE DE ADMINISTRACION PREDIAL</t>
  </si>
  <si>
    <t>Elaborar insumos técnicos, jurídicos y sociales. 
Realizar la adquisición predial.
Realizar el acompañamiento social de la población.
Realizar viabilidad predial.</t>
  </si>
  <si>
    <t>COMPONENTE SOCIAL</t>
  </si>
  <si>
    <t>COMPONENTE SISTEMAS DE INFORMACIÓN
COMPONENTE ADMINISTRATIVO</t>
  </si>
  <si>
    <t>Gestión Predial</t>
  </si>
  <si>
    <t>I.GP.01</t>
  </si>
  <si>
    <t xml:space="preserve">Acceso o sustracción de información y documentos con datos institucionales por personas no autorizadas </t>
  </si>
  <si>
    <t>COMPONENTE ADMINISTRATIVO
COMPONENTE SISTEMAS DE INFORMACIÓN</t>
  </si>
  <si>
    <t>I.GP.02</t>
  </si>
  <si>
    <t>I.GP.03</t>
  </si>
  <si>
    <t>DTDP
COMPONENTE SISTEMAS DE INFORMACIÓN</t>
  </si>
  <si>
    <t>1. Actas y listas de asistencia a mesas de trabajo</t>
  </si>
  <si>
    <t xml:space="preserve">DTDP </t>
  </si>
  <si>
    <t>EJECUCION DE OBRAS</t>
  </si>
  <si>
    <t>STESV - STEST - DTC - SGI</t>
  </si>
  <si>
    <t>DTP - DTC - STEST - STESV - SGI</t>
  </si>
  <si>
    <t xml:space="preserve"> DTC - STEST - STESV - SGI</t>
  </si>
  <si>
    <t>STEST - STESV - DTC - SGI - DTGC - DG - INTERVENTORÍA</t>
  </si>
  <si>
    <t>1. Manual de Interventoría y Supervisión de Contratos.
2.Manual de Gestión Contractual
3.  Procedimiento PRGC06 DECLARATORIA DE INCUMPLIMIENTO PARA LA IMPOSICION DE MULTA CLAUSULA PENAL CADUCIDAD Y O AFECTACION DE LA GARANTIA UNICA DE CUMPLIMIENTO
4. Formato FOEO03 RECORRIDO DE OBRA.
5. Informes mensuales de obra</t>
  </si>
  <si>
    <t>STEST - STESV - DTC - SGI - DTGC - INTERVENTORÍA</t>
  </si>
  <si>
    <t>1. Manual de Interventoría y Supervisión de Contratos
2.  Procedimiento PRGC06 DECLARATORIA DE INCUMPLIMIENTO PARA LA IMPOSICION DE MULTA CLAUSULA PENAL CADUCIDAD Y O AFECTACION DE LA GARANTIA UNICA DE CUMPLIMIENTO.
3. Pliego de condiciones, Anexo técnico o estudios previos del proyecto.</t>
  </si>
  <si>
    <t xml:space="preserve"> DTC - STEST - STESV - SGI - DTP - DTDP</t>
  </si>
  <si>
    <t>STEST - STESV - DTC - SGI - SGDU - DTP - INTERVENTORÍA</t>
  </si>
  <si>
    <t>1. Manual de Interventoría y Supervisión de Contratos
2. Apéndices de los contratos de obra (Ambiental, Redes húmedas, redes Secas y Transito)
3. Actas de Seguimiento
4. Convenios con las E.S.P 
5. Guía GUIN02 Coordinación IDU, ESP Y TIC  en Proyectos de Infraestructura.
6.  Ley de Infraestructura 1682 de 2013.
7. Formato FOIN03  ACTA  DE  CRUCE  DE  CUENTAS  ENTRE  EL  IDU  Y  LAS  ESP</t>
  </si>
  <si>
    <t>1. Aplicación de la lista de chequeo  Verificación de requisitos para inicio de la fase de ejecución de obra, en la que se verifican los documentos requeridos para iniciar la etapa de obra, previo al inicio de la obra
2. Aplicación del Manual de Gestión Predial en lo concerniente a la expedición del concepto de viabilidad predial y verificar que se cuente previo al inicio de la obra.</t>
  </si>
  <si>
    <t>STEST - STESV - DTC - SGI - DTDP - INTERVENTORÍA</t>
  </si>
  <si>
    <t>1. Manual de Interventoría y Supervisión de Contratos
2.4. Formato FOEO12 LISTA CHEQUEO VERIF REQUISITO INICIO FASE EJECUCION DE OBRA.
3. Manual de Gestión Predial.
4. Tira Predial
5. Comunicaciones oficiales - Orfeo - viabilidad predial</t>
  </si>
  <si>
    <t>1. Comités mensuales de seguimiento a los pendientes realizados por la Dirección General y/o Subdirección General de Infraestructura y/o Dirección Técnica de Construcciones.
2. Memorandos y reuniones solicitando, explicando y anexando la información requerida para que se emitan conceptos técnicos y/o jurídicos, cuando sean necesarios
3. Realizar cargues semanales al Aplicativo ZIPA para el registro del estado de los contratos, asignación de tareas y novedades entre dependencias.</t>
  </si>
  <si>
    <t>STEST - STESV - DTC - SGI - DTDP - DTGC - DTP - INTERVENTORÍA</t>
  </si>
  <si>
    <t>1. Acuerdo 002 de 2017  POR EL CUAL SE ESTABLECE LA ESTRUCTURA ORGANIZACIONAL DEL IDU
2. Manual de Funciones.  
3. Comunicaciones oficiales - Orfeo</t>
  </si>
  <si>
    <t>1. Reuniones informativas a lo largo del proyecto en los puntos IDU con la participación de la comunidad, Contratista, Interventoría y el IDU, durante la ejecución de la obra (semanal) y al finalizar la obra. 
2. Cierre de acciones interpuestas por la  comunidad, máximo a la terminación del contrato.
3. Realizar Comunicaciones oficiales, dando respuesta a los requerimientos ciudadanos un vez sean requeridos.
4. Verificar que se realice la divulgación del proyecto de acuerdo con lo establecido en el apéndice Social.</t>
  </si>
  <si>
    <t>STEST - STESV - DTC - SGI - OTC - INTERVENTORÍA</t>
  </si>
  <si>
    <t>1. Procedimiento PRAC064 "Atención al ciudadano en Proyectos de Infraestructura Urbana"
2. Apéndice Social del contrato.</t>
  </si>
  <si>
    <t>1. Comités mensuales de seguimiento a los pendientes realizados por la Dirección General y/o Subdirección General de Infraestructura y/o Dirección Técnica de Construcciones.
2. Control y seguimiento diario por parte de la Interventoría a las labores que ejecuta el contratista de obra.
3. Aplicación del manual de Interventoría y/o supervisión de contratos, con el fin de que se revisen y se valide si es necesario una vez se presente
4. Aplicación del procedimiento de Cambio de Estudios y Diseños, con el fin de que se revisen y se valide si es necesario una vez se presente.
5. Revisión de los precios no previstos por parte del grupo de APUS, en caso de presentarse
6. Verificación de los soportes relacionados en el acta de cambio de Etapa y/o lista de Chequeo al finalizar los estudios y Diseños.</t>
  </si>
  <si>
    <t>STEST - STESV - DTC - SGI - DTP - INTERVENTORÍA</t>
  </si>
  <si>
    <t>1. Actas de reunión de los comités de seguimiento.
2. Procedimiento PRDP080 CAMBIO DE ESTUDIOS Y DISEÑOS APROBADOS EN ETAPA DE CONSTRUCCION Y/O CONSERVACION
3. Manual de interventoría y/o supervisión de contratos.
4. Formato FOEO24 ACTA DE FIJACION DE PRECIOS NO PREVISTOS.
5. FOGI08 LISTA DE CHEQUEO OBJECION APU NO PREVISTOS EN CONTRATO DE OBRA.</t>
  </si>
  <si>
    <t>DTC - STEST - STESV - SGI</t>
  </si>
  <si>
    <t>Falta de coordinación interna para atender los tramites ambientales SST y sociales.</t>
  </si>
  <si>
    <t xml:space="preserve">1. Comités mensuales de seguimiento a los pendientes realizados por la Dirección General y/o Subdirección General de Infraestructura y/o Dirección Técnica de Construcciones.
2. Aplicar el procedimiento de gestión social en la etapa de construcción, definido y aplicado por la OTC, cuando aplique
3. Realizar cargues semanales al Aplicativo ZIPA para el registro del estado de los contratos, asignación de tareas y novedades entre dependencias. 
</t>
  </si>
  <si>
    <t>1. Contrato, pliego de condiciones y anexos.
2. Manual de Interventoría y Supervisión de Contratos.
3. Actas de Seguimiento</t>
  </si>
  <si>
    <t>STEST - STESV - DTC - SGI - STRF -SGGC - STRH</t>
  </si>
  <si>
    <t>1. Procedimiento PRGAF021 de Gestión de Recursos Físicos  
2. Formato  FORF05 SOLICITUD Y PRESTACION DE SERVICIOS</t>
  </si>
  <si>
    <t>1. Comunicaciones oficiales - Orfeo
2. Manual de gestión contractual.
3.  Procedimiento PRGC06 DECLARATORIA DE INCUMPLIMIENTO PARA LA IMPOSICION DE MULTA CLAUSULA PENAL CADUCIDAD Y O AFECTACION DE LA GARANTIA UNICA DE CUMPLIMIENTO.</t>
  </si>
  <si>
    <t>1. Actas de Reuniones de seguimiento.
2. Instrucción Jurídica del procedimiento para la toma de posesión de las obras.
3. Comunicaciones oficiales - Orfeo
4. Procedimiento PRGC06 Imposición Multa clausula penal , caducidad y/o Afectación de garantía Única de Cumplimiento
5. Cronograma y pendientes consolidado de los contratos, con fecha de perdida de competencia y pendientes</t>
  </si>
  <si>
    <t>STEST - STESV - DTC - SGI - DTGC - SGDU - INTERVENTORÍA</t>
  </si>
  <si>
    <t>STEST - STESV - DTC - SGI - OTC -INTERVENTORÍA</t>
  </si>
  <si>
    <t>Actividades Administrativas en oficina</t>
  </si>
  <si>
    <t>I.EO.01</t>
  </si>
  <si>
    <t>Acceso a los sistemas de información o a los documentos físicos o digitales que generen lectura, copia, modificación o sustracción por personas no autorizadas.</t>
  </si>
  <si>
    <t>DTC - STEST - STESV - STRF - STRH - STRT</t>
  </si>
  <si>
    <t>1. Fuga de información y/o uso indebido de datos institucionales (Confidencialidad)
2. Divulgación de información a terceras partes o a personal no autorizado 
(Confidencialidad)</t>
  </si>
  <si>
    <t>1. Resolución 34217 de 2015 de  Políticas de seguridad de la información.</t>
  </si>
  <si>
    <t>Transmisión de información a través de canales de comunicaciones que quedan abiertos</t>
  </si>
  <si>
    <t>STRT - DTC - STEST - STESV</t>
  </si>
  <si>
    <t>I.EO.02</t>
  </si>
  <si>
    <t>1.No se puedan atender a tiempo los requerimientos de la ciudadanía o de los entes de control
2.Imposibilidad para atender los trámites y/o servicios ofrecidos a los ciudadanos. (Disponibilidad + Integridad)</t>
  </si>
  <si>
    <t>I.EO.03</t>
  </si>
  <si>
    <t>Manejo inadecuado de la información personal de los ciudadanos o de terceros.</t>
  </si>
  <si>
    <t>Ausencia o deficiencia en los procedimientos de manejo de la información personal.</t>
  </si>
  <si>
    <t>Circular N. 16 de 2013,
Resolución 34217 de 2015 de  Políticas de seguridad de la información</t>
  </si>
  <si>
    <t>Desconocimiento de parte de las personas que manejan la información.</t>
  </si>
  <si>
    <t>Inadecuada gestión de los archivos físicos.</t>
  </si>
  <si>
    <t>Líder grupo Seguimiento a pólizas 
Prof. Especializado 222-06</t>
  </si>
  <si>
    <t xml:space="preserve">Que se omita requerir al contratistas por los daños de su presunta imputabilidad, por falta de claridad en la gestión, desconocimiento de los plazos y/u olvido. </t>
  </si>
  <si>
    <t>1- Vencimiento o disminución de la vigencia de las garantías, sin que se actúe frente a los daños detectados.
2- Deterioro de la infraestructura vial y espacio público por falta de recuperaciones oportunas.
3- Agravación del riesgo (aumento de severidad del daño) por parte de la entidad, argumentado por las aseguradoras.
4- Mayor inversión de la entidad en la recuperación de los daños no tratados en la vigencia de las pólizas.</t>
  </si>
  <si>
    <t>1- El procedimiento PR-CI-03, establece la gestión que se debe adelantar con los daños imputables al contratista, indicando la obligatoriedad del "requerimiento" y los plazos para realizarlo.
2- Las visitas de seguimiento son revisadas y firmadas por el líder del grupo quien, al evidenciar daños imputables al contratista, controla que se realicé el respectivo requerimiento y registra el radicado de ORFEO en una base de seguimiento. 
3- Se adoptó como indicador de gestión del área el número de requerimientos realizados a contratistas para los contratos con daños imputables al contratista, lo que permite un mayor control.</t>
  </si>
  <si>
    <t>Grupo de seguimiento a obras con póliza vigente</t>
  </si>
  <si>
    <t>1- Procedimiento PR-CI-03 "Seguimiento a la estabilidad y calidad de las obras con póliza vigente".
2- Oficios ORFEO de requerimiento.
3- Base de control y seguimiento para visitas.
4- Reporte trimestral de indicadores de la DTAI.</t>
  </si>
  <si>
    <t>Falta de control de los titulares autorizados, para el uso del espacio público.</t>
  </si>
  <si>
    <t>Líder grupo Espacio Público 
Prof. Universitario 219-03</t>
  </si>
  <si>
    <t>Ocupación indebida del espacio público y falta de supervisión por parte del titular autorizado.</t>
  </si>
  <si>
    <t>1- No restitución del espacio público dentro de los tiempos estipulados.
2- Generación de acciones policivas para la recuperación del espacio público.
3- Deterioro del espacio público.
4- Quejas por parte de la comunidad.</t>
  </si>
  <si>
    <t>1- Se elabora el acta de entrega y el acta de recibo entre el IDU y el autorizado.
2- Se realizan visitas aleatorias de inspección al espacio público objeto del permiso de acuerdo con los plazos autorizados.
3- Requerimientos por parte del IDU hacia el autorizado de usar el espacio público.</t>
  </si>
  <si>
    <t>Grupo de Espacio público</t>
  </si>
  <si>
    <t>1- Contrato u oficio que autoriza el uso del espacio público.
2- Formato FO-CI-15 Acta de entrega y recibo de espacio público.</t>
  </si>
  <si>
    <t>Líder grupo Licencias de Excavación
Prof. Universitario 219-03</t>
  </si>
  <si>
    <t>1- Reclamaciones por parte de la comunidad.
2- Pérdida de control de las intervenciones.
3- Falta de recuperación o mala recuperación del espacio público.
4- Deterioro del espacio público y consecuente afectación de la movilidad.</t>
  </si>
  <si>
    <t xml:space="preserve">1- Revisión calificada de la solicitud en la Oficina de Atención al Ciudadano. 
2- Revisión técnica de los documentos aportados por el solicitante (Solicitud de Licencia de Excavación, validez de documentos y firmas autorizadas)
3- Reporte a la Alcaldía Local correspondiente, como autoridad competente para la sanción por infracción urbanística. </t>
  </si>
  <si>
    <t>Grupo de Licencia de excavación</t>
  </si>
  <si>
    <t>1- Formato FO-DO-25 Hoja de testigo y/o referencia cruzada
2- Formato FO-CI-02 V_5.0 Solicitud de Licencia de Excavación
3- Formato FO-CI-28 Acta de verificación de las obras autorizadas y contratadas por las ESP.
4- GUCI01 Anexo técnico para la recuperación de espacio público V_3.0. 
5- Oficio a Alcaldías Locales.</t>
  </si>
  <si>
    <t>Que no se realice la visita de inspección a un paso elevado vehicular y/o peatonal que presente un daño que pueda afectar la estabilidad de la estructura.</t>
  </si>
  <si>
    <t>Líder grupo Monitoreo de Puentes
Contratista PSP</t>
  </si>
  <si>
    <t>Que no se encuentre en el inventario de la Entidad la estructura que presente el daño, pese a que si es un activo del IDU.</t>
  </si>
  <si>
    <t>1- Que no se pueda priorizar oportunamente el mantenimiento de los puentes.
2- Afectación en la movilidad por posibles accidentes de transito.</t>
  </si>
  <si>
    <t>1- Se realiza el cruce de información periódicamente con el área encargada del inventario.
2- Solicitar mediante memorando al área encargada del inventario la actualización en la base de datos.</t>
  </si>
  <si>
    <t>Grupo de Monitoreo de puentes</t>
  </si>
  <si>
    <t>1- Memorandos a la DTE.
2- Procedimiento PR-CI-06 V_1.0 Monitoreo de pasos elevados y a nivel tanto vehiculares como peatonales.</t>
  </si>
  <si>
    <t>No recibir el valor real de participación variable por utilización de los parqueaderos.</t>
  </si>
  <si>
    <t>Prof. Especializado 222-04</t>
  </si>
  <si>
    <t>1- Incumplimiento de obligaciones contractuales.
2- Afectación de los ingresos esperados para el presupuesto de la vigencia.
3- Cobro de intereses moratorios</t>
  </si>
  <si>
    <t>Intervención de Urbanizadores</t>
  </si>
  <si>
    <t>Líder grupo Urbanizadores
Prof. Especializado 222-06</t>
  </si>
  <si>
    <t>Grupo de Urbanizadores</t>
  </si>
  <si>
    <t>Dirección Técnica de Administración de Infraestructura</t>
  </si>
  <si>
    <t>I.CI.01</t>
  </si>
  <si>
    <t>1- No bloquear la sesión de usuario cuando se abandona la estación de trabajo.
2- Mal uso de las contraseñas.
3- Enlaces de comunicaciones que permanecen activos al completar las transmisiones a través de las redes.
4- Recuperación información a partir de medios de almacenamiento o procesamiento reciclados o desechados.
5- Acceso no autorizado a los sistemas de información o a los documentos por parte de personal de mantenimiento locativo, aseo o vigilancia.
6- Visitantes desatendidos en las instalaciones de la entidad.</t>
  </si>
  <si>
    <t>1- Fuga de información y/o uso indebido de datos institucionales (Confidencialidad)
2- Divulgación de información a terceras partes o a personal no autorizado 
(Confidencialidad)</t>
  </si>
  <si>
    <t>1- Sensibilización sobre el proceso sobre bloqueo automático de sesión. 
2- Sensibilización sobre uso  y privacidad de las contraseñas. Manual políticas de seguridad de la información.
3- Sensibilización sobre bloqueo de sesión, uso de telefonía, uso de mensajería electrónica.
4- Sensibilización sobre devolución de equipos y realización de copias de seguridad.
5- Sensibilización sobre la importancia del cuidado de la información.
6- Sensibilización sobre la importancia de atención oportuna de visitantes.</t>
  </si>
  <si>
    <t>Todos los servidores del área</t>
  </si>
  <si>
    <t xml:space="preserve">
Resolución 34217 de 2015 de Políticas de seguridad de la información.
(Mensajes correos emitidos por el subsistema de gestión de la información)</t>
  </si>
  <si>
    <t>I.CI.02</t>
  </si>
  <si>
    <t>1- No recolección de los documentos que se han enviado a impresión o escaneado. 
2- Disposición de documentos de oficina en sitios no adecuados para su almacenamiento y control.
3- Acceso a los sistemas operativos o a las aplicaciones por "puertas traseras" no controladas.</t>
  </si>
  <si>
    <t>1- Sensibilización sobre la necesidad de imprimir solo la información requerida en físico, y de estar pendiente de su disposición.
2- Almacenamiento de información según los lineamientos vigentes.
3- Sensibilización sobre la necesidad de verificación del estado general de los computadores asignados.</t>
  </si>
  <si>
    <t>Resolución 34217 de 2015 de Políticas de seguridad de la información.</t>
  </si>
  <si>
    <t>I.CI.03</t>
  </si>
  <si>
    <t>1- Manejo inadecuado de los datos o información por parte de los usuarios responsables.
2- Manipulación por parte de terceros de equipos o de programas de cómputo o datos (físico o lógicos).
3- Espionaje dirigido a personal directivo o técnico.
4- Interceptación total o parcial de datos (físicos o lógicos).</t>
  </si>
  <si>
    <t>1- No se puedan atender a tiempo los requerimientos de la ciudadanía o de los entes de control
2- Imposibilidad para atender los trámites y/o servicios ofrecidos a los ciudadanos.
(Disponibilidad + Integridad)</t>
  </si>
  <si>
    <t>1- Aplicación de la documentación del proceso.
2- Sensibilización sobre la importancia del bloqueo de sesión, siempre que no se este utilizando el equipo.
3- Sensibilización sobre manejo de la información verbal.
4- Validación de entrega de los mensajes enviados, dando prioridad al envió de información a correo electrónicos oficiales y/o institucionales.</t>
  </si>
  <si>
    <t>I.CI.04</t>
  </si>
  <si>
    <t>Imposibilidad de uso de los recursos que requiere el proceso para cumplir con sus objetivos.</t>
  </si>
  <si>
    <t>1- Por eventos naturales como temblor, tifón, vendaval, o fenómeno meteorológico.
2- Pérdida o desabastecimiento de energía eléctrica regulada.
3- Por destrucción de equipos, dispositivos, medios o instalaciones.
4- Daños accidentales en el edificio o áreas críticas.</t>
  </si>
  <si>
    <t>1- Valoración de posibles afectaciones por eventos naturales.
2- Alternativas de trabajo sin usar equipos de cómputo.</t>
  </si>
  <si>
    <t xml:space="preserve">ELABORAR, SUSCRIBIR Y LEGALIZAR LOS CONTRATOS Y CONVENIOS CON SUS MODIFICACIONES
</t>
  </si>
  <si>
    <t>Profesionales, Contratistas.</t>
  </si>
  <si>
    <t>No publicación oportuna o incompleta de la documentación  precontractual y contractual en el portal de contratación pública SECOP.</t>
  </si>
  <si>
    <t>DTGC / DTPS</t>
  </si>
  <si>
    <t xml:space="preserve">1. Realizar una revisión incompleta de todos la documentación que se debe publicar en cada etapa del proceso de selección   
2. Incumplimiento en los cronogramas de procesos de selección.  
3. Requisitos incompletos en el diligenciamiento de los formatos entregados por las áreas, solicitando publicaciones. 
4. Fallas en el acceso a la plataforma del Instituto o fallos propios del portal de contratación pública.     
</t>
  </si>
  <si>
    <t xml:space="preserve">1. Investigaciones disciplinarias a funcionarios y/o contratistas.
2. Deterioro de la imagen de la Entidad.
3. Contravención a los principios de transparencia, eficiencia, honestidad, compromiso y diligencia en la contratación pública.
4. Deterioro patrimonial para la entidad. </t>
  </si>
  <si>
    <t xml:space="preserve">1. Lineamientos internos para la DTPS 
2. Envío de correos                                                                                                                                                                                                                                                                                                                                                                                                                                                                                                                                                                                                                                                                                                                                                                                                                                                                                                                                                                                                                                                                                                                                         electrónicos y/o memorandos de solicitud de restablecimiento del servicio en casos mayores 
3. Declarar la contingencia cuando el portal de contratación no esté disponible.
4. Informar a la mesa de ayuda de la plataforma SECOP.
5. Verificación de la información que se debe publicar por parte del responsable del proceso (plieguista y evaluadores.
</t>
  </si>
  <si>
    <t>VERIFICAR LA DOCUMENTACION PARA LA ELABORACION DEL PROYECTO DE PLIEGO DE CONDICIONES</t>
  </si>
  <si>
    <t xml:space="preserve">1. Desconocimiento de los procedimientos internos, de la normatividad, en general,  por parte de las áreas ordenadoras del gasto  
2. Incumplimiento  inicial de la  programación del Plan Anual de Adquisiciones - PAA   
3. Diferencias entre los documentos físicos de los procesos versus la documentación digitalizada en la plataforma ORFEO  (Incompletos y/o inconsistentes)  
4. Tramitomanía (Vo.Bo.'s y firmas) de los documentos del proceso  
</t>
  </si>
  <si>
    <t xml:space="preserve">
1. Actualización y socialización semestral del Normograma como herramienta en la Entidad por parte de la SGJ.
2. Acompañamiento a las áreas ordenadoras del gasto para el ajuste de todos los documentos para estructurar el pliego de condiciones y otros
3. Seguimiento a los cronogramas  por proceso.
4. Utilización de lista de chequeo de procesos de selección  y formatos para traslado del expediente.
5. Verificación de los tiempos establecidos en los procedimientos  
</t>
  </si>
  <si>
    <t xml:space="preserve">1. Normograma
2. Memorandos
3. Listas de asistencia"
4. "Cronogramas de las AOG
5. ORFEO"
6. "1. Listas de chequeo
3. Bitácora de los procesos"
7. Manual de procedimientos
</t>
  </si>
  <si>
    <t>ELABORACION DEL PROYECTO DE PLIEGO DE CONDICIONES</t>
  </si>
  <si>
    <t xml:space="preserve">1. Estudios previos con inconsistencias en los requerimientos técnicos   
2. Desconocimiento de los aspectos técnicos y financieros  para la elaboración de los pliegos    
3. Alta rotación de personal   
4. Aplicación de Modelos de Pliegos de Condiciones desactualizados o no aprobados </t>
  </si>
  <si>
    <t>1. Adendas y Reprocesos (Observaciones y Aclaraciones)
2. Dificultades y/o errores en la evaluación
3. Declaratoria de Desierto del Proceso
4. Reprocesos Administrativos
5.  Inconvenientes en la ejecución contractual.
6. Investigaciones administrativas y judiciales en contra de los funcionarios.</t>
  </si>
  <si>
    <t xml:space="preserve">1. Designación de plieguista desde el inicio de la elaboración del pliego.
2. Capacitación para la elaboración de pliegos.
3. Divulgación de procedimientos a través de la publicación en la Intranet.
4. Aplicación de los procedimientos:
• PRGC01 Mínima cuantía contratación hasta el 10 de la menor cuantía
• PRGC02 Licitación publica
• PRGC03 Selección abreviada menor cuantía
• PRGC04 Concurso de méritos abierto o con precalificación
• PRGC07 Selección abreviada subasta inversa.
5. Mesas de trabajo entre DTPS y áreas solicitantes para revisión de los estudios previos.
6. Actualización de los modelos de pliegos tipo.
7. Aprobación de los modelos de pliegos por Comité de Contratación.
8. Publicación y socialización de los modelos de pliegos en la Intranet del IDU.
</t>
  </si>
  <si>
    <t>I.GC.01</t>
  </si>
  <si>
    <t xml:space="preserve">1. No bloquear la sesión de usuario cuando se abandona la estación de trabajo.  
2. Mal uso de las contraseñas.  
3. Por aplicación de ingeniería social. (manipulación de las personas para obtener información)  
4. Inadecuada aplicación del etiquetado de activos de información.  
5. Recuperación de información a partir de medios de almacenamiento o procesamiento reciclados o desechados.  
6. Acceso no autorizado a los sistemas de información o a los documentos por parte de personal de mantenimiento locativo, aseo o vigilancia.  
7. Visitantes desatendidos en las instalaciones de la entidad.  
</t>
  </si>
  <si>
    <t xml:space="preserve">1. Sensibilización a los usuarios del proceso sobre bloqueo de sesión.
2. Existe bloqueo automático 
3. Sensibilización a los usuarios del proceso sobre uso de las contraseñas.
4. Manual políticas de seguridad de la información."  
5. Sensibilización a los usuarios del proceso sobre ingeniería social.  
6. Revisión y aplicación de la marcación de información  
7. Sensibilización a los usuarios del proceso sobre devolución de equipos.  
8. Sensibilización a los usuarios del proceso sobre cuidado de la información.  
9. Sensibilización a los usuarios del proceso sobre atención de visitantes.  
</t>
  </si>
  <si>
    <t>Manual políticas de seguridad de la información, Resolución 34217 de 2015.</t>
  </si>
  <si>
    <t>I.GC.02</t>
  </si>
  <si>
    <t xml:space="preserve"> 1. No recolección de los documentos que se han enviado a impresión o escaneado.   
2. Disposición de documentos de oficina en sitios no adecuados para su almacenamiento y control.  
3. Acceso a los sistemas operativos o a las aplicaciones por "puertas traseras" no controladas.  
4. Uso de software ilegal o malicioso.  
</t>
  </si>
  <si>
    <t xml:space="preserve">1. Sensibilización a los usuarios del proceso sobre cuidado de la información.  
2. Almacenamiento de información según los lineamientos vigentes  
3. Capacitación y sensibilización a los usuarios del proceso sobre verificación del estado actual de los computadores asignados.  
4. Capacitación y sensibilización a los usuarios del proceso sobre instalación de software.  
</t>
  </si>
  <si>
    <t>I.GC.03</t>
  </si>
  <si>
    <t xml:space="preserve">1. Manejo inadecuado de los datos o información por parte de los usuarios responsables.  
2. Manipulación por parte de terceros de equipos o de programas de cómputo o datos (físico o lógicos).  
3. Espionaje dirigido a personal directivo o técnico.  
4. Interceptación total o parcial de datos (físicos o lógicos). 
</t>
  </si>
  <si>
    <t>Imposibilidad para atender los trámites y/o servicios ofrecidos a los ciudadanos.
(Disponibilidad + Integridad)</t>
  </si>
  <si>
    <t xml:space="preserve">1. Capacitación y sensibilización a los usuarios del proceso sobre bloqueo de sesión.  
2. Sensibilización a los usuarios del proceso sobre manejo de la información verbal.   
3. Validación de entrega de los mensajes enviados.  
 </t>
  </si>
  <si>
    <t>ELABORAR, SUSCRIBIR Y LEGALIZAR LOS CONTRATOS Y CONVENIOS CON SUS MODIFICACIONES
ELABORACION DEL PROYECTO DE PLIEGO DE CONDICIONES
EVALUCION DE LOS PROCESOS DE SELECCIÓN</t>
  </si>
  <si>
    <t>I.GC.04</t>
  </si>
  <si>
    <t xml:space="preserve">1. Por eventos naturales como temblor, tifón, vendaval, o fenómeno metererológico.  
2. Pérdida o desabastecimiento de energía eléctrica regulada  
3. Por destrucción de equipos, dispositivos, medios o instalaciones  
4. Daños accidentales en el edificio o áreas críticas
</t>
  </si>
  <si>
    <t xml:space="preserve">1. Valoración de posibles afectaciones eventos naturales en la sede.  
2. Alternativas de trabajo sin usar equipos de cómputo. 
3. Defiinción de planes de contingencia para el proceso.  
</t>
  </si>
  <si>
    <t>I.GC.05</t>
  </si>
  <si>
    <t>1. Ausencia o deficiencia en los procedimientos de manejo de la información personal.  
2. Desconocimiento en el manejo de informacion personal por parte de los responsables.  
3. Omisión intencional de los controles para el manejo de la información.  
4. Inadecuada gestión de los archivos físicos.  
5. Presión o coacción de terceras partes para modificar o publicar datos personales</t>
  </si>
  <si>
    <t xml:space="preserve">Inclumplimiento legal (ley de protección de datos)
Reclamaciones de los titulares de los datos
Afectación al buen nombre de la entidad
Pérdida de confidencialidad de la información.
Pérdida de la integridad de la información.
</t>
  </si>
  <si>
    <t xml:space="preserve">1. Ley 1581 de 2012 (Habeas Data)   
2. Sensibilización a los usuarios del proceso sobre manejo de la información personal.   
</t>
  </si>
  <si>
    <t>MARTHA LILIANA GONZALEZ MARTINEZ</t>
  </si>
  <si>
    <t>SUBDIRECTORA GENERAL JURIDICA</t>
  </si>
  <si>
    <t>IVAN SARMIENTO GALVIS</t>
  </si>
  <si>
    <t>DIRECTOR TECNICO DE GESTION CONTRACTUAL</t>
  </si>
  <si>
    <t>FUNCIONARIO-CONTRATISTA</t>
  </si>
  <si>
    <t xml:space="preserve">1. Insuficiencia de personal y/o alta rotación de personal.                                                           
2. Asignación insuficiente de recursos financieros para la contratación de abogados que ejerzan la Representación Judicial. </t>
  </si>
  <si>
    <t>* Investigaciones disciplinarias 
* Hallazgos Contraloría.</t>
  </si>
  <si>
    <t>Inicio de acciones judiciales por soliictud  del Comité de Conciliación</t>
  </si>
  <si>
    <t>Caducidad en las Acciones de Repetición</t>
  </si>
  <si>
    <t xml:space="preserve">1. Falta de control por parte de los abogados en la trazabilidad dada al trámite de pago.
2. Dificultad para la consecución de los antecedentes para el estudio de la demanda.
3. No presentar la demanda en el término legal establecido.
</t>
  </si>
  <si>
    <t>* Investigaciones disciplinarias y fiscales</t>
  </si>
  <si>
    <t>ABOGADO</t>
  </si>
  <si>
    <t>* Actas de Comité.
* Plataforma Google App.</t>
  </si>
  <si>
    <t>GESTION LEGAL</t>
  </si>
  <si>
    <t>I.GL.01</t>
  </si>
  <si>
    <t>Resolución 34217 de 2015 de  Políticas de seguridad de la información</t>
  </si>
  <si>
    <t>JOSÉ FERNANDO SUÁREZ VENEGAS</t>
  </si>
  <si>
    <t>DIRECTOR TÉCNICO
  DE GESTIÓN JUDICIAL</t>
  </si>
  <si>
    <t>OAP, SGGC, SGDU, STRH</t>
  </si>
  <si>
    <t>1. FO-PE-14 Actas de Reunión,  
2. FO-PE-13 Listados de asistencia 
3. Normograma IDU.</t>
  </si>
  <si>
    <t>Afectación del recurso humano del IDU
Bajo desempeño laboral.
Incumplimiento de la normatividad de Seguridad y Salud en el Trabajo.
Ambiente laboral inadecuado
Demandas para el Instituto</t>
  </si>
  <si>
    <t>Por destrucción de equipos, dispositivos, medios o instalaciones</t>
  </si>
  <si>
    <t>1. La Oficina Asesora de Planeación controla los documentos que son adoptados formalmente de acuerdo con lo estipulado en la Guía de Elaboración y Formalización de Documentos, los cuales se identifican con versión y código y se adoptan formalmente para su uso.
2. Aplicación del procedimiento Control de Documentos.</t>
  </si>
  <si>
    <t>Ley 1581 de 2012.
Programas de vigilancia epidemiológicos.</t>
  </si>
  <si>
    <t xml:space="preserve">PAULA TATIANA ARENAS GONZÁLEZ </t>
  </si>
  <si>
    <t xml:space="preserve">SUBDIRECTORA TÉCNICA DE
 RECURSOS HUMANOS </t>
  </si>
  <si>
    <t xml:space="preserve">Administración De Bienes </t>
  </si>
  <si>
    <t>Se realizan arqueos mensuales  de inventarios físicos, además es obligatorio realizar un inventario anual a los funcionarios y contratistas del IDU.
Se realizan controles en los traslados de bienes entre puestos de trabajo, pisos y sedes del Instituto, a través de formatos incluidos en la caracterización del proceso y/o comunicaciones escritas.</t>
  </si>
  <si>
    <t>Profesional Universitario 429-STRF</t>
  </si>
  <si>
    <t>FO-RF-226 Acta de control de elementos en servicio.
FO-GAF-170
Acta de entrega</t>
  </si>
  <si>
    <t/>
  </si>
  <si>
    <t xml:space="preserve">Campañas de sensibilización de uso y cuidado de los bienes del IDU.
En las obligaciones generales del contratista se establece la responsabilidad con el cuidado de los bienes asignados para la ejecución del contrato.
En el documento de entrega de bienes a los funcionarios y contratistas de la Entidad, se incluye responsabilidad que le asiste al recibirlos </t>
  </si>
  <si>
    <t>Piezas comunicacionales
Contrato
Formato de entrega de bienes</t>
  </si>
  <si>
    <t>Se realizan ajustes al software por parte de la STRT, de acuerdo a la solicitud del área y con el acompañamiento del encargado del manejo de bienes</t>
  </si>
  <si>
    <t>Evidencias del manteamiento software del IDU</t>
  </si>
  <si>
    <t>Administración De Bienes</t>
  </si>
  <si>
    <t>SUBDIRECTORA TÉCNICA DE 
RECURSOS FÍSICOS</t>
  </si>
  <si>
    <t>Deterioro de los bienes almacenados  
No contar con espacios para almacenar bienes reintegrados al almacén</t>
  </si>
  <si>
    <t>Definición, ejecución y seguimiento del Plan de mantenimiento de sedes.</t>
  </si>
  <si>
    <t>Profesional Universitario 219-01. Cod MF   429-STRF</t>
  </si>
  <si>
    <t>Plan mantenimiento sedes</t>
  </si>
  <si>
    <t>Aplicación del Manual de Administración de Bienes.
Expedición y aplicación de la Resolución de baja de bienes.
Clasificación de bienes servibles e inservibles y a estos últimos se les realiza baja definitiva.
Actualización del sistema STONE.</t>
  </si>
  <si>
    <t>Manual de Administración de bienes 
Resolución 
Acta comité
Sistema Stone</t>
  </si>
  <si>
    <t>Todas Las Actividades Del Proceso de Recursos Físicos</t>
  </si>
  <si>
    <t>Indisponibilidad de los bienes o servicios a cargo de la STRF por retrasos en la contratación de los mismos</t>
  </si>
  <si>
    <t>Los posibles proveedores no cotizan, dificultando  la elaboración de los estudios de mercado.</t>
  </si>
  <si>
    <t xml:space="preserve">Se cuenta con ficha técnica para solicitud de cotizaciones
Se identifican bases de datos de otros procesos y consultas al SECOP para identificar precios de mercado
Se revisa e indaga en el mercado y se estudian aspectos técnicos que sustenten la solicitud presentada al área de procesos selectivos. </t>
  </si>
  <si>
    <t>Fichas técnicas 
Consultas de bases de datos de referencia y/u otros procesos de contratación
Estudios de mercado</t>
  </si>
  <si>
    <t>Las áreas de contratación solicitan ajustes a los estudios previos en diversos aspectos técnicos, de estudio de mercado o generales, en diversos momentos</t>
  </si>
  <si>
    <t>Mesas de trabajo conjuntas para analizar integralmente el estudio previo radicado y resolver las observaciones mas sencillas en la misma reunión.</t>
  </si>
  <si>
    <t>Diseño y seguimiento al Plan Anual de Adquisiciones del Instituto</t>
  </si>
  <si>
    <t>Plan Anual de Adquisiciones
Actualización y seguimiento al Plan</t>
  </si>
  <si>
    <t>Programación de necesidades de bienes y/o servicios en el Plan de Adquisiciones,  teniendo en cuenta los tiempos de los procesos de selección establecidos por la DTPS .</t>
  </si>
  <si>
    <t>Plan Anual de Adquisiciones</t>
  </si>
  <si>
    <t>Adecuaciones Y Mantenimiento Locativas</t>
  </si>
  <si>
    <t>Prestación inadecuada del servicio de mantenimiento en las sedes del IDU</t>
  </si>
  <si>
    <t xml:space="preserve">Se cuenta con  factores de verificación de la calidad del suministro de bienes  y/o servicios, al momento de realizar la supervisión del contrato.
Efectuar reuniones periódicas de seguimiento, revisión y aprobación de informes. 
Aplicar el procedimiento de Declaratoria de incumplimiento para la imposición de multa clausula penal caducidad y/o afectación de la garantía única de cumplimiento. </t>
  </si>
  <si>
    <t>Estudios previos
Contrato
Manual de interventoría y supervisión de contratos
Actas de reunión.
Informes se seguimiento.</t>
  </si>
  <si>
    <t xml:space="preserve">Establecer condiciones técnicas suficientes para el bien o servicio a contratar.
Efectuar reuniones periódicas de seguimiento, revisión y aprobación de informes. 
Aplicar el procedimiento de declaratoria de incumplimiento para la imposición de multa, clausula penal, caducidad y/o afectación de la garantía única de cumplimiento. </t>
  </si>
  <si>
    <t>Estudios previos
Contrato
Manual de interventoría y supervisión de contratos
Actas de reunión.
Informes se seguimiento</t>
  </si>
  <si>
    <t xml:space="preserve">Identificación de las actividades y plazos para cumplir con la ejecución de las obligaciones contractuales. </t>
  </si>
  <si>
    <t>Contrato,  
Manual de contratación, supervisión de contratos,  
Actas de seguimiento</t>
  </si>
  <si>
    <t xml:space="preserve">Personal no idóneo contratado o subcontratado por la empresa que presta servicios al IDU </t>
  </si>
  <si>
    <t xml:space="preserve">Verificación del personal por parte de la entidad frente a los requisitos exigidos en pliegos y a lo pactado en el contrato.
Efectuar reuniones periódicas de seguimiento, revisión y aprobación de informes. 
Aplicar el procedimiento de Declaratoria de incumplimiento para la imposición de multa clausula penal caducidad y/o afectación de la garantía única de cumplimiento. </t>
  </si>
  <si>
    <t>Administración de Seguros</t>
  </si>
  <si>
    <t>Se da estricto cumplimiento a lo ofrecido en la propuesta por parte de la aseguradora y se realiza seguimiento periódico a los siniestros con el corredor de seguros.</t>
  </si>
  <si>
    <t>Profesional Especializado 222-06. Cod MF 435-STRF</t>
  </si>
  <si>
    <t>Oficios
Actas de reunión</t>
  </si>
  <si>
    <t>Atención inoportuna a los requerimientos que formula la entidad o los cubiertos por pólizas</t>
  </si>
  <si>
    <t>Se realiza seguimiento con el corredor de seguros  continuo para obtener una respuesta mediante los comités de siniestros con el fin de obtener respuesta lo mas pronto posible.</t>
  </si>
  <si>
    <t xml:space="preserve">El Corredor de seguros no tramite oportunamente la reclamación ante la aseguradora </t>
  </si>
  <si>
    <t>Dentro del contrato de corretaje de seguros se exige la presencia permanente de por lo menos un profesional que atienda y asesore a la Entidad en materia de seguros.</t>
  </si>
  <si>
    <t>Administración del Parque Automotor del Idu</t>
  </si>
  <si>
    <t>Desconocimiento de los mecanismos y condiciones establecidos para realizar la solicitud del servicio de transporte</t>
  </si>
  <si>
    <t>1. Retrasos o imposibilidad de prestar el servicio de transporte
2. Aumento de consumo de los recursos (combustible, personal, horas extras)</t>
  </si>
  <si>
    <t>Socialización de los mecanismos y condiciones para la prestación del servicio de parque automotor, así como de los formatos FOGAF117 BITACORA DE TRABAJO POR VEHICULO y FORF05 SOLICITUD Y PRESTACION_DE_SERVICIO</t>
  </si>
  <si>
    <t>Contratista de apoyo a la coordinación de los servicios de transporte</t>
  </si>
  <si>
    <t>Piezas comunicacionales
FO-GAF-117 y 
FO-RF-05</t>
  </si>
  <si>
    <t>Se asigna el servicio del transporte de acuerdo con lo solicitado por el usuario, los cambios en el servicio deben ser informados al correo electrónico</t>
  </si>
  <si>
    <t xml:space="preserve">Correo electrónico
Archivo en Excel </t>
  </si>
  <si>
    <t>Falta de una plataforma o software para registro y control de los  servicios de transporte solicitados a la STRF, así como del control al parque automotor.</t>
  </si>
  <si>
    <t>Se cuenta con archivo en Excel en el cual se registran los servicios solicitados.</t>
  </si>
  <si>
    <t>Hurto o sustracción de bienes de la Entidad, o de los servidores públicos, o de contratistas y/o visitantes</t>
  </si>
  <si>
    <t xml:space="preserve">Servidores públicos y contratistas del IDU no cumplen con los protocolos de seguridad establecidos por la Entidad </t>
  </si>
  <si>
    <t>Socialización de manual de seguridad y vigilancia a todo el personal del IDU
Campañas para el uso del carné, registro de bienes y empleo del sistema de control de acceso a servidores y contratistas del IDU</t>
  </si>
  <si>
    <t>Contratista de apoyo a la coordinación al servicio de vigilancia.</t>
  </si>
  <si>
    <t>Pautas internas de comunicación</t>
  </si>
  <si>
    <t xml:space="preserve">Aplicación del manual de Seguridad y Vigilancia.
Campañas de socialización del manual.
Solicitud de aplicación de sanciones o investigaciones a guardas de seguridad al no cumplir con lo establecido en el manual vigente. </t>
  </si>
  <si>
    <t>Manual de seguridad y vigilancia
Documentos de socialización
Comunicaciones oficiales durante la ejecución del contacto</t>
  </si>
  <si>
    <t>Solicitar y exigir la entrega del estudio de seguridad.
Realización de recorridos con la empresa de vigilancia para optimizar el sistema de CCTV .
Contrato de mantenimiento al sistema de control de acceso.</t>
  </si>
  <si>
    <t>Estudio de Vigilancia
Actas de recorridos
Contrato</t>
  </si>
  <si>
    <t>Registro de entrada y salida de elementos personales en la minuta de la empresa de vigilancia.  
Verificación de la autorización de salida de los bienes del IDU, por parte del personal de la compañía de vigilancia.</t>
  </si>
  <si>
    <t>Minuta de registro de la empresa de vigilancia
Formato orden de salida elementos</t>
  </si>
  <si>
    <t>Aplicación del manual de seguridad y vigilancia
Campañas de socialización del manual.</t>
  </si>
  <si>
    <t>Manual de seguridad y vigilancia
Documentos de socialización
Comunicaciones oficiales a la firma de vigilancia</t>
  </si>
  <si>
    <t xml:space="preserve">Adquisición de Bienes </t>
  </si>
  <si>
    <t>Falta de identificación de las características técnicas de los bienes requeridos dentro del proceso contractual.</t>
  </si>
  <si>
    <t>Elaboración de fichas técnicas para presentación de estudios de mercado, anexos técnicos de los estudios previos.</t>
  </si>
  <si>
    <t>Profesional Especializado 222-05 Cod. MF 434-STRF</t>
  </si>
  <si>
    <t>Estudios de mercado
Ficha técnica de estudios de mercado
Estudios previos</t>
  </si>
  <si>
    <t>Desconocimiento por parte de quienes reciben los insumos en cada área, de las referencias y marcas de los productos contratados</t>
  </si>
  <si>
    <t xml:space="preserve">Informar las características de los bienes a recibir, al personal de almacén y a los responsables de los centros de costos para insumos de oficina.
Aplicar el procedimiento de Declaratoria de incumplimiento para la imposición de multa clausula penal caducidad y/o afectación de la garantía única de cumplimiento. </t>
  </si>
  <si>
    <t>Contrato y especificaciones técnicas de los bienes</t>
  </si>
  <si>
    <t>Entrega por parte del proveedor de productos que presenten defectos de fábrica.</t>
  </si>
  <si>
    <t>Se incluye en el contrato el cambio de los productos que registren fallas por defectos de fábrica o calidad.
Solicitud de cambio del producto a través de oficio o acuerdo en reunión de seguimiento</t>
  </si>
  <si>
    <t>Contrato 
Oficios dirigidos al contratista
Actas de reunión</t>
  </si>
  <si>
    <t>Compras a través de Caja Menor</t>
  </si>
  <si>
    <t>No contar con la constitución de la caja menor, de acuerdo con las normas vigentes</t>
  </si>
  <si>
    <t>No presentación de las solicitudes dentro de las fechas establecidas</t>
  </si>
  <si>
    <t>Informar a los jefes para que a su vez socialicen con todos  los funcionarios y contratistas a su cargo, que las solicitudes de compras por caja menor siempre se deben hacer en las fechas que los responsables del manejo de la caja menor establezcan.</t>
  </si>
  <si>
    <t xml:space="preserve">Gestionar la solicitud de caja menor cumpliendo el procedimiento establecido para ello.
Se solicita visto bueno en el formato de Caja Menor del personal que apoya a la Supervisión, de la no existencia del elemento o servicio dentro del contrato relacionado. </t>
  </si>
  <si>
    <t xml:space="preserve">Antes de ejecutar el 70% de cada rubro, solicitar el reembolso de caja menor </t>
  </si>
  <si>
    <t>Las compras a través de caja menor se deben hacer siempre y cuando el dinero reembolsado se encuentre consignado en las cuentas del banco designadas para caja menor</t>
  </si>
  <si>
    <t>Vehículos en deficiente estado mecánico y deficiente aplicación del protocolo de inspección</t>
  </si>
  <si>
    <t>Mantener vigente contrato de mantenimiento de vehículos y ejecutarlo según el plan establecido y atendiendo las fallas que surjan.
Aplicación de la lista de chequeo diario de la entrega y recepción de los vehículos.</t>
  </si>
  <si>
    <t>Contratista de apoyo a la coordinación de los servicios de transporte y líder operativo del Sistema de Seguridad y Salud en el Trabajo</t>
  </si>
  <si>
    <t>Procedimiento PR-RF-01 
Plan de Mantenimiento Preventivo y Correctivo del parque automotor
Formato FO-RF-02</t>
  </si>
  <si>
    <t>Se cuenta con Conductor mecánico que revisa las actuaciones del taller y apoya la supervisión de los contratos.
Aplicación del Manual de Interventoría y Supervisión de Contratos.</t>
  </si>
  <si>
    <t>Manual de Funciones
Manual de Interventoría y Supervisión de Contratos</t>
  </si>
  <si>
    <t>Condiciones inadecuadas de la infraestructura vial en la ciudad</t>
  </si>
  <si>
    <t xml:space="preserve">
Diseño, adopción y socialización del  PESV para prevención de accidentes en entornos que frecuente el parque automotor del IDU</t>
  </si>
  <si>
    <t>Plan Estratégico de Seguridad Vial</t>
  </si>
  <si>
    <t>Pausas activas y sensibilización de realización ejercicio y mejora en la seguridad y salud en el trabajo.
Existencia del comité de seguridad Vial 
Plan Estratégico de Seguridad Vial  - PESV
Bitácora diligenciada para control de servicios y de horas extras de los conductores</t>
  </si>
  <si>
    <t xml:space="preserve">Planillas de pausas activas a conductores IDU
Resolución 6315 de 2016, crea comité seguridad vial
Bitácora de servicios
FO-TH-28  </t>
  </si>
  <si>
    <t>Realizar pausas activas enmarcadas en el Programa de vigilancia epidemiológica de riesgo biomecánico.</t>
  </si>
  <si>
    <t>Situaciones que alteren las condiciones fisiológicas del conductor, tal como ingerir alcohol, drogas y/o medicamentos</t>
  </si>
  <si>
    <t>Parágrafo del Articulo 8° de la Resolución 2275 de 2018
Plan y evidencias de ejecución de jornadas de sensibilización</t>
  </si>
  <si>
    <t>Enfermedades Crónicas, Episodios de sueño al volante, Trastornos  emocionales</t>
  </si>
  <si>
    <t>Aplicación de exámenes de ingreso
Aplicación de exámenes de permanencia a conductores
Documentación médica de cada conductor.
Jornadas de sensibilización epidemiológica, y programa de prevención del consumo  de psicoactivos</t>
  </si>
  <si>
    <t>Programas de vigilancia epidemiológica y sustancias psicoactivo</t>
  </si>
  <si>
    <t>Recursos Físicos</t>
  </si>
  <si>
    <t>I.RF.01</t>
  </si>
  <si>
    <t>Sensibilización a los usuarios del proceso sobre bloqueo de sesión.</t>
  </si>
  <si>
    <t>Líder operativo del Sistema de Seguridad de la Información</t>
  </si>
  <si>
    <t>Resolución 34217 de 2015 de  Políticas de seguridad de la información.
(Mensajes correos emitidos por el subsistema de gestión de la información)</t>
  </si>
  <si>
    <t>Sensibilización a los usuarios del proceso sobre uso de las contraseñas.
Manual políticas de seguridad de la información</t>
  </si>
  <si>
    <t>Sensibilización a los usuarios del proceso sobre ingeniería social.</t>
  </si>
  <si>
    <t>Revisión y aplicación de la marcación de información</t>
  </si>
  <si>
    <t>Sensibilización a los usuarios del proceso sobre bloqueo de sesión, uso de telefonía, uso de mensajería electrónica.</t>
  </si>
  <si>
    <t>Sensibilización a los usuarios del proceso sobre devolución de equipos.</t>
  </si>
  <si>
    <t>Acceso no autorizado a los sistemas de información o a los documentos por parte de personal de mantenimiento locativo, aseo, vigilancia o visitantes de la entidad.</t>
  </si>
  <si>
    <t>Sensibilización a los usuarios del proceso sobre cuidado de la información.</t>
  </si>
  <si>
    <t>I.RF.02</t>
  </si>
  <si>
    <t xml:space="preserve">Resolución 34217 de 2015 de  Políticas de seguridad de la información.
</t>
  </si>
  <si>
    <t>Almacenamiento de información según los lineamientos vigentes</t>
  </si>
  <si>
    <t>Capacitación y sensibilización a los usuarios del proceso sobre verificación del estado actual de los computadores asignados.</t>
  </si>
  <si>
    <t>Capacitación y sensibilización a los usuarios del proceso sobre instalación de software.</t>
  </si>
  <si>
    <t>I.RF.03</t>
  </si>
  <si>
    <t>Aplicación de la documentación del proceso.</t>
  </si>
  <si>
    <t xml:space="preserve">Resolución 34217 de 2015 de Políticas de seguridad de la información.
</t>
  </si>
  <si>
    <t>Capacitación y sensibilización a los usuarios del proceso sobre bloqueo de sesión.</t>
  </si>
  <si>
    <t>I.RF.04</t>
  </si>
  <si>
    <t>Imposibilidad de uso de los recursos requeridos por el proceso para la ejecución normal.</t>
  </si>
  <si>
    <t>Por eventos naturales como temblor, tifón, vendaval, o fenómeno meteorológico.</t>
  </si>
  <si>
    <t>Valoración de posibles afectaciones eventos naturales en la sede.</t>
  </si>
  <si>
    <t>Planes de Contingencia de la Entidad</t>
  </si>
  <si>
    <t>Definición de planes de contingencia para el proceso.</t>
  </si>
  <si>
    <t>I.RF.05</t>
  </si>
  <si>
    <t xml:space="preserve">Incumplimiento legal (ley de protección de datos)
Reclamaciones de los titulares de los datos
Afectación al buen nombre de la entidad
Pérdida de confidencialidad de la información.
Pérdida de la integridad de la información.
</t>
  </si>
  <si>
    <t>Sensibilización a los usuarios del proceso sobre cuidado y manejo de la información personal.</t>
  </si>
  <si>
    <t>Ley 1581 de 2012. Disposiciones generales para la protección de datos</t>
  </si>
  <si>
    <t>Sensibilización a los usuarios del proceso sobre cuidado y manejo de la información.</t>
  </si>
  <si>
    <t>Omisión intencional de los controles para el manejo de la información.</t>
  </si>
  <si>
    <t>Aplicación de los procedimientos para la entrega de los documentos relacionados con los Archivos de Gestión</t>
  </si>
  <si>
    <t>I.RF.06</t>
  </si>
  <si>
    <t>Afectación a la seguridad de la información durante un evento crítico</t>
  </si>
  <si>
    <t>Acceso no autorizado al edificio o a las áreas críticas</t>
  </si>
  <si>
    <t>Violaciones a la seguridad.
Pérdida de equipos.
Robo de información, equipos y/o dispositivos.
(Integridad + Confidencialidad)</t>
  </si>
  <si>
    <t>Contrato de vigilancia y seguridad privada para salvaguardar los bienes de la Entidad</t>
  </si>
  <si>
    <t>Contrato de vigilancia 
Planes de contingencia</t>
  </si>
  <si>
    <t>No contar con el plan de continuidad del negocio.</t>
  </si>
  <si>
    <t>Planes de contingencia de la Entidad</t>
  </si>
  <si>
    <t>Falla técnica de los elementos dispuestos para proteger la información.</t>
  </si>
  <si>
    <t>Por temblor, tifón, vendaval, o fenómeno meteorológico.</t>
  </si>
  <si>
    <t>Por inundación interna o externa</t>
  </si>
  <si>
    <t>I.RF.07</t>
  </si>
  <si>
    <t>Desastre provocado por el personal</t>
  </si>
  <si>
    <t>Empleado inconforme.</t>
  </si>
  <si>
    <t>Indisponibilidad y/o retrasos de los servicios.
(Disponibilidad)
Afectación a los activos de información.</t>
  </si>
  <si>
    <t>Actualización periódica de inventario de activos de información</t>
  </si>
  <si>
    <t>Disturbio o conmoción social interna.</t>
  </si>
  <si>
    <t>Falta de conocimiento sobre las restricciones de uso de equipos y/o dispositivos.</t>
  </si>
  <si>
    <t>I.RF.08</t>
  </si>
  <si>
    <t>Impedimento de acceso a las sedes de trabajo del Instituto</t>
  </si>
  <si>
    <t>Control inadecuado de proveedores de servicios externos.</t>
  </si>
  <si>
    <t>No se puedan atender a tiempo los requerimientos de la ciudadanía o de los entes de control
Indisponibilidad y/o retrasos de los servicios.
(Disponibilidad)</t>
  </si>
  <si>
    <t>Eventos catastróficos (naturales o provocados por el hombre)</t>
  </si>
  <si>
    <t>Disturbio o conmoción social interna o externa.</t>
  </si>
  <si>
    <t>Desplazamiento / concentración de habitantes de calle (home less).</t>
  </si>
  <si>
    <t>En la presente actualización se realizo ajuste en la descripción, causas, consecuencias y controles asociados a los riesgos.
Se incluye en la presente matriz los riesgos de seguridad de la información.</t>
  </si>
  <si>
    <t xml:space="preserve">SGGC </t>
  </si>
  <si>
    <t xml:space="preserve">DTAF </t>
  </si>
  <si>
    <t>PAULA TATIANA ARENAS GONZÁLEZ</t>
  </si>
  <si>
    <t xml:space="preserve">STRF </t>
  </si>
  <si>
    <t>TÉCNICO - PROFESIONAL -CONTRATISTA STRH</t>
  </si>
  <si>
    <t>PROFESIONAL</t>
  </si>
  <si>
    <t>PROFESIONALES -TÉCNICOS - CONTRATISTAS</t>
  </si>
  <si>
    <t>SRTH</t>
  </si>
  <si>
    <t>4. Validación de entrega de los mensajes enviados.</t>
  </si>
  <si>
    <t>Ley 1581 de 2012
PR-TH-03 Creación y Gestión Documental de Historias Laborales</t>
  </si>
  <si>
    <t>SALVADOR MENDOZA SUÁREZ</t>
  </si>
  <si>
    <t>DIRECTOR TÉCNICO ADMINISTRATIVO Y FINANCIERO</t>
  </si>
  <si>
    <t>SUBDIRECTORA TÉCNICA DE RECURSOS HUMANOS</t>
  </si>
  <si>
    <t>Riesgos de Corrupcion</t>
  </si>
  <si>
    <t>La interventoría 
Equipo de apoyo a la supervición</t>
  </si>
  <si>
    <t>Director Técnico de Mantenimiento</t>
  </si>
  <si>
    <t>1
INFERIOR</t>
  </si>
  <si>
    <t>Recibo de obra y liquidación</t>
  </si>
  <si>
    <t>2
INFERIOR</t>
  </si>
  <si>
    <t>Que queden pasivos ambientales (forestales) y SST ( maquinaria, vehículos y equipos)</t>
  </si>
  <si>
    <t>1.  Que no se realice una adecuada coordinación interinstitucional con la autoridad ambiental</t>
  </si>
  <si>
    <t>* Atrasos en la liquidación del contrato
* Que la entidad deba asumir los costos de los pasivos  ambientales
* Que el contratista y/o el interventor no respondan al momento que la autoridad ambiental  genera alguna multa
* Que ocurran posibles accidentes por causa de individuos arbóreos que estén en peligro  de volcamiento</t>
  </si>
  <si>
    <t>6
Moderado</t>
  </si>
  <si>
    <t>1. Se tienen establecidas  mesas de trabajo  periódicas y cuando se requiere  entre el IDU y la SDA,  orientadas a coordinar y agilizar los trámites  relacionados con el tema ambiental  para los contratos a cargo del área.
2. Mediante oficios se requiere a la SDA agilizar la emisión de los actos administrativos requeridos</t>
  </si>
  <si>
    <t>Actas de coordinación Oficios</t>
  </si>
  <si>
    <t>2.  Deficiencias  en  el cumplimiento de las obligaciones  de seguimiento   y control  frente a  los temas de naturaleza ambiental, forestal, SST y de maquinaria, vehículos y equipos por parte de la interventoría</t>
  </si>
  <si>
    <t>3. Contractualmente  se encuentran establecidas las obligaciones  en materia ambiental  tanto de contratista como de la interventoría, así mismo  apremios y   sanciones  ante eventuales  incumplimientos   
4. Cada contrato  de obra cuenta con  interventoría  quien ejerce el control y seguimiento en todos los aspectos incluido el ambiental, así mismo, cada contrato de interventoría cuenta con un supervisor del tema ambiental y SST  por parte de la Entidad 
5. En los comités de seguimiento al contrato que usualmente se realizan en forma semanal, se hace control y seguimiento a los temas ambientales, fosterales SST y maquinaria , vehículos y equipos.
6. Mensualmente se cuenta con informe de la interventoría sobre el cumplimiento del contratista en la gestión ambiental,sst, forestal
7. Se realizan recorridos entre contratista, interventoría y supervisor  IDU a los frentes de obra objeto del contrato
8. A través de un informe de cierre ambiental se consolida la información y se determina  el  grado de cumplimiento
9. Se adelantan mesas de trabajo con interventoría y/o contratista de obra, con el fin de retroalimentar su gestión y elaboración de sus entregables.</t>
  </si>
  <si>
    <t>Pliegos de condiciones y contratos de obra  e interventoría
Informe mensual de interventoría.
Actas de comités de seguimiento al contrato
Informe de cierre ambiental
Manual de interventoría y/o supervisión de contratos
Formatos IDU vigentes
Actas de reunión
Correos electrónicos
Manual único de control y seguimeito ambiental y SST del IDU</t>
  </si>
  <si>
    <t>3.  Que se presenten demoras en la emisión de actos administrativos por parte de las autoridades ambientales (SDA y CAR) y la EAB cuando aplique.</t>
  </si>
  <si>
    <t>1. Mediante el seguimiento del contratista, la interventoría y el IDU a  través del supervisor , a las solicitudes efectuadas a estas empresas, se detecta la necesidad  de  reiterar las mismas o adelantar alguna gestión adicional para obtener los productos requeridos
2. Se tienen establecidas  mesas de trabajo  periódicas  y cuando se requiere  entre el IDU y la SDA,  orientadas a coordinar y agilizar los trámites  relacionados con el tema ambiental  para los contratos a cargo del área</t>
  </si>
  <si>
    <t>Oficios
Actas de reunión
Correos electrónicos</t>
  </si>
  <si>
    <t>-</t>
  </si>
  <si>
    <t>4.  Quejas y reclamos que presente la ciudadanía porque el  patio continúa  en mismo sitio contrariando el deseo de la comunidad que vive alrededor</t>
  </si>
  <si>
    <t>Atención de Emergencias</t>
  </si>
  <si>
    <t>RIESGOS SEGURIDAD DE LA INFORMACIÓN</t>
  </si>
  <si>
    <t>Gestión documental del proceso Conservación de infraestructura -DTM</t>
  </si>
  <si>
    <t xml:space="preserve">Acceso a los sistemas de información o a los documentos por personas no autorizadas, trátese de lectura, copia, modificación o sustracción no autorizada de documentos archivados o datos institucionales </t>
  </si>
  <si>
    <t>1.  No bloquear la sesión de usuario cuando se abandona la estación de trabajo.</t>
  </si>
  <si>
    <t>Fuga de información y/o uso indebido de datos institucionales (Confidencialidad)
Divulgación de información a terceras partes o a personal no autorizado 
(Confidencialidad)
Fuga de información y/o uso indebido de datos institucionales (Confidencialidad)</t>
  </si>
  <si>
    <t>moderado</t>
  </si>
  <si>
    <t>6 
MODERAADO</t>
  </si>
  <si>
    <t>Sensibilización a los usuarios del proceso sobre bloqueo de sesión y existencia de bloqueo automático, proporsionado por el susbsistema de Seguridad de la Información</t>
  </si>
  <si>
    <t xml:space="preserve">Los usuarios del proceso
</t>
  </si>
  <si>
    <t xml:space="preserve">
Resolución 34217 de 2015 de  Políticas de seguridad de la información.
(Mensajes correos emitidos por el subsistema de gestión de la información)</t>
  </si>
  <si>
    <t>2 
INFERIOR</t>
  </si>
  <si>
    <t>2.  Mal uso de las contraseñas.</t>
  </si>
  <si>
    <t>Sensibilización a los usuarios del proceso sobre uso de las contraseñas.
Manual polítcas de seguridad de la información?</t>
  </si>
  <si>
    <t>3.  Por aplicación de ingeniería social. (manipulación de las personas para obtener información)</t>
  </si>
  <si>
    <t>4.  Inadecuada aplicación del etiquetado de activos de información.</t>
  </si>
  <si>
    <t>5.  Enlaces de comunicaciones que permanecen activos al completar las transmisiones a través de las redes.</t>
  </si>
  <si>
    <t>sensibilización a los usuarios del proceso sobre bloqueo de sesión, uso de telefonía, uso de mensajería electrónica.</t>
  </si>
  <si>
    <t>6.  Recuperación información a partir de medios de almacenamiento o procesamiento reciclados o desechados.</t>
  </si>
  <si>
    <t>7.  Acceso no autorizado a los sistemas de información o a los documentos por parte de personal de mantenimiento locativo, aseo o vigilancia.</t>
  </si>
  <si>
    <t>8.  Visitantes desatendidos en las instalaciones de la entidad.</t>
  </si>
  <si>
    <t>Sensibilización a los usuarios del proceso sobre atención de visitantes.</t>
  </si>
  <si>
    <t xml:space="preserve">9.  .  No recolección de los documentos que se han enviado a impresión o escaneado. </t>
  </si>
  <si>
    <t>10.  Disposición de documentos de oficina en sitios no adecuados para su almacenamiento y control.</t>
  </si>
  <si>
    <t>11.  Uso de software ilegal o malicioso.</t>
  </si>
  <si>
    <t>6
MODERADO</t>
  </si>
  <si>
    <t>4
 INFERIOR</t>
  </si>
  <si>
    <t>Director Técnico de mantenimiento</t>
  </si>
  <si>
    <t xml:space="preserve">Inclumplimiento legal (ley de protección de datos)
Reclamaciones de los titulares de los datos
Afectación al buen nombre de la entidad
Pérdida de confidencialidad de la información.
</t>
  </si>
  <si>
    <t>4 
Inferior</t>
  </si>
  <si>
    <t>Sensibilización a los usuarios del proceso sobre manejo de la información personal.</t>
  </si>
  <si>
    <t>Ley 1581 de 2012</t>
  </si>
  <si>
    <t>Sensibilización a los usuarios del proceso sobre manejo de la información que se encuentra en archivos físicos.</t>
  </si>
  <si>
    <t>Profesional Especializado</t>
  </si>
  <si>
    <t>Insuficiente asignación de recursos para el cumplimiento de los objetivos o actividades requeridas al proceso</t>
  </si>
  <si>
    <t>1 Que no se cuente con suficiente espacio para el almacenamiento de datos institucionales (por:  a. Duplicidad en el almacenamiento de información; b. Fallas en el cálculo de dimensionamiento de la arquitectura de almacenamiento; c. Falta de monitoreo de los recursos de almacenamiento instalados vs asignados).
2 Que no se cuente con suficiente personal para desarrollar los proyectos requeridos por el Instituto.
3 Que no se asigne presupuesto suficiente para adquirir las herramientas necesarias.
4 Que no se cuente con suficiente capacidad de procesamiento para desplegar los proyectos requeridos por el Instituto.
5 Que no se cuente con suficiente capacidad de transmisión de datos desde, hacia y al interior del Instituto.</t>
  </si>
  <si>
    <t>- Instructivo de uso de las carpetas compartidas.
- Campaña de divulgación.
- Anteproyecto de presupuesto, Planes de contratación PSP,
- Plan Anual de Adquisiciones
- PETI
- Procedimiento PRTI16 Gestión de capacidad y disponibilidad.
- Procedimiento PRTI17 Gestión de servidores
- FOTI30 Control de capacidad de los recursos de TI
- IN-TI-17 Instructivo del Aplicativo WSUS</t>
  </si>
  <si>
    <t>- Equipo de trabajo de la Mesa de servicios de la entidad.  Este grupo atiende las diferentes solicitudes, según el catálogo de servicios de TI vigente.
- Capacitaciones con el personal de mesa de servicios para que se realice el registro adecuado en la herramienta Aranda.
- Verificación del cierre y documentación de los casos por parte del líder de mesa de servicios.
- Fomento del uso del Módulo USDK de Aranda, para autogestión de radicación de casos por los usuarios del Instituto.
- Campañas de divulgación sobre el uso de la herramienta de usuario USDK.
- Transferencia de conocimiento. Personal de planta. Plan de contratación de apoyo a la gestión.
- Control de cierre de todos los casos en curso de los funcionarios y contratistas de apoyo a la gestión, antes de efectuar los pagos mensuales.
- Revisiones y/o actualizaciones periódicas.</t>
  </si>
  <si>
    <t>- Contratos y pólizas de cumplimiento.
- Documento de acuerdo de trabajo colaborativo TIC vs RF
- Procedimientos de Generación y restauración de copias de seguridad (PR-TI-11 y PR-TI-12)
- PETI
- Plan Anual de Adquisiciones
- Reportes de los sistemas ARANDA, STONE y Módulo de Inventarios de TI de CHIE.
- Informe de seguimiento
- Plan de mantenimiento de elementos de TI
- IN-TI-17 Instructivo del Aplicativo WSUS
- IN-TI-06 Instructivo de Uso de Recursos Tecnológicos
- IN-TI-07 Instructivo de administración del Directorio Activo
- IN-TI-14 Instructivo de preparación de un equipo para usuario final.</t>
  </si>
  <si>
    <t>- Fuga de información y/o uso indebido de datos institucionales (Confidencialidad).
- Divulgación de información a terceras partes o a personal no autorizado 
(Confidencialidad).
- Manipulación o alteración de información en los sistemas de información.
- Alteración de la configuración de los elementos usados para la prestación de servicios.
- Pérdida o afectación de la imagen institucional.</t>
  </si>
  <si>
    <t>- Resolución 34217 de 2015.
- Instructivo de administración del directorio activo (IN-TI-07).
- Instructivo Solicitud de Soporte Técnico por Aranda USDK (IN-TI-02).
- Circular 17 de 2015.
- Campaña de sensibilización por procesos.
- Instructivo de borrado seguro de datos y formateo final de equipos (IN-TI-15)
- Procedimiento de revisión a la plataforma de tecnología de información (PR-TI-18)
- Procedimiento de Gestión de Servidores (PR-TI-17)
- Instructivo de preparación de un equipo de usuario. (IN-TI-14)
- Casos registrados para cambios en la instalación de software en la herramienta de mesa de servicios Aranda.
- Instructivo de administración del antivirus. (En construcción).</t>
  </si>
  <si>
    <t>Alteración de la configuración de los elementos usados para la prestación de servicios</t>
  </si>
  <si>
    <t>Corrupción de software o degradación de aplicaciones</t>
  </si>
  <si>
    <t>Daño a los equipos de cómputo de usuario y/o a los archivos contenidos en ellos</t>
  </si>
  <si>
    <t>1 Falta de instalación de actualizaciones o parches de seguridad para remediar debilidades conocidas de los programas de software.
2 Inserción de código malicioso en la red o en los equipos de usuario. Instalación y propagación de malware (virus informáticos).
3 Falta de información o conciencia respecto al uso de los recursos de tecnología asignados.
4 Daños a la información provocado por animales (insectos o roedores).
5 Susceptibilidad de daño en almacenamiento de medios.
6 Almacenamiento no protegido de datos.
7 Ubicación de archivos temporales en lugares con condiciones ambientales no apropiadas.
8 Almacenamiento no estructurado de datos y/o poca disponibilidad de datos respaldados.
9 No se han formalizado o no se aplican las condiciones para atender visitas en las oficinas
10 No se tiene control de los activos que se encuentran fuera de las instalaciones.</t>
  </si>
  <si>
    <t>- La información física (impresa) y en medios magnéticos extraíbles (cintas) que cumplen el ciclo de vida según las tablas de retención es enviada a custodia externa con proveedor certificado que ofrece controles ambientales y contra deterioro.
- Se cuenta con repositorios de almacenamiento centralizado que asignan cuotas a los procesos y áreas del Instituto, para que se consigne la información no estructurada (documentos de ofimática).
- Seguimiento a la gestión de los servicios de suministro contratados a través de la revisión de los informes mensuales entregados por los proveedores antes de autorizar los pagos de facturación.
- Acuerdos de trabajo con el proceso de gestión de recursos físicos.
- El acceso a las instalaciones de la STRT, al Centro de Cómputo Principal y a los centros de cableado, se encuentra restringido y controlado.
-  El acceso a la información y servicios institucionales debe hacerse mediante la autenticación de los usuarios en la red de datos en el Directorio Activo, en donde se cuenta con la política de gestión de contraseñas.
- Se han contemplado las condiciones de uso de los recursos de tecnología y se hace divulgación de dichas condiciones en conjunto con la OAC.
- Se ha formalizado el procedimiento de gestión de incidentes de seguridad de la información.</t>
  </si>
  <si>
    <t>- Procedimiento de revisión a la plataforma de tecnología de información (PR-TI-18).
- Instructivo de Uso de WSUS (IN-TI-17).
- Circular Interna 1 de 2016.
- Circular Interna 15 de 2016.
- Instructivo de uso adecuado de los recursos de TI (IN-TI-06).
- Instructivo de uso del antivirus  (En actualización).
- Procedimiento de Gestión Cambios (PR-TI-06)
- Instructivo de uso adecuado de los dispositivos de almacenamiento (IN-TI-05).
- Procedimiento de generación de copias de seguridad (PR-TI-11).
- Instructivo de preparación de un equipo de usuario. (IN-TI-14).
- Libro blanco de Teletrabajo IDU (GU-TH-01).
- Contrato de custodia externa.
- Instructivo de uso adecuado de las carpetas compartidas (en construcción)
- DU-TI-06 Políticas Operacionales de TIC para el IDU.</t>
  </si>
  <si>
    <t>Degradación de la calidad o legibilidad de la información almacenada</t>
  </si>
  <si>
    <t>Denegación de los servicios de TI</t>
  </si>
  <si>
    <t>Explotación de debilidad conocida sobre los componentes tecnológicos y los sistemas de seguridad perimetral</t>
  </si>
  <si>
    <t>1 Ausencia de mecanismos de monitoreo establecidos para las brechas en la seguridad.
2 Ataques de ingeniería social a los administradores de los sistemas de seguridad y de los componentes tecnológicos.
3 Errores en la aplicación y pruebas de liberación de actualizaciones de seguridad para aplicaciones.
4 Descarga no controlada de archivos o aplicaciones.
5 Uso de herramientas no autorizadas para revisión de la red o de los equipos de cómputo.
6 Ausencia o desconocimiento de la política de uso de los servicios de red.
7 Uso inapropiado de equipos de comunicaciones o de medios de procesamiento.
8 Falta de seguimiento a los dispositivos que conforman la seguridad del perímetro físico o lógico de la entidad.</t>
  </si>
  <si>
    <t>- Indisponibilidad y/o retrasos de los servicios
- Pérdida de la Disponibilidad
- Pérdida de la Integridad
- Denegación de los servicios de TI
- Incumplimiento de los acuerdos de atención de servicios en los términos pactados
- Multas o sanciones para el Instituto
(Integridad) 
- Lentitud en la respuesta de los servicios de red interna o externa</t>
  </si>
  <si>
    <t>- Para los servicios de tecnología se cuenta con documentación clara de los procedimientos que se requieren para atender los casos reportados y evaluar su debida gestión.
- El acceso a los servicios de consulta de información digital externa por medio de Internet está restringido por tipos de contenidos presentados y operado a través de los dispositivos de seguridad perimetral.
- Preventivamente se hace el seguimiento y monitoreo del tráfico de la red interna a través de Nagios y otras herramientas.
- Adicionalmente se tiene el control de instalación de software que está restringido por el directorio activo y apoyado por la aplicación de antivirus.
- Se revisa la adecuada instalación de "parches de seguridad" a través de las consolas de monitoreo de los elementos de tecnología y se hacen revisiones periódicas de dichas aplicaciones a través del procedimiento de revisión de la plataforma.
- Se mantiene control sobre los ambientes de trabajo separados (desarrollo, pruebas y producción).</t>
  </si>
  <si>
    <t>- Procedimiento de revisión a la plataforma de tecnología de información (PR-TI-18)
- Instructivo de Uso de WSUS  (IN-TI-17)
- Instructivo Solicitud de Soporte Técnico por Aranda USDK (IN-TI-02)
- Procedimiento de Gestión de Servicios de TI (PR-TI-06)
- Procedimiento de Gestión de Incidentes de seguridad de la información (PR-TI-22)
- Instructivo de Administración del Directorio Activo (IN-TI-07).
- Instructivo de protección de la información digital (IN-TI-08).
- Instructivo Uso adecuado de los recursos TI (IN-TI-06).
- Piezas de divulgación OAC.
- Instructivo de Administración del Directorio Activo (IN-TI-07).
- Documento Definición de Perfiles de navegación para Internet. (En construcción).
- Instructivo de uso del antivirus  (En construcción).
- Registros de tráfico de red en los dispositivos.</t>
  </si>
  <si>
    <t>Lentitud en la respuesta de los servicios de red interna o externa</t>
  </si>
  <si>
    <t>Mal uso de los servicios de correo electrónico</t>
  </si>
  <si>
    <t>- En acciones coordinadas con la OAC, se trabaja en la divulgación y toma de conciencia sobre conceptos de uso adecuado de los recursos de TI.
- Para protección de los recursos tecnológicos físicos, se dispone de pólizas de seguros que pretenden reponer el recurso perdido.
- Para la protección de la información contenida en los equipos se dispone del procedimiento de generación de copias y del instructivo de uso adecuado de los dispositivos de almacenamiento.
- La configuración de los equipos de usuario, queda restringida a perfiles de USUARIO, no se habilitan perfiles de ADMINISTRADOR LOCAL.
- Condiciones de validación aplicables a los "tele-trabajadores" en cuanto al manejo de los recursos asignados.
- El servicio de correo electrónico es prestado por un tercero, se realizaron sesiones de capacitación respecto al uso del servicio.
- Divulgación y toma de conciencia sobre conceptos de uso adecuado de los recursos de TI, incluyendo el correo electrónico.</t>
  </si>
  <si>
    <t>- Instructivo Uso del servicio de correo institucional (IN-TI-12).
- Procedimiento Bienestar Social y Desarrollo (PR-TH-118).
- Instructivo Acuerdo Ético Gente IDU (CA-TH-02).
- Instructivo de Administración del Directorio Activo (IN-TI-07).</t>
  </si>
  <si>
    <t>No remover todos los datos y/o aplicaciones de software cuando se devuelven los equipos</t>
  </si>
  <si>
    <t>Pérdida o interrupción del servicio de aire acondicionado en el datacenter</t>
  </si>
  <si>
    <t>Director Técnico</t>
  </si>
  <si>
    <t>Que no se implemente completa y correctamente el Subsistema de Gestión Documental</t>
  </si>
  <si>
    <t>Que no exista apoyo de nivel gerencial para los temas de gestión documental</t>
  </si>
  <si>
    <t>Hallazgos de los entes de control
Incumplimiento en la aplicación de la normatividad archivística
Posibles investigaciones disciplinarias</t>
  </si>
  <si>
    <t>Seguimiento a los compromisos suscritos en el comité de archivo</t>
  </si>
  <si>
    <t>Profesional Especializado 222-06. Cod MF 437-STRF</t>
  </si>
  <si>
    <t>Personal insuficiente o no capacitado en el área de gestión documental</t>
  </si>
  <si>
    <t>Identificación y definición de los perfiles y número de personas requeridas y registradas en el proyecto de presupuesto.
Se realiza en forma permanente entrenamiento al personal asignado al proceso.</t>
  </si>
  <si>
    <t>Anteproyecto de Presupuesto. 
Presentación y lista asistencia, correos electrónicos</t>
  </si>
  <si>
    <t>Resistencia al cambio y/o falta de compromiso por parte de los responsables de gestionar la implementación del Subsistema en toda la Entidad</t>
  </si>
  <si>
    <t>Se promueven espacios de sensibilización y soporte al personal de la Entidad</t>
  </si>
  <si>
    <t>Presentación,  lista asistencia y soporte de seguimiento</t>
  </si>
  <si>
    <t>Actualización de procedimientos de acuerdo con normatividad vigente.
Actualización periódica del normograma.</t>
  </si>
  <si>
    <t>Listado maestro de documentos y registros
Normagrama</t>
  </si>
  <si>
    <t>Desconocimiento de procesos técnicos en Gestión Documental</t>
  </si>
  <si>
    <t>Se socializan los procesos técnicos en Gestión documental al personal asignado.
Actualización periódica del normograma.</t>
  </si>
  <si>
    <t>Presentación y correos electrónicos
Normograma</t>
  </si>
  <si>
    <t>Se analizan necesidades y se solicita el presupuesto anual  (la asignación de estos recursos no está bajo control directo del proceso)</t>
  </si>
  <si>
    <t xml:space="preserve">Anteproyecto de Presupuesto. </t>
  </si>
  <si>
    <t>No devolución de documentos solicitados en préstamo para consulta, pérdida o extravío de los mismos.</t>
  </si>
  <si>
    <t>Sanciones legales por no proteger el patrimonio cultural documental de la ciudad
Perdida de la memoria documental e institucional del Idu
Demora en la toma de decisiones
Hallazgos de los organismos de control
Duplicidad de esfuerzos en la recuperación de la información (tiempo, personal, costos)</t>
  </si>
  <si>
    <t>(2) Profesionales Especializados 222-06 (Cod MF437-436-STRF) 
Líderes de Gestión Documental y Centro de Documentación</t>
  </si>
  <si>
    <t>Indebida aplicación de la Tabla de Retención Documental, lo que conlleva a la inadecuada preservación de la información</t>
  </si>
  <si>
    <t xml:space="preserve">Socialización de la asignación de la TRD. </t>
  </si>
  <si>
    <t>TRD, Lista de asistencia a la socialización</t>
  </si>
  <si>
    <t>Procesamiento técnico inadecuado de los archivos</t>
  </si>
  <si>
    <t>Presentación, correos electrónicos</t>
  </si>
  <si>
    <t>Rotación del Recurso Humano en el  IDU, salida y traslado de colaboradores entre dependencias</t>
  </si>
  <si>
    <t>Se realiza control de devolución de documentos para retiro o traslado entre dependencias del personal, para lo cual se tramita el respectivo paz y salvo. Para el ingreso de nuevo personal se realiza capacitación sobre la importancia de la documentación.</t>
  </si>
  <si>
    <t>Formato FOTH22 PAZ YSALVO</t>
  </si>
  <si>
    <t>Se identifican y presentan las necesidades de infraestructura y se incluyen en el Anteproyecto de Presupuesto. La decisión de realizar las adecuaciones depende de la alta gerencia y de la disponibilidad de recursos.
Se cuenta  aproximadamente con un 70% del material bibliográfico y un 30% de documentos de archivos, digitalizados para el servicio de consulta.</t>
  </si>
  <si>
    <t>Anteproyecto de Presupuesto. 
Repositorio Institucional Dspace y ORFEO</t>
  </si>
  <si>
    <t xml:space="preserve">No aplicación del Manual para realización y restauración de back-Up de información. </t>
  </si>
  <si>
    <t>Seguimiento a la aplicación del manual de Backup, el cual corresponde al proceso de gestión de TIC</t>
  </si>
  <si>
    <t>Comunicación a STRT, Manual MGTI016</t>
  </si>
  <si>
    <t>Atención ineficiente a usuarios internos y externos de la gestión documental</t>
  </si>
  <si>
    <t>Personal insuficiente y no capacitado en el área de gestión documental</t>
  </si>
  <si>
    <t>Se realiza capacitación permanente a los nuevos funcionarios por parte de los líderes del proceso de gestión documental.</t>
  </si>
  <si>
    <t>(2) Profesionales Especializados 222-06 (Cod MF437-436-STRF) Líderes de Gestión Documental y Centro de Documentación</t>
  </si>
  <si>
    <t>Presentación y listas de asistencia</t>
  </si>
  <si>
    <t>Alta rotación del recurso humano al interior del proceso</t>
  </si>
  <si>
    <t>Al momento del ingreso de personal  se realiza inducción al manejo documental y se recalca la importancia de la documentación.</t>
  </si>
  <si>
    <t xml:space="preserve">FO_PAZ Y SALVO
Presentación
planillas </t>
  </si>
  <si>
    <t>Presentación y correos electrónicos</t>
  </si>
  <si>
    <t>Se analizan necesidades y se solicita el presupuesto anual  (la asignación de estos recursos no está bajo control directo del proceso).</t>
  </si>
  <si>
    <t>Formatos procesos Gestión Financiera</t>
  </si>
  <si>
    <t>Fallas del sistema de información destinado a la Gestión Documental.</t>
  </si>
  <si>
    <t>Se cuenta con  Backup de la información y mecanismos manuales para atención a usuarios.</t>
  </si>
  <si>
    <t>Radicación manual o registro.</t>
  </si>
  <si>
    <t>No ofrecer a los usuarios internos y externos la versión final de los documentos misionales en el repositorio institucional, o que el existente se encuentre desactualizado</t>
  </si>
  <si>
    <t>SUBDIRECTORA TÉCNICA
 DE RECURSOS FÍSICOS</t>
  </si>
  <si>
    <t>Los supervisores de contratos de obras de infraestructura no transfieren al Centro de Documentación los informes, ni los planos finales definitivos.</t>
  </si>
  <si>
    <t>Tomar o inducir a otros a tomar decisiones erradas por consultar información desactualizada</t>
  </si>
  <si>
    <t>Aplicación del Manual de Interventoría y de Supervisión, así como de la guía diseñada para tal efecto, en donde se establece la transferencia de productos documentales finales al Centro de Documentación o al área de archivo.</t>
  </si>
  <si>
    <t>Profesional Especializado 222-06. Cod. MF 436-STRF</t>
  </si>
  <si>
    <t>Falta de presupuesto para incluir en el repositorio institucional la documentación transferida.</t>
  </si>
  <si>
    <t>Identificar inventario de informes no incluidos en el repositorio institucional, a fin de presupuestar lo necesario para adelantar la digitalización. (la asignación de estos recursos no está bajo control directo del proceso).</t>
  </si>
  <si>
    <t>I.DO.01</t>
  </si>
  <si>
    <t>Resolución 34217 de 2015 de  Políticas de seguridad de la información.
(Mensajes correos electrónicos emitidos por el subsistema de gestión de la información)</t>
  </si>
  <si>
    <t>Acceso no autorizado a los sistemas de información o a los documentos por parte de personal de mantenimiento locativo, aseo o vigilancia o visitantes de la entidad</t>
  </si>
  <si>
    <t>I.DO.02</t>
  </si>
  <si>
    <t>I.DO.03</t>
  </si>
  <si>
    <t>No se puedan atender a tiempo los requerimientos de la ciudadanía o de los entes de control
Imposibilidad para atender los trámites y/o servicios ofrecidos a los ciudadanos.
(Disponibilidad + Integridad)
Fuga de información y/o uso indebido de datos institucionales o personales (Confidencialidad)</t>
  </si>
  <si>
    <t>I.DO.04</t>
  </si>
  <si>
    <t xml:space="preserve">Imposibilidad de uso de los equipos de cómputo, sistemas de información y/o aplicaciones institucionales
</t>
  </si>
  <si>
    <t>I.DO.05</t>
  </si>
  <si>
    <t>Incumplimiento legal (ley de protección de datos)
Reclamaciones de los titulares de los datos
Afectación al buen nombre de la entidad
Pérdida de confidencialidad de la información.
Pérdida de la integridad de la información.</t>
  </si>
  <si>
    <t>Resolución 34217 de 2015 de Políticas de seguridad de la información.
PR-DO-03 Procedimiento Organización Archivos de Gestión</t>
  </si>
  <si>
    <t>I.DO.06</t>
  </si>
  <si>
    <t>Degradación de la calidad o legibilidad de la información</t>
  </si>
  <si>
    <t>Daños a la información provocado por animales (insectos o roedores)</t>
  </si>
  <si>
    <t>Indisponibilidad y/o retrasos de los servicios.
(Disponibilidad)</t>
  </si>
  <si>
    <t>Fumigaciones constantes a las áreas de archivo</t>
  </si>
  <si>
    <t>Profesional Especializado 222-06. Cod. MF 437-STRF</t>
  </si>
  <si>
    <t>PR-DO-03 Procedimiento Organización Archivos de Gestión
Tabla de Retención Documental</t>
  </si>
  <si>
    <t>Ubicación de archivos temporales en lugares con condiciones ambientales no apropiadas.</t>
  </si>
  <si>
    <t>Transferencias documentales</t>
  </si>
  <si>
    <t>Tablas de retención documental desactualizadas o no aplicadas.</t>
  </si>
  <si>
    <t>Actualización de la Tabla de Retención Documental</t>
  </si>
  <si>
    <t>I.DO.07</t>
  </si>
  <si>
    <t>Violación a los derechos de propiedad intelectual y/o derechos de copiado</t>
  </si>
  <si>
    <t>Robo de un equipo de cómputo (fijo o portable) o de medios de almacenamiento o de elementos de comunicación.</t>
  </si>
  <si>
    <t>Multas o sanciones para el Instituto
(Integridad)</t>
  </si>
  <si>
    <t>Uso de anclajes para equipos de cómputo</t>
  </si>
  <si>
    <t>Ley 23 de 1982 - Dirección Nacional de Derecho de Autor</t>
  </si>
  <si>
    <t>Uso de documentos, artículos o publicaciones sin el debido referenciamiento al autor.</t>
  </si>
  <si>
    <t>Revisión de índices de plagio en los documentos a publicar</t>
  </si>
  <si>
    <t>Uso ilegal o no autorizado de software.</t>
  </si>
  <si>
    <t>Robo de software licenciado o aplicaciones adquiridas.</t>
  </si>
  <si>
    <t>PROCESO DE GESTION FINANCIERA</t>
  </si>
  <si>
    <t>STTR - STPC -  DTAF - SGGC</t>
  </si>
  <si>
    <t>1. Actas de reuniones
2. Presentaciones
3. PRGAFO054 Conciliación Bancaria 
4. PR-GF-05 Procedimiento de Recaudo
5. Memorandos
6. Sistema VALORICEMOS
7. Correo electrónico
8. Oficios para los Bancos - ORFEO 
9. Plataforma Aranda, Help Desk</t>
  </si>
  <si>
    <t>3. Deficiencia en la información enviada por los bancos</t>
  </si>
  <si>
    <t>4. Abono inoportuno de recursos recaudados por los bancos</t>
  </si>
  <si>
    <t>5. Ingreso de dato erróneo en las aplicaciones manuales (depósitos judiciales, abono a unidad predial) en el sistema valoricemos</t>
  </si>
  <si>
    <t>6. Falla en los sistemas de información (valoricemos, Stone)</t>
  </si>
  <si>
    <t>1. Que los bancos no tengan habilitada la plataforma para el recaudo</t>
  </si>
  <si>
    <t>Profesional, contratistas.</t>
  </si>
  <si>
    <t>2. Demoras en el envío de la información por parte del IDU a los bancos, la cual es necesaria y oportuna para alimentar los sistemas para la recepción de pagos.</t>
  </si>
  <si>
    <t>Técnico, profesional (STRT).</t>
  </si>
  <si>
    <t>3. Que los sistemas de información del IDU no estén habilitados para la conectividad con los bancos</t>
  </si>
  <si>
    <t xml:space="preserve">1. Aplicación del Procedimiento  PR-GF-06 Procedimiento gestión del Programa Anual de Caja PAC, en el cual se establece que al no recibir información del PAC se toma la recibida del mes anterior para garantizar los recursos.
2. Generación de Informes de ejecución de PAC mensual. 
3. Comunicaciones a las áreas informando sobre la programación y ejecución del PAC. </t>
  </si>
  <si>
    <t>Profesional</t>
  </si>
  <si>
    <t>1.  PR-GF-06 Procedimiento gestión del Programa Anual de Caja PAC.
2. Informes
3. Memorandos - ORFEO
4. Listas de Asistencia
5. Procedimiento PR-GF-06 Procedimiento gestión del Programa Anual de Caja PAC.
6. Manual de Usuario STONE. 
9. Reporte SISPAC Reporte STONE</t>
  </si>
  <si>
    <t xml:space="preserve">4. Capacitación permanente y personalizada por parte de la STTR a usuarios de otras áreas, sobre la aplicación del procedimiento  PR-GF-06 Procedimiento gestión del Programa Anual de Caja PAC y del uso del módulo PAC del sistema STONE. </t>
  </si>
  <si>
    <t>Técnicos, profesionales.</t>
  </si>
  <si>
    <t>1. Procedimiento PR-GF-09 Traslados  entre cuentas bancarias</t>
  </si>
  <si>
    <t>1) Hallazgos e investigaciones de entes de control
2) Procesos disciplinarios, fiscales
3) Pérdidas de recursos dinerarios para el IDU</t>
  </si>
  <si>
    <t>Profesional, Técnico, Contratista, Subdirector STTR, Director Técnico Administrativo y Financiero.</t>
  </si>
  <si>
    <t>6. Validación de conexión segura de páginas de los portales de las entidades bancarias y presentación previa por parte de los gerentes de cuenta de los funcionarios encargados del manejo de las cuentas bancarias. 
7. Para inversiones, de acuerdo con las políticas de la Secretaria de Hacienda Distrital, se solicita la actualización de la información para la gestión de las inversiones (información del trader, gerente de cuenta, responsables de la Mesa de operaciones, calificación de los bancos, información básica del contacto y firmas autorizadas). 
8. Grabación de llamadas para operaciones de la STTR.
9. Aplicación de las políticas emitidas por la Secretaría de Hacienda Distrital, así como del protocolo de seguridad.
10. Aplicación del procedimiento PR-GF-04 Administración de inversiones de Tesorería.</t>
  </si>
  <si>
    <t>Profesional, Técnico, Contratista, Subdirector STTR, Director Técnico Administrativo y Financiero, Técnico (STRT)</t>
  </si>
  <si>
    <t>6. Contratos de Recaudo
7. Solicitud y apertura de productos.
8. FO-GF-07 Inventario de Inversiones Financieras
9. PRGF04 Administración de inversiones de Tesorería
10. Actas de inversiones</t>
  </si>
  <si>
    <t>Técnico.</t>
  </si>
  <si>
    <t>Profesional.</t>
  </si>
  <si>
    <t>PR-GF-06 Procedimiento gestión del Programa Anual de Caja PAC.</t>
  </si>
  <si>
    <t>1) Investigaciones fiscales, penales, disciplinarias etc.
2) Detrimento patrimonial
3) Pérdida de imagen institucional</t>
  </si>
  <si>
    <t>1. Socialización a todos los funcionarios que intervienen en el proceso del protocolo de seguridad del área, se cuenta con  una caja de seguridad en donde se custodian los títulos de valor y documentos (funcionarios -Documentado en el protocolo de seguridad) * Este control aplica también para la causa No. 2.</t>
  </si>
  <si>
    <t xml:space="preserve"> Subdirector técnico de Tesorería y Recaudo, técnicos, profesionales universitarios y especializados</t>
  </si>
  <si>
    <t>Técnicos, profesionales, contratistas</t>
  </si>
  <si>
    <t>Soportes de los documentos presupuestales y contables.
Memorandos - ORFEO
Formatos de conciliación.
ORFEO
Plataforma de correo electrónico
Lista de asistencia o certificados de asistencia</t>
  </si>
  <si>
    <t>1) Observaciones de los entes de control.
2) Investigaciones fiscales y disciplinarias.
3) Reprocesos, ajustes y reclasificaciones.
4) Retrasos en la producción y entrega de los estados, informes y reportes.
5) Estados, informes y reportes presupuestales no confiables y/o no relevantes.</t>
  </si>
  <si>
    <t>Subdirector(a) Técnico(a) de Presupuesto y Contabilidad</t>
  </si>
  <si>
    <t>1. Correo electrónico
2.  Plan de Cuentas
3. Oficios y correos enviados.
4. Lista de asistencia.
5. Procedimientos PR-GF-03, PR-GF-01</t>
  </si>
  <si>
    <t>RECAUDO, PAGO A TERCEROS, ADMINISTRACIÓN DE RECURSOS, PRESUPUESTO Y CONTABILIDAD</t>
  </si>
  <si>
    <t>I.GF.01</t>
  </si>
  <si>
    <t>Acceso a los sistemas de información o a los documentos para lectura, copia, modificación o sustracción por personas no autorizadas.</t>
  </si>
  <si>
    <t>Dirección Técnica Administrativa y Financiera, Subdirección Técnica de Tesorería y Recaudo, Subdirección Técnica de Presupuesto y Contabilidad</t>
  </si>
  <si>
    <t>Existe bloqueo automático de los computadores del área.
Campaña de divulgación de conceptos del SGSI por parte de GTIC del bloqueo de sesión</t>
  </si>
  <si>
    <t>Subdirector(a) Técnica de recursos Tecnológicos</t>
  </si>
  <si>
    <t xml:space="preserve">Mensajes de correo electrónico
Resolución 34217 de 2015 sobre el marco de políticas de Seguridad de la Información </t>
  </si>
  <si>
    <t>Campaña de divulgación de conceptos del SGSI por parte de GTIC de gestión de contraseñas
Manual políticas de seguridad de la información.</t>
  </si>
  <si>
    <t>Revisión y aplicación de la marcación de información, en la Gestión de Activos de Información</t>
  </si>
  <si>
    <t>Comunicaciones que permanecen activas por llamadas telefónicas y conversaciones en lugares públicos.</t>
  </si>
  <si>
    <t>I.GF.02</t>
  </si>
  <si>
    <t>Todos los servidores y contratistas del proceso de Gestión Financiera</t>
  </si>
  <si>
    <t>Información del proceso publicada en el SIG
Correos electrónicos de GTIC sobre el bloqueo de sesiones
Soporte de remisión de documentos por medios de sistemas de información de apoyo.</t>
  </si>
  <si>
    <t>Validación de entrega de la documentación enviada.</t>
  </si>
  <si>
    <t>I.GF.03</t>
  </si>
  <si>
    <t>Imposibilidad de uso de los recursos institucionales para la operación normal del proceso.</t>
  </si>
  <si>
    <t>Subdirector(a) General de Gestión Corporativa</t>
  </si>
  <si>
    <t>Plan de emergencias vigente.</t>
  </si>
  <si>
    <t>Definición de planes de contingencia para el proceso (En elaboración).</t>
  </si>
  <si>
    <t>I.GF.04</t>
  </si>
  <si>
    <t>Manual de protección de datos personales.</t>
  </si>
  <si>
    <t>MGTI17 Manual operativo para la protección de datos personales</t>
  </si>
  <si>
    <t>Jefe de Oficina</t>
  </si>
  <si>
    <t>Profesional (coordinador canales)</t>
  </si>
  <si>
    <t>Profesional (coordinador SyE)/ Profesional (coordinador canales)</t>
  </si>
  <si>
    <t xml:space="preserve">Profesional/Técnico </t>
  </si>
  <si>
    <t>Espacios de formación, información y divulgación a los servidores de las áreas técnicas, contratistas e interventores sobre participación y servicio a la ciudadanía.
Asesoria permanente por parte de los profesionales sociales.</t>
  </si>
  <si>
    <t>Gestión Social y Participación Ciudadana</t>
  </si>
  <si>
    <t xml:space="preserve">Sensibilización a los usuarios del proceso sobre bloqueo de sesión.
</t>
  </si>
  <si>
    <t>Listados Asistencia, Flash, Publicaciones de sensibilización</t>
  </si>
  <si>
    <t>Sensibilización a los usuarios del proceso sobre uso de las contraseñas.</t>
  </si>
  <si>
    <t>Aplicación del Manual para la protección de datos personales</t>
  </si>
  <si>
    <t>Manual Protección de Datos personales</t>
  </si>
  <si>
    <t>Sensibilización manejo de datos personales</t>
  </si>
  <si>
    <t>Listados físicos archivados o destruidos</t>
  </si>
  <si>
    <t>9
MODERADO</t>
  </si>
  <si>
    <t>Solicitud de respuesta a las áreas competentes por diferentes medios</t>
  </si>
  <si>
    <t>La Guia de gestión social para el desarrollo urbano sostenible da los parametros para la construcción de los pliegos realizados por parte de los profesionales sociales  acordes a cada proyecto.</t>
  </si>
  <si>
    <t>12
ALTO</t>
  </si>
  <si>
    <t>OAP - OCD - OCI</t>
  </si>
  <si>
    <t>JEFE OCI</t>
  </si>
  <si>
    <t>Jefe OCI</t>
  </si>
  <si>
    <t>LIDERES PROCESOS CON PLANES DE MEJORAMIENTO</t>
  </si>
  <si>
    <t>Jefe OAP</t>
  </si>
  <si>
    <t>Acciones correctivas (AC), Acciones de Mejora (AP)</t>
  </si>
  <si>
    <t>Que las áreas del IDU no tengan el conocimiento del procedimiento de acciones correctivas y/o de mejora</t>
  </si>
  <si>
    <t>Aplicación de procedimiento PR-MC-02 Asesoría o Acompañamiento en la Gestión por Parte de Control Interno, cuando se solicita por parte de los usuarios.</t>
  </si>
  <si>
    <t>Actas Comité
Piezas comunicacionales</t>
  </si>
  <si>
    <t>JEFE OCD</t>
  </si>
  <si>
    <t>Jefe OCD</t>
  </si>
  <si>
    <t>1. AUDITORÍA INTERNA OCI
2. LABOR DISCIPLINARIA OCD
3. AUTOEVALUACIÓN OAP</t>
  </si>
  <si>
    <t>I.EC.01</t>
  </si>
  <si>
    <t>Jefe STRT</t>
  </si>
  <si>
    <t>1. No bloquear la sesión de usuario cuando se abandona la estación de trabajo.</t>
  </si>
  <si>
    <t>1. Fuga de información y/o uso indebido de datos institucionales (Confidencialidad)
2. Divulgación de información a terceras partes o a personal no autorizado 
(Confidencialidad)
3. Modificación de resultados de proceso (Informes de auditoría)
(Integridad)</t>
  </si>
  <si>
    <t xml:space="preserve">1. Aplicación del control contenido en el  INTI06 USO ADECUADO DE LOS RECURSOS DE TI.
2. Replicar, al interior de las áreas que gestionan el proceso, las actividades de divulgación sobre el Sistema de Gestión Seguridad de la Información que se comunican a través de los canales internos del IDU. </t>
  </si>
  <si>
    <t>1. Líderes del proceso
2. Líderes del proceso</t>
  </si>
  <si>
    <t>1. Resolución IDU 34217 de 2015
Adopción de Marco de Políticas de Control para Seguridad de la Información.
2. Declaración de aplicabilidad.
3. Circular 01 de 2016 Uso de la información.
4. Documentos específicos descritos en el control.</t>
  </si>
  <si>
    <t>2. Mal uso de las contraseñas.</t>
  </si>
  <si>
    <t>3. Por aplicación de ingeniería social. (manipulación de las personas para obtener información)</t>
  </si>
  <si>
    <t xml:space="preserve">1. Plan de acción SGSI, piezas de información en medios virtuales.
2. Replicar, al interior de las áreas que gestionan el proceso, las actividades de divulgación sobre el Sistema de Gestión Seguridad de la Información que se comunican a través de los canales internos del IDU. </t>
  </si>
  <si>
    <t>1. Jefe STRT
2. Líderes del proceso</t>
  </si>
  <si>
    <t>4. Canales de comunicaciones que permanecen activos al completar las transmisiones a través de las redes.</t>
  </si>
  <si>
    <t>5. Inadecuada eliminación o reciclaje de medios de almacenamiento o procesamiento y/o documentos en medio físico.</t>
  </si>
  <si>
    <t xml:space="preserve">1. Aplicación del control contenido en el  INTI15 BORRADO SEGURO FORMATEO FINAL EQUIPOS V1.0. en el que se contempla los medios extraíbles.
2. Replicar, al interior de las áreas que gestionan el proceso, las actividades de divulgación sobre el Sistema de Gestión Seguridad de la Información que se comunican a través de los canales internos del IDU. </t>
  </si>
  <si>
    <t>6. Acceso no autorizado a los sistemas de información o a los documentos por parte de personal no autorizado</t>
  </si>
  <si>
    <t xml:space="preserve">1. Aplicación del control contenido en el  INTI06 USO ADECUADO DE LOS RECURSOS DE TI.
2. Control centralizado para acceso a la red de datos por Directorio Activo, con asignación de roles en los computadores personales
3. Replicar, al interior de las áreas que gestionan el proceso, las actividades de divulgación sobre el Sistema de Gestión Seguridad de la Información que se comunican a través de los canales internos del IDU. </t>
  </si>
  <si>
    <t>1 y 3. Líderes del proceso
2. Jefe STRT</t>
  </si>
  <si>
    <t>7. Hurto o pérdida de equipos o medios extraíbles o sus componentes</t>
  </si>
  <si>
    <t xml:space="preserve">1. Aplicación del control contenido en el  MGRF03 MANUAL SEGURIDAD Y VIGILANCIA.
2. Replicar, al interior de las áreas que gestionan el proceso, las actividades de divulgación sobre el Sistema de Gestión Seguridad de la Información que se comunican a través de los canales internos del IDU. </t>
  </si>
  <si>
    <t>8. Visitantes desatendidos en las instalaciones de la entidad.</t>
  </si>
  <si>
    <t>1. Jefe STRF (Vigilancia)
2. Líderes del proceso</t>
  </si>
  <si>
    <t>I.EC.02</t>
  </si>
  <si>
    <t xml:space="preserve">1. No recolección de los documentos que se han enviado a impresión o escaneado. </t>
  </si>
  <si>
    <t>1. Fuga de información y/o uso indebido de datos institucionales (Confidencialidad)
2. Modificación de resultados de proceso (Informes de auditoría)</t>
  </si>
  <si>
    <t xml:space="preserve">1. Replicar, al interior de las áreas que gestionan el proceso, las actividades de divulgación sobre el Sistema de Gestión Seguridad de la Información que se comunican a través de los canales internos del IDU. </t>
  </si>
  <si>
    <t>1. Líderes del proceso</t>
  </si>
  <si>
    <t>2. Disposición de documentos de oficina en sitios no adecuados para su almacenamiento y control.</t>
  </si>
  <si>
    <t xml:space="preserve">1. Circular 18 de 2017 - Directrices en materia de orden  y aseo.
2. Política de escritorio limpio.
3. Mail Comunicaciones 23 de marzo de 2017, 11:27 - Protege la información física.
4. Replicar, al interior de las áreas que gestionan el proceso, las actividades de divulgación sobre el Sistema de Gestión Seguridad de la Información que se comunican a través de los canales internos del IDU. </t>
  </si>
  <si>
    <t>1, 2, 3, 4  Líderes del proceso</t>
  </si>
  <si>
    <t>3. Acceso a los sistemas operativos o a las aplicaciones por "puertas traseras" no controladas.</t>
  </si>
  <si>
    <t>1. Control centralizado para acceso a la red de datos por Directorio Activo, con asignación de roles en los computadores personales
2. Antivirus institucional Bitdefender, módulos cambios de procesos, control de acceso web, protección de datos, Antiphishing, control de dispositivos.
3. Replicar, al interior de las áreas que gestionan el proceso, las actividades de divulgación sobre el Sistema de Gestión Seguridad de la Información que se comunican a través de los canales internos del IDU.</t>
  </si>
  <si>
    <t>1, 2, Jefe STRT
3. Lideres del proceso</t>
  </si>
  <si>
    <t>4. Uso de software ilegal o malicioso.</t>
  </si>
  <si>
    <t xml:space="preserve">1. Aplicación del control FO-TI-05 COMPROMISO SOBRE EL USO DE RECURSOS DE TECNOLOGÍA.
2. Antivirus institucional Bitdefender, módulos cambios de procesos, control de acceso web, protección de datos, Antiphishing, control de dispositivos.
3. Replicar, al interior de las áreas que gestionan el proceso, las actividades de divulgación sobre el Sistema de Gestión Seguridad de la Información que se comunican a través de los canales internos del IDU. </t>
  </si>
  <si>
    <t>I.EC.03</t>
  </si>
  <si>
    <t>1. Manejo inadecuado de los datos o información por parte de los usuarios responsables.</t>
  </si>
  <si>
    <t>1. No se puedan atender a tiempo los requerimientos de la ciudadanía o de los entes de control
2. Afectación en la producción de los productos de proceso.
(Disponibilidad + Integridad)
3. Investigación de organismos de control</t>
  </si>
  <si>
    <t xml:space="preserve">1. Aplicación del control FO-TI-05 COMPROMISO SOBRE EL USO DE RECURSOS DE TECNOLOGÍA.
2. Circular 01 de 2016 - Uso de la información.
3. Replicar, al interior de las áreas que gestionan el proceso, las actividades de divulgación sobre el Sistema de Gestión Seguridad de la Información que se comunican a través de los canales internos del IDU. </t>
  </si>
  <si>
    <t>1, 2, 3. Lideres del proceso</t>
  </si>
  <si>
    <t>1. Resolución IDU 34217 de 2015
Adopción de Marco de Políticas de Control para Seguridad de la Información
2. Declaración de aplicabilidad.
3. Circular 01 de 2016 Uso de la información.
4. Documentos específicos descritos en el control</t>
  </si>
  <si>
    <t>2. Manipulación por parte de terceros no autorizados de equipos o de programas de cómputo o datos (físico o lógicos).</t>
  </si>
  <si>
    <t>1 Lideres del proceso</t>
  </si>
  <si>
    <t>3. Espionaje dirigido a personal directivo o técnico.</t>
  </si>
  <si>
    <t xml:space="preserve">1. Aplicación, en lo que corresponda, de los controles establecidos en PR-TI-06 GESTIÓN DE SERVICIOS DE TECNOLOGÍAS DE LA INFORMACIÓN - 1.1.4 TÉRMINOS Y DEFINICIONES.
2. Aplicación, en lo que corresponda, de los controles establecidos en DU-TI-01 CATÁLOGO DE SERVICIOS DE TECNOLOGÍAS DE LA INFORMACIÓN Y LA COMUNICACIÓN.
3. Aplicación, en lo que corresponda, de que el sistema ARANDA cuente con un módulo de control remoto, el que solicita la autorización del usuario para la conexión, adicional el sistema deja un log de las conexiones realizadas.
4. Replicar, al interior de las áreas que gestionan el proceso, las actividades de divulgación sobre el Sistema de Gestión Seguridad de la Información que se comunican a través de los canales internos del IDU. </t>
  </si>
  <si>
    <t>1, 2, 3. 
Jefe STRT
4. Lideres del proceso</t>
  </si>
  <si>
    <t>4. Insuficiencia de la capacidad de equipos de respaldo para copias de seguridad en relación con el volumen de la información a respaldar</t>
  </si>
  <si>
    <t xml:space="preserve">1. Aplicación, en lo pertinente, de los controles establecidos en PRTI16 GESTIÓN DE CAPACIDAD Y DISPONIBILIDAD.
2. Aplicación, en lo pertinente, de los controles establecidos en PRTI11 GENERACIÓN DE COPIAS DE SEGURIDAD.
3. Aplicación, en lo pertinente, de los controles establecidos en FOTI30 CONTROL DE CAPACIDAD DE LOS RECURSOS DE TI.
4. Replicar, al interior de las áreas que gestionan el proceso, las actividades de divulgación sobre el Sistema de Gestión Seguridad de la Información que se comunican a través de los canales internos del IDU. </t>
  </si>
  <si>
    <t>5. Interceptación total o parcial de datos (físicos o lógicos).</t>
  </si>
  <si>
    <t xml:space="preserve">1. Antivirus institucional Bitdefender, módulos cambios de procesos, control de acceso web, protección de datos, Antiphishing, control de dispositivos
2. Equipos FIREWALL para la seguridad de la red de datos de la entidad.
3. Replicar, al interior de las áreas que gestionan el proceso, las actividades de divulgación sobre el Sistema de Gestión Seguridad de la Información que se comunican a través de los canales internos del IDU. </t>
  </si>
  <si>
    <t>1, 2
Jefe STRT
3. Lideres del proceso</t>
  </si>
  <si>
    <t>6. Inadecuada y/o inoportuna atención de incidentes de seguridad de la información</t>
  </si>
  <si>
    <t xml:space="preserve">1. Aplicación, en lo que corresponda al proceso, de los controles establecidos en PR-TI-22 Gestión de incidentes de seguridad de la información.
2. Aplicación, en lo que corresponda al proceso, de los controles establecidos en FOTI28 CONDICIONES PARA VALIDACIÓN DE EVENTOS DE SEGURIDAD DE LA INFORMACION.
3. Replicar, al interior de las áreas que gestionan el proceso, las actividades de divulgación sobre el Sistema de Gestión Seguridad de la Información que se comunican a través de los canales internos del IDU. </t>
  </si>
  <si>
    <t>I.EC.04</t>
  </si>
  <si>
    <t>1. Por eventos naturales como sismo, tifón, vendaval, o fenómeno meteorológico.</t>
  </si>
  <si>
    <t>1. Afectación en la producción de los productos de proceso.
(Disponibilidad)
2. No poder transmitir información a entes externos por falla en sistemas internos
(Disponibilidad)
3. Posibles sanciones por parte de los organismos de control</t>
  </si>
  <si>
    <t xml:space="preserve">1. Aplicar lo establecido en el documento  DU-TH-02 "Procedimientos operativos normalizados para la preparación, prevención y respuesta ante emergencias — PONS" sobre comportamientos y reportes en relación con la causa identificada.
2. Replicar, al interior de las áreas que gestionan el proceso, las actividades de divulgación sobre el Sistema de Gestión Seguridad de la Información que se comunican a través de los canales internos del IDU. </t>
  </si>
  <si>
    <t>1
Jefe STRH
2. Lideres del proceso</t>
  </si>
  <si>
    <t>1. Resolución IDU 34217 de 2015
Adopción de Marco de Políticas de Control para Seguridad de la Información.
2. Declaración de aplicabilidad.
3. Circular 01 de 2016 Uso de la información.
4. DU-TH-02 "Procedimientos operativos normalizados para la preparación, prevención y respuesta ante emergencias — PONS"
4. Documentos específicos descritos en el control</t>
  </si>
  <si>
    <t>2. Pérdida o desabastecimiento de energía eléctrica regulada.</t>
  </si>
  <si>
    <t xml:space="preserve">1. Aplicación, en lo que corresponda al proceso, de los controles establecidos en Objetivo de Control A.11.2.2 Servicios de suministro (Declaración de Aplicabilidad).
2. Aplicación, en lo que corresponda al proceso, de los controles establecidos en Memorando 20155260339143 de Gestión de Recursos Físicos respecto al SGSI.
3. Replicar, al interior de las áreas que gestionan el proceso, las actividades de divulgación sobre el Sistema de Gestión Seguridad de la Información que se comunican a través de los canales internos del IDU. </t>
  </si>
  <si>
    <t>1, 2
Jefe STRH
2. Lideres del proceso</t>
  </si>
  <si>
    <t>3. Por hurto de equipos o sus componentes.</t>
  </si>
  <si>
    <t xml:space="preserve">1. Aplicación, en lo que corresponda al proceso, de los controles establecidos en Manual de Seguridad Física.
2. Aplicación, en lo que corresponda al proceso, de los controles establecidos en Copias de respaldo.
3. Replicar, al interior de las áreas que gestionan el proceso, las actividades de divulgación sobre el Sistema de Gestión Seguridad de la Información que se comunican a través de los canales internos del IDU. </t>
  </si>
  <si>
    <t>1. Jefe STRF
2. Jefe STRT
3. Lideres del proceso</t>
  </si>
  <si>
    <t>4. Por falla en el suministro de internet.</t>
  </si>
  <si>
    <t xml:space="preserve">1. Canal Principal Contrato IDU-938-2017.
2. Canal alterno CCE-20089-2017.
3. Replicar, al interior de las áreas que gestionan el proceso, las actividades de divulgación sobre el Sistema de Gestión Seguridad de la Información que se comunican a través de los canales internos del IDU. </t>
  </si>
  <si>
    <t>1 y 2 Jefe STRF
3. Lideres del proceso</t>
  </si>
  <si>
    <t>5. Daños accidentales en el edificio o áreas críticas.</t>
  </si>
  <si>
    <t>1. Aplicación, en lo que corresponda al proceso, de los controles establecidos en el procedimiento PRTI20 GESTION DE CONTINUIDAD D SERVICIOS DE TI.
2. Aplicación, en lo que corresponda al proceso, de las acciones que dispongan las Subdirecciones de Recursos Físicos y de Recursos Tecnológicos cuando se materialice la causa identificada.</t>
  </si>
  <si>
    <t>1 y 2. Jefe STRT
2. Jefe STRF</t>
  </si>
  <si>
    <t>I.EC.05</t>
  </si>
  <si>
    <t>1. Ausencia o deficiencia en los procedimientos de manejo de la información personal.</t>
  </si>
  <si>
    <t xml:space="preserve">1. Incumplimiento legal (ley de protección de datos)
2. Reclamaciones de los titulares de los datos
3. Afectación al buen nombre de la entidad
4. Pérdida de confidencialidad de la información.
5. Pérdida de la integridad de la información.
</t>
  </si>
  <si>
    <t xml:space="preserve">1. Aplicación, en lo que corresponda al proceso, de los controles establecidos en FO-TI-05 COMPROMISO SOBRE EL USO DE RECURSOS DE TECNOLOGÍA.
2. Procedimiento auditoría incluye manejo ético y confidencialidad.
3. Aplicación, en lo que corresponda al proceso, de los controles establecidos en MG TI17 Manual Operativo para la protección de datos personales.
4. Replicar, al interior de las áreas que gestionan el proceso, las actividades de divulgación sobre el Sistema de Gestión Seguridad de la Información que se comunican a través de los canales internos del IDU. </t>
  </si>
  <si>
    <t>1. Lideres del proceso 
2. Jefe OCI
3. Lideres del proceso
4. Lideres del proceso</t>
  </si>
  <si>
    <t>1. Resolución IDU 34217 de 2015
Adopción de Marco de Políticas de Control para Seguridad de la Información.
2. Declaración de aplicabilidad.
3. Circular 01 de 2016 Uso de la información.
4. Suscripción de Formato de declaración de confidencialidad y no conflicto de intereses por parte de los auditores internos.
5. Documentos específicos descritos en el control</t>
  </si>
  <si>
    <t>2. Desconocimiento de parte de las personas que manejan la información..</t>
  </si>
  <si>
    <t xml:space="preserve">1. Inducción y reinducción institucional en temas de seguridad de la Información.
2. Replicar, al interior de las áreas que gestionan el proceso, las actividades de divulgación sobre el Sistema de Gestión Seguridad de la Información que se comunican a través de los canales internos del IDU. </t>
  </si>
  <si>
    <t>1. Jefe STRT
2. Lideres del proceso</t>
  </si>
  <si>
    <t>1. Instructivo INTH06 Inducción Reinducción Entrenamiento Puesto de Trabajo
2. DU-TI-05 Declaración de aplicabilidad para seguridad de la información IDU.</t>
  </si>
  <si>
    <t>3. Omisión intencional de los controles para el manejo de la información.</t>
  </si>
  <si>
    <t xml:space="preserve">1. Procedimiento auditoría incluye manejo ético y confidencialidad.
2. Aplicación de los controles generales y específicos establecidos en la matriz de riesgos corrupción del proceso.
3. Replicar, al interior de las áreas que gestionan el proceso, las actividades de divulgación sobre el Sistema de Gestión Seguridad de la Información que se comunican a través de los canales internos del IDU. </t>
  </si>
  <si>
    <t>1. Jefe OCI
2 y 3 Lideres del proceso</t>
  </si>
  <si>
    <t>1. Suscripción de Formato de declaración de confidencialidad y no conflicto de intereses por parte de los auditores internos.
2. DU-TI-05 Declaración de aplicabilidad para seguridad de la información IDU.</t>
  </si>
  <si>
    <t>4. Inadecuada gestión de los archivos físicos.</t>
  </si>
  <si>
    <t>1. Aplicación, en lo que corresponda al proceso, de los controles establecidos en el Manual de archivo y correspondencia.
2. Aplicación, en lo que corresponda al proceso, de los controles establecidos en Circular 18 de 2017 - Directrices en materia de orden  y aseo.
3. Replicar, al interior de las áreas que gestionan el proceso, las actividades de divulgación sobre el Sistema de Gestión Seguridad de la Información que se comunican a través de los canales internos del IDU.</t>
  </si>
  <si>
    <t>1. Lideres del proceso.
2. Lideres del proceso
3. Lideres del proceso</t>
  </si>
  <si>
    <t>1. Manual de Gestión Documental.
2. Circular 18 de 2017 - Directrices en materia de orden  y aseo.
3. DU-TI-05 Declaración de aplicabilidad para seguridad de la información IDU.</t>
  </si>
  <si>
    <t>5. Presión o coacción de terceras partes para hacer uso indebido de datos personales</t>
  </si>
  <si>
    <t>JEFE OFICINA DE CONTROL INTERNO</t>
  </si>
  <si>
    <t>No contar con un adecuado compromiso por parte del equipo directivo para desarrollar el proceso de Evaluación y Control</t>
  </si>
  <si>
    <t>1. Insuficiente divulgación del concepto de autocontrol.</t>
  </si>
  <si>
    <t>1. Baja cobertura de la evaluación.
2. Desvío de políticas, objetivos y metas establecidos por la Entidad.
3. Desviación de los controles de los procesos evaluados.
4. Debilitamiento del Sistema de Control Interno.
5.  Pérdida de recursos.
6. Incumplimiento de objetivos del SCI
7. Posibles sanciones por parte de entes de control</t>
  </si>
  <si>
    <t>2. Insuficiencia en la implementación y divulgación del nuevo Modelo Estándar de Control Interno - Séptima Dimensión del MIPG y las responsabilidades asociadas a las líneas de defensa.</t>
  </si>
  <si>
    <t>1 y 2 Jefe OCI
3. Jefe OAP</t>
  </si>
  <si>
    <t>3. Inadecuada coordinación con el Representante de la Dirección para el Sistema de Control Interno.</t>
  </si>
  <si>
    <t>1. Resolución 2275 de 2018 Sistema de Coordinación Interna
2. Actas del Comité Institucional de Coordinación de Control Interno</t>
  </si>
  <si>
    <t>4. Insuficiente conocimiento del proceso Evaluación y Control por parte del equipo directivo.</t>
  </si>
  <si>
    <t>1. No tener en cuenta la normatividad o sus modificaciones asociadas a los temas de Evaluación y autoevaluación.</t>
  </si>
  <si>
    <t>2. No tener la competencia requerida para definir la metodología por parte de los responsables.</t>
  </si>
  <si>
    <t>3. Que la metodología no sea debidamente apropiada por parte de los servidores responsables de su aplicación.</t>
  </si>
  <si>
    <t>No contar con la información oportuna, pertinente, suficiente, veraz y confiable para desarrollar el proceso de evaluación y control</t>
  </si>
  <si>
    <t>1. Que las personas designadas por las áreas no sean las idóneas.</t>
  </si>
  <si>
    <t>1. Inapropiada evaluación del sistema de control interno, Sistemas de Gestión y/u objetos de auditoría.
2. Desvío de políticas, objetivos y metas establecidos por la Entidad.
3. Debilitamiento del Sistema de Control Interno.
4  Pérdida de recursos.
5. Incumplimiento de objetivos del SCI</t>
  </si>
  <si>
    <t>2. Insuficiente colaboración de los evaluados en la entrega de la información.</t>
  </si>
  <si>
    <t>3. Inadecuada solicitud de la información por parte del evaluador.</t>
  </si>
  <si>
    <t xml:space="preserve">3. No contar con sistemas de información actualizados. </t>
  </si>
  <si>
    <t>No contar con una adecuada metodología para realizar la planeación anual del proceso de evaluación y control o que ésta no se aplique adecuadamente.</t>
  </si>
  <si>
    <t>1. No contar con las adecuadas competencias profesionales, experiencia y calidades éticas del equipo que realiza la planeación del proceso.</t>
  </si>
  <si>
    <t>1. Evaluación del sistema de control interno y/o Sistemas de Gestión de baja cobertura y/o calidad.
2. Desvío de políticas, objetivos y metas establecidos por la Entidad.
3. Desviación de los controles de los procesos evaluados.
4. Debilitamiento del Sistema de Control Interno.
5. Pérdida de recursos.
6. Incumplimiento de objetivos del SCI.
7. Posibles sanciones por parte de entes de control.
8. Inoportunidad en la entrega de informes y/o productos del proceso.</t>
  </si>
  <si>
    <t>2. Que no se involucre a todo el equipo evaluador o que convocado éste, no participe en la planificación del proceso de Evaluación y Control.</t>
  </si>
  <si>
    <t>3. No tener en cuenta, en la planificación del proceso, la totalidad de las actividades a realizar durante la vigencia y/o que se subestimen los tiempos asignados.</t>
  </si>
  <si>
    <t xml:space="preserve">1. Procedimiento "Evaluación Independiente y Auditorías Internas".
2. Plan Anual de Auditorías aprobado por el Comité Institucional de Coordinación de Control Interno. </t>
  </si>
  <si>
    <t>4. Falta de liderazgo en el líder del proceso.</t>
  </si>
  <si>
    <t>1. Que la información relacionada con los procesos a cargo de la OCD no se actualice en el expediente, ni en el Sistema de Información Disciplinaria - SID, y que las bases de datos de la Oficina (carpeta compartida) no se mantengan actualizadas.</t>
  </si>
  <si>
    <t>1. Se cuenta con acceso restringido a personal ajeno a la Oficina y con el correspondiente formato de control de entrada y salida de visitantes.
2. Se cuenta con archivadores con llave para guardar los expedientes a cargo de la Oficina.
3. Se continúa con la instrucción de no dejar expedientes sobre el puesto de trabajo al finalizar actividades o la jornada laboral.
4. Se cuenta con cámaras de seguridad dentro de la OCD y con las que se encuentran ubicadas en el pasillo del piso sexto.</t>
  </si>
  <si>
    <t>1. Instrucciones por parte de la jefatura de la Oficina sobre el deber de no divulgar a terceras personas ninguna información relacionada con las decisiones disciplinarias a cargo de la Oficina, ni con la documentación recibida con ocasión de las mismas.
2. En los contratos de prestación de servicios se tiene pactada la obligación de guardar la confidencialidad y reserva sobre la información y documentos que por razón del cumplimiento de las obligaciones se llegue a conocer, la cual se mantiene aún después de finalizado el contrato.
3. En el formato de notificación personal, se incluye la advertencia para el notificado del deber que tiene de guardar la reserva del proceso.</t>
  </si>
  <si>
    <t>1. Desconocimiento de las normas que regulan la materia</t>
  </si>
  <si>
    <t>1. Controles de la jefatura de la Oficina y autocontroles de los profesionales del área.
2. Aplicación de la Ley disciplinaria y del Manual Distrital de Procesos y Procedimientos Disciplinarios de la Alcaldía Mayor de Bogotá.
3. Actualización permanente del Sistema de Información Disciplinaria, en donde se emiten alertas sobre el estado de cada proceso.
4. Capacitación de los abogados de la OCD en temas relacionados con el quehacer diario de la Dependencia, a través de la consulta de las herramientas jurídicas que existen en internet, y de la participación en las charlas, encuentros, cursos, talleres, seminarios y diplomados, entre otros eventos, que se programen en el Distrito y respecto de los cuales la Entidad brinde el apoyo requerido para poder inscribirse en los mismos.</t>
  </si>
  <si>
    <t>1. Desconocimiento de las normas que regulan la materia, así como de la jurisprudencia relacionada.</t>
  </si>
  <si>
    <t xml:space="preserve">1. Violación del derecho a la defensa y al debido proceso.
2. Declaratorias de nulidad.
3. Revocatoria de las decisiones disciplinarias.
4. Inicio de acciones disciplinarias en contra de los responsables.
</t>
  </si>
  <si>
    <t>1. Se establecerá un punto obligatorio en las reuniones de la OCD para dar espacio a que se hagan aportes en materia de actualización normativa, discusiones jurídicas, directrices para unificar criterios de decisión en la Oficina, y efectuar estudios normativos, entre otros.</t>
  </si>
  <si>
    <t>2. No acceder a capacitaciones relacionadas con temas de carácter disciplinario o a la consulta de material jurídico relacionado con las labores que se desarrollan en la Oficina.</t>
  </si>
  <si>
    <t>1. Solicitud de apoyo institucional para la inscripción y participación en capacitaciones relacionadas con el quehacer de la Oficina.
2. Solicitud de apoyo institucional para el acceso a herramientas y medios en los que se puedan consultar y estudiar temas relacionados con las labores que desarrolla la Oficina.</t>
  </si>
  <si>
    <t>1. Actualización Normograma proceso Evaluación y Control.</t>
  </si>
  <si>
    <t>1. Procesos de Selección de personal que verifica competencias.
2. Actualización en cambios normativos asociados al MECI por parte del personal que realiza la actividad.</t>
  </si>
  <si>
    <t>1.  Instructivo INEC02 Autoevaluación Institucional</t>
  </si>
  <si>
    <t>1. Oficios y documentos Técnicos de aprobación de Cambios de Estudios y Diseños por parte de los Interventores y por las Entidades respectivas en Etapa de Ejecución de Obras.
2. Memorando dirigido a la DT de Proyectos, solicitando revisión a las modificaciones presentadas por el Interventor.
3. Actas de competencias de pago debidamente suscritas por las ESP.</t>
  </si>
  <si>
    <t>1. Oficio de Aval del plan de inversión del anticipo por parte del Supervisor del contrato.
2. Verificación y   seguimiento de la amortización del anticipo, por parte de la Interventoría y/o profesional de apoyo a la supervisión.
3. Utilización de la Fiducia para la administración,  control y manejo de los desembolsos de anticipo
4. Verificación de la actualización las pólizas de manejo de Anticipo.</t>
  </si>
  <si>
    <t>1. Oficio de aprobación por parte de la Interventoría.
2. Suscripción de acta de fijación de precios.
3. Revisión por parte del grupo de profesionales de APUS del área.
4. Informe de Motivación de cambios de la realización de nuevos APUS.
5. Firma del Especialista de costos de la interventoría de los nuevos APUS.
6. Diligenciar la Lista de Chequeo  para la Objeción o No de los Apu No Previstos en Contratos de Obra</t>
  </si>
  <si>
    <t>1. Comunicaciones oficiales (Aval por parte del IDU de los APUS No previstos)
2. Formato Análisis de  Precios Unitarios.
3. Formato  Acta de Fijación de Precios No Previstos.
4. Cuadro de reversión de precios.
5. formato Lista de chequeo para la Objeción o No de los Apu No Previstos en Contratos de Obra.</t>
  </si>
  <si>
    <t>1. Que la Interventoría no realiza eficientemente la supervisión en las actividades de difícil medición y verificación  (como por ejemplo, la excavación, bases, capas asfálticas...)</t>
  </si>
  <si>
    <t>1. Formato Acta de Recibo Parcial de Obra.
2. Formato Acta de Recibo Final de Obra.
3. Formato Acta de mayores cantidades de obra.</t>
  </si>
  <si>
    <t xml:space="preserve">1. Servidores con poder de decisión que influyen en la eliminación de controles o crean excepciones para la aplicación de los procesos y procedimientos del Sistema Integrado de Gestión.
2. Que al aplicar el procedimiento y los controles necesarios para la creación, actualización o eliminación de documentos del SIG, se aprueben los mismos con el fin de favorecer a un tercero. </t>
  </si>
  <si>
    <t>1. Cláusula de confidencialidad en los contratos de prestación de servicios.
2.  Perfiles de usuario restringido para el acceso a la red por parte de los servidores públicos y contratistas de la DTPS.
3. Designación de un responsable  de la documentación para cada proceso
4. Registro de control de acceso a la oficina de la DTPS
5. Políticas de confidencialidad en los procedimientos estandarizados y socializados mínimo una vez al año</t>
  </si>
  <si>
    <t>1. Constancia de publicación de los documentos precontractuales incluida en el expediente del proceso, conforme lo establecen los procedimientos estandarizados.</t>
  </si>
  <si>
    <t>1. Sistema de Gestión Documental ORFEO.
2. Sistema de Información y Acompañamiento Contractual - SIAC.
3. Estudios y documentos Previos.
4. Certificado de idoneidad.
5. Formato reporte de verificación de cumplimiento de categoría.
6. Formato único de Hoja de Vida.
7. Certificados de estudio y experiencia.
8. Registros de jornadas de capacitación.</t>
  </si>
  <si>
    <t xml:space="preserve">1. Estructuración de minutas tipo.
2. Envió de minuta al área técnica para revisión con anterioridad a la suscripción del contrato.
3. Revisión periódica de las minutas por cambios normativos en materia de contratación.
4. Revisión por parte del abogado asignado y del Director (a) Técnico (a) de Gestión Contractual de la información contrastando la minuta, la resolución de adjudicación, los estudios previos, pliegos de condiciones, anexos técnicos, adendas y en general toda la documentación de la etapa precontractual. </t>
  </si>
  <si>
    <t>Verificación de toda la documentación soporte del proceso adjudicado frente a la minuta elaborada</t>
  </si>
  <si>
    <t xml:space="preserve">1.Memorando de solicitud para la elaboración de contrato.
2. Sistema de Información y Acompañamiento Contractual SIAC.
3. Portal de contratación pública de Colombia Compra Eficiente
4. Lista de chequeo de verificación documental validada por el abogado asignado. </t>
  </si>
  <si>
    <t>MARTHA LILIANA GONZÁLEZ MARTÍNEZ</t>
  </si>
  <si>
    <t>IVÁN SARMIENTO GALVIS</t>
  </si>
  <si>
    <t>1. Comité de control  financiero, contable y de inventarios del lDU con reunión mensual para verificación del cumplimiento a las políticas de la SDH.
2. Continuamente se hace seguimiento a las fechas de vencimiento de las inversiones, con el ánimo de contar con la disponibilidad de los recursos, adicionalmente se realiza seguimiento al PAC para programar las inversiones.
3. Conciliaciones bancarias. 
4. Solicitud de ofertas a los emisores habilitados, con términos para la recepción de las mismas.
5. Grabación de llamadas de las operaciones financieras de las inversiones (según protocolo de seguridad)</t>
  </si>
  <si>
    <t>1. Aplicación del procedimiento PR-GAF-054 Conciliación Bancaria, donde se constate el movimiento de las cuentas contra la aplicación efectuada en los sistemas de información del IDU. Actividad que se realiza diaria y mensualmente.
2. Aplicación del procedimiento PR GF 05 Recaudo.
3. Restricción de acceso de perfiles de usuarios en el sistema valoricemos.
4. Aplicación de pagos a través de Webservice con entidades financieras: Banco de Occidente, BBVA, Davivienda y Bogotá, situación que reduce el porcentaje de aplicaciones manuales de pagos.(Archivos planos de recaudo).</t>
  </si>
  <si>
    <t>1. Pérdida de recursos.
2. Investigaciones disciplinarias, fiscales, penales y/o administrativas</t>
  </si>
  <si>
    <t xml:space="preserve">
1. Revisión de los documentos contemplados en la Guía de Pago a Terceros, por los profesionales de la STPC en lo pertinente a la parte contable y presupuestal de las ordenes de pago.
2. Revisión por parte de la  STTR de la documentación anexa a la cuenta (factura) radicada, en concordancia con lo establecido en la guía de pago a terceros.
3. Seguimiento al trámite de la orden de pago en STTR y STPC, soporte con aplicativo SIGPAGOS.</t>
  </si>
  <si>
    <t xml:space="preserve">1.  Aplicativo SIGPAGOS que permite  establecer la trazabilidad de la orden de pago. 
2. Aplicativo SIAC, STONE y  ORFEO.
</t>
  </si>
  <si>
    <t xml:space="preserve">1. Ordenes de pago.
2. GU GF 01 Guía  pago a terceros .
3. Reportes del Aplicativo SIGPAGOS.
</t>
  </si>
  <si>
    <t>1.  Desconocimiento de los servidores públicos de la STPC de la normatividad.
2. Tráfico de influencias
3. Decisiones de nivel directivo.</t>
  </si>
  <si>
    <t xml:space="preserve">1. Aplicación del Manual Operativo Presupuestal del Distrito Capital.
2. Aplicación de la normatividad presupuestal vigente.
3. Socialización continua de los procedimientos vigentes.
</t>
  </si>
  <si>
    <t>Capacitaciones a servidores públicos en normatividad presupuestal</t>
  </si>
  <si>
    <t>1. Informes de ejecución presupuestal.
2. Listados de asistencia a capacitaciones o correos de divulgación.</t>
  </si>
  <si>
    <t>1. Que el profesional del IDU (abogado) induzca al Comité de Conciliación a tomar una decisión con un fundamento probatorio que no corresponde a la realidad para favorecer a un tercero.
2. Tráfico de influencias. (Acuerdos entre el responsable IDU y la contraparte)</t>
  </si>
  <si>
    <t>C.PE.01</t>
  </si>
  <si>
    <t>1. Investigaciones disciplinarias y/o fiscales y/o administrativas y/o penales.
2. Reprocesos.
3. Incumplimiento de planes y proyectos.
4. Mala imagen de la entidad frente a la comunidad</t>
  </si>
  <si>
    <t>Formato de Ajuste entre centros de costos</t>
  </si>
  <si>
    <t>C.PE.02</t>
  </si>
  <si>
    <t>No Aplica. Se cubre con los controles identificados.</t>
  </si>
  <si>
    <t>Constatar que los registros de la liquidación para el  pago de la nómina de los servidores se encuentren de acuerdo a la  normatividad vigente y con los conceptos y valores a devengar.</t>
  </si>
  <si>
    <t>1. Lista de chequeo Nómina.
2. Novedades administrativas radicadas por Orfeo.
3. Procedimiento Liquidación de Salario - PR-TH-01.
4. Base de datos del aplicativo Kactus.</t>
  </si>
  <si>
    <t>Pérdida de la confidencialidad de la información.
Procesos poco transparentes.
Pérdida de imagen institucional.
Responsabilidades Disciplinarias y/o fiscales.
Fuga de información reservada.</t>
  </si>
  <si>
    <t>Verificación del porcentaje de disponibilidad del portal web</t>
  </si>
  <si>
    <t>Revisión semestral de la efectividad de los controles existentes.</t>
  </si>
  <si>
    <t xml:space="preserve">1. Formulación del proyecto de Acuerdo soportado por un grupo interdisciplinario
 2. Revisión del Proyecto de Acuerdo por diferentes dependencias (SGJ - DTAV- DG) del IDU y su aprobación por el Concejo.
3. Procedimiento de Estructuración Proyectos de Acuerdos.
4,Solicitud de la ficha técnica de las obras a la SGDU
5. Radicación en la SDM del proyecto de Acuerdo para observaciónes y/o aprobación, de no existir la SDM radica en la Secretaria General de la Alcaldía Mayor para posterior presentación al Concejo de Bogotá 
</t>
  </si>
  <si>
    <t>RIESGO</t>
  </si>
  <si>
    <t>ESTADO</t>
  </si>
  <si>
    <t>3. GESTIÓN INTEGRAL DE PROYECTOS</t>
  </si>
  <si>
    <t>4. MEJORAMIENTO CONTINUO</t>
  </si>
  <si>
    <t>5. GESTIÓN SOCIAL Y PARTICIPACIÓN CIUDADANA</t>
  </si>
  <si>
    <t>6. COMUNICACIONES</t>
  </si>
  <si>
    <t>7. EVALUACIÓN Y CONTROL / control interno (OCI)  y disciplinario (OCD)</t>
  </si>
  <si>
    <t>8. GESTIÓN INTERINSTITUCIONAL   (SGDU y SGI)</t>
  </si>
  <si>
    <t>9. INNOVACIÓN Y GESTIÓN DEL CONOCIMIENTO</t>
  </si>
  <si>
    <t>10. FACTIBILIDAD DE PROYECTOS</t>
  </si>
  <si>
    <t>11. GESTIÓN PREDIAL 
       (DTP - SGI)</t>
  </si>
  <si>
    <t>12. DISEÑO DE PROYECTOS</t>
  </si>
  <si>
    <t>13. EJECUCIÓN DE OBRAS</t>
  </si>
  <si>
    <t xml:space="preserve">15. GESTIÓN CONTRACTUAL </t>
  </si>
  <si>
    <t>16. GESTIÓN LEGAL</t>
  </si>
  <si>
    <t>17. GESTIÓN FINANCIERA</t>
  </si>
  <si>
    <t>18. GESTIÓN DEL TALENTO HUMANO</t>
  </si>
  <si>
    <t>19. GESTIÓN DE RECURSOS FÍSICOS</t>
  </si>
  <si>
    <t>20. GESTIÓN DOCUMENTAL</t>
  </si>
  <si>
    <t>21. GESTIÓN DE RECURSOS TECNOLÓGICOS
Gestión de Tecnologías de la Información y Comunicación (TIC)</t>
  </si>
  <si>
    <t>22. GESTIÓN DE LA VALORIZACIÓN Y FINANCIACIÓN</t>
  </si>
  <si>
    <t>VIGENTE</t>
  </si>
  <si>
    <t>ELIMINADO</t>
  </si>
  <si>
    <t>2. GESTIÓN AMBIENTAL, CALIDAD Y SST</t>
  </si>
  <si>
    <t>TIPO</t>
  </si>
  <si>
    <t>14. CONSERVACIÓN DE INFRAESTRUCTURA / MTTO - ADMIN INFRA (DTAI)</t>
  </si>
  <si>
    <t>FECHA</t>
  </si>
  <si>
    <t>OBJETIVOS ESTRATEGICOS  - IDU</t>
  </si>
  <si>
    <t>G.PE.02</t>
  </si>
  <si>
    <t>G.PE.01</t>
  </si>
  <si>
    <t>G.PE.03</t>
  </si>
  <si>
    <t>G.PE.05</t>
  </si>
  <si>
    <t>G.PE.06</t>
  </si>
  <si>
    <t>G.PE.07</t>
  </si>
  <si>
    <t>G.PE.09</t>
  </si>
  <si>
    <t>I.PE.03</t>
  </si>
  <si>
    <t>G.PE.08</t>
  </si>
  <si>
    <t>G.MC.01</t>
  </si>
  <si>
    <t>G.MC.02</t>
  </si>
  <si>
    <t>G.MC.03</t>
  </si>
  <si>
    <t>G.MC.04</t>
  </si>
  <si>
    <t>G.MC.05</t>
  </si>
  <si>
    <t>I.MC.01</t>
  </si>
  <si>
    <t>I.MC.02</t>
  </si>
  <si>
    <t>I.MC.03</t>
  </si>
  <si>
    <t>I.MC.04</t>
  </si>
  <si>
    <t>I.MC.05</t>
  </si>
  <si>
    <t>G.AC.01</t>
  </si>
  <si>
    <t>G.AC.02</t>
  </si>
  <si>
    <t>G.AC.03</t>
  </si>
  <si>
    <t>G.SC.01</t>
  </si>
  <si>
    <t>G.SC.02</t>
  </si>
  <si>
    <t>G.SC.03</t>
  </si>
  <si>
    <t>C.SC.01</t>
  </si>
  <si>
    <t>C.SC.02</t>
  </si>
  <si>
    <t>G.IN.01</t>
  </si>
  <si>
    <t>G.IN.02</t>
  </si>
  <si>
    <t>G.IN.03</t>
  </si>
  <si>
    <t>I.IN.01</t>
  </si>
  <si>
    <t>I.IN.02</t>
  </si>
  <si>
    <t>I.IN.03</t>
  </si>
  <si>
    <t>G.FP.01</t>
  </si>
  <si>
    <t>G.FP.02</t>
  </si>
  <si>
    <t>I.FP.01</t>
  </si>
  <si>
    <t>I.FP.02</t>
  </si>
  <si>
    <t>I.FP.03</t>
  </si>
  <si>
    <t>G.EO.01</t>
  </si>
  <si>
    <t>G.EO.03</t>
  </si>
  <si>
    <t xml:space="preserve"> G.EO.04</t>
  </si>
  <si>
    <t>G.EO.05</t>
  </si>
  <si>
    <t>G.EO.08</t>
  </si>
  <si>
    <t>G.EO.09</t>
  </si>
  <si>
    <t>C.EO.01</t>
  </si>
  <si>
    <t>C.EO.02</t>
  </si>
  <si>
    <t>C.EO.03</t>
  </si>
  <si>
    <t>C.EO.04</t>
  </si>
  <si>
    <t>C.EO.05</t>
  </si>
  <si>
    <t>G.GL.01</t>
  </si>
  <si>
    <t>G.GL.02</t>
  </si>
  <si>
    <t>G.GL.03</t>
  </si>
  <si>
    <t>G.GL.04</t>
  </si>
  <si>
    <t>G.GL.05</t>
  </si>
  <si>
    <t>G.GL.06</t>
  </si>
  <si>
    <t>G.GL.07</t>
  </si>
  <si>
    <t>G.TH.01</t>
  </si>
  <si>
    <t>G.TH.02</t>
  </si>
  <si>
    <t>G.TH.03</t>
  </si>
  <si>
    <t>G.TH.05</t>
  </si>
  <si>
    <t>G.TH.06</t>
  </si>
  <si>
    <t>G.TH.07</t>
  </si>
  <si>
    <t>G.TH.08</t>
  </si>
  <si>
    <t>I.TH.02</t>
  </si>
  <si>
    <t>I.TH.05</t>
  </si>
  <si>
    <t>C.TH.01</t>
  </si>
  <si>
    <t>C.TH.03</t>
  </si>
  <si>
    <t>C.DO.01</t>
  </si>
  <si>
    <t>C.DO.02</t>
  </si>
  <si>
    <t>G.DO.01</t>
  </si>
  <si>
    <t>G.DO.02</t>
  </si>
  <si>
    <t>G.DO.03</t>
  </si>
  <si>
    <t>G.DO.04</t>
  </si>
  <si>
    <t>G.GI.01</t>
  </si>
  <si>
    <t>G.GI.02</t>
  </si>
  <si>
    <t>G.CO.01</t>
  </si>
  <si>
    <t>G.CO.02</t>
  </si>
  <si>
    <t>G.CO.03</t>
  </si>
  <si>
    <t>C.CO.01</t>
  </si>
  <si>
    <t>I.CO.02</t>
  </si>
  <si>
    <t>I.CO.03</t>
  </si>
  <si>
    <t>I.CO.04</t>
  </si>
  <si>
    <t>G.EC.01</t>
  </si>
  <si>
    <t>G.EC.02</t>
  </si>
  <si>
    <t>G.EC.03</t>
  </si>
  <si>
    <t>G.EC.04</t>
  </si>
  <si>
    <t>G.EC.05</t>
  </si>
  <si>
    <t>G.EC.07</t>
  </si>
  <si>
    <t>G.EC.08</t>
  </si>
  <si>
    <t>G.EC.10</t>
  </si>
  <si>
    <t>G.EC.09</t>
  </si>
  <si>
    <t>C.IN.01</t>
  </si>
  <si>
    <t>G.IC.01</t>
  </si>
  <si>
    <t>C.IC.02</t>
  </si>
  <si>
    <t>C.IC.03</t>
  </si>
  <si>
    <t>G.GP.08</t>
  </si>
  <si>
    <t>G.GP.01</t>
  </si>
  <si>
    <t>G.GP.03</t>
  </si>
  <si>
    <t>G.GP.04</t>
  </si>
  <si>
    <t>G.GP.05</t>
  </si>
  <si>
    <t>G.GP.07</t>
  </si>
  <si>
    <t>G.DP.02</t>
  </si>
  <si>
    <t>G.DP.04</t>
  </si>
  <si>
    <t>G.DP.05</t>
  </si>
  <si>
    <t>I.DP. 01</t>
  </si>
  <si>
    <t>I.DP.02</t>
  </si>
  <si>
    <t>I.DP.03</t>
  </si>
  <si>
    <t>C.DP.01</t>
  </si>
  <si>
    <t>C.DP.02</t>
  </si>
  <si>
    <t>C.DP.03</t>
  </si>
  <si>
    <t>C.DP.04</t>
  </si>
  <si>
    <t>C.DP.05</t>
  </si>
  <si>
    <t>G.CI.07</t>
  </si>
  <si>
    <t>G.CI.08</t>
  </si>
  <si>
    <t>G.CI.09</t>
  </si>
  <si>
    <t>G.CI.10</t>
  </si>
  <si>
    <t>G.CI.11</t>
  </si>
  <si>
    <t>G.CI.12</t>
  </si>
  <si>
    <t>G.CI.13</t>
  </si>
  <si>
    <t>G.CI.14</t>
  </si>
  <si>
    <t>G.CI.01</t>
  </si>
  <si>
    <t>G.CI.02</t>
  </si>
  <si>
    <t>G.CI.03</t>
  </si>
  <si>
    <t>G.CI.04</t>
  </si>
  <si>
    <t>G.CI.05</t>
  </si>
  <si>
    <t>G.CI.06</t>
  </si>
  <si>
    <t>G.GC.05</t>
  </si>
  <si>
    <t>G.GC.01</t>
  </si>
  <si>
    <t>G.GC.03</t>
  </si>
  <si>
    <t>G.GC.02</t>
  </si>
  <si>
    <t>G.GC.04</t>
  </si>
  <si>
    <t>G.GF.01</t>
  </si>
  <si>
    <t>G.GF.02</t>
  </si>
  <si>
    <t>G.GF.03</t>
  </si>
  <si>
    <t>G.GF.04</t>
  </si>
  <si>
    <t>G.GF.05</t>
  </si>
  <si>
    <t>G.GF.06</t>
  </si>
  <si>
    <t>G.GF.07</t>
  </si>
  <si>
    <t>G.GF.08</t>
  </si>
  <si>
    <t>G.GF.09</t>
  </si>
  <si>
    <t>G.GF.10</t>
  </si>
  <si>
    <t>G.GF.12</t>
  </si>
  <si>
    <t>G.RF.01</t>
  </si>
  <si>
    <t>G.RF.02</t>
  </si>
  <si>
    <t>G.RF.03</t>
  </si>
  <si>
    <t>G.RF.04</t>
  </si>
  <si>
    <t>G.RF.05</t>
  </si>
  <si>
    <t>G.RF.06</t>
  </si>
  <si>
    <t>G.RF.07</t>
  </si>
  <si>
    <t>G.RF.08</t>
  </si>
  <si>
    <t>G.RF.09</t>
  </si>
  <si>
    <t>G.RF.10</t>
  </si>
  <si>
    <t>G.TI.01</t>
  </si>
  <si>
    <t>G.TI.02</t>
  </si>
  <si>
    <t>G.TI.03</t>
  </si>
  <si>
    <t>G.TI.04</t>
  </si>
  <si>
    <t>I.TI.01</t>
  </si>
  <si>
    <t xml:space="preserve">Acceso a la información por personas no autorizadas
</t>
  </si>
  <si>
    <t>I.TI.02</t>
  </si>
  <si>
    <t>I.TI.03</t>
  </si>
  <si>
    <t>I.TI.04</t>
  </si>
  <si>
    <t>I.TI.05</t>
  </si>
  <si>
    <t>I.TI.06</t>
  </si>
  <si>
    <t>I.TI.07</t>
  </si>
  <si>
    <t>I.TI.08</t>
  </si>
  <si>
    <t>G.VF.01</t>
  </si>
  <si>
    <t>G.VF.02</t>
  </si>
  <si>
    <t>G.VF.04</t>
  </si>
  <si>
    <t>G.VF.08</t>
  </si>
  <si>
    <t>G.VF.09</t>
  </si>
  <si>
    <t>G.VF.11</t>
  </si>
  <si>
    <t>G.VF.15</t>
  </si>
  <si>
    <t>C.GI.01</t>
  </si>
  <si>
    <t>C.GI.02</t>
  </si>
  <si>
    <t>OBJETIVOS ESTRATEGICOS</t>
  </si>
  <si>
    <t># De Riesgos</t>
  </si>
  <si>
    <t>Riesgos</t>
  </si>
  <si>
    <t>Contribuir en el mejoramiento de la calidad de vida de los habitantes de la ciudad, respondiendo a las necesidades de la ciudad, mediante la estructuración y desarrollo de proyectos integrales de infraestructura para la movilidad y espacio público.</t>
  </si>
  <si>
    <t>Mejorar la gestión de los proyectos, incorporando la gerencia integral en todas las fases del ciclo de vida de los proyectos ejecutados por el IDU.</t>
  </si>
  <si>
    <t>Formular y concretar proyectos de infraestructura pública mediante el esquema de Asociaciones Público Privadas.</t>
  </si>
  <si>
    <t>Lograr la apropiación, por parte de los ciudadanos, de la infraestructura  para la movilidad, implementando estrategias de gestión social.</t>
  </si>
  <si>
    <t>Implementar nuevas prácticas en los procesos internos del IDU y en los proyectos de infraestructura que ejecute.</t>
  </si>
  <si>
    <t>Alinear la estructura, los procesos, el talento humano y la cultura del IDU hacia el logro de las metas planteadas para los próximos 12 años.</t>
  </si>
  <si>
    <t>No.</t>
  </si>
  <si>
    <t>G.EC.06</t>
  </si>
  <si>
    <t>G.GP.02</t>
  </si>
  <si>
    <t>G.GP.06</t>
  </si>
  <si>
    <t>G.DP.01</t>
  </si>
  <si>
    <t>G.DP.03</t>
  </si>
  <si>
    <t>G.EO.02</t>
  </si>
  <si>
    <t>G.EO.04</t>
  </si>
  <si>
    <t>G.EO.06</t>
  </si>
  <si>
    <t>G.EO.07</t>
  </si>
  <si>
    <t>G.GF.11</t>
  </si>
  <si>
    <t>G.TH.04</t>
  </si>
  <si>
    <t>G.TI.05</t>
  </si>
  <si>
    <t>G.TI.06</t>
  </si>
  <si>
    <t>G.TI.07</t>
  </si>
  <si>
    <t>G.TI.08</t>
  </si>
  <si>
    <t>G.TI.09</t>
  </si>
  <si>
    <t>G.TI.10</t>
  </si>
  <si>
    <t>G.TI.11</t>
  </si>
  <si>
    <t>G.TI.12</t>
  </si>
  <si>
    <t>G.VF.03</t>
  </si>
  <si>
    <t>G.VF.05</t>
  </si>
  <si>
    <t>G.VF.06</t>
  </si>
  <si>
    <t>G.VF.07</t>
  </si>
  <si>
    <t>G.VF.10</t>
  </si>
  <si>
    <t>G.VF.12</t>
  </si>
  <si>
    <t>G.VF.13</t>
  </si>
  <si>
    <t>G.VF.14</t>
  </si>
  <si>
    <t>Perfil
G. Inherente</t>
  </si>
  <si>
    <t>Perfil
G. Residual</t>
  </si>
  <si>
    <t xml:space="preserve">G.IN.01
G.IN.02
G.IN.03
G.GP.01
G.GP.03
G.GP.04
G.GP.05
G.GP.07
G.DP.02
G.DP.04
G.DP.05
G.EO.01
G.EO.04
G.EO.09
G.CI.07
G.CI.08
G.CI.14
G.IN.01
G.IN.02
G.IN.03
G.IN.04
G.IN.05
G.TI.02
G.VF.01
G.VF.04
G.VF.08
G.VF.09
G.VF.11
G.VF.15
</t>
  </si>
  <si>
    <t>G.GI.01
G.GI.02
G.FP.01
G.FP.02
G.DP.02
G.DP.04
G.EO.03
G.EO.05
G.CI.09
G.CI.10
G.CI.11
G.CI.12</t>
  </si>
  <si>
    <t>G.SC.03
G.VF.02</t>
  </si>
  <si>
    <t xml:space="preserve">G.EC.01
G.EC.03
G.EC.04
G.GF.05
G.GF.09
G.GF.10
G.GF.12
G.TH.01
G.TH.02
G.TH.03
G.TH.05
G.TH.06
G.TH.07
G.TH.08
G.TI.01
G.TI.02
G.TI.03
G.TI.05
G.TI.06
G.TI.07
G.TI.08
G.TI.09
G.TI.10
G.TI.11
G.TI.12
</t>
  </si>
  <si>
    <t xml:space="preserve">G.IN.01
G.IN.03
G.FP.01
G.GP.01
G.GP.04
G.GC.01
G.GC.04
</t>
  </si>
  <si>
    <t>GESTIÓN</t>
  </si>
  <si>
    <t>OTROS</t>
  </si>
  <si>
    <t>G.IN.01
G.GP.08
G.EO.08
G.CI.13
G.GL.01
G.GL.02
G.GL.03
G.GL.04
G.GL.05
G.GL.06
G.GL.07
G.GF.03</t>
  </si>
  <si>
    <t>G.PE.04</t>
  </si>
  <si>
    <t xml:space="preserve">1. PLANEACIÓN ESTRATÉGICA </t>
  </si>
  <si>
    <t>HOJA</t>
  </si>
  <si>
    <t>;'E PLANEACION'!$B$9:$AL$89;21;1)</t>
  </si>
  <si>
    <t>$E</t>
  </si>
  <si>
    <t>DISEÑO</t>
  </si>
  <si>
    <t>C PLANEACION</t>
  </si>
  <si>
    <t>C INNOVACION</t>
  </si>
  <si>
    <t>C GESTION SOCIAL</t>
  </si>
  <si>
    <t>C INTERISTITUCIONAL</t>
  </si>
  <si>
    <t>C COMUNICACIONES</t>
  </si>
  <si>
    <t>C FACTIBILIDAD</t>
  </si>
  <si>
    <t>C VALORIZACION</t>
  </si>
  <si>
    <t>C DISEÑO</t>
  </si>
  <si>
    <t>C PREDIAL</t>
  </si>
  <si>
    <t>C OBRAS</t>
  </si>
  <si>
    <t>C DTM</t>
  </si>
  <si>
    <t>C DTAI</t>
  </si>
  <si>
    <t>C CONTRACTUAL</t>
  </si>
  <si>
    <t>C LEGAL</t>
  </si>
  <si>
    <t>C CALIDAD</t>
  </si>
  <si>
    <t>C THUMANO</t>
  </si>
  <si>
    <t>C TICs</t>
  </si>
  <si>
    <t>C FISICOS</t>
  </si>
  <si>
    <t>C Documental</t>
  </si>
  <si>
    <t>C FINANCIERA</t>
  </si>
  <si>
    <t>C GI PROYECTOS</t>
  </si>
  <si>
    <t>C EVALUACION</t>
  </si>
  <si>
    <t>C MEJORAMIENTO</t>
  </si>
  <si>
    <t>RIESGOS DE CORRUPCIÓN</t>
  </si>
  <si>
    <t>;'A CALIDAD'!$B$9:$AL$89;21;1)</t>
  </si>
  <si>
    <t>;'E GPROYECTOS'!$B$9:$AL$89;21;1)</t>
  </si>
  <si>
    <t>;'EC MEJORAMIENTO'!$B$9:$AL$89;21;1)</t>
  </si>
  <si>
    <t>;'E GESTION SOCIAL'!$B$9:$AL$89;21;1)</t>
  </si>
  <si>
    <t>;'E COMUNICACIONES'!$B$9:$AL$89;21;1)</t>
  </si>
  <si>
    <t>;'EC EVALUACION'!$B$9:$AL$89;21;1)</t>
  </si>
  <si>
    <t>;'E INTERINSTITUCIONAL'!$B$9:$AL$89;21;1)</t>
  </si>
  <si>
    <t>;'E INNOVACION'!$B$9:$AL$89;21;1)</t>
  </si>
  <si>
    <t>;'M FACTIBILIDAD'!$B$9:$AL$89;21;1)</t>
  </si>
  <si>
    <t>;'M PREDIAL'!$B$9:$AL$89;21;1)</t>
  </si>
  <si>
    <t>;'M DISEÑO P.'!$B$9:$AL$89;21;1)</t>
  </si>
  <si>
    <t>;'M EJECUCION O.'!$B$9:$AL$89;21;1)</t>
  </si>
  <si>
    <t>;'M CONSERVACION-DTM'!$B$9:$AL$89;21;1)</t>
  </si>
  <si>
    <t>;'A CONTRACTUAL'!$B$9:$AL$89;21;1)</t>
  </si>
  <si>
    <t>;'A LEGAL'!$B$9:$AL$89;21;1)</t>
  </si>
  <si>
    <t>;'A FINANCIERA'!$B$9:$AL$89;21;1)</t>
  </si>
  <si>
    <t>;'A THUMANOS'!$B$9:$AL$89;21;1)</t>
  </si>
  <si>
    <t>;'A RFISICOS'!$B$9:$AL$89;21;1)</t>
  </si>
  <si>
    <t>;'A DOCUMENTAL'!$B$9:$AL$89;21;1)</t>
  </si>
  <si>
    <t>;'A TIC'!$B$9:$AL$89;21;1)</t>
  </si>
  <si>
    <t>;'M VALORIZACION'!$B$9:$AL$89;21;1)</t>
  </si>
  <si>
    <t>;'C PLANEACION'!$E$10:$BD$100;14;1)</t>
  </si>
  <si>
    <t>;'C INNOVACION'!$E$10:$BD$100;14;1)</t>
  </si>
  <si>
    <t>;'C GESTION SOCIAL'!$E$10:$BD$100;14;1)</t>
  </si>
  <si>
    <t>;'C INTERISTITUCIONAL'!$E$10:$BD$100;14;1)</t>
  </si>
  <si>
    <t>;'C COMUNICACIONES'!$E$10:$BD$100;14;1)</t>
  </si>
  <si>
    <t>;'C FACTIBILIDAD'!$E$10:$BD$100;14;1)</t>
  </si>
  <si>
    <t>;'C VALORIZACION'!$E$10:$BD$100;14;1)</t>
  </si>
  <si>
    <t>;'C DISEÑO'!$E$10:$BD$100;14;1)</t>
  </si>
  <si>
    <t>;'C PREDIAL'!$E$10:$BD$100;14;1)</t>
  </si>
  <si>
    <t>;'C OBRAS'!$E$10:$BD$100;14;1)</t>
  </si>
  <si>
    <t>;'C DTM'!$E$10:$BD$100;14;1)</t>
  </si>
  <si>
    <t>;'C DTAI'!$E$10:$BD$100;14;1)</t>
  </si>
  <si>
    <t>;'C CONTRACTUAL'!$E$10:$BD$100;14;1)</t>
  </si>
  <si>
    <t>;'C LEGAL'!$E$10:$BD$100;14;1)</t>
  </si>
  <si>
    <t>;'C CALIDAD'!$E$10:$BD$100;14;1)</t>
  </si>
  <si>
    <t>;'C THUMANO'!$E$10:$BD$100;14;1)</t>
  </si>
  <si>
    <t>;'C TICs'!$E$10:$BD$100;14;1)</t>
  </si>
  <si>
    <t>;'C FISICOS'!$E$10:$BD$100;14;1)</t>
  </si>
  <si>
    <t>;'C Documental'!$E$10:$BD$100;14;1)</t>
  </si>
  <si>
    <t>;'C FINANCIERA'!$E$10:$BD$100;14;1)</t>
  </si>
  <si>
    <t>;'C GI PROYECTOS'!$E$10:$BD$100;14;1)</t>
  </si>
  <si>
    <t>;'C EVALUACION'!$E$10:$BD$100;14;1)</t>
  </si>
  <si>
    <t>;'C MEJORAMIENTO'!$E$10:$BD$100;14;1)</t>
  </si>
  <si>
    <t>E PLANEACION</t>
  </si>
  <si>
    <t>A CALIDAD</t>
  </si>
  <si>
    <t>E GPROYECTOS</t>
  </si>
  <si>
    <t>EC MEJORAMIENTO</t>
  </si>
  <si>
    <t>E GESTION SOCIAL</t>
  </si>
  <si>
    <t>E COMUNICACIONES</t>
  </si>
  <si>
    <t>EC EVALUACION</t>
  </si>
  <si>
    <t>E INTERINSTITUCIONAL</t>
  </si>
  <si>
    <t>E INNOVACION</t>
  </si>
  <si>
    <t>M FACTIBILIDAD</t>
  </si>
  <si>
    <t>M PREDIAL</t>
  </si>
  <si>
    <t>M DISEÑO P.</t>
  </si>
  <si>
    <t>M EJECUCION O.</t>
  </si>
  <si>
    <t>M CONSERVACION-DTM</t>
  </si>
  <si>
    <t>A CONTRACTUAL</t>
  </si>
  <si>
    <t>A LEGAL</t>
  </si>
  <si>
    <t>A FINANCIERA</t>
  </si>
  <si>
    <t>A THUMANOS</t>
  </si>
  <si>
    <t>A RFISICOS</t>
  </si>
  <si>
    <t>A DOCUMENTAL</t>
  </si>
  <si>
    <t>A TIC</t>
  </si>
  <si>
    <t>M VALORIZACION</t>
  </si>
  <si>
    <t>M CONSERVACION-DTAI</t>
  </si>
  <si>
    <t>;'M CONSERVACION-DTAI'!$B$9:$AL$89;21;1)</t>
  </si>
  <si>
    <t>14. CONSERVACIÓN DE INFRAESTRUCTURA / MTTO - ADMIN INFRA (DTM)</t>
  </si>
  <si>
    <t>Pi</t>
  </si>
  <si>
    <t>Ii</t>
  </si>
  <si>
    <t>Pr</t>
  </si>
  <si>
    <t>difer</t>
  </si>
  <si>
    <t>CORRUPCIÓN</t>
  </si>
  <si>
    <t>Catastrofico</t>
  </si>
  <si>
    <t>Num_Pr</t>
  </si>
  <si>
    <t>Num_Ir</t>
  </si>
  <si>
    <t>Num_Pi</t>
  </si>
  <si>
    <t>Num_Ii</t>
  </si>
  <si>
    <t>Ir</t>
  </si>
  <si>
    <t>CREACION</t>
  </si>
  <si>
    <t>ELIMINACION</t>
  </si>
  <si>
    <t>FIJ</t>
  </si>
  <si>
    <t>FILA</t>
  </si>
  <si>
    <t>construccion_for</t>
  </si>
  <si>
    <t>construccion_for_2</t>
  </si>
  <si>
    <t>copiavalores</t>
  </si>
  <si>
    <t>Difer</t>
  </si>
  <si>
    <t>R_INHERENTE</t>
  </si>
  <si>
    <t>R_RESIDUAL</t>
  </si>
  <si>
    <t>Etiquetas de fila</t>
  </si>
  <si>
    <t>Total general</t>
  </si>
  <si>
    <t>Cuenta de RIESGO</t>
  </si>
  <si>
    <t>(Varios elementos)</t>
  </si>
  <si>
    <t>Num_Pi_val</t>
  </si>
  <si>
    <t>Num_Pr_Val</t>
  </si>
  <si>
    <t>Num_Ii_Val</t>
  </si>
  <si>
    <t>Num_Ir_Val</t>
  </si>
  <si>
    <t>Promedio de Num_Pi_val</t>
  </si>
  <si>
    <t>Promedio de Num_Ii_Val</t>
  </si>
  <si>
    <t>Promedio de Num_Pr_Val</t>
  </si>
  <si>
    <t>Promedio de Num_Ir_Val</t>
  </si>
  <si>
    <t>copiarmanual</t>
  </si>
  <si>
    <t>#</t>
  </si>
  <si>
    <t>Rinh_Val</t>
  </si>
  <si>
    <t>Rinh_Des</t>
  </si>
  <si>
    <t>Rres_Val</t>
  </si>
  <si>
    <t>Rres_Des</t>
  </si>
  <si>
    <t>INFERIOR</t>
  </si>
  <si>
    <t>MODERADO</t>
  </si>
  <si>
    <t>ALTO</t>
  </si>
  <si>
    <t>EXTREMO</t>
  </si>
  <si>
    <t>Impacto
(Prom)</t>
  </si>
  <si>
    <t>Riesgo Inherente</t>
  </si>
  <si>
    <t>Riesgo Residual</t>
  </si>
  <si>
    <t># R.</t>
  </si>
  <si>
    <t>Probab.
(Prom)</t>
  </si>
  <si>
    <t>14. CONSERVACIÓN DE INFRAESTRUCTURA / DTM-DTAI</t>
  </si>
  <si>
    <t>7. EVALUACIÓN Y CONTROL / OCI-OCD</t>
  </si>
  <si>
    <t>21. GESTIÓN DE RECURSOS TECNOLÓGICOS</t>
  </si>
  <si>
    <t>RIESGOS DE GESTIÓN</t>
  </si>
  <si>
    <t>8. GESTIÓN INTERINSTITUCIONAL</t>
  </si>
  <si>
    <t>14. CONSERVACIÓN DE INFRAESTRUCTURA / DTAI</t>
  </si>
  <si>
    <t>14. CONSERVACIÓN DE INFRAESTRUCTURA / (DTM)</t>
  </si>
  <si>
    <t>MODERADA</t>
  </si>
  <si>
    <t>ALTA</t>
  </si>
  <si>
    <t>No. Riesgos</t>
  </si>
  <si>
    <t>R. Inherente</t>
  </si>
  <si>
    <t>R. Residual</t>
  </si>
  <si>
    <t>2017*</t>
  </si>
  <si>
    <t>G.PE.10</t>
  </si>
  <si>
    <t>INVENTARIO DESDE 11SEP2018</t>
  </si>
  <si>
    <t>VIGENCIA</t>
  </si>
  <si>
    <t>SEGUIMIENTO Y REPORTE DE EVENTOS DE RIESGOS</t>
  </si>
  <si>
    <t>FECHA ELABORACIÓN</t>
  </si>
  <si>
    <t>FECHA DE SEGUIMIENTO:</t>
  </si>
  <si>
    <t>PERIODO DE SEGUIMIENTO:</t>
  </si>
  <si>
    <t>EVALUACIÓN DELRIESGO</t>
  </si>
  <si>
    <t>MONITOREO Y SEGUIMIENTO</t>
  </si>
  <si>
    <t xml:space="preserve">EVENTOS DE RIESGOS MATERIALIZADOS </t>
  </si>
  <si>
    <r>
      <t xml:space="preserve">ACCIONES DE RESPUESTA Y/O CONTINGENCIA
</t>
    </r>
    <r>
      <rPr>
        <sz val="8"/>
        <rFont val="Arial"/>
        <family val="2"/>
      </rPr>
      <t>EN CASO DE MATERIALIZACIÓN</t>
    </r>
  </si>
  <si>
    <r>
      <t xml:space="preserve">FÓRMULA DEL INDICADOR
</t>
    </r>
    <r>
      <rPr>
        <sz val="8"/>
        <rFont val="Arial"/>
        <family val="2"/>
      </rPr>
      <t>(De alertas y/o riesgos)</t>
    </r>
  </si>
  <si>
    <r>
      <rPr>
        <b/>
        <sz val="8"/>
        <rFont val="Arial"/>
        <family val="2"/>
      </rPr>
      <t>DATO</t>
    </r>
    <r>
      <rPr>
        <sz val="8"/>
        <rFont val="Arial"/>
        <family val="2"/>
      </rPr>
      <t xml:space="preserve">
DEL IND.</t>
    </r>
  </si>
  <si>
    <r>
      <t xml:space="preserve">ANÁLISIS
</t>
    </r>
    <r>
      <rPr>
        <sz val="8"/>
        <rFont val="Arial"/>
        <family val="2"/>
      </rPr>
      <t>DEL INDICADOR</t>
    </r>
  </si>
  <si>
    <r>
      <rPr>
        <b/>
        <sz val="8"/>
        <rFont val="Arial"/>
        <family val="2"/>
      </rPr>
      <t>ACCIONES DE MONITOREO Y SEGUIMIENTO</t>
    </r>
    <r>
      <rPr>
        <sz val="8"/>
        <rFont val="Arial"/>
        <family val="2"/>
      </rPr>
      <t xml:space="preserve">
AL RIESGO</t>
    </r>
  </si>
  <si>
    <t>Se materializó?</t>
  </si>
  <si>
    <r>
      <rPr>
        <b/>
        <sz val="8"/>
        <rFont val="Arial"/>
        <family val="2"/>
      </rPr>
      <t>DESCRIPCIÓN DEL EVENTO</t>
    </r>
    <r>
      <rPr>
        <sz val="8"/>
        <rFont val="Arial"/>
        <family val="2"/>
      </rPr>
      <t xml:space="preserve">
DE RIESGOS MATERIALIZADOS</t>
    </r>
  </si>
  <si>
    <r>
      <rPr>
        <b/>
        <sz val="8"/>
        <rFont val="Arial"/>
        <family val="2"/>
      </rPr>
      <t>CONSECUENCIAS</t>
    </r>
    <r>
      <rPr>
        <sz val="8"/>
        <rFont val="Arial"/>
        <family val="2"/>
      </rPr>
      <t xml:space="preserve">
EFECTOS</t>
    </r>
  </si>
  <si>
    <r>
      <t xml:space="preserve">FECHA
</t>
    </r>
    <r>
      <rPr>
        <b/>
        <sz val="8"/>
        <rFont val="Arial"/>
        <family val="2"/>
      </rPr>
      <t>INICIO</t>
    </r>
  </si>
  <si>
    <r>
      <t xml:space="preserve">FECHA
</t>
    </r>
    <r>
      <rPr>
        <b/>
        <sz val="8"/>
        <rFont val="Arial"/>
        <family val="2"/>
      </rPr>
      <t>FIN</t>
    </r>
  </si>
  <si>
    <r>
      <rPr>
        <b/>
        <sz val="8"/>
        <rFont val="Arial"/>
        <family val="2"/>
      </rPr>
      <t>Id. Acciones</t>
    </r>
    <r>
      <rPr>
        <sz val="8"/>
        <rFont val="Arial"/>
        <family val="2"/>
      </rPr>
      <t xml:space="preserve"> Plan de Mejoramiento</t>
    </r>
  </si>
  <si>
    <t xml:space="preserve">Alterar la asignación y destinación de  recursos, omitiendo las políticas y procediientos presupuestales, con el fin de favorecer un tercero.  </t>
  </si>
  <si>
    <t>1. Verificación, aprobación o devolución de las solicitudes mediante el procedimiento "PRPE01 Modificaciones Presupuestales"    Validaciones POAI y modificaciones presupuestales usando el formato "FOGF25 Ajuste entre centros de costos"
2. Aplicabilidad de las normas presupuestales.</t>
  </si>
  <si>
    <t>Verificación, aprobación o devolución de las solicitudes de Validaciones POAI y modificaciones presupuestales.</t>
  </si>
  <si>
    <t>Jefe OAP / Profesional Especializado 06 - 04</t>
  </si>
  <si>
    <t>1. Quien tenga conocimiento del caso debe informar en a la OCD para investigación disciplinaria  e informar al Ente de Control Externo que corresponda.
2. Se debe informar a la DG y realizar análisis de la situación presentada y seguir las acciones de corrección que aplique según el caso.</t>
  </si>
  <si>
    <t>Observaciones ó cambios presentados en:
Riesgo:
Causas:
consecuencias:
Controles:
Acciones de contingencia:
Indicador:
Otros:</t>
  </si>
  <si>
    <t>1. Seguimiento por parte de la OAP, a la entrega de información por parte de las dependencias. 
2. Seguimiento por parte de la OAP a la información reportada de las áreas ejecutoras para registro en SEGPLAN, haciendo una verificación de las inconsistencias.</t>
  </si>
  <si>
    <t xml:space="preserve">Jefe de OAP / Profesional 03 </t>
  </si>
  <si>
    <t>1. La OAP Revisar y ajustar la información afectada, e informar por el medio que haya sido divulgada inicialmente.
2. Se debe informar a la OCD para investigación disciplinaria correspondiente.</t>
  </si>
  <si>
    <t>FECHA DE IDENTIFICACIÓN</t>
  </si>
  <si>
    <t>AÑO</t>
  </si>
  <si>
    <t>ÁREAS:</t>
  </si>
  <si>
    <t>EVALUACIÓN</t>
  </si>
  <si>
    <t>DESCRIPCIÓN DEL CONTROL - TRATAMIENTO
(cuál, cómo, cuándo)</t>
  </si>
  <si>
    <r>
      <t xml:space="preserve">ACCIONES DE RESPUESTA Y/O CONTINGENCIA
</t>
    </r>
    <r>
      <rPr>
        <sz val="8"/>
        <rFont val="Arial"/>
        <family val="2"/>
      </rPr>
      <t>EN CASO DE MATERIALIZACIÓN</t>
    </r>
  </si>
  <si>
    <r>
      <rPr>
        <b/>
        <sz val="8"/>
        <rFont val="Arial"/>
        <family val="2"/>
      </rPr>
      <t>DATO</t>
    </r>
    <r>
      <rPr>
        <sz val="8"/>
        <rFont val="Arial"/>
        <family val="2"/>
      </rPr>
      <t xml:space="preserve">
DEL INDICADOR</t>
    </r>
  </si>
  <si>
    <r>
      <rPr>
        <b/>
        <sz val="8"/>
        <rFont val="Arial"/>
        <family val="2"/>
      </rPr>
      <t>NOTAS DE SEGUIMIENTO</t>
    </r>
    <r>
      <rPr>
        <sz val="8"/>
        <rFont val="Arial"/>
        <family val="2"/>
      </rPr>
      <t xml:space="preserve">
AL RIESGO</t>
    </r>
  </si>
  <si>
    <t>Programación y Seguimiento de Inversión
Proyectos de Infraestructura.</t>
  </si>
  <si>
    <t>Priorizacion deficiente de proyectos a incorporar en la programación presupuestal</t>
  </si>
  <si>
    <t xml:space="preserve"> 1. Inadecuada planeación del gasto para la siguiente vigencia por parte de los ordenadores del gasto.
2. Falencias en la definición de lineamientos o ausencia de los mismos para orientar el gasto dentro de la programación presupuestal..
3. Proyecciones no ajustadas al ciclo de vida del proyecto con estimaciones inexactas (plazo, alcance y/o de presupuesto), pretendiendo su programación y ejecución dentro de la  misma vigencia fiscal.
4. Priorizar proyectos que no cuenten con la  culminación de etapas predecesoras dentro del ciclo de vida del proyecto.</t>
  </si>
  <si>
    <t xml:space="preserve">
1. Inadecuada planeación presupuestal.
2. Baja ejecución presupuestal
3. Incumplimiento del Plan de Desarrollo.</t>
  </si>
  <si>
    <t>1. Aplicabilidad del procedimiento Anteproyecto de Presupuesto.
2. Mesas de trabajo entre OAP y areas ordenadores para revision sobre priorizacion de proyectos.
3. Existen políticas de control y su planificación documentadas en el Procedimiento de Elaboración del anteproyecto de presupuesto.
4. Socialización y aplicación de la Circular Conjunta SDP - SHD sobre programación y cierre presupuestal
5. Consulta del Estado de los proyectos misionales en el Sistema de Gestion Integral de proyectos " ZIPA para determinar etapas predecesoras.
6. Criterio de priorización determinado en el formato de elaboracion del anteproyecto donde se definen los criterios para dar prioridad al gasto.
7. Aplicabilidad del procedimiento de Modificaciones Presupuestales para ajustes en la gestión.</t>
  </si>
  <si>
    <t>PROFESIONAL  OAP</t>
  </si>
  <si>
    <t>* Procedimiento Elaboración del anteproyecto de presupuesto.
* Manual Operativo de Presupuesto Distrital.
* Procedimiento de Modificaciones presupuestales
* Formato de
Programación Presupuestal.
* Formato de Ajuste en centros de costo.
* Listados de asistencia.</t>
  </si>
  <si>
    <t>1. Seguir el procedimiento de modificaciones presupuestales.
2. Para cambios de proyectos de inversión es necesario la aprobación de la SDH y SDP
3. La STPC ejecuta las modificaciones en el sistema STONE.</t>
  </si>
  <si>
    <t>1. Sensibilización en el tema y uso de la aplicación a las personas encargadas de cada área, como mínimo una vez al año.
2.  Asignación de un par que funciona como back up para garantizar a ejecución de la actividad.
3. Envío trimestral de memorando a las áreas responsables de reportar 
4.  Verificación por parte del grupo de información geográfica de la base a la que acceden las áreas para construir el Shape, con el fin de ajustarlo desde su raíz a los requerimientos de la SDP.</t>
  </si>
  <si>
    <t>Ajustar o completar la información requerida para el reporte en SEGPLAN.</t>
  </si>
  <si>
    <t>Plataforma Estratégica</t>
  </si>
  <si>
    <t>No definición de la plataforma estratégica del Instituto</t>
  </si>
  <si>
    <t>1. No contar con una metodología para el diagnóstico y estructuración de la planeación.
2. Que el personal para aplicación de la metodología sea insuficiente o no tenga la competencia requerida.
3. Bajo compromiso de la alta dirección para la ejecución del proceso de estructuración de la planeación.
4. Cambios normativos que no sean coherentes y/o que su orientación desde el nivel central distrtial no sea la adecuada para su implementación.</t>
  </si>
  <si>
    <t>1. Incumplimiento de normatividad, que puede ocasionar sanciones administrativas o disciplinarias.
2. Desorientación institucional.
3. Baja imagen institucional
4. Impacto negativo en el desempeño institucional y misional</t>
  </si>
  <si>
    <t>1. La metodología está descrita en el proceso de Planeación estratégica, aplicando el procedimento de direccionamiento estratégico. Actualmente se siguen los lineamientos técnicos de la metodología de Alinenación Total.
2. La suficiencia y pertinencia de personal se soporta con el personal de planta debidamente selececionado por proceso de carrera. Se realiza plan de contratación por prestación de servicios.
3. Se realizan sensibilizaciones y capacitaciones cuando inicia un ciclo para estructuración de la plataforma estratégica. Si el proceso se apoya con un proveedor, éste realiza las sensibilizaciones al equipo de la OAP que correspondan.
4. Los ejercicios de planeación estratégica se realizan primeramente con el personal Directivo, El Comité Directivo y/o el comité de GyD según corresponda realizan seguimiento a la Planeación estratégica.
5. frente a los cambios normativos continuos la OAP realiza la actualización del normograma de forma peródica y realiza los cambios que correspondan en el proceso de planeación estratégica.</t>
  </si>
  <si>
    <t>* Caracterización Proceso de PE.
* Procedimiento de Direccionamiento Estratégico
* Acto Administrativo de PE.
* Registros de Asistencia y senibilización.
* Plataforma estratégica</t>
  </si>
  <si>
    <t>1. Se informará al Jefe de la OAP, al Comité de Gestión y Desempeño y/o al Comité Directivo la alerta sobre la oportunidad en definir la plataforma estratégica.
2. Si aplica se deberá informar a la OCD para investigación disciplinaria.</t>
  </si>
  <si>
    <t>Pérdida o alteración de información relacionada con los entregables del proceso</t>
  </si>
  <si>
    <t>1. Actividades necesarias para recuperar o reconstruir la información.</t>
  </si>
  <si>
    <t>Número de eventos presentados sobre perdida o alteración de la información del proceso de planeación estrátégica</t>
  </si>
  <si>
    <t>Para la vigencia 2019 Se elimina el riesgo G.PE.02, G.PE.03, GPE.05, G.PE.09.
Se incluye el nuevo riesgo de G.PE.10 de Planeación estratégica.
Para los riesgos de seguridad de la información se realiza una consolidación en el riesgo IPE03.</t>
  </si>
  <si>
    <t xml:space="preserve">Acuerdos o influencia de funcionarios de alto nivel para beneficio particular.
</t>
  </si>
  <si>
    <t>SUB GENERAL DE DESARROLLO URBANO</t>
  </si>
  <si>
    <t>DIRECTOR TÉCNICO DE PROYECTOS</t>
  </si>
  <si>
    <t>ÁREAS:SGDU-DTP</t>
  </si>
  <si>
    <t>ANÁLISIS
DEL INDICADOR</t>
  </si>
  <si>
    <t>NOTAS DE SEGUIMIENTO
AL RIESGO</t>
  </si>
  <si>
    <t>DESCRIPCIÓN DEL EVENTO
DE RIESGOS MATERIALIZADOS</t>
  </si>
  <si>
    <t>CONSECUENCIAS
EFECTOS</t>
  </si>
  <si>
    <t>FECHA
INICIO</t>
  </si>
  <si>
    <t>FECHA
FIN</t>
  </si>
  <si>
    <t>Id. Acciones Plan de Mejoramiento</t>
  </si>
  <si>
    <t>No. De modificaciones contractuales por errores en componentes técnicos de los pliegos de condiciones</t>
  </si>
  <si>
    <t>1. Insumos desactualizados o falta de insumos (topografía, redes, geotecnia, transito).
2. Demoras en conceptos técnicos  de las empresas de servicios públicos y/o entidades involucradas en el proyecto.
3. Modificación del alcance e insumos por parte de otras entidades
4. Falta de asignación de recursos físicos, tecnológicos, humanos y presupuestales.</t>
  </si>
  <si>
    <t>1.  Retrasos en las entregas de los productos a cargo de la DTP.
2. Incumplimiento metas Plan de Desarrollo.</t>
  </si>
  <si>
    <t>1. El coordinador de Factibilidad ajusta fechas de entrega (tiempos más cortos de los previamente establecidos) 
2. Definir acciones o estrategias para determinar la forma de agilizar la entrega de productos, una opcion puede ser intensificar esfuerzos de trabajo por parte de especialistas para agilizar la entrega de productos.</t>
  </si>
  <si>
    <t>G.FP.03</t>
  </si>
  <si>
    <r>
      <t>1.  Reprocesos durante el desarrollo</t>
    </r>
    <r>
      <rPr>
        <sz val="8"/>
        <color rgb="FFFF0000"/>
        <rFont val="Arial"/>
        <family val="2"/>
      </rPr>
      <t xml:space="preserve"> </t>
    </r>
    <r>
      <rPr>
        <sz val="8"/>
        <rFont val="Arial"/>
        <family val="2"/>
      </rPr>
      <t>de los proyectos.
2. Deficiencia en los productos entregados en la siguiente etapa.
3. Sobrecostos en el desarrollo del contrato.
4. Inviabilidad del proyecto.</t>
    </r>
  </si>
  <si>
    <t xml:space="preserve">1) Guías alcance y requerimientos técnicos de los productos de los estudios en las etapas de pre factibilidad y factibilidad.
2) Actas de reunión y/o mesas de trabajo, listas de asistencia.
3) Comunicaciones ORFEO
</t>
  </si>
  <si>
    <t>No. De modificaciones contractuales por lineamientos técnicos desactualizados.</t>
  </si>
  <si>
    <t>G.FP.04</t>
  </si>
  <si>
    <t>1) Socialización oportuna de los cambios de directrices.
2) Mesas de trabajo
3) Fortalecer el desarrollo y seguimiento del cronograma del proyecto.</t>
  </si>
  <si>
    <t>G.FP.05</t>
  </si>
  <si>
    <t>1. No realizar el pago al consultor sobre los productos faltantes.
2. Aplicar lo dispuesto en el procedimiento de declaratoria de incumplimiento.</t>
  </si>
  <si>
    <t xml:space="preserve">
(N° contratos con declaratoria de cumplimiento de todos sus productos por parte de interventoria / Total contratos terminados en el periodo) X100%</t>
  </si>
  <si>
    <t>Implementar  bloqueo automático por parte de la STRT</t>
  </si>
  <si>
    <t>1. Si no se ha recibido a satisfacción, se aplica la pólíza de calidad.
2. Una vez recibido, al identificarse el riesgo se solicita el acompañamiento a la DTGC y DTGJ para el inicio de procesos legales y demandas en contra de los consultores implicados.
3. Identificado el riesgo en la etapa de ejecución, se debe seguir el procedimiento de Cambios de factibilidad.
4. Informar a la OCD para el inicio de las investigaciones disciplinarias pertinentes.</t>
  </si>
  <si>
    <t>(N° Actividades de seguimiento registradas en medios tecnologicos / Total de actividades divulgadas) x 100</t>
  </si>
  <si>
    <t>N° Actividades de seguimiento registradas en medios tecnologicos / Total de actividades divulgadas) x 100</t>
  </si>
  <si>
    <r>
      <t xml:space="preserve">1. Si no se ha recibido a satisfacción, se aplica la póliza de calidad. </t>
    </r>
    <r>
      <rPr>
        <sz val="8"/>
        <color rgb="FFFF0000"/>
        <rFont val="Arial"/>
        <family val="2"/>
      </rPr>
      <t xml:space="preserve">
</t>
    </r>
    <r>
      <rPr>
        <sz val="8"/>
        <rFont val="Arial"/>
        <family val="2"/>
      </rPr>
      <t xml:space="preserve">
2. Informar a la OCD para el inicio de las investigaciones disciplinarias pertinentes.</t>
    </r>
  </si>
  <si>
    <t>WILLIAM ORLANDO LUZARDO TRIANA</t>
  </si>
  <si>
    <t xml:space="preserve">SUBDIRECTOR GENERAL DESARROLLO URBANO </t>
  </si>
  <si>
    <t xml:space="preserve">DIRECTOR TECNICO DE PROYECTOS </t>
  </si>
  <si>
    <t xml:space="preserve">
Inerventoría o Supervisión de estudios y diseños en fase III,  en contratos de Estudios y Diseños con construcción</t>
  </si>
  <si>
    <t xml:space="preserve">
Superar el valor del presupuesto contratado para ejecución de la obra comparado con el presupuesto para la obra producto de los Estudios y Diseños</t>
  </si>
  <si>
    <t>1. Sobrediseñar productos que impactan significativamente el presupuesto de obra
2. Los presupuestos de factibilidad tienen un alto nivel de incertidumbre</t>
  </si>
  <si>
    <t xml:space="preserve">1.  Seguimiento a la ejecución del contrato en la fase de estudios y diseños, por parte de la Interventoría  y  de la supervisión a dicha interventoría por parte del IDU.
2.  Seguimiento y aplicación de los controles y margen definidos en la matriz de riesgos del contrato
</t>
  </si>
  <si>
    <t xml:space="preserve">1.  Realizar mesas de trabajo para analizar soluciones.
2. Tramitar con el apoyo de la SGJ, solicitudes de suspensión del  contrato para buscar los recursos para continuar el proyecto ó  Tomar la decisión de Liquidar el contrato en la etapa en que se encuentre.
</t>
  </si>
  <si>
    <t>(No. de contratos cuya relación entre presupuesto determinado en EyD Vs presupuesto establecido en los pliegos superó el 30% / No. Contratos de esta modalidad con cambio de etapa en la vigencia) X 100</t>
  </si>
  <si>
    <t>Inerventoría o Supervisión de estudios y diseños en fase III</t>
  </si>
  <si>
    <t>Terminar el plazo de ejecución contractual de los estudios y diseños sin recibir los productos aprobados por la Interventoría</t>
  </si>
  <si>
    <t>1. Demora en la coordinación con las ESP y demás entidades.</t>
  </si>
  <si>
    <t xml:space="preserve">
1. Realización de reuniones de seguimiento semanales, entre consultoría, profesional de apoyo a supervisión e interventoría.
2. Aplicación de la guía de Coordinación IDU, ESP y TIC en proyectos de infraestructura de transporte.
3. Reuniones,  mesas de trabajo, y/o Visitas a terreno con las ESP y demás Entidades para la coordinación y viabilidad pertinente de los productos. 
4. Cumplimiento de actividades y convenios firmados con las ESP.
5. Elaborar solicitud de concepto a las ESP y demás Entidades.
6. Aplicación de los procedimientos de control establecidos en el Manual de Interventoría y/o supervisión de contratos.
7. Aplicación del instructivo de Adopción de medidas frente al incumplimiento de los contratos
8. Se controla con la forma de pago por productos, la cual queda establecida en el contrato.
9. Seguimiento y control del cronograma del  proyecto
10. Charlas de inducción a profesionales de apoyo.
</t>
  </si>
  <si>
    <t xml:space="preserve">
1. Acta de seguimiento al contrato.
2. Actas de reunión y listas de chequeo.
3. MG-GC-01 Manual de Interventoría y/o supervisión de contratos.
4. Guía GU-IN-02 Coordinación IDU, ESP YTIC en proyectos de infraestructura de transporte.
5. Comunicaciones a través de ORFEO.
6. Convenios existentes.
7. Contrato y sus documentos modificatorios.
8. Actas de pago.
9. Actas de reunión y listas de asistencia
10.  MG-GC-006 Manual de gestión contractual.
11. Instructivo IN-GC-03 Adopción de medidas frente al incumplimiento de los contratos</t>
  </si>
  <si>
    <t>2. Demora en la entrega de insumos, conceptos y/o respuestas por parte de las ESP,  y Entidades Distritales para el desarrollo  de los diseños.</t>
  </si>
  <si>
    <t>3. Demora en la revisión, conceptos y aprobación por parte de la interventoría.</t>
  </si>
  <si>
    <t>4. Demora del consultor en los plazos establecidos en el cronograma aprobado por la interventoría.</t>
  </si>
  <si>
    <t>Presentar errores en los componentes técnicos de los pliegos de condiciones.</t>
  </si>
  <si>
    <t>1. Cambios en las directrices para la elaboración de componentes técnicos y los pliegos de condiciones. 
2. Cambios en el alcance del objeto de diseño con respecto al alcance definido en la factibilidad.
3. Cambios en el alcance del objeto de obra con respecto al alcance definido en el diseño.</t>
  </si>
  <si>
    <t xml:space="preserve">1. Procedimiento PRPE02  Elaboración del anteproyecto de presupuesto.
2. MG-GC-006 Manual de gestión contractual
3. Pliegos 
4. Comunicaciones a través de ORFEO.
5. PRDP01  Estructuración de Procesos Selectivos </t>
  </si>
  <si>
    <t>1. Directriz por parte del Director de Proyectos sobre el alcance de las modificaciones a realizar.
2. Ajuste del pliego en su proceso de elaboración.</t>
  </si>
  <si>
    <t xml:space="preserve">
Inerventoría o Supervisión de estudios y diseños en fase III,  en contratos de Estudios y Diseños etapa de factibilidad</t>
  </si>
  <si>
    <t>G.DP.06</t>
  </si>
  <si>
    <t>Consumir los recursos de tiempo de la etapa de Estudios y Diseños, durante la etapa de factilidad</t>
  </si>
  <si>
    <t>1. Demora en la revisión, conceptos y aprobación por parte de la interventoría.
2. Demora del consultor en los plazos establecidos en el cronograma aprobado por la interventoría.
3. Demora en conceptos de no objeción de los productos por parte del IDU
4. Limitantes ambientales, legales o prediales no dentificadas en la prefactibilidad o presentadas porteriores a esta.</t>
  </si>
  <si>
    <t>1.  Necesidad de  prorrogar y/o adicionar el contrato.
2. Reducción de metas fisicas programadas.
3. Liquidación del contrato sin cumplimiento del objeto.
4. Afectación de la programación establecida por el IDU para la Licitación de la Obra y etapas posteriores.
5. Apertura de presuntos procesos de incumplimiento al contratista e interventoría.</t>
  </si>
  <si>
    <t>1.   Realización de reuniones de seguimiento semanales, entre consultoría, profesional de apoyo a supervisión e interventoría.
2.  Seguimiento y aplicación de los controles y margen definidos en la matriz de riesgos del contrato
3. Aplicación de los procedimientos de control establecidos en el Manual de Interventoría y/o supervisión de contratos.
4. Aplicación del instructivo de Adopción de medidas frente al incumplimiento de los contratos
5. Se controla con la forma de pago por productos, la cual queda establecida en el contrato.
6. Seguimiento y control del cronograma del  proyecto
7. Incluir en el contrato y en el cronograma en cada etapa el tiempo para verificacion y aprobaciones.</t>
  </si>
  <si>
    <t xml:space="preserve">
1. Acta de seguimiento al contrato.
2. Actas de reunión y listas de chequeo.
3. MG-GC-01 Manual de Interventoría y/o supervisión de contratos.
4. Comunicaciones a través de ORFEO.
5. Contrato y sus documentos modificatorios.
6. Actas de pago.
7.  MG-GC-006 Manual de gestión contractual.
8. Instructivo IN-GC-03 Adopción de medidas frente al incumplimiento de los contratos</t>
  </si>
  <si>
    <t>1. Sensibilización a los usuarios del proceso sobre bloqueo de sesión, por parte de la STRT.
2. Implementar  bloqueo automático por parte, por parte de la STRT.
3. Aplicar políticas contenidas en el Manual de Seguridad de la Información .
4. Revisión y aplicación de la marcación de información por parte de la STRT</t>
  </si>
  <si>
    <t>1. Analizar el tema y el tipo de información a la cual tuvo acceso el personal no autorizado, su criticidad e impacto.
2. Reportar a la STRT para realizar un bloqueo del equipo y protección de la información exietente, para evitar otros accesos.
3. Realizar mesas de trabajo con las areas afecadas para realizar cambios o ajustes correspondientes con el fin de salvaguardar futuros procesos judiciales al respecto.
4. Reportar a los encargados de DTGC y STRH para tomar acciones pertinentes.</t>
  </si>
  <si>
    <t>4. Inadecuada aplicación del etiquetado de activos de información.</t>
  </si>
  <si>
    <t>5. Enlaces de comunicaciones que permanecen activos al completar las transmisiones a través de las redes.</t>
  </si>
  <si>
    <t>6. Recuperación información a partir de medios de almacenamiento o procesamiento reciclados o desechados.</t>
  </si>
  <si>
    <t>7. Acceso no autorizado a los sistemas de información o a los documentos por parte de personal de mantenimiento locativo, aseo o vigilancia.</t>
  </si>
  <si>
    <t>1. Pistas o registros de auditoria (físico o lógico).
2. Almacenamiento de información según los lineamientos vigentes, por instrucción de la STRT.
3. Divulgación o sensibilización a los usuarios del proceso sobre verificación del estado actual de los computadores asignados por parte de la STRT.
4. Divulgación y sensibilización a los usuarios del proceso sobre instalación de software por parte de la STRT.</t>
  </si>
  <si>
    <t>4. Acceso a los sistemas operativos o a las aplicaciones por "puertas traseras" no controladas.</t>
  </si>
  <si>
    <t>5. Uso de software ilegal o malicioso.</t>
  </si>
  <si>
    <t>1. No se puedan atender a tiempo los requerimientos de otras dependencias de la entidad,  de la ciudadanía y/o de los entes de control
2. Reprocesos en la gestión de la Dirección Técnica.</t>
  </si>
  <si>
    <t>1. Sensibilización sobre la adecuada aplicación de la documentación del proceso de seguridad de la información por parte de la STRT.
2. Divulgación o sensibilización a los usuarios del proceso sobre bloqueo de sesión por parte de la STRT.
3. Divulgación o sensibilización a los usuarios del proceso sobre manejo de la información verbal por parte de la STRT.
4. Validación de entrega de los mensajes enviados.
5. Actualización de los equipos por parte de la STRT</t>
  </si>
  <si>
    <t>2. Manipulación por parte de terceros de equipos o de programas de cómputo o datos (físico o lógicos).</t>
  </si>
  <si>
    <t>4. Interceptación total o parcial de datos (físicos o lógicos).</t>
  </si>
  <si>
    <t>5. Insuficiente capacidad de procesamiento de Hardware</t>
  </si>
  <si>
    <t>William Orlando Luzardo Triana</t>
  </si>
  <si>
    <t xml:space="preserve">Subdirector General de Desarrollo Urbano </t>
  </si>
  <si>
    <t>Diseño de Proyectos</t>
  </si>
  <si>
    <t xml:space="preserve">Elaborar los estudios y diseños requeridos para la ejecución de los proyectos, basados en la factibilidad de los mismos, verificando que incluyan todos los componentes técnicos, arquitectónicos, urbanísticos, pasajísticos, prediales, ambientales, sociales, de tráfico y de seguridad integral, de ingeniería urbana y de detalle dando cumplimiento a las normas técnicas y urbanísticas vigentes.  </t>
  </si>
  <si>
    <t>C-DP-01</t>
  </si>
  <si>
    <t xml:space="preserve">Elaborar y remitir oficio de aprobación por parte de los especialistas, de cada uno de los productos de diseño, y hacer el seguimiento y control durante la ejecución del contrato de todos los productos, utilizando el formato FO-DP-11 Lista de chequeo y recibo de productos en la etapa de estudios y diseños.                          </t>
  </si>
  <si>
    <t xml:space="preserve">Verificar que  el Formato FO-DP-11 se haya diligenciado correctamente y que se haya emitido el concepto de aprobación de todos los  productos en el periodo correspondiente o al finalizar el contrato.      
                            </t>
  </si>
  <si>
    <t>1. Oficios, *ORFEO.
2.  Formato FO-DP-11 en cada contrato monitoreado.</t>
  </si>
  <si>
    <t>Realizar mesas de trabajo con consultor, especialistas y Supervisor para verificar diferencias.
Reportar al área contractual y juridica de la entidad.
Iniciar procesos sancionatorios y legales apoyados por DTGC y SGJ.</t>
  </si>
  <si>
    <t xml:space="preserve">
• Fórmula: 
(N° productos validados y aprobados que cumplen con la normatividad / Total de productos revisados) * 100         </t>
  </si>
  <si>
    <t>C-DP-02</t>
  </si>
  <si>
    <t xml:space="preserve">1. Oficio por parte del IDU (Especialista) de declaratoria de cumplimiento de la aprobación los productos de diseño entregados por la Interventoría.
2. Hacer el seguimiento y control durante la ejecución del contrato de todos los productos, utilizando el formato FO-DP-11 Lista de chequeo y recibo de productos en la etapa de estudios y diseños.  </t>
  </si>
  <si>
    <t xml:space="preserve">• Verificar que en el Formato FO-DP-11 se haya diligenciado la aprobación del producto en el periodo.                                                              </t>
  </si>
  <si>
    <t>1. Oficios, ORFEO.
2. Formato FO-DP-11 en cada contrato monitoreado</t>
  </si>
  <si>
    <t>Realizar mesas de trabajo con consultor, interventor, especialistas y Supervisor para verificar diferencias.
Reportar al área contractual y juridica de la entidad.
Iniciar procesos sancionatorios y legales apoyados por DTGC y SGJ.</t>
  </si>
  <si>
    <t>• Fórmula:
(N° productos con declaratoria de cumplimiento / Total productos aprobados por la Interventoría y recibidos por el IDU) *100</t>
  </si>
  <si>
    <t>C-DP-03</t>
  </si>
  <si>
    <t xml:space="preserve">
Reportar al área contractual, de procesos selectivos y juridica de la entidad.
Iniciar procesos sancionatorios y legales apoyados por DTGC y SGJ.</t>
  </si>
  <si>
    <t>• Fórmula:
(N° Actividades de seguimiento registradas en medios tecnologicos / Total de actividades divulgadas) * 100</t>
  </si>
  <si>
    <t>C-DP-04</t>
  </si>
  <si>
    <t>1. Demoras injustificadas en la entrega de Estudios y Diseños.
2. Recibo de productos que no cumplen con las especificaciones y la normatividad aplicable.
3. Inicio de procesos legales, tales como disciplinarios en contra de los funcionarios y demandas en contra de los consultores implicados.</t>
  </si>
  <si>
    <t>1. Se cuenta con un cronorama del proyecto el cual debe ser aprobado para el inicio del mismo.
2. Se realiza seguimiento en comité semanales.
3. Se realiza seguimiento financiero.
4. Se cuenta con formatos para el registro y tramite de Adiciones o Prorrogas.</t>
  </si>
  <si>
    <t>1. Actas de Comités de seguimiento  FO-DP-06, en la que se prioriza la revisión y control del cronograma del proyecto. 2. Formato FO-IDU-47 Cuadro de control financiero. 
3. Oficios de requerimiento a la interventoría y/o consultor.
4. Memorandos de la DTP solicitando acciones legales en contra de los contratistas por incumplimientos.
5. Solicitudes de Adicion o prorroga con FO-GC-27.</t>
  </si>
  <si>
    <t xml:space="preserve">
Reportar al área contractual y juridica de la entidad.
Iniciar procesos sancionatorios y legales apoyados por DTGC y SGJ.</t>
  </si>
  <si>
    <t xml:space="preserve">
• Fórmula:
(No. De solicitudes de modificacion devueltas por deficiente justicación / No. De solicitudes de modificación presentadas en el periodo)*100</t>
  </si>
  <si>
    <t>C-DP-05</t>
  </si>
  <si>
    <t xml:space="preserve">1. Formato FO-DP-11 Lista de chequeo y recibo de productos en la etapa de diseños.
2. FO-DP-05 Actas de recibo final y liquidación.
3. Formato FO-GC-23 Actas de verificación de cumplimiento para cierre de glosas (Si aplica) </t>
  </si>
  <si>
    <t>1. Publicar informacion en la cual se presenten omisiones o  cubrimientos de la misma por parte de las áreas fuente, teniendo conocimiento de este hecho la OAC.
2. Presión externa o interna del sector público o privado, para alterar la información a públicar  de algún tema específico.</t>
  </si>
  <si>
    <t>JEFE OAC</t>
  </si>
  <si>
    <t>1. Comunicar a la Dirección General sobre lo sucedido.
2. Comunicar a Control Interno y a Control Disciplinario sobre lo sucedido.</t>
  </si>
  <si>
    <t xml:space="preserve">Solicitudes gestionadas / Solicitudes recibidas * 100%
</t>
  </si>
  <si>
    <t>Atender las quejas o requerimientos y remitir la información solicitada, por parte del prefesional del area responsable de la comunicación externa</t>
  </si>
  <si>
    <t>(# de solicitude de informacion tramitadas / (# de solicitudes de informacion recibidas)*100</t>
  </si>
  <si>
    <t>Atender las quejas o requerimientos y remitir la información corregida, por parte del prefesional del area responsable de la comunicación externa</t>
  </si>
  <si>
    <t>(# de requerimientos recibidos por quejas de información inexacta / (# de solicitudes de informacion atendidas)*100</t>
  </si>
  <si>
    <t>(No. De piezas de comunicación elaboradas / No. De piezas de comunicación solicitadas)*100</t>
  </si>
  <si>
    <t>Verificar los motivos del suceso y tomar medidas para mejorar la seguridad</t>
  </si>
  <si>
    <t>No. de casos reportados</t>
  </si>
  <si>
    <t>Usar los equipos propios mientras se subsana el hecho</t>
  </si>
  <si>
    <t xml:space="preserve">1. Presión interna o externa de interesados.
2. Beneficios para particulares.
3. No cumplir con los procedimientos internos del IDU.
</t>
  </si>
  <si>
    <t>1. Si la materialización del riesgo se identifica al interior del Instituto, el funcionario o contratista debe informar a su jefe inmediato (Director(a) Técnico(a) Estratégico(a), quien informará a la Subdirección General de Desarrollo Urbano – SGDU.
2. Si la materialización del riesgo se identifica en forma externa, el tercero debe Informar por escrito (Oficio o Correo) a la Dirección Técnica Estratégica - DTE y a la Subdirección General de Desarrollo Urbano - SGDU 
3. La DTE en caso de requerirse informará a la Subdirección General de Infraestructura - SGI
4. La DTE deberá revisar la especificación o documento técnico para determinar si es necesario su suspensión o actualización.
5. La DTE deberá Informar a Oficina de Control Disciplinario - OCD y a la Dirección Técnica de Gestión Contractual - DTGC.</t>
  </si>
  <si>
    <t xml:space="preserve">Indicador No. 1 
Formula: (Cantidad de propuestas de aplicación de protocolo atendidas) / (Cantidad de propuestas de aplicación de protocolo presentadas (Orfeo)) x 100
Indicador No. 2 
Formula: (Secciones de especificaciones técnicas IDU-ET o documentos técnicos, revisados y aprobados) / (Total  Secciones de especificaciones técnicas IDU-ET o documentos técnicos, generados o actualizados) x 100 %
</t>
  </si>
  <si>
    <t xml:space="preserve">1. FOIC07 inscripción o renovación en el directorio de proveedores.
2. FOIC04 visita directorio proveedores IDU.
3. FOIC19 Atención a usuarios directorio de proveedores. 
4. Oficios (ORFEO).
</t>
  </si>
  <si>
    <t xml:space="preserve">Indicador No. 1
Formula: (Número de solicitudes revisadas / Número de solicitudes recibidas) * 100%
</t>
  </si>
  <si>
    <t>Subdirector General de Desarrollo Urbano</t>
  </si>
  <si>
    <t>Joanny Camelo Yépez</t>
  </si>
  <si>
    <t>SGDU - DTE</t>
  </si>
  <si>
    <t>1. Insuficiencia de recursos (económicos, humanos, tecnológicos,  y físicos).</t>
  </si>
  <si>
    <t>1. No cumplimiento de las metas asociadas al proceso.
2. Afectación en la adecuada y oportuna toma de decisiones a nivel  institucional.
3. Retraso tecnológico en el desarrollo de obras de infraestructura vial y espacio público
4. Incumplimiento en las publicaciones realizadas por la dependencia.</t>
  </si>
  <si>
    <r>
      <t>1. Elaboración del anteproyecto de presupuesto  (Correo electrónico u Orfeo).
2. Plan de contratación PSP o  solicitud de modificaciones PSP (Correo electrónico, Orfeo o Formato).</t>
    </r>
    <r>
      <rPr>
        <strike/>
        <sz val="7"/>
        <rFont val="Arial"/>
        <family val="2"/>
      </rPr>
      <t xml:space="preserve">
3</t>
    </r>
    <r>
      <rPr>
        <sz val="7"/>
        <rFont val="Arial"/>
        <family val="2"/>
      </rPr>
      <t>. Solicitud a la STRT de las necesidades de esta Dirección (Correo electrónico, Orfeo o Aranda).
4.Solicitud a la STRF de las necesidades de esta Dirección (Correo electrónico, Orfeo o Formato).</t>
    </r>
  </si>
  <si>
    <t>2. No entrega oportuna de la información relacionada con la infraestructura de la ciudad (vial, espacio público y puentes), antes, durante y al finalizar los proyectos, por parte de las áreas ejecutoras y otras Entidades.</t>
  </si>
  <si>
    <t>1.Diligenciar el  formato  FO-IC-01. reporte de elementos viales objeto de la contratación y entregarlo a la DTE aprobado.
2. Recepción de los reportes mediante el formato FO-IC-02, en forma periódica, para realizar el seguimiento a los proyectos de la infraestructura  y espacio publico de la ciudad que realiza el IDU y las Entidades Externas.</t>
  </si>
  <si>
    <t>3. Resistencia al cambio por parte de los usuarios del proceso.</t>
  </si>
  <si>
    <t>1. Falta de control en el manejo de las contraseñas.</t>
  </si>
  <si>
    <t xml:space="preserve">Sensibilización a los usuarios del proceso sobre bloqueo de sesión y bloqueo automático.
</t>
  </si>
  <si>
    <t xml:space="preserve">1. Si hay acceso de información por parte de personas no autorizadas, se solicitará a la Subdirección Técnica de Recursos Tecnológicos STRT, elimine los permisos a los usuarios no autorizados.
2. Si no es posible el uso de los equipos de cómputo se realizará el reporte a las áreas responsables (Subdirección Técnica de Recursos Tecnológicos STRT ó Subdirección Técnica de Recursos Físicos STRF).
</t>
  </si>
  <si>
    <t>2. Dejar documentos olvidados en la impresora o escáner</t>
  </si>
  <si>
    <t>3. Manejo inadecuado de los datos o información por parte de los usuarios responsables.</t>
  </si>
  <si>
    <t>4. Manipulación por parte de terceros de equipos o de programas de cómputo o datos.</t>
  </si>
  <si>
    <t>Desconocimiento por parte de las personas, del procedimiento del manejo de la información.</t>
  </si>
  <si>
    <t>Afectación al buen nombre de la entidad.
Pérdida de confidencialidad e integridad de la información.</t>
  </si>
  <si>
    <t>Procedimientos del proceso de Innovación y Gestión del conocimiento y documentos asociados.</t>
  </si>
  <si>
    <t xml:space="preserve">SUBDIRECTOR GENERAL DE DESARROLLO URBANO </t>
  </si>
  <si>
    <t>DIRECTORA TECNICA ESTRATEGICA</t>
  </si>
  <si>
    <t xml:space="preserve">
1. No conocer el estado real de los proyectos
2. No generar en forma oportuna acciones de mejora para promover el cumplimiento de los proyectos
3. No identificar en forma oportuna lecciones aprendidas
4. Remitir información inexacta como parte de las respuestas a grupos de interés y/o entes de control que solicitan información de los proyectos
5. No contar con información actualizada para la toma oportuna de decisiones</t>
  </si>
  <si>
    <t>(# de proyectos en ZIPA sin  información de avance en el cuatrimestre / # de proyectos registrados en ZIPA) *100</t>
  </si>
  <si>
    <t>1. Asegurar el cumplimiento del plan de actualización documental del proceso.
2. Acompañamiento de la OAP a las áreas involucradas en las diferentes etapas del ciclo de vida de los proyectos.
3. Reforzamiento de conocimientos al personal sobre los diferentes aspectos de la metodología de gestión de proyectos a través de iniciativas de capacitación.</t>
  </si>
  <si>
    <t xml:space="preserve">1. Plan  de actualización documental del proceso 
2. Actas de reunión
3. Listas de asistencia </t>
  </si>
  <si>
    <t>1. OAP junto con las áreas líderes del proceso deben Ejecutar el plan de actualización documental.</t>
  </si>
  <si>
    <t>% Avance ejecutado del plan de actualización documental / % Avance planeado del plan de actualización documental</t>
  </si>
  <si>
    <t>1) Verificación bases de datos del sistema
2) Restauración de datos adulterados
3) Reporte de incidente al ente de control que corresponda</t>
  </si>
  <si>
    <t>No. De casos reportados de accesos no autorizados al Sistema ZIPA</t>
  </si>
  <si>
    <t>SUBDIRECTORA GENERAL JURÍDICA</t>
  </si>
  <si>
    <t xml:space="preserve">
La información de avance de los proyectos registrada en el Sistema de Gestión Integral de Proyectos ZIPA se encuentre adulterada y/o se omitan aspectos relevantes de la realidad de la ejecución de los proyectos.</t>
  </si>
  <si>
    <t>1) Pliegos de Condiciones (Apéndice).
2) Cronograma con líneas base incluidas.
3) Actas de reunión.
4) Memorandos.
5) Información de avance de los proyectos reportada en el Sistema de Gestión Integral de Proyectos ZIPA.
6) Alertas del Sistema de Gestión Integral de Proyectos ZIPA.
7) Informes de auditoría.</t>
  </si>
  <si>
    <t>1. Informar a la DG y junto con los líderes del proceso analizar el evento presentado y tomar las acciones que correspondan.
2. El área ejecutora solicita a la OAP la devolución de los informes a tráves del sistema ZIPA.
3. El área ejecutora realiza la corrección de la información en el sistema ZIPA.
4. Informar a la OCD para investigación Disciplinaria.</t>
  </si>
  <si>
    <t xml:space="preserve"># de proyectos reportados con  información de avance, adulterada y/o con aspectos relevantes omitidos </t>
  </si>
  <si>
    <t xml:space="preserve">Liderar y realizar gestiones de coordinación interinstitucional con las Entidades del Orden Nacional, Departamental y Distrital, Empresas de Servicios Públicos y con el Sector Privado para facilitar la formulación, estructuración y ejecución de obras de los proyectos de infraestructura a cargo de la entidad. </t>
  </si>
  <si>
    <t>C-IN-01</t>
  </si>
  <si>
    <t xml:space="preserve">Número de convenios o acuerdos que presentan denuncias,  quejas, investigaciones, reclamos o requerimientos de particulares y entes de control.
</t>
  </si>
  <si>
    <t xml:space="preserve">0
</t>
  </si>
  <si>
    <t xml:space="preserve">NO
</t>
  </si>
  <si>
    <t>SUBDIRECCIÓN GENERAL DE INFRAESTRUCTURA</t>
  </si>
  <si>
    <t>1. Desconocimiento de las competencias de las Entidades participantes en los convenios acuerdos o actas de compromiso. 
2. Desconocimiento al interior del IDU de los documentos y procedimientos para la gestión interinstitucional con las ESP, Entidades Publicas del Orden Nacional, Departamental, Municipal, Distrital y/o privados.
3. Participación de funcionarios del IDU en las mesas de negociación, mesas de trabajo internas y externas, sin la experticia requerida o sin el poder de decisión para la definición de los convenios, acuerdos o actas de compromiso.</t>
  </si>
  <si>
    <t>1. Desarrollar reuniones con la SGJ y dependencias misionales para dar una pronta solución técnica y jurídica.
2. Adelantar las gestiones con las entidades distritales y/o terceros, según corresponda.
3. Gestionar acciones de modificación y/o suspensión del convenio suscrito, cuando aplique.
4. Presentar un informe a la Alta Dirección.</t>
  </si>
  <si>
    <t>(No. de informes por convenio con ESP enviados a la DG en el trimestre 
/ Total convenios con ESP en ejecución en el trimestre) * 100%</t>
  </si>
  <si>
    <t>1. Desarrollar reuniones con la SGJ y dependencias misionales para dar una pronta solución técnica y jurídica.
2. Adelantar las gestiones con las entidades distritales y/o terceros, según corresponda.
3. Gestionar acciones de modificación y/o suspensión del convenio suscrito, cuando aplique.
4. Aplicar las garantías contractuales cuando se requiera.
5. Presentar un informe a la Alta Dirección.</t>
  </si>
  <si>
    <t>(No. de informes por convenio con ESP enviados a la SGDU en el trimestre / Total de convenios con ESP en ejecución programados en el trimestre) * 100%</t>
  </si>
  <si>
    <t xml:space="preserve">1. Desarrollar reuniones con el equipo de profesionales de la SGDU y la SGI para dar una  solución pronta y definitiva.
2. Adelantar gestiones de soporte técnico con la STRT.
3. Solicitar a la STRT la realización de auditorias informáticas para detectar deficiencias en los sistemas de información.
</t>
  </si>
  <si>
    <t>Reporte de número de casos presentados por acceso a los sistemas información por personas no autorizadas, asociados al proceso.</t>
  </si>
  <si>
    <t>Reporte de número de casos presentados por pérdida o alteración de información, asociados al proceso.</t>
  </si>
  <si>
    <t>Reporte de número de casos presentados de manejo inadecuado de la información de terceros, asociados al proceso.</t>
  </si>
  <si>
    <t>Revisión de los permisos de acceso a los servicios de TI</t>
  </si>
  <si>
    <t xml:space="preserve">Nro. de acciones asociadas desarrolladas en el periodo / Nro. de acciones definidas
</t>
  </si>
  <si>
    <t>Informar a la Oficina de Control Disciplinario sobre posibles actos de corrupción</t>
  </si>
  <si>
    <t>Seguimiento a las herramientas de monitorización y logs</t>
  </si>
  <si>
    <t>Actas de reunión o actos administrativos de soporte</t>
  </si>
  <si>
    <t>Aplicar controles de autenticidad de los documentos identificados como sensibles</t>
  </si>
  <si>
    <t>Actividades del plan de comunicaciones desarrolladas / total de actividades del plan de comunicaciones.</t>
  </si>
  <si>
    <t xml:space="preserve">Campañas de divulgación </t>
  </si>
  <si>
    <t>Fortalecer las campañas de sensibilización</t>
  </si>
  <si>
    <t>1. Herramientas de monitorización de la infraestructura tecnológica.
2. Mantener los portales web de la entidad en niveles de disponibilidad aceptables.</t>
  </si>
  <si>
    <t>Publicación de información en portales de la Alcaldía Mayor</t>
  </si>
  <si>
    <t>Tiempo de disponibilidad del portal web IDU / tiempo total del periodo</t>
  </si>
  <si>
    <t>Mantener controles de seguridad de la información activos y hacerles seguimiento periódicamente</t>
  </si>
  <si>
    <t>Nro de controles aplicados en el periodo / Nro. de controles identificados para el riesgo</t>
  </si>
  <si>
    <t>Cumplir con los trámites institucionales</t>
  </si>
  <si>
    <t>Devolver el requerimiento y volver a definirlo</t>
  </si>
  <si>
    <t>Causas para la materialización del riesgo presentadas / Causas identificadas</t>
  </si>
  <si>
    <t>- Gestión y monitoreo de la capacidad de almacenamiento centralizado (SAN - NAS).
- Definición del anteproyecto de presupuesto,  Plan Anual de Adquisiciones y Plan de contratación de apoyo a la gestión, formulación del PETI y remisión del mismo a la Alta Consejería TIC.
- Revisión periódica de los registros de los servidores físicos y validando diariamente la consola de administración de los servidores virtuales y consignando los registros de capacidad según el corte de periodo correspondiente en el formato diseñado para tal fin.
- Realización diaria del monitoreo al uso de los canales de comunicación internos y externos y registro de la capacidad usada al corte de periodo para facturación.</t>
  </si>
  <si>
    <t>* Priorización de proyectos
* Reformular proyectos</t>
  </si>
  <si>
    <t>Cantidad de proyectos afectados / cantidad de proyectos planeados</t>
  </si>
  <si>
    <t>Diagnóstico de la situación y considerar la posibilidad de activar DRP.</t>
  </si>
  <si>
    <t>Reasignar a la persona que atiende al usuario.</t>
  </si>
  <si>
    <t>Promedio de la calificación de la percepción del servicio de soporte dada por los usuarios / 5</t>
  </si>
  <si>
    <t>1 Conexión remota no segura para acceder a los sistemas de información institucionales.
2 Mal manejo o utilización de las contraseñas de acceso.
3 Acceso forzado a los sistemas de información por "piratas" informáticos. 
4 Usuarios que pueden acceder directamente a los manejadores de bases de datos sin control.
5 No bloquear la sesión de usuario cuando se abandona la estación de trabajo.
6 Uso de software ilegal o malicioso.
7 Por aplicación de ingeniería social. (manipulación de las personas para obtener información).
8 Recuperación de información a partir de medios de almacenamiento o procesamiento reciclados o desechados.
9 Visitantes desatendidos en las instalaciones de la entidad.
10 Mal uso o abuso de los derechos otorgados como usuario o como administrador.
11 Control inadecuado de fechas, tratamiento de los formatos y/o falta de control para la sincronización de tiempo en los equipos del Instituto.
12 Realización de análisis de flujo de mensajes,  análisis de tráfico, infiltración de comunicaciones, engaño o suplantación de direcciones IP, engaño o suplantación de los servicios de directorio de nombres (DNS) o enrutamiento no autorizado de comunicaciones.  
13 Registro inadecuado de cambios y/o modificaciones. 
14 Abuso de medidas de seguridad para realizar seguimientos no autorizados, o mal uso de los registros de acceso.
15 Conflictos de interés entre las actividades realizadas y las responsabilidades.
16 Falta de definiciones de perfiles de usuario limitados para el acceso a los recursos.
17 Inadecuada aplicación del etiquetado de activos de información.</t>
  </si>
  <si>
    <t>- Política de Escritorio limpio y pantalla despejada que reglamenta, y  el directorio activo que aplica el control.
- Registro de solicitudes y requerimientos en herramienta de mesa de servicio (Aranda SDK).
- La arquitectura de red minimiza la posibilidad de tener conexiones abiertas sin corresponsal activo.
- Los equipos de cómputo y los dispositivos de almacenamiento son sometidos a procesos de preparación y/o borrado seguro dependiendo si van a ser reutilizados o entregados a almacén para baja de activos.
- Los diferentes componentes de la Infraestructura tecnológica están configurados para dejar registros automáticos de eventos, los cuales son revisados periódicamente.
- Los equipos de cómputo especializados (servidores) y de usuario (PC de escritorio), son instalados y configurados con medidas de prevención que minimizan el uso de puertos de comunicación.
- La instalación de software se realiza cuando son preparados y configurados los equipos que se entregan al usuario. Las instalaciones de aplicaciones por demanda deben ser autorizadas por los dueños de proceso y realizadas por personal autorizado de la mesa de servicios.
- Adicionalmente, la herramienta de antivirus, impide que un usuario sin privilegios de administrador instale aplicaciones en el equipo de cómputo y en caso de saltarse el control de instalación, esta herramienta detecta y reporta software malicioso.
- Identificación de roles y responsabilidades en el proceso GTIC, mediante la matriz de responsabilidades.
- Servicio de NTP centralizado en el servidor de dominio que hace que todos los equipos que se autentiquen en la red del Instituto mantengan actualizados los datos de fecha y hora.
- Revisión periódica del módulo de prevención de ataques (IPS) del dispositivo de seguridad perimetral.
- Los usuarios finales de la plataforma de TI del Instituto, no cuentan con privilegios de administración local o de red, que permitan cambios o accesos no autorizados.
- Periódicamente se hacen revisiones a los registros automáticos (logs) de los diferentes servidores y equipos de red, para identificar alertas y advertencias de seguridad.</t>
  </si>
  <si>
    <t>Gestión del incidente</t>
  </si>
  <si>
    <t>Controles no aplicados o ineficientes / controles identificados</t>
  </si>
  <si>
    <t>- Documento de matriz de responsabilidades (en construcción).
- Documento de políticas operativas TIC (DU-TI-06)
- Registros automáticos (logs) del firewall.
- Procedimiento de Gestión de cambios (PR-TI-08).
- Formato Control de Cambios Tecnológicos (FO-TI-29).
- Formato Cambios presentados a la mesa de trabajo (FO-TI-33)
- Registros de cambios en Aranda.
- Instructivo Revisión de los Derechos de Acceso de los Usuarios.</t>
  </si>
  <si>
    <t>Restauración de la configuración tomada en backup.
Considerar la posibilidad de activar DRP</t>
  </si>
  <si>
    <t>1 Interrupción de los servicios de red lógica o eléctrica durante instalación o actualización de los equipos.
2 Apagado abrupto o indebido de los equipos de procesamiento de datos.
3 Uso de lenguajes de programación o sistemas de información obsoletos o  no soportados.
4 Inserción de código malicioso en la red o en los equipos de usuario. Instalación y propagación de malware (virus informáticos).</t>
  </si>
  <si>
    <t>Incumplimiento de los acuerdos de nivel de servicios en los términos pactados</t>
  </si>
  <si>
    <t>Aplicar el procedimiento de reconstrucción de expedientes FO-DO-07.
Restaurar la información de copias de respaldo tomadas previamente.</t>
  </si>
  <si>
    <t>Reportar situación ante el proveedor.
Utilizar canales alternos (según disponibilidad)</t>
  </si>
  <si>
    <t>Reportar situación ante el proveedor.</t>
  </si>
  <si>
    <t>N/A</t>
  </si>
  <si>
    <t>Activar DRP</t>
  </si>
  <si>
    <t>aplicar el  Instructivo borrado seguro de datos y formateo final de equipos IN-TI-20</t>
  </si>
  <si>
    <t>- Apagar equipos Datacenter
- Activar DRP</t>
  </si>
  <si>
    <t>Consecuencias materializadas / consecuencias identificadas</t>
  </si>
  <si>
    <t xml:space="preserve">Ejecución </t>
  </si>
  <si>
    <t>Que se genere incumplimiento de las obligaciones de carácter  técnico, ambiental, forestal, SST, social y de maquinaria, vehículos y equipos en el desarrollo de los contratos de conservación.</t>
  </si>
  <si>
    <t>1.  Que el contratista  y la interventoría incumplan la obligación de  llevar a  cabo las labores y  gestión necesarias, adecuadas y suficientes  para cada uno  de los componentes  de los contratos durante el desarrollo de los mismos.</t>
  </si>
  <si>
    <t xml:space="preserve">*Alta probabilidad de reclamaciones a la  Entidad por parte de contratistas e interventores derivadas de las  inconsistencias, ambigüedades y demás  problemas   que contengan los pliegos.
*Inconvenientes durante  el desarrollo del contrato  a causa de inconsistencias entre el componente técnico de los pliegos y los documentos internos aplicables, lo que a su vez puede generar retrasos en la facturación o avance de obra.
*Reclamaciones permanentes por parte de la comunidad durante la ejecución del contrato  y posterior a  su culminación.
*Desgaste administrativo por el incremento  de  quejas y reclamos  provenientes de la comunidad.
*Ejecución de actividades incompletas o no atendidas al finalizar el contrato.
*Procesos administrativos contra el IDU por parte de las autoridades competentes.
*Deterioro de la imagen institucional.
*Mayores tiempos y mayores costos  en los contratos.
</t>
  </si>
  <si>
    <t xml:space="preserve">
1. Contractualmente se encuentran establecidas las obligaciones  en los aspectos técnico, ambiental, social, SST, forestal,  de maquinaria, vehículos y equipo, financiero, administrativo y legal, tanto de contratista como de la interventoría, así mismo,  los apremios y   sanciones  ante eventuales  incumplimientos.   
2. Cada contrato  de obra cuenta con  interventoría  quien ejerce el control y seguimiento en  cada uno de los aspectos mencionados. 
3. En los comités de seguimiento al contrato que se realizan periódicamente, se hace control y seguimiento a los temas de índole técnico, ambiental, forestal, SST, de maquinaria, vehículos y equipos, financiero, administrativo y legal.
4. Mensualmente se cuenta con informe de la interventoría sobre el cumplimiento del contratista en la gestión de todos los componentes mencionados
5. A través de un informe de cierre ambiental  se consolida la información en tal aspecto, se determina  el  grado de cumplimiento y se define la existencia o no de pasivos ambientales.
6. Se adelantan mesas de trabajo con interventoría y/o contratista de obra, con el fin de retroalimentar su gestión  y sobre la adecuada   elaboración de sus entregables.
7. El componente social - el control es a cargo de la OTC bajo el Procedimiento Gestión Social en etapa de Mantenimiento PRSC 10 y Guía de gestión social. Igualmente a través de informe y evaluación del mismo, aprobado éste se genera el respectivo  cierre social.
8. Contractualmente  se realizan comités de seguimiento al contrato de obra, que incluye recorridos a las obras objeto del mismo, con la participación del contratista, la interventoría y el IDU, lo que permite detectar  las debilidades o fallas que se puedan presentar y adoptar correctivos oportunamente.
9. La DTM  asigna a cada proyecto de conservación un equipo de apoyo a la supervisión conformado por profesional por cada componente, quienes deben cumplir con lo establecido en el Manual de Interventoría y Supervisión del  IDU y demás documentos que le apliquen.
10. La interventoría debe apremiar e iniciar sanciones al contratista ante eventuales incumplimientos.
11. El supervisor está facultado para apremiar e iniciar procesos sancionatorios a los contratistas (Obra e Interventoría) cuando se detectan incumplimientos.
12. Con el aplicativo Zipa se da a conocer el estado del contrato lo que aporta para un mayor control y gestión por todas las instancias que les compete  conocer  de dicho estado.
</t>
  </si>
  <si>
    <t>La interventoría 
Equipo de apoyo a la supervición</t>
  </si>
  <si>
    <t xml:space="preserve">Pliego de condiciones y contratos de obra e interventoría
Manual de interventoría y Supervisión del IDU 
Actas de Comités de seguimiento  al contrato y demás comités, mesas de trabajo  y/o reuniones que se realicen
Diseños elaborados  y/o actualizados a través de los contratos de conservación
Informes mensuales y semanales de interventoría
Procedimiento PRGC06 - Declaratoria de Incumplimiento para la Imposición de multa, cláusula penal., caducidad y /o afectación de la garantía única de cumplimiento
Formato  FOGC06 - Informe técnico de presunto incumplimiento contractual
Memorandos y/o correos electrónicos de retroalimentación entre áreas y/o profesionales de apoyo
 Guía de Gestión Social DU
  Normograma IDU, específicamente el correspondiente al proceso de infraestructura
Manual único de control y seguimiento ambiental y SST del IDU
Convenios con las ESP y Ley de Infraestructura
Guía Coordinación  IDU, ESP y TIC en proyectos de Infraestructura
Actas de Coordinación
Comunicaciones, oficios y correos electrónicos - Memorandos ORFEO"
</t>
  </si>
  <si>
    <t>1. No. de contratos de conservación (obra e interventoría) bajo control y seguimiento  a cargo de la DTM  con solicitudes a DTGC de inicio de procesos sancionatorios por presunto incumplimiento durante el periodo evaluado / No. de contratos de conservación (obra e interventoría)  bajo control y seguimiento a cargo de DTM para los cuales se generaron apremios por presunto incumplimiento durante el periodo evaluado*100</t>
  </si>
  <si>
    <t xml:space="preserve">
2.  Falta de recursos  del contratista (en cuanto a personal, materiales, maquinaria y equipo y financieros) para dar cumplimiento al contrato.</t>
  </si>
  <si>
    <t>13. Los pliegos de condiciones y el contrato contemplan las obligaciones del contratista  en materia de recursos que debe disponer para la ejecución del contrato. 
14. Contractualmente  se contemplan apremios  y multas al contratista ante  incumplimiento a cualquiera de las obligaciones contraídas incluidas las referentes a disponibilidad de recursos.
15. El control directo lo ejerce  la interventoría quien  en cumplimiento de sus obligaciones  continuamente  verifica el cumplimiento de las obligaciones del contratista en tal sentido.
16. Contractualmente  se tienen establecidos los comités de seguimiento a las obras en los cuales participa el supervisor IDU,  a través de los cuales se  aborda el aspecto del cumplimiento del contrato en cuanto a la disponibilidad de recursos del contratista en obra.
17. En los informes semanales y mensuales de interventoría se exige la presentación de la verificación  por parte de la interventoría  con respecto al cumplimiento del contrato.
18. Se cuenta con el Aplicativo para seguimiento de los proyectos Zipa en el que se dan alertas ante debilidades  o desviaciones en el cumplimiento del contratista.</t>
  </si>
  <si>
    <t>3.  Calidad deficiente  de las obras de conservación lo que genera reprocesos y con ello posibles retrasos en el  cronograma.</t>
  </si>
  <si>
    <t>19. Los pliegos de condiciones y  el contrato de obra contemplan las obligaciones del contratista  en lo relacionado con la calidad de las obras; de igual manera, el pliego de condiciones y el contrato de interventoría  establecen las obligaciones de ésta,  relacionadas con la verificación  del cumplimiento de  las especificaciones técnicas y  de calidad,  así como la adopción de   procesos constructivos adecuados  por parte del contratista de obra.
20. Contractualmente  se contemplan apremios  y multas al contratista ante  incumplimiento a cualquiera de las obligaciones contraídas, incluidas las de calidad de las obras.
21. En los comités de seguimiento al contrato en los que participa el supervisor IDU,  a través de éstos se  aborda el aspecto del cumplimiento en lo relacionado con calidad de las obras.
22. El Informe mensual de interventoría  contiene  lo referente a los ensayos de laboratorio  realizados  con objeto de verificación de la calidad de las obras.
23. Es obligatorio presentar Planes de calidad de interventoría y contratista los que deben implementar en desarrollo del contrato y cuyo control está a cargo del interventor y supervisor según corresponda.</t>
  </si>
  <si>
    <t>4.  Pliegos de  condiciones  con  falencias  o deficiencias,  particularmente relacionadas con contradicciones  e inconsistencias entre los   pliegos y demás documentos  contractuales que  se aplican en desarrollo de los contratos (guías, manuales, otros).</t>
  </si>
  <si>
    <t>24, La DTM  retroalimenta en todos los componentes la versión preliminar del anexo técnico separable de los pliegos de condiciones y remite por correo electrónico los aportes a la DTP área estructuradora de los proyectos de conservación.
25. Entre los coordinadores o profesionales de apoyo (DTM, STMSV, STMST) se retroalimentan conocimientos, experiencias y lecciones aprendidas con el fin de aplicarlas y para efectos de la retroalimentación a DTP.</t>
  </si>
  <si>
    <t>5.  Diagnósticos, Estudios y diseños con falencias o incompletos.</t>
  </si>
  <si>
    <t>26. En la mayoría de los contratos de  conservación se están realizando los diseños como parte del objeto del contrato,  los cuales cuentan con aprobación de la interventoría de conservación.</t>
  </si>
  <si>
    <t>6.  El profesional de apoyo a la supervisión de contratos que ingresa a la DTM desconoce el rol que debe ejercer, los procedimientos del IDU o la normativa que aplique al momento de la ejecución del contrato, esto  debido a la falta de inducción en el puesto de trabajo.</t>
  </si>
  <si>
    <t>27. Entre los coordinadores o profesionales de apoyo (DTM, STMSV, STMST) se retroalimentan conocimientos, experiencias y lecciones aprendidas, entre otros, en los temas  de normativa.
28. La SGJ lidera en el IDU la actualización del normograma institucional  por procesos, mínimo dos (2) veces al año, con el fin de que todas la áreas revisen, actualicen y depuren lo propio en los casos que aplique. La DTM convoca los profesionales de cada Subdirección y por componente para aportar a este proceso.
29. La DTM en conjunto con las subdirecciones realiza comités y reuniones de seguimiento a temas específicos, espacios en los que se retroalimenta la gestión del personal de apoyo a la supervisión</t>
  </si>
  <si>
    <t>7.  Que no se realice una adecuada coordinación interinstitucional con la Autoridad ambiental, las ESP, la SDM , la CAR, el Jardín Botánico y demás entidades distritales y nacionales.
                                        Y/o 
Que  frente a  la gestión realizada ante éstas, por el IDU,  contratista e interventoría, se obtengan  inadecuadas e inoportunas respuestas, o demoras significativas en la emisión de actos administrativos que se requieran  por parte de tales empresas.</t>
  </si>
  <si>
    <t xml:space="preserve">30. Se tiene establecido como mecanismo,  mesas de trabajo  entre el IDU y la SDA,  las ESP, el Jardín Botánico y demás que se requiera, orientadas a coordinar y agilizar los trámites  relacionados con los temas de competencia de tales entidades. 
31. Mediante oficios, cuando resulta necesario,  se solicita a  estas entidades  agilizar la emisión de los actos administrativos requeridos.
32. Durante la ejecución del contrato de obra se realizan comités interinstitucionales con las ESP en los que se llevan los temas a resolver.
33. Se da aplicación a  los convenios suscritos con ESP.
34. Se da aplicación a la  Guía Coordinación IDU, ESP, TIC en proyectos de infraestructura. 
35. En Comités de seguimiento entre IDU, interventor, contratista y con cada delegado designado por las ESP, se tratan los temas que surgen y que deben ser resueltos, lo  cual se documenta mediante actas y oficios.
36. Mediante el seguimiento a las solicitudes efectuadas a estas empresas  por el contratista, la interventoría y el IDU a  través del supervisor, cuando se detecta la necesidad  de  reiterar las mismas o adelantar alguna gestión adicional para obtener los productos requeridos, se adelantan las acciones pertinentes.
37. En lo relacionado con temas de naturaleza ambiental, se tienen establecidas  mesas de trabajo  periódicas  y cuando se requiere,  entre el IDU y la SDA,  orientadas a coordinar y agilizar los trámites de los temas ambientales  para los contratos a cargo del área.
</t>
  </si>
  <si>
    <t>8.  Falta de coordinación al interior del equipo de apoyo y supervisor en el IDU y/o desestimación por parte de los integrantes del mismo, respecto a la gestión relacionada con alguno o algunos de los componentes que conforman la supervisión.</t>
  </si>
  <si>
    <t>28.  Se realizan reuniones o mesas de trabajo por parte de la DTM, STMSV y STMST, donde se fortalecen los mecanismos de comunicación entre todos los coordinadores, lo que permite a unos y otros conocer y estar al tanto de la información relacionada con las obras y las directrices y lineamientos recibidos.
39.  La DTM emite comunicaciones dando lineamientos respecto a la supervisión que ejerce sobre los contratos a su cargo.</t>
  </si>
  <si>
    <t xml:space="preserve">Ejecución  y Recibo  </t>
  </si>
  <si>
    <t xml:space="preserve">Frentes de obra abandonados por el contratista de manera temporal o definitiva. </t>
  </si>
  <si>
    <t>1.  Una vez iniciado el contrato  y durante el desarrollo del mismo, e incluso durante el proceso de  recibo de las obras por la interventoría,  no se refleja la real capacidad financiera  y operativa del contratista presentada en la propuesta.</t>
  </si>
  <si>
    <t>* Atrasos en el recibo y la liquidación de la obra.
Afectación de la imagen de la Entidad.
* Procesos sancionatorios o aplicación de pólizas 
* Reclamaciones de la comunidad.
*No cumplimiento de metas físicas previstas para conservación.</t>
  </si>
  <si>
    <t>1. Contractualmente el contratista tiene la obligación  de dar cumplimiento al cronograma de ejecución de las obras que apruebe  la interventoría; así mismo, esta establecido los apremios y sanciones que se aplican por el interventor y en su defecto por la supervisión ante eventuales incumplimientos al respecto.
2. Seguimiento al cronograma de obra  que hace la interventoría durante su desarrollo.
3. El  supervisor  IDU  hace seguimiento al cronograma de obra  a través de los comités y con base en los informes de interventoría, efectuando verificaciones mediante los  recorridos de obra.</t>
  </si>
  <si>
    <t>Pliegos, contrato y demás documentos contractuales - obligaciones de obra e interventoría.
Informes mensuales de interventoría-seguimiento al cronograma.
Informes semanales de interventoría con reporte de avance de ejecución.
Formato PRGC06 - Declaratoria de Incumplimiento para la Imposición de multa, cláusula penal., caducidad y /o afectación de la garantía única de cumplimiento.
Formato FOGC06 - Informe técnico de presunto incumplimiento contractual.</t>
  </si>
  <si>
    <t xml:space="preserve">*Toma de posesión de las obras abandonadas si  ello aplica.
*Gestionar ante la DTP, la posible inclusión  en otro contrato de aquellas obras abandonadas  por el contratista, o la contratación de un nuevo contratista, según aplique.
*Dar inicio al respectivo proceso sancionatorio ante la DTGC.
*Una vez iniciado el proceso sancionatorio y hasta la culminación o cierre del mismo,  atender las solicitudes  de la DTGC en cuanto aporte de información  y documentación que requiera dicha área.
</t>
  </si>
  <si>
    <t>1. No. de Frentes de obra  abandonados o sin entrega definitiva a la interventoría  por el contratista,  con  solución  de tal situación  / Frentes de obra abandonados o sin entrega definitiva a la interventoría por parte del contratista*100</t>
  </si>
  <si>
    <t>1.  Que las ESP no expidan los paz y salvos.</t>
  </si>
  <si>
    <t>* Perdida de competencia de la entidad para liquidar.
* Pasivos exigibles que pueden conllevar al castigo presupuestal de la siguiente vigencia.
*Desgaste administrativo por eventuales  demandas
Investigaciones.</t>
  </si>
  <si>
    <t>1. Obligación del contratista de responder por los daños que con objeto del contrato se causen a la infraestructura de las ESP, los  que deben estar cancelados para la expedición de los paz y salvos.
2. Requerir al contratista e interventor para dirimir  situaciones con las ESP, e igualmente a éstas con  el mismo fin.
3. A través del Comité interinstitucional de infraestructura de ESP se hace gestión al respecto</t>
  </si>
  <si>
    <t>Pliego de condiciones.
Contratos de obra e interventoría.
Oficios y documentación en aplicativo  ORFEO.
Convenios con EAP.
Manual de interventoría y/o supervisión de contratos.
Correos electrónicos y   actas de reunión.
Procedimiento PRSC10 y
Guía Social.
Guía Coordinación  IDU, ESP y TIC en proyectos de Infraestructura</t>
  </si>
  <si>
    <t xml:space="preserve">*Suspender toda acción que se derive de la relación contractual para el contrato cuyo plazo de liquidación extinguió. 
*Consultar a DTGJ si procede algún tipo de acción judicial frente al estado en el cual quedo el contrato.
*Elaborar Informe de archivo y cierre del contrato y remitir el mismo a la OCD, contratista, interventoría, aseguradora, SGI y DTGC. </t>
  </si>
  <si>
    <t>2.  Que la SDM, JBB, SDA y demás entidades distritales que aplique no reciban las obras o aprueben las actividades ejecutadas para las mismas.</t>
  </si>
  <si>
    <t>4. Los pliegos de condiciones y los contratos de obra e interventoría, así como el Manual de Interventoría contienen las obligaciones del contratista e interventor que deben cumplir frente a las obras que se ejecuten  para las ESP y entidades distritales, a lo cual se hace seguimiento.
5. Se tienen establecidas mesas de trabajo periódicas y cuando se requiera, entre IDU y SDA, orientadas a coordinar y agilizar los trámites relacionados con el tema ambiental para los contratos  a cargo del área.</t>
  </si>
  <si>
    <t>3.  Que exista discrepancia entre las partes del contrato y se generen reclamaciones o controversias por eventos que durante la ejecución no se solucionaron o no fueron expuestos por el contratista en dicha etapa de ejecución.</t>
  </si>
  <si>
    <t>6. Contractualmente en los contratos está establecido el procedimiento para  atender controversias y reclamaciones el cual se aplica cuando se requiere.
7. Existen comités técnicos para  tratar de resolver las controversias que se generen, esto en forma previa a la aplicación del procedimiento; de no solucionarse en esas instancias el IDU aplica  dicho procedimiento.
8. Reunión periódica de seguimiento a liquidaciones lideradas por la DTM y participación de STMSV-STMST a través de las cuales se abordan estos temas.</t>
  </si>
  <si>
    <t>4.  Diferencia en la interpretación jurídica de las diferentes cláusulas de liquidación de los contratos.</t>
  </si>
  <si>
    <t>9. Reunión periódica de seguimiento a liquidaciones liderada por la DTM y participación de STMSV-STMST en la que se tratan los asuntos de tal naturaleza que se presenten y puedan afectar el avance en las liquidaciones.</t>
  </si>
  <si>
    <t>5.  Que no se cierren los requerimientos de la comunidad (PQR).</t>
  </si>
  <si>
    <t>10.  Controles a cargo de la OTC: Procedimiento Gestión Social en etapa de Mantenimiento PRSC10. Guía de gestión social. Seguimiento al cumplimiento del componente social de los contratos a cargo de la DTM el que se realiza en los comités de seguimiento establecidos y realizados.</t>
  </si>
  <si>
    <t>*Registrar el pasivo en el formato base para el cierre ambiental de obra .
*Tomar las acciones pertinentes establecidas en los documentos contractuales, el contrato de obra y/o interventoría, documentos y procedimientos internos y en la normativa, según aplique.</t>
  </si>
  <si>
    <t>Fresado-ejecución</t>
  </si>
  <si>
    <t>El cierre definitivo del patio de fresado.</t>
  </si>
  <si>
    <t>1.  No cumplir con los requerimientos exigidos por entidades como la Secretaría Distrital de Ambiente- SDA y la Secretaría Distrital de Planeación- SDP.</t>
  </si>
  <si>
    <t>*Incumplimiento de normas ambientales.
*Multas pecuniarias al IDU por parte de la SDA.
* Desaprovechamiento del material de fresado.</t>
  </si>
  <si>
    <t>Equipo de apoyo a la supervición</t>
  </si>
  <si>
    <t>Para la supervisión control manejo y operación de los sitios de almacenamiento transitorio de pavimento asfáltico fresado SATPAF.
Comunicaciones dirigidas a la SDA
Oficio de solicitud ante la alcaldía  suscrito por la DTM.
Memorandos, correos, actas  u otros documentos que evidencian  la gestión realizada por la DTM
Respuesta  de atención a PQRS</t>
  </si>
  <si>
    <t>*Informar a contratistas quienes producen material de fresado y a quienes requieren de dicho material.
*Dar instrucción a contratistas e interventores sobre suspensión de traslado del material de fresado al patio de acopio.
*Dar instrucción a contratistas e interventores para que se proporcione el material de fresado a quien lo requiera directamente en el sitio que se produce.
*Dar instrucción a contratistas e interventores para que se acopie el material de fresado en el sitio que se genere por el tiempo que permite la autoridad ambiental.
*Gestionar la devolución a la UAERMV del material dado en préstamo al IDU con objeto del contrato interadministrativo 944/2017, mientras el mismo esté vigente.
*Gestionar para obtener la reapertura del patio.</t>
  </si>
  <si>
    <t xml:space="preserve">1.  No. de requerimientos de la autoridad ambiental atendidos por el IDU en el período evaluado / No. de requerimientos presentados por la autoridad ambiental en el periodo evaluado *100
2.  No. de PQRS  atendidos por el IDU en el período evaluado / No. de PQRS recibidas  en el periodo evaluado*100
</t>
  </si>
  <si>
    <t>2.  Proyecto de construir la Avenida ALO de Occidente, teniendo en cuenta que el patio está localizado en la zona de  reserva vial prevista para esa vía.</t>
  </si>
  <si>
    <t>4. El área realiza gestión ante las instancias competentes en el IDU con el fin de lograr una solución definitiva a la ubicación del patio.</t>
  </si>
  <si>
    <t>3.  El acopio temporal de material fresado es una actividad restringida para adelantarse en la zona en que está ubicado el patio.</t>
  </si>
  <si>
    <t xml:space="preserve">5. Cada año, la DTM presenta  ante la Alcaldía Local de Engativá solicitud de permiso para funcionar en horario restringido, esto con el fin de generar el mínimo impacto en el sector. </t>
  </si>
  <si>
    <t>4.  Quejas y reclamos que presente la ciudadanía porque el  patio continúa  en mismo sitio contrariando el deseo de la comunidad que vive alrededor.</t>
  </si>
  <si>
    <t>6. Se atienden oportunamente  los requerimientos que presenta la ciudadanía.</t>
  </si>
  <si>
    <t>Incapacidad en la atención de una emergencia a nivel distrital por parte del IDU.</t>
  </si>
  <si>
    <t xml:space="preserve">*Incumplimiento de las obligaciones establecidas para el l IDU  en el  Plan de Emergencias de Bogotá.
*Impacto negativo y deterioro de la imagen  de la Entidad por  la no atención de la infraestructura a cargo del  Instituto.
*Pérdidas económicas.
</t>
  </si>
  <si>
    <t>1. Los contratos de mantenimiento contemplan obligaciones para atención de emergencias, sin embargo, los recursos con que cuentan  son mínimos  y  muy  limitado el campo de acción  de la atención de la emergencia.</t>
  </si>
  <si>
    <t>La interventoría 
Equipo de apoyo a la supervición
Persona asignada para gestionar los recursos en DTM</t>
  </si>
  <si>
    <t>Contratos de mantenimiento y/o conservación
* Actas de comité, reunión, mesas de trabajo.
* Comunicaciones escritas.
Documento PIRE  que da los lineamientos para atención  de emergencias</t>
  </si>
  <si>
    <t>*Informar al primer respondiente a nivel distrital ante emergencias en el sistema vial (la UAERMV). 
*Informar a IDIGER sobre la incapacidad administrativa y/o operativa del IDU para atender a plenitud la emergencia presentada según la naturaleza de esta.
*Procedimiento operativo normalizado de respuesta a emergencias a nivel distrital</t>
  </si>
  <si>
    <t>1. No, de emergencias a nivel distrital atendidas por IDU / No. de emergencias  a nivel distrital requeridas para atención del IDU*100</t>
  </si>
  <si>
    <t>2.  Que se presente una emergencia y  la DTM no cuente con contratos en ejecución, en consecuencia no disponga de recursos para  su atención.</t>
  </si>
  <si>
    <t>2. Documento PIRE que establece los lineamientos para atención de emergencias a nivel distrital.
3. Procedimiento operativo normalizado de respuesta a emergencias a nivel distrital
4. Ante una eventual emergencia que  afecte el estado de las obras de infraestructura aseguradas,  se aplicara por parte de la Entidad el procedimiento regular para atención de siniestros con cargo a la respectiva Póliza de seguros.</t>
  </si>
  <si>
    <t>Ejecución Recibo de obra y liquidación</t>
  </si>
  <si>
    <t>Que se pierda o altere la documentación e información del contrato (gestión documental del contrato)</t>
  </si>
  <si>
    <t>1. Gestión documental inadecuada por parte del equipo de la supervisión  y  cambios de supervisión sin la  debida entrega de la documentación del contrato.</t>
  </si>
  <si>
    <t xml:space="preserve">* Atrasos en la liquidación del contrato.
* Investigaciones por parte de los entes de control.
* Falta de soportes para responder requerimientos  relacionados con el contrato lo que se traduce en 
imposibilidad para atender a tiempo los requerimientos de la ciudadanía o los entes de control. 
*Imposibilidad  para atender los trámites y/o servicios  ofrecidos a los ciudadanos  (disponibilidad + integridad)
</t>
  </si>
  <si>
    <t>1.  A cada contrato se asigna un supervisor, sin embargo no siempre éste permanece hasta la liquidación del mismo, caso en el cual  se suscribe el Acta de Cambio de Supervisor la que se  debe acompañar de un informe del supervisor saliente con destino al supervisor entrante, en el que se describa el estado del contrato. (Contratos en ejecución y contratos en liquidación).
2. El contratista e interventor tienen la obligación de salvaguardar la información de los contratos, según  lo contenido en el componente adminisitrativo del Manual de Interventoría y supervisión de contratos.</t>
  </si>
  <si>
    <t xml:space="preserve">Manual de Interventoría  y supervisión de contratos.
Memorando de asignación de supervisor.
Formato  de Acta para cambio de supervisor.
Resolución 34217 de 2015  de políticas de seguridad de la información.
Políticas y acciones implementadas  por la STRT que se reciben a través  del correo interno
</t>
  </si>
  <si>
    <t>*Al momento de detectar el extravío o alteración del documento o expediente,  a quien se le extravió o tiene conocimiento de la alteración de la información,  formula la correspondiente denuncia ante la Fiscalía General de la Nación, esto bajo los procedimientos establecidos en la Entidad.
*A quien se le extravió el documento o expediente o detectó la alteración de la información, informa a su superior inmediato.
*Área supervisora informa a STRF con el fin que ésta efectúe el diagnóstico y demás acciones de su competencia.</t>
  </si>
  <si>
    <t>1. No. de contratos de conservación  bajo control y seguimiento  de la DTM 4  que no han registrado alteración o extravío de la información  / No. de contratos de conservación  bajo control y seguimiento  de DTM *100</t>
  </si>
  <si>
    <t>3. Capacitación y sensibilización a los usuarios del proceso  sobre bloqueo de sesión y otros cuidados y medidas orientadas evitar la pérdida de información.</t>
  </si>
  <si>
    <t>4. Interpretación total o parcial  de datos (físicos o lógicos</t>
  </si>
  <si>
    <t>5. Que las información de los contratos no sea incluida en las herramientas tecnológicas  y aplicativos definidos por la entidad.</t>
  </si>
  <si>
    <t>5. La STRT realiza anualmente un plan  orientado  a  brindar  un adecuado soporte de los sistemas y herramientas tecnológicas a ser utilizadas.
6. La documentación de los actuales contratos se  digitaliza e incorpora en el respectivo expediente en el aplicativo Orfeo.
7. Con base en la información procedente de las interventorías,  la DTM  actualiza la información de los contratos en el aplicativo SIAC  y Zipa.
8. El contratista y la interventoría tienen la obligación de conservar y salvaguardar la información del contrato.</t>
  </si>
  <si>
    <t xml:space="preserve">Incumplimiento legal (ley de protección de datos)
Reclamaciones de los titulares de los datos
Afectación al buen nombre de la entidad
Pérdida de confidencialidad de la información.
</t>
  </si>
  <si>
    <t>1. Sensibilización a los usuarios del proceso sobre manejo de la información personal.</t>
  </si>
  <si>
    <t>Los usuarios del proceso</t>
  </si>
  <si>
    <t xml:space="preserve">*Al momento de detectar la situación y/o queja  se informa al líder del área para que se socialice la situación presentada y se adopten correctivos al respecto.
*Dependiendo del tipo de situación, si ello amerita, se interpone la correspondiente denuncia ante la autoridad competente acorde a los procedimientos y/o directrices  que tenga la entidad. </t>
  </si>
  <si>
    <t>1. ​ No. de quejas presentadas por ciudadanos o terceros, debido a un manejo inadecuado de la información personal en la DTM</t>
  </si>
  <si>
    <t>2. Sensibilización a los usuarios del proceso sobre manejo de la información que se encuentra en archivos físicos.</t>
  </si>
  <si>
    <t xml:space="preserve">Subdirector General de Infraestructura 
</t>
  </si>
  <si>
    <r>
      <t xml:space="preserve">1. Que los dineros del anticipo no sean utilizados para el fin destinado.
</t>
    </r>
    <r>
      <rPr>
        <b/>
        <sz val="8"/>
        <rFont val="Arial"/>
        <family val="2"/>
      </rPr>
      <t xml:space="preserve">
2. </t>
    </r>
    <r>
      <rPr>
        <sz val="8"/>
        <rFont val="Arial"/>
        <family val="2"/>
      </rPr>
      <t>Que la interventoría no ejerza un adecuado seguimiento y control a la inversión y buen manejo del anticipo.</t>
    </r>
  </si>
  <si>
    <t>Desviación de los dineros girados al contratista por concepto de anticipo en los contratos de conservación.</t>
  </si>
  <si>
    <r>
      <rPr>
        <sz val="8"/>
        <color theme="1"/>
        <rFont val="Arial"/>
        <family val="2"/>
      </rPr>
      <t xml:space="preserve">Detrimento patrimonial por pérdida de los dineros del anticipo
</t>
    </r>
    <r>
      <rPr>
        <b/>
        <sz val="8"/>
        <color theme="1"/>
        <rFont val="Arial"/>
        <family val="2"/>
      </rPr>
      <t xml:space="preserve"> </t>
    </r>
    <r>
      <rPr>
        <sz val="8"/>
        <color theme="1"/>
        <rFont val="Arial"/>
        <family val="2"/>
      </rPr>
      <t xml:space="preserve">Que no se cumpla con el objeto  del contrato
</t>
    </r>
    <r>
      <rPr>
        <sz val="8"/>
        <color theme="1"/>
        <rFont val="Arial"/>
        <family val="2"/>
      </rPr>
      <t xml:space="preserve"> Que se afecte la comunidad  beneficiada con las obras  objeto del contrato
</t>
    </r>
    <r>
      <rPr>
        <b/>
        <sz val="8"/>
        <color theme="1"/>
        <rFont val="Arial"/>
        <family val="2"/>
      </rPr>
      <t xml:space="preserve"> </t>
    </r>
    <r>
      <rPr>
        <sz val="8"/>
        <color theme="1"/>
        <rFont val="Arial"/>
        <family val="2"/>
      </rPr>
      <t>Se afecte la imagen de la entidad.</t>
    </r>
  </si>
  <si>
    <r>
      <t>1</t>
    </r>
    <r>
      <rPr>
        <b/>
        <sz val="8"/>
        <rFont val="Arial"/>
        <family val="2"/>
      </rPr>
      <t>.</t>
    </r>
    <r>
      <rPr>
        <sz val="8"/>
        <rFont val="Arial"/>
        <family val="2"/>
      </rPr>
      <t xml:space="preserve"> En el Manual de Interventoría numeral 6.3,  Anticipo, se establecen los controles y condiciones que se deben tener en cuenta para el adecuado manejo del anticipo, controles que son llevados a cabo por la interventoría y el equipo de apoyo a la supervisón, según corresponda. Estos controles se sintetizan en verificar:
- Cumplimiento con elaboración del Plan detallado de inversión del anticipo debidamente aprobado por la interventoría y no objetado por el IDU.
- Que se dé cumplimiento al Plan de Inversión del anticipo aprobado.
- El manejo y tratamiento adecuado de rendimientos generados en la cuenta de anticipo o fiducia.
- Cumplimiento de la  obligación de la interventoría de informar mensualmente sobre la inversión y buen manejo del   anticipo considerando los aspectos a tener en cuenta señalados en el citado Manual de Interventoría.
 - Que se liquide el anticipo y se cumplan los requisitos que debe llenar dicha liquidación.
- Que se realice el reintegro de saldos a favor del IDU
</t>
    </r>
  </si>
  <si>
    <r>
      <rPr>
        <b/>
        <sz val="8"/>
        <color theme="1"/>
        <rFont val="Arial"/>
        <family val="2"/>
      </rPr>
      <t xml:space="preserve">
1.</t>
    </r>
    <r>
      <rPr>
        <sz val="8"/>
        <color theme="1"/>
        <rFont val="Arial"/>
        <family val="2"/>
      </rPr>
      <t xml:space="preserve"> Mediante oficio, hacer énfasis a la interventoría respecto al cumplimiento de lo previsto para el tratamiento del anticipo contenido en el numeral 6,3 del  Manual de Interventoría  y/o Supervisión de Contratos  IDU, incluida la entrega mensual del informe sobre inversión y buen manejo del anticipo observando los requisitos de que trata el numeral antes mencionado.
</t>
    </r>
    <r>
      <rPr>
        <b/>
        <sz val="8"/>
        <color theme="1"/>
        <rFont val="Arial"/>
        <family val="2"/>
      </rPr>
      <t>2.</t>
    </r>
    <r>
      <rPr>
        <sz val="8"/>
        <color theme="1"/>
        <rFont val="Arial"/>
        <family val="2"/>
      </rPr>
      <t xml:space="preserve"> Revisar mensualmente los informes de anticipo remitidos por la interventoría, con el fin de verificar el cumplimiento de los indicado en el numeral 6.3 del Manual de Interventoría y/o Supervisión de contratos IDU, versión 4.</t>
    </r>
  </si>
  <si>
    <t>*Formular requerimientos a interventoría, contratista y FIDUCIA.
*Iniciar proceso sancionatorio por incumplimiento y mal manejo de anticipo.
*Formular la correspondiente denuncia ante el ente competente.</t>
  </si>
  <si>
    <r>
      <t xml:space="preserve">
1</t>
    </r>
    <r>
      <rPr>
        <b/>
        <sz val="8"/>
        <rFont val="Arial"/>
        <family val="2"/>
      </rPr>
      <t xml:space="preserve">. </t>
    </r>
    <r>
      <rPr>
        <sz val="8"/>
        <rFont val="Arial"/>
        <family val="2"/>
      </rPr>
      <t xml:space="preserve">No. de informes de anticipo revisados / No. de informes de anticipo recibidos  de los contratos para los cuales aplica el manejo del anticipo.*100
</t>
    </r>
  </si>
  <si>
    <t>1.  Precios unitarios no previstos  estructurados  por contratista e interventoría con fines fraudulentos.
2. Eliminación del % de piso en los procesos de selección,  lo que limita el control  que  ejercía la Entidad  orientado a evitar que los licitantes presenten en sus propuestas precios artificialmente bajos,  lo que  puede conducir a propuestas con precios muy bajos que no correspondan a la condiciones del mercado, lo que conlleva  a que quien suscriba la minuta del contrato, luego  acuda a acciones tales como pretender generar precios no previstos  altos   y posibles   reconocimientos argumentando supuesto desequilibrio económico.
3. Que la interventoría apruebe y pague cantidades de obra no ejecutadas aprovechando actividades  no cuantificables visualmente.
4. Por eventuales acuerdos entre los contratistas de obra y los interventores y/o  la  supervisión.</t>
  </si>
  <si>
    <t xml:space="preserve">Ejecución de meta física menor a la prevista
Detrimento patrimonial
Afectación a la comunidad beneficiada al no ejecutarse la totalidad de la obra prevista
Deficiencia en la calidad de las obras ejecutadas </t>
  </si>
  <si>
    <r>
      <t>1.</t>
    </r>
    <r>
      <rPr>
        <b/>
        <sz val="8"/>
        <color theme="1"/>
        <rFont val="Arial"/>
        <family val="2"/>
      </rPr>
      <t xml:space="preserve"> </t>
    </r>
    <r>
      <rPr>
        <sz val="8"/>
        <color theme="1"/>
        <rFont val="Arial"/>
        <family val="2"/>
      </rPr>
      <t xml:space="preserve"> En el Manual de Interventoría y  Manual de Gestión Contractual se establece  el procedimiento  a seguir  al pactar precios no previstos o precios adicionales a las pactados contractualmente, con lo que se busca   controlar y obtener racionalidad  en dichos precios.
El  control es  efectuado por el  interventor quien como parte de sus obligaciones  debe revisar,  validar   y aprobar el APU no previsto  para ser presentado al IDU. (formato APU, aprobado por la Interventoría).
2.Se cuenta con los precios contractuales los cuales son inmodificables durante el desarrollo del contrato.
3. La supervisión  verifica que los precios no previstos  aprobados por la interventoría cumplan ,entre otros, con los siguientes requisitos:
*Que  no supere el precio  de referencia IDU 
*En caso que lo supere, que esté debidamente justificado
*Que no sea un precio producto del fraccionamiento de actividades 
*Que el precio  realmente aplique para la  obra que se ejecuta
*Que no corresponda a un precio contractual  y no tenga ninguna equivalencia técnica con los mismos.
4. Se realizan comités semanales para seguimiento al contrato de obra  que  incluyen recorridos  a los frentes  en ejecución,  lo que permite a la DTM  a través de la supervisión, ejercer alguna verificación  aunque macro  sobre   las actividades  que se realizan.
5</t>
    </r>
    <r>
      <rPr>
        <b/>
        <sz val="8"/>
        <color theme="1"/>
        <rFont val="Arial"/>
        <family val="2"/>
      </rPr>
      <t>.</t>
    </r>
    <r>
      <rPr>
        <sz val="8"/>
        <color theme="1"/>
        <rFont val="Arial"/>
        <family val="2"/>
      </rPr>
      <t xml:space="preserve">  El contratista debe informar de forma previa las actividades y cantidades de obra a realizar,   basado  en un diagnóstico y en las condiciones encontradas en terreno.
Con base en ello  el Interventor  realiza los balances  del contrato para verificar el alcance de los recursos, teniendo en cuenta el análisis de los especialistas. Así mismo, revisa, cuantifica las cantidades, aprueba y autoriza el pago.
6. Se llevan a cabo comités de seguimiento y recorridos de obra  a través de los cuales la supervisión  verifica los frentes de obra  en ejecución y las actividades que se realizan,  lo que le permite llevar control macro sobre las  actividades que se pagan en cada período. 
7. Para el pago de las cuentas de los contratos de obra e interventoría, además de  los  requisitos  establecidos  en  el  Manual  de  Interventoría  y/o  Supervisión  de Contratos  del  IDU y  en  la  Guía  Pago  a Terceros  del  IDU, se debe verificar el cumplimiento del plan de calidad (Plan de Inspección de Ensayos)  y  adelantar  la  revisión  de  los  respectivos  ensayos  de  laboratorio,  en cuanto   a   que   sus resultados   se   encuentren   dentro   del   rango   que   las especificaciones técnicas definen o en su defecto, la inclusión del concepto del especialista de interventoría que soporta la aprobación de los mismos por parte de la interventoría.  Sobre esto se indica a las interventorías y contratistas de obra mediante oficio, que las actas de recibo parcial de obra deberán ser remitidas al IDU  con la información que constituya  un debido soporte de las mismas.</t>
    </r>
  </si>
  <si>
    <t xml:space="preserve">
*Documentos contractuales
*Manual de Interventoría
*Manual de Gestión contractual
*Formato APU diligenciado y aprobado por Interventoría
*Actas de seguimiento al contrato.
* Informe semanal de Interventoría
*Informe mensual de interventoría
*Oficios remitidos
*Memorandos remitidos</t>
  </si>
  <si>
    <t>*Formular requerimientos a interventoría y contratista. 
*Iniciar el respectivo o respectivos procesos sancionatiorios ante la DTGC.
*Formular la correspondiente denuncia ante el ente competente.</t>
  </si>
  <si>
    <r>
      <t xml:space="preserve">
 1</t>
    </r>
    <r>
      <rPr>
        <b/>
        <sz val="8"/>
        <rFont val="Arial"/>
        <family val="2"/>
      </rPr>
      <t>.</t>
    </r>
    <r>
      <rPr>
        <sz val="8"/>
        <rFont val="Arial"/>
        <family val="2"/>
      </rPr>
      <t xml:space="preserve"> No. de APUs No Previstos revisados por la DTM / No. de APUs No Previstos aprobados por la interventoría y recibidos en DTM*100
</t>
    </r>
  </si>
  <si>
    <t>1. Presunta aprobación de vales  por parte del Administrador del patio  sin el ingreso o egreso del material de fresado al patio transitorio,  lo anterior con fines fraudulentos.
2. Por presunto  acuerdo entre el contratista e interventor para reportar parcialmente, o no reportar el material resultante del fresado cuando se recicla en la misma obra.</t>
  </si>
  <si>
    <t>Detrimento patrimonial.
 Posible afectación de obras en cuanto a calidad y costos.
Pérdida de imagen institucional.</t>
  </si>
  <si>
    <t xml:space="preserve">1. En la actualidad la adminitración del patio de fresado esta siendo adelantada a través de la DTM. Se efectúa  el control del volumen del material,  tanto el que entra  como el de salida, labor que se realiza  durante las 24 horas del día.
2. En cumplimiento a las obligaciones previstas en los contratos de interventoría, éstas emiten informes para los diferentes contratos de obra en cuyos frentes se genera el material de fresado, en lo referente a: material generado, el reutilizado en la misma obra, el trasladaado al  patio de acopio transitorio y el entregado a otras obras.
3. La DTM, a través de la supervisión  realiza la gestión pertinente  entre los diferentes actores  y particularmente el control del material, con base en la información obtenida directamente en el sitio de acopio del material y los informes de las interventorías de los contratos de obra.                                                                                                                                                                                                                                                                                                                                                                                                                                                                                                                                                                                                                                                                        Existe  verificación   de vehículos autorizados para traslado o retiro de material del patio, en cuanto a número de placa, tipo de vehículo, nombre del conductor que lo opera y PIN de la Secretaría de Ambiente.
</t>
  </si>
  <si>
    <t xml:space="preserve">
1. Continuar  con la Implementación del Manual de Fresado  adoptado por la entidad para el manejo del material de fresado.
2. Se  mantendrá  el supervisor  y personal de apoyo necesario tanto para la administración del patio por parte de la DTM, como para adelantar la labor  de seguimiento  y control  a las actividades realizadas  por los diferentes actores quienes adelantan acciones relacionadas con el material de fresado.
3. Se mantendrá el control  por parte de las interventorías sobre el material que se genera en las obras objeto de cada contrato (el reutilizado en la misma obra, el entregado al patio de acopio y el entregado a otras obras.</t>
  </si>
  <si>
    <t xml:space="preserve">
*Protocolo que contiene el procedimiento a seguir en lo que respecta al tema de fresado al cual se acogen las alcaldías  locales, contratistas de obra, interventores y el mismo IDU
*Vales  generados tanto de ingreso como de salida del material
*Certificaciones e informes  de las interventorías de cada contrato de obra
*Formatos de Seguimiento Ambiental Nos. FO-AC-25, FO-AC-54 y FO-AC-55 y FO-AC-21 y certificaciones  y seguimiento a Resolución 1115/2012 dispuesto SDA
</t>
  </si>
  <si>
    <t>*Formular requerimientos a interventorías, contratistas, adminsitrador del patio, según aplique.
*Iniciar el respectivo o respectivos  procesos sancionatiorios ante la DTGC. 
*Formular la correspondiente denuncia ante el ente competente.</t>
  </si>
  <si>
    <r>
      <rPr>
        <b/>
        <sz val="8"/>
        <rFont val="Arial"/>
        <family val="2"/>
      </rPr>
      <t xml:space="preserve">
</t>
    </r>
    <r>
      <rPr>
        <sz val="8"/>
        <rFont val="Arial"/>
        <family val="2"/>
      </rPr>
      <t xml:space="preserve">
1</t>
    </r>
    <r>
      <rPr>
        <b/>
        <sz val="8"/>
        <rFont val="Arial"/>
        <family val="2"/>
      </rPr>
      <t>.</t>
    </r>
    <r>
      <rPr>
        <sz val="8"/>
        <rFont val="Arial"/>
        <family val="2"/>
      </rPr>
      <t xml:space="preserve"> verificación del volumen de ingreso y retiro del material de fresado  y expedición de certificación / volumen de material  de ingreso y retiro reportado para certificación*100
2. No. informes periódicos de interventoría recibidos que cuenten con los debidos registros y documentos relacionados con la gestión de fresado / No. de informes periódicos de interventoría recibidos en que se haya llevado a cabo actividades con material de fresado*100
</t>
    </r>
  </si>
  <si>
    <t>1. Que el interventor y/o el contratista tramiten y gestionen el recibo y posterior pago de obras, con base en acciones fraudulentas manipulando y/o alterando información o documentación para tal fin.
2. Que la Interventoría avale y apruebe procesos constructivos y/o ensayos de laboratorio deficientes y/o que nunca fueron realizados por el contratista, manipulando y/o alterando documentación para tal fin.</t>
  </si>
  <si>
    <t>Recibo de actividades del contrato de obra sin el cumplimiento de los requisitos técnicos y de calidad para favorecer a un tercero.</t>
  </si>
  <si>
    <t>1. El interventor del contrato es el  primer control para asegurar que se suscriban todos los documentos que dan cuenta del cumplimiento de las condiciones establecidas para el recibo de las obras.
2. Existe formato IDU para recibo parcial y final de obra. Este es revisado y aprobado por la Interventoría del contrato. 
3. El recibo de obra debe realizarse conforme lo descrito en el Manual de Interventoría.
4. Se realizan comités semanales para seguimiento al contrato de obra  que  incluyen recorridos  a los frentes  en ejecución,  lo que permite a la DTM  a través de los profesionales de apoyo a la supervisión, ejercer alguna verificación  aunque macro  sobre   las actividades  que se realizan.
5. Previo al recibo final se realizan recorridos de obra por parte de la supervisión  realizando inspección visual, requiriendo corrección de no conformidades por calidad de las obras.
6. Se cuenta con pólizas de estabilidad y calidad de obra.</t>
  </si>
  <si>
    <r>
      <rPr>
        <b/>
        <sz val="8"/>
        <color theme="1"/>
        <rFont val="Arial"/>
        <family val="2"/>
      </rPr>
      <t xml:space="preserve">
1.</t>
    </r>
    <r>
      <rPr>
        <sz val="8"/>
        <color theme="1"/>
        <rFont val="Arial"/>
        <family val="2"/>
      </rPr>
      <t xml:space="preserve"> La DTM   hace presencia en obra con personal   de apoyo a la supervisión, que a través de recorridos   y mediante inspección visual   verifique  los frentes de obra en ejecución efectuando los respectivos informes.
</t>
    </r>
    <r>
      <rPr>
        <b/>
        <sz val="8"/>
        <color theme="1"/>
        <rFont val="Arial"/>
        <family val="2"/>
      </rPr>
      <t xml:space="preserve">2. </t>
    </r>
    <r>
      <rPr>
        <sz val="8"/>
        <color theme="1"/>
        <rFont val="Arial"/>
        <family val="2"/>
      </rPr>
      <t xml:space="preserve"> A través de oficio, La DTM hará énfasis  a la interventoría,  en el sentido de efectuar las verificaciones que garanticen que las obras ejecutadas   cumplan con el lleno de los requisitos técnicos y de calidad.
</t>
    </r>
  </si>
  <si>
    <t>*Formular requerimientos a interventorías y contratistas según aplique.
*Iniciar el respectivo proceso o procesos sancionatiorios ante  la DTGC. 
*Formular la correspondiente denuncia ante el ente competente.</t>
  </si>
  <si>
    <t xml:space="preserve">
2. Preacuerdos entre contratistas e interventores  y/o personal de supervisión.</t>
  </si>
  <si>
    <t>Que en los pagos efectuados a contratistas  e interventores se contemple  el personal  que no haya cumplido los requisitos de dedicación previstos para el contrato   y/o que el personal  de la interventoría y contratista de obra se encuentre vinculado a proyectos IDU con más  del 100% de dedicación.</t>
  </si>
  <si>
    <t>Detrimento patrimonial
Afectación en la calidad de las
 obras
Afectación de imagen y credibilidad de la entidad.</t>
  </si>
  <si>
    <t xml:space="preserve">
1. La supervisión  IDU lleva control sobre las hojas de vida del personal mínimo de la interventoría.
2. La interventoría lleva control sobre las hojas de vida del personal mínimo del contratista.
3, La supervisión  IDU,  respecto al componente   SST  verifica el pago del personal mínimo de la interventoría.
4. Con base en la información contenida en el SIAC la DTM ejerce control  para que la dedicación del personal  en los contratos  no exceda del 100%.</t>
  </si>
  <si>
    <r>
      <rPr>
        <b/>
        <sz val="8"/>
        <color theme="1"/>
        <rFont val="Arial"/>
        <family val="2"/>
      </rPr>
      <t xml:space="preserve">
1.</t>
    </r>
    <r>
      <rPr>
        <sz val="8"/>
        <color theme="1"/>
        <rFont val="Arial"/>
        <family val="2"/>
      </rPr>
      <t xml:space="preserve"> Se verifica que la dedicación  de los profesionales que conforman el personal mínimo de contratista e interventoría  sea acorde a lo  pactado, y con base en la información contenida en el aplicativo SIAC, igualmente se verifica que dicha dedicación acumulada en los diferentes contratos que participan en la entidad no supere el 100% de dedicación.  
</t>
    </r>
    <r>
      <rPr>
        <b/>
        <sz val="8"/>
        <color theme="1"/>
        <rFont val="Arial"/>
        <family val="2"/>
      </rPr>
      <t xml:space="preserve">2. </t>
    </r>
    <r>
      <rPr>
        <sz val="8"/>
        <color theme="1"/>
        <rFont val="Arial"/>
        <family val="2"/>
      </rPr>
      <t xml:space="preserve"> A través de oficio hacer énfasis  a la interventoría,  que como parte del  Informe Mensual de que trata el numeral 6.2.2.3 del Manual de Interventoría  y/o Supervisión de Contratos del IDU,   se indique en detalle las actividades realizadas por contratista e interventoría  a que se refiere el punto  3.8 - Contenido Informe Mensual , página 40 del  citado manual.</t>
    </r>
  </si>
  <si>
    <t>*Según aplique, se formular los correspondientes requerimientos a contratista, interventoría y/o profesional de apoyo a la supervisión.
*Iniciar el proceso o procesos sancionatorios a que haya lugar ante la DTGC.
*Informar a la Oficina de Control Disciplinario, cuando aplique
*Formular la correspondiente denuncia ante el ente competente.</t>
  </si>
  <si>
    <r>
      <t xml:space="preserve">
1.  No. de registros de profesionales ingresados  al aplicativo SIAC por DTM / No. de nuevos profesionales vinculados a los contratos  de obra e interventoría DTM*100
2. </t>
    </r>
    <r>
      <rPr>
        <b/>
        <sz val="8"/>
        <rFont val="Arial"/>
        <family val="2"/>
      </rPr>
      <t xml:space="preserve"> </t>
    </r>
    <r>
      <rPr>
        <sz val="8"/>
        <rFont val="Arial"/>
        <family val="2"/>
      </rPr>
      <t xml:space="preserve">No. de personas de la plantilla mínima de contratista de obra e interventoría que cuenta con soportes de pago al SGSSI y de cumplimiento de dedicación / No. de personal de plantilla mínima formalmente vinculados a los contratos de obra e interventoría*100
</t>
    </r>
  </si>
  <si>
    <t>EDGAR  FRANCISCO URIBE RAMOS</t>
  </si>
  <si>
    <t>1. Si no existe compromiso de algún mando medio de la Entidad, el Jefe OCI escala con el superior jerárquico el evento presentado para toma de decisiones.
2. Análisis por parte del Comité de Control Interno.
3. Para casos relacionados con la Alta Dirección del Instituto el Jefe OCI deberá reunirse con el Alcalde Mayor  o su delegado donde se analiza la situación presentada y se toman las acciones a seguir.</t>
  </si>
  <si>
    <t>(Informes con restricción para la ejecución de la evaluación / Evaluaciones  Efectuadas en el Período)*100%</t>
  </si>
  <si>
    <t>1. 1. Instructivo INTH06 Inducción Reinducción Entrenamiento Puesto de Trabajo V2.0.
2. Informe Pormenorizado Cuatrimestral en la vigencia 2018. (Actas y documentos asociados al Informe Pormenorizado)
3. Plan de Acción de la vigencia de la Oficina Asesora de Planeación-OAP</t>
  </si>
  <si>
    <t>1. Realizar actividades de coordinación con la OAP, gestionadas por el Jefe OCI, con ocasión de la programación y ejecución del Comité Institucional de Coordinación de Control Interno.</t>
  </si>
  <si>
    <t>1. Instructivo INTH06 Inducción Reinducción Entrenamiento Puesto de Trabajo V2.0. y registros asociados a la ejecución de la actividad.
2. Plan Anual de Auditorías de cada vigencia aprobado por el Comité Institucional de Control Interno y registros asociados a la ejecución de la actividad.</t>
  </si>
  <si>
    <t>1. Actualizar periodicamente el Normograma del  proceso Evaluación y Control, conforme a programación institucional.
2. Revisar periódicamente la documentación del proceso Evaluación y Control frente a la modificación normativa y de conformidad actualizar la normatividad aplicable.
3. Programar y realizar capacitaciones en Auditoría Interna y Dimensión de Control Interno para el equipo evaluador de la OCI, en relación con la nueva normatividad que impacta el quehacer de la auditoría interna.</t>
  </si>
  <si>
    <t>1. Normograma actualizado por la OCI  y publicado en la intranet por la SGJ.
2. Procedimiento "Evaluación Independiente y Auditorías Internas"
3. Plan Institucional de Capacitación PIC de la vigencia.</t>
  </si>
  <si>
    <t>1. Consulta y solicitud de asesoría al DAFP
2. Implementación de los ajustes o conceptos definidos por el DAFP.</t>
  </si>
  <si>
    <t>(Informes que cumplen metodología / Evaluaciones  Efectuadas en el Período)*100%</t>
  </si>
  <si>
    <t xml:space="preserve">2,3 Jefe STRH
1. Control Externo
4, 5 Jefe OCI. </t>
  </si>
  <si>
    <t>1. Decreto de nombramiento del Jefe de Control Interno por parte del Alcalde Mayor de Bogotá.
2 y 3. "INTH18 Ingreso de personal en carrera encargo y o provisionalidad V 5.0".
4. Plan Institucional de Capacitación PIC de la vigencia.
5. PRGC12 Contratacion PSPAG Personas Naturales V 6.0</t>
  </si>
  <si>
    <t>1. FOEC97 Carta de Representación
2. Memorando - ORFEO o Correo Electrónico</t>
  </si>
  <si>
    <t>1. Si no existe compromiso de algún funcionario de la Entidad para entrega de la información, el Jefe OCI escala con el superior jerárquico el evento presentado para toma de decisiones.
2. Análisis por parte del Comité de Control Interno de la situación presentada.</t>
  </si>
  <si>
    <t>(Informes con restricción en suministro de información / Evaluaciones  Efectuadas en el Período)*100%</t>
  </si>
  <si>
    <t>1. Formalizar el Plan de Auditoría para cada auditoría, en el que se registren las actividades, fechas y responsables, especialmente en lo relacionado con la gestión asociada a la entrega y recibo de información e insumos para el proceso auditor.</t>
  </si>
  <si>
    <t>1. Realizar verificaciones en la fuente primaria de los procesos evaluados.
2. Incluir en los alcances de las auditorías la verificación del estado de actualización de los sistemas  de información.</t>
  </si>
  <si>
    <t>1. Procedimiento "Evaluación Independiente y Auditorías Internas"
2. Plan Anual de Auditorías</t>
  </si>
  <si>
    <t>1. Jefe STRH
2, 3, 4. Jefe OCI</t>
  </si>
  <si>
    <t>1. "INTH18 Ingreso de personal en carrera encargo y o provisionalidad V 5.0".
2. Procedimiento "Evaluación Independiente y Auditorías Internas"
3. Plan Institucional de Capacitación PIC de la vigencia.
4. PRGC12 Contratacion PSPAG Personas Naturales V 6.0</t>
  </si>
  <si>
    <t>1. Revisión y ajuste de PAA de la vigencia.
2. Memorando de solicitud de recursos.
3. Gestionar frente el comité de Control Interno las necesidades de recursos.</t>
  </si>
  <si>
    <t>1. Aplicar el procedimiento "Evaluación Independiente y Auditorías Internas" en lo que corresponde a la formulación del Plan Anual de Auditorías, utilizando las herramientas y metodologías recomendadas por el DAFP y las buenas prácticas en auditoría interna.
2. Convocar al  equipo OCI a la formulación del PAA por parte del Jefe OCI.</t>
  </si>
  <si>
    <t>1. Procedimiento "Evaluación Independiente y Auditorías Internas"
2. Correos electrónicos de actividades de formulación del Plan Anual de Auditorías.</t>
  </si>
  <si>
    <t>1. Aplicar el procedimiento "Evaluación Independiente y Auditorías Internas" en lo que corresponde a la formulación del Plan Anual de Auditorías, utilizando las herramientas y metodologías recomendadas por el DAFP y las buenas prácticas en auditoría interna.</t>
  </si>
  <si>
    <t>EVENTO A. RESERVA:
1. Indagación preliminar al funcionario que presuntamente viola la reserva.
2. Producto de un fallo disciplinario donde se reconozca violación de la reserva de un proceso, éste proceso deberá ser reasignado a otro sustanciador.
3. En caso de que se presuma participación por parte del Jefe OCD, se debe informar a los Entes de Control Disciplinario Externos (Procuraduría, Personería).
EVENTO B. EXPEDIENTE:
1. Informar al Jefe OCD u órganos de control disciplinarios Externos para abrir investigación.
2. Ordenar la reconstrucción inmediata del expediente en los medios posibles.
3. Evaluar los impactos posibles sobre le proceso disciplinario del que se pierde el expediente y tomar las acciones que correspondan.</t>
  </si>
  <si>
    <t>Número de eventos de materialización del riesgo en el periodo</t>
  </si>
  <si>
    <t>2. Que el personal de la Oficina a cargo del manejo de expedientes no resguarde al final de la jornada laboral o de la realización de las actividades procesales.</t>
  </si>
  <si>
    <t xml:space="preserve">1. Formato vigente de control de acceso a áreas restringidas
</t>
  </si>
  <si>
    <t>3. Que se difunda la información sometida a reserva legal de los expedientes a cargo de la Oficina.</t>
  </si>
  <si>
    <t>1. Actas de reuniones, directricez y/o correos
2. Formato constancia de notificación personal
3. Contratos de prestación de servicios profesionales</t>
  </si>
  <si>
    <t>1. El Jefe de OCD ordena en un Auto la Prescripción y en el mismo se ordena informar a la Personería de Bogotá y/o Procuraduría.</t>
  </si>
  <si>
    <t>1. Correos electronicos y/o memorias</t>
  </si>
  <si>
    <t>Si la parte interesada se siente afectada puede apelar, y en el fallo de apelación se cambiaría la decisión.
Se podría demandar ante la Justicia Contenciosa Administrativa y se acatará el fallo.</t>
  </si>
  <si>
    <t>1. Inapropiada autoevaluación del control y de la gestión por parte de los dueños de los procesos.
2. Desvío de políticas, objetivos y metas establecidos por la Entidad.
3. Debilitamiento del Sistema de Control Interno.
4. Incumplimiento de objetivos del SCI</t>
  </si>
  <si>
    <t>1. OAP deberá revisar la Metodología con la asesoría de la OCI.
2. Consulta y solicitud de asesoría al DAFP
3. Presentación al Comité de Control Interno de la metodología.
4. Implementación de los ajustes o conceptos.</t>
  </si>
  <si>
    <t>Reportar el evento de riesgo materializado a la STRT , a través del aplicativo ARANDA.</t>
  </si>
  <si>
    <t>Reportar el evento de riesgo materializado al área de Atención al Ciudadano, encargada de la comunicación y atención respecto al tratamiento de datos personales.</t>
  </si>
  <si>
    <r>
      <t xml:space="preserve">Para la actualización del mes de diciembre de 2018, de acuerdo con los análisis realizados por los delegados de la Oficina de Control Interno, de la Oficina Asesora de Planeación y la Oficina de Control Disciplinario, se identificó que el riesgo </t>
    </r>
    <r>
      <rPr>
        <b/>
        <sz val="8"/>
        <color theme="8" tint="-0.249977111117893"/>
        <rFont val="Arial"/>
        <family val="2"/>
      </rPr>
      <t>R. EC-05</t>
    </r>
    <r>
      <rPr>
        <sz val="8"/>
        <color theme="8" tint="-0.249977111117893"/>
        <rFont val="Arial"/>
        <family val="2"/>
      </rPr>
      <t xml:space="preserve"> relacionado con la </t>
    </r>
    <r>
      <rPr>
        <b/>
        <sz val="8"/>
        <color theme="8" tint="-0.249977111117893"/>
        <rFont val="Arial"/>
        <family val="2"/>
      </rPr>
      <t>"inadecuada comunicación de resultados de la evaluación”</t>
    </r>
    <r>
      <rPr>
        <sz val="8"/>
        <color theme="8" tint="-0.249977111117893"/>
        <rFont val="Arial"/>
        <family val="2"/>
      </rPr>
      <t xml:space="preserve"> de acuerdo con los mecanismos adoptados en la vigencia 2018, asociados a la presentación del informe preliminar y la oportunidad que tienen los auditados de presentar observaciones, así como lo establecido en el decreto 648/2017, en relación con la función del comité institucional de coordinación de control interno para que sirva de instancia para resolver las diferencias entre el equipo auditor y los auditados, se considera que este riesgo ya es muy  poco probable que se presente, por lo cual se retira de la matriz de riesgos del proceso.
</t>
    </r>
    <r>
      <rPr>
        <b/>
        <sz val="10"/>
        <color rgb="FF0000FF"/>
        <rFont val="Arial"/>
        <family val="2"/>
      </rPr>
      <t/>
    </r>
  </si>
  <si>
    <t>Cambios anteriores a diciembre 2018
Para la Versión 12/06/2017: De acuerdo con los análisis realizados por los delegados de la Oficina de Control Interno y de la Oficina Asesora de Planeación se identificó un nuevo riesgo asociado a la actividad y producto de Modelo Estándar de Control Interno Autoevaluación Institucional que realiza la Oficina Asesora de Planeación, lo cual no había sido analizado en los procesos de revisión  y actualización de riesgos anteriores. 
El nuevo riesgo identificado se ha registrado con el código R.EC.10, y se ha descrito como "No contar con una adecuada metodología de autoevaluación de control".
2. El riesgo R.EC. 06 se fusionó con el R.EC. 04, el cual fue ajustado en su descripción para incluir lo contenido  en la versión anterior del R.EC. 06. en relación con la insuficiencia de recursos para realizar las evaluaciones por parte de la Oficina de Control Interno.</t>
  </si>
  <si>
    <t>DUEÑO
Riesgo</t>
  </si>
  <si>
    <t>Fallas en  la estructura o de algunos componentes del Sistema Integrado de Gestión.</t>
  </si>
  <si>
    <t>Cambio constante en la normatividad, las normas de gestión, técnicas y lineamientos por parte de los órganos rectores. Que no sean oportunos y adecaudamente implementados.</t>
  </si>
  <si>
    <t>1.  Baja nivel de satisfacicón de los usuarios del productos y servicios IDU
2. Reprocesos de procedimientos.
3. Incumplimiento de normatividad, que puede ocasionar sanciones administrativas y/o disciplinarias.</t>
  </si>
  <si>
    <t>1. Reunión entre Lider SIG y Lideres de Subsistemas, y sus delegados, revisar situación presentada y definir acciones a implementar.
2. Informar al Comité SIG, y presentar acciones para gestionar el evento, el comité podrá confirmar las estrategias a seguir.
3. Ejecutar Acción correctiva, de mejora o gestión del cambio del SIG.</t>
  </si>
  <si>
    <t>5. Publicación de los documentos del SIG en la intranet, para consulta de los servidores públicos.
6. Proceso de Inducción y reinducción donde se incluye contenido del SIG.</t>
  </si>
  <si>
    <t>7.Ejercicios de Autocontrol periodicos Aplicación del procedimiento de información documentada y de la guía de documentación del SIG.
8. Usos del sistema de información documentada.</t>
  </si>
  <si>
    <t>Registros de Actualización documental.
Documentos del SIG.</t>
  </si>
  <si>
    <t>1. PRTH05 REPORTE E INVESTIGACIÓN DE INCIDENTES Y ACCIDENTES DE TRABAJO.
2.  PRTH07 PRESTACIÓN DE PRIMEROS AUXILIOS.
3. FOAC17 REPORTE DE ACTOS Y CONDICIONES INSEGURAS.
4.  FOAC36 CONTROL Y SEGUIMIENTO DE PRIMEROS AUXILIOS ATENDIDOS.
5. FOGIP065 INVESTIGACIÓN Y AT DE INCIDENTES.</t>
  </si>
  <si>
    <t>Divulgación o sustracción de información confidencial asocida a SST del personal del IDU.</t>
  </si>
  <si>
    <t>Ausencia o deficiencia de los puntos de control en la administración de la información personal.</t>
  </si>
  <si>
    <t xml:space="preserve">Inclumplimiento legal (ley de protección de datos)
Reclamaciones de los titulares de los datos
Afectación al buen nombre de la entidad
Pérdida de confidencialidad de la información.
</t>
  </si>
  <si>
    <t xml:space="preserve">1. Realizar las respectivas investigaciones de donde se filtró la información.
2. Realizar las investigaciones para detectar los responsables.
3. Ejecutar el debido proceso disciplinario ante los responsables.
4. Establecer puntos de control para  que no vuelva a suceder dicho acto.
</t>
  </si>
  <si>
    <t>Número de eventos o reclamos presentados por sustracción o divulgación de información confidencial.</t>
  </si>
  <si>
    <t>3. Almacenamiento de información según los lineamientos vigentes.</t>
  </si>
  <si>
    <t>Desconocimiento de la reserva por parte de las personas que manejan la información confidencial.</t>
  </si>
  <si>
    <t>4. Sensibilización a los usuarios del proceso sobre verificación del estado actual de los computadores asignados.</t>
  </si>
  <si>
    <t>$</t>
  </si>
  <si>
    <t xml:space="preserve">JEFE OFICINA ASESORA 
DE PLANEACIÓN </t>
  </si>
  <si>
    <t xml:space="preserve">SUBDIRECTOR
 GENERAL </t>
  </si>
  <si>
    <t>Omitir responsabilidades, manipular controles, procedimientos y documentos del SIG a través del uso indebido del poder para beneficiar a un tercero.</t>
  </si>
  <si>
    <t>1. Investigaciones disciplinarias.
2. Perdida de recursos (Detrimento patrimonial).
3. Deterioro de la imagen institucional 
4. Pérdida de credibilidad en el SIG.
4, Pérdida de trazabilidad de la documentación del SIG.
5. Reprocesos.</t>
  </si>
  <si>
    <t>1. Aplicación del procedimiento de Gestión de la Información Documentada y de la guía de documentación, cuenta con diferentes puntos de control entre los que se destacan: revisión y aprobación por parte de los responsables de los procesos y validación por parte de la jefatura de la OAP quien analiza la pertinencia de creación o derogación de los documentos.
2. Para la elaboración o modificación de  manuales adicional a los controles anteriores se requiere la aprobación por acto administrativo de la Dirección General, aclarando que este acto administrativo aplica a los  manuales que vinculan a un externo de la entidad.
3. Comité Institucional de Gestión y Desempeño, para revisión y aprobación del Sistema Integrado de Gestión.
4. Uso del sistema documental para control de la información donde se registran las solicitudes, validaciones, revsiones y aprobaciones.
5. Auditorías internas a los procesos cuyo criterio son los procedimeintos y demas documentación del SIG.</t>
  </si>
  <si>
    <t xml:space="preserve">1. Validación por parte de la OAP (profesionales y jefe) de la documentación a implementar en el SIG, verificando adecuación con respecto al Sistema Integrado de Gestión y su integración con la estructura organizacional del IDU. 
2. Revisiones y aprobación del Sistema Integrado de Gestión por parte del Comité de Gestión y desempeño. </t>
  </si>
  <si>
    <t>1. Registros de revsiones y aprobaciones del Sistema de información documental
2. Resoluciones
3. Memorandos
4. Actas de reunión para modificación de documentos.
5. Actas de reunión de comité GyD</t>
  </si>
  <si>
    <t>OAP - SGGC - SGDU</t>
  </si>
  <si>
    <t>1. Informar al lider del proceso quien determinará las correcciones para la intervención del documento.
2. Ejecutar las acciones definidas.
3. Informar a OCD para la investigación disciplinaria correspondiente.</t>
  </si>
  <si>
    <t>JEFE  OCI</t>
  </si>
  <si>
    <t>1. Revisión del informe no conforme y  reasignación de  nuevo equipo auditor responsable.
2. Informar la presunta comisión de falta disciplinaria, contravención o delito al ente u organismo que corresponda.</t>
  </si>
  <si>
    <t>1. Negligencia por parte de la Alta Dirección y/o de los auditados.
2. Deseo de obtener una ventaja para si o para un tercero. 
3. Intención de desviar posibles responsabilidades derivadas de los informes de auditoría.
4. Imprecisión y/o inoportunidad intencionadas en la entrega de
información por parte del
auditado
5. Que la Alta Dirección y/o los potenciales auditados interfieran en la planeación de las auditorías, de manera que impidan su programación o realización</t>
  </si>
  <si>
    <t>1. Comunicaciones a las autoridades pertinentes</t>
  </si>
  <si>
    <t>1. Comunicaciones a las autoridades pertinentes.
2. Informar la presunta comisión de falta disciplinaria, contravención o delito.</t>
  </si>
  <si>
    <t>1. Comunicaciones a las autoridades pertinentes
2. Informar la presunta comisión de falta disciplinaria, contravención o delito.</t>
  </si>
  <si>
    <t>1-Pérdida intencionada de información
2- Indebido Interés en un proceso disciplinario.
3-Acceso a los expedientes de los procesos disciplinarios por personal no autorizado</t>
  </si>
  <si>
    <t>JEFE  OCD</t>
  </si>
  <si>
    <t>1. El Jefe de OCD ordena en un Auto la Prescripción o Caducidad y en el mismo se ordena informar a la Personería de Bogotá y/o Procuraduría.</t>
  </si>
  <si>
    <t>1. Planilla de control
2. Radicados de Orfeo
3. Informes de entrega de asuntos a cargo por parte de los abogados de la OCD</t>
  </si>
  <si>
    <t xml:space="preserve"># Expedientes identificados con pérdida de documentos / # de expedientes abiertos a la fecha de corte. * 100%
</t>
  </si>
  <si>
    <t xml:space="preserve">No contar con el plan de mejoramiento institucional consolidado dentro de los plazos establecidos por el ente de control. </t>
  </si>
  <si>
    <t>1. Informar al Director General las causas por las que se presenta el incumplimiento. Tomar las correcciones que corresponda y junto con la OCI y las dependencias involucradas establecer el plan de mejoramiento pendiente.
2. Transmitir  al Ente de Control el plan de mejoramiento.</t>
  </si>
  <si>
    <t>1. La OCI debe requerir a la dependecia que incumple el plan.
2. La dependencia a cargo del PM, deberá gestionar de manera inmediata el cumplimiento del mismo   
3. Presentar al Comité Institucional de Control Interno los resultados de los seguimientos para que se adopten las medidas necesarias.</t>
  </si>
  <si>
    <t>1. Modelos de Gestión poco efectivos que impactan la eficiencia, eficacia y efectividad de los procesos y productos que presta el IDU.
2. Incumplimiento de normatividad, que puede ocasionar sanciones administrativas o disciplinarias.</t>
  </si>
  <si>
    <t>1. PR-MC-01 Formulación monitoreo y seguimiento a planes de mejoramiento interno y o por procesos.</t>
  </si>
  <si>
    <t>1. la OCI debe requerir a la dependecia para que defina nuevamente un plan de mejoramiento.
2. La dependencia a cargo del PM, deberá realizar un nuevo análisis de causas y formular nuevo plan de mejoramiento.</t>
  </si>
  <si>
    <t>1. Procedimiento Elaboración Anteproyecto del Presupuesto
2. Procedimiento PRMC01 formulación monitoreo  y seguimiento a planes de  mejoramiento interno y  o  por procesos
3. Aplicación del procedimiento PR-PE-01 modificaciones presupuestales.</t>
  </si>
  <si>
    <t>1. La OCI ó la dependencia que identifica el desvío del concepto de asesoría, deberá aclararle a la otra parte el propósito de la asesoría.</t>
  </si>
  <si>
    <t>1. Elaboración del flash disciplinario y envío mensual por correo electrónico a toda la Entidad por parte de la Oficina, y de la solicitud de su divulgación a través de otros medios por parte de la OAC.
2. El envío de recomendaciones por parte de la OCD a las diversas dependencias del Instituto se hará cuando así se ordena dentro de un proceso disciplinario. El control de su cumplimiento será el expediente en donde se ordenó emitir la recomendación.
3. Las actividades de promoción y prevención correspondientes a inducciones y capacitaciones se realizan de conformidad con los requerimientos y programación dispuestos por la STRH y la Dirección Distrital de Asuntos Disciplinarios de la Alcaldía Mayor de Bogotá, sobre lo cual se deja el correspondiente registro de participación, tanto de servidores públicos, como de contratistas
4. Informe ejecutivo enviado a la Dirección General advirtiendo presuntos riesgos que requieren ser conocidos y neutralizados a través de directrices.</t>
  </si>
  <si>
    <t>1. La OCD debe definir y ejecutar un Plan de Prevención disciplinaria para el Instituto.
2. Informar a la OCI sobre las recomendaciones que se produzcan dentro de los procesos disciplinarios.</t>
  </si>
  <si>
    <t>Reportar el evento de riesgo materializado a la STRT , a través del aplicativo ARANDA</t>
  </si>
  <si>
    <t>1. En reunión con las áreas involucradas realizar la revisión detallada de las acciones y/o controles cuyo riesgo se materializó y determinar las correcciones necesarias para asegurar los procesos ó productos y servicios afectados.
2. Informar a la OCD para que evalue la actuación disciplinaria que corresponda.</t>
  </si>
  <si>
    <t>JEFE OAP</t>
  </si>
  <si>
    <t>1. Informar a la Alcaldía Mayor el evento presentado.
2. Informar al Ente Externo correspondiente para investigación.
3. Analizar con el Comité de Control Interno las acciones de corrección que corresponda y gestionar su cumplimiento.</t>
  </si>
  <si>
    <t xml:space="preserve"># de riesgos materializados en el periodo. </t>
  </si>
  <si>
    <t xml:space="preserve"> SGJ  -  DTGJ</t>
  </si>
  <si>
    <t xml:space="preserve">Tomar las acciones jurídicas correspondientes para remediar la violación de los terminos judiciales y extrajudiciales, que se hayan dado por no haber recibido la información oportunamente. </t>
  </si>
  <si>
    <t>Número de solicitudes atendidas / Número de solicitudes realizadas por la DTGJ * 100%.</t>
  </si>
  <si>
    <t>* Perdida de memoria institucional 
* Fallos desfavorables al IDU por no contar con la continuidad y dedicación de los procesos</t>
  </si>
  <si>
    <t>1. Identificación del recurso humano requerido en el Plan de contratación de apoyo a la gestión. 
2. Solicitar a la SGGC, la priorización de la contratación para la defensa judicial de la entidad.
3. Plan de contratación de apoyo a la gestión. Presupuesto anual.
4. El vencimiento de los contratos de prestación de servicios de los abogados se programa para coincidir con la vacancia judicial.</t>
  </si>
  <si>
    <t>* Plan de Contratación
* Informes de gestión de los apoderados
* Minuta del Contrato</t>
  </si>
  <si>
    <t>Se asignan los procesos al personal de planta y se solicita a SGGC dar prioridad con la contratación de la DTGJ.</t>
  </si>
  <si>
    <t>Número de procesos con apoderado asignado / Número de procesos notificados a la entidad * 100%.</t>
  </si>
  <si>
    <t>Adelantar las acciones inmediatas para proceder con el pago incluido los intereses de la sentencia impuesta, e informar a la OCD para que inicia las investigaciones pertinentes.</t>
  </si>
  <si>
    <t xml:space="preserve">Número de casos en los que se excedió el término para el pago de sentencias / Número de pagos realizados por la entidad * 100%. </t>
  </si>
  <si>
    <t>Continúas caídas de la red que impiden ingresar al aplicativo SIPROJ,  perjudicando la ejecución normal de las actividades.
No cumplimiento de los terminos para la actualización del SIPROJ.</t>
  </si>
  <si>
    <t>Observación por parte del supervisor del contrato o jefe del área al apoderado, exigiendo el cumplimiento de la obligación contractual.</t>
  </si>
  <si>
    <t>1. Comunicación por parte de Tesoreria de la fecha efectiva del pago. 
2. Ingreso al aplicativo SIPROJ de los documentos relacionados con el pago e información vía correo electronico al abogado a cargo.
3. Seguimiento de los pagos realizados por parte de los apoderados de la DTGJ.</t>
  </si>
  <si>
    <t>Reporte a la Procuraduría General de la Nación a Control Interno Disciplinario y Consejo Superior de la judicatura. Y mantener estricto Control de los pagos realizados frente a las fichas presentadas para la toma de decisión de iniciar o no la acción de repetición./ Reporte a Control disciplinario.</t>
  </si>
  <si>
    <t xml:space="preserve">Número de procesos perdidos o alterados / Número de procesos * 100%.  </t>
  </si>
  <si>
    <t>1. Elaborar o tramitar el contrato y/o modificaciones.
2. Revisar las causas que dieron origen a la demora.</t>
  </si>
  <si>
    <t>No. Solicitudes de tramite y/o modificación de contratos elaboradas dentro de los tiempos establecidos.  /   No. Total de solicitudes de tramite y/o modificación de contratos.</t>
  </si>
  <si>
    <t xml:space="preserve">1. Proyectar los actos administrativos correspondientes.
</t>
  </si>
  <si>
    <t xml:space="preserve">Pantallazos de los documentos que se publican en SECOP
Memorandos 
ORFEO / Correos Electrónicos.
Memorandos de instrucción jurídica
ORFEO, Correo electrónico"
 Plataforma de correo electrónico institucional
Plataforma ARANDA
Plataforma ORFEO
Acto administrativo del reconocimiento de la contingencia
Correos electrónico a Colombia Compra Eficiente.
</t>
  </si>
  <si>
    <t>1. Realizar la publicación correspondiente
2. Jornada de sensibilización sobre la responsabilidad de las publicaciones</t>
  </si>
  <si>
    <t>Publicaciones realizadas en términos legales.   /   Total de publicaciones.</t>
  </si>
  <si>
    <t>1. Tramitar el proceso de selección</t>
  </si>
  <si>
    <t>Pliegos definitivos elaborados a tiempo. / total de solicitudes realizadas.</t>
  </si>
  <si>
    <t>1. Declarar desierto el proceso de selección
2. Tramitar un nuevo proceso de selección con la autorización del ordenador del gasto.</t>
  </si>
  <si>
    <t>No. De procesos desiertos.  /  No. Total de procesos tramitados.</t>
  </si>
  <si>
    <t>EVALUACION DE LOS PROCESOS DE SELECCIÓN</t>
  </si>
  <si>
    <t>1. Informar la novedad al área correspondiente.
2. Informar a los organismos de control que correspondan.</t>
  </si>
  <si>
    <t>No. De eventos reportados.  /  No. De eventos ocurridos.</t>
  </si>
  <si>
    <t>No. De eventos reportados. /  No. De eventos ocurridos.</t>
  </si>
  <si>
    <t>1. Recurrir a los Activos de Información.</t>
  </si>
  <si>
    <t>1. Aplicar el plan de continuidad del negocio</t>
  </si>
  <si>
    <t>No. de eventos en los que se aplica el plan de continuidad del negocio.   /  Total de eventos relacionados con la imposibilidad de uso de equipos de cómputo.</t>
  </si>
  <si>
    <r>
      <rPr>
        <b/>
        <i/>
        <sz val="8"/>
        <rFont val="Arial"/>
        <family val="2"/>
      </rPr>
      <t>OBSERVACIONES</t>
    </r>
    <r>
      <rPr>
        <i/>
        <sz val="8"/>
        <rFont val="Arial"/>
        <family val="2"/>
      </rPr>
      <t>: I</t>
    </r>
  </si>
  <si>
    <r>
      <rPr>
        <b/>
        <sz val="8"/>
        <color theme="1"/>
        <rFont val="Arial"/>
        <family val="2"/>
      </rPr>
      <t xml:space="preserve">1. </t>
    </r>
    <r>
      <rPr>
        <sz val="8"/>
        <color theme="1"/>
        <rFont val="Arial"/>
        <family val="2"/>
      </rPr>
      <t xml:space="preserve">Falta de idoneidad y/o desconocimiento de procedimientos y normas por parte servidores públicos  y contratistas de prestación de servicios que propicie la injerencia indebida de terceros en desarrollo de los proceso de selección.
</t>
    </r>
    <r>
      <rPr>
        <b/>
        <sz val="8"/>
        <color theme="1"/>
        <rFont val="Arial"/>
        <family val="2"/>
      </rPr>
      <t>2.</t>
    </r>
    <r>
      <rPr>
        <sz val="8"/>
        <color theme="1"/>
        <rFont val="Arial"/>
        <family val="2"/>
      </rPr>
      <t xml:space="preserve"> Intervención colusiva de los directivos, funcionarios y/o contratistas  que intervienen en el proceso de selección con personas ajenas a la entidad para favorecer la adjudicación del proceso de selección.
</t>
    </r>
    <r>
      <rPr>
        <b/>
        <sz val="8"/>
        <color theme="1"/>
        <rFont val="Arial"/>
        <family val="2"/>
      </rPr>
      <t xml:space="preserve">3. </t>
    </r>
    <r>
      <rPr>
        <sz val="8"/>
        <color theme="1"/>
        <rFont val="Arial"/>
        <family val="2"/>
      </rPr>
      <t xml:space="preserve">Establecimiento de condiciones técnicas, reglas o parámetros diversos en la estructuración técnica de los procesos de selección que permiten direccionar su adjudicación.
</t>
    </r>
    <r>
      <rPr>
        <b/>
        <sz val="8"/>
        <color theme="1"/>
        <rFont val="Arial"/>
        <family val="2"/>
      </rPr>
      <t>4.</t>
    </r>
    <r>
      <rPr>
        <sz val="8"/>
        <color theme="1"/>
        <rFont val="Arial"/>
        <family val="2"/>
      </rPr>
      <t xml:space="preserve"> Indebida aplicación de los criterios de evaluación, por omisión o por acción asociada a desconocimiento o favorecimiento de un tercero.
</t>
    </r>
    <r>
      <rPr>
        <b/>
        <sz val="8"/>
        <color theme="1"/>
        <rFont val="Arial"/>
        <family val="2"/>
      </rPr>
      <t>5.</t>
    </r>
    <r>
      <rPr>
        <sz val="8"/>
        <color theme="1"/>
        <rFont val="Arial"/>
        <family val="2"/>
      </rPr>
      <t xml:space="preserve"> Uso indebido del poder y/o acción u omisión que permita la adjudicación a un proponente incurso en causal de inhabilidad.</t>
    </r>
  </si>
  <si>
    <t>Que por acción u omisión en la aplicación de los procedimientos y/o inobservancia de las competencias y funciones establecidas en la dependencia y/o por uso indebido del poder se adelanten procesos de selección direccionados para favorecer a un particular</t>
  </si>
  <si>
    <t xml:space="preserve">1. Detrimento Patrimonial
2. Investigaciones disciplinarias, fiscales y/o penales
3. Necesidades no satisfechas
4. No ejecución del contrato
5. Acciones judiciales en contra del instituto.
6. Incumplimiento de las obligaciones contractuales en la ejecución del contrato.
7. Perdida de confianza y credibilidad ante la comunidad y partes interesadas.
</t>
  </si>
  <si>
    <t>Continuar con la celebración de sesiones del Comité de Contratación y/o el que haga sus veces, con el fin de determinar políticas de contratación que se verán reflejadas en los modelos de pliegos de condiciones por modalidad de selección, manual de gestión contractual,  y/o  en los procedimientos del proceso de gestón contractual, que según el caso serán debidamente socializados y aplicados.
Respaldo de inhabilidades: en el término de evaluación de los procesos de selección, particularmente en desarrollo de la evaluación legal verificar RUP, antecedentes penales, fiscales y/o disciplinarios y consulta a la  DTGC  y declaración de los oferentes en sus propuestas.</t>
  </si>
  <si>
    <t>1. Actas de mesas de trabajo para estructuración de procesos. 
2. Actas de Comité de Contratación.
3. Modelos de pliegos de condiciones por modalidad de selección estandarizados y arprobados por el Comité de Contratación.
4. Procedimientos y formatos del proceso de Gestión Contractual implementados y aplicados
5. Solicitud  de ajustes de los documentos previos al área técnica mediante memorando (ORFEO).
6. Actas de recomendación de adjudicación al ordenador del gasto por parte del Comité Evaluador.
7. Certificaciones emitidas por la DTGC para verificar inhabilidad.
8. Evaluación legal</t>
  </si>
  <si>
    <t>1. Presentar las evidencias que de a lugar
2. Formular plan de tratamiento</t>
  </si>
  <si>
    <t xml:space="preserve">Número de procesos con observaciones que contegan requisitos atípicos. / Total de procesos recibidos en el período.
Evaluaciones legales finales publicadas. / Evaluaciones legales finales programadas según cronogramas.
</t>
  </si>
  <si>
    <t>Complicidad de  los servidores públicos   y/o contratistas de prestación de servicios de la DTPS y de las áreas estructuradoras en el uso indebido de la información del proceso de selección 
Deficiencias en el control de la información de los procesos de selección</t>
  </si>
  <si>
    <t>1. Investigaciones disciplinarias, fiscales y/o penales
2. Acciones judiciales en contra del Instituto.
4. Adjudicación irregular o ilegal
5. Mala imagen de la entidad ante la comunidad y partes interesadas
6. Desconfianza del mercado</t>
  </si>
  <si>
    <t xml:space="preserve">1. Minuta tipo de contrato de prestación de servicios. 
2. Planilla de registro de ingreso al área restringida DTPS.
3. Solicitud de perfiles de usuarios codificados a la STRT
4. Formato de designación de evaluadores. 
</t>
  </si>
  <si>
    <t>1. El supervisor del contrato tramitará la documentación relacionada con el proceso sancionatorio para notificar al ordenador del gasto. 
2. Hacer efectiva la cláusula de confidencialidad en los contratos PSP
3. Para los casos de presentarse con el pesonal de planta, se informará a la OCD</t>
  </si>
  <si>
    <t xml:space="preserve">Divulgación de procedimientos de DTPS realizados (presentaciones, correos o memorando)
___________
Divulgación trimestral de políticas y/o  procedimientos de DTPS que incluyan políticas de confidencialidad
</t>
  </si>
  <si>
    <t>Maniobras dilatorias de quienes tienen a su cargo el trámite de los documentos precontractuales (contratistas y/o servidores públicos) que conllevan a la publicación extemporánea de estos documentos.
Acuerdos entre personal del IDU (servidores públicos y/o contratistas de prestación de servicios) y proponentes para no publicar oportunamente la información del proceso de contratación.</t>
  </si>
  <si>
    <t>1. Investigaciones disciplinarias, fiscales y penales
2. Adjudicación irregular o ilegal
3. Acciones judiciales en contra del Instituto
4. Desconfianza del mercado</t>
  </si>
  <si>
    <t>1. Publicar inmediatamente</t>
  </si>
  <si>
    <t xml:space="preserve">Número de procesos con publicación de documentos por fuera de tiempo. / Número de procesos con publicación de documentos del periodo.
</t>
  </si>
  <si>
    <t>1. Investigaciones disciplinarias, fiscales y penales
2. Acciones judiciales en contra del Instituto
3. Impacto reputacional del instituto en cuanto la perdida de confianza y credibilidad.</t>
  </si>
  <si>
    <t>1. Informar inmediatamente por escrito a la dependencia competente</t>
  </si>
  <si>
    <t xml:space="preserve">No. Contratos de prestación  suscritos en el periodo.
</t>
  </si>
  <si>
    <t>Incumplimiento de los procedimientos internos y de la normatividad vigente, por omisión o desconocimiento.
No identificación previa de las competencias y requisitos adecuados que deba cumplir un perfil para la contratación.
Falsedad en los documentos requeridos para el perfeccionamiento del contrato.</t>
  </si>
  <si>
    <t>1. Investigaciones Disciplinarias 
2. Contratación de personal no idóneo para la ejecución del objeto 
3. Incumplimientos contractuales
4. Reprocesos adminsitrativos
5. Impacto reputacional del instituto en cuanto la perdida de confianza y credibilidad.</t>
  </si>
  <si>
    <t>1. Plan anual de adquisiciones.
2. Procedimiento actualizado y estandarizado para la contratación de servicios profesionales y de apoyo a la gestión.
3.Validación  del objeto por parte de la DTGC y las obligaciones especificas contemplados en los estudios y documentos previos. 
4. Certificado de Idoneidad y experiencia.
5. Revisión y validación por parte del abogado de la documentación soporte de la contratación de acuerdo con la lista de chequeo para la legalización de contratos.
6. Jornadas de capacitación internas de los procedimientos del área.
7. Revisión periódica de la normatividad aplicable a la contratación estatal y actualización de la documentación soporte del Proceso de Gestión Contractual.</t>
  </si>
  <si>
    <t>1. Informar inmediatamente al ente competente</t>
  </si>
  <si>
    <t xml:space="preserve">Número de contratos suscritos sin el lleno de requisitos. / Total de contratos suscritos en el periodo.
</t>
  </si>
  <si>
    <t>1. Investigaciones Disciplinarias, fiscales y/o penales.
2. Sobrecosto de los proyectos.
3. Impacto reputacional del instituto en cuanto la perdida de confianza y credibilidad.</t>
  </si>
  <si>
    <t xml:space="preserve">1. Aplicación del Procedimiento de Modificación y cesión de contratos estatales.
2. Aplicación del formato estandarizado Lista de chequeo verificación documental de contratación.
3. Actualización del normograma, publicación y  socialización de este.
</t>
  </si>
  <si>
    <t>1. Revisión de las solicitudes y verificación de los soportes técnicos y financieros por parte del abogado asignado para la elaboración de la modificación y del Director (a) Técnico (a) de Gestión Contractual. 
2. Implementación de SECOP II</t>
  </si>
  <si>
    <t xml:space="preserve">Número de hallazgos u observaciones realizados por entes de control y la OCI de modificaciones contractuales realizadas sin el lleno de requisitos legales en el periodo a reportar.
</t>
  </si>
  <si>
    <t>Número denuncias, quejas y/o hallazgos u observaciones realizados por funcionarios, ciudadanos o entes de control o de la OCI, sobre inconsistencias de las minutas frente a la documentación del proceso adjudicado.</t>
  </si>
  <si>
    <t>1 Detrimento Patrimonial.
2. Investigaciones disciplinarias.
3. Pérdida de credibilidad del IDU ante la ciudadanía.</t>
  </si>
  <si>
    <t>1. Aplicación del procedimiento de Conciliación Prejudicial y Judicial. (Generación de Ficha de conciliación, Concepto Técnico y Actas de Comité de Conciliación).
  2. Alimentar el sistema de información de la Alcaldía SIPROJ.   
3. Archivos Físicos por expediente</t>
  </si>
  <si>
    <t>1. Realización de Comités y Precomites de Conciliación.
2. Comites de Autocontrol y Seguimiento.</t>
  </si>
  <si>
    <t>1. Actas de Comité.
2. Ficha de Análisis de Sentencias.
    3.Expediente fisico.</t>
  </si>
  <si>
    <t>JOSÉ FERNANDO SUÁREZ VENEGAS - DTGJ</t>
  </si>
  <si>
    <t>Envíar la queja al Consejo Superior de la Judicatura. Si es funcionario informar a OCD para las investigaciones disciplinarias. Si el proceso no ha prescrito se otorga poder a otro abogado para que lo inicie.</t>
  </si>
  <si>
    <t xml:space="preserve">Número denuncias, quejas, conocimiento de oficios e informes de auditoría asociados con actos de corrupción tramitados  /  Número de denuncias, quejas, conocimiento de oficio e informes de auditoría recibidos asociados con actos de corrupción  * 100%.
</t>
  </si>
  <si>
    <t>Acuerdos entre servidores públicos y terceros.</t>
  </si>
  <si>
    <t>Manipular  o divulgar información  de las ofertas realizadas por los bancos al momento de efectuar inversiones, a cambio de prerrogativas, o favores a los servidores públicos.</t>
  </si>
  <si>
    <t xml:space="preserve">1. Pérdida de recursos públicos
2. Investigaciones disciplinarias y/o fiscales
3. Mala imagen de la entidad ante el sector financiero y la comunidad.
</t>
  </si>
  <si>
    <t>1. Comunicados con los bancos (email, audios)
2. Actas de inversión y del Comité  de Control financiero, contable y de inventarios.
3, Oficios de Instrucción  al emisor.</t>
  </si>
  <si>
    <t>Poner en conocimiento de las Oficinas de Control Interno y Control Disciplinario, para el inicio de las acciones que correspondan.</t>
  </si>
  <si>
    <t>Captura manual,  aplicación y/o reversión por parte de los usuarios del sistema valoricemos en la Subdirección Técnica de Tesorería y Recaudo y/o en la Subdirección Técnica de Operaciones y/o por parte del administrador del sistema.</t>
  </si>
  <si>
    <t xml:space="preserve">1. Investigaciones disciplinarias y/o fiscales.
2. No recaudo de recursos por concepto de valorización.
3. Pérdida de Información.
4. Perdida de credibilidad de la entidad.
5. Afectación de la ejecución de los proyectos por falta de recursos.  </t>
  </si>
  <si>
    <t xml:space="preserve">1. FO-GAF-005 
Conciliación Bancaria
2. Informe diario de caja 
3. Reportes de. Anulación de Pagos y Consolidado de Ingresos Tesorería, generados en el Sistema de VALORICEMOS . 
4. Procedimiento PR-GF-05 Recaudo.
</t>
  </si>
  <si>
    <t xml:space="preserve">Número de quejas, denuncias y/o no conformidades en los informes de auditoría, sobre la manipulación de la información en el Sistema VALORICEMOS en la aplicación y/o reversión de pagos.
</t>
  </si>
  <si>
    <t>STTR , STPC</t>
  </si>
  <si>
    <t>Solicitar la apertura de una investigación a la Oficinas de Control Interno y Control Disciplinario.</t>
  </si>
  <si>
    <t>Número de quejas, oficios, denuncias y/o no conformidades en los informes de auditoría, sobre el tramite pagos con documentos  incompletos, falsos o adulterados y/o de violación del turno.</t>
  </si>
  <si>
    <t>1. Informar al Subdirector Técnico de Presupuesto y Contabilidad, Director Técnico Administrativo y Financiero y al Subdirector General de Gestión Corporativa.
2. Se toman las acciones y/o correcciones pertinentes de acuerdo al caso.</t>
  </si>
  <si>
    <t>Número de quejas, denuncias y/o no conformidades en los informes de auditoría, sobre la alteración de la destinación inicial de los recursos.</t>
  </si>
  <si>
    <t>Realizar una aplicación incorrecta o inoportuna del recaudo en el sistema Valoricemos.</t>
  </si>
  <si>
    <t>Subdirección Técnica de Tesorería y Recaudo</t>
  </si>
  <si>
    <t>1. Cambios del administrador del portal bancario</t>
  </si>
  <si>
    <t>Técnico, Profesional, Contratista, Subdirector</t>
  </si>
  <si>
    <t>1. Los funcionarios encargados de validar la aplicación del recaudo en el sistema de información Valoricemos deben Identificar y analizar las causas de la incorrecta o inoportuna aplicación.
2. Una vez detectadas las causas, El Subdirector Técnico de Tesorería y Recaudo autoriza las correcciones a través de un memorando con los soportes de la operación.
3. Con base en el memorando, el funcionario encargado de la aplicación del recaudo en el sistema de información  valoricemos debe realizar las modificaciones correspondientes.</t>
  </si>
  <si>
    <t xml:space="preserve">Número de quejas, denuncias y/o no conformidades en los informes de auditoría, sobre la manipulación de la información en el Sistema VALORICEMOS en la aplicación y/o reversión de pagos.
</t>
  </si>
  <si>
    <t>Observaciones o cambios presentados en:
Riesgo:
Causas:
consecuencias:
Controles:
Acciones de contingencia:
Indicador:
Otros:</t>
  </si>
  <si>
    <t>2. Error en la expedición de facturas de valorización por falta de revisión de la información</t>
  </si>
  <si>
    <t>Técnico, profesional</t>
  </si>
  <si>
    <t>Técnico</t>
  </si>
  <si>
    <t>1. Reportar incidencia en Aranda.
2. Sí en alguna oficina o Banco no está habilitado el sistema para la recepción del pago, los contribuyentes se deben remitir a otras oficinas o entidades bancarias habilitadas descritas en el reverso de la factura.
3. Informar en la página web del IDU la novedad de recepción de pagos en las entidades bancarias y los bancos u oficinas disponibles para la recepción de pagos.</t>
  </si>
  <si>
    <t>Disponibilidad insuficiente de los recursos para atender las obligaciones con terceros.</t>
  </si>
  <si>
    <t>1. Incumplir con el cronograma establecido para la programación y reprogramación el PAC.</t>
  </si>
  <si>
    <t>1. Solicitud de ampliación de fechas para requerir recursos a la Secretaría de Hacienda Distrital.
2. Solicitud de adición de PAC a la Secretaría Distrital de Hacienda con base en las solicitudes de los ordenadores del gasto.</t>
  </si>
  <si>
    <t>Número de solicitudes de adición de PAC, a la Secretaria Distrital de Hacienda.</t>
  </si>
  <si>
    <t>2. Desconocimiento o no aplicación de los procedimientos por parte de las áreas usuarias, al igual que la alta rotación de personal de apoyo a la gestión.</t>
  </si>
  <si>
    <t xml:space="preserve">3. Pagos no incluidos en la programación mensual reportada por las áreas </t>
  </si>
  <si>
    <t>4. Fallas en el módulo PAC del sistema de información- Stone al momento de cargar la información de las áreas ejecutoras</t>
  </si>
  <si>
    <t>1. Desconocimiento o no aplicación de procedimiento Traslado entre cuentas bancarias</t>
  </si>
  <si>
    <t>1. Socialización interna de procedimientos, capacitaciones, actualizaciones.
2. Verificación de la reciprocidad.
3. Aplicación del procedimiento Traslados entre cuentas Bancarias</t>
  </si>
  <si>
    <t>1. Solicitar a las entidades financieras la realización de los traslados mediante oficio. La comunicación debe cumplir las  condiciones de manejo registradas en las cuentas (protectografo, sello húmedo y firmas autorizadas).</t>
  </si>
  <si>
    <t>(No. de traslados realizados oportunamente / No. de traslados realizados en el periodo) X100 %</t>
  </si>
  <si>
    <t>2. Errores en los registros de información financiera - STONE
Errores en los registros del cuadro de recaudo diario</t>
  </si>
  <si>
    <t>3. Fallas en los portales bancarios</t>
  </si>
  <si>
    <t>4. Cambios del administrador del portal bancario</t>
  </si>
  <si>
    <t>1. Que las inversiones se realicen por fuera de las políticas establecidas para el IDU, de acuerdo con lo publicado en la página web de la Secretaria de Hacienda Distrital en materia de inversión.</t>
  </si>
  <si>
    <t>1. Aplicación de la Política establecida por la Secretaría Distrital de Hacienda - SDH. 
2. Consulta continua en la web de la SDH para determinar el ranking de los bancos. 
3. Realización del Comité de Seguimiento y Control Financiero.
4. Aplicación del protocolo de seguridad establecido mediante  Resolución SDH-314 de sep-30 de 2009 " Por el cual se adopta el Protocolo de Seguridad para las Tesorerías de las Entidades Descentralizadas que conforman el Presupuesto Anual del Distrito Capital".
5. Aplicación del procedimiento PR-GF-04 Administración de Inversiones de Tesorería.</t>
  </si>
  <si>
    <t>1. Resolución SDH 073 5 de junio de 2018, por medio de la cual se establecen políticas y lineamientos de inversión ..."
2. Resolución 6315 de 2015 "Por la cual se modifica y actualiza el sistema de Coordinación Interna del IDU" y  se deroga la Resolución 22477 de 2014 y sus modificaciones"  
3. PR-GF-04 Administración de Inversiones
4. Protocolo de seguridad de la SDH.
5. Actas de comité.</t>
  </si>
  <si>
    <t>1. Solicitar la apertura de la investigación correspondiente a  las Oficinas de Control Interno y Control Interno Disciplinario</t>
  </si>
  <si>
    <t>Número de solicitudes de apertura de investigaciones por pérdida de recursos por inadecuada inversión a las Oficinas de Control Interno y Control Interno Disciplinario</t>
  </si>
  <si>
    <t>2. Suplantación de funcionarios bancarios y/o suministro de información errónea</t>
  </si>
  <si>
    <t>1. Indebida aplicación del procedimiento de pago a terceros (Ingreso erróneo de datos, selección incompleta de beneficiarios, entre otros)</t>
  </si>
  <si>
    <t>1. Socialización y publicación de la Guía de Pago a Terceros, procedimientos y personal capacitado.
2. Validaciones del sistema que cruza la información.
3. Exigencia del sistema para realizar el pago en tres pasos: alimentar el sistema, aprobar el pago y firmar el pago, los cuales son realizados por personas diferentes.
4. Validación por parte de los sistemas OPGET de la SDH y STONE del IDU. (Creación de la cuenta y número de  identificación).
5. Verificación de los soportes documentales para la modificación de los beneficiarios de pago a terceros.</t>
  </si>
  <si>
    <t>1. GU-GF-01 Guía pago a terceros.  
2. Procedimiento de pago a terceros.</t>
  </si>
  <si>
    <t>1. Solicitar reversión de pago en bancos.
2. Requerir al beneficiario del pago para que se realice el reintegro a una cuenta bancaria del IDU. (Mayor valor o un tercero diferente)
3. En caso que el beneficiario no reintegre el dinero, se reporta a Control Interno y Control Interno Disciplinario e iniciar un proceso de jurisdicción coactiva para recuperar los pagos realizados.
4. Girar el excedente al beneficio del pago. (Menor valor).</t>
  </si>
  <si>
    <t>(No. de pagos diferentes a lo ordenado, realizados /  No. de pagos del periodo realizados) X 100 %</t>
  </si>
  <si>
    <t>1. Que no se programe oportunamente el PAC</t>
  </si>
  <si>
    <t>1. Socialización del calendario de reprogramaciones y envío  a las áreas ejecutoras.
2. Envío de email de alerta a las áreas ejecutoras recordando las fechas de entrega de la información.
3. Cumplir con las fechas establecidas en la circular enviada por la Secretaría Distrital de Hacienda - SDH, para solicitar los recursos.</t>
  </si>
  <si>
    <t xml:space="preserve">1. PR-GF-06 Procedimiento gestión del Programa Anual de Caja PAC.
2. Circular SDH
3. Plataforma de correo electrónico </t>
  </si>
  <si>
    <t>1. Sí existe pago de intereses o sanciones, comunicar al ordenador del pago para que realice el tramite de pago de la obligación e informar a la Oficinas de Control Interno y Control Disciplinario para que realicen la investigación.</t>
  </si>
  <si>
    <t>No. de quejas, reclamos, multas, sanciones, derechos de petición denuncias,  demandas etc., relacionados por inoportunidad en el pago de obligaciones financieras (a proveedores y/o contratista, impuestos, seguridad social, beneficiario de pago, etc.)</t>
  </si>
  <si>
    <t>2. Que se gire a cuentas incorrectas</t>
  </si>
  <si>
    <t>4. Exigencia de los documentos: certificación bancaria  y cuenta bancaria debe estar relacionada en la factura y la orden de pago firmada por el ordenador del gasto. (Documentado en el procedimiento y guía de pago a terceros)
5. Los bancos validan que el No de Nit se encuentre relacionado con la cuenta bancaria del beneficiario. Esta información es validada por la STTR .
6. Validación por parte de los sistemas OPGET de la SDH y STONE del IDU. (Creación de la cuenta y número de  identificación). * Este control aplica también para la causa No. 6.</t>
  </si>
  <si>
    <t>3. Que no se cuente con liquidez en las cuentas bancarias</t>
  </si>
  <si>
    <t>4. Fallas en los portales bancarios</t>
  </si>
  <si>
    <t>5. Que el IDU no realice la solicitud de los recursos a la SDH en los tiempos establecidos.</t>
  </si>
  <si>
    <t>10. Cumplimiento del cronograma establecido por la SDH, para que la colocación de recursos sea efectiva.</t>
  </si>
  <si>
    <t>6. Errores en el ingreso de la información de los pagos en los portales bancarios</t>
  </si>
  <si>
    <t>GU-GAF-01 Guía pago a terceros.
Procedimiento de pago a terceros</t>
  </si>
  <si>
    <t>7. Fallas en el servidor de Internet del IDU</t>
  </si>
  <si>
    <t>1. Omisión del protocolo de seguridad y manejo de títulos valores</t>
  </si>
  <si>
    <t>Protocolo de seguridad  
 Lista de asistencia</t>
  </si>
  <si>
    <t>1. Reportar el incidente al gerente de cuenta de la entidad financiera y solicitar inactivación de las cuentas.
2. Denunciar el caso a las autoridades competente. (Fiscalía).
3. Solicitar la apertura de la investigación a la Oficinas de Control Interno y Control Disciplinario.
4. Realizar la reclamación a la aseguradora.</t>
  </si>
  <si>
    <t>Numero de denuncias ante autoridades internas y externas respecto a robos, desviación de dineros o perdida.</t>
  </si>
  <si>
    <t>2. Administración inadecuada de claves, tokens y títulos valores</t>
  </si>
  <si>
    <t>2. Auditorías internas y externas permanentes (OCI y entes de control).
3. Los instrumentos de seguridad son activados previa verificación con el administrador de la seguridad bancaria (funcionarios - Documentado en el protocolo de seguridad)
4. Informar al banco de la falla de los dispositivos "Tokens" (llamada, correo electrónico, oficio).</t>
  </si>
  <si>
    <t>3. Acceso no autorizado al sitio en donde se custodian los tokens y documentos  valores.</t>
  </si>
  <si>
    <t>Protocolo de seguridad
Circular 15 de 12 de Octubre de 2011 (IDU)</t>
  </si>
  <si>
    <t>4. Manipulación y/o fallas en la seguridad informática</t>
  </si>
  <si>
    <t>9. Control a través de dirección IP, firewall, tokens, diferentes perfiles en los usuarios que acceden en la banca electrónica.
10. Aplicación del protocolo de seguridad establecido por la SDH
11. Registro de acceso a servidores en bitácora.</t>
  </si>
  <si>
    <t xml:space="preserve">Subdirección Técnica de Presupuesto y Contabilidad </t>
  </si>
  <si>
    <t>1. Errores en operaciones matemáticas de las solicitudes presentadas o que vienen en ellas (contratos, facturas y otros)</t>
  </si>
  <si>
    <t>1. Los servidores públicos del proceso verifican los diferentes soportes de documentos presupuestales y contables, en el momento que se detecten inconsistencias se informa para  verificación  y corrección a las áreas generadoras del tramite.
2. Se efectúa conciliación con las áreas generadoras de la información.
3. Se realiza capacitación, actualización y consulta  permanente a través de la páginas de la Contaduría General de la Nación, SDH y DIAN.</t>
  </si>
  <si>
    <t>1. Realizar las correcciones que se requieran (a cargo de la STPC o dependencia que corresponda).</t>
  </si>
  <si>
    <t>No. de reclamos por valores inexactos.</t>
  </si>
  <si>
    <t>2. Los aplicativos de información financiera  no se  encuentran  completamente integrados</t>
  </si>
  <si>
    <t xml:space="preserve">3. Desactualización de conocimientos técnicos presupuestales, contables y tributarios de los servidores públicos de la dependencia </t>
  </si>
  <si>
    <t xml:space="preserve">1. Falta de uniformidad y cambio continuo, por parte de los entes de control y vigilancia, en los formatos para el reporte de información. </t>
  </si>
  <si>
    <t>1. La STPC periódicamente realiza consultas sobre la actualización de los formatos en las páginas web de los entes de control.
2. La STPC periódicamente realiza consultas sobre la actualización de las normas, asociadas al proceso. Se consulta periódicamente la  página web de la SDH, DIAN, entes de control, entre otras.
Nota: Se efectúan socializaciones al interior del área.
3. Verificación de datos por personas diferentes a quien diligencia los documentos, reportes, Vo Bo, verificaciones, aprobación etc. 
4. Envío de comunicación del calendario programación, ejecución y cierre presupuestal a las áreas del IDU.</t>
  </si>
  <si>
    <t>Comunicaciones de  socialización de la información de las páginas web entes de control y página web de la SDH, DIAN, cuando aplique. 
Oficios 
entes de control- ORFEO.
VoBo en CRP, CDP.
Oficios, Memorandos, Circular</t>
  </si>
  <si>
    <t>1. La STPC realiza análisis de cada caso específico.
2. Se toman las acciones y/o correcciones pertinentes de acuerdo al caso.
3. De ser necesario reportar nuevamente a la Entidad el informe corregido.</t>
  </si>
  <si>
    <t>Valor del cierre presupuestal en Predis - Valor de cierre presupuestal en Stone</t>
  </si>
  <si>
    <t>2. Desconocimiento de cambios en la normatividad y en las disposiciones reglamentarias</t>
  </si>
  <si>
    <t xml:space="preserve">3. Indebido diligenciamiento de la información </t>
  </si>
  <si>
    <t>4. Desconocimiento y/o diferencias en el manejo presupuestal por parte de las áreas</t>
  </si>
  <si>
    <t>5. Incumplimiento de los plazos de entrega de información</t>
  </si>
  <si>
    <t>1. Utilización de Planes de Cuentas desactualizados.</t>
  </si>
  <si>
    <t>1. Los sistemas de información (Stone, Predis) del proceso son parametrizados y revisados permanentemente; así como los análisis y revisiones necesarios por parte del equipo de trabajo del área, se realiza consulta permanente a los Planes de Cuentas.
2. Se realiza actualización y consulta permanente a través de la páginas de la Contaduría General de la Nación, SDH y DIAN.
3. Revisión previa técnico-contable y documental de la información a registrar en los sistemas de información del proceso, por parte de los servidores públicos de la STPC.</t>
  </si>
  <si>
    <t>No. De informes objetados por entes de control u otras entidades</t>
  </si>
  <si>
    <t>2. Hecho económico no considerado en el Plan General de la Contabilidad Pública y no definido en la doctrina contable pública.</t>
  </si>
  <si>
    <t xml:space="preserve">3. Falta de competencia técnica y/o de conocimiento de la regulación aplicable </t>
  </si>
  <si>
    <t xml:space="preserve">4. Documentos soportes sin el cumplimiento de los requisitos establecidos en la guía de pagos a terceros </t>
  </si>
  <si>
    <t>1. La STTR realiza seguimiento a cada una de las vulnerabilidades del sistema.
2. Se toman las acciones y/o correcciones  pertinentes de acuerdo a cada caso de violación y/o fuga de información de seguridad en el sistema.
3. Reforzamiento de las políticas de ciberseguridad.</t>
  </si>
  <si>
    <t>Número de casos de violación de la información reportados por las áreas.
Número de alertas de infracción reportadas por el sistema.</t>
  </si>
  <si>
    <t>Campaña de habladores en la sala de juntas.</t>
  </si>
  <si>
    <t>Manual políticas de seguridad de la información.
Documento de políticas operacionales de TI (DU-TI-06).</t>
  </si>
  <si>
    <t xml:space="preserve">Manual políticas de seguridad de la información.
</t>
  </si>
  <si>
    <t xml:space="preserve">9. No recolección de los documentos que se han enviado a impresión o escaneado. </t>
  </si>
  <si>
    <t>Documento de políticas operacionales de TI (DU-TI-06).</t>
  </si>
  <si>
    <t>10. Disposición de documentos de oficina en sitios no adecuados para su almacenamiento y control.</t>
  </si>
  <si>
    <t>Almacenamiento de información según los lineamientos vigentes.
Documento de políticas operacionales de TI (DU-TI-06).</t>
  </si>
  <si>
    <t>11. Acceso a los sistemas operativos o a las aplicaciones por "puertas traseras" no controladas.</t>
  </si>
  <si>
    <t>Infraestructura de Ciberseguridad.</t>
  </si>
  <si>
    <t>12. Uso de software ilegal o malicioso.</t>
  </si>
  <si>
    <t>Número de quejas presentadas por la ciudadanía.</t>
  </si>
  <si>
    <t>Capacitación y sensibilización a los usuarios del proceso sobre bloqueo de sesión y manipulación de documentos físicos.</t>
  </si>
  <si>
    <t>3. Interceptación total o parcial de datos (físicos o lógicos).</t>
  </si>
  <si>
    <t xml:space="preserve">
Infraestructura de Ciberseguridad. </t>
  </si>
  <si>
    <t>1. Por eventos naturales como temblor, tifón, vendaval, o fenómeno metererológico.</t>
  </si>
  <si>
    <t>Activación del plan de continuidad del negocio.</t>
  </si>
  <si>
    <t>Subdirector(a) General de Gestión Corporativa. 
Subdirector(a) Técnico(a) de Recursos Físicos.
Subdirector(a) Técnico(a) de Recursos Tecnológicos.</t>
  </si>
  <si>
    <t xml:space="preserve">1. Seguimiento de a la activación del plan de continuidad del negocio.
2. Activación del plan de emergencias </t>
  </si>
  <si>
    <t>Número de quejas presentadas por la ciudadanía y/o partes interesadas.</t>
  </si>
  <si>
    <t>2. Pérdida o desabastecimiento de energía eléctrica regulada</t>
  </si>
  <si>
    <t>3. Por destrucción de equipos, dispositivos, medios o instalaciones</t>
  </si>
  <si>
    <t>4. Daños accidentales en el edificio o áreas críticas</t>
  </si>
  <si>
    <t>4  INFERIOR</t>
  </si>
  <si>
    <t>Manual de protección de datos personales MGTI17.</t>
  </si>
  <si>
    <t>2. Desconocimiento de parte de las personas que manejan la información.</t>
  </si>
  <si>
    <t xml:space="preserve">Sesión informativa sobre protección de datos personales con apoyo de la SIC (Superintendencia de Industria y Comercio). </t>
  </si>
  <si>
    <t>MGDC001 Manual de Gestión documental.</t>
  </si>
  <si>
    <t>5. Presión o coacción de terceras partes para modificar o publicar datos personales</t>
  </si>
  <si>
    <t xml:space="preserve">Director Técnico Administrativo y Financiero </t>
  </si>
  <si>
    <t>Subdirector Técnico de Presupuesto y Contabilidad</t>
  </si>
  <si>
    <t>Administrar y disponer oportunamente los recursos financieros para la ejecución de los planes, programas y proyectos en el desarrollo de los procesos de la entidad.</t>
  </si>
  <si>
    <t>SGDU - DTP</t>
  </si>
  <si>
    <t xml:space="preserve">Informar al contratistas responsables de la vigilancia y administración de predios para coordinar acciones conjuntas inmediatas para subsanar situaciones de invasión que se presenten.
</t>
  </si>
  <si>
    <t>Escalar al nivel Jerárquico superior la situación presentada.</t>
  </si>
  <si>
    <t>(Actividades planteadas / actividades realizadas) *100%</t>
  </si>
  <si>
    <t>Pérdida de los expedientes de los procesos de Gestión Predial  a cargo de la DTDP</t>
  </si>
  <si>
    <t>(Jornadas de sensibilización ejecutadas/Jornadas de sensibilización programadas) *100%</t>
  </si>
  <si>
    <t>Iniciar la investigación sobre el mecanismo de acceso o sustracción de información con la finalidad de determinar las acciones de mejora a los controles implementados.</t>
  </si>
  <si>
    <t>(Jornadas de sensibilización ejecutadas/Jornadas de sensibilización programadas ) *100%</t>
  </si>
  <si>
    <t>Activar el Plan de Continuidad de Negocio de la entidad</t>
  </si>
  <si>
    <t>(Reuniones con STRT ejecutadas/Reuniones con STRT Programadas ) * 100%</t>
  </si>
  <si>
    <t>OBSERVACIONES: Indique para ésta versión, el código de los riesgos nuevos y justifique el por qué de los riesgos eliminados. (Adicional registre las observaciones que considere necesarias):</t>
  </si>
  <si>
    <t xml:space="preserve">DIRECTORA TÉCNICA DE PREDIOS </t>
  </si>
  <si>
    <t>Acciones desde la figura del defensor del ciudadano para solucionar casos especificos solicitados por la ciudadanía</t>
  </si>
  <si>
    <t>No casos del Defensor del Ciudadano</t>
  </si>
  <si>
    <t>1. Encuestas de satisfacción
2. Informe de satisfacción
3.Capacitaciones</t>
  </si>
  <si>
    <t>Correos desde la figura del Defensor del Ciudadano al la dependencia responsable requiriendo responder el derecho de petición vencido</t>
  </si>
  <si>
    <t xml:space="preserve">No. de correos con llamados de atención </t>
  </si>
  <si>
    <t xml:space="preserve"> Si el coordinador social identifica el evento, este deberá informar a la interventoría para que requiera al contratista el cumplimiento de las obligaciones contractuales.</t>
  </si>
  <si>
    <t xml:space="preserve">No de eventos reportados a las interventorias. </t>
  </si>
  <si>
    <t>I.GS.01</t>
  </si>
  <si>
    <t>Informar a STRT para que tome las acciones en cuanto a protección de los sistemas de información.</t>
  </si>
  <si>
    <t>No de Casos Aranda con resportes de materialización</t>
  </si>
  <si>
    <t>I.GS.04</t>
  </si>
  <si>
    <t>Denuncias y/o llamados de atención respecto del servidor que dio un mal manejo de la información de la ciudadanía.</t>
  </si>
  <si>
    <t>No de memorandos</t>
  </si>
  <si>
    <t>Se eliminan dos riesgos de de Información (I.GS.02, I.GS.03) por no ser  procedentes con as actividades del Proceso de Gestión social y Participación Ciudadana.</t>
  </si>
  <si>
    <t>Asesorar, diseñar, implementar y evaluar la gestión social y el servicio a la ciudadanía; en el marco de la participación ciudadana, cultura ciudadana, derecho a la ciudad, responsabilidad social, control social, transparencia y sostenibilidad aplicables a los proceso de la entidad, conforme a la normatividad vigente y a los pilares y ejes transversales del Plan de Desarrollo con el fin de vincular a la ciudadanía en el Desarrollo Urbano de Bogotá.</t>
  </si>
  <si>
    <t>1. No divulgación clara y oportuna de la información a la ciudadanía de los procedimientos a seguir para los tramites y servicios ofrecidos por el IDU.
2. Cobrar o recibir prebendas por trámites o servicios que sean gratuitos, así como por el desarrollo de las actividades desempeñadas por los profesionales sociales en los territorios.</t>
  </si>
  <si>
    <t>1. Investigaciones disciplinarias y/o penales.
2. Pérdida de legitimidad institucional.</t>
  </si>
  <si>
    <t>1. Publicación de todos los trámites y servicios en la Guía de Trámites y Servicios
2. Intervención del Defensor del Ciudadano IDU.
3. Aplicación y análisis de encuestas de satisfacción.
4. Aplicación del procedimiento de Quejas y Reclamos.</t>
  </si>
  <si>
    <t>1. Publicación de la guía de trámites y servicios, pagina Web, Observatorio.</t>
  </si>
  <si>
    <t>1. El Jefe de la OTC informa sobre el evento y coordina reunión con las áreas involucradas para analizar el caso especifico y tomar las acciones correspondientes.
2. Notificar a la OCD del caso, para que inicie las investigaciones que corresponda.</t>
  </si>
  <si>
    <t xml:space="preserve">
Encuesta ejecutada en el periodo / Encuesta programada en el periodo. 
 </t>
  </si>
  <si>
    <t>1. No disponer de información, así como ausencia de las condiciones físicas y de accesibilidad minimas para la atención de la ciudadanía.
2. Que el servidor público y/o contratista, oculte o no gestione las solicitudes de la ciudadanía.</t>
  </si>
  <si>
    <t>1. Pérdida de legitimidad de la entidad.
2. Disminución de la participación ciudadana.</t>
  </si>
  <si>
    <t>1. Política de Gestión Social y atención a la ciudadanía (Resolución 4940 de 2018) 
2. Guía de Gestión Social para el desarrollo urbano sostenible</t>
  </si>
  <si>
    <t>Actas de reunión.</t>
  </si>
  <si>
    <t>1. El Jefe de la OTC informa sobre el evento y coordina reunión con las áreas involucradas, para analizar el caso especifico y tomar las acciones correspondientes. 
2. En caso de incumplimiento de las obligaciones contractuales, informar a la interventoría para que requiera al contratista .</t>
  </si>
  <si>
    <t xml:space="preserve"> No de denuncias de la ciudadania, allegados a la OTC, por no permitir el control social de los proyectos.
</t>
  </si>
  <si>
    <r>
      <t xml:space="preserve">RIESGO
</t>
    </r>
    <r>
      <rPr>
        <sz val="8"/>
        <rFont val="Arial"/>
        <family val="2"/>
      </rPr>
      <t>(Amenaza)</t>
    </r>
  </si>
  <si>
    <r>
      <t xml:space="preserve">CAUSAS
</t>
    </r>
    <r>
      <rPr>
        <sz val="8"/>
        <rFont val="Arial"/>
        <family val="2"/>
      </rPr>
      <t>(Vulnerabilidad)</t>
    </r>
  </si>
  <si>
    <r>
      <t xml:space="preserve">DESCRIPCIÓN DEL CONTROL - TRATAMIENTO
</t>
    </r>
    <r>
      <rPr>
        <sz val="8"/>
        <rFont val="Arial"/>
        <family val="2"/>
      </rPr>
      <t>(cuál, cómo, cuándo)</t>
    </r>
  </si>
  <si>
    <t>R.CI.01</t>
  </si>
  <si>
    <r>
      <t xml:space="preserve">1- Verificar la fecha de detección de los daños con el fin de revisar si se cumplieron, o no, los términos de prescripción (2 años), para que la entidad adelante las actuaciones de ley.
2- Requerir al contratista a la mayor brevedad, por los daños de su presunta imputabilidad.
3- Continuar con el procedimiento PR-CI-03.
4- En caso de haberse cumplido el término de prescripción, solicitar a DTP la priorización de los daños con el fin de conservar la infraestructura afectada.
</t>
    </r>
    <r>
      <rPr>
        <i/>
        <sz val="9"/>
        <rFont val="Arial Unicode MS"/>
        <family val="2"/>
      </rPr>
      <t>Responsables: Profesional de seguimiento, Líder de grupo y Director Técnico.</t>
    </r>
  </si>
  <si>
    <t>R.CI.02</t>
  </si>
  <si>
    <r>
      <t xml:space="preserve">1- Requerir al titular del permiso para que tome las medidas respectivas.
2- Informar a la Alcaldía Local para que proceda con la recuperación del espacio público.
3- En caso de deterioro del espacio público, informar a la Dirección Técnica de Proyectos para que priorice el mantenimiento del espacio.
</t>
    </r>
    <r>
      <rPr>
        <i/>
        <sz val="9"/>
        <rFont val="Arial Unicode MS"/>
        <family val="2"/>
      </rPr>
      <t>Responsables: Profesional de seguimiento, Líder de grupo y Director Técnico.</t>
    </r>
  </si>
  <si>
    <t>R.CI.03</t>
  </si>
  <si>
    <r>
      <t xml:space="preserve">1- Realizar una nueva visita de verificación de intervención.
2- Solicitar a la Alcaldía Local para que se adelante el proceso de sanción por infracción a la norma urbanística
</t>
    </r>
    <r>
      <rPr>
        <i/>
        <sz val="9"/>
        <rFont val="Arial Unicode MS"/>
        <family val="2"/>
      </rPr>
      <t>Responsable: Profesional de seguimiento, Líder del grupo y Director Técnico.</t>
    </r>
  </si>
  <si>
    <t>R.CI.04</t>
  </si>
  <si>
    <r>
      <t xml:space="preserve">1- Realizar la visita de forma inmediata a la estructura afectada.
2- Informar de los daños encontrados a la DTP para que tome las medidas que sean pertinentes.
3- Informar de los daños a la DTE para que sea incluido en el inventario de la entidad.
</t>
    </r>
    <r>
      <rPr>
        <i/>
        <sz val="9"/>
        <rFont val="Arial Unicode MS"/>
        <family val="2"/>
      </rPr>
      <t>Responsable: Profesional de seguimiento, Líder del grupo y Director Técnico.</t>
    </r>
  </si>
  <si>
    <t>R.CI.05</t>
  </si>
  <si>
    <t>Que el contratista reporte cifras menores, que las arrojadas por el ingresos diario de vehículos.</t>
  </si>
  <si>
    <t>1- Se realizan visitas periódicas donde se valida la información de ingreso de la base de datos del contratista versus las cifras reportadas por este.
2- Verificación de la información reportada por el contratista.
3- Revisión y validación del informe presentado por el contratista.
4- Solicitudes formales al contratista para aclaraciones de posibles desviaciones de las validaciones.</t>
  </si>
  <si>
    <t>1- Informe del contratista 
2- Información de la base de datos del contratista
3- Instructivo INCI03 Supervisión de contratos de concesión de parqueaderos V_2.0</t>
  </si>
  <si>
    <r>
      <t xml:space="preserve">1- Realizar la evaluación de las causas por las cuales se reportó un menor valor. 
2- Solicitar la diferencia de valor con los intereses moratorios. 
3- De ser necesario iniciar  un proceso de aplicación de multas y/o clausula pecuniaria.
</t>
    </r>
    <r>
      <rPr>
        <i/>
        <sz val="9"/>
        <rFont val="Arial Unicode MS"/>
        <family val="2"/>
      </rPr>
      <t>Responsable: Profesional de apoyo a la supervisión y Director Técnico.</t>
    </r>
  </si>
  <si>
    <t>R.CI.06</t>
  </si>
  <si>
    <t>Aceptar productos que no cumplan con los requisitos técnicos y normativos definidos en la Guía de Intervención de Urbanizadores vigente y que son el soporte para la expedición de la constancia de entrega y recibo de las áreas de cesión</t>
  </si>
  <si>
    <t>Que por falta de claridad del proceso, desconocimiento del alcance del proyecto, falta de experiencia u olvido, se omita exigir al urbanizador, el cumplimiento de los requisitos técnicos y normativos establecidos en la Guía de Intervención de Urbanizadores y/o terceros, para la aceptación de los productos correspondientes a las etapas de: estudios y diseños, ejecución de obras y/o recibo de las obras.</t>
  </si>
  <si>
    <t>1- Ejecución de diseños y obras sin el cumplimento de las especificaciones técnicas y normatividad técnica vigente.
2- Expedir la constancia de recibo a proyectos que no cumplen requisitos técnicos, legales y normativos.
3- Proyectos que ingresan al inventario de espacio público, con problemas que deben ser asumidos por el Distrito.</t>
  </si>
  <si>
    <t>1- Los conceptos de aceptación o devolución con observaciones, deben estar debidamente soportados desde el punto de vista técnico y normativo, conforme los requisitos definidos para cada producto, en la Guía de Intervención de Urbanizadores vigente.
2- De manera aleatoria se realizan visitas a terreno para verificar el avance en la ejecución de los proyectos y cumplimiento de normatividad técnica vigente.
3- Llevar la trazabilidad de los conceptos de aceptación o devolución con observaciones de los productos de cada proyecto, para lo cual se ha dispuesto de un link en la página web del IDU en donde puede descargar el informe respectivo.</t>
  </si>
  <si>
    <t>1- Guía GU-CI-01 Intervención de Urbanizadores V_3.0
2- Formato FO-CI-26 Informe de visita de inspección de obra
3- Formato FO-IDU-131 Acta de reunión
4- Oficio de aceptación y/o devolución con observaciones al Urbanizador.
5- Formato FO-CI-58 Estado actual del proyecto</t>
  </si>
  <si>
    <r>
      <t xml:space="preserve">1- Revocar el concepto de aceptación e informar al Urbanizador tal situación.
2- Informar al Urbanizador los requisitos técnicos, legales y normativos necesarios para poder emitir concepto de aceptación del producto. 
3- Solicitar al Urbanizador la realización de los ajustes o implementación de los correctivos, tendientes a cumplir con las especificaciones técnicas, legales y normativas.
</t>
    </r>
    <r>
      <rPr>
        <i/>
        <sz val="9"/>
        <rFont val="Arial Unicode MS"/>
        <family val="2"/>
      </rPr>
      <t>Responsable: Profesional de seguimiento, Líder del grupo y Director Técnico.</t>
    </r>
  </si>
  <si>
    <r>
      <t xml:space="preserve">1- Realizar de manera inmediata copia de seguridad de la información.
2- Cambiar las claves de acceso a sistema y/o aplicativos. 
3- Informar al área competente del control.
</t>
    </r>
    <r>
      <rPr>
        <i/>
        <sz val="9"/>
        <rFont val="Arial Unicode MS"/>
        <family val="2"/>
      </rPr>
      <t>Responsable: Director Técnico.</t>
    </r>
  </si>
  <si>
    <r>
      <t xml:space="preserve">1- Cambiar las claves de acceso a sistema y/o aplicativos. 
2- Informar al área competente del control.
</t>
    </r>
    <r>
      <rPr>
        <i/>
        <sz val="9"/>
        <rFont val="Arial Unicode MS"/>
        <family val="2"/>
      </rPr>
      <t>Responsable: Director Técnico.</t>
    </r>
  </si>
  <si>
    <r>
      <t xml:space="preserve">1- Solicitar la copia de seguridad, para garantizar la veracidad de la información. 
2- Cambiar las claves de acceso a sistema y/o aplicativos. 
3- Informar al área competente del control.
</t>
    </r>
    <r>
      <rPr>
        <i/>
        <sz val="9"/>
        <rFont val="Arial Unicode MS"/>
        <family val="2"/>
      </rPr>
      <t>Responsable: Director Técnico.</t>
    </r>
  </si>
  <si>
    <r>
      <t xml:space="preserve">1- Realizar de manera permanente copia de seguridad, para poder recuperar la información en caso de afectación por evento natural.
</t>
    </r>
    <r>
      <rPr>
        <i/>
        <sz val="9"/>
        <rFont val="Arial Unicode MS"/>
        <family val="2"/>
      </rPr>
      <t>Responsable: Director Técnico.</t>
    </r>
  </si>
  <si>
    <t>Ejecutar programas para el mantenimiento, rehabilitación, y reconstrucción de la malla vial y el espacio público a través de la supervisión y control de contratos y convenios, y realizar el control y seguimiento a las intervenciones ejecutadas por terceros, para mejorar la movilidad y seguridad vial en la Ciudad.</t>
  </si>
  <si>
    <r>
      <t xml:space="preserve">RIESGO
</t>
    </r>
    <r>
      <rPr>
        <sz val="8"/>
        <color theme="1"/>
        <rFont val="Arial"/>
        <family val="2"/>
      </rPr>
      <t>Descripción</t>
    </r>
  </si>
  <si>
    <r>
      <t xml:space="preserve">1- Verificar la vigencia de la póliza y adelantar a la mayor brevedad una nueva visita de inspección para realizar el levantamiento técnico de los daños.
2- Requerir al contratista, por los daños de su presunta imputabilidad.
3- Continuar con el procedimiento PR-CI-03.
4- En caso de haberse vencido la póliza de estabilidad y/o calidad, solicitar a DTP la priorización de los daños con el fin de conservar la infraestructura afectada.
</t>
    </r>
    <r>
      <rPr>
        <i/>
        <sz val="9"/>
        <rFont val="Arial Unicode MS"/>
        <family val="2"/>
      </rPr>
      <t>Responsable: Profesional de seguimiento, Líder de grupo y Director Técnico.</t>
    </r>
  </si>
  <si>
    <r>
      <t xml:space="preserve">1- Realizar una nueva visita de verificación de recuperaciones.
2- De no cumplir con el Anexo técnico requerir al titular de la licencia.  
3- Solicitar a la Alcaldía Local para que se adelante el proceso de sanción por infracción a la norma urbanística
</t>
    </r>
    <r>
      <rPr>
        <i/>
        <sz val="9"/>
        <rFont val="Arial Unicode MS"/>
        <family val="2"/>
      </rPr>
      <t>Responsable: Profesional de seguimiento, Líder del grupo y Director Técnico.</t>
    </r>
  </si>
  <si>
    <r>
      <t xml:space="preserve">1- Revisión jurídica de los documentos entregados y la licencia otorgada.
2- Requerimiento jurídico para la debida entrega de la documentación.
</t>
    </r>
    <r>
      <rPr>
        <i/>
        <sz val="9"/>
        <rFont val="Arial Unicode MS"/>
        <family val="2"/>
      </rPr>
      <t>Responsable: Profesional de jurídico, Líder del grupo y Director Técnico.</t>
    </r>
  </si>
  <si>
    <t>1- Decreto 190-2004. En sus Art. 270 y 279 reglamenta «…normas aplicables a los antejardines y usos temporales en los elementos que constituyen el sistema de espacio público construido...»
2- Decreto 552 de 2018. contempla las condiciones para los usos temporales de espacio público. 
3- Procedimiento PR-CI-02 V_4.0 Expedición de permisos de uso temporal del espacio público y antejardines</t>
  </si>
  <si>
    <r>
      <t xml:space="preserve">1- Requerir al titular del permiso para que complete los requisitos, en los casos en que aplique; en caso de que no se pueda subsanar revocar el permiso otorgado.
2- Informar a la Alcaldía Local para que proceda con la recuperación del espacio público.
3- En caso de deterioro del espacio público, informar a la Dirección Técnica de Proyectos para que priorice el mantenimiento del espacio.
</t>
    </r>
    <r>
      <rPr>
        <i/>
        <sz val="9"/>
        <rFont val="Arial Unicode MS"/>
        <family val="2"/>
      </rPr>
      <t>Responsable: Profesional de seguimiento, Líder del grupo y Director Técnico.</t>
    </r>
  </si>
  <si>
    <t>1- El equipo de supervisión se encarga de revisar y calcular el valor que el concesionario debe consignar mensualmente al IDU, con base en el reporte previamente entregado.
2- El equipo de supervisión realiza visitas de inspección a los parqueaderos con el fin de tomar información de las bases de datos, en tiempo real por muestreo.
3- Se revisa la coherencia de los informes mensuales suscritos por el representante legal y el contador de la concesión. 
4- El contrato interadministrativo IDU-1436-2018, establece multas por incumplimiento, clausula penal pecuniaria y pago de intereses moratorios por no pagar las sumas pactadas en los plazos previstos.</t>
  </si>
  <si>
    <t xml:space="preserve">1- Revisiones periódicas aleatorias Vs. Informe del Contratista. </t>
  </si>
  <si>
    <r>
      <t xml:space="preserve">1- Solicitud de revisión de ingresos con tasación de intereses.
2- Inicio proceso sancionatorio y/o aplicación clausula pecuniaria, según sea el caso.
</t>
    </r>
    <r>
      <rPr>
        <i/>
        <sz val="9"/>
        <rFont val="Arial Unicode MS"/>
        <family val="2"/>
      </rPr>
      <t>Responsable: Profesional de apoyo a la supervisión y Director Técnico</t>
    </r>
  </si>
  <si>
    <t>Novedades de nómina no cargadas oportunamente</t>
  </si>
  <si>
    <t>Liquidación de nómina: Recibo de las novedades de nómina por fuera de lo establecido en la Circular de Programación de pagos de nómina.</t>
  </si>
  <si>
    <t>QUE LA DEFENSA DE LOS INTERESES JUDICIALES DE NATURALEZA LABORAL NO SEA CONTUNDENTE Y OPORTUNA</t>
  </si>
  <si>
    <t xml:space="preserve">* Historias laborales.
* Reporte SIPROJWEB
* ORFEO
* Actas de Comité de Conciliación
* Memorando que contiene la respuesta a la demanda y las pruebas que soportan la defensa jurídica.
</t>
  </si>
  <si>
    <t>1. Se procede al cumplimiento de la sentencia.
2. Una vez realizado el último pago derivado de la sentencia, mediante memorando dirigido a la DTGJ, se relacionan todos los pagos derivados de la misma y se aportan las pruebas documentales para que esa dependencia, de acuerdo con sus competencias, inicie el trámite de la acción de repetición correspondiente.</t>
  </si>
  <si>
    <t>Demandas de naturaleza laboral no atendidas oportunamente por parte de la STRH / Total de demandas de naturaleza laboral recibidas por la STRH x 100</t>
  </si>
  <si>
    <t>Inasistencia a los eventos de capacitación por parte de los servidores programados, lo que generaría suspensiones o prórrogas en los contratos y no cumplimiento del PIC.</t>
  </si>
  <si>
    <t>Servidores del IDU sin capacitación orientada hacia las necesidades reales y priorizadas, de acuerdo con lo requerido por la Entidad para el cumplimiento de los objetivos y metas organizacionales.</t>
  </si>
  <si>
    <t xml:space="preserve">* PIC
* Estudio de mercados
* Estudios previos
* Informe del Proveedor y Anexos
* Contrato o convenio
</t>
  </si>
  <si>
    <t>Eventos de capacitación contratados no realizados / Eventos de capacitación contratados programados x 100</t>
  </si>
  <si>
    <t>Inconvenientes en el proceso de contratación de proveedores.</t>
  </si>
  <si>
    <t xml:space="preserve">Cancelación de espacios físicos previamente programados por la STRH,  por otros eventos de la Entidad. </t>
  </si>
  <si>
    <t>Incumplimiento de la normatividad vigente en la materia (Ley de Transparencia)</t>
  </si>
  <si>
    <t>1. Una vez identificado, solicitar al usuario el cargue de la información.</t>
  </si>
  <si>
    <t>Servidores que no tienen registrada y/o actualizada la totalidad de la información correspondiente en el Cajero Kactus / Total de servidores activos del Instituto x 100</t>
  </si>
  <si>
    <t xml:space="preserve">HISTORIAS LABORALES QUE NO CUMPLEN CON LO ESTABLECIDO EN LA NORMATIVIDAD VIGENTE EN MATERIA DE GESTIÓN DOCUMENTAL </t>
  </si>
  <si>
    <t xml:space="preserve">Incumplimiento de lo establecido en la normatividad sobre gestión documental </t>
  </si>
  <si>
    <t xml:space="preserve">Historias laborales en físico desactualizadas / Total de historias laborales x 100
</t>
  </si>
  <si>
    <t>SUSTRACCIÓN O ALTERACIÓN POR PARTE DE SERVIDORES PÚBLICOS U OTROS COLABORADORES DEL IDU DE INFORMACIÓN SUSCEPTIBLE PARA EL PROCESO DE GESTIÓN DEL TALENTO HUMANO</t>
  </si>
  <si>
    <t>Fuga de información y/o uso indebido de datos institucionales (Confidencialidad), relacionados con el proceso de Gestión del Talento Humano</t>
  </si>
  <si>
    <t>1. Sensibilización  respecto a la importancia de estar siempre atentos a la recolección de los documentos generados en la impresora o escaneados. 
2. Organización y almacenamiento de la documentación según los lineamientos institucionales en materia de Seguridad de la Información.
3. Bloqueo de sesión siempre que proceda.</t>
  </si>
  <si>
    <t>PROFESIONALES, TÉCNICOS, ASISTENCIALES Y CONTRATISTAS</t>
  </si>
  <si>
    <t xml:space="preserve">* Resolución 34217 de 2015 de  Políticas de seguridad de la información
* Correos electrónicos del Subsistema de Gestión de Seguridad de la Información.
</t>
  </si>
  <si>
    <t>Número de casos de sustracción o alteración de información susceptible para el proceso de Gestión del Talento Humano, por parte de servidores públicos o colaboradores ajenos a dicho proceso.</t>
  </si>
  <si>
    <t>MANEJO INADECUADO DE LA INFORMACIÓN PERSONAL DE LOS SERVIDORES PÚBLICOS O COLABORADORES DEL INSTITUTO</t>
  </si>
  <si>
    <t xml:space="preserve">Inclumplimiento legal (ley de protección de datos)
Reclamaciones de los titulares de los datos
Pérdida de confidencialidad de la información.
Pérdida de la integridad de la información.
</t>
  </si>
  <si>
    <t xml:space="preserve">Número de casos de manejo inadecuado de la información  personal de los servidores públicos o colaboradores del Instituto. </t>
  </si>
  <si>
    <t>1. Seguimiento y revisión por parte del coordinador de nómina, analistas y técnicos. Este se hace de forma detallada manual y automática por medio de un aplicativo desarrollado para la validación de nómina.
2. El Sistema de Nómina cuenta con controles de acceso. Además cuando se realiza la liquidación de la nómina, se hace un barrido de la información que permite establecer alteraciones ocurridas.
3. Se da cumplimiento a la programación de pago de nómina establecida para la vigencia, información que es revisada por un un profesional del área para evitar error en el pago.</t>
  </si>
  <si>
    <t>1. Informar a la Oficina de Control Disciplinario el inicio de la investigación.
2. Realizar el ajuste en la base de datos.
3. Solicitar la devolución del dinero que se haya abonado por exceso.
4. Cancelar los valores pendientes por pagar.</t>
  </si>
  <si>
    <t>Realizar un inventario de acuerdo a lo establecido en el procedimiento para la administración de bienes muebles de la Entidad</t>
  </si>
  <si>
    <t># promedio de desviaciones y/o faltantes en los arqueos mensuales realizados a funcionaros y contratistas.</t>
  </si>
  <si>
    <t>Optimizar el espacio de las áreas dispuestas para el almacenamiento de los bienes en deposito mediante:
1. Enviar solicitud de inspección de los elementos de baja rotación a las áreas que les corresponda.
2. Identificar los elementos que son susceptibles de baja y gestionar el proceso de depuración.</t>
  </si>
  <si>
    <t>Evaluar alternativas temporales que puedan suplir la necesidad a contratar. En caso de existir un contrato vigente, se debe evaluar el estado del mismo y de ser posible adicionar/prorrogar de acuerdo a la necesidad.</t>
  </si>
  <si>
    <t># de quejas o reclamos realizados a la STRF, por indisponibilidad de bienes o servicios responsabilidad de la Subdirección.</t>
  </si>
  <si>
    <t>Profesional Universitario 2019-03. Cod. MF 431-STRF y contratistas de apoyo a la supervisión de los contratos de mantenimiento</t>
  </si>
  <si>
    <t>Identificar las causas de la no prestación adecuada, realizando las acciones correctivas de manera en que se programe y ejecute con carácter prioritario las actividades de mantenimiento no prestadas.</t>
  </si>
  <si>
    <t xml:space="preserve">1. Posibles demandas por parte de los afectados, 
2. Vencimiento de términos para reclamación
3. Desamparo de bienes o cargos 
</t>
  </si>
  <si>
    <t xml:space="preserve">Reportar oficialmente la novedad a la empresa corredora de seguros a cargo, solicitando las causas y la trazabilidad del requerimiento. De inmediato, emprender las acciones según corresponda. </t>
  </si>
  <si>
    <t># de quejas o reclamos realizados a la STRF, por inadecuada atención en los siniestros y reclamaciones realizadas.</t>
  </si>
  <si>
    <t>Estudios previos concurso de méritos</t>
  </si>
  <si>
    <t>Analizar las causas del evento presentado, sus causas y ejecutar las correcciones que corresponda.</t>
  </si>
  <si>
    <t># de quejas o reclamos realizados a la STRF, por inadecuada prestación de los servicios de transporte brindados por la Subdirección.</t>
  </si>
  <si>
    <t>Errores en la planeación de las áreas solicitantes o cambios de último momento que informan a destiempo</t>
  </si>
  <si>
    <t xml:space="preserve">Reportar  la novedad a la firma de vigilancia a cargo, para iniciar la investigación pertinente.
Dependiendo del resultado de la investigación, se ejecutan las acciones que correspondan. </t>
  </si>
  <si>
    <t># de reportes presentados a la firma de vigilancia, donde se informen la perdida o hurto de bienes a cargo de la Entidad.</t>
  </si>
  <si>
    <t>Reportar la novedad a la empresa encargada de los insumos y suministros, solicitando el cambio por garantía de los mismos. 
Sensibilizar a los centros de costos, sobre informar desperfectos y marcas al recibir insumos</t>
  </si>
  <si>
    <t># de reportes sobre la mala calidad en los insumos y suministros, presentados a la empresa contratista encargada.</t>
  </si>
  <si>
    <t>Proyección, al inicio de cada vigencia, del Acto Administrativo que constituye la caja menor, cumpliendo con los requisitos de ley.</t>
  </si>
  <si>
    <t>Analizar las causas del evento presentado y ejecutar las correcciones que corresponda.</t>
  </si>
  <si>
    <t># de quejas o reclamos realizados a la STRF, por la no atención oportuna de los requerimientos urgentes e imprescindibles realizados a la caja menor.</t>
  </si>
  <si>
    <t xml:space="preserve">Reportar de manera oficial la novedad a la ARL y a la profesional en SS&amp;T de la Entidad, a fin de iniciar la investigación pertinente. Posterior y dependiendo el resultado de la investigación se toman las acciones que correspondan. </t>
  </si>
  <si>
    <t># de reportes de incidentes o accidentes ocurridos en la prestación de los servicios de transporte brindados por la Subdirección.</t>
  </si>
  <si>
    <t>Establecimiento política de consumo de alcohol y drogas.
Creación y funcionamiento del comité de Seguridad Vial (Comité Institucional de Gestión y Desempeño) 
Plan Estratégico de Seguridad Vial  - PESV
Jornadas de sensibilización epidemiológica, y programa de prevención del consumo  de psicoactivos.</t>
  </si>
  <si>
    <t>Reportar la novedad al líder del Subsistema de Seguridad de la Información de la Entidad, con el propósito que evalué la situación y realice las acciones correspondientes.</t>
  </si>
  <si>
    <t># de reportes realizados al líder del Subsistema de Seguridad de la Información, notificando la materialización del riesgo.</t>
  </si>
  <si>
    <t>Reportar la novedad al líder del Subsistema de Seguridad de la Información de la Entidad, con el propósito que evalué la situación y realice las acciones correspondientes.
Reconstruir la información a partir de los Backup disponibles.</t>
  </si>
  <si>
    <t>Ejecutar el plan de continuidad de negocio establecido en la Entidad.</t>
  </si>
  <si>
    <t># de eventos o situaciones presentadas en donde se haya materializado el riesgo.</t>
  </si>
  <si>
    <t>Actualizar el plan de acción SIGA</t>
  </si>
  <si>
    <t>(# de actividades cumplidas del cronograma de PGD  / # total de actividades del cronograma  de PGD para en el periodo) *100</t>
  </si>
  <si>
    <t>Aplicar el procedimiento de reconstrucción de archivos</t>
  </si>
  <si>
    <t xml:space="preserve">Número de denuncias,  reclamos o informes a la STRF, en donde se notifique la 
perdida o deterioro de la información a cargo del proceso de Gestión Documental. </t>
  </si>
  <si>
    <t>Insatisfacción y posibles quejas de los usuarios</t>
  </si>
  <si>
    <t>Solucionar la deficiencia presentada en la atención del  usuario.</t>
  </si>
  <si>
    <t>Número de reclamos o quejas a la STRF, en donde se notifique la 
atención ineficiente a los usuarios internos y externos del proceso de Gestión Documental</t>
  </si>
  <si>
    <t>Aplicar la guía de entrega de productos en formato digital.</t>
  </si>
  <si>
    <t>Número de reclamos o quejas a la STRF, en donde se notifique por parte de los usuarios del Centro de Documentación, la desactualización en los documentos misionales disponibles en el repositorio institucional.</t>
  </si>
  <si>
    <t>Realizar la labores correspondientes para la conservación y reconstrucción de la información.</t>
  </si>
  <si>
    <t>DIRECTOR TÉCNICO 
ADMINISTRATIVO Y FINANCIERO</t>
  </si>
  <si>
    <t>1. Administración inadecuada del inventario (desactualización de la información, no identificación de activos, etc.) 
2. No cumplimiento de políticas y  procedimientos para entrega y recibo de elementos en el almacén y/o bodega.
3. Fraude por parte de funcionarios y/o proveedores en la recepción de elementos.</t>
  </si>
  <si>
    <t>ROBOS DE ACTIVOS FÍSICOS EN EL ALMACEN O BODEGAS DEL IDU.</t>
  </si>
  <si>
    <t xml:space="preserve">Reportar la novedad a la firma de vigilancia a cargo, para iniciar la investigación pertinente. Dependiendo del resultado, se procede a notificar a la Oficina de Control Disciplinario del IDU y a los entes según corresponda. </t>
  </si>
  <si>
    <t>1. Realización de pagos a terceros sin el cumplimiento de los requisitos establecidos para el manejo de la caja menor.
2. Compra de bienes y/o servicios no autorizados.</t>
  </si>
  <si>
    <t>Aplicación del Manual de Manejo y Control de cajas menores de la Secretaria de Hacienda Distrital (Resolución No. DDC-000001 del 12 de mayo de 2009)
Aplicación del procedimiento Ejecución de compras PR-GAF-098
Registro de doble firmas para autorización de transacciones bancarias de la cuenta de caja menor.
Aplicación  y verificación del correcto diligenciamiento y aprobación del formato SOLICITUD DE COMPRA DE BIENES Y SERVICIOS POR CAJA MENOR FO-RF-01
Uso de la Guía de pago a terceros GU-GF-01</t>
  </si>
  <si>
    <t>Arqueos de autocontrol en el manejo de la caja menor
Arqueos de control por parte de la Oficina de Control Interno.</t>
  </si>
  <si>
    <t>Actas de arqueo
Saldos en Bancos
Reporte del aplicativo Stone</t>
  </si>
  <si>
    <t xml:space="preserve">Notificar la situación a la Oficina de Control Disciplinario del IDU y a los entes de control según corresponda. </t>
  </si>
  <si>
    <t>1. Ausencia de protocolos para el acceso a la información de los videos e ingreso de personal.
2. Acuerdos entre funcionarios y personal de vigilancia para adulterar información de ingreso y videos de las cámaras del IDU.
3. Administración inadecuadas de los registros de ingreso y Backup de videos.</t>
  </si>
  <si>
    <t xml:space="preserve">Reportar la novedad a la firma de vigilancia a cargo, para iniciar la investigación pertinente. 
Dependiendo del resultado se procede a notificar a la Oficina de Control Disciplinario del IDU y a los entes según corresponda. </t>
  </si>
  <si>
    <t xml:space="preserve">1. Ausencia de controles o inadecuada supervisión al contrato de suministro de combustible.
2. Acuerdos entre el personal operativo con el fin de suministrar cantidades de combustible o respuestas distintos a los reportadas. </t>
  </si>
  <si>
    <t>1. Deficiente calidad en los estudios y documentos previos.
2. Favorecimiento de los contratistas mediante la elaboración de  documentos precontractuales direccionados.</t>
  </si>
  <si>
    <t>Cumplimiento con lineamientos de la DTGC según cuantías de contratación
Comités de seguimiento a los procesos contractuales.</t>
  </si>
  <si>
    <t>1. Carencia de políticas y procedimientos de supervisión.
2. Supervisión de contratos centralizada.
3. Supervisión inadecuada de los contratos de bienes y servicios del IDU.
4. Deficiente calidad en los estudios y documentos previos.
5. Personal no idóneo para ejercer el apoyo a la supervisión técnica  y administrativa de contratos.</t>
  </si>
  <si>
    <t xml:space="preserve">
Obstaculización o desvío de investigaciones por parte de entes de control o usuarios de la información.
Pérdida de la memoria institucional (acervo documental)
Deterioro de imagen Institucional</t>
  </si>
  <si>
    <t>Aplicación de la documentación asociada al proceso de Gestión Documental, dentro de la cual se encuentra: 
- Manual de Gestión Documental del IDU. 
- Guía del usuario de gestión documental.
- Procedimiento "Consulta y préstamo de documentos" 
- Procedimiento "Procesos y servicios del centro de documentación"
- Guía "Entrega de productos en formato digital de proyectos realizados en la infraestructura de los sistemas de movilidad y espacio púbico"
Acceso para la consulta de los documentos mediante los sistemas de información de gestión documental ORFEO, DSpace y PMB (Catalogo, circulación y préstamo de documentos)
Aplicación del Sistema de Información de Gestión Documental y Base de Datos Winisis.
Suscripción de cláusulas de Confidencialidad en los contratos de prestación de servicios y  firma del documento de confidencialidad de las personas que manejan y/o procesan la información documental de la Entidad.
Procedimiento de consulta y préstamo documental que incluye políticas de no préstamo de documentos físicos cuando éstos se encuentren digitalizados y en caso de préstamo de documentos físicos, se cuentan con mecanismos de control del préstamo.
Disposición legal (Resolución 34217 de 2015), por la cual el Instituto adopta el marco de políticas de control para la seguridad de la información de la Entidad.</t>
  </si>
  <si>
    <t>Aplicar el procedimiento de reconstrucción de archivos.</t>
  </si>
  <si>
    <t xml:space="preserve"> STRF</t>
  </si>
  <si>
    <t>Reportar de manera inmediata los hechos acontencidos a las areas pertinentes</t>
  </si>
  <si>
    <t>GESTIÓN DE LA VALORIZACIÓN Y FINANCIACION</t>
  </si>
  <si>
    <t>Que se presenten fallas en la comunicación e insuficiente divulgación del Acuerdo  de Valorización</t>
  </si>
  <si>
    <t xml:space="preserve">1. Coordinación con la  OAC y OTC , plan comunicaciones Acuerdo de Valorizacion 
2. Socialización de los avances del plan de comunicaciones del Acuerdo de Valorización  </t>
  </si>
  <si>
    <t xml:space="preserve">*Solicitar a la OAC ajuste al plan de comunicaciones 
*Retroalimentacion con la OTC  sobre la  socialización del Acuerdo de Valorización </t>
  </si>
  <si>
    <t>Actividades de coordinacion con OAC y OTC para la definición y socialización del Plan de comunicaciones</t>
  </si>
  <si>
    <r>
      <t xml:space="preserve">
</t>
    </r>
    <r>
      <rPr>
        <sz val="8"/>
        <rFont val="Arial"/>
        <family val="2"/>
      </rPr>
      <t xml:space="preserve">
Adelantar las acciones pertinentes descritas en el  procedimiento establecido por incumplimiento de obligaciones 
Generar respuesta al contribuyente en el menor tiempo posible.</t>
    </r>
  </si>
  <si>
    <t>1, Que la información requerida de otras áreas y/o entidades no sea entregada a tiempo
2, No contar con el personal requerido para atender un alto volumen de reclamaciones, (por periodos específicos en el año)
3, Proyección errada de un concepto técnico.
4,Deficiente disponibilidad y/o conectividad de los servicios de los aplicativos de valoricemos y orfeo para resolver los recursos.
5.Las reclamaciones allegadas no cuentan con la suficiente claridad para dar respuesta de fondo a la solicitud por parte del contribuyente.</t>
  </si>
  <si>
    <t xml:space="preserve">1.Se realiza seguimiento oportuno en ORFEO y en valoricemos  a los requerimientos de información.
2.Revisar el recurso humano necesario para atender oportunamente los requerimientos y reclamaciones incluyendo en el anteproyecto del presupuesto (Plan de Contratación PSP)
3.Validar la información para la elaboración del concepto técnico.
4.Validar con la STRT el correcto funcionamiento de los aplicativos de ORFEO y VALORICEMOS, y solicitar  la solución de los inconvenientes que se presenten a través de la plataforma ARANDA. 
5.Análisis minucioso por parte del abogado sustanciador de las reclamaciones efectuadas por  el contribuyente, en caso de ser necesario abre periodo probatorio y solicita lo que requiere, el cual queda registrado en VALORICEMOS.
</t>
  </si>
  <si>
    <t>1.No realizar ninguna de  las actuaciones procesales  dentro del proceso ejecutivo de cobro coactivo.
2.No realizar el seguimiento oportuno de los terminos procesales.
3.Personal insuficiente para la cantidad de procesos en cobro coactivo.</t>
  </si>
  <si>
    <t xml:space="preserve">1.Seguimiento por parte de los revisores de cada uno de los grupos de abogados sustanciadores.
2.Personal destinado para realizar seguimiento y control a la gestón de los expedientes a cargo de la STJEF.
3.Plan de contratación de Personal de Prestación de Servicios.
</t>
  </si>
  <si>
    <t xml:space="preserve">Se realiza tramite pertinente ante el comité de cartera </t>
  </si>
  <si>
    <t xml:space="preserve">Procesos coactivos prescritos sin gestión / procesos coactivos activos </t>
  </si>
  <si>
    <t>DICIEMBRE12 2018</t>
  </si>
  <si>
    <t>1. Informar a la DG las modificaciones de los insumos presentados.
2. Reunión entre DG, SGDU, SGI, SGGC y DTAV para determinar el alcance de los ajustes a realizar.
3. Ajustar en debidamente el Proyecto de Acuerdo para presentación al Concejo.</t>
  </si>
  <si>
    <t>No. revisiones ejecutadas para aprobacion del proyecto de Acuerdo / No. de revisiones planificadas en el procedimiento.</t>
  </si>
  <si>
    <t>1. Realizar una segunda validación de la información utilizada en la liquidación por parte de STOP.
2. STOP informa las inconsistencias a la STRT para que se modifique la información del  predio en el sistema Valoricemos.
4. Generar proceso de liquidación</t>
  </si>
  <si>
    <t>Número de datos de predios con inconsistencias / Total de datos de predios analizados.</t>
  </si>
  <si>
    <t xml:space="preserve">Total paz y salvos revisados con deuda (De una muestra) / Total de paz y salvos revisados (De la muestra) </t>
  </si>
  <si>
    <t>Número de conceptos con inconsistencias / Total de conceptos revisados</t>
  </si>
  <si>
    <t>Registro en el sistema de  Valoricemos, forma IAJU Documento 300 de liquidación.
Guía del Calculo de la deuda</t>
  </si>
  <si>
    <t xml:space="preserve"> Proyectar oficios con solicitud de levantamiento de medidas sin estar cancelada la contribución. Acuerdos entre funcionarios y contribuyentes</t>
  </si>
  <si>
    <t>Numero de oficios con errores en la solicitud de levantamiento de gravamen / Numero de oficios revisado con solicitud de levantamiento de gravamen.</t>
  </si>
  <si>
    <t>Devolución de proyecto de actos administrativos con información no congruente con la normatividad x 100/Total de Actos proyectados.</t>
  </si>
  <si>
    <t>Inicio de la etapa de Construcción  sin el cumplimiento de los requisitos previos</t>
  </si>
  <si>
    <t>STEST - STESV - DTC- DTP -SGI - DG - INTERVENTORIA</t>
  </si>
  <si>
    <t>1. Formato FOEO12 LISTA CHEQUEO VERIF REQUISITO INICIO FASE EJECUCION DE OBRA.
2.  Procedimiento  PRDP080 CAMBIO DE ESTUDIOS Y DISENOS APROBADOS EN ETAPA DE CONSTRUCCION Y O CONSERVACION
3. Manual de Interventoría y Supervisión de Contratos.
5. Actas de Comité de obra.
6. Formato FOEO17 ACTA DE CAMBIO DE ETAPA
7. Guía GUDP01 ALCANCES ENTREGABLES DISENO.
8. Formato FOIN03  ACTA  DE  CRUCE  DE  CUENTAS  ENTRE  EL  IDU  Y  LAS  ESP.</t>
  </si>
  <si>
    <t>Iniciar el procedimiento interno para enviar a la DTGC, el informe de incumplimiento  FOGC06_INFORME TECNICO PRESUNTO INCUMPLIMIENTO CONTRACTUAL</t>
  </si>
  <si>
    <t>Personal no competente por parte del contratista e interventoría</t>
  </si>
  <si>
    <t>1. Revisar y verificar el cumplimiento por parte de la Interventoría y/o Supervisión lo establecido en el Contrato, pliego de condiciones y anexos relacionado con el personal del proyecto cuando se presenten las hojas de vida iniciales o al presentarse un cambio.
2. Comités mensuales de seguimiento a los pendientes realizados por la Dirección General y/o Subdirección General de Infraestructura y/o Dirección Técnica de Construcciones..
3. Elaborar comunicaciones oficiales entre áreas y/o Interventoría, reportando las situaciones, para hacer cumplir los requisitos mínimos establecidos o inicio del proceso sancionatorios a que haya lugar, cuando sea necesario
4. Aprobación por parte de la Interventoría y aval del IDU de Hojas vida del contratista, una vez cumplan los requisitos establecidos
5. Revisión y aprobación de hojas de vida del interventor, Aprobación de Hojas vida, una vez cumplan los requisitos establecidos.</t>
  </si>
  <si>
    <t>No contar en las áreas técnicas con el personal necesario para realizar el seguimiento al contrato.</t>
  </si>
  <si>
    <t>Entrega inoportuna y/o la falta de cumplimiento de requisitos en los informes por parte la interventoría.</t>
  </si>
  <si>
    <t>Realizar visitas de obra y asistencia a comités de obra y si es del caso el  Inicio el procedimiento interno para enviar a la DTGC, el informe de incumplimiento  FOGC06_INFORME TECNICO PRESUNTO INCUMPLIMIENTO CONTRACTUAL</t>
  </si>
  <si>
    <t>Elaborar y enviar a archivo la constancia de archivo o cierre del contrato o convenio</t>
  </si>
  <si>
    <t>Que las ESP, la SDM y otras entidades no suscriban el acta de recibo de activos en los tiempos pactados para la liquidación.</t>
  </si>
  <si>
    <t>1. Manual de Interventoría y supervisión de contratos
2. Procedimiento PRGC06 Imposición Multa clausula penal , caducidad y/o Afectación de garantía Única de Cumplimiento.
3. Convenios Interadministrativos con las ESP.
4.  Formato FOEO01 ACTA DE LIQUIDACION DE CONTRATO DE OBRA DE CONSTRUCCION
5. Formato FOEO06 ACTA RECIBO Y LIQUIDACION INTERVENTORIA OBRA.
6. GUIN02 COORDINACION IDU ESP TIC PROYECTOS INFRAESTRUCTURA TRANSPORTE</t>
  </si>
  <si>
    <t>1. Manual de Interventoría y/o Supervisión de contratos
2. Código de recursos Naturales.
3. Ley 99 de 1993
4. Código contencioso Administrativo.
5. Decreto 2041 de 2014.</t>
  </si>
  <si>
    <t>Identificar la información que ha sido sustraída con el fin de  desarrollar reuniones con el equipo de profesionales para recuperar dicha información así como solicitar a la STRT una socialización para evitar que se de  accesos de personas ajenas al proceso y verificar la pertinencia de iniciar las acciones legales correspondientes</t>
  </si>
  <si>
    <t>Número de casos presentados</t>
  </si>
  <si>
    <t>1. Resolución 34217 de 2015 de  Políticas de seguridad de la información.
2. Guía GUDO01 GUIA PARA LA GESTION DOCUMENTAL
3. Tablas de retención documental</t>
  </si>
  <si>
    <t>Identificar la información que ha sido sustraída o alterada con el fin de  desarrollar reuniones con el equipo de profesionales para recuperar dicha información así como solicitar a la STRT una socialización para evitar que se de  accesos de personas ajenas al proceso y verificar la pertinencia de iniciar las acciones legales correspondientes</t>
  </si>
  <si>
    <t>Solicitar a la STRT una socialización para evitar que se de  accesos de personas ajenas al proceso</t>
  </si>
  <si>
    <t>Alejandro Morales Montaña</t>
  </si>
  <si>
    <t>Director Técnico de Construcciones</t>
  </si>
  <si>
    <t xml:space="preserve">Subdirector General de Infraestructura </t>
  </si>
  <si>
    <t>Elaboró y consolido: Habib Leonardo Mejia Rivera  - DTC</t>
  </si>
  <si>
    <t>Diciembre de 2018</t>
  </si>
  <si>
    <t>DTC - STEST - STESV</t>
  </si>
  <si>
    <t>Se deberá informar a la OCD o a la Personería para que inicie el procedimiento correspondiente.</t>
  </si>
  <si>
    <t># solicitudes a la DTP  aplicando el Procedimiento PR-DP-080 / # de diseños solicitudes de modificar diseños en la etapa de construcción. x 100%</t>
  </si>
  <si>
    <t># de Contratos en donde se verifico el cumplimiento de los requisitos / # de contratos que se giró anticipo en el periodo  x 100 %</t>
  </si>
  <si>
    <t># de ítems no previstos que son revisados o que se encuentran en revisión / # de ítems no previstos que llegan para revisión 100%.</t>
  </si>
  <si>
    <t>Elaboró y consolidó: 
Habib Leonardo Mejia R</t>
  </si>
  <si>
    <t>MATRIZ DE RIESGOS INSTITUCIONAL IDU -  2019</t>
  </si>
  <si>
    <t>MAPA RIESGO DE CORRUPCIÓN</t>
  </si>
  <si>
    <t>Casi segura</t>
  </si>
  <si>
    <t>MAPA DE RIESGO DE CORRUPCIÓN</t>
  </si>
  <si>
    <t>MAPA DE  RIESGO DE GESTIÓN</t>
  </si>
  <si>
    <t>No se conoce que se haya presentado pérdida de la información relevante del proceso de planeación estratégica.</t>
  </si>
  <si>
    <t>Adriana Parra</t>
  </si>
  <si>
    <t>1. Desconocimiento de las normas presupuestales.
2. Presiones de funcionarios internos con poder de decisión que solicitan modificaciones para incluir gastos no autorizados. 
3. Presiones externas a funcionarios.</t>
  </si>
  <si>
    <t>Dorian P.
Dickson.</t>
  </si>
  <si>
    <t xml:space="preserve">1. Se realiza una identificación de las necesidades de recursos y se diligencia el formato de Anteproyecto de Presupuesto,  el cual es enviado a la SGDU y consolidado por la  Oficina Asesora de Planeación.
2. Se realiza una identificación de las necesidades de personal y se remite la solicitud al área responsable del Plan de contratación PSP.
3. Se realiza una identificación de las necesidades  de software y se efectúa la solicitud correspondiente a la Subdirección Técnica de Recursos Tecnológicos.
 4. Se realiza una identificación de las necesidades de infraestructura física  y se efectúa la solicitud a la Subdirección Técnica de Recursos Físicos. </t>
  </si>
  <si>
    <t xml:space="preserve">1. Fuga y uso indebido de información
2. Divulgación de información a terceros o personal no autorizado 
3, Copia, modificación, sustracción o eliminación de documentos o información.
</t>
  </si>
  <si>
    <t xml:space="preserve">Correos electrónicos.
Publicaciones Oficina Asesora de Comunicaciones.
Directrices emitidas por la Subdirección Técnica de Recursos Tecnológicos.
Actas, listas de asistencia.
</t>
  </si>
  <si>
    <t>Número se socializaciones realizadas sobre manejo adecuado de software o hardware</t>
  </si>
  <si>
    <t>Realizar la planeación, gestión, revisión, disposición y seguimiento de la información Geográfica, Precios de referencia, Directorio de Proveedores, Especificaciones Técnicas y Documentos Técnicos de la infraestructura vial y espacio público para brindar información eficiente y efectiva a los procesos misionales del instituto y a la ciudadanía en general.</t>
  </si>
  <si>
    <t>No se han presentado eventos en que se impida la participación ciudadana.</t>
  </si>
  <si>
    <t xml:space="preserve">No ha habido acceso de información por personas no autorizadas </t>
  </si>
  <si>
    <t>No se ha hecho mal uso de la información de la ciduadania manejada por la OTC.</t>
  </si>
  <si>
    <t>En el periodo la OTC no ha recibido denuncias ciudadanas asociadas al control social de los proyectos.</t>
  </si>
  <si>
    <t>(No. de convenios que no cumplieron con el desarrollo de las cargas urbanísticas / Total de convenios generados y suscritos) *100%.</t>
  </si>
  <si>
    <t>1. Modificación y solicitud extemporánea de requerimientos por parte de las entidades y/o empresas involucradas en los proyectos.
2. Falta de apropiación presupuestal por parte de las entidades y/o empresas para la ejecución de los proyectos acorde a su competencia.
3. Cambio de políticas o directrices de la Administración Distrital.
4. Desconocimiento en los procesos de selección de los procedimientos y/o acuerdos definidos en los convenios marco con la ESP.</t>
  </si>
  <si>
    <t xml:space="preserve">Cero (0) casos presentados en el proceso de Gestión Interinstitucional. </t>
  </si>
  <si>
    <t>Observaciones ó cambios presentados en:
Riesgo: Se mantiene igual.
Causas: Se mantienen igual.
Consecuencias: Se mantienen igual.
Controles: Se mantienen igual.
Acciones de contingencia: Se mantienen las acciones de contingencia a seguir.
Indicador: Se mantiene la formula del indicador.
Otros: Se mantiene la documentación asociada al control y al registro.</t>
  </si>
  <si>
    <t>1. Posible incumplimiento de las competencias normativas u obligaciones definidas  en los convenios o acuerdos suscritos con las Empresas de Servicios Públicos, Entidades  Públicas del Orden Nacional, Departamental, Municipal, Distrital y Privados.
2. Falta de participación de personal  competente  para la estructuración de los convenios o acuerdos con  las Empresas de Servicios Públicos, Entidades Públicas del Orden Nacional, Departamental, Municipal, Distrital y/o Privados.
3.  Aprovechamiento de la información y conocimiento en la estructuración de convenios o acuerdos para beneficio de la contraparte.</t>
  </si>
  <si>
    <r>
      <t xml:space="preserve">1. La no entrega oportuna de los proyectos de infraestructura vial y espacio público, afectando la movilidad en la ciudad.
2. Afectación del  presupuesto asignado para la ejecución de las metas físicas de los proyectos de infraestructura vial y espacio público.
</t>
    </r>
    <r>
      <rPr>
        <sz val="8"/>
        <rFont val="Arial"/>
        <family val="2"/>
      </rPr>
      <t>3. Eventual detrimento patrimonial para la Entidad.
4. Daño  a la imagen Institucional.</t>
    </r>
  </si>
  <si>
    <t xml:space="preserve">1. Contar con un equipo interdisciplinario (entre dependencias) que participe en la estructuración de convenios o acuerdos y las actividades de gestión interinstitucional con las ESP, Entidades del Orden Nacional, Departamental, Municipal, Distrital y Privados.
2. Realizar seguimiento periódico al desarrollo y ejecución de los convenios o acuerdos suscritos con las ESP, Entidades del Orden Nacional, Departamental, Municipal, Distrital y Privados.
3. Realizar actualización y seguimiento periódico del normograma para verificar la aplicación de las normatividad vigente emitida por las Entidades Públicas del Orden Nacional o Territorial para la estructuración y ejecución de los proyectos de infraestructura vial, transporte y espacio público.
</t>
  </si>
  <si>
    <t xml:space="preserve">1. Desarrollar reuniones con la SGJ y dependencias misionales para dar una pronta solución técnica y jurídica.
2. Solicitar conceptos técnicos y jurídicos a las entidades distritales que emitieron los actos administrativos de cargas de mitigación de impactos.
3. Solicitar conceptos técnicos y jurídicos a las entidades distritales en el tema de convenios con ESP.
4. Gestionar acciones de modificación y/o suspensión del convenio o acuerdo suscrito con  las ESP y/o Terceros, cuando aplique.
</t>
  </si>
  <si>
    <t>No se han realizado denuncias relacionadas con el riesgo de corrupción.</t>
  </si>
  <si>
    <t>Observaciones ó cambios presentados en:
Riesgo: Se mantiene
Causas: Se mantiene
consecuencias: Se mantiene
Controles: Se mentiene
Acciones de contingencia: Se mentiene
Indicador: Se mantiene
Otros:</t>
  </si>
  <si>
    <t>N.A.</t>
  </si>
  <si>
    <t xml:space="preserve">No se han recibido quejas de envío de información inexacta </t>
  </si>
  <si>
    <t>FALTA DE OPORTUNIDAD EN LA COMUNICACION  EXTERNA</t>
  </si>
  <si>
    <t>DEFICIENCIA EN LA PLANIFICACIÓN POR PARTE DE LOS CONTRATISTAS AL MOMENTO DE REPORTAR LA INFORMACION</t>
  </si>
  <si>
    <t>ACTIVIDADES DE LOS CONTRATISTAS DEL IDU QUE REQUIEREN DE DIVULGACION NO LOGREN LOS RESULTADOS ESPERADOS</t>
  </si>
  <si>
    <t>1. FO-CO-02 Solicitud de material de divulgación y boletines de prensa para proyectos IDU
2. Utilización del correo electrónico volantesidu@gmail.com</t>
  </si>
  <si>
    <t>1. FO-CO-02 Solicitud de material de divulgación y boletines de prensa para proyectos IDU
Solicitudes al correo electronico volantesidu@gmail.com</t>
  </si>
  <si>
    <t>Se tramitan las piezas de divulgación en proyectos IDU solicitados</t>
  </si>
  <si>
    <t>No se reportaron casos</t>
  </si>
  <si>
    <r>
      <t xml:space="preserve">
1. El profesional de comunicaciones gestiona las solicitudes allegadas por las areas y de igual manera realiza la gestión para que las áreas entreguen la información que aun no ha sido recibida.
2. De acuerdo con la información suministrada por las áreas técnicas de la entidad, la Oficina realiza un registro fotográfico y/o en video para ilustrar y divulgar los avances de las obras, o la información que debe ser divulgada a la comunidad</t>
    </r>
    <r>
      <rPr>
        <sz val="8"/>
        <color rgb="FFFF0000"/>
        <rFont val="Arial"/>
        <family val="2"/>
      </rPr>
      <t xml:space="preserve">
</t>
    </r>
    <r>
      <rPr>
        <sz val="8"/>
        <color theme="1"/>
        <rFont val="Arial"/>
        <family val="2"/>
      </rPr>
      <t xml:space="preserve">
</t>
    </r>
  </si>
  <si>
    <t xml:space="preserve">
1. FO-CO-02 Solicitud de material de divulgación y boletines de prensa para proyectos IDU
2. FO-CO-193 Registro de solicitudes de información y entrevistas externas.
3. Correo electronico volantesidu@gmail.com</t>
  </si>
  <si>
    <t>Observaciones ó cambios presentados en:
Riesgo: Se mantiene
Causas: Se mantiene
consecuencias: Se mentiene  
Controles: Se ajustó el control, numeral 2
Acciones de contingencia: Se mantiene
Indicador: Se mantiene
Otros: El registro 3 se ajusta</t>
  </si>
  <si>
    <t>1. Establecimiento de obligaciones contractuales claras para las Interventorías en cuanto a la elaboración de los cronogramas de seguimiento y la presentación de informes semanales.
2. Implementación de un mecanismo de alertas electrónicas del Sistema de Gestión Integral de Proyectos ZIPA, que informa al responsable de reportar el avance del proyecto y al jefe inmediato cuando no se ha producido el reporte oportuno.
3. Solicitud de ajuste de los reportes de desempeño a través del correo electrónico institucional o el Sistema de Gestión Integral de Proyectos ZIPA.
4. Realización de visitas periódicas a terreno por parte de las áreas a cargo de las etapas de construcción y conservación con el fin de corroborar la consistencia de la información reportada.
5. Acompañamiento de la OAP a las áreas involucradas en las diferentes etapas del ciclo de vida de los proyectos.
6. Reforzamiento de conocimientos al personal sobre los diferentes aspectos de la metodología de gestión de proyectos a través de iniciativas de capacitación.
7. Tablero de control publicado en el Sistema de Gestión Integral de Proyectos ZIPA que permite identificar claramente el estado de los proyectos que se encuentran en el sistema.
8. Auditorías Internas</t>
  </si>
  <si>
    <t>1. Contrato y documentos del proceso de selección
2. Correos electrónicos del Sistema de Gestión Integral de Proyectos ZIPA
3. Plataforma Google correo institucional y Sistema ZIPA
4. Actas de visita, registro en la bitácora, Informes de visitas
4. Registro fotográfico cuando haya lugar
5 y 6. Actas de reunión
5 y 6. Listas de asistencia 
7. Sistema de Gestión Integral de Proyectos ZIPA
8. Informes de auditorías</t>
  </si>
  <si>
    <t>1. El sistema ZIPA envía comunicación informando el evento a los subdirectores y Directores Técnicos de las dependencias técnicas del proyecto.
2. La supervisión del Proyecto debe requerir a la Interventoría para corrección de la información.
3. En caso de configuración de incumplimiento contractual seguir el procedimiento de Sanciones.
4. El área ejecutora solicita a la OAP la devolución de los informes a tráves del sistema ZIPA.
5. El área ejecutora realiza la corrección de la información en el sistema ZIPA.</t>
  </si>
  <si>
    <t>No se reportaron casos de accesos no autorizados al Sistema.  En los casos en lo que los usuarios manifestaron dudas al respecto, el sistema de registro de actividades del sistema permitió despejar dichas dudas.</t>
  </si>
  <si>
    <t>1) Incorporación de un Apéndice en los Pliegos de Condiciones en donde se describen los requisitos del programa de gestión de proyectos incluido en los nuevos pliego tipo.
2) Construcción de líneas base del alcance, tiempo y costo al inicio de cada etapa del ciclo de vida de los proyectos.
3) Equipo interdisciplinario que apoya la elaboración de los informes de avance de los proyectos, la revisión por parte del responsable y la consolidación, aprobación y análisis de los resultados.
4) Inspecciones en terreno por parte del área ejecutora.
5) Controles propios del Sistema de Gestión Integral de Proyectos ZIPA (alertas por desactualización de la información, filtros de aprobación para la información que se publica en el Visor de Proyectos, etc.).
6) Disponibilidad de la información de avance de los proyectos para los grupos de interés (internos y/o externos).
7) Auditorías internas.</t>
  </si>
  <si>
    <t>Observaciones ó cambios presentados en:
Riesgo: =
Causas: =
consecuencias: =
Controles: Con la promulgación de los pliegos tipo por parte del nivel central, el anterior apéndice de cronograma se transformará en el Programa de Gestión de Proyectos en el cual se establecerán nuevos controles y documentos que permitarán mejorar el seguimiento y control de los proyectos IDU.
Acciones de contingencia: =
Indicador: =
Otros:</t>
  </si>
  <si>
    <t>No</t>
  </si>
  <si>
    <t>DATO
DEL INDICADOR</t>
  </si>
  <si>
    <t>DTP-SGDU</t>
  </si>
  <si>
    <t>Presentación inoportuna de los Estudios en las etapas de factibilidad.</t>
  </si>
  <si>
    <t>1) Guías alcance y requerimientos técnicos de los productos de los estudios en las etapas de  factibilidad.
2) Actas de reunión y/o mesas de trabajo, listas de asistencia.
3) Comunicaciones ORFEO
4)  Cronograma de presentación de los estudios.</t>
  </si>
  <si>
    <r>
      <t xml:space="preserve">(No. De estudios de factibilidad presentados/ N° de estudios de  factibilidad programados en el periodo) </t>
    </r>
    <r>
      <rPr>
        <sz val="10"/>
        <rFont val="Arial"/>
        <family val="2"/>
      </rPr>
      <t>*</t>
    </r>
    <r>
      <rPr>
        <sz val="8"/>
        <rFont val="Arial"/>
        <family val="2"/>
      </rPr>
      <t xml:space="preserve"> 100%</t>
    </r>
  </si>
  <si>
    <t>0/0%</t>
  </si>
  <si>
    <t>Para este periodo no se presentaron modificaciones contractuales por lineamientos desactualizados.</t>
  </si>
  <si>
    <t>En el cuatrimestre no se presentaron modificaciones contractuales por errores en componentes técnicos de los pliegos de condiciones.</t>
  </si>
  <si>
    <t xml:space="preserve">
1. Actas de reunión y listas de asistencia.
2. MG-GC-01 Manual de Interventoría y/o supervisión de contratos.
3. Guía GU-IN-02 Coordinación IDU, ESP YTIC en proyectos de infraestructura de transporte.
4. Comunicaciones a través de ORFEO.
5. Guías alcance y requerimientos técnicos de los productos de los estudios en las etapas de pre factibilidad y factibilidad.
6. Contrato y sus documentos modificatorios.
7.  MG-GC-006 Manual de gestión contractual.
8. Instructivo IN-GC-03 Adopción de medidas frente al incumplimiento de los contratos</t>
  </si>
  <si>
    <t>R=0/1</t>
  </si>
  <si>
    <r>
      <t xml:space="preserve">Observaciones ó cambios presentados en:
</t>
    </r>
    <r>
      <rPr>
        <b/>
        <sz val="8"/>
        <rFont val="Arial"/>
        <family val="2"/>
      </rPr>
      <t>Riesgo</t>
    </r>
    <r>
      <rPr>
        <sz val="8"/>
        <rFont val="Arial"/>
        <family val="2"/>
      </rPr>
      <t xml:space="preserve">: Se mantiene
</t>
    </r>
    <r>
      <rPr>
        <b/>
        <sz val="8"/>
        <rFont val="Arial"/>
        <family val="2"/>
      </rPr>
      <t>Causas:</t>
    </r>
    <r>
      <rPr>
        <sz val="8"/>
        <rFont val="Arial"/>
        <family val="2"/>
      </rPr>
      <t xml:space="preserve">Se mantienen las mismas causas
</t>
    </r>
    <r>
      <rPr>
        <b/>
        <sz val="8"/>
        <rFont val="Arial"/>
        <family val="2"/>
      </rPr>
      <t>Consecuencias</t>
    </r>
    <r>
      <rPr>
        <sz val="8"/>
        <rFont val="Arial"/>
        <family val="2"/>
      </rPr>
      <t xml:space="preserve">:Se mantienen las mismas
</t>
    </r>
    <r>
      <rPr>
        <b/>
        <sz val="8"/>
        <rFont val="Arial"/>
        <family val="2"/>
      </rPr>
      <t>Controles:</t>
    </r>
    <r>
      <rPr>
        <sz val="8"/>
        <rFont val="Arial"/>
        <family val="2"/>
      </rPr>
      <t xml:space="preserve"> Se reajustaron de acuerdo al riesgos y a las causas.
</t>
    </r>
    <r>
      <rPr>
        <b/>
        <sz val="8"/>
        <rFont val="Arial"/>
        <family val="2"/>
      </rPr>
      <t>Acciones de contingencia</t>
    </r>
    <r>
      <rPr>
        <sz val="8"/>
        <rFont val="Arial"/>
        <family val="2"/>
      </rPr>
      <t xml:space="preserve">:Se mantienen las mismas.
</t>
    </r>
    <r>
      <rPr>
        <b/>
        <sz val="8"/>
        <rFont val="Arial"/>
        <family val="2"/>
      </rPr>
      <t>Indicador</t>
    </r>
    <r>
      <rPr>
        <sz val="8"/>
        <rFont val="Arial"/>
        <family val="2"/>
      </rPr>
      <t xml:space="preserve">:Se mantiene
</t>
    </r>
    <r>
      <rPr>
        <b/>
        <sz val="8"/>
        <rFont val="Arial"/>
        <family val="2"/>
      </rPr>
      <t>Otros:</t>
    </r>
    <r>
      <rPr>
        <sz val="8"/>
        <rFont val="Arial"/>
        <family val="2"/>
      </rPr>
      <t>N.A</t>
    </r>
  </si>
  <si>
    <t>6 actividades de seguimiento/ 6  actividades divulgadas.
100%</t>
  </si>
  <si>
    <r>
      <t xml:space="preserve">Observaciones ó cambios presentados en:
</t>
    </r>
    <r>
      <rPr>
        <b/>
        <sz val="8"/>
        <rFont val="Arial"/>
        <family val="2"/>
      </rPr>
      <t>Riesgo:</t>
    </r>
    <r>
      <rPr>
        <sz val="8"/>
        <rFont val="Arial"/>
        <family val="2"/>
      </rPr>
      <t xml:space="preserve"> Se mantiene
</t>
    </r>
    <r>
      <rPr>
        <b/>
        <sz val="8"/>
        <rFont val="Arial"/>
        <family val="2"/>
      </rPr>
      <t>Causas:</t>
    </r>
    <r>
      <rPr>
        <sz val="8"/>
        <rFont val="Arial"/>
        <family val="2"/>
      </rPr>
      <t xml:space="preserve">Se mantienen las mismas causas
</t>
    </r>
    <r>
      <rPr>
        <b/>
        <sz val="8"/>
        <rFont val="Arial"/>
        <family val="2"/>
      </rPr>
      <t>Consecuencias</t>
    </r>
    <r>
      <rPr>
        <sz val="8"/>
        <rFont val="Arial"/>
        <family val="2"/>
      </rPr>
      <t xml:space="preserve">:Se mantienen las mismas
</t>
    </r>
    <r>
      <rPr>
        <b/>
        <sz val="8"/>
        <rFont val="Arial"/>
        <family val="2"/>
      </rPr>
      <t>Controles:</t>
    </r>
    <r>
      <rPr>
        <sz val="8"/>
        <rFont val="Arial"/>
        <family val="2"/>
      </rPr>
      <t xml:space="preserve"> Se reajustaron de acuerdo al riesgos y a las causas.
</t>
    </r>
    <r>
      <rPr>
        <b/>
        <sz val="8"/>
        <rFont val="Arial"/>
        <family val="2"/>
      </rPr>
      <t>Acciones de contingencia</t>
    </r>
    <r>
      <rPr>
        <sz val="8"/>
        <rFont val="Arial"/>
        <family val="2"/>
      </rPr>
      <t xml:space="preserve">:Se mantienen las mismas.
</t>
    </r>
    <r>
      <rPr>
        <b/>
        <sz val="8"/>
        <rFont val="Arial"/>
        <family val="2"/>
      </rPr>
      <t>Indicador:</t>
    </r>
    <r>
      <rPr>
        <sz val="8"/>
        <rFont val="Arial"/>
        <family val="2"/>
      </rPr>
      <t xml:space="preserve">Se mantiene
</t>
    </r>
    <r>
      <rPr>
        <b/>
        <sz val="8"/>
        <rFont val="Arial"/>
        <family val="2"/>
      </rPr>
      <t>Otros</t>
    </r>
    <r>
      <rPr>
        <sz val="8"/>
        <rFont val="Arial"/>
        <family val="2"/>
      </rPr>
      <t>:N.A</t>
    </r>
  </si>
  <si>
    <t>1.Incremento en los costos de los proyectos.
3. Demandas al Instituto y al Distrito.
5. Hallazgos de los entes de control.</t>
  </si>
  <si>
    <t>1. Informar a la OCD para el inicio de las investigaciones disciplinarias pertinentes.
2. Suspender el proceso de factibilidad objeto de investigación.
3. Solicitar una segunda revisión de las matrices multicriterio.</t>
  </si>
  <si>
    <r>
      <rPr>
        <b/>
        <i/>
        <sz val="8"/>
        <rFont val="Times New Roman"/>
        <family val="1"/>
      </rPr>
      <t xml:space="preserve">I </t>
    </r>
    <r>
      <rPr>
        <b/>
        <sz val="8"/>
        <rFont val="Arial"/>
        <family val="2"/>
      </rPr>
      <t>= N/A</t>
    </r>
    <r>
      <rPr>
        <sz val="8"/>
        <rFont val="Arial"/>
        <family val="2"/>
      </rPr>
      <t xml:space="preserve">
• </t>
    </r>
    <r>
      <rPr>
        <b/>
        <sz val="8"/>
        <rFont val="Arial"/>
        <family val="2"/>
      </rPr>
      <t>Fórmula:</t>
    </r>
    <r>
      <rPr>
        <sz val="8"/>
        <rFont val="Arial"/>
        <family val="2"/>
      </rPr>
      <t xml:space="preserve">  No de matriz multicriterio elaboradas / No. Factibilidades Entregadas.
</t>
    </r>
    <r>
      <rPr>
        <sz val="8"/>
        <rFont val="Arial"/>
        <family val="2"/>
      </rPr>
      <t xml:space="preserve">
</t>
    </r>
  </si>
  <si>
    <t>R=2 matrices multicriterio/ 2 factibilidades enrtregadas</t>
  </si>
  <si>
    <r>
      <t xml:space="preserve">Observaciones ó cambios presentados en:
</t>
    </r>
    <r>
      <rPr>
        <b/>
        <sz val="8"/>
        <rFont val="Arial"/>
        <family val="2"/>
      </rPr>
      <t>Riesgo:</t>
    </r>
    <r>
      <rPr>
        <sz val="8"/>
        <rFont val="Arial"/>
        <family val="2"/>
      </rPr>
      <t xml:space="preserve">Se mantiene el riesgo
</t>
    </r>
    <r>
      <rPr>
        <b/>
        <sz val="8"/>
        <rFont val="Arial"/>
        <family val="2"/>
      </rPr>
      <t>Causas</t>
    </r>
    <r>
      <rPr>
        <sz val="8"/>
        <rFont val="Arial"/>
        <family val="2"/>
      </rPr>
      <t xml:space="preserve">:Se mantienen las mismas causas
</t>
    </r>
    <r>
      <rPr>
        <b/>
        <sz val="8"/>
        <rFont val="Arial"/>
        <family val="2"/>
      </rPr>
      <t>Consecuencias:</t>
    </r>
    <r>
      <rPr>
        <sz val="8"/>
        <rFont val="Arial"/>
        <family val="2"/>
      </rPr>
      <t xml:space="preserve">Se mantienen las mismas consecuencias
</t>
    </r>
    <r>
      <rPr>
        <b/>
        <sz val="8"/>
        <rFont val="Arial"/>
        <family val="2"/>
      </rPr>
      <t>Controles:</t>
    </r>
    <r>
      <rPr>
        <sz val="8"/>
        <rFont val="Arial"/>
        <family val="2"/>
      </rPr>
      <t xml:space="preserve">Se manitienen los mismos controles
</t>
    </r>
    <r>
      <rPr>
        <b/>
        <sz val="8"/>
        <rFont val="Arial"/>
        <family val="2"/>
      </rPr>
      <t>Acciones de contingencia:</t>
    </r>
    <r>
      <rPr>
        <sz val="8"/>
        <rFont val="Arial"/>
        <family val="2"/>
      </rPr>
      <t xml:space="preserve"> Se mantienen las mismas acciones.
</t>
    </r>
    <r>
      <rPr>
        <b/>
        <sz val="8"/>
        <rFont val="Arial"/>
        <family val="2"/>
      </rPr>
      <t>Indicador:</t>
    </r>
    <r>
      <rPr>
        <sz val="8"/>
        <rFont val="Arial"/>
        <family val="2"/>
      </rPr>
      <t xml:space="preserve"> Se mantiene el mismo
</t>
    </r>
    <r>
      <rPr>
        <b/>
        <sz val="8"/>
        <rFont val="Arial"/>
        <family val="2"/>
      </rPr>
      <t>Otros:</t>
    </r>
    <r>
      <rPr>
        <sz val="8"/>
        <rFont val="Arial"/>
        <family val="2"/>
      </rPr>
      <t>N.A</t>
    </r>
  </si>
  <si>
    <t>Enviar memorando al area responsable de la modificación, reiterando los resultados del modelo de priorización para que la entidad tome las medidas pertinentes.</t>
  </si>
  <si>
    <r>
      <rPr>
        <b/>
        <i/>
        <sz val="8"/>
        <rFont val="Times New Roman"/>
        <family val="1"/>
      </rPr>
      <t xml:space="preserve">I </t>
    </r>
    <r>
      <rPr>
        <b/>
        <sz val="8"/>
        <rFont val="Arial"/>
        <family val="2"/>
      </rPr>
      <t>= N/A</t>
    </r>
    <r>
      <rPr>
        <sz val="8"/>
        <rFont val="Arial"/>
        <family val="2"/>
      </rPr>
      <t xml:space="preserve">
• </t>
    </r>
    <r>
      <rPr>
        <b/>
        <sz val="8"/>
        <rFont val="Arial"/>
        <family val="2"/>
      </rPr>
      <t>Fórmula:</t>
    </r>
    <r>
      <rPr>
        <sz val="8"/>
        <rFont val="Arial"/>
        <family val="2"/>
      </rPr>
      <t xml:space="preserve">  No. de modelos matemáticos de priorización utilizados  / No. Planes de intervención ejecutados.
</t>
    </r>
  </si>
  <si>
    <t>R=1 modelo matemático/ 1 PIE</t>
  </si>
  <si>
    <r>
      <t xml:space="preserve">Observaciones ó cambios presentados en:
</t>
    </r>
    <r>
      <rPr>
        <b/>
        <sz val="8"/>
        <rFont val="Arial"/>
        <family val="2"/>
      </rPr>
      <t>Riesgo:</t>
    </r>
    <r>
      <rPr>
        <sz val="8"/>
        <rFont val="Arial"/>
        <family val="2"/>
      </rPr>
      <t xml:space="preserve"> Se mantiene el riesgo.
</t>
    </r>
    <r>
      <rPr>
        <b/>
        <sz val="8"/>
        <rFont val="Arial"/>
        <family val="2"/>
      </rPr>
      <t>Causas:</t>
    </r>
    <r>
      <rPr>
        <sz val="8"/>
        <rFont val="Arial"/>
        <family val="2"/>
      </rPr>
      <t xml:space="preserve"> Se mantienen las mismas causas
</t>
    </r>
    <r>
      <rPr>
        <b/>
        <sz val="8"/>
        <rFont val="Arial"/>
        <family val="2"/>
      </rPr>
      <t>Consecuencias:</t>
    </r>
    <r>
      <rPr>
        <sz val="8"/>
        <rFont val="Arial"/>
        <family val="2"/>
      </rPr>
      <t xml:space="preserve">Se mantienen las mismas consecuencias
</t>
    </r>
    <r>
      <rPr>
        <b/>
        <sz val="8"/>
        <rFont val="Arial"/>
        <family val="2"/>
      </rPr>
      <t>Controles:</t>
    </r>
    <r>
      <rPr>
        <sz val="8"/>
        <rFont val="Arial"/>
        <family val="2"/>
      </rPr>
      <t xml:space="preserve"> Se manitienen los mismos controles
</t>
    </r>
    <r>
      <rPr>
        <b/>
        <sz val="8"/>
        <rFont val="Arial"/>
        <family val="2"/>
      </rPr>
      <t>Acciones de contingencia:</t>
    </r>
    <r>
      <rPr>
        <sz val="8"/>
        <rFont val="Arial"/>
        <family val="2"/>
      </rPr>
      <t xml:space="preserve"> Se mantienen las mismas acciones.
</t>
    </r>
    <r>
      <rPr>
        <b/>
        <sz val="8"/>
        <rFont val="Arial"/>
        <family val="2"/>
      </rPr>
      <t>Indicador:</t>
    </r>
    <r>
      <rPr>
        <sz val="8"/>
        <rFont val="Arial"/>
        <family val="2"/>
      </rPr>
      <t xml:space="preserve"> Se mantiene el mismo
</t>
    </r>
    <r>
      <rPr>
        <b/>
        <sz val="8"/>
        <rFont val="Arial"/>
        <family val="2"/>
      </rPr>
      <t>Otros</t>
    </r>
    <r>
      <rPr>
        <sz val="8"/>
        <rFont val="Arial"/>
        <family val="2"/>
      </rPr>
      <t>:N.A</t>
    </r>
  </si>
  <si>
    <t>1. Informar a la OCD para el inicio de las investigaciones disciplinarias pertinentes.
2.  Una vez se identifique la filtración de información se solicita el acompañamiento a la DTGC y DTGJ para el inicio de procesos legales y demandas en contra de los funcionarios y/o consultores implicados.</t>
  </si>
  <si>
    <r>
      <rPr>
        <b/>
        <sz val="8"/>
        <rFont val="Arial"/>
        <family val="2"/>
      </rPr>
      <t>I=N/A
• Fórmula:</t>
    </r>
    <r>
      <rPr>
        <sz val="8"/>
        <rFont val="Arial"/>
        <family val="2"/>
      </rPr>
      <t xml:space="preserve">
N° Actividades de seguimiento registradas en medios tecnologicos / Total de actividades divulgadas * 100
</t>
    </r>
  </si>
  <si>
    <r>
      <t xml:space="preserve">Observaciones ó cambios presentados en:
</t>
    </r>
    <r>
      <rPr>
        <b/>
        <sz val="8"/>
        <rFont val="Arial"/>
        <family val="2"/>
      </rPr>
      <t>Riesgo</t>
    </r>
    <r>
      <rPr>
        <sz val="8"/>
        <rFont val="Arial"/>
        <family val="2"/>
      </rPr>
      <t xml:space="preserve">:Se mantiene el riesgo
</t>
    </r>
    <r>
      <rPr>
        <b/>
        <sz val="8"/>
        <rFont val="Arial"/>
        <family val="2"/>
      </rPr>
      <t>Causas</t>
    </r>
    <r>
      <rPr>
        <sz val="8"/>
        <rFont val="Arial"/>
        <family val="2"/>
      </rPr>
      <t xml:space="preserve">:Se mantienen las mismas causas
</t>
    </r>
    <r>
      <rPr>
        <b/>
        <sz val="8"/>
        <rFont val="Arial"/>
        <family val="2"/>
      </rPr>
      <t>Consecuencias</t>
    </r>
    <r>
      <rPr>
        <sz val="8"/>
        <rFont val="Arial"/>
        <family val="2"/>
      </rPr>
      <t xml:space="preserve">:Se mantienen las mismas consecuencias
</t>
    </r>
    <r>
      <rPr>
        <b/>
        <sz val="8"/>
        <rFont val="Arial"/>
        <family val="2"/>
      </rPr>
      <t>Controles:</t>
    </r>
    <r>
      <rPr>
        <sz val="8"/>
        <rFont val="Arial"/>
        <family val="2"/>
      </rPr>
      <t xml:space="preserve">Se manitienen los mismos controles
</t>
    </r>
    <r>
      <rPr>
        <b/>
        <sz val="8"/>
        <rFont val="Arial"/>
        <family val="2"/>
      </rPr>
      <t>Acciones de contingencia</t>
    </r>
    <r>
      <rPr>
        <sz val="8"/>
        <rFont val="Arial"/>
        <family val="2"/>
      </rPr>
      <t xml:space="preserve">: Se mantienen las mismas acciones.
</t>
    </r>
    <r>
      <rPr>
        <b/>
        <sz val="8"/>
        <rFont val="Arial"/>
        <family val="2"/>
      </rPr>
      <t>Indicador:</t>
    </r>
    <r>
      <rPr>
        <sz val="8"/>
        <rFont val="Arial"/>
        <family val="2"/>
      </rPr>
      <t xml:space="preserve"> Se mantiene el mismo
</t>
    </r>
    <r>
      <rPr>
        <b/>
        <sz val="8"/>
        <rFont val="Arial"/>
        <family val="2"/>
      </rPr>
      <t>Otros</t>
    </r>
    <r>
      <rPr>
        <sz val="8"/>
        <rFont val="Arial"/>
        <family val="2"/>
      </rPr>
      <t>:N.A</t>
    </r>
  </si>
  <si>
    <t>1.Elaborar y remitir oficio de validación por parte de los especialistas, de cada uno de los componentes de la prefactibilidad o factibilidad.
2. Realizar el seguimiento y control durante la ejecución del contrato de todos los productos, utilizando el formato FO-FP-02 Lista de chequeo Entrega de productos etapa de factibilidad y el Manual de interventoría.</t>
  </si>
  <si>
    <t>1. Informar a la OCD para el inicio de las investigaciones disciplinarias pertinentes.
2.Definir acciones o estrategias para determinar la forma de agilizar la entrega de productos, una opcion puede ser intensificar esfuerzos de trabajo por parte de especialistas para agilizar la entrega de productos.</t>
  </si>
  <si>
    <r>
      <rPr>
        <b/>
        <i/>
        <sz val="8"/>
        <rFont val="Times New Roman"/>
        <family val="1"/>
      </rPr>
      <t xml:space="preserve">I </t>
    </r>
    <r>
      <rPr>
        <b/>
        <sz val="8"/>
        <rFont val="Arial"/>
        <family val="2"/>
      </rPr>
      <t>= N/A</t>
    </r>
    <r>
      <rPr>
        <sz val="8"/>
        <rFont val="Arial"/>
        <family val="2"/>
      </rPr>
      <t xml:space="preserve">
• </t>
    </r>
    <r>
      <rPr>
        <b/>
        <sz val="8"/>
        <rFont val="Arial"/>
        <family val="2"/>
      </rPr>
      <t>Fórmula:</t>
    </r>
    <r>
      <rPr>
        <sz val="8"/>
        <rFont val="Arial"/>
        <family val="2"/>
      </rPr>
      <t xml:space="preserve"> 
N° productos validados y aprobados que cumplen con la normatividad / Total de productos revisados * 100
</t>
    </r>
    <r>
      <rPr>
        <b/>
        <sz val="8"/>
        <rFont val="Arial"/>
        <family val="2"/>
      </rPr>
      <t/>
    </r>
  </si>
  <si>
    <r>
      <t xml:space="preserve">Observaciones ó cambios presentados en:
</t>
    </r>
    <r>
      <rPr>
        <b/>
        <sz val="8"/>
        <rFont val="Arial"/>
        <family val="2"/>
      </rPr>
      <t>Riesgo:</t>
    </r>
    <r>
      <rPr>
        <sz val="8"/>
        <rFont val="Arial"/>
        <family val="2"/>
      </rPr>
      <t xml:space="preserve">Se mantiene el riesgo
</t>
    </r>
    <r>
      <rPr>
        <b/>
        <sz val="8"/>
        <rFont val="Arial"/>
        <family val="2"/>
      </rPr>
      <t>Causas:</t>
    </r>
    <r>
      <rPr>
        <sz val="8"/>
        <rFont val="Arial"/>
        <family val="2"/>
      </rPr>
      <t xml:space="preserve">Se mantienen las mismas causas
</t>
    </r>
    <r>
      <rPr>
        <b/>
        <sz val="8"/>
        <rFont val="Arial"/>
        <family val="2"/>
      </rPr>
      <t>Consecuencias:</t>
    </r>
    <r>
      <rPr>
        <sz val="8"/>
        <rFont val="Arial"/>
        <family val="2"/>
      </rPr>
      <t xml:space="preserve">Se mantienen las mismas consecuencias
</t>
    </r>
    <r>
      <rPr>
        <b/>
        <sz val="8"/>
        <rFont val="Arial"/>
        <family val="2"/>
      </rPr>
      <t>Controles:</t>
    </r>
    <r>
      <rPr>
        <sz val="8"/>
        <rFont val="Arial"/>
        <family val="2"/>
      </rPr>
      <t xml:space="preserve">Se manitienen los mismos controles
</t>
    </r>
    <r>
      <rPr>
        <b/>
        <sz val="8"/>
        <rFont val="Arial"/>
        <family val="2"/>
      </rPr>
      <t>Acciones de contingencia:</t>
    </r>
    <r>
      <rPr>
        <sz val="8"/>
        <rFont val="Arial"/>
        <family val="2"/>
      </rPr>
      <t xml:space="preserve"> Se mantienen las mismas acciones.
</t>
    </r>
    <r>
      <rPr>
        <b/>
        <sz val="8"/>
        <rFont val="Arial"/>
        <family val="2"/>
      </rPr>
      <t>Indicador</t>
    </r>
    <r>
      <rPr>
        <sz val="8"/>
        <rFont val="Arial"/>
        <family val="2"/>
      </rPr>
      <t xml:space="preserve">:Se mantiene el mismo
</t>
    </r>
    <r>
      <rPr>
        <b/>
        <sz val="8"/>
        <rFont val="Arial"/>
        <family val="2"/>
      </rPr>
      <t>Otros:</t>
    </r>
    <r>
      <rPr>
        <sz val="8"/>
        <rFont val="Arial"/>
        <family val="2"/>
      </rPr>
      <t>N.A</t>
    </r>
  </si>
  <si>
    <t xml:space="preserve">1. Oficio por parte del IDU (Especialista) de declaratoria de cumplimiento de los requisitos establecidos en el contrato y  en la normatividad vigente.
2. Realizar el seguimiento y control durante la ejecución del contrato de todos los productos, utilizando el formato FO-FP-02 Lista de chequeo entrega de productos etapa de Factibilidad y el Manual de interventoría.  </t>
  </si>
  <si>
    <t>1.Aplicar lo dispuesto en el procedimiento de declaratoria de incumplimiento.
2. Una vez recibido, al identificarse el riesgo se solicita el acompañamiento a la DTGC y DTGJ para el inicio de procesos legales y demandas en contra de los consultores implicados.</t>
  </si>
  <si>
    <r>
      <rPr>
        <b/>
        <i/>
        <sz val="8"/>
        <rFont val="Times New Roman"/>
        <family val="1"/>
      </rPr>
      <t>I</t>
    </r>
    <r>
      <rPr>
        <b/>
        <sz val="8"/>
        <rFont val="Arial"/>
        <family val="2"/>
      </rPr>
      <t xml:space="preserve"> = N/A</t>
    </r>
    <r>
      <rPr>
        <sz val="8"/>
        <rFont val="Arial"/>
        <family val="2"/>
      </rPr>
      <t xml:space="preserve">
• </t>
    </r>
    <r>
      <rPr>
        <b/>
        <sz val="8"/>
        <rFont val="Arial"/>
        <family val="2"/>
      </rPr>
      <t>Fórmula:</t>
    </r>
    <r>
      <rPr>
        <sz val="8"/>
        <rFont val="Arial"/>
        <family val="2"/>
      </rPr>
      <t xml:space="preserve">
N° productos entregados con la lista de chequeo cumplida / Total factibilidades terminadas.
</t>
    </r>
    <r>
      <rPr>
        <b/>
        <sz val="8"/>
        <rFont val="Arial"/>
        <family val="2"/>
      </rPr>
      <t/>
    </r>
  </si>
  <si>
    <t>R=2 Listas de chequeo/ 2 Factibilidades terminadas.</t>
  </si>
  <si>
    <r>
      <t xml:space="preserve">Observaciones ó cambios presentados en:
</t>
    </r>
    <r>
      <rPr>
        <b/>
        <sz val="8"/>
        <rFont val="Arial"/>
        <family val="2"/>
      </rPr>
      <t>Riesgo</t>
    </r>
    <r>
      <rPr>
        <sz val="8"/>
        <rFont val="Arial"/>
        <family val="2"/>
      </rPr>
      <t xml:space="preserve">:Se mantiene el riesgo
</t>
    </r>
    <r>
      <rPr>
        <b/>
        <sz val="8"/>
        <rFont val="Arial"/>
        <family val="2"/>
      </rPr>
      <t>Causas:</t>
    </r>
    <r>
      <rPr>
        <sz val="8"/>
        <rFont val="Arial"/>
        <family val="2"/>
      </rPr>
      <t xml:space="preserve">Se mantienen las mismas causas
</t>
    </r>
    <r>
      <rPr>
        <b/>
        <sz val="8"/>
        <rFont val="Arial"/>
        <family val="2"/>
      </rPr>
      <t>Consecuencias</t>
    </r>
    <r>
      <rPr>
        <sz val="8"/>
        <rFont val="Arial"/>
        <family val="2"/>
      </rPr>
      <t xml:space="preserve">:Se mantienen las mismas consecuencias
</t>
    </r>
    <r>
      <rPr>
        <b/>
        <sz val="8"/>
        <rFont val="Arial"/>
        <family val="2"/>
      </rPr>
      <t>Controles</t>
    </r>
    <r>
      <rPr>
        <sz val="8"/>
        <rFont val="Arial"/>
        <family val="2"/>
      </rPr>
      <t xml:space="preserve">:Se manitienen los mismos controles
</t>
    </r>
    <r>
      <rPr>
        <b/>
        <sz val="8"/>
        <rFont val="Arial"/>
        <family val="2"/>
      </rPr>
      <t>Acciones de contingencia:</t>
    </r>
    <r>
      <rPr>
        <sz val="8"/>
        <rFont val="Arial"/>
        <family val="2"/>
      </rPr>
      <t xml:space="preserve"> Se mantienen las mismas acciones.
</t>
    </r>
    <r>
      <rPr>
        <b/>
        <sz val="8"/>
        <rFont val="Arial"/>
        <family val="2"/>
      </rPr>
      <t>Indicador:</t>
    </r>
    <r>
      <rPr>
        <sz val="8"/>
        <rFont val="Arial"/>
        <family val="2"/>
      </rPr>
      <t xml:space="preserve">Se mantiene el mismo
</t>
    </r>
    <r>
      <rPr>
        <b/>
        <sz val="8"/>
        <rFont val="Arial"/>
        <family val="2"/>
      </rPr>
      <t>Otros:</t>
    </r>
    <r>
      <rPr>
        <sz val="8"/>
        <rFont val="Arial"/>
        <family val="2"/>
      </rPr>
      <t>N.A</t>
    </r>
  </si>
  <si>
    <t>1. Una vez recibido, al identificarse el riesgo se solicita el acompañamiento a la DTGC y DTGJ para el inicio de procesos legales y demandas en contra de los consultores implicados.</t>
  </si>
  <si>
    <r>
      <rPr>
        <b/>
        <i/>
        <sz val="8"/>
        <rFont val="Times New Roman"/>
        <family val="1"/>
      </rPr>
      <t>I</t>
    </r>
    <r>
      <rPr>
        <b/>
        <sz val="8"/>
        <rFont val="Arial"/>
        <family val="2"/>
      </rPr>
      <t xml:space="preserve"> = N/A</t>
    </r>
    <r>
      <rPr>
        <sz val="8"/>
        <rFont val="Arial"/>
        <family val="2"/>
      </rPr>
      <t xml:space="preserve">
• </t>
    </r>
    <r>
      <rPr>
        <b/>
        <sz val="8"/>
        <rFont val="Arial"/>
        <family val="2"/>
      </rPr>
      <t>Fórmula:</t>
    </r>
    <r>
      <rPr>
        <sz val="8"/>
        <rFont val="Arial"/>
        <family val="2"/>
      </rPr>
      <t xml:space="preserve">
No. De solicitudes de modificacion devueltas por deficiente justicación / No. De solicitudes de modificación presentadas en el periodo
</t>
    </r>
    <r>
      <rPr>
        <b/>
        <sz val="8"/>
        <rFont val="Arial"/>
        <family val="2"/>
      </rPr>
      <t/>
    </r>
  </si>
  <si>
    <t>R=0/0</t>
  </si>
  <si>
    <r>
      <t xml:space="preserve">Observaciones ó cambios presentados en:
</t>
    </r>
    <r>
      <rPr>
        <b/>
        <sz val="8"/>
        <rFont val="Arial"/>
        <family val="2"/>
      </rPr>
      <t>Riesgo:</t>
    </r>
    <r>
      <rPr>
        <sz val="8"/>
        <rFont val="Arial"/>
        <family val="2"/>
      </rPr>
      <t xml:space="preserve">Se mantiene el riesgo
</t>
    </r>
    <r>
      <rPr>
        <b/>
        <sz val="8"/>
        <rFont val="Arial"/>
        <family val="2"/>
      </rPr>
      <t>Causas</t>
    </r>
    <r>
      <rPr>
        <sz val="8"/>
        <rFont val="Arial"/>
        <family val="2"/>
      </rPr>
      <t xml:space="preserve">:Se mantienen las mismas causas
</t>
    </r>
    <r>
      <rPr>
        <b/>
        <sz val="8"/>
        <rFont val="Arial"/>
        <family val="2"/>
      </rPr>
      <t>Consecuencias:</t>
    </r>
    <r>
      <rPr>
        <sz val="8"/>
        <rFont val="Arial"/>
        <family val="2"/>
      </rPr>
      <t xml:space="preserve">Se mantienen las mismas consecuencias
</t>
    </r>
    <r>
      <rPr>
        <b/>
        <sz val="8"/>
        <rFont val="Arial"/>
        <family val="2"/>
      </rPr>
      <t>Controles</t>
    </r>
    <r>
      <rPr>
        <sz val="8"/>
        <rFont val="Arial"/>
        <family val="2"/>
      </rPr>
      <t xml:space="preserve">:Se manitienen los mismos controles
</t>
    </r>
    <r>
      <rPr>
        <b/>
        <sz val="8"/>
        <rFont val="Arial"/>
        <family val="2"/>
      </rPr>
      <t xml:space="preserve">Acciones de contingencia: </t>
    </r>
    <r>
      <rPr>
        <sz val="8"/>
        <rFont val="Arial"/>
        <family val="2"/>
      </rPr>
      <t xml:space="preserve">Se mantienen las mismas acciones.
</t>
    </r>
    <r>
      <rPr>
        <b/>
        <sz val="8"/>
        <rFont val="Arial"/>
        <family val="2"/>
      </rPr>
      <t>Indicador:</t>
    </r>
    <r>
      <rPr>
        <sz val="8"/>
        <rFont val="Arial"/>
        <family val="2"/>
      </rPr>
      <t xml:space="preserve">Se mantiene el mismo
</t>
    </r>
    <r>
      <rPr>
        <b/>
        <sz val="8"/>
        <rFont val="Arial"/>
        <family val="2"/>
      </rPr>
      <t>Otros:</t>
    </r>
    <r>
      <rPr>
        <sz val="8"/>
        <rFont val="Arial"/>
        <family val="2"/>
      </rPr>
      <t>N.A</t>
    </r>
  </si>
  <si>
    <t xml:space="preserve">
El riesgo se retira de la matriz, toda vez que no se presentará ningún nuevo Proyecto de Acuerdo de Contribución de Valorización durante la presente vigencia a la Administración Distrital.</t>
  </si>
  <si>
    <t>Número predios liquidados con estado de cuenta no actualizado en el período /Total de predios liquidados en el período</t>
  </si>
  <si>
    <t>0/84</t>
  </si>
  <si>
    <t>0/286</t>
  </si>
  <si>
    <t>LIGIA STELLA RODRIGUEZ HERNANDEZ</t>
  </si>
  <si>
    <t xml:space="preserve">Subdirectora General de Gestion Corporativa </t>
  </si>
  <si>
    <t>CARLOS FRANCISCO RAMIREZ CARDENAS</t>
  </si>
  <si>
    <t xml:space="preserve">Subdirector Técnico Jurídico y de Ejecuciones Fiscales </t>
  </si>
  <si>
    <t xml:space="preserve">*Se ha realizado en conjunto con la OTC socializaciones a los contribuyentes de los ejes que conforman el Acuerdo 724 de 2018
*De otra parte se solicitó a la OAC la publicación de toda la información referente del Acuerdo 724 de 2018 , en la página web del idu como son:
*Acuerdo Sancionado
*Planos de ejes
*Memoria Técnica
*Resolución de Cartera
*Presentación proyectada en el Concejo Distrital"
</t>
  </si>
  <si>
    <t>Observaciones ó cambios presentados en:
Riesgo: Continua Igual
Causas: Continúa Igual
consecuencias: Continúa Igual
Controles: Continúa Igual
Acciones de contingencia: Continúa Igual
Indicador: Continúa Igual
Otros:</t>
  </si>
  <si>
    <t xml:space="preserve">
Que no se realicen las actividades pertinentes para el reintento de envío de los documentos devueltos   por dirección errada en los actos de notificación, resoluciones o cuentas de cobro
</t>
  </si>
  <si>
    <t xml:space="preserve">
Que la información de otras áreas y/o entidades no sea efectivo en entrega y  tiempo
Que la empresa contratistas no realice la entrega de manera efectiva
Que el contribuyente realice maniobras para evitar la entrega de la correspondencia
Que la información entregada por la UAECD presente desactualización
</t>
  </si>
  <si>
    <t xml:space="preserve">
1. Inicio de investigaciones
 2. Interposición de demandas ante la jurisdicción contencioso 
administrativa.
3. Declaratorias de nulidad por parte de la jurisdicción contencioso administrativa  
 4. Alto volumen de derechos de petición.
5. Incremento en los costos a nivel operativo.
</t>
  </si>
  <si>
    <t xml:space="preserve">
Correo Electrónico, actas, memorandos.
Reuniones de seguimiento con la empresa contratista
Acta de seguimiento y prueba de enrtega Física y virtual (guias)</t>
  </si>
  <si>
    <t>Reintentos realizados /Reintentos por realizar</t>
  </si>
  <si>
    <t>Que no se sustancie oportunamente las reclamaciones en el tiempo establecido por ley</t>
  </si>
  <si>
    <t xml:space="preserve">Proyectar la correspondientes providencia con el fin de llevar a cabo la sustanciación </t>
  </si>
  <si>
    <t xml:space="preserve">Reclamaciones sustanciadas/ Reclamaciones por sustanciar </t>
  </si>
  <si>
    <t>Observaciones ó cambios presentados en:
Riesgo: Se ajustó 
Causas: Permanecen iguales
consecuencias: Permanecen iguales
Controles:Siguen iguales
Acciones de contingencia:Se ajustaron
Indicador: Se ajustó 
Otros:</t>
  </si>
  <si>
    <t>Prescripción de la acción   de cobro, por falta de gestión coactiva</t>
  </si>
  <si>
    <t xml:space="preserve">SUBDIRECTORA GENERAL DE GESTION CORPORATIVA </t>
  </si>
  <si>
    <t xml:space="preserve">SUBDIRECTOR TECNICO JURIDICA Y EJECUCIONES FISCALES </t>
  </si>
  <si>
    <t>Observaciones ó cambios presentados en:
Riesgo: Se mantiene, no presenta cambios.
Causas: Se mantienen, no presentan cambios.
consecuencias: Se mantienen, no presentan cambios.
Controles: Se mantienen, no presentan cambios.
Acciones de contingencia: Se mantienen, no presentan cambios.
Indicador: Se mantiene, no presenta cambios.
Otros:</t>
  </si>
  <si>
    <t>Resultado: 0</t>
  </si>
  <si>
    <t>(No. De contratos liquidados anticipadamente por mala gestión en la etapa de factibilidad  / No. Contratos con  fase de factibilidad) X 100%</t>
  </si>
  <si>
    <t>(No. De Actividades de seguimiento registradas en medios tecnologicos / Total de actividades divulgadas) x 100%</t>
  </si>
  <si>
    <t>Resultado: (6/6)*100%= 100%</t>
  </si>
  <si>
    <t>Liquidar el  contrato aceptando  productos incompletos a cambio de descuentos para justificar la no  entrega del producto completo y exonerando  al  contratista  de futuras responsablidades, para favorecer a un tercero.</t>
  </si>
  <si>
    <t>• Fórmula:
(No. Contratos liquidados con productos  incompletos / No. Contratos liquidados)*100</t>
  </si>
  <si>
    <t>Mayo 2 de 2019</t>
  </si>
  <si>
    <t>Atraso en la ejecución de obras de infraestructura vial por no disposición de predios para el desarrollo de las mismas de acuerdo con los cronogramas</t>
  </si>
  <si>
    <t xml:space="preserve">1. No disponibilidad inmediata de los recursos destinados para la adquisición predial 
2. Insumos técnicos, jurídicos y sociales,  insuficientes para viabilizar la oferta predial 
3. No disposición de viabilidad predial </t>
  </si>
  <si>
    <t xml:space="preserve">
1. Parálisis en la ejecución de obras
2. Incumplimiento en la entrega de bienes y servicios. 
3. Demandas y demás
acciones jurídicas
4. Detrimento de la imagen de la entidad ante sus grupos de valor
5. Incumplimiento de metas institucionales y de gobierno. </t>
  </si>
  <si>
    <t xml:space="preserve">1. Revisión y programación anual de recursos desde el anteproyecto de presupuesto, previendo necesidades. 
2.  Seguimiento a cronogramas y planes asociados a la consecusión de los insumos técnicos, jurídicos y sociales. 
3. Seguimiento a los avances en el proceso de oferta y recibo de predios. </t>
  </si>
  <si>
    <t>DTDP
COMPONENTE   FINANCIERO  
COMPONENTE TÉCNICO
COMPONENTE JURIDICO</t>
  </si>
  <si>
    <t>1. Comunicaciones de programación y modificaciones o ajustes presupuestales. 
2. Actas de seguimiento</t>
  </si>
  <si>
    <t>(Total predios en proceso de adquisición ajustados a cronograma / Total predios en proceso de adquisición)*100%</t>
  </si>
  <si>
    <t>No aplica</t>
  </si>
  <si>
    <t xml:space="preserve">1. No disponibilidad de recursos presupuestales suficientes para la suscripción de contratos de vigilancia, demolición y cerramiento de los predios.
2. Incumplimiento de las obligaciones del contratista de vigilancia, demolición y cerramiento de predios. </t>
  </si>
  <si>
    <t xml:space="preserve">
1. Inseguridad en áreas de influencia de los proyectos
2. Apertura de procesos jurídicos de restitución.
3. Reclamos de la comunidad.
4. Detrimento de la imagen de la entidad ante sus grupos de valor</t>
  </si>
  <si>
    <t xml:space="preserve">1. Incorporar en el Anteproyecto de Presupuesto los recursos requeridos para financiar los contratos de vigilancia, demolición y cerramiento de predios; así mismo hacer la gestión correspondiente con el fin que dichos recursos se incorporen en el presupuesto de cada anualidad.
2. Seguimiento y control permanente a las obligaciones derivadas de los contratos de vigilancia, demolición y cerramiento. </t>
  </si>
  <si>
    <t>1. Comunicaciones de programación y modificaciones o ajustes presupuestales. 
2. Informes y actas de seguimiento de la ejecución de los contratos</t>
  </si>
  <si>
    <t>(Acciones de invasión subsanadas / Acciones de invasión presentadas) * 100%</t>
  </si>
  <si>
    <t xml:space="preserve">Frente a posibles intentos de invasión se han ejecutado las acciones previstas en las obligaciones de los contratos asociados a vigilancia y se ha priorizado la ejecución de los procesos de demolición y cerramiento en coherencia con los cronogramas de obra. </t>
  </si>
  <si>
    <t xml:space="preserve">Imposibilidad de restablecimiento de condiciones de las Unidades Sociales afectadas por el proceso de adquisición predial.   </t>
  </si>
  <si>
    <t>1. Dificultades en la consecución de inmuebles de reposición con características similares a las iniciales.
2. Desvinculación de las Unidades Sociales a los programas del Distrito en Salud, Educación, integridad social entre otros.  
3. Desinterés por falta de conocimiento o información acerca del Plan de Gestión Social estructurado por la entidad</t>
  </si>
  <si>
    <t>1. Retraso en los traslados y reubicación de las Unidades Sociales
2. Demoras en el Reasentamiento de las unidades sociales    
3. Detrimento de la imagen de la entidad ante sus grupos de valor</t>
  </si>
  <si>
    <t xml:space="preserve">1. Seguimiento de la atención realizada a las Unidades Sociales  identificadas en el CENSO, destacadas en el Diagnóstico y el Estudio de impacto.
2. Identificación y priorización de unidades vulnerables en comités de seguimiento </t>
  </si>
  <si>
    <t>1. Formato de verificación de traslado de la unidad social.
2. Actas de atención y seguimiento a unidades sociales
3. Actas de seguimiento a la gestión social desarrollada en cada uno de los proyectos</t>
  </si>
  <si>
    <t>Se ha efectuado el seguimiento a cada una de las unidades sociales interesadas en participar de los procesos de traslado a través de los comités de seguimiento predial en cada uno de los proyectos, identificando las vulnerabilidades y estableciendo los planes de acción que permitan a la población vulnerable acogerse al proceso</t>
  </si>
  <si>
    <t>1.  Manejo inadecuado del expediente
2. Capacidad insuficiente de almacenamiento de información en mecanismos de expediente electrónico.
3. Debilidades en el control y seguimiento a los expedientes</t>
  </si>
  <si>
    <t>1. Demoras en la entrega del predio por posibles pérdidas de la documentación a disposición del proceso
2. Afectación al debido proceso por ausencia de documentos vitales originales
3. Manipulación de la información para intereses indebidos</t>
  </si>
  <si>
    <t>1. Implementación de la Carpeta Única Consulta DTDP y digitalización de la información y cargue de la misma en los  aplicativos  y sistemas de la entidad.
2. Trasferencia de expedientes inactivos al archivo central.
3. Implementación de planillas para el control de préstamos de expedientes.</t>
  </si>
  <si>
    <t>1.Expediente digital 
2. Formato de Trasferencia de Archivos 
3. Registro de entrega de expedientes</t>
  </si>
  <si>
    <t>Reconstrucción de Expedientes o Documentos - Procedimiento Reconstrucción de Archivos PR-DO-07</t>
  </si>
  <si>
    <t>(Total expedientes conservados digitalmente/Total expedientes que hacen parte de la gestión predial)*100% 
(Total procesos de transferencia documental gestionados/Total procesos de transferencia documental programados)*100%</t>
  </si>
  <si>
    <t>100%
100%</t>
  </si>
  <si>
    <t xml:space="preserve">Se ha dado cumplimiento al 100% al cronograma de incorporación de la documentación en los expedientes que hacen parte de la carpeta única de consulta de la DTDP. 
Se han gestionado el 100% de las transferencias programadas al corte del 30 de abril de 2019 por el equipo de gestión documental </t>
  </si>
  <si>
    <t>1. Inadecuada aplicación o desconocimiento de  políticas de seguridad de la información
2. Interés en afectar gestión de los procesos de adquisición. 
3. Interés en favorecer a terceros con el manejo de la información</t>
  </si>
  <si>
    <t>1. Divulgación y uso indebido de la información  a terceras partes para fines no institucionales
2. Afectación al debido proceso por ausencia de documentos vitales originales</t>
  </si>
  <si>
    <t xml:space="preserve">1. Socialización de las políticas de seguridad de la información y de política antisoborno 
</t>
  </si>
  <si>
    <t>1. Actas y listas de asistencia a socializaciones  y sensibilizaciones realizadas.</t>
  </si>
  <si>
    <t xml:space="preserve">Se realizó jormada de sensibilización presentando los elementos más relevantes de la política de seguridad de la información y política antisoborno. </t>
  </si>
  <si>
    <t xml:space="preserve">1. Manejo inadecuado de los datos o información por parte de los usuarios responsables.
2. Manipulación por parte de terceros de equipos o de programas de cómputo o datos (físico o electrónico).
3. Interceptación total o parcial de datos (físicos o electrónico).  
</t>
  </si>
  <si>
    <t>1. Reprocesos por reconstrucción de información y de los expedientes.
2. Afectación de tiempos y entregables asociados al proyecto</t>
  </si>
  <si>
    <t xml:space="preserve">1. Socialización de las políticas de seguridad de la información y de política antisoborno 
2. Entrenamiento en diligenciamiento de sistemas de información   
</t>
  </si>
  <si>
    <t>Imposibilidad de acceso a los sistemas de información y/o aplicativos institucionales.</t>
  </si>
  <si>
    <t>1. Por eventos naturales que afecten la continuidad del negocio. 
2. Pérdida o desabastecimiento de energía eléctrica regulada, o daños accidentales en áreas críticas
3. Por destrucción de equipos, dispositivos, medios o instalaciones
4. Por ataque cibernético</t>
  </si>
  <si>
    <t>1. Afectación en la prestación de los servicios a los usuarios internos y a la ciudadanía.
(Disponibilidad)</t>
  </si>
  <si>
    <t xml:space="preserve">1. Participación en el análisis y formulación del plan de continuidad de negocio para el proceso de Gestión Predial.  
2. Mesa de trabajo conjunta entre la DTDP y la STRT para la valoración de alternativas de trabajo remoto y seguridad de información.  
3. Mesa de trabajo conjunta entre la DTDP y la STRT para el análisis y actualización de los protocolos de backup de información para la dependencia. </t>
  </si>
  <si>
    <t xml:space="preserve">Se han verificado tres agendas en función de la implementación de la agenda de seguridad y continuidad del negocio, de acuerdo a la programación establecida. </t>
  </si>
  <si>
    <t xml:space="preserve">Se anexa historico de modificaciones. </t>
  </si>
  <si>
    <t>1. Entrega no autorizada de información a  los afectados por obras públicas previo a la notificación de la Oferta de Compra mediante el acto administrativo</t>
  </si>
  <si>
    <t xml:space="preserve">Pérdida de confidencialidad frente a la información generada y administrada dentro del proceso de gestión predial </t>
  </si>
  <si>
    <r>
      <t xml:space="preserve">1. Afectación a terceros por entrega de información no definitiva o validada
2. Reproceso de actividades y aumento de carga operativa en procesos de validación
3. Reclamaciones o quejas de los usuarios, que implican investigaciones internas disciplinarias.
</t>
    </r>
    <r>
      <rPr>
        <sz val="8"/>
        <rFont val="Arial"/>
        <family val="2"/>
      </rPr>
      <t>4. . Detrimento de la imagen de la
entidad ante sus grupos de valor</t>
    </r>
  </si>
  <si>
    <t>1. Sistematización de la información en aplicativo de  predios. 
2. Restricción de permisos a los usuarios del aplicativo de predios por actividades, a través de la solicitud de creación de usuarios
3. Validación de los insumos previos a la notificación de la oferta de compra por parte de los articuladores. 
4. Clausula de confidencialidad en los contratos de prestación de servicios suscritos con el equipo que apoya la gestión de la DTDP</t>
  </si>
  <si>
    <t>1. Inducción al equipo de trabajo acerca del uso del sistema de información. 
2. Consolidación de protocolo de creación de usuarios en coherencia con políticas de la Subdirección Técnica de Recursos Tecnológicos
3. Inducción a contratistas nuevos acerca del proceso predial y las políticas anticorrupción y antisoborno. 
4.. Validación de inclusión de  la clausula de confidencialidad en los contratos de prestación de servicios suscritos con el equipo que apoya la gestión de la DTDP</t>
  </si>
  <si>
    <t>1. Actas de reunión 
2. Protocolo de creación de usuarios
3. Lista de chequeo de validación</t>
  </si>
  <si>
    <t>DIRECTORA TÉCNICA DE PREDIOS
COMPONENTE SISTEMAS DE INFORMACIÓN
COMPONENTE ADMINISTRATIVO</t>
  </si>
  <si>
    <t xml:space="preserve">Siguiendo el debido proceso, informar a la OCD, para que inicie la acción disciplinaria a que haya lugar  o las acciones ante las instancias correspondientes </t>
  </si>
  <si>
    <t>Incidentes de pérdida de confidencialidad reportados o denunciados de los predios objeto del proceso de adquisición predial/ Total de predios objeto del proceso de adquisición predial * 100</t>
  </si>
  <si>
    <t xml:space="preserve">1. Acuerdos entre el servidor del IDU y la unidad social censada
2. Presiones para alterar y/o modificar la información cualitativa o cuantitativa sobre las condiciones físicas y económicas de los predios objeto de adquisición
3. Diligenciamiento inadecuado de los formatos o bases de datos de información que hacen parte de la ejecución del procedimiento de adquisición predial </t>
  </si>
  <si>
    <t xml:space="preserve">Posibilidad de favorecer a terceros de forma indebida en el reconocimiento indemnizatorio dentro del proceso de adquisición predial. </t>
  </si>
  <si>
    <t>1. Detrimento patrimonial por mayor valor pagado por indemnizaciones 
2. Reproceso de actividades y aumento de carga operativa en procesos de validación
3.  Seguimientos e investigaciones por parte de entes de control
4. Detrimento de la imagen de la
entidad ante sus grupos de valor</t>
  </si>
  <si>
    <t>1. Validación por parte de los articuladores de cada uno de los insumos que determinan el reconocimiento indemnizatorio dentro del proceso de adquisición predial. 
2. Seguimiento al proceso de adquisición predial de cada uno de los predios que hacen parte de los proyectos a cargo de la DTDP</t>
  </si>
  <si>
    <t>1. Verificación por muestreo de la  validación en los sistemas de información de los productos que soportan la oferta de compra y de las modificaciones que se generen sobre la misma
2. Realización de sesiones de seguimiento a los predios objeto de adquisición de los proyectos a cargo de la DTDP</t>
  </si>
  <si>
    <t>1. Reportes de muestreo
2. Actas de seguimiento a predios en cada uno de los proyectos</t>
  </si>
  <si>
    <t xml:space="preserve">DIRECTORA TÉCNICA DE PREDIOS
COMPONENTE JURÍDICO
COMPONENTE SOCIAL
COMPONENTE DE GESTION TRANSVERSAL  
EQUIPO COMPONENTE FINANCIERO </t>
  </si>
  <si>
    <t>Siguiendo el debido proceso, informar a la OCD, para que inicie la apertura de la investigación disciplinaria  o las acciones ante las instancias correspondientes</t>
  </si>
  <si>
    <t>Incidentes de favorecimiento a terceros reportados o denunciados frente a reconocimientos indemnizatorios de predios objeto de adquisición predial/ Total de predios objeto del proceso de adquisición predial * 100</t>
  </si>
  <si>
    <t xml:space="preserve">1. Acuerdos entre el servidor del IDU y la unidad social censada
2. Presiones para alterar y/o modificar la información cualitativa o cuantitativa sobre las condiciones físicas, económicas y sociales en el Censo Social para beneficio de un particular.
3. Diligenciamiento inadecuado de los instrumentos censales del proceso
</t>
  </si>
  <si>
    <t xml:space="preserve">Posibilidad de favorecer a terceros de forma indebida en el reconocimiento a las compensaciones económicas dentro de los planes de gestión social. </t>
  </si>
  <si>
    <r>
      <t xml:space="preserve">1. Detrimento patrimonial por mayor valor pagado por compensaciones
2. Reproceso de actividades y aumento de carga operativa en procesos de validación
3.  Seguimientos e investigaciones por parte de entes de control
</t>
    </r>
    <r>
      <rPr>
        <sz val="8"/>
        <color rgb="FFFF0000"/>
        <rFont val="Arial"/>
        <family val="2"/>
      </rPr>
      <t xml:space="preserve">
</t>
    </r>
  </si>
  <si>
    <t>1. Validación por parte de los articuladores de cada uno de los insumos que determinan el reconocimiento compensatorio. 
2. Seguimiento al proceso de adquisición predial de cada uno de los predios que hacen parte de los proyectos a cargo de la DTDP</t>
  </si>
  <si>
    <t>1. Verificación por muestreo de la  validación en los sistemas de información de los productos que soportan el reconocimiento compensatorio y de las modificaciones que se generen sobre los mismos. 
2. Realización de sesiones de seguimiento a los predios objeto de adquisición de los proyectos a cargo de la DTDP</t>
  </si>
  <si>
    <t xml:space="preserve">DIRECTORA TÉCNICA DE PREDIOS
COMPONENTE SOCIAL
EQUIPO COMPONENTE FINANCIERO </t>
  </si>
  <si>
    <t>Incidentes de favorecimiento a terceros reportados o denunciados frente a reconocimientos compensatorios en predios objeto de adquisición predial/ Total de predios objeto del proceso de adquisición predial * 100</t>
  </si>
  <si>
    <t>Dar cumplimiento a los plazos establecidos contractualmente. Presiones Políticas</t>
  </si>
  <si>
    <t>1. Aplicación de la lista de chequeo  Verificación de requisitos para inicio de la fase de ejecución de obra, en la que se verifican los documentos requeridos para iniciar la etapa de obra, previo al inicio de la obra
2. Verificación de la Guía de Alcance Entregables Etapa de Diseños, previo al inicio de la obra.
3. Aplicación de lo contemplado en el Pliego de Condiciones y Anexos, durante la etapa de estudios y Diseños o la fase de Preliminares.
4. Comités mensuales  de seguimiento realizados por la Dirección General y/o Subdirección General de Infraestructura y/o Dirección Técnica de Construcciones 
5. Suscripción del  Acta de cambio de etapa  en la que se describen los "PRODUCTOS ENTREGADOS EN LA ETAPA QUE TERMINA / PRODUCTOS REQUERIDOS EN LA ETAPA QUE INICIA" cuando termina la etapa de estudios y Diseños
6. Aplicación del manual de Interventoría, durante la etapa de estudios y Diseños o la fase de Preliminares o la Etapa de Construcción.
7. Realización de Comités semanales seguimiento a compromisos del contratista, Interventor, delegados de las ESP, demás entidades e IDU.
8. Comité interinstitucional, para escalar los temas que no se pueden resolver con los delegados de las ESP y demás Entidades que se realiza mensualmente.
9. Aplicación del Apéndice social  en los cuales se establecen las obligaciones del contratista, relacionados con las reuniones periódicas  inicial, durante (semanal)  y final, con la participación de la comunidad, Contratista, Interventoría y el IDU.
10. verificación previo del inicio de la obra, de la Aplicación del apéndice Social en los relacionado con la creación e instalación del punto IDU, en donde explica y atiende a la comunidad en temas relacionados con el proyecto.
11. Verificación en el SIAC de las dedicaciones de los profesionales y que no estén al mismo tiempo en el contrato de obra y de Interventoría.
12. Aplicación del Manual de Gestión Predial en lo concerniente a la expedición del concepto de viabilidad predial, previo al inicio de la ejecución de la obra. 
13 Memorandos de alertas tempranas a la DTP según la fecha prevista de terminación de la etapa de Estudios y diseños.</t>
  </si>
  <si>
    <t>Verificar que actividades se pueden iniciar y reprogramar las actividades
o si es del caso Suspender o prorrogar  el contrato de obra y de Interventoría en las etapas previas a la construcción o enviar el proceso sancionatorio a la DTGC o Terminar el contrato anticipadamente.</t>
  </si>
  <si>
    <t>1. Mala imagen para el IDU.
2. Afecta la durabilidad de la obra por  deficiencia en calidad de materiales y en los procesos constructivos.
3. Afecta servicio de espacio público y transporte de la ciudad.
4. Posibles Demandas de la comunidad, acciones populares.
6. Posible Inicio de investigaciones administrativas y disciplinarias por parte de los entes de control.</t>
  </si>
  <si>
    <t>1. Comités mensuales de seguimiento a los pendientes realizados por la Dirección General y/o Subdirección General de Infraestructura y/o Dirección Técnica de Construcciones.
2. Realizar Recorridos de obras y reuniones de comité semanal de obra.
3. Aplicación del procedimiento de declaratoria de incumplimiento al interventor por parte de la Supervisión del contrato, cuando se configuren incumplimientos de las obligaciones.
4. Verificar por parte de la supervisión IDU lo indicado en la Bitácora de Obra, de manera mensual
5. Revisión mensual y contraste  de los informes mensuales de interventoría.
6. Revisión de las actas de recibo parcial y/o final de obra por parte del los profesiones de apoyo a la supervisión.</t>
  </si>
  <si>
    <t>(Número de memorandos u oficios enviados a la DTGC , con el informe de incumplimiento  FOGC06_INFORME TECNICO PRESUNTO INCUMPLIMIENTO CONTRACTUAL)  / Número de contratos con Actas de Recibo parcial y/o final de  Obras suscritas sin el cumplimiento de las condiciones técnicas en el periodo) x 100%</t>
  </si>
  <si>
    <t>No se presentaron en el periodo</t>
  </si>
  <si>
    <t>No se Evidencia la materialización del riesgo en el periodo</t>
  </si>
  <si>
    <t>No se reporta</t>
  </si>
  <si>
    <t>No cumplimiento del objeto del proyecto en el plazo y recursos establecidos contractualmente.</t>
  </si>
  <si>
    <t>1. Comités mensuales de seguimiento a los pendientes realizados por la Dirección General y/o Subdirección General de Infraestructura y/o Dirección Técnica de Construcciones.
2. Elaborar comunicaciones oficiales entre áreas y/o Interventoría, reportando las situaciones, para hacer cumplir los requisitos mínimos establecidos o inicio del proceso sancionatorios a que haya lugar, cuando sea necesario
3. Reuniones  mensuales interinstitucionales, con el fin de agilizar los tramites entres las partes
4. Aplicación cuando sea necesario de la Guía de Coordinación IDU, ESP Y TIC  en Proyectos de Infraestructura
5. Aplicación permanente de la Ley de Infraestructura 1682 de 2013.
6. Aplicación permanente de lo establecido en los convenios con las ESP.</t>
  </si>
  <si>
    <t>No se materializó el riesgo por esta causa</t>
  </si>
  <si>
    <t xml:space="preserve"> (Número de contratos con reportes en el ZIPA a cargo de la DTC) / (Número de contratos a cargo de la DTC en el periodo)  x 100%</t>
  </si>
  <si>
    <t>21 / 21 x 100%
100%</t>
  </si>
  <si>
    <t>No realizar el trámite de las prorrogas, Adiciones, Mayores cantidades de obra y/o modificaciones en los contratos.</t>
  </si>
  <si>
    <t xml:space="preserve">1. Comités mensuales de seguimiento realizados por la Dirección General y/o Subdirección General de Infraestructura y/o Dirección Técnica de Construcciones.
2. Dar a conocer las directrices del manual de gestión Contractual relacionado con la suscripción de modificaciones contractuales al inicio del contrato.
</t>
  </si>
  <si>
    <t>(Número de memorandos u oficios enviados a la DTGC , con el informe de incumplimiento  FOGC06_INFORME TECNICO PRESUNTO INCUMPLIMIENTO CONTRACTUAL)  / Número de contratos terminados sin el cumplimiento del objeto contractual en el periodo) x 100%</t>
  </si>
  <si>
    <t>1 / 1 x 100%
100%</t>
  </si>
  <si>
    <t>Falta de seguimiento y control  por parte de la interventoría a la calidad de la obra.</t>
  </si>
  <si>
    <t xml:space="preserve">1. Comités mensuales de seguimiento realizados por la Dirección General y/o Subdirección General de Infraestructura y/o Dirección Técnica de Construcciones.
2. Dar a conocer las directrices del manual de Interventoría al inicio del contrato.
</t>
  </si>
  <si>
    <t>Estudios y diseños deficientes y/o desactualizados o circunstancias no previstas en la Ejecución de la obra, que inciden en hacer nuevos diseños y nuevos presupuestos y generación de nuevos APUS</t>
  </si>
  <si>
    <t>1. Mala calificación al contratista en los componentes  SST, Ambiental, PMT y Social.
2. Demoras en el recibo y Liquidación.
3.Demora en los pagos a interventorías y contratistas.
4. Posibles demoras en la ejecución de la obra.
5. Desgaste y reprocesos.</t>
  </si>
  <si>
    <t>Seguimiento al reporte oportuno en el ZIPA de cada uno de los proyectos a cargo de la DTC.</t>
  </si>
  <si>
    <t>1. Identificación en el anteproyecto de presupuesto la cantidad de profesionales requeridos para la vigencia por parte de las áreas anualmente</t>
  </si>
  <si>
    <t>Comunicación por parte de la DTC de la matriz de cargas de trabajo, indicando las necesidades de personal</t>
  </si>
  <si>
    <t xml:space="preserve">1. Requerir cuando se presente atrasos en al entrega de los informes, al interventor para que cumpla con los plazos contractuales establecidos para la entrega de los mismos.
2. Iniciar el proceso sancionatorio al interventor por la entrega o entrega inoportuna de los informes mensuales y semanales, cuando sea necesario. .
3.Realizar el seguimiento a la obra con visitas semanales para verificar el cumplimiento del objeto contractual. </t>
  </si>
  <si>
    <t>(Número de contratos en la que se realizan visitas de obra y asistencia a los comités de obra / Número de contratos en ejecución en el periodo) x 100%</t>
  </si>
  <si>
    <t>1. Inicio de posibles acciones disciplinarias para el equipo de apoyo a la Supervisión, el Supervisor y el Ordenador de gasto del contrato.
2. Futuras demandas por parte de los contratistas e interventores por la demora en el saldo que se debe cancelar contra acta de liquidación.
3. Investigaciones por parte de los organismos de control por la demora en la liquidación de los contratos.
4. Perdida de potestad para Liquidar el contrato.
5. Perdida de la trazabilidad de los documentos del contrato dificultando su liquidación.
6. Que las redes de servicio público o las obras  no puedan ser entregadas a las Empresas o Entidades.</t>
  </si>
  <si>
    <t>(Número de contratos con informes enviados de constancia de archivo o cierre del contrato / Número de contratos que no cumplieron el término establecido en el contrato y/o la Ley para liquidar) x 100%</t>
  </si>
  <si>
    <t>1.Una vez terminado el plazo del contrato, se realizan comunicaciones a los delegados de las empresas y demás Entidades, informando la terminación del contrato y el inicio de la etapa de liquidación de los contratos.
2. Reuniones de seguimiento entre el contratista, Interventoría e IDU, para verificar y hacer seguimiento  y establecer compromisos a los pendientes para liquidar los contratos.
3. Requerimientos formales al contratista, cuando sea necesario y en caso que no los atienda se aplica el procedimiento Sancionatorio 
2.  Gestión interinstitucional liderada por e l IDU cuando sea necesario de mesas de trabajo con las ESP para suscribir el acta de recibo de las obras.
3. Mesas de trabajo cuando se necesario con el contratista, Interventoría Idu, ESP y/o entidades para cerrar lo temas pendientes para liquidar el contrato.
5. consignar las notas o pendientes en el acta de liquidación del contrato, cuando no se pueda cerrar algún tramite con alguna ESP o Entidades
6. Verificar que existan as Actas de competencia suscritas con las ESP o las que aplique, previo al inicio de la etapa de Construcción.</t>
  </si>
  <si>
    <t>Que queden pasivos ambientales, que no se cierren los permisos con el ICANH  y/o que queden pendientes con la comunidad requeridos para el cierre social.</t>
  </si>
  <si>
    <t>1. Dar aplicación a los tiempos establecidos del manual de Interventoría y demás normatividad vigente que rige la parte ambiental con la atención de los pendientes y trámites, cuando se presenten ( al finalizar el contrato).
2. Dar aplicación al Procedimiento de gestión social en la etapa de construcción, definido y aplicado por la OTC, al finalizar el contrato.
3. Seguimiento por parte de los profesionales de los componentes Ambiental, Social, SST, Forestal  a los contratos mensualmente.
(Complementarlo con el de las ESP)</t>
  </si>
  <si>
    <t>(Número de capacitaciones requerías en periodo / Número de solicitudes realizadas a la STRT en el periodo)  x 100%</t>
  </si>
  <si>
    <t>No se suscribieron Mayores Cantidades en el periodo</t>
  </si>
  <si>
    <t>*Se da aplicación al Procedimiento PRGC06 - Declaratoria de Incumplimiento para la Imposición de multa, cláusula penal, caducidad y /o afectación de la garantía única de cumplimiento, adelantando las acciones de competencia de la DTM,  particularmente en el los casos que la sentencia o resolución de sanción contemple saldos a favor de la entidad se verifica que se haga efectivo el respectivo cobro por el área competente.</t>
  </si>
  <si>
    <t>Observaciones ó cambios presentados en:
Riesgo:  No presenta modificaciones.
Causas:  No presenta modificaciones.
consecuencias:  No presenta modificaciones.
Controles:  No presenta modificaciones.
Acciones de contingencia:   No presenta modificaciones.
Indicador:  No presenta modificaciones. 
Otros: No hay modificaciones</t>
  </si>
  <si>
    <t>* No cumplir con las metas previstas a ser atendidas a través del contrato 1505 de 2017, tanto físicas como presupuestales.
* Posibles demoras o prolongación de los tiempos para liquidación del contrato.</t>
  </si>
  <si>
    <t>La fecha en que se emita la resolución en firme por el incumplimiento por parte del contratista</t>
  </si>
  <si>
    <t>Las acciones propuestas consisten en hacer uso de  las herramientas jurídicas disponibles que aplican al contrato, pues más alla de aplicar estas herramientas, se escapa al control del proceso, el hacer que  se adelanten acciones derivadas de la voluntad de un tercero.</t>
  </si>
  <si>
    <t>1.  No. de contratos liquidados dentro de términos establecidos en el contrato y/o la ley  / No. contratos con vencimiento de términos para liquidación en el periodo evaluado</t>
  </si>
  <si>
    <t>1. 
100%</t>
  </si>
  <si>
    <r>
      <rPr>
        <b/>
        <sz val="8"/>
        <rFont val="Arial"/>
        <family val="2"/>
      </rPr>
      <t xml:space="preserve">1.  </t>
    </r>
    <r>
      <rPr>
        <sz val="8"/>
        <rFont val="Arial"/>
        <family val="2"/>
      </rPr>
      <t xml:space="preserve">         2  contratos liquidados dentro de términos establecidos en el contrato y/o la ley  / 2 contratos con vencimiento de términos para liquidación en el periodo evaluado
Resultado del Indicador: 100%
Se cumplió con la liquidación de los dos (2) contratos  cuyos términos para tal fin vencieron durante el periodo que se evalua.
</t>
    </r>
  </si>
  <si>
    <t xml:space="preserve">1. La administración del patio actualmente se lleva a cabo por parte de personal de la DTM a través de la cual se verifica que el manejo del material en el sitio de acopio sea acorde o lo requerido por la autoridad ambiental; igualmente los contratistas e interventores  deben de dar un manejo adecuado al material. 
2. El mantenimiento de las instalaciones del  patio se realiza  a través de la Subdirección Técnica de Recursos Físicos, área que a través de contratistas externos realiza actividades de recuperación del cerramiento,  limpieza de cunetas perimetrales, rocería, mantenimiento de baño portátil, e instalaciones eléctricas existentes.
3.  Actualmente se está dando cumplimiento  con lo exigido por la Secretaría Distrital de Ambiente.
</t>
  </si>
  <si>
    <t>1.
100%</t>
  </si>
  <si>
    <t xml:space="preserve">OSCAR RODOLFO ACEVEDO CASTRO  </t>
  </si>
  <si>
    <t>Director Técnico de Mantenimiento ( E )</t>
  </si>
  <si>
    <t>(# de revisiones periódicas con muestra aleatoria realizadas / # de revisiones periódicas con muestra aleatoria programadas)*100%</t>
  </si>
  <si>
    <r>
      <rPr>
        <b/>
        <sz val="9"/>
        <rFont val="Arial Unicode MS"/>
        <family val="2"/>
      </rPr>
      <t xml:space="preserve">Ejecutado: 6 / 6 = 100%
</t>
    </r>
    <r>
      <rPr>
        <sz val="9"/>
        <rFont val="Arial Unicode MS"/>
        <family val="2"/>
      </rPr>
      <t xml:space="preserve">
Se efectuó la revisión de seis (6) requerimientos a contratista por daños de su presunta imputabilidad, evidenciando que las solicitudes fueron realizadas oportunamente y acorde con lo reportado en los informes de visita.
Así mismo, los seis (6) requerimientos se encuentran gestionados a través del aplicativo Orfeo lo que confirma que fueron revisados y aprobados.
Con esto podemos evidenciar que los controles establecidos son efectivos, lo que nos permitió alcanzar el 100% de control.</t>
    </r>
  </si>
  <si>
    <r>
      <rPr>
        <b/>
        <u/>
        <sz val="9"/>
        <rFont val="Arial Unicode MS"/>
        <family val="2"/>
      </rPr>
      <t>Riesgo:</t>
    </r>
    <r>
      <rPr>
        <sz val="9"/>
        <rFont val="Arial Unicode MS"/>
        <family val="2"/>
      </rPr>
      <t xml:space="preserve"> Se mantiene el riesgo
</t>
    </r>
    <r>
      <rPr>
        <b/>
        <u/>
        <sz val="9"/>
        <rFont val="Arial Unicode MS"/>
        <family val="2"/>
      </rPr>
      <t xml:space="preserve">
Causas:</t>
    </r>
    <r>
      <rPr>
        <sz val="9"/>
        <rFont val="Arial Unicode MS"/>
        <family val="2"/>
      </rPr>
      <t xml:space="preserve"> Al revisar las causas establecidas, éstas continúan. No se identificaron nuevas causas.
</t>
    </r>
    <r>
      <rPr>
        <b/>
        <u/>
        <sz val="9"/>
        <rFont val="Arial Unicode MS"/>
        <family val="2"/>
      </rPr>
      <t xml:space="preserve">
Controles: </t>
    </r>
    <r>
      <rPr>
        <sz val="9"/>
        <rFont val="Arial Unicode MS"/>
        <family val="2"/>
      </rPr>
      <t xml:space="preserve">Revisados los controles, estos se mantienen, se llevan a cabo y son tenidos en cuenta para las actividades relacionadas que se desarrollan en el área.
</t>
    </r>
    <r>
      <rPr>
        <b/>
        <u/>
        <sz val="9"/>
        <rFont val="Arial Unicode MS"/>
        <family val="2"/>
      </rPr>
      <t>Acciones asociadas:</t>
    </r>
    <r>
      <rPr>
        <sz val="9"/>
        <rFont val="Arial Unicode MS"/>
        <family val="2"/>
      </rPr>
      <t xml:space="preserve"> Para el periodo analizado se verificaron seis (6) requerimientos a Contratista, con el fin de revisar si fueron requeridos por los daños de su presunta imputabilidad:
</t>
    </r>
    <r>
      <rPr>
        <b/>
        <sz val="9"/>
        <rFont val="Arial Unicode MS"/>
        <family val="2"/>
      </rPr>
      <t xml:space="preserve">1. </t>
    </r>
    <r>
      <rPr>
        <sz val="9"/>
        <rFont val="Arial Unicode MS"/>
        <family val="2"/>
      </rPr>
      <t xml:space="preserve">Cto. IDU-945-2013 Requerimiento 20193750061441 del 5-feb-2019
</t>
    </r>
    <r>
      <rPr>
        <b/>
        <sz val="9"/>
        <rFont val="Arial Unicode MS"/>
        <family val="2"/>
      </rPr>
      <t>2.</t>
    </r>
    <r>
      <rPr>
        <sz val="9"/>
        <rFont val="Arial Unicode MS"/>
        <family val="2"/>
      </rPr>
      <t xml:space="preserve"> Cto. IDU-1702-2014 Requerimiento 20193750098221 del 18-feb-2019
</t>
    </r>
    <r>
      <rPr>
        <b/>
        <sz val="9"/>
        <rFont val="Arial Unicode MS"/>
        <family val="2"/>
      </rPr>
      <t>3.</t>
    </r>
    <r>
      <rPr>
        <sz val="9"/>
        <rFont val="Arial Unicode MS"/>
        <family val="2"/>
      </rPr>
      <t xml:space="preserve"> Cto. IDU-1510-2013 Requerimiento 20193750103781 del 20-feb-2019
</t>
    </r>
    <r>
      <rPr>
        <b/>
        <sz val="9"/>
        <rFont val="Arial Unicode MS"/>
        <family val="2"/>
      </rPr>
      <t>4.</t>
    </r>
    <r>
      <rPr>
        <sz val="9"/>
        <rFont val="Arial Unicode MS"/>
        <family val="2"/>
      </rPr>
      <t xml:space="preserve"> Cto. IDU-65-2011 Requerimiento 20193750136791 del 1-mar-2019
</t>
    </r>
    <r>
      <rPr>
        <b/>
        <sz val="9"/>
        <rFont val="Arial Unicode MS"/>
        <family val="2"/>
      </rPr>
      <t>5.</t>
    </r>
    <r>
      <rPr>
        <sz val="9"/>
        <rFont val="Arial Unicode MS"/>
        <family val="2"/>
      </rPr>
      <t xml:space="preserve"> Cto. IDU-966-2014 Requerimiento 20193750147921 del 5-mar- 2019
</t>
    </r>
    <r>
      <rPr>
        <b/>
        <sz val="9"/>
        <rFont val="Arial Unicode MS"/>
        <family val="2"/>
      </rPr>
      <t>6.</t>
    </r>
    <r>
      <rPr>
        <sz val="9"/>
        <rFont val="Arial Unicode MS"/>
        <family val="2"/>
      </rPr>
      <t xml:space="preserve"> Cto.IDU-138-2007 Requerimiento 20193750315261 del 23-abr-2019
Los soportes se encuentran en la carpeta de los contratos y el aplicativo Orfeo.</t>
    </r>
  </si>
  <si>
    <r>
      <rPr>
        <b/>
        <sz val="9"/>
        <rFont val="Arial Unicode MS"/>
        <family val="2"/>
      </rPr>
      <t xml:space="preserve">Ejecutado: 8 / 8 = 100%
</t>
    </r>
    <r>
      <rPr>
        <sz val="9"/>
        <rFont val="Arial Unicode MS"/>
        <family val="2"/>
      </rPr>
      <t xml:space="preserve">
Se efectuó la revisión de ocho (8) actas de entrega y recibo del espacio público, evidenciando que los espacio fueron utilizados adecuadamente y acorde al plazo estipulado.
Así las cosas, se puede evidenciar que el control establecido es efectivo, lo que nos permitió alcanzar el 100% de control.</t>
    </r>
  </si>
  <si>
    <r>
      <rPr>
        <b/>
        <u/>
        <sz val="9"/>
        <rFont val="Arial Unicode MS"/>
        <family val="2"/>
      </rPr>
      <t>Riesgo</t>
    </r>
    <r>
      <rPr>
        <sz val="9"/>
        <rFont val="Arial Unicode MS"/>
        <family val="2"/>
      </rPr>
      <t xml:space="preserve">: Se mantiene el riesgo.
</t>
    </r>
    <r>
      <rPr>
        <b/>
        <u/>
        <sz val="9"/>
        <rFont val="Arial Unicode MS"/>
        <family val="2"/>
      </rPr>
      <t>Causas</t>
    </r>
    <r>
      <rPr>
        <sz val="9"/>
        <rFont val="Arial Unicode MS"/>
        <family val="2"/>
      </rPr>
      <t xml:space="preserve">: No se identificaron nuevas causas.
</t>
    </r>
    <r>
      <rPr>
        <b/>
        <u/>
        <sz val="9"/>
        <rFont val="Arial Unicode MS"/>
        <family val="2"/>
      </rPr>
      <t>Controles</t>
    </r>
    <r>
      <rPr>
        <sz val="9"/>
        <rFont val="Arial Unicode MS"/>
        <family val="2"/>
      </rPr>
      <t xml:space="preserve">: Los controles se siguen efectuando.
</t>
    </r>
    <r>
      <rPr>
        <b/>
        <u/>
        <sz val="9"/>
        <rFont val="Arial Unicode MS"/>
        <family val="2"/>
      </rPr>
      <t>Acciones asociadas</t>
    </r>
    <r>
      <rPr>
        <sz val="9"/>
        <rFont val="Arial Unicode MS"/>
        <family val="2"/>
      </rPr>
      <t xml:space="preserve">:  Para el periodo analizado, se revisaron  ocho (8) actas de entrega y recibo del espacio público que permitieron evidenciar el uso adecuado del mismo, así: 
</t>
    </r>
    <r>
      <rPr>
        <b/>
        <sz val="9"/>
        <rFont val="Arial Unicode MS"/>
        <family val="2"/>
      </rPr>
      <t xml:space="preserve">1. </t>
    </r>
    <r>
      <rPr>
        <sz val="9"/>
        <rFont val="Arial Unicode MS"/>
        <family val="2"/>
      </rPr>
      <t xml:space="preserve">Acta Entrega del 31/01/2019 Rad. 20193750029031
</t>
    </r>
    <r>
      <rPr>
        <b/>
        <sz val="9"/>
        <rFont val="Arial Unicode MS"/>
        <family val="2"/>
      </rPr>
      <t xml:space="preserve">2. </t>
    </r>
    <r>
      <rPr>
        <sz val="9"/>
        <rFont val="Arial Unicode MS"/>
        <family val="2"/>
      </rPr>
      <t>Acta Recibo del 11/02/2019 Rad. 20193750029031</t>
    </r>
    <r>
      <rPr>
        <b/>
        <sz val="9"/>
        <rFont val="Arial Unicode MS"/>
        <family val="2"/>
      </rPr>
      <t xml:space="preserve">
3.</t>
    </r>
    <r>
      <rPr>
        <sz val="9"/>
        <rFont val="Arial Unicode MS"/>
        <family val="2"/>
      </rPr>
      <t xml:space="preserve"> Acta Entrega del 08/02/2019 Rad. 20193750042101
</t>
    </r>
    <r>
      <rPr>
        <b/>
        <sz val="9"/>
        <rFont val="Arial Unicode MS"/>
        <family val="2"/>
      </rPr>
      <t xml:space="preserve">4. </t>
    </r>
    <r>
      <rPr>
        <sz val="9"/>
        <rFont val="Arial Unicode MS"/>
        <family val="2"/>
      </rPr>
      <t xml:space="preserve">Acta Recibo del 28/02/2019 Cto IDU-DTAI-1-2019
</t>
    </r>
    <r>
      <rPr>
        <b/>
        <sz val="9"/>
        <rFont val="Arial Unicode MS"/>
        <family val="2"/>
      </rPr>
      <t xml:space="preserve">5. </t>
    </r>
    <r>
      <rPr>
        <sz val="9"/>
        <rFont val="Arial Unicode MS"/>
        <family val="2"/>
      </rPr>
      <t xml:space="preserve">Acta Entrega del 11/03/2019 Cto IDU-DTAI-3-2019
</t>
    </r>
    <r>
      <rPr>
        <b/>
        <sz val="9"/>
        <rFont val="Arial Unicode MS"/>
        <family val="2"/>
      </rPr>
      <t>6.</t>
    </r>
    <r>
      <rPr>
        <sz val="9"/>
        <rFont val="Arial Unicode MS"/>
        <family val="2"/>
      </rPr>
      <t xml:space="preserve"> Acta Recibo del 18/03/2019 Cto IDU-DTAI-3-2019
</t>
    </r>
    <r>
      <rPr>
        <b/>
        <sz val="9"/>
        <rFont val="Arial Unicode MS"/>
        <family val="2"/>
      </rPr>
      <t>7.</t>
    </r>
    <r>
      <rPr>
        <sz val="9"/>
        <rFont val="Arial Unicode MS"/>
        <family val="2"/>
      </rPr>
      <t xml:space="preserve"> Acta Entrega del 11/04/2019 Rad. 20193750267431
</t>
    </r>
    <r>
      <rPr>
        <b/>
        <sz val="9"/>
        <rFont val="Arial Unicode MS"/>
        <family val="2"/>
      </rPr>
      <t>8.</t>
    </r>
    <r>
      <rPr>
        <sz val="9"/>
        <rFont val="Arial Unicode MS"/>
        <family val="2"/>
      </rPr>
      <t xml:space="preserve"> Acta Recibo del 22/04/2019 Rad. 20193750267431
Los soportes se encuentran en la carpeta de los contratos, la carpeta de actas de entrega y recibo de espacios públicos y el aplicativo Orfeo en el momento en que se envíen a digitalizar.</t>
    </r>
  </si>
  <si>
    <r>
      <rPr>
        <b/>
        <sz val="9"/>
        <rFont val="Arial Unicode MS"/>
        <family val="2"/>
      </rPr>
      <t>Ejecutado: 6 / 6 = 100%</t>
    </r>
    <r>
      <rPr>
        <sz val="9"/>
        <rFont val="Arial Unicode MS"/>
        <family val="2"/>
      </rPr>
      <t xml:space="preserve">
Se revisaron los expedientes físicos de seis (6) solicitudes a las cuales se les otorgo Licencia de Excavación, encontrando que la licencia se otorgo en un tiempo promedio de 12 días y contaba con la totalidad de documentos exigidos, evitando las intervenciones sin autorización.
Así las cosas, se puede evidenciar que el control establecido es efectivo, lo que nos permitió alcanzar el 100% de control.</t>
    </r>
  </si>
  <si>
    <r>
      <rPr>
        <b/>
        <u/>
        <sz val="9"/>
        <rFont val="Arial Unicode MS"/>
        <family val="2"/>
      </rPr>
      <t xml:space="preserve">Riesgo: </t>
    </r>
    <r>
      <rPr>
        <sz val="9"/>
        <rFont val="Arial Unicode MS"/>
        <family val="2"/>
      </rPr>
      <t xml:space="preserve">Se mantiene el riesgo.
</t>
    </r>
    <r>
      <rPr>
        <b/>
        <u/>
        <sz val="9"/>
        <rFont val="Arial Unicode MS"/>
        <family val="2"/>
      </rPr>
      <t>Causas:</t>
    </r>
    <r>
      <rPr>
        <sz val="9"/>
        <rFont val="Arial Unicode MS"/>
        <family val="2"/>
      </rPr>
      <t xml:space="preserve"> No se identificaron nuevas causas.
</t>
    </r>
    <r>
      <rPr>
        <b/>
        <u/>
        <sz val="9"/>
        <rFont val="Arial Unicode MS"/>
        <family val="2"/>
      </rPr>
      <t>Controles:</t>
    </r>
    <r>
      <rPr>
        <b/>
        <sz val="9"/>
        <rFont val="Arial Unicode MS"/>
        <family val="2"/>
      </rPr>
      <t xml:space="preserve"> </t>
    </r>
    <r>
      <rPr>
        <sz val="9"/>
        <rFont val="Arial Unicode MS"/>
        <family val="2"/>
      </rPr>
      <t xml:space="preserve">Los controles se siguen efectuando.
</t>
    </r>
    <r>
      <rPr>
        <b/>
        <u/>
        <sz val="9"/>
        <rFont val="Arial Unicode MS"/>
        <family val="2"/>
      </rPr>
      <t>Acciones asociadas</t>
    </r>
    <r>
      <rPr>
        <sz val="9"/>
        <rFont val="Arial Unicode MS"/>
        <family val="2"/>
      </rPr>
      <t>: Para el periodo analizado se revisaron los expedientes físicos y tiempos de expedición de seis (6) tramites de licencia de excavación, así:
a. LE-059-2019       d. LE-097-2019
b. LE-067-2019       e. LE-111-2019     
c. LE-088-2019        f. LE-156-2019
La información puede ser verificada tanto en los expedientes de cada Licencia, como en los aplicativos dispuestos para tal fin en la DTAI.</t>
    </r>
  </si>
  <si>
    <r>
      <rPr>
        <b/>
        <sz val="9"/>
        <rFont val="Arial Unicode MS"/>
        <family val="2"/>
      </rPr>
      <t xml:space="preserve">Ejecutado: 3 / 3 = 100%
</t>
    </r>
    <r>
      <rPr>
        <sz val="9"/>
        <rFont val="Arial Unicode MS"/>
        <family val="2"/>
      </rPr>
      <t xml:space="preserve">
Se efectuó la revisión de tres (3) solicitudes de información relacionada con la actualización de inventario tanto por medio de correo electrónico como memorandos, evidenciando que el inventario varia de acuerdo con la expansión de la Ciudad, así mismo, se realizó el cruce de inventario con la información que reposa en la DTAI.
Así las cosas, se puede evidenciar que el control establecido es efectivo, lo que nos permitió alcanzar el 100% de control.</t>
    </r>
  </si>
  <si>
    <r>
      <rPr>
        <b/>
        <u/>
        <sz val="9"/>
        <rFont val="Arial Unicode MS"/>
        <family val="2"/>
      </rPr>
      <t>Riesgo</t>
    </r>
    <r>
      <rPr>
        <sz val="9"/>
        <rFont val="Arial Unicode MS"/>
        <family val="2"/>
      </rPr>
      <t xml:space="preserve">: Se mantiene el riesgo.
</t>
    </r>
    <r>
      <rPr>
        <b/>
        <u/>
        <sz val="9"/>
        <rFont val="Arial Unicode MS"/>
        <family val="2"/>
      </rPr>
      <t>Causas</t>
    </r>
    <r>
      <rPr>
        <sz val="9"/>
        <rFont val="Arial Unicode MS"/>
        <family val="2"/>
      </rPr>
      <t xml:space="preserve">: No se identificaron nuevas causas.
</t>
    </r>
    <r>
      <rPr>
        <b/>
        <u/>
        <sz val="9"/>
        <rFont val="Arial Unicode MS"/>
        <family val="2"/>
      </rPr>
      <t>Controles</t>
    </r>
    <r>
      <rPr>
        <sz val="9"/>
        <rFont val="Arial Unicode MS"/>
        <family val="2"/>
      </rPr>
      <t xml:space="preserve">: Los controles se siguen efectuando.
</t>
    </r>
    <r>
      <rPr>
        <b/>
        <u/>
        <sz val="9"/>
        <rFont val="Arial Unicode MS"/>
        <family val="2"/>
      </rPr>
      <t>Acciones asociadas</t>
    </r>
    <r>
      <rPr>
        <sz val="9"/>
        <rFont val="Arial Unicode MS"/>
        <family val="2"/>
      </rPr>
      <t xml:space="preserve">:  Para el periodo analizado, se revisaron tres (3) solicitudes de información relacionada con la actualización de inventario, así: 
</t>
    </r>
    <r>
      <rPr>
        <b/>
        <sz val="9"/>
        <rFont val="Arial Unicode MS"/>
        <family val="2"/>
      </rPr>
      <t xml:space="preserve">1. </t>
    </r>
    <r>
      <rPr>
        <sz val="9"/>
        <rFont val="Arial Unicode MS"/>
        <family val="2"/>
      </rPr>
      <t xml:space="preserve">Correo electrónico con envío de información del 28-ene-2019
</t>
    </r>
    <r>
      <rPr>
        <b/>
        <sz val="9"/>
        <rFont val="Arial Unicode MS"/>
        <family val="2"/>
      </rPr>
      <t xml:space="preserve">2. </t>
    </r>
    <r>
      <rPr>
        <sz val="9"/>
        <rFont val="Arial Unicode MS"/>
        <family val="2"/>
      </rPr>
      <t xml:space="preserve">Memorando DTE-20192150016593 del 01-feb-2019
</t>
    </r>
    <r>
      <rPr>
        <b/>
        <sz val="9"/>
        <rFont val="Arial Unicode MS"/>
        <family val="2"/>
      </rPr>
      <t xml:space="preserve">3. </t>
    </r>
    <r>
      <rPr>
        <sz val="9"/>
        <rFont val="Arial Unicode MS"/>
        <family val="2"/>
      </rPr>
      <t>Memorando DTAI-20193750079503 del 04-abr-2019</t>
    </r>
    <r>
      <rPr>
        <b/>
        <sz val="9"/>
        <rFont val="Arial Unicode MS"/>
        <family val="2"/>
      </rPr>
      <t xml:space="preserve">
</t>
    </r>
    <r>
      <rPr>
        <sz val="9"/>
        <rFont val="Arial Unicode MS"/>
        <family val="2"/>
      </rPr>
      <t xml:space="preserve">
La información puede ser verificada en el aplicativo Orfeo.</t>
    </r>
  </si>
  <si>
    <r>
      <rPr>
        <b/>
        <sz val="9"/>
        <rFont val="Arial Unicode MS"/>
        <family val="2"/>
      </rPr>
      <t>Ejecutado: 4 / 4 = 100%</t>
    </r>
    <r>
      <rPr>
        <sz val="9"/>
        <rFont val="Arial Unicode MS"/>
        <family val="2"/>
      </rPr>
      <t xml:space="preserve">
Acorde a lo programado, se efectuaron cuatro (4) revisiones en las cuales se comparó la información de la base de datos del concesionario contra el informe mensual, lo que permitió determinar la veracidad de las cifras reportadas.
Con esto podemos evidenciar que el control establecido es efectivo, lo que nos permitió alcanzar el 100% de control.</t>
    </r>
  </si>
  <si>
    <r>
      <rPr>
        <b/>
        <u/>
        <sz val="9"/>
        <rFont val="Arial Unicode MS"/>
        <family val="2"/>
      </rPr>
      <t>Riesgo</t>
    </r>
    <r>
      <rPr>
        <sz val="9"/>
        <rFont val="Arial Unicode MS"/>
        <family val="2"/>
      </rPr>
      <t xml:space="preserve">: Se mantiene el riesgo.
</t>
    </r>
    <r>
      <rPr>
        <b/>
        <u/>
        <sz val="9"/>
        <rFont val="Arial Unicode MS"/>
        <family val="2"/>
      </rPr>
      <t>Causas</t>
    </r>
    <r>
      <rPr>
        <sz val="9"/>
        <rFont val="Arial Unicode MS"/>
        <family val="2"/>
      </rPr>
      <t xml:space="preserve">: No se identificaron nuevas causas.
</t>
    </r>
    <r>
      <rPr>
        <b/>
        <u/>
        <sz val="9"/>
        <rFont val="Arial Unicode MS"/>
        <family val="2"/>
      </rPr>
      <t>Controles</t>
    </r>
    <r>
      <rPr>
        <sz val="9"/>
        <rFont val="Arial Unicode MS"/>
        <family val="2"/>
      </rPr>
      <t xml:space="preserve">: Los controles se siguen efectuando.
</t>
    </r>
    <r>
      <rPr>
        <b/>
        <u/>
        <sz val="9"/>
        <rFont val="Arial Unicode MS"/>
        <family val="2"/>
      </rPr>
      <t xml:space="preserve">
Acciones asociadas</t>
    </r>
    <r>
      <rPr>
        <sz val="9"/>
        <rFont val="Arial Unicode MS"/>
        <family val="2"/>
      </rPr>
      <t>: Para el periodo analizado se realizaron cuatro (4) visitas de recolección de información a través de las cuales se pudieron confirmar los reportes presentados por el Contratista en el Informe Mensual.
La información puede ser verificada en Orfeo y en los expedientes del contrato en la DTAI.</t>
    </r>
  </si>
  <si>
    <r>
      <rPr>
        <b/>
        <sz val="9"/>
        <rFont val="Arial Unicode MS"/>
        <family val="2"/>
      </rPr>
      <t xml:space="preserve">Ejecutado: 10 / 10 = 100%
</t>
    </r>
    <r>
      <rPr>
        <sz val="9"/>
        <rFont val="Arial Unicode MS"/>
        <family val="2"/>
      </rPr>
      <t xml:space="preserve">
Se efectuó la revisión aleatoria de diez (10) conceptos  técnicos emitidos por los especialistas, encontrando que el 100% de los conceptos de devolución o aceptación de los productos están debidamente soportados desde el punto de vista técnico y normativo, evidenciando además que la información y trazabilidad de dichas aprobaciones o devoluciones, se encontraba debidamente actualizada en el aplicativo disponible en la página web del Instituto.
Así las cosas, se puede evidenciar que los controles establecidos son efectivos, lo que nos permitió alcanzar el 100% de control.</t>
    </r>
  </si>
  <si>
    <r>
      <rPr>
        <b/>
        <u/>
        <sz val="9"/>
        <rFont val="Arial Unicode MS"/>
        <family val="2"/>
      </rPr>
      <t>Riesgo</t>
    </r>
    <r>
      <rPr>
        <sz val="9"/>
        <rFont val="Arial Unicode MS"/>
        <family val="2"/>
      </rPr>
      <t xml:space="preserve">: Se mantiene el riesgo.
</t>
    </r>
    <r>
      <rPr>
        <b/>
        <u/>
        <sz val="9"/>
        <rFont val="Arial Unicode MS"/>
        <family val="2"/>
      </rPr>
      <t>Causas</t>
    </r>
    <r>
      <rPr>
        <sz val="9"/>
        <rFont val="Arial Unicode MS"/>
        <family val="2"/>
      </rPr>
      <t xml:space="preserve">: No se identificaron nuevas causas.
</t>
    </r>
    <r>
      <rPr>
        <b/>
        <u/>
        <sz val="9"/>
        <rFont val="Arial Unicode MS"/>
        <family val="2"/>
      </rPr>
      <t>Controles</t>
    </r>
    <r>
      <rPr>
        <sz val="9"/>
        <rFont val="Arial Unicode MS"/>
        <family val="2"/>
      </rPr>
      <t xml:space="preserve">: Los controles se siguen efectuando.
</t>
    </r>
    <r>
      <rPr>
        <b/>
        <u/>
        <sz val="9"/>
        <rFont val="Arial Unicode MS"/>
        <family val="2"/>
      </rPr>
      <t>Acciones asociadas</t>
    </r>
    <r>
      <rPr>
        <sz val="9"/>
        <rFont val="Arial Unicode MS"/>
        <family val="2"/>
      </rPr>
      <t xml:space="preserve">:  Para el periodo analizado, se revisaron diez (10) oficios aleatorios que contienen conceptos técnicos especializados que aceptan o devuelven los productos para la verificación del cumplimiento de requisitos técnicos y normativos, de los proyectos que a continuación se relacionan: 
</t>
    </r>
    <r>
      <rPr>
        <b/>
        <sz val="9"/>
        <rFont val="Arial Unicode MS"/>
        <family val="2"/>
      </rPr>
      <t>1.</t>
    </r>
    <r>
      <rPr>
        <sz val="9"/>
        <rFont val="Arial Unicode MS"/>
        <family val="2"/>
      </rPr>
      <t xml:space="preserve"> Arboleda El Pinar - 20193750087721 del 13/02/19
</t>
    </r>
    <r>
      <rPr>
        <b/>
        <sz val="9"/>
        <rFont val="Arial Unicode MS"/>
        <family val="2"/>
      </rPr>
      <t>2.</t>
    </r>
    <r>
      <rPr>
        <sz val="9"/>
        <rFont val="Arial Unicode MS"/>
        <family val="2"/>
      </rPr>
      <t xml:space="preserve"> Marconi - 20193750048851 del 30/01/19
</t>
    </r>
    <r>
      <rPr>
        <b/>
        <sz val="9"/>
        <rFont val="Arial Unicode MS"/>
        <family val="2"/>
      </rPr>
      <t>3.</t>
    </r>
    <r>
      <rPr>
        <sz val="9"/>
        <rFont val="Arial Unicode MS"/>
        <family val="2"/>
      </rPr>
      <t xml:space="preserve"> Icaro - 20193750099911 del 19/02/19
</t>
    </r>
    <r>
      <rPr>
        <b/>
        <sz val="9"/>
        <rFont val="Arial Unicode MS"/>
        <family val="2"/>
      </rPr>
      <t>4.</t>
    </r>
    <r>
      <rPr>
        <sz val="9"/>
        <rFont val="Arial Unicode MS"/>
        <family val="2"/>
      </rPr>
      <t xml:space="preserve"> Areneras - 20193750042561 del 28/01/19
</t>
    </r>
    <r>
      <rPr>
        <b/>
        <sz val="9"/>
        <rFont val="Arial Unicode MS"/>
        <family val="2"/>
      </rPr>
      <t>5.</t>
    </r>
    <r>
      <rPr>
        <sz val="9"/>
        <rFont val="Arial Unicode MS"/>
        <family val="2"/>
      </rPr>
      <t xml:space="preserve"> La Sirena - 20193750173101 del 12/03/19 
</t>
    </r>
    <r>
      <rPr>
        <b/>
        <sz val="9"/>
        <rFont val="Arial Unicode MS"/>
        <family val="2"/>
      </rPr>
      <t>6.</t>
    </r>
    <r>
      <rPr>
        <sz val="9"/>
        <rFont val="Arial Unicode MS"/>
        <family val="2"/>
      </rPr>
      <t xml:space="preserve"> Mirador Jaboque - 20193750156981 del 07/03/19
</t>
    </r>
    <r>
      <rPr>
        <b/>
        <sz val="9"/>
        <rFont val="Arial Unicode MS"/>
        <family val="2"/>
      </rPr>
      <t>7.</t>
    </r>
    <r>
      <rPr>
        <sz val="9"/>
        <rFont val="Arial Unicode MS"/>
        <family val="2"/>
      </rPr>
      <t xml:space="preserve"> Business Hub - 20193750167211 del 11/03/19 
</t>
    </r>
    <r>
      <rPr>
        <b/>
        <sz val="9"/>
        <rFont val="Arial Unicode MS"/>
        <family val="2"/>
      </rPr>
      <t>8.</t>
    </r>
    <r>
      <rPr>
        <sz val="9"/>
        <rFont val="Arial Unicode MS"/>
        <family val="2"/>
      </rPr>
      <t xml:space="preserve"> Ciudadela Porvenir 7C - 20193750177831 del 13/03/19  
</t>
    </r>
    <r>
      <rPr>
        <b/>
        <sz val="9"/>
        <rFont val="Arial Unicode MS"/>
        <family val="2"/>
      </rPr>
      <t>9.</t>
    </r>
    <r>
      <rPr>
        <sz val="9"/>
        <rFont val="Arial Unicode MS"/>
        <family val="2"/>
      </rPr>
      <t xml:space="preserve"> Salamanca - 20193750213021 del 27/03/19 
</t>
    </r>
    <r>
      <rPr>
        <b/>
        <sz val="9"/>
        <rFont val="Arial Unicode MS"/>
        <family val="2"/>
      </rPr>
      <t>10</t>
    </r>
    <r>
      <rPr>
        <sz val="9"/>
        <rFont val="Arial Unicode MS"/>
        <family val="2"/>
      </rPr>
      <t>. Nuevo Veracruz - 20193750314701 del 23/04/19 
La información puede ser verificada en el aplicativo BACHUE - Plataforma de Urbanizadores, así como en los expediente del aplicativo de Orfeo.</t>
    </r>
  </si>
  <si>
    <t>La DTAF en cabeza de la STRT y la STRF realiza de manera permanente sensibilizaciones frente a la seguridad de la información, recalcando sobre el bloqueo de sesión, copias de seguridad, cero papel, uso adecuado de la mensajería electrónica, redes sociales y comunicación institucional, entre otros. 
Así las cosas, se puede evidenciar que los controles establecidos son efectivos, lo que nos permitió alcanzar el 100% de control.</t>
  </si>
  <si>
    <r>
      <rPr>
        <b/>
        <u/>
        <sz val="9"/>
        <rFont val="Arial Unicode MS"/>
        <family val="2"/>
      </rPr>
      <t>Riesgo</t>
    </r>
    <r>
      <rPr>
        <sz val="9"/>
        <rFont val="Arial Unicode MS"/>
        <family val="2"/>
      </rPr>
      <t xml:space="preserve">: Se mantiene el riesgo.
</t>
    </r>
    <r>
      <rPr>
        <b/>
        <u/>
        <sz val="9"/>
        <rFont val="Arial Unicode MS"/>
        <family val="2"/>
      </rPr>
      <t>Causas</t>
    </r>
    <r>
      <rPr>
        <sz val="9"/>
        <rFont val="Arial Unicode MS"/>
        <family val="2"/>
      </rPr>
      <t xml:space="preserve">: No se identificaron nuevas causas.
</t>
    </r>
    <r>
      <rPr>
        <b/>
        <u/>
        <sz val="9"/>
        <rFont val="Arial Unicode MS"/>
        <family val="2"/>
      </rPr>
      <t>Controles</t>
    </r>
    <r>
      <rPr>
        <sz val="9"/>
        <rFont val="Arial Unicode MS"/>
        <family val="2"/>
      </rPr>
      <t xml:space="preserve">: Los controles se siguen efectuando.
</t>
    </r>
    <r>
      <rPr>
        <b/>
        <u/>
        <sz val="9"/>
        <rFont val="Arial Unicode MS"/>
        <family val="2"/>
      </rPr>
      <t>Acciones asociadas</t>
    </r>
    <r>
      <rPr>
        <sz val="9"/>
        <rFont val="Arial Unicode MS"/>
        <family val="2"/>
      </rPr>
      <t xml:space="preserve">:  Se realiza de manera permanente sensibilizaciones frente a la seguridad de la información, recalcando sobre el bloqueo de sesión, copias de seguridad, cero papel, uso adecuado de la mensajería electrónica, redes sociales y comunicación institucional, entre otros. </t>
    </r>
  </si>
  <si>
    <r>
      <rPr>
        <b/>
        <sz val="8"/>
        <color theme="1"/>
        <rFont val="Arial"/>
        <family val="2"/>
      </rPr>
      <t>1.</t>
    </r>
    <r>
      <rPr>
        <sz val="8"/>
        <color theme="1"/>
        <rFont val="Arial"/>
        <family val="2"/>
      </rPr>
      <t xml:space="preserve"> La DTM  continuará  implementando  y actualizando la base de datos con los precios no previstos surgidos en los contratos a cargo, con el fin de   ejercer  control, específicamente la unificación de los mismos.
</t>
    </r>
    <r>
      <rPr>
        <b/>
        <sz val="8"/>
        <color theme="1"/>
        <rFont val="Arial"/>
        <family val="2"/>
      </rPr>
      <t>2.</t>
    </r>
    <r>
      <rPr>
        <sz val="8"/>
        <color theme="1"/>
        <rFont val="Arial"/>
        <family val="2"/>
      </rPr>
      <t xml:space="preserve"> La DTM, mediante memorando enviado mensualmente,  remitirá a la DTE  los  precios no previstos  que surjan en los contratos a cargo con el fin que la citada dependencia, como parte de la gestión de precios que realiza, evalué la pertinencia de incorporarlos en la base de  precios oficiales  de la entidad.
</t>
    </r>
    <r>
      <rPr>
        <b/>
        <sz val="8"/>
        <color theme="1"/>
        <rFont val="Arial"/>
        <family val="2"/>
      </rPr>
      <t>3.</t>
    </r>
    <r>
      <rPr>
        <sz val="8"/>
        <color theme="1"/>
        <rFont val="Arial"/>
        <family val="2"/>
      </rPr>
      <t xml:space="preserve"> A través de oficio se hará énfasis  a las interventorías  que justifiquen plenamente  los precios no previstos y que estos sean presentados de acuerdo a lo establecido en los documentos contractuales.
</t>
    </r>
    <r>
      <rPr>
        <b/>
        <sz val="8"/>
        <color theme="1"/>
        <rFont val="Arial"/>
        <family val="2"/>
      </rPr>
      <t xml:space="preserve">4. </t>
    </r>
    <r>
      <rPr>
        <sz val="8"/>
        <color theme="1"/>
        <rFont val="Arial"/>
        <family val="2"/>
      </rPr>
      <t xml:space="preserve">La DTM   hace presencia en obra con personal   de apoyo a la supervisión, que a través de recorridos   y mediante inspección visual   verifica  los frentes de obra en ejecución.
efectúando los respectivos informes                  
</t>
    </r>
    <r>
      <rPr>
        <b/>
        <sz val="8"/>
        <color theme="1"/>
        <rFont val="Arial"/>
        <family val="2"/>
      </rPr>
      <t>5.</t>
    </r>
    <r>
      <rPr>
        <sz val="8"/>
        <color theme="1"/>
        <rFont val="Arial"/>
        <family val="2"/>
      </rPr>
      <t xml:space="preserve"> A través de oficio hacer énfasis a la Interventoría que las  cantidades de obra sean  determinadas y aprobadas de manera previa al inicio de la actividad.</t>
    </r>
  </si>
  <si>
    <t>1. 
 100%</t>
  </si>
  <si>
    <t xml:space="preserve">Observaciones ó cambios presentados en:
Riesgo:  No presenta modificaciones.
Causas:  No presenta modificaciones.
consecuencias:  No presenta modificaciones.
Controles:  No presenta modificaciones.
Acciones de contingencia:   No presenta modificaciones.
Indicador:  No presenta modificaciones. 
Otros: No hay modificaciones
</t>
  </si>
  <si>
    <t>OSCAR RODOLFO ACEVEDO CASTRO</t>
  </si>
  <si>
    <t>Director Técnico de Mantenimiento  ( E )</t>
  </si>
  <si>
    <r>
      <rPr>
        <b/>
        <sz val="9"/>
        <rFont val="Arial Unicode MS"/>
        <family val="2"/>
      </rPr>
      <t xml:space="preserve">Ejecutado: 6 / 6 = 100%
</t>
    </r>
    <r>
      <rPr>
        <sz val="9"/>
        <rFont val="Arial Unicode MS"/>
        <family val="2"/>
      </rPr>
      <t xml:space="preserve">
Se efectuó la revisión de seis (6) informes de visita de seguimiento acorde a lo programado, encontrando que la información recopilada en terreno fue efectivamente reportada e ingresada al aplicativo de seguimiento a pólizas, con el total de daños encontrados.
Así mismo, los seis (6) informes se encuentran firmados por el Líder de Grupo lo que confirma que fueron revisados y aprobados.
Con esto podemos evidenciar que los controles establecidos son efectivos, lo que nos permitió alcanzar el 100% de control.</t>
    </r>
  </si>
  <si>
    <r>
      <rPr>
        <b/>
        <u/>
        <sz val="9"/>
        <rFont val="Arial Unicode MS"/>
        <family val="2"/>
      </rPr>
      <t>Riesgo:</t>
    </r>
    <r>
      <rPr>
        <sz val="9"/>
        <rFont val="Arial Unicode MS"/>
        <family val="2"/>
      </rPr>
      <t xml:space="preserve"> Se mantiene el riesgo
</t>
    </r>
    <r>
      <rPr>
        <b/>
        <u/>
        <sz val="9"/>
        <rFont val="Arial Unicode MS"/>
        <family val="2"/>
      </rPr>
      <t xml:space="preserve">
Causas:</t>
    </r>
    <r>
      <rPr>
        <sz val="9"/>
        <rFont val="Arial Unicode MS"/>
        <family val="2"/>
      </rPr>
      <t xml:space="preserve"> Al revisar las causas establecidas, éstas continúan. No se identificaron nuevas causas.
</t>
    </r>
    <r>
      <rPr>
        <b/>
        <u/>
        <sz val="9"/>
        <rFont val="Arial Unicode MS"/>
        <family val="2"/>
      </rPr>
      <t xml:space="preserve">
Controles: </t>
    </r>
    <r>
      <rPr>
        <sz val="9"/>
        <rFont val="Arial Unicode MS"/>
        <family val="2"/>
      </rPr>
      <t xml:space="preserve">Revisados los controles, estos se mantienen, se llevan a cabo y son tenidos en cuenta para las actividades relacionadas que se desarrollan en el área.
</t>
    </r>
    <r>
      <rPr>
        <b/>
        <u/>
        <sz val="9"/>
        <rFont val="Arial Unicode MS"/>
        <family val="2"/>
      </rPr>
      <t>Acciones asociadas:</t>
    </r>
    <r>
      <rPr>
        <sz val="9"/>
        <rFont val="Arial Unicode MS"/>
        <family val="2"/>
      </rPr>
      <t xml:space="preserve"> Para el periodo analizado se revisaron seis (6) informes de visita de seguimiento, con el fin de revisar los daños encontrados de los siguientes contratos:
1. IDU-795/14 Visita de seguimiento # 4 de Enero 25 de 2019.
2. IDU-945/13 Visita de seguimiento # 5 de Enero 31 de 2019.
3. IDU-1878/13 Visita de seguimiento # 4 de Febrero 13 de 2019.
4. IDU-1760/15 Visita de seguimiento # 4 de Febrero 26 de 2019.
5. IDU-2052/13 Visita de seguimiento # 5 de Marzo 28 de 2019.
6. IDU-1722/13 Visita de seguimiento # 5 de Abril 09 de 2019.
Los soportes se encuentran en la carpeta de los contratos.</t>
    </r>
  </si>
  <si>
    <r>
      <rPr>
        <b/>
        <sz val="9"/>
        <rFont val="Arial Unicode MS"/>
        <family val="2"/>
      </rPr>
      <t>Ejecutado: 8 / 8 = 100%</t>
    </r>
    <r>
      <rPr>
        <sz val="9"/>
        <rFont val="Arial Unicode MS"/>
        <family val="2"/>
      </rPr>
      <t xml:space="preserve">
Acorde con lo programado, se efectuó la revisión de ocho (8) informes de visita de recibo de reparaciones del espacio público (FO-AI-047) de licencias otorgadas en el  2016, 2017 y 2018, encontrando que para el 11% de los recibos, el beneficiario no cumplió con las especificaciones técnicas, mientras que para el 89% de los recibos, el beneficiario cumplió con las especificaciones técnicas.
Con esto podemos evidenciar que los controles establecidos son efectivos, lo que nos permitió alcanzar el 100% de control.</t>
    </r>
  </si>
  <si>
    <r>
      <rPr>
        <b/>
        <u/>
        <sz val="9"/>
        <rFont val="Arial Unicode MS"/>
        <family val="2"/>
      </rPr>
      <t>Riesgo</t>
    </r>
    <r>
      <rPr>
        <sz val="9"/>
        <rFont val="Arial Unicode MS"/>
        <family val="2"/>
      </rPr>
      <t xml:space="preserve">: Se mantiene el riesgo.
</t>
    </r>
    <r>
      <rPr>
        <b/>
        <u/>
        <sz val="9"/>
        <rFont val="Arial Unicode MS"/>
        <family val="2"/>
      </rPr>
      <t xml:space="preserve">
Causas:</t>
    </r>
    <r>
      <rPr>
        <sz val="9"/>
        <rFont val="Arial Unicode MS"/>
        <family val="2"/>
      </rPr>
      <t xml:space="preserve"> No se identificaron nuevas causas.
</t>
    </r>
    <r>
      <rPr>
        <b/>
        <u/>
        <sz val="9"/>
        <rFont val="Arial Unicode MS"/>
        <family val="2"/>
      </rPr>
      <t xml:space="preserve">
Controles:</t>
    </r>
    <r>
      <rPr>
        <sz val="9"/>
        <rFont val="Arial Unicode MS"/>
        <family val="2"/>
      </rPr>
      <t xml:space="preserve"> Los controles se siguen efectuando.
</t>
    </r>
    <r>
      <rPr>
        <b/>
        <u/>
        <sz val="9"/>
        <rFont val="Arial Unicode MS"/>
        <family val="2"/>
      </rPr>
      <t>Acciones asociadas</t>
    </r>
    <r>
      <rPr>
        <sz val="9"/>
        <rFont val="Arial Unicode MS"/>
        <family val="2"/>
      </rPr>
      <t>: Para el periodo analizado se revisaron ocho (8) informes de visita a espacio público intervenido con licencia, así:
a. LE-284-2018         e. LE-302-2018
b. LE-312-2016         f. LE-206-2018 
c. LE-259-2017         g. LE-220-2018
d. LE-220-2018         h. LE-388-2016
La información puede ser verificada tanto en los expedientes de cada Licencia, como en los aplicativos dispuestos para tal fin en la DTAI.</t>
    </r>
  </si>
  <si>
    <r>
      <rPr>
        <b/>
        <sz val="9"/>
        <rFont val="Arial Unicode MS"/>
        <family val="2"/>
      </rPr>
      <t>Ejecutado: 6 / 6 = 100%</t>
    </r>
    <r>
      <rPr>
        <sz val="9"/>
        <rFont val="Arial Unicode MS"/>
        <family val="2"/>
      </rPr>
      <t xml:space="preserve">
Acorde a lo programado, se revisaron los expedientes físicos de seis (6) solicitudes a las cuales se les otorgo Licencia de Excavación, encontrando que en cada carpeta se encontraba la totalidad de documentos exigidos para la expedición.  Se evidencio que algunas solicitudes estaban inicialmente incompletas y fueron ajustadas luego del envió del Acta de Observaciones por parte de la DTAI.
Así las cosas, se puede evidenciar que el control establecido es efectivo, lo que nos permitió alcanzar el 100% de control.</t>
    </r>
  </si>
  <si>
    <r>
      <rPr>
        <b/>
        <u/>
        <sz val="9"/>
        <rFont val="Arial Unicode MS"/>
        <family val="2"/>
      </rPr>
      <t xml:space="preserve">Riesgo: </t>
    </r>
    <r>
      <rPr>
        <sz val="9"/>
        <rFont val="Arial Unicode MS"/>
        <family val="2"/>
      </rPr>
      <t xml:space="preserve">Se mantiene el riesgo.
</t>
    </r>
    <r>
      <rPr>
        <b/>
        <u/>
        <sz val="9"/>
        <rFont val="Arial Unicode MS"/>
        <family val="2"/>
      </rPr>
      <t>Causas:</t>
    </r>
    <r>
      <rPr>
        <sz val="9"/>
        <rFont val="Arial Unicode MS"/>
        <family val="2"/>
      </rPr>
      <t xml:space="preserve"> No se identificaron nuevas causas.
</t>
    </r>
    <r>
      <rPr>
        <b/>
        <u/>
        <sz val="9"/>
        <rFont val="Arial Unicode MS"/>
        <family val="2"/>
      </rPr>
      <t>Controles:</t>
    </r>
    <r>
      <rPr>
        <b/>
        <sz val="9"/>
        <rFont val="Arial Unicode MS"/>
        <family val="2"/>
      </rPr>
      <t xml:space="preserve"> </t>
    </r>
    <r>
      <rPr>
        <sz val="9"/>
        <rFont val="Arial Unicode MS"/>
        <family val="2"/>
      </rPr>
      <t xml:space="preserve">Los controles se siguen efectuando.
</t>
    </r>
    <r>
      <rPr>
        <b/>
        <u/>
        <sz val="9"/>
        <rFont val="Arial Unicode MS"/>
        <family val="2"/>
      </rPr>
      <t>Acciones asociadas</t>
    </r>
    <r>
      <rPr>
        <sz val="9"/>
        <rFont val="Arial Unicode MS"/>
        <family val="2"/>
      </rPr>
      <t>: Para el periodo analizado se revisaron los expedientes físicos de seis (6) tramites de expedición de licencia de excavación, así:
a. LE-059-2019       d. LE-097-2019
b. LE-067-2019       e. LE-111-2019     
c. LE-088-2019        f. LE-156-2019
La información puede ser verificada tanto en los expedientes de cada Licencia, como en los aplicativos dispuestos para tal fin en la DTAI.</t>
    </r>
  </si>
  <si>
    <r>
      <rPr>
        <b/>
        <sz val="9"/>
        <rFont val="Arial Unicode MS"/>
        <family val="2"/>
      </rPr>
      <t>Ejecutado: 8 / 8 = 100%</t>
    </r>
    <r>
      <rPr>
        <sz val="9"/>
        <rFont val="Arial Unicode MS"/>
        <family val="2"/>
      </rPr>
      <t xml:space="preserve">
Una vez revisadas ocho (8) solicitudes de acuerdo con lo programado, se encontró que el 12,5% cumplía con los requisitos exigidos por tanto se otorgó el permiso correspondiente para el uso temporal del espacio público, mientras que el 87,5% restante no cumplía con los requisitos exigidos para el uso temporal del espacio público, por tanto fueron negadas dichas solicitudes.
Así las cosas, se puede evidenciar que el control establecido es efectivo, lo que nos permitió alcanzar el 100% de control.</t>
    </r>
  </si>
  <si>
    <r>
      <rPr>
        <b/>
        <u/>
        <sz val="9"/>
        <rFont val="Arial Unicode MS"/>
        <family val="2"/>
      </rPr>
      <t>Riesgo</t>
    </r>
    <r>
      <rPr>
        <sz val="9"/>
        <rFont val="Arial Unicode MS"/>
        <family val="2"/>
      </rPr>
      <t xml:space="preserve">: Se mantiene el riesgo.
</t>
    </r>
    <r>
      <rPr>
        <b/>
        <u/>
        <sz val="9"/>
        <rFont val="Arial Unicode MS"/>
        <family val="2"/>
      </rPr>
      <t>Causas</t>
    </r>
    <r>
      <rPr>
        <sz val="9"/>
        <rFont val="Arial Unicode MS"/>
        <family val="2"/>
      </rPr>
      <t xml:space="preserve">: No se identificaron nuevas causas.
</t>
    </r>
    <r>
      <rPr>
        <b/>
        <u/>
        <sz val="9"/>
        <rFont val="Arial Unicode MS"/>
        <family val="2"/>
      </rPr>
      <t>Controles</t>
    </r>
    <r>
      <rPr>
        <sz val="9"/>
        <rFont val="Arial Unicode MS"/>
        <family val="2"/>
      </rPr>
      <t xml:space="preserve">: Los controles se siguen efectuando.
</t>
    </r>
    <r>
      <rPr>
        <b/>
        <u/>
        <sz val="9"/>
        <rFont val="Arial Unicode MS"/>
        <family val="2"/>
      </rPr>
      <t>Acciones asociadas</t>
    </r>
    <r>
      <rPr>
        <sz val="9"/>
        <rFont val="Arial Unicode MS"/>
        <family val="2"/>
      </rPr>
      <t>:  Para el periodo analizado, se revisaron ocho (8) solicitudes de uso temporal de espacio público, las cuales fueron radicadas mediante oficios 20195260064572, 20195260125532, 20195260146512, 20195260318492, 20195260325682, 20195260325842, 20195260419592 y 20195260431612.
La información puede ser verificada en Orfeo.</t>
    </r>
  </si>
  <si>
    <t>(# de revisiones periódicas aleatorias realizadas / # de revisiones periódicas aleatorias programadas)*100%</t>
  </si>
  <si>
    <r>
      <t xml:space="preserve">OBSERVACIONES: </t>
    </r>
    <r>
      <rPr>
        <sz val="8"/>
        <rFont val="Arial"/>
        <family val="2"/>
      </rPr>
      <t>Indique para ésta versión, el código de los riesgos nuevos y justifique el por qué de los riesgos eliminados. 
(Adicional registre las observaciones que considere necearías):</t>
    </r>
    <r>
      <rPr>
        <sz val="6"/>
        <rFont val="Arial"/>
        <family val="2"/>
      </rPr>
      <t xml:space="preserve">
</t>
    </r>
    <r>
      <rPr>
        <sz val="8"/>
        <rFont val="Arial"/>
        <family val="2"/>
      </rPr>
      <t xml:space="preserve">
</t>
    </r>
    <r>
      <rPr>
        <b/>
        <sz val="9"/>
        <rFont val="Arial Unicode MS"/>
        <family val="2"/>
      </rPr>
      <t/>
    </r>
  </si>
  <si>
    <t>Observaciones ó cambios presentados en:
Riesgo: Sigue igual
Causas: No cambian
consecuencias: No cambian
Controles: No cambian
Acciones de contingencia: No cambian
Indicador: No cambian
Otros: No cambian</t>
  </si>
  <si>
    <t>Para el periodo de seguimiento no se presentan eventos relacionados con  fuga de información o uso indebido de datos institucionales.</t>
  </si>
  <si>
    <t>No. de eventos en los que se acudió a los activos de información.   /  Total de eventos ocurridos de pérdida o alteración de información.</t>
  </si>
  <si>
    <t xml:space="preserve">Para el periodo de seguimiento no se presentan de perdida o alteración de información </t>
  </si>
  <si>
    <t>Este reporte lo realiza la STRT</t>
  </si>
  <si>
    <t xml:space="preserve">Para el periodo de seguimiento no se presenta manejo inadecuado de la información de los ciudadanos. </t>
  </si>
  <si>
    <t>1. Comité de contratación del IDU.
2. Pliegos tipo por modalidad de selección, estructurados por DTPS - SGJ, aprobados por Comité de contratación y divulgados a través de intranet, que incluyen la aplicación de una fórmula aleatoria que puede depender de índices definidos por el mercado bursátil, con el fin de establecer el orden de elegibilidad en la etapa de evaluación de las ofertas en la licitaciones públicas adelantadas por el Instituto.
3. Procedimientos documentados para los tipos de contratación.
4. Capacitación y/o entrenamiento por parte de los que intervienen en los procesos de selección.
5. Mesas de trabajo con las áreas solicitantes de los procesos antes y/o durante la estructuración de los procesos contractuales.
6. Inclusión en los pliegos modelo por modalidad de selección, de cláusulas sobre las inhabilidades, incompatibilidades y conflicto de interés y la exigencia a los proponentes de manifestaciones juramentadas sobre la incursión en causales de inhabilidad, incompatibilidad y/o conflicto de intereses.
7. Verificación de la certificación emitida por la DTGC,  sobre inhabilidades de los proponentes, por parte del evaluador jurídico.
8. Reunión previa a la publicación del informe de evaluación al interior de la DTPS por parte del comité evaluador y el Director Técnico de la DTPS. 
9. Emisión del concepto de rechazo o habilidad del proponente en el informe de evaluación.</t>
  </si>
  <si>
    <t>0%
100%</t>
  </si>
  <si>
    <t>1. Generación de reporte mensual de publicaciones.
2. Implementación de SECOP II</t>
  </si>
  <si>
    <t xml:space="preserve">1. Procedimientos documentados para las modalidades de contratación.
2. Cláusula de confidencialidad en los contratos de prestación de servicios.
3. Perfiles de usuario restringidos
4. Socialización y aplicación a los funcionarios y contratistas de prestación de servicios de apoyo a la gestión de política operacional de confidencialidad de no suministrar información de los procesos de contratación.
</t>
  </si>
  <si>
    <t>Que la DTGJ no conozca de forma oportuna las solicitudes radicadas en el IDU relacionadas con conciliaciones prejudiciales.</t>
  </si>
  <si>
    <t xml:space="preserve">1. Indebida clasificación de la correspondencia  radicada con destino a la DTGJ por parte del área encargada.                                </t>
  </si>
  <si>
    <t xml:space="preserve">1, Para ello se realiza seguimiento y trazabilidad en la plataforma de ORFEO, SIPROJ, correo de notificaciones judiciales de la DTGJ y registros en excel que se administran en el área.    
 </t>
  </si>
  <si>
    <t>Plataforma ORFEO</t>
  </si>
  <si>
    <t>Número de solicitudes de conciliación atendidas por la DTGJ / Número de solicitudes de conciliación radicadas en el IDU * 100%.</t>
  </si>
  <si>
    <t>No contar con los insumos técnicos necesarios al momento de contestar la demanda para ejercer una defensa idónea de la entidad.</t>
  </si>
  <si>
    <t>1. La rotación de contratistas en las diferentes áreas del IDU afecta la memoria técnica.                                                                     2. Deficiencia de insumos para contestar la demanda por falta de verificación y pronunciamiento de los hechos enunciados en la demanda por parte de las áreas técnicas. 
3. Que el área técnica no conteste a tiempo las solicitudes realizadas por la DTGJ</t>
  </si>
  <si>
    <t>1.Solicitud de información a través de la plataforma de ORFEO, o en ocasiones realizar reuniones de trabajo para solicitar y aclarar sobre la información requerida.
2. Informar a la OCI las solicitudes de requerimiento de antecedentes.</t>
  </si>
  <si>
    <t>* Memorando ORFEO
* Actas de reunion</t>
  </si>
  <si>
    <t>Contestar la demanda sin el concepto técnico e informar a Control Disciplinario para iniciar las acciones pertinentes.</t>
  </si>
  <si>
    <t>* Plataforma Google App
* Aranda.
* Siproj</t>
  </si>
  <si>
    <t>Número de acciones de repetición caducadas / Número de procesos en los que se decidió inicar acción de repetición * 100%.</t>
  </si>
  <si>
    <t>1. Manejo inadecuado de los datos o información por parte de los usuarios responsables.
2. Que el abogado responsable del proceso no entregue los expedientes</t>
  </si>
  <si>
    <t>No se puedan atender a tiempo los requerimientos de la ciudadanía o de los entes de control.</t>
  </si>
  <si>
    <t>1. Aplicación de la documentación del proceso.
2. Sensibilización a los usuarios del proceso
3. Escaner de todos los documentos en aplicativo SIPROJWEB y original de todos los expedientes en los diferentes despachos judiciales</t>
  </si>
  <si>
    <t>Si es por responsabilidad de funcionario o contratista, reporte a las autoridades competentes. Concentizar a los apoderados del manejo seguro de los sistemas y del archivo adecuado de sus documentos.</t>
  </si>
  <si>
    <t>En el periodo evaluado no se reporto ningún proceso perdido.</t>
  </si>
  <si>
    <t>Durante el período evaluado no se presentaron denuncias o quejas asociados con actos de corrupción</t>
  </si>
  <si>
    <t>1. El Comité COPASST vigila el desarrollo de actividades del SST y promueve su divulgación y cumplimiento.
2. Aplicabilidad de la normatividad:
    * Resolución 2013 de 1986
    * Ley 1562 de 2012
    * Decreto 1072 de 2015.
* Resolución 312 de 2019.</t>
  </si>
  <si>
    <t>Número de Accidentes de trabajo  reportados en el periodo./  Número de accidentes presentados</t>
  </si>
  <si>
    <t>Observaciones ó cambios presentados en:
Riesgo: Sigue igual
Causas: Siguen igual
consecuencias: Se mantienen
Controles:Se mantienen
Acciones de contingencia: Se mantienen
Indicador:Se ajustó
Otros:No se presentaron</t>
  </si>
  <si>
    <t>3. Definición del presupuesto del Plan Anual de Seguridad y Salud en el Trabajo e inclusión en el anteproyecto de presupuesto.
4. Publicación del Plan  de Trabajo Anual de SST.</t>
  </si>
  <si>
    <t>5. Aplicación de los instructivos:
* IN-TH-18 Ingreso de personal en carrera, encargo y/o provisionalidad 
* IN-TH-04 Desvinculación de planta.
6. Ejecución del Plan de Trabajo Anual SST en lo concerniente a los exámenes periódicos.
7. Para el caso de los contratos de prestación de servicios de apoyo a la gestión se solicita la realización y presentación del examen médico ocupacional.</t>
  </si>
  <si>
    <t>Plan de Trabajo Anual de SST.</t>
  </si>
  <si>
    <t>No se presentó en el cuatrimestre ningún evento asociado a la sustracción de información confidencial.</t>
  </si>
  <si>
    <t>Observaciones ó cambios presentados en:
Riesgo: Se mantiene igual
Causas: Se mantiene igual 
Consecuencias: Se mantienen igual.
Controles: Se mantiene igual
Acciones de contingencia: Se mantiene igual
Indicador: Se mantiene igual
Otros:</t>
  </si>
  <si>
    <t>((# de elementos en deposito actual - # de elementos en deposito en el cuatrimestre anterior) / # de elementos en deposito en el cuatrimestre anterior ) *100</t>
  </si>
  <si>
    <t>(# de solicitudes de mantenimiento no atendidas en el cuatrimestre / total de solicitudes de mantenimiento realizadas en el cuatrimestre) * 100</t>
  </si>
  <si>
    <t>En el periodo de medición no se reportaron ante la firma de vigilancia, casos de perdida o hurto de bienes a cargo de la Entidad.</t>
  </si>
  <si>
    <t>.</t>
  </si>
  <si>
    <t>Contar con insumos de papelería y oficina de mala calidad.</t>
  </si>
  <si>
    <t>En el periodo de medición no se reportaron ante la firma contratista de suministros de insumos, casos sobre mala calidad en los mismos.</t>
  </si>
  <si>
    <t>En el periodo de medición no se recibieron quejas en la Subdirección por la no atención oportuna de requerimientos urgentes e imprescindibles.</t>
  </si>
  <si>
    <t>En el periodo de monitoreo y seguimiento, no se presentó la materialización del riesgo.</t>
  </si>
  <si>
    <t>SUBDIRECTORA GENERAL 
DE GESTION CORPORATIVA</t>
  </si>
  <si>
    <t xml:space="preserve">Número de denuncias, reclamos o informes por parte de entes de control, en donde se evidencie el robo de activos físicos en el almacén, o bodegas del IDU en el periodo a reportar  </t>
  </si>
  <si>
    <t>Durante el periodo reportado no se han presentado denuncias, reclamos o informes por parte de entes de control respecto a la materialización del riesgo</t>
  </si>
  <si>
    <r>
      <t xml:space="preserve">Observaciones ó cambios presentados en:
Riesgo: </t>
    </r>
    <r>
      <rPr>
        <sz val="8"/>
        <color theme="1"/>
        <rFont val="Arial"/>
        <family val="2"/>
      </rPr>
      <t>Se mantiene igual</t>
    </r>
    <r>
      <rPr>
        <sz val="8"/>
        <rFont val="Arial"/>
        <family val="2"/>
      </rPr>
      <t xml:space="preserve">
Causas: Se mantiene igual 
Consecuencias: Se mantienen igual.
Controles: Se mantiene igual
Acciones de contingencia: Se mantiene igual
Indicador: Se mantiene igual
Otros:</t>
    </r>
  </si>
  <si>
    <t>No. de diferencias por faltantes presentadas en el periodo (cuatrimestre).</t>
  </si>
  <si>
    <t>Número de denuncias, quejas,  reclamos o informes por parte de entes de control, en donde se evidencie la manipulación de la información de ingreso de personal y de las cámaras de video.</t>
  </si>
  <si>
    <t>Durante el periodo reportado no se han presentado denuncias, reclamos o informes por parte de entes de control respecto a la manipulación de la información de ingreso de personal y de las cámaras de video con el fin de ocultar información</t>
  </si>
  <si>
    <t>Número de denuncias, quejas,  reclamos o informes por parte de entes de control, en donde se notifique el manejo inadecuado de reclamaciones ante corredores de seguros para beneficiar un tercero.</t>
  </si>
  <si>
    <t>En la actualidad y durante lo corrido de la actual vigencia no se tiene conocimiento de denuncias, quejas, reclamos o informes por parte de entes de control, en donde se notifique el manejo inadecuado de reclamaciones ante corredores de seguros para beneficiar un tercero.</t>
  </si>
  <si>
    <t>Número de denuncias, quejas,  reclamos o informes por parte de entes de control, en donde se notifique el robo continuado de combustible o repuestos de vehículos.</t>
  </si>
  <si>
    <t>En la actualidad y durante lo corrido de la actual vigencia no se tiene conocimiento de denuncias, quejas,  reclamos o informes por parte de entes de control, en donde se notifique el robo continuado de combustible o repuestos de vehículos</t>
  </si>
  <si>
    <t>Número de denuncias, quejas, Número de denuncias, quejas,  reclamos o informes por parte de entes de control, en donde se notifique el manejo inadecuado de la información requerida para la realización de procesos contractuales o se presente contratación subjetiva.</t>
  </si>
  <si>
    <t>Número de denuncias, quejas, reclamos o informes por parte de entes de control, en donde se notifique la ejecución  inadecuada de contratos para el favorecimiento de terceros.</t>
  </si>
  <si>
    <t>Seguridad Social: El reporte no oportuno del ingreso y/o retiro de un servidor al IDU a la EPS, AFP, ARL y CCF o el reporte de traslado entre entidades.</t>
  </si>
  <si>
    <t xml:space="preserve">1. Demandas contra la Entidad
2. Investigaciones  disciplinarias
3. Sanciones al IDU
4. Reprocesos
5. No cubrimiento de la Seguridad Social al servidor
6. Sanciones moratorias por el no pago oportuno y/o adecuado
</t>
  </si>
  <si>
    <t>1. Verificación de las afiliaciones actuales a través del reporte de novedades de seguridad social del aplicativo RUAF.
2. Al momento de la posesión del servidor diligenciar el formato de Información Base al Ingreso de Personal, y hacer la revisión y validación de los documentos de afiliación de seguridad social aportados, con las entidades respectivas.
3. Comunicación y vinculación de las entidades de seguridad social a través de los mecanismos establecidos por éstas, para lo cual se cuenta con una  base de datos de los asesores por entidad y usuarios y claves en las plataformas virtuales.</t>
  </si>
  <si>
    <t xml:space="preserve">1. Realizar el ajuste correspondiente en la nómina siguiente o en la nómina adicional en caso de existir
2. Realizar las afiliaciones pendientes de manera inmediata.
3. Realizar el pago de los aportes de Seguridad Social y parafiscales  a que haya lugar frente a la novedad presentada. </t>
  </si>
  <si>
    <t>El reporte no oportuno a la STRH de las incapacidades o novedades de ausentismo por parte de los servidores o jefes de dependencias.</t>
  </si>
  <si>
    <t>7. Divulgación de la programación de pagos de nómina a comienzo de la vigencia a las partes interesadas (interna y externa).
8. Solicitud a los jefes de área de la programación anual de vacaciones.
9. Aplicación de la Circular de programación de pagos de nómina.
10. Aplicación de la Lista de Chequeo de Nómina, con el fin de garantizar la inclusión de todos los factores requeridos para la liquidación de la nómina.
11. Definición de la fecha del cierre de novedades para la radicación de las mismas, en lo que respecta a las entidades externas. (INCLUIR)</t>
  </si>
  <si>
    <t>12. Generación de prenómina y verificación de la misma para constatar liquidación contra soportes y cuando haya lugar, realizar los ajustes necesarios.
13. Verificación del reporte de novedades de planta, generado por parte de los  responsables de "situaciones administrativas".</t>
  </si>
  <si>
    <t xml:space="preserve">1. Que el proceso se encuentre centralizado en un solo profesional del área.
2. Que no haya aplicación  de las políticas de prevención del daño antijurídico que se trazan a nivel institucional y distrital.
3. Inobservancia de las normas que regulan el contrato de prestación de servicios. 
</t>
  </si>
  <si>
    <t xml:space="preserve">1. Costos por condenas judiciales que debe asumir la Entidad 
2. Condenas al IDU
3. Acción de Repetición
</t>
  </si>
  <si>
    <t>1. Formulación del Plan Institucional de Capacitación teniendo en cuenta los Proyectos de Aprendizaje en Equipo, las necesidades institucionales y de los servidores.
2. Para los eventos de capacitación que implican asignación de recursos es necesaria la firma de la Carta de Compromiso por parte del servidor y de su jefe inmediato.
3. Iniciar el proceso de estudio de mercados y elaboración de los estudios previos una vez se cuente con el PIC aprobado.
4. Definición y precisión en el momento de estructurar las obligaciones y requerimientos del contrato dentro de los estudios de mercado y estudios previos. 
5. Durante la ejecución del contrato se reciben las observaciones de los servidores respecto a la calidad del servicio contratado, se analizan las mismas y se toman las acciones que correspondan con el contratista.
6. Al finalizar el evento de capacitación se aplica la evaluación de satisfacción.
7. Programación de actividades de capacitación de acuerdo con disponibilidad del auditorio.</t>
  </si>
  <si>
    <t xml:space="preserve">1. Realizar reunión entre la STRH, DTAF y DTGC para hacer seguimiento al proceso de contratación y efectuar los ajustes que sean necesarios.
2. Requerir al proveedor con el fin de que se realicen oportunamente los ajustes a los que haya lugar en el marco de la ejecución del PIC. 
</t>
  </si>
  <si>
    <t>Que los servidores no carguen en el sistema Kactus Cajero y/o no entreguen la documentación en radicación.</t>
  </si>
  <si>
    <t>1. Hoja de vida para el nombramiento revisada frente a los documentos registrados en el aplicativo Kactus.
2.Revisión de la información registrada en la plataforma Kactus por parte de cada uno de los servidores y solicitud de actualización en los casos requeridos.
3. Validación de la información registrada en la plataforma Kactus, frente a soportes de la historia laboral.
4. Sensibilización a lo servidores respecto a la obligatoriedad del registro de la información en el aplicativo Kactus (Ley de Transparencia)</t>
  </si>
  <si>
    <t>1. Documentos aportados por los servidores para la actualización de la Historia Laboral en fechas posteriores a las que se produjo el documento.
2. Personal insuficiente para atender la gestión de las historias laborales.</t>
  </si>
  <si>
    <t xml:space="preserve">1. Después de realizar la consulta de la historia laboral, se hace control de documentos.
2. Sólo se reciben documentos de actualización de carpeta de Historia Laboral que sean radicados en ORFEO por control de fechas de entrega.
3. Historias laborales archivadas y organizadas de acuerdo con la TRD y  la normatividad vigente.
4. Directriz por parte de la Subdirectora Técnica de Recursos Humanos de hacer entrega a archivo de la documentación generada semanalmente.
5. Las historias laborales no pueden ser trasladadas fuera del área del archivo administrado por la STRH.
6. Registro del servidor que consulta la historia laboral  en la tarjeta de control que reposa en la misma. </t>
  </si>
  <si>
    <t>CONTRATISTA  Y ASISTENCIAL</t>
  </si>
  <si>
    <t xml:space="preserve">1.Tarjeta de control de préstamos
2. ORFEO
3. Historia Laboral </t>
  </si>
  <si>
    <t xml:space="preserve">1. Realizar la gestión para recuperar los documentos faltantes.
2. En caso de no lograr la recuperación del documento, instaurar la denuncia por pérdida del documento.
3. Incluir en la historia laboral la documentación aportada extemporáneamente. </t>
  </si>
  <si>
    <t>1. No recolección de los documentos que se han enviado a impresión o se han escaneado. 
2. Disposición de documentos de oficina en sitios no adecuados para su almacenamiento y control.
3. Manipulación por parte de terceros de equipos o de programas de cómputo o datos (físico o lógicos).</t>
  </si>
  <si>
    <t>1. Adelantar el proceso administrativo y/o disciplinario en contra del servidor público o colaborador que haya sustraído o alterado la información.
2. Si hay lugar a ello, instaurar la correspondiente denuncia en contra del servidor públicpo o colaborador que haya sustraído o alterado la información.</t>
  </si>
  <si>
    <t>Observaciones ó cambios presentados en:
Riesgo: se mantiene.
Causas: se mantiene.
Consecuencias: se mantienen.
Controles: se mantienen.
Acciones de contingencia: se mantienen.
Indicador: se mantiene.
Otros: no aplica</t>
  </si>
  <si>
    <t xml:space="preserve">1. Ausencia o deficiencia en los procedimientos de manejo de la información personal.
2. Desconocimiento de parte de las personas que manejan la información.
3. Omisión intencional de los controles para el manejo de la información.
</t>
  </si>
  <si>
    <t xml:space="preserve">1. Manejo documental de la Intranet y trazabilidad en Orfeo.
2. Dedicación exclusiva del personal para el archivo en historias laborales.
3. Sensibilización respecto al manejo adecuado de la información de índole personal y en particular sobre la Ley de protección de datos personales.
4. Personal con formación y titulación en Gestión Documental, a cargo de la administración de las historias laborales. </t>
  </si>
  <si>
    <t>CONTRATISTA Y ASISTENCIAL</t>
  </si>
  <si>
    <t>1. Adelantar el proceso administrativo y/o disciplinario en contra del servidor público o colaborador que haya generado la materialización del riesgo.
2. SI hay lugar a ello, instaurar la correspondiente denuncia en contra del servidor público o colaborador que haya generado la materialización del riesgo.</t>
  </si>
  <si>
    <t>LIGIA STELLA RODRÍGUEZ HERNÁNDEZ</t>
  </si>
  <si>
    <t>SUBDIRECTORA GENERAL DE GESTIÓN CORPORATIVA</t>
  </si>
  <si>
    <t>Aporte de documentación falsa por parte de los servidores de planta y los candidatos a posesionarse.</t>
  </si>
  <si>
    <t xml:space="preserve">Que los candidatos a posesionarse o servidores de  planta del Instituto (LNR, provisionalidad, en Período de Prueba y carrera administrativa) aporten títulos de educación formal falsos. </t>
  </si>
  <si>
    <t xml:space="preserve">El profesional asignado/responsable de la STRH aplicará los siguientes controles:
1. Recepción y verificación del Formato Único de Hoja de Vida Persona Natural del SIDEAP contra soportes presentados a la Entidad. 
2. Diligenciamiento de la Lista de Chequeo de Documentos Requeridos para la Posesión de Funcionarios.
3. Remisión de oficio a las instituciones educativas para verificar la autenticidad de los soportes de estudio aportados.
4. Recepción de los soportes de formación académica y experiencia de los candidatos a posesionarse o servidores a través del aplicativo ORFEO.  </t>
  </si>
  <si>
    <t xml:space="preserve">Verificar la autenticidad de los títulos de estudio aportados por los servidores de planta o las personas que ingresan mediante nombramiento en período de prueba, provisionalidad y Libre Nombramiento y Remoción. </t>
  </si>
  <si>
    <t>1. Oficios de solicitud de verificación de los títulos remitidos a  las instituciones educativas.
2. Lista de chequeo de documentos requeridos para la posesión de funcionarios.
3. Formato Único de Hoja de Vida Persona Natural (SIDEAP).
4. Registros en ORFEO.</t>
  </si>
  <si>
    <t>1. Se reitera la solicitud de verificación de la autenticidad del documento. 
2. Una vez confirmado que el documento no es aunténtico, se realiza un memorando a la DTGJ y a la OCD, en donde se relatan los hechos, se acompañan los documentos  y se solicita el trámite de denuncia ante las entidades competentes.
3. Revocatoria del nombramiento, siempre que se compruebe la no autenticidad del documento.</t>
  </si>
  <si>
    <t xml:space="preserve">* Número de personas que aportaron documentos no auténticos / Número de personas en provisionalidad, período de prueba, carrera adiministrativa y/o libre nombramiento y remoción que conforman la planta.
</t>
  </si>
  <si>
    <t xml:space="preserve">No. de alteraciones de las bases de datos de Kactus que generaron pago erróneo de la nómina.
</t>
  </si>
  <si>
    <t>Ligia Stella Rodríguez Hernández</t>
  </si>
  <si>
    <t>Subdirectora General de Gestión Corporativa</t>
  </si>
  <si>
    <t>No se han presentado situaciones de materialización de riesgos</t>
  </si>
  <si>
    <t>Observaciones o cambios presentados en:
Riesgo:  se mantiene
Causas: se mantienen
consecuencias: se mantienen
Controles: se mantienen
Acciones de contingencia: se mantienen
Indicador: se mantiene
Otros:</t>
  </si>
  <si>
    <t>No se han afectado proyectos por causa del presupuesto</t>
  </si>
  <si>
    <t>Observaciones o cambios presentados en:
Riesgo: se mantiene
Causas: se mantienen
consecuencias: se mantienen
Controles: se mantienen
Acciones de contingencia: se mantienen
Indicador: se mantiene
Otros:</t>
  </si>
  <si>
    <t>Tiempo de afectación de los servicios / tiempo total de prestación de los servicios.</t>
  </si>
  <si>
    <t>Se presentó un promedio de calificación del servicio de 4,6 sobre 5.</t>
  </si>
  <si>
    <t>Observaciones o cambios presentados en:
Riesgo: se mantienen
Causas: se mantienen
consecuencias: se mantienen
Controles: se mantienen
Acciones de contingencia: se mantienen
Indicador: se mantiene
Otros:</t>
  </si>
  <si>
    <t>No se presentó acceso a la información por personas no autorizadas</t>
  </si>
  <si>
    <t>Observaciones o cambios presentados en:
Riesgo: se mantiene.  - El riesgo R.TI.06 se elimina por estar estrechamente relacionado con este. 
Causas: se mantienen
consecuencias: se mantienen
Controles: se mantienen
Acciones de contingencia: se mantienen
Indicador: se mantiene
Otros:</t>
  </si>
  <si>
    <t>Reinstalación de las aplicaciones afectadas</t>
  </si>
  <si>
    <t>- Restauración de copias de respaldo, siempre y cuando no sea informacion almacenada en los equipos de usuario final.</t>
  </si>
  <si>
    <t>Observaciones o cambios presentados en:
Riesgo: se mantiene.  -  Se elimina R.TI.19 por estar estrechamente relacionado con este
Causas: se mantienen
consecuencias: se mantienen
Controles: se mantienen
Acciones de contingencia: se actualizan
Indicador: se mantiene
Otros:</t>
  </si>
  <si>
    <t>Observaciones o cambios presentados en:
Riesgo: se mantiene
Causas: se mantienen
consecuencias: se mantienen
Controles: se mantienen
Acciones de contingencia: se mantienen
Indicador: se mantienen
Otros:</t>
  </si>
  <si>
    <t>Observaciones o cambios presentados en:
Riesgo: se mantiene
Causas: se mantienen
consecuencias: se mantienen
Controles: se mantienen
Acciones de contingencia: se eliminan las acciones definidas anteriormente.
Indicador: se mantiene
Otros:</t>
  </si>
  <si>
    <t>- Capacitación y sensibilización al personal de la mesa de servicios sobre el borrado seguro.
- Capacitación y sensibilización a toda la gente IDU sobre el uso de las carpetas compartidas.
- Se ha diseñado y publicado el Plan de Recuperación de Tecnología ante Desastres.
- Actualización de los planes de contingencia e instructivos de recuperación.
- Diseño de Plan de Recuperación ante Desastres para los componentes de TI</t>
  </si>
  <si>
    <t>Observaciones o cambios presentados en:
Riesgo: se mantiene
Causas: se mantienen
consecuencias: se mantienen
Controles: Se ajustó redacción en uno de los controles
Acciones de contingencia: se mantienen
Indicador: se mantiene
Otros:</t>
  </si>
  <si>
    <t>No se han presentado situaciones de materialización de las consecuencias, ni tampoco de las causas.</t>
  </si>
  <si>
    <t>LlGIA STELLA RODRIGUEZ HERNÁNDEZ</t>
  </si>
  <si>
    <t>Subdirectora General</t>
  </si>
  <si>
    <t>Observaciones ó cambios presentados en:
Riesgo: se mantiene
Causas: se mantienen
consecuencias: se mantienen
Controles: se mantienen
Acciones de contingencia: se mantienen
Indicador: se mantiene
Otros:</t>
  </si>
  <si>
    <t>Se identifican los activos de información sensibles y las áreas y personas que gesionan esta información</t>
  </si>
  <si>
    <t>Se mantiene el sistema Aranda como control del servicio</t>
  </si>
  <si>
    <t>Observaciones ó cambios presentados en:
Riesgo: se mantiene
Causas: se mantiene
consecuencias: se mantienen
Controles: se mantienen
Acciones de contingencia: se mantienen
Indicador: se mantiene
Otros:</t>
  </si>
  <si>
    <t>No se han presentando denuncias, reclamos o informes a la STRF, en donde se notifique la 
perdida o deterioro de la información a cargo del proceso de Gestión Documental.</t>
  </si>
  <si>
    <t>No se han presentado reclamos o quejas a la STRF, donde se notifique la atención ineficiente a los usuario internos y externos del proceso de Gestión Documental.</t>
  </si>
  <si>
    <t>No se han presentado reclamos o quejas a la STRF, donde se notifique por parte de los usuarios del Centro de Documentación, la desactualización en los documentos misionales disponibles en el repositorio institucional.</t>
  </si>
  <si>
    <t>Número de denuncias,  reclamos o informes por parte de entes de control, en donde se notifique la 
adulteración, sustracción, robo y manipulación de los archivos y documentos del IDU con el fin de beneficiar a un particular</t>
  </si>
  <si>
    <t>Durante la actual vigencia no se tiene conocimiento de denuncias, quejas,  reclamos o informes por parte de entes de control, en donde se notifique la materialización del riesgo.</t>
  </si>
  <si>
    <t xml:space="preserve">A) Número de reportes de indebida manipulación de la información
B) Número de denuncias,  reclamos o informes por parte de entes de control, en donde se notifique el
uso indebido de información crítica y
sensible de los procesos de la Entidad </t>
  </si>
  <si>
    <t>Se observa que en los  procesos de G. Documental no se presentó ningún reporte por la indebida manipulación de la información.
Para el indicador B, se observa que durante lo corrido de la actual vigencia no se han presentado denuncias, quejas,  reclamos o informes por parte de entes de control, en donde se notifique la materialización del riesgo.</t>
  </si>
  <si>
    <t>Número de quejas, derechos de petición, denuncias y/o no conformidades en los informes de auditoría, sobre la no disponibilidad de los medios de pago que ofrece el IDU  a la ciudadanía, para el recaudo.</t>
  </si>
  <si>
    <t>5. Control  acceso al home banking a través de  un sistema biométrico.  (funcionarios - Documentado en el protocolo de seguridad)
6. Asignación de clave de la caja de seguridad a personal autorizado.
7. Asignación de llaves de acceso a las cajillas de la caja fuerte a personal autorizado el cual es monitoreado por el responsable de administrar la caja de seguridad.
8. Aplicación del protocolo de seguridad establecido por la SDH.</t>
  </si>
  <si>
    <t xml:space="preserve">Pérdida o alteración de información </t>
  </si>
  <si>
    <t xml:space="preserve">Subdirector General  de Gestión Corporativa </t>
  </si>
  <si>
    <t>1. Aplicación de las políticas para el manejo de excedentes de liquidez de la SDH.                                       
2. Obligatoriedad de invertir de acuerdo con los cupos (ranking) que envía la SDH, en los cuales están inmersos los análisis de la solidez de cada entidad financiera, aprobados por el Comité de Control de Riesgo de la SDH     
3. Seguimiento en las inversiones (fechas de vencimiento de inversiones; planeación y seguimiento del PAC)
4. Alertas por parte del custodio de las Inversiones en CDT para vencimientos.                                             
5. Comunicados enviados por los bancos (email) y audios de las comunicaciones con los bancos.
6. Comité de  control financiero, contable y de inventarios. 
7. Aplicación del procedimiento Administración de inversiones de tesorería.
8. Revisión y aprobación de las inversiones por parte del subdirector Técnico de Tesorería y Recaudo y del Director Técnico Administrativo y Financiero.</t>
  </si>
  <si>
    <t xml:space="preserve">Número de quejas, denuncias y/o no conformidades en los informes de auditoría sobre manipulación o divulgación de información de las ofertas realizadas por los bancos para realizar inversiones.
</t>
  </si>
  <si>
    <t>Observaciones o cambios presentados en:
Riesgo: La información continua igual, no hay modificación
Causas: La información continua igual, no hay modificación
Consecuencias: La información continua igual, no hay modificación
Controles: La información continua igual, no hay modificación
Acciones de contingencia: La información continua igual, no hay modificación
Indicador: La información continua igual, no hay modificación
Otros:</t>
  </si>
  <si>
    <t xml:space="preserve">1. Cualquier reversión debe quedar en el movimiento diario de tesorería, con sus respectivos soportes como evidencia
2. Control dual para las reversiones de las aplicaciones en el Sistema VALORICEMOS.                                                     3. Cualquier reversión debe ser autorizada mediante memorando firmado por el Subdirector Técnico de Tesorería y Recaudo.
4. Mensualmente  mediante correo electrónico, se informa  a la Subdirección Técnica de Operaciones, sobre las reversiones presentadas .
</t>
  </si>
  <si>
    <t>El Subdirector Técnico de Tesorería y Recaudo autoriza las aplicaciones o reversiones necesarias para corregir la situación en el sistema Valoricemos.
-Solicitar la apertura de una investigación a la Oficinas de Control Interno y Control Disciplinario.</t>
  </si>
  <si>
    <r>
      <t xml:space="preserve">Observaciones o cambios presentados en:
</t>
    </r>
    <r>
      <rPr>
        <b/>
        <sz val="8"/>
        <rFont val="Arial"/>
        <family val="2"/>
      </rPr>
      <t xml:space="preserve">Riesgo: </t>
    </r>
    <r>
      <rPr>
        <sz val="8"/>
        <rFont val="Arial"/>
        <family val="2"/>
      </rPr>
      <t xml:space="preserve">La información continua igual, no hay modificación
</t>
    </r>
    <r>
      <rPr>
        <b/>
        <sz val="8"/>
        <rFont val="Arial"/>
        <family val="2"/>
      </rPr>
      <t xml:space="preserve">Causas: </t>
    </r>
    <r>
      <rPr>
        <sz val="8"/>
        <rFont val="Arial"/>
        <family val="2"/>
      </rPr>
      <t xml:space="preserve">La información continua igual, no hay modificación
</t>
    </r>
    <r>
      <rPr>
        <b/>
        <sz val="8"/>
        <rFont val="Arial"/>
        <family val="2"/>
      </rPr>
      <t>Consecuencias:</t>
    </r>
    <r>
      <rPr>
        <sz val="8"/>
        <rFont val="Arial"/>
        <family val="2"/>
      </rPr>
      <t xml:space="preserve"> La información continua igual, no hay modificación
</t>
    </r>
    <r>
      <rPr>
        <b/>
        <sz val="8"/>
        <rFont val="Arial"/>
        <family val="2"/>
      </rPr>
      <t xml:space="preserve">Controles: </t>
    </r>
    <r>
      <rPr>
        <sz val="8"/>
        <rFont val="Arial"/>
        <family val="2"/>
      </rPr>
      <t xml:space="preserve">La información continua igual, no hay modificación
</t>
    </r>
    <r>
      <rPr>
        <b/>
        <sz val="8"/>
        <rFont val="Arial"/>
        <family val="2"/>
      </rPr>
      <t>Acciones de contingencia</t>
    </r>
    <r>
      <rPr>
        <sz val="8"/>
        <rFont val="Arial"/>
        <family val="2"/>
      </rPr>
      <t xml:space="preserve">: La información continua igual, no hay modificación
</t>
    </r>
    <r>
      <rPr>
        <b/>
        <sz val="8"/>
        <rFont val="Arial"/>
        <family val="2"/>
      </rPr>
      <t>Indicador:</t>
    </r>
    <r>
      <rPr>
        <sz val="8"/>
        <rFont val="Arial"/>
        <family val="2"/>
      </rPr>
      <t xml:space="preserve"> La información continua igual, no hay modificación
</t>
    </r>
    <r>
      <rPr>
        <b/>
        <sz val="8"/>
        <rFont val="Arial"/>
        <family val="2"/>
      </rPr>
      <t>Otros:</t>
    </r>
  </si>
  <si>
    <t xml:space="preserve">SUBDIRECTORA GENERAL  </t>
  </si>
  <si>
    <t>OBSERVACIONES ANÁLISIS DE SEGUIMIENTO
CORTE ABRIL 30 DE 2019</t>
  </si>
  <si>
    <t>DATOS PARA INDICADOR OCI</t>
  </si>
  <si>
    <t>En el periodo evaluado no se han detectado informes con restricción para la ejecución de la evaluación</t>
  </si>
  <si>
    <t xml:space="preserve">Se observó que el 100% de  los informes remitidos por la OCI en el periodo, cumplen con la metodología establecida. </t>
  </si>
  <si>
    <t>1. Verificar cumplimiento de requisitos, por parte del nominador, para el  nombramiento  del Jefe Control Interno según  lo establecido en el parágrafo 1, Art. 8, Ley 1474/2011.
2. Verificación de requisitos por parte de la STRH, frente a resultados de procesos de selección comunicados por la entidad competente.
3. Realizar proceso de selección para funcionarios provisionales, conforme al procedimiento vigente.
4. Realizar proceso de selección de contratistas de acuerdo con el procedimiento vigente en la entidad.</t>
  </si>
  <si>
    <t>1. Suscribir el formato Carta de Representación, por parte de los jefes de las áreas/procesos auditados, en los que se comprometen a suministrar la información correspondiente a la evaluación, con criterios de veracidad, calidad y oportunidad. 
2. Asignar por parte de los líderes de los procesos evaluados al profesional que atenderá la auditoría o servirá de enlace.</t>
  </si>
  <si>
    <t>1. Formato Plan de Auditoría digitalizado en Orfeo, ubicado en el expediente de cada auditoría, conforme al Procedimiento "Evaluación Independiente y Auditorías Internas"</t>
  </si>
  <si>
    <t>1. Aplicar el procedimiento "INTH18 Ingreso de personal en carrera encargo y o provisionalidad V 5.0", frente a la causa relacionada con no contar con las competencias para realizar la planeación del proceso.
2. Aplicar el Procedimiento "Evaluación Independiente y Auditorías Internas" en lo correspondiente a la etapa de planeación y formulación del Plan Anual de Auditorías.
3. Programar y realizar capacitaciones en Auditoría Interna y Sistema Integrado de Gestión para el equipo evaluador de la OCI, por parte de la STRH.
4. Realizar proceso de selección de contratistas de acuerdo con el procedimiento vigente en la entidad.</t>
  </si>
  <si>
    <t>(No. de causas materializadas para el riesgo  / Total de causas identificadas para el riesgo)*100%</t>
  </si>
  <si>
    <t>(0 / 4) x 100%</t>
  </si>
  <si>
    <t>1. Los informes de los contratistas son revisados por la jefa de la OCD de manera mensual, para verificar que los expedientes se encuentren actualizados, en el caso del personal de plan se realiza la misma acción de manera semestral al momento de la evaluación de desempeño.
2. El lider del SID en la OCD, se encarga de verificar que los procesos se encuentren actualizados de manera mensual.
3. Los profesionales de la OCD se encargan de escanear las actuaciones de los procesos asignados y subirlas a la carpeta compartida.</t>
  </si>
  <si>
    <t>1. Informes de contratistas y evaluación de desempeño
2. Documento soporte del lider del SID en la OCD sobre el estado de la actualización del sistema.
3. Carpeta compartida de expedientes virtuales</t>
  </si>
  <si>
    <t>Los controles están implementados y no se ha observado la materialización del riesgo.</t>
  </si>
  <si>
    <t>1. Actas de reuniones, directricez y/o correos
2. Incorporación de la normatividad vigente y  aplicable en los procesos disciplinarios, en los formatos de autos.
3. Registros en el SID.
4. Diplomas o constancias o listas de asistencia a capacitaciónes</t>
  </si>
  <si>
    <t>No se han presentado Incumplimiento de los términos legales en los procesos disciplinarios en el periodo</t>
  </si>
  <si>
    <t>2. Memorandos, calendario Google o correo electronico institucional 
3. Espacio en la intrenet para la publicación de contenidos disciplinarios</t>
  </si>
  <si>
    <t>No se evidenció materialización del riesgo.</t>
  </si>
  <si>
    <t xml:space="preserve">No se identificó, por parte del proceso, que el riesgo se materializara. No obstante, en las reuniones de monitoreo realizada con los representantes de OAP se comunicó la necesidad de revisar la pertinencia o no de incluir en la matriz de riesgos del proceso EVALUACIÓN Y CONTROL  riesgos de seguridad de la información cuyo control está a cargo del área de sistemas la STRT. </t>
  </si>
  <si>
    <t xml:space="preserve">Observaciones ó cambios presentados en:
No se identificó, por parte del proceso, que el riesgo se materializara. No obstante, en las reuniones de monitoreo realizada con los representantes de OAP se comunicó la necesidad de revisar la pertinencia o no de incluir en la matriz de riesgos del proceso EVALUACIÓN Y CONTROL  riesgos de seguridad de la información cuyo control está a cargo del área de sistemas la STRT. </t>
  </si>
  <si>
    <t>No se identificó, por parte del proceso, que el riesgo se materializara. No obstante, en las reuniones de monitoreo realizada con los representantes de OAP se comunicó la necesidad de revisar la pertinencia o no de incluir en la matriz de riesgos del proc</t>
  </si>
  <si>
    <t>EVALUACIÓN DEL RIESGO</t>
  </si>
  <si>
    <t>1. Suscribir Declaración de Confidencialidad y No Conflicto de Intereses por parte de los auditores, para cada ejercicio de auditoría ejecutado por la OCI.
2. Suscribir la Carta de Representación por parte del líder/responsable del proceso auditado, en la que se establezca la veracidad, calidad y oportunidad de la información presentada en desarrollo de los ejercicios de auditoría.
3. Revisar  los informes de Ley y los de evaluación, por el Jefe de la OCI antes de ser oficializados y/o antes del envío como Informe Preliminar a la dependencia auditada.
4. Suscribir Informe Final  de auditoría por parte de todo el equipo auditor.
5. Envío del Informe Preliminar de auditoría, a través de correo electrónico, por parte del Jefe OCI al responsable del proceso/objeto auditado, para conocimiento y emisión de observaciones si procede. 
6. Presentar el Informe Preliminar de auditoría en reunión en la que interviene el Jefe OCI, el líder o delegados del proceso/objeto auditado y el equipo auditor.
7. Reportar a los Organismos de Control, los posibles actos de corrupción que haya encontrado en el ejercicio de sus funciones por parte del Jefe de la Oficina de Control Interno.</t>
  </si>
  <si>
    <t>Implementación de la Dimensión de Control Interno del MIPG.
Fortalecer el seguimiento a la gestión de riesgo dentro del Comité Institucional de Control Interno</t>
  </si>
  <si>
    <t>1. Formato Declaración de Confidencialidad y No Conflicto de Intereses suscrito por cada auditor en cada auditoría.
2.  Formato Carta de Representación suscrito por parte del líder/responsable del proceso auditado.
3. Correos electrónicos de revisión y observaciones enviados por el Jefe OCI al líder de auditoría o al responsable.
4. Archivo digitalizado del Informe Final firmado por todo el equipo auditor, dispuesto en el aplicativo Orfeo.
5. Correo electrónico de envío del Informe Preliminar por parte del Jefe OCI al líder del proceso/objeto auditado.
6. Acta de reunión de socialización del Informe de Auditoría.
7. Comunicación al organismo de control que corresponda, si procede, en la que se reporten los posibles actos de corrupción que haya encontrado en el ejercicio de la auditoría.</t>
  </si>
  <si>
    <t>(Informes Direccionados  / Evaluaciones  Efectuadas en el Período)*100 %</t>
  </si>
  <si>
    <t>Que la Alta Dirección y/o los auditados no atiendan, sin la debida justificación o intencionalmente, 
los hallazgos y/o no conformidades, 
presentadas por la Oficina
de Control Interno en sus
informes de auditoría, de seguimiento, obligatorios o de ley y/o
evaluaciones</t>
  </si>
  <si>
    <t>1. Elaborar y publicar en la página Web de la entidad el Informe Pormenorizado del Estado del Control Interno (Ley 1474/2011), de manera cuatrimestral, que ampara la independencia del Jefe de la OCI frente a la Alta Dirección de la entidad.
2. Presentar a consideración del Comité Institucional de Coordinación de Control Interno los casos en que se reporten diferencias entre el equipo auditor y los auditados, para que éste, en cumplimiento de su función, sirva de instancia para resolver las diferencias.
3. Verificar por parte del auditor asignado, el envío formal del Plan de Mejoramiento Interno por el auditado, al cierre de cada auditoría, conforme a la política operacional del procedimiento "Formulación, Monitoreo y Seguimiento a Planes de Mejoramiento" y efectuar el pronunciamiento que corresponda.
4. Registrar en el aplicativo CHIE de planes de mejoramiento las observaciones y evaluaciones derivadas del monitoreo frente al cumplimiento y demás atributos del plan por parte del auditado.
5. Reportar a los Organismos de Control, los posibles actos de corrupción que haya encontrado en el ejercicio de sus funciones por parte del Jefe de la Oficina de Control Interno.
6. Suscribir la Carta de Representación por parte del líder/responsable del proceso auditado, en la que se establezca la veracidad, calidad y oportunidad de la información presentada en desarrollo de los ejercicios de evaluación.
7. Formalizar el Plan de Auditoría para cada ejercicio de evaluación, en el que se registren las actividades, fechas y responsables, especialmente en lo relacionado con la gestión asociada a la entrega y recibo de información e insumos para el proceso auditor.
8. Aplicar lo establecido en las políticas operacionales del Procedimiento de Evaluación Independiente y Auditorías Internas en relación con la formulación por parte de la OCI y la aprobación por parte del Comité Institucional de Coordinación de Control Interno, frente al Plan Anual de Auditoría. 
9. Aplicar lo establecido en las políticas operacionales del Procedimiento de Evaluación Independiente y Auditorías Internas en relación con el seguimiento al programa anual de auditoría por parte del Comité Institucional de Coordinación de Control Interno. (Decreto Nal. 648-2017).</t>
  </si>
  <si>
    <t>1.  Informe Pormenorizado del Estado del Control Interno publicado para cada cuatrimestre, en página Web del IDU.
2. Acta Comité Institucional de Coordinación de Control Interno.
3. Registro de cargue del Plan de Mejoramiento remitido por el líder de proceso a partir del radicado Orfeo enviado por el proceso/área auditada.
4. Registros de verificación en el aplicativo CHIE de Planes de Mejoramiento.
5. Comunicación al organismo de control que corresponda, si procede, en la que se reporten los posibles actos de corrupción que haya encontrado en el ejercicio de la auditoría.
6. Formato Carta de Representación suscrito por parte del líder/responsable del proceso auditado.
7. Formato Plan de Auditoría digitalizado en Orfeo, ubicado en el expediente de cada auditoría.</t>
  </si>
  <si>
    <t>Indicador de Alerta: (Planes de Mejoramiento Recibidos Oportunamente / Planes de Mejoramiento Solicitados por la OCI en el período) * 100%</t>
  </si>
  <si>
    <t>1. Suscribir Declaración de Confidencialidad y No Conflicto de Intereses por parte de los auditores, para cada ejercicio de evaluación ejecutado por la OCI.
2. Revisar  los informes de Ley y los de  auditorías internas, por parte del Jefe de la OCI antes de ser oficializados y/o antes del envío como Informe Preliminar a la dependencia auditada.
3. Suscribir Informe Final por parte de todo el equipo auditor.
4. Presentar el Informe Preliminar de auditoría en reunión en la que interviene el Jefe OCI, el líder o delegados del proceso/objeto auditado y el equipo auditor.</t>
  </si>
  <si>
    <t>1. Formato Declaración de Confidencialidad y No Conflicto de Intereses suscrito por cada auditor en cada auditoría.
2. Correos electrónicos de revisión y observaciones enviados por el Jefe OCI al líder de auditoría o al responsable.
3. Archivo digitalizado del Informe Final firmado por todo el equipo auditor, dispuesto en el aplicativo Orfeo.
4.  Acta de reunión de socialización del Informe de Auditoría.</t>
  </si>
  <si>
    <t>(Informes Reportados / Informes susceptibles de reportar) * 100%</t>
  </si>
  <si>
    <t xml:space="preserve">Análisis: A la fecha no se han presentado casos de informes para trasladar a las autoridades competentes. </t>
  </si>
  <si>
    <t>1. Aplicar lo establecido en las políticas operacionales del Procedimiento de Evaluación Independiente y Auditorías Internas en relación con la formulación por parte de la OCI y la aprobación por parte del Comité Institucional de Coordinación de Control Interno, frente al Plan Anual de Auditoría. 
2. Aplicar lo establecido en las políticas operacionales del Procedimiento de Evaluación Independiente y Auditorías Internas en relación con el seguimiento al programa anual de auditoría por parte del Comité Institucional de Coordinación de Control Interno. (Decreto Nal. 648-2017).
3. Suscribir la Carta de Representación por parte del líder/responsable del proceso auditado, en la que se establezca la veracidad, calidad y oportunidad de la información presentada en desarrollo de los ejercicios de evaluación.
4. Suscribir Declaración de Confidencialidad y No Conflicto de Intereses por parte de los auditores para cada ejercicio de evaluación ejecutado por la OCI.
5. Realizar seguimiento al Plan de Auditoría específico de cada auditoría, por parte del Jefe de la OCI, para identificar avances y/o brechas frente a lo planificado.</t>
  </si>
  <si>
    <t>1. Acta Comité Institucional de Coordinación de Control Interno en la que se haya aprobado el Plan Anual de Auditorías.
2. Acta Comité Institucional de Coordinación de Control Interno en la que se haya hecho seguimiento al Plan Anual de Auditorías.
3. Formato Carta de Representación suscrito por parte del líder/responsable del proceso auditado.
4. Formato Declaración de Confidencialidad y No Conflicto de Intereses suscrito por parte de los auditores.
5. Actas de reuniones de seguimiento en la OCI.</t>
  </si>
  <si>
    <t>No se evidenciaron restricciones en la entrega de información para las evaluaciones adelantadas</t>
  </si>
  <si>
    <t xml:space="preserve">1. Verificar la integridad de la información virtual almacenada en el SID frente a la información física del proceso disciplinario realizado por profesional de apoyo en la OCD.
2. Control de préstamo de expedientes físicos para revisión a los sujetos procesales y entes de control 
3. Digitalización de la documentación asociada a un expediente, disponible en la carpeta virtual de la OCD </t>
  </si>
  <si>
    <t>1- Documento soporte del estado de la verificación de la información virtual del SID y el expediente físico 
2- Formato FOEC110 Revisión de expediente implicado y/o apoderado. 
3. Documento soporte de verificación carpeta virtual compartida de expedientes activos, realizado por el profesional asignado.</t>
  </si>
  <si>
    <t>1. OCD indagará los hechos y de existir merito iniciará investigación disciplinaria  para establecer los hechos, si hay lugar se ordenará a que se reestablezca la información original del expediente.
2. Se deberá informar a entes de control que correspondan, sobre el hecho.
3. Si existe implicaciones penales se debe informar a la Fiscalía.</t>
  </si>
  <si>
    <t>Controles implementados por la OCD / Controles definidos en la matriz de riesgos * 100 %</t>
  </si>
  <si>
    <t>( 3 / 3 ) x 100% = 100%</t>
  </si>
  <si>
    <t>Se realizaron los 3 controles establecidos para éste riesgo.</t>
  </si>
  <si>
    <t>1. Auto inhibitorio y/o auto apertura indagación o investigación y pliego de cargos.
 2. Carpeta de recomendaciones y directrices OCD</t>
  </si>
  <si>
    <t># de procesos en los que se declare la prescripción o caducidad de la acción disciplinaria por razón de la inactividad de la OCD / # de procesos iniciados en el 2019*100 %</t>
  </si>
  <si>
    <t>1. Planilla de control entre los abogados y el personal administrativo cuando se entrega un expediente con una actuación procesal o   finalizado para archivo
2. Uso de Orfeo para la remisión de expedientes con inventario, dirigido a la DG en casos de segunda instancia o para entes de control.
3. Presentación de informes de asuntos a cargo cuando la desvinculación es temporal o definitiva.</t>
  </si>
  <si>
    <t>1. Se debe informar a la Fiscalía sobre la perdida del expediente
2. Se da inicio a la investigación disciplinaria correspondiente</t>
  </si>
  <si>
    <r>
      <rPr>
        <b/>
        <sz val="8"/>
        <color theme="1"/>
        <rFont val="Arial"/>
        <family val="2"/>
      </rPr>
      <t>NOTA:</t>
    </r>
    <r>
      <rPr>
        <sz val="8"/>
        <color theme="1"/>
        <rFont val="Arial"/>
        <family val="2"/>
      </rPr>
      <t xml:space="preserve">  En sesión conjunta con delegados de OCI, OAP y OCD, se realizó análisis de los riesgos C.EC.05 (Imprecisión y/o inoportunidad intencionadas en la entrega de información por parte del auditado) y  C.EC.06 (Que la Alta Dirección y/o los potenciales auditados interfieran en la planeación de las auditorías, de manera que impidan su programación o realización), identificando una mejora en el sentido de incluirlos como causas del riesgo C.EC.02 (Que la Alta Dirección y/o los auditados no atiendan, sin la debida justificación o intencionalmente, las observaciones, hallazgos y/o no conformidades, presentadas por la Oficina de Control Interno en sus informes de auditoría y/o evaluaciones)</t>
    </r>
  </si>
  <si>
    <t>1. Aplicación del procedimiento "PR-MC-04 Respuesta informe auditoria y gestión plan mejoramiento con organismos control" liderado integralmente por la Oficina de Control Interno.
2. Sensibilización del Procedimiento, dirigidos a los Directivos y personal de las Dependencias del Instituto responsables de gestionar planes de mejoramiento.</t>
  </si>
  <si>
    <t>1. PR-MC-04 Respuesta informe auditoria y gestión plan mejoramiento organismos control
2. Listados de Asistencia a ls sesiones de sensibilización del procedimiento.</t>
  </si>
  <si>
    <t>En el periodo monitoreado no se videnció materialización del riesgo.</t>
  </si>
  <si>
    <t>1. Se identifica que el riesgo y su descripción son vigentes.
2. Se identifica que los controles registrados operan y están vigentes. No obstante se realizan ajustes a la definición y periodicidad.
3. No se ha identificado materialización del riesgo en el periodo monitoreado.</t>
  </si>
  <si>
    <t>1. Seguimientos y acompañamientos periódicos a planes de mejoramiento desde el aplicativo "CHIE planes de mejoramiento  institucional"
2. Comunicaciones oficiales por parte de la alta dirección hacia las dependencias del IDU en las imparte lineamientos y deberes de las áreas y/o procesos en relación con el cumplimiento de los planes de mejoramiento. No procede necesariamente una periodicidad definida.
3. Seguimiento a las comunicaciones externas relacionadas con la solicitud o seguimiento de  los planes de mejoramiento desde ORFEO solicitados por entes de control, cuando sean solicitadas.</t>
  </si>
  <si>
    <t>Aplicacion  de los procedimientos y metodologias existentes, que incluyen entre otros controles:
1. Análisis de causas
2. Procedimiento para formulación de plan de mejoramiento y acciones correctivas y/o preventivas
3. Aprobación y V.B del plan de mejoramiento por parte de los jefes de las Dependencias involucradas en el plan.
4. Acompañamiento por parte de la OAP, si las áreas lo solicitan, en la formulación de los planes de mejoramiento.
5. Evaluación de la efectividad las acciones por parte de la OCI.</t>
  </si>
  <si>
    <t>1. Procedimiento PRMC01 formulación monitoreo y seguimiento a planes de mejoramiento interno y/o por procesos.
2. Procedimiento de PRMC04 respuesta informe auditoria y gestión plan mejoramiento organismos control.
3 Formato FO-MC-01 Plan de mejoramiento interno
4. Formatos de análisis de causas, incluidos en el formato de plan de mejoramiento.</t>
  </si>
  <si>
    <t xml:space="preserve">
1. Se identifica que el riesgo y su descripción son vigentes.
2. Se identifica que los controles registrados operan y están vigentes. No obstante se realizan los siguientes ajustes:
- Ajustes a la definición y periodicidad.
- Se reitra el control relacionado con "5. Vo. Bo de pertinencia metodológica y suficiencia del plan formulado, por parte de la OCI previo al inicio de su ejecución" toda vez, que la política operacional fue modificada en razón a la independencia que debe guardar la OCI frente a la naturaleza de las acciones que formulen los procesos/áreas.
3. No se ha identificado materialización del riesgo en el periodo monitoreado.</t>
  </si>
  <si>
    <t>Aplicación de los procedimientos y metodologías existentes, que incluyen entre otros controles:
1. Análisis de causas
2. Instructivo para formulación de plan de mejoramiento y acciones correctivas y/o preventivas
3. Aprobación y V.B del plan de mejoramiento por parte de los jefes de las Dependencias involucradas en el plan.
4. Acompañamiento por parte de la OAP, si las áreas lo solicitan, en la formulación de los planes de mejoramiento.
5. Seguimiento por parte de la OCI.</t>
  </si>
  <si>
    <t>1. Procedimiento PRMC01 Formulación monitoreo y seguimiento a planes de mejoramiento interno y/o por procesos
2. Procedimiento de PRMC121 respuesta informe auditoria y gestión plan mejoramiento organismos control
3 Formato FO-MC-01 Plan de mejoramiento interno
4. Formatos de análisis de causas, incluidos en el formato de plan de mejoramiento.</t>
  </si>
  <si>
    <t>1. El sistema de información "CHIE" planes de mejoramiento, cuenta con alertas cuando se genera un nuevo plan de mejoramiento o nueva acción; antes del vencimiento de los plazos de las acciones y antes de  la calificación de seguimiento realizada por el auditor responsable.
2. Realizar el cargue oportuno y adecuado de los soportes por parte del ejecutor responsable de la acción.
3. Aprobación oportuna de las acciones formuladas y cargadas en CHIE, por parte del jefe del área.
4. Seguimiento periódico a planes de mejoramiento por parte de la OCI
5. Informes trimestrales de seguimiento presentados por la OCI, a la D.G y dependencias responsables.
5. Reuniones de acompañamiento por parte de la OCI, según necesidad de las dependencias.</t>
  </si>
  <si>
    <t>1. Sensibilización a los diferentes procesos en lo concerniente a la formulación y seguimiento a los planes de mejoramiento.
2. Informe mensual y final de gestión para los contratos de PSP, frente a la causa identificada como "Constante rotación de personal de apoyo a la gestión para el seguimiento de planes de mejoramiento"</t>
  </si>
  <si>
    <t>1. Elaboración de proyecto de presupuesto para la vigencia correspondiente., frente a la causa identificada como "Insuficiencia de recursos presupuestados para la ejecución del plan  de mejoramiento".
2. Aplicación del procedimiento PR-PE-01 Modificaciones Presupuestales</t>
  </si>
  <si>
    <t>1. Aplicación y socialización del procedimiento PR-MC-01 formulación monitoreo y seguimiento a planes de mejoramiento interno y/o por procesos a todas las áreas IDU, que incluye análisis de causas, conforme a cronograma de la OCI.</t>
  </si>
  <si>
    <t>1. Se identifica que el riesgo y su descripción son vigentes. Sin embargo se ajusta reemplazando "eficacia" por "efectividad".
2. Se identifica que los controles registrados operan y están vigentes. No obstante se realizan los siguientes ajustes:
- Ajustes a la definición y periodicidad.
- Se retira el control relacionado con "5. Vo. Bo de pertinencia metodológica y suficiencia del plan formulado, por parte de la OCI previo al inicio de su ejecución" toda vez, que la política operacional fue modificada en razón a la independencia que debe guardar la OCI frente a la naturaleza de las acciones que formulen los procesos/áreas.
3. No se ha identificado materialización del riesgo en el periodo monitoreado.</t>
  </si>
  <si>
    <t>1. Aplicación y socialización del procedimiento PR-MC-01 formulación monitoreo y seguimiento a planes de mejoramiento interno y/o por procesos a todas las áreas IDU, que incluye análisis de causas, según cronograma OCI y/o OAP Y/o solicitud de las áreas.
2. Los jefes de las  áreas involucradas deben suscribir el correspondiente plan de mejoramiento, según lo definido en las políticas operacionales del procedimiento.
3. Aprobar las acciones del plan de mejoramiento por parte del jefe de dependencia, en el aplicativo de planes de mejoramiento CHIE.
4. Informes trimestrales de seguimiento al cumplimiento de los planes de mejoramiento.</t>
  </si>
  <si>
    <t>1. Registros de asistencia a las capacitaciones/socializaciones/ sensibilizaciones impartidas por OCI, OAP según cronograma o según solicitud de las áreas.
2 y 3. Reportes sistema CHIE
4. Informes de seguimiento de la OCI.</t>
  </si>
  <si>
    <t>1. Diligenciamiento del formato de planes de mejoramiento, por parte del líder del proceso en compañía de la OAP, cuando lo solicite el líder del proceso, y posterior aval de la OCI de la información consignada en el mismo. 
2. En los informes de auditoria se incluye la solicitud a las dependencias de enviar a la OCI el plan de mejoramiento, junto con los formatos diligenciados de análisis de causas, con el fin  de alimentar el sistema de información CHIE.</t>
  </si>
  <si>
    <t>1. Formato FO-MC-01 Plan de mejoramiento interno.
Formatos de análisis de causas, incluidos en el formato de plan de mejoramiento.
2. Informe final de auditoria -Memorandos ORFEO.</t>
  </si>
  <si>
    <t>1. Elaboración de proyecto de presupuesto para la vigencia correspondiente, frente a la causa identificada como "Que no se asignen los recursos necesarios financieros o logísticos para una adecuada implementación de las AC-AP, originadas en la autoevaluación del proceso."
2. Aplicación del procedimiento PR-PE-01 modificaciones presupuestales, frente a la causa identificada como "Que no se asignen los recursos necesarios financieros o logísticos para una adecuada implementación de las AC-AP, originadas en la autoevaluación del proceso."</t>
  </si>
  <si>
    <t>Que se desvirtúe el concepto de asesoría y se confunda con auditoría.</t>
  </si>
  <si>
    <t>Observaciones ó cambios presentados en:
Riesgo: Se mantiene.
Causas: Se mantienen.
consecuencias: Se mantienen.
Controles: Se identifica que los controles registrados operan y están vigentes. No obstante es necesario revisar el procedimiento y verificar la necesidad de su  adecuación a la normatividad correspondiente.
Acciones de contingencia: Se mantienen.
Indicador: Se mantiene.
Otros: N/A</t>
  </si>
  <si>
    <t>1. Se identifica que el riesgo y su descripción son vigentes.
2. Se identifica que los controles registrados operan y están vigentes. No obstante es necesario revisar el procedimiento y verificar la necesidad de su  adecuación a la normatividad correspondiente.
3. No se ha identificado materialización del riesgo en el periodo monitoreado.</t>
  </si>
  <si>
    <t>1. Sensibilización en Comités y en piezas de comunicación sobre la función asesora de la OCI y su rol de enfoque hacia la prevención, según cronograma OCI.
2. Realización de actividades de enfoque hacia la prevención, por parte de la OCI, en cumplimiento del rol establecido en el decreto 648/2017, según cronograma OCI.</t>
  </si>
  <si>
    <t xml:space="preserve">Registro de envío de actividades preventivas
Correo institucional Flash Disciplinario
Listas de asistencia a capacitaciones
Presentaciones OCD y Alcaldía
Recomendaciones por orfeo a las areas
Publicaciones de interes
</t>
  </si>
  <si>
    <t xml:space="preserve">
((# de actividades preventivas efectuadas / # de actividades preventivas programadas)*100)
Número de eventos de materialización del riesgo en el periodo</t>
  </si>
  <si>
    <t>OCD DEBE SUMINISTRAR LA INFORMACIÓN DE MONITOREO ACTUALIZADA.</t>
  </si>
  <si>
    <t>Reporte a la Subdirección Técnica de Recursos Tecnológicos y/o a la Oficina Asesora de Comunicaciones cuando corresponda, la incidencia presentada para su solución</t>
  </si>
  <si>
    <t>Observaciones ó cambios presentados en:
No se identificó, por parte del proceso, que el riesgo se materializara. No obstante, en las reuniones de monitoreo realizada con los representantes de OAP se comunicó la necesidad de revisar la pertinencia o no de incluir en la matriz de riesgos del proceso EVALUACIÓN Y CONTROL  riesgos de seguridad de la información cuyo control está a cargo del área de sistemas la STRT.</t>
  </si>
  <si>
    <t>1. La  OCI puede verificar la pertinencia de las acciones formuladas, tras la ejecución del ejercicio de evaluación, de conformidad con la política operacional del procedimiento de Formulación, Monitoreo y Seguimiento a Planes de Mejoramiento.
2. Utilización de Formatos para análisis de causas de hallazgos/ no conformidades derivados de ejercicios de evaluación: diagrama espina de pescado, lluvias de ideas y cinco porqués, para identificar la causa raiz y formular una acción enfocada en su eliminación.
3. Aplicar políticas operacionales establecidas en el procedimiento Formulación, Monitoreo y Seguimiento a Planes de Mejoramiento, en cuanto a la formulación de acciones encaminadas a eliminar la causa raiz del hallazgo/ no conformidad detectada, es decir acciones correctivas y/o correcciones cuando aplique.
4. Revisar y aprobar por parte del(os) Gerente(s) Público(s) responsables de la(s) acción(es) de mejoramiento formuladas.
5. El registro de las acciones de mejora se realiza en el aplicativo CHIE de planes de mejoramiento. Permite la trazabilidad en la formulación, ejecución y monitoreo.
6. Reportar a los Organismos de Control, los posibles actos de corrupción que haya encontrado en el ejercicio de sus funciones por parte del Jefe de la Oficina de Control Interno.</t>
  </si>
  <si>
    <t xml:space="preserve">JEFE OCI </t>
  </si>
  <si>
    <t>INDICADOR OCI
(No. Acciones identificadas para favorecer intereses de terceros  /  No. Acciones  Formuladas/Registradas  en el periodo) X 100%</t>
  </si>
  <si>
    <t>1. Aplicar los puntos de control establecidos en el Proceso y Procedimiento para la Planeación Estratégica.
2. Aplicación del Código de Buen Gobierno.
3. Sistema de Control Interno implementado, conforme a la Dimensión de Control Interno de MIPG y la estructura MECI de las Líneas de Defensa.
4. Proceso de Evaluación y Control implementado.
5. Plan Anual de Auditorías implementado.
6. Procedimiento de gestión de la información documentada que definen las validaciones, revisiones y aprobaciones en la adopción de documentos.</t>
  </si>
  <si>
    <t>No se percibe que el riesgo se haya presentado en el periodo evaluado.</t>
  </si>
  <si>
    <t>Piezas de divulgación solicitadas y tramitadas
Mayo 18
Junio 13
Julio 9
Agosto: 12</t>
  </si>
  <si>
    <t xml:space="preserve">En el cuatrimestre se recibieron 345 solicitudes, las cuales fueron tramitadas satisfactoriamente y se dieron respuesta en su totalidad. 
Mensualmente están divididas así: 
Mayo 49
Junio 66
Julio 157
Agosto: 73
Total: 345
</t>
  </si>
  <si>
    <t>01-mayo - 31-agosto-2019</t>
  </si>
  <si>
    <t>01 de Mayo - 31 de Agosto</t>
  </si>
  <si>
    <r>
      <rPr>
        <b/>
        <u/>
        <sz val="9"/>
        <rFont val="Arial Unicode MS"/>
        <family val="2"/>
      </rPr>
      <t>Riesgo:</t>
    </r>
    <r>
      <rPr>
        <sz val="9"/>
        <rFont val="Arial Unicode MS"/>
        <family val="2"/>
      </rPr>
      <t xml:space="preserve"> Se mantiene el riesgo
</t>
    </r>
    <r>
      <rPr>
        <b/>
        <u/>
        <sz val="9"/>
        <rFont val="Arial Unicode MS"/>
        <family val="2"/>
      </rPr>
      <t xml:space="preserve">
Causas:</t>
    </r>
    <r>
      <rPr>
        <sz val="9"/>
        <rFont val="Arial Unicode MS"/>
        <family val="2"/>
      </rPr>
      <t xml:space="preserve"> Al revisar las causas establecidas, éstas continúan. No se identificaron nuevas causas.
</t>
    </r>
    <r>
      <rPr>
        <b/>
        <u/>
        <sz val="9"/>
        <rFont val="Arial Unicode MS"/>
        <family val="2"/>
      </rPr>
      <t xml:space="preserve">
Controles: </t>
    </r>
    <r>
      <rPr>
        <sz val="9"/>
        <rFont val="Arial Unicode MS"/>
        <family val="2"/>
      </rPr>
      <t xml:space="preserve">Revisados los controles, estos se mantienen, se llevan a cabo y son tenidos en cuenta para las actividades relacionadas que se desarrollan en el área.
</t>
    </r>
    <r>
      <rPr>
        <b/>
        <u/>
        <sz val="9"/>
        <rFont val="Arial Unicode MS"/>
        <family val="2"/>
      </rPr>
      <t>Acciones asociadas:</t>
    </r>
    <r>
      <rPr>
        <sz val="9"/>
        <rFont val="Arial Unicode MS"/>
        <family val="2"/>
      </rPr>
      <t xml:space="preserve"> Para el periodo analizado se verificaron seis (6) requerimientos a Contratista, con el fin de revisar si fueron requeridos por los daños de su presunta imputabilidad:
</t>
    </r>
    <r>
      <rPr>
        <b/>
        <sz val="9"/>
        <rFont val="Arial Unicode MS"/>
        <family val="2"/>
      </rPr>
      <t>1.</t>
    </r>
    <r>
      <rPr>
        <sz val="9"/>
        <rFont val="Arial Unicode MS"/>
        <family val="2"/>
      </rPr>
      <t xml:space="preserve"> Cto. IDU-1727-2013 Requerimiento 20193750510781 del 31/mayo/2019. 
</t>
    </r>
    <r>
      <rPr>
        <b/>
        <sz val="9"/>
        <rFont val="Arial Unicode MS"/>
        <family val="2"/>
      </rPr>
      <t>2</t>
    </r>
    <r>
      <rPr>
        <sz val="9"/>
        <rFont val="Arial Unicode MS"/>
        <family val="2"/>
      </rPr>
      <t xml:space="preserve">. Cto. IDU-37-2011 Requerimiento 20193750479871 del 24/mayo/2019.
</t>
    </r>
    <r>
      <rPr>
        <b/>
        <sz val="9"/>
        <rFont val="Arial Unicode MS"/>
        <family val="2"/>
      </rPr>
      <t>3</t>
    </r>
    <r>
      <rPr>
        <sz val="9"/>
        <rFont val="Arial Unicode MS"/>
        <family val="2"/>
      </rPr>
      <t xml:space="preserve">. Cto. IDU-1899-14 Requerimiento 20193750613181 del 26/junio/2019.
</t>
    </r>
    <r>
      <rPr>
        <b/>
        <sz val="9"/>
        <rFont val="Arial Unicode MS"/>
        <family val="2"/>
      </rPr>
      <t>4</t>
    </r>
    <r>
      <rPr>
        <sz val="9"/>
        <rFont val="Arial Unicode MS"/>
        <family val="2"/>
      </rPr>
      <t xml:space="preserve">. Cto. IDU-1346-14 Requerimiento 20193750536681 del 6/junio/2019.
</t>
    </r>
    <r>
      <rPr>
        <b/>
        <sz val="9"/>
        <rFont val="Arial Unicode MS"/>
        <family val="2"/>
      </rPr>
      <t>5</t>
    </r>
    <r>
      <rPr>
        <sz val="9"/>
        <rFont val="Arial Unicode MS"/>
        <family val="2"/>
      </rPr>
      <t xml:space="preserve">. Conv-1230-15 Requerimiento 20193750845211 del 15/agosto/2019.
</t>
    </r>
    <r>
      <rPr>
        <b/>
        <sz val="9"/>
        <rFont val="Arial Unicode MS"/>
        <family val="2"/>
      </rPr>
      <t>6</t>
    </r>
    <r>
      <rPr>
        <sz val="9"/>
        <rFont val="Arial Unicode MS"/>
        <family val="2"/>
      </rPr>
      <t>. Cto. IDU-1669-2014 Requerimiento 20193750869551 del 22/agosto/2019.
Los soportes se encuentran en la carpeta de los contratos y el aplicativo Orfeo.</t>
    </r>
  </si>
  <si>
    <t>Ricardo Mosquera / Edgar Mossos</t>
  </si>
  <si>
    <r>
      <rPr>
        <b/>
        <u/>
        <sz val="9"/>
        <rFont val="Arial Unicode MS"/>
        <family val="2"/>
      </rPr>
      <t>Riesgo</t>
    </r>
    <r>
      <rPr>
        <sz val="9"/>
        <rFont val="Arial Unicode MS"/>
        <family val="2"/>
      </rPr>
      <t xml:space="preserve">: Se mantiene el riesgo.
</t>
    </r>
    <r>
      <rPr>
        <b/>
        <u/>
        <sz val="9"/>
        <rFont val="Arial Unicode MS"/>
        <family val="2"/>
      </rPr>
      <t>Causas</t>
    </r>
    <r>
      <rPr>
        <sz val="9"/>
        <rFont val="Arial Unicode MS"/>
        <family val="2"/>
      </rPr>
      <t xml:space="preserve">: No se identificaron nuevas causas.
</t>
    </r>
    <r>
      <rPr>
        <b/>
        <u/>
        <sz val="9"/>
        <rFont val="Arial Unicode MS"/>
        <family val="2"/>
      </rPr>
      <t>Controles</t>
    </r>
    <r>
      <rPr>
        <sz val="9"/>
        <rFont val="Arial Unicode MS"/>
        <family val="2"/>
      </rPr>
      <t xml:space="preserve">: Los controles se siguen efectuando.
</t>
    </r>
    <r>
      <rPr>
        <b/>
        <u/>
        <sz val="9"/>
        <rFont val="Arial Unicode MS"/>
        <family val="2"/>
      </rPr>
      <t>Acciones asociadas</t>
    </r>
    <r>
      <rPr>
        <sz val="9"/>
        <rFont val="Arial Unicode MS"/>
        <family val="2"/>
      </rPr>
      <t xml:space="preserve">:  Para el periodo analizado, se revisaron  ocho (8) actas de entrega y recibo del espacio público que permitieron evidenciar el uso adecuado del mismo, así: 
</t>
    </r>
    <r>
      <rPr>
        <b/>
        <sz val="9"/>
        <rFont val="Arial Unicode MS"/>
        <family val="2"/>
      </rPr>
      <t>1</t>
    </r>
    <r>
      <rPr>
        <sz val="9"/>
        <rFont val="Arial Unicode MS"/>
        <family val="2"/>
      </rPr>
      <t xml:space="preserve">. Acta entrega del 03/05/2019 Rad. 20193750309261
</t>
    </r>
    <r>
      <rPr>
        <b/>
        <sz val="9"/>
        <rFont val="Arial Unicode MS"/>
        <family val="2"/>
      </rPr>
      <t>2</t>
    </r>
    <r>
      <rPr>
        <sz val="9"/>
        <rFont val="Arial Unicode MS"/>
        <family val="2"/>
      </rPr>
      <t xml:space="preserve">. Acta recibo del 06/05/2019 Rad. 20193750309261
</t>
    </r>
    <r>
      <rPr>
        <b/>
        <sz val="9"/>
        <rFont val="Arial Unicode MS"/>
        <family val="2"/>
      </rPr>
      <t>3</t>
    </r>
    <r>
      <rPr>
        <sz val="9"/>
        <rFont val="Arial Unicode MS"/>
        <family val="2"/>
      </rPr>
      <t xml:space="preserve">. Acta entrega del 31/05/2019 Rad. 20193750286511
</t>
    </r>
    <r>
      <rPr>
        <b/>
        <sz val="9"/>
        <rFont val="Arial Unicode MS"/>
        <family val="2"/>
      </rPr>
      <t>4</t>
    </r>
    <r>
      <rPr>
        <sz val="9"/>
        <rFont val="Arial Unicode MS"/>
        <family val="2"/>
      </rPr>
      <t xml:space="preserve">. Acta recibo del 18/06/2019 Rad. 20193750286511
</t>
    </r>
    <r>
      <rPr>
        <b/>
        <sz val="9"/>
        <rFont val="Arial Unicode MS"/>
        <family val="2"/>
      </rPr>
      <t>5</t>
    </r>
    <r>
      <rPr>
        <sz val="9"/>
        <rFont val="Arial Unicode MS"/>
        <family val="2"/>
      </rPr>
      <t xml:space="preserve">. Acta entrega del 17/07/2019 Resolución 3019 de 2019 - No.001 de 2019
</t>
    </r>
    <r>
      <rPr>
        <b/>
        <sz val="9"/>
        <rFont val="Arial Unicode MS"/>
        <family val="2"/>
      </rPr>
      <t>6</t>
    </r>
    <r>
      <rPr>
        <sz val="9"/>
        <rFont val="Arial Unicode MS"/>
        <family val="2"/>
      </rPr>
      <t xml:space="preserve">. Acta recibo del 18/07/2019 Resolución 3019 de 2019 - No.001 de 2019
</t>
    </r>
    <r>
      <rPr>
        <b/>
        <sz val="9"/>
        <rFont val="Arial Unicode MS"/>
        <family val="2"/>
      </rPr>
      <t>7</t>
    </r>
    <r>
      <rPr>
        <sz val="9"/>
        <rFont val="Arial Unicode MS"/>
        <family val="2"/>
      </rPr>
      <t xml:space="preserve">. Acta entrega del 22/05/2019 Rad. 20193750822071
</t>
    </r>
    <r>
      <rPr>
        <b/>
        <sz val="9"/>
        <rFont val="Arial Unicode MS"/>
        <family val="2"/>
      </rPr>
      <t>8</t>
    </r>
    <r>
      <rPr>
        <sz val="9"/>
        <rFont val="Arial Unicode MS"/>
        <family val="2"/>
      </rPr>
      <t>. Acta recibo del 22/05/2019 Rad. 20193750822071
Los soportes se encuentran en la carpeta de los contratos, la carpeta de actas de entrega y recibo de espacios públicos y el aplicativo Orfeo en el momento en que se envíen a digitalizar.</t>
    </r>
  </si>
  <si>
    <t>Magda Amado / Adriana Murillo</t>
  </si>
  <si>
    <r>
      <rPr>
        <b/>
        <u/>
        <sz val="9"/>
        <rFont val="Arial Unicode MS"/>
        <family val="2"/>
      </rPr>
      <t xml:space="preserve">Riesgo: </t>
    </r>
    <r>
      <rPr>
        <sz val="9"/>
        <rFont val="Arial Unicode MS"/>
        <family val="2"/>
      </rPr>
      <t xml:space="preserve">Se mantiene el riesgo.
</t>
    </r>
    <r>
      <rPr>
        <b/>
        <u/>
        <sz val="9"/>
        <rFont val="Arial Unicode MS"/>
        <family val="2"/>
      </rPr>
      <t>Causas:</t>
    </r>
    <r>
      <rPr>
        <sz val="9"/>
        <rFont val="Arial Unicode MS"/>
        <family val="2"/>
      </rPr>
      <t xml:space="preserve"> No se identificaron nuevas causas.
</t>
    </r>
    <r>
      <rPr>
        <b/>
        <u/>
        <sz val="9"/>
        <rFont val="Arial Unicode MS"/>
        <family val="2"/>
      </rPr>
      <t>Controles:</t>
    </r>
    <r>
      <rPr>
        <b/>
        <sz val="9"/>
        <rFont val="Arial Unicode MS"/>
        <family val="2"/>
      </rPr>
      <t xml:space="preserve"> </t>
    </r>
    <r>
      <rPr>
        <sz val="9"/>
        <rFont val="Arial Unicode MS"/>
        <family val="2"/>
      </rPr>
      <t xml:space="preserve">Los controles se siguen efectuando.
</t>
    </r>
    <r>
      <rPr>
        <b/>
        <u/>
        <sz val="9"/>
        <rFont val="Arial Unicode MS"/>
        <family val="2"/>
      </rPr>
      <t>Acciones asociadas</t>
    </r>
    <r>
      <rPr>
        <sz val="9"/>
        <rFont val="Arial Unicode MS"/>
        <family val="2"/>
      </rPr>
      <t>: Para el periodo analizado se revisaron los expedientes físicos y tiempos de expedición de seis (6) tramites de licencia de excavación, así:
a. LE-135-2019       d. LE-270-2019
b. LE-096-2019       e. LE-148-2019     
c. LE-124-2019        f. LE-272-2019
La información puede ser verificada tanto en los expedientes de cada Licencia, como en los aplicativos dispuestos para tal fin en la DTAI.</t>
    </r>
  </si>
  <si>
    <t>Alvaro Reinoso</t>
  </si>
  <si>
    <r>
      <rPr>
        <b/>
        <u/>
        <sz val="9"/>
        <rFont val="Arial Unicode MS"/>
        <family val="2"/>
      </rPr>
      <t>Riesgo</t>
    </r>
    <r>
      <rPr>
        <sz val="9"/>
        <rFont val="Arial Unicode MS"/>
        <family val="2"/>
      </rPr>
      <t xml:space="preserve">: Se mantiene el riesgo.
</t>
    </r>
    <r>
      <rPr>
        <b/>
        <u/>
        <sz val="9"/>
        <rFont val="Arial Unicode MS"/>
        <family val="2"/>
      </rPr>
      <t>Causas</t>
    </r>
    <r>
      <rPr>
        <sz val="9"/>
        <rFont val="Arial Unicode MS"/>
        <family val="2"/>
      </rPr>
      <t xml:space="preserve">: No se identificaron nuevas causas.
</t>
    </r>
    <r>
      <rPr>
        <b/>
        <u/>
        <sz val="9"/>
        <rFont val="Arial Unicode MS"/>
        <family val="2"/>
      </rPr>
      <t>Controles</t>
    </r>
    <r>
      <rPr>
        <sz val="9"/>
        <rFont val="Arial Unicode MS"/>
        <family val="2"/>
      </rPr>
      <t xml:space="preserve">: Los controles se siguen efectuando.
</t>
    </r>
    <r>
      <rPr>
        <b/>
        <u/>
        <sz val="9"/>
        <rFont val="Arial Unicode MS"/>
        <family val="2"/>
      </rPr>
      <t>Acciones asociadas</t>
    </r>
    <r>
      <rPr>
        <sz val="9"/>
        <rFont val="Arial Unicode MS"/>
        <family val="2"/>
      </rPr>
      <t xml:space="preserve">:  Para el periodo analizado, se revisaron tres (3) solicitudes de información relacionada con la actualización de inventario, así: 
</t>
    </r>
    <r>
      <rPr>
        <b/>
        <sz val="9"/>
        <rFont val="Arial Unicode MS"/>
        <family val="2"/>
      </rPr>
      <t>1.</t>
    </r>
    <r>
      <rPr>
        <sz val="9"/>
        <rFont val="Arial Unicode MS"/>
        <family val="2"/>
      </rPr>
      <t xml:space="preserve"> Correo electrónico con envío de información relacionada con el ingreso al aplicativo interno del inventario de puentes del 30/mayo/2019.
</t>
    </r>
    <r>
      <rPr>
        <b/>
        <sz val="9"/>
        <rFont val="Arial Unicode MS"/>
        <family val="2"/>
      </rPr>
      <t>2</t>
    </r>
    <r>
      <rPr>
        <sz val="9"/>
        <rFont val="Arial Unicode MS"/>
        <family val="2"/>
      </rPr>
      <t xml:space="preserve">. Correo electrónico solicitando información relacionada con la actualización del inventario de puentes del 20/mayo/2019 y 24/mayo/2019.
</t>
    </r>
    <r>
      <rPr>
        <b/>
        <sz val="9"/>
        <rFont val="Arial Unicode MS"/>
        <family val="2"/>
      </rPr>
      <t>3</t>
    </r>
    <r>
      <rPr>
        <sz val="9"/>
        <rFont val="Arial Unicode MS"/>
        <family val="2"/>
      </rPr>
      <t>. Memorando DTE-20192150189393 del 12/julio/2019.</t>
    </r>
    <r>
      <rPr>
        <b/>
        <sz val="9"/>
        <rFont val="Arial Unicode MS"/>
        <family val="2"/>
      </rPr>
      <t xml:space="preserve">
</t>
    </r>
    <r>
      <rPr>
        <sz val="9"/>
        <rFont val="Arial Unicode MS"/>
        <family val="2"/>
      </rPr>
      <t xml:space="preserve">
La información puede ser verificada en el aplicativo Orfeo.</t>
    </r>
  </si>
  <si>
    <t>Andres Rincón</t>
  </si>
  <si>
    <r>
      <rPr>
        <b/>
        <sz val="9"/>
        <rFont val="Arial Unicode MS"/>
        <family val="2"/>
      </rPr>
      <t>Ejecutado: 16 / 16 = 100%</t>
    </r>
    <r>
      <rPr>
        <sz val="9"/>
        <rFont val="Arial Unicode MS"/>
        <family val="2"/>
      </rPr>
      <t xml:space="preserve">
Acorde a lo programado, se efectuaron dieciséis (16) revisiones, ocho (8) correspondientes al Cto. IDU-1436-2018 de mayo y junio 2019; y ocho (8) correspondientes al Cto. IDU-1445-2019 de junio y julio 2019, en las cuales se comparó la información de la base de datos del concesionario contra el informe mensual, lo que permitió determinar la veracidad de las cifras reportadas.
Con esto podemos evidenciar que el control establecido es efectivo, lo que nos permitió alcanzar el 100% de control.</t>
    </r>
  </si>
  <si>
    <r>
      <rPr>
        <b/>
        <u/>
        <sz val="9"/>
        <rFont val="Arial Unicode MS"/>
        <family val="2"/>
      </rPr>
      <t>Riesgo</t>
    </r>
    <r>
      <rPr>
        <sz val="9"/>
        <rFont val="Arial Unicode MS"/>
        <family val="2"/>
      </rPr>
      <t xml:space="preserve">: Se mantiene el riesgo.
</t>
    </r>
    <r>
      <rPr>
        <b/>
        <u/>
        <sz val="9"/>
        <rFont val="Arial Unicode MS"/>
        <family val="2"/>
      </rPr>
      <t>Causas</t>
    </r>
    <r>
      <rPr>
        <sz val="9"/>
        <rFont val="Arial Unicode MS"/>
        <family val="2"/>
      </rPr>
      <t xml:space="preserve">: No se identificaron nuevas causas.
</t>
    </r>
    <r>
      <rPr>
        <b/>
        <u/>
        <sz val="9"/>
        <rFont val="Arial Unicode MS"/>
        <family val="2"/>
      </rPr>
      <t>Controles</t>
    </r>
    <r>
      <rPr>
        <sz val="9"/>
        <rFont val="Arial Unicode MS"/>
        <family val="2"/>
      </rPr>
      <t xml:space="preserve">: Los controles se siguen efectuando.
</t>
    </r>
    <r>
      <rPr>
        <b/>
        <u/>
        <sz val="9"/>
        <rFont val="Arial Unicode MS"/>
        <family val="2"/>
      </rPr>
      <t xml:space="preserve">
Acciones asociadas</t>
    </r>
    <r>
      <rPr>
        <sz val="9"/>
        <rFont val="Arial Unicode MS"/>
        <family val="2"/>
      </rPr>
      <t>: Para el periodo analizado se realizaron dieciséis (16) visitas de recolección de información a través de las cuales se pudieron confirmar los reportes presentados por el Contratista en el Informe Mensual.
La información puede ser verificada en Orfeo y en los expedientes del contrato en la DTAI.</t>
    </r>
  </si>
  <si>
    <t>Oscar Iván Bustos</t>
  </si>
  <si>
    <r>
      <rPr>
        <b/>
        <sz val="9"/>
        <rFont val="Arial Unicode MS"/>
        <family val="2"/>
      </rPr>
      <t xml:space="preserve">Ejecutado: 10 / 10 = 100%
</t>
    </r>
    <r>
      <rPr>
        <sz val="9"/>
        <rFont val="Arial Unicode MS"/>
        <family val="2"/>
      </rPr>
      <t xml:space="preserve">
Para el periodo mayo-agosto, se efectuó la revisión aleatoria de diez (10) conceptos  técnicos emitidos por los especialistas, encontrando que el 100% de los conceptos de devolución o aceptación de los productos están debidamente soportados desde el punto de vista técnico y normativo, evidenciando además que la información y trazabilidad de dichas aprobaciones o devoluciones, se encontraba debidamente actualizada en el aplicativo disponible en la página web del Instituto.
Así las cosas, se puede evidenciar que los controles establecidos son efectivos, lo que nos permitió alcanzar el 100% de control.</t>
    </r>
  </si>
  <si>
    <r>
      <rPr>
        <b/>
        <u/>
        <sz val="9"/>
        <rFont val="Arial Unicode MS"/>
        <family val="2"/>
      </rPr>
      <t>Riesgo</t>
    </r>
    <r>
      <rPr>
        <sz val="9"/>
        <rFont val="Arial Unicode MS"/>
        <family val="2"/>
      </rPr>
      <t xml:space="preserve">: Se mantiene el riesgo.
</t>
    </r>
    <r>
      <rPr>
        <b/>
        <u/>
        <sz val="9"/>
        <rFont val="Arial Unicode MS"/>
        <family val="2"/>
      </rPr>
      <t>Causas</t>
    </r>
    <r>
      <rPr>
        <sz val="9"/>
        <rFont val="Arial Unicode MS"/>
        <family val="2"/>
      </rPr>
      <t xml:space="preserve">: No se identificaron nuevas causas.
</t>
    </r>
    <r>
      <rPr>
        <b/>
        <u/>
        <sz val="9"/>
        <rFont val="Arial Unicode MS"/>
        <family val="2"/>
      </rPr>
      <t>Controles</t>
    </r>
    <r>
      <rPr>
        <sz val="9"/>
        <rFont val="Arial Unicode MS"/>
        <family val="2"/>
      </rPr>
      <t xml:space="preserve">: Los controles se siguen efectuando.
</t>
    </r>
    <r>
      <rPr>
        <b/>
        <u/>
        <sz val="9"/>
        <rFont val="Arial Unicode MS"/>
        <family val="2"/>
      </rPr>
      <t>Acciones asociadas</t>
    </r>
    <r>
      <rPr>
        <sz val="9"/>
        <rFont val="Arial Unicode MS"/>
        <family val="2"/>
      </rPr>
      <t xml:space="preserve">:  Para el periodo analizado, se revisaron diez (10) oficios aleatorios que contienen conceptos técnicos especializados que aceptan o devuelven los productos para la verificación del cumplimiento de requisitos técnicos y normativos, de los proyectos que a continuación se relacionan: 
</t>
    </r>
    <r>
      <rPr>
        <b/>
        <sz val="9"/>
        <rFont val="Arial Unicode MS"/>
        <family val="2"/>
      </rPr>
      <t>1</t>
    </r>
    <r>
      <rPr>
        <sz val="9"/>
        <rFont val="Arial Unicode MS"/>
        <family val="2"/>
      </rPr>
      <t xml:space="preserve">. Panoramia Park - 20193750461621 del 22/05/2019
</t>
    </r>
    <r>
      <rPr>
        <b/>
        <sz val="9"/>
        <rFont val="Arial Unicode MS"/>
        <family val="2"/>
      </rPr>
      <t>2</t>
    </r>
    <r>
      <rPr>
        <sz val="9"/>
        <rFont val="Arial Unicode MS"/>
        <family val="2"/>
      </rPr>
      <t xml:space="preserve">. La Unión - 20193750495571 del 28/05/2019
</t>
    </r>
    <r>
      <rPr>
        <b/>
        <sz val="9"/>
        <rFont val="Arial Unicode MS"/>
        <family val="2"/>
      </rPr>
      <t>3</t>
    </r>
    <r>
      <rPr>
        <sz val="9"/>
        <rFont val="Arial Unicode MS"/>
        <family val="2"/>
      </rPr>
      <t xml:space="preserve">. Fana - 20193750461561 del 22/05/2019
</t>
    </r>
    <r>
      <rPr>
        <b/>
        <sz val="9"/>
        <rFont val="Arial Unicode MS"/>
        <family val="2"/>
      </rPr>
      <t>4</t>
    </r>
    <r>
      <rPr>
        <sz val="9"/>
        <rFont val="Arial Unicode MS"/>
        <family val="2"/>
      </rPr>
      <t xml:space="preserve">. Reserva San David - 20193750633841 del 27/06/2019
</t>
    </r>
    <r>
      <rPr>
        <b/>
        <sz val="9"/>
        <rFont val="Arial Unicode MS"/>
        <family val="2"/>
      </rPr>
      <t>5</t>
    </r>
    <r>
      <rPr>
        <sz val="9"/>
        <rFont val="Arial Unicode MS"/>
        <family val="2"/>
      </rPr>
      <t xml:space="preserve">. Ciudad Central - 20193750555511 del 10/06/2019
</t>
    </r>
    <r>
      <rPr>
        <b/>
        <sz val="9"/>
        <rFont val="Arial Unicode MS"/>
        <family val="2"/>
      </rPr>
      <t>6</t>
    </r>
    <r>
      <rPr>
        <sz val="9"/>
        <rFont val="Arial Unicode MS"/>
        <family val="2"/>
      </rPr>
      <t xml:space="preserve">. Campus El Bosque - 20193750603351 del 20/06/2019
</t>
    </r>
    <r>
      <rPr>
        <b/>
        <sz val="9"/>
        <rFont val="Arial Unicode MS"/>
        <family val="2"/>
      </rPr>
      <t>7</t>
    </r>
    <r>
      <rPr>
        <sz val="9"/>
        <rFont val="Arial Unicode MS"/>
        <family val="2"/>
      </rPr>
      <t xml:space="preserve">.  Torre Suba 153 - 20193750711161 del 15/07/2019
</t>
    </r>
    <r>
      <rPr>
        <b/>
        <sz val="9"/>
        <rFont val="Arial Unicode MS"/>
        <family val="2"/>
      </rPr>
      <t>8</t>
    </r>
    <r>
      <rPr>
        <sz val="9"/>
        <rFont val="Arial Unicode MS"/>
        <family val="2"/>
      </rPr>
      <t xml:space="preserve">.   Altos del Bacatá - 20193750633101 del 27/06/2019
</t>
    </r>
    <r>
      <rPr>
        <b/>
        <sz val="9"/>
        <rFont val="Arial Unicode MS"/>
        <family val="2"/>
      </rPr>
      <t>9</t>
    </r>
    <r>
      <rPr>
        <sz val="9"/>
        <rFont val="Arial Unicode MS"/>
        <family val="2"/>
      </rPr>
      <t xml:space="preserve">.  Gerona del Cipres - 20193750666671 del 05/07/2019
</t>
    </r>
    <r>
      <rPr>
        <b/>
        <sz val="9"/>
        <rFont val="Arial Unicode MS"/>
        <family val="2"/>
      </rPr>
      <t>10</t>
    </r>
    <r>
      <rPr>
        <sz val="9"/>
        <rFont val="Arial Unicode MS"/>
        <family val="2"/>
      </rPr>
      <t>.  La armonía - 20193750855081 del 20/08/2019 
La información puede ser verificada en el aplicativo BACHUE - Plataforma de Urbanizadores, así como en los expediente del aplicativo de Orfeo.</t>
    </r>
  </si>
  <si>
    <t>Carol Colmenares</t>
  </si>
  <si>
    <t>Mayo - Septiembre 2019</t>
  </si>
  <si>
    <t>1. Realizar actividades de fomento de la cultura del control, comunicadas a través de los canales internos, durante la vigencia.</t>
  </si>
  <si>
    <t>1. Plan Anual de Auditorías de cada vigencia aprobado por el Comité Institucional de Control Interno.</t>
  </si>
  <si>
    <t>(0 / 50) X 100% = 0%</t>
  </si>
  <si>
    <t>Observaciones ó cambios presentados en:
Riesgo: Se mantiene.
Causas: Se mantiene.
Consecuencias: Se mantienen.
Controles: Se mantienen; Se depuró su registró de acuerdo con el monitoreo del periodo anterior, con corte al 30 de abril de 2019.
Acciones de contingencia: Se mantienen.
Indicador: Se mantiene.
Otros: No aplica.</t>
  </si>
  <si>
    <t>1. Se identifica que el riesgo y su descripción son vigentes.
2. Se identifica que los controles son vigentes y operan dentro del proceso. Se depuró su registró de acuerdo con el monitoreo del periodo anterior, con corte al 30 de abril de 2019.
3, No se ha identificado materialización del riesgo.
4. Se consolidan por parte de OCI, las cifras del indicador de alerta con corte al 31 de agosto de 2019.
Otros: N/A</t>
  </si>
  <si>
    <t>INFORMES EVALUACIONES PERIODO MAYO-AGOSTO/2019:
SEGÚN REPORTE ENVIADO POR NOHRA FORERO Y CONSOLIDACIÓN EN ARCHIVO "PAAI 2019 Datos indicadores monitoreo Riesgos"
1. Mayo/2019 = 10
2. Junio/2019 = 3
3. Julio/2019 = 8
4. Agosto/2019 = 29
TOTAL INFORMES SEGUNDO CUATRIMESTRE= 50</t>
  </si>
  <si>
    <t>2. Realizar sensibilización del Modelo Integrado de Planeación y Gestión-MIPG (Dimensión Control Interno) realizada durante las verificaciones realizadas por la OCI, como insumo para el Informe Pormenorizado del Estado del Control Interno, conforme a los lineamientos del DAFP, para la vigencia 2018.
3. Realizar actividades de divulgación y sensibilización sobre el Modelo Integrado de Planeación y Gestión-MIPG programadas por la OAP.</t>
  </si>
  <si>
    <t>(50 / 50) x 100% = 100%</t>
  </si>
  <si>
    <t>Observaciones ó cambios presentados en:
Riesgo: Se mantiene.
Causas: Se mantiene.
consecuencias: Se mantiene.
Controles: Se mantienen. 
Acciones de contingencia: Se mantienen.
Indicador: Se mantiene.
Otros: Se realizaron capacitaciones para el equipo evaluador de la OCI, en los meses de julio y agosto de 2019, en lo que corresponde a normas ISO 9001.2015; 140001;2015; 27001:2013; 45001:2018  y 22301</t>
  </si>
  <si>
    <t>1. Se identifica que el riesgo y su descripción son vigentes.
2. Los demás controles operan y están vigentes.
3. No se ha identificado materialización del riesgo.
4. Se consolidan por parte de OCI, las cifras del indicador de alerta con corte al 31 de agosto de 2019.
Otros: Se realizaron capacitaciones para el equipo evaluador de la OCI, en los meses de julio y agosto de 2019, en lo que corresponde a normas ISO 9001.2015; 140001;2015; 27001:2013; 45001:2018  y 22301:2012</t>
  </si>
  <si>
    <t>1. Aplicar los controles específicos que contiene el procedimiento "Evaluación Independiente y Auditorías Internas" por parte del Jefe OCI.</t>
  </si>
  <si>
    <t>1. Procedimiento "Evaluación Independiente y Auditorías Internas"</t>
  </si>
  <si>
    <t>(0 / 50) x 100% = 0 %</t>
  </si>
  <si>
    <t>No se evidenció en el periodo monitoreado que se presentara restricción en el suministro de información para realizar las evalauciones por parte de la OCI.</t>
  </si>
  <si>
    <t>Observaciones ó cambios presentados en:
Riesgo: Se mantiene.
Causas: Se mantiene.
consecuencias: Se mantiene.
Controles: Se mantienen.
Acciones de contingencia: Se mantienen.
Indicador: Se mantiene.
Otros: N/A</t>
  </si>
  <si>
    <t>1. Se identifica que el riesgo y su descripción son vigentes.
2. Los demás controles operan y están vigentes.
3. No se ha identificado materialización del riesgo.
4. Se consolidan por parte de OCI, las cifras del indicador de alerta con corte al 31 de agosto de 2019.
Otros: N/A</t>
  </si>
  <si>
    <t xml:space="preserve">En el periodo evaluado, en el cual se desarrollaron las actividades relacionadas con la formulación del Plan Anual de Auditoría para la vigencia 2019, no se identificó que se hubiera materializado algunas de las causas asociadas a la materialización del riesgo. </t>
  </si>
  <si>
    <t>Observaciones ó cambios presentados en:
Riesgo: Se mantiene.
Causas: Se mantiene.
consecuencias: Se mantiene.
Controles: Se mantienen.
Acciones de contingencia: Se mantienen.
Indicador: Se mantiene.
Otros: Se realizaron capacitaciones para el equipo evaluador de la OCI, en los meses de julio y agosto de 2019, en lo que corresponde a normas ISO 9001.2015; 140001;2015; 27001:2013; 45001:2018  y 22301:2012</t>
  </si>
  <si>
    <t>Observaciones ó cambios presentados en:
Riesgo: Se mantiene
Causas: Se mantiene
consecuencias: Se mantiene
Controles: Se mantiene
Acciones de contingencia: Se mantiene
Indicador: Se mantiene
Otros::</t>
  </si>
  <si>
    <t>SEGÚN REPORTE DE OCD</t>
  </si>
  <si>
    <t>Observaciones ó cambios presentados en:
Riesgo: Se mantiene
Causas: Se mantiene
consecuencias: Se mentiene
Controles: Se mantiene
Acciones de contingencia: Se mantiene
Indicador: Se mantiene
Otros:</t>
  </si>
  <si>
    <t>Observaciones ó cambios presentados en:
Riesgo: Se mantiene
Causas: Se mantiene
consecuencias: Se mantiene
Controles: Se mantienen
Acciones de contingencia: Se mantienen
Indicador: Se mantiene
Otros: N/A</t>
  </si>
  <si>
    <t>Observaciones ó cambios presentados en:
Riesgo: Se mantiene.
Causas: Se mantienen.
consecuencias: Se mantienen.
Controles: El instructivo INEC02 de Autoevaluación Institucional se actualizó en el mes de julio de 2019.
Acciones de contingencia: Se mantienen.
Indicador: Se mantiene.
Otros:</t>
  </si>
  <si>
    <t>SEGÚN REPORTE DE OAP</t>
  </si>
  <si>
    <t>1. Comunicados de la OAP sobre instrucciones para aplicación de la metodología, según plan de acción OAP.
2. Sensibilizaciones en el Equipo Operativo SIG donde se dan instrucciones para aplicación de la metodología, según plan de acción OAP.
3. Comité de Coordinación de Control Interno que realiza seguimiento al SCI</t>
  </si>
  <si>
    <t>01 de Mayo - 30 de Agosto de 2019</t>
  </si>
  <si>
    <t>Solicitudes de trámites documentales generadas por fallas en la estrucura del SIG / Total de solicitudes de trámites de documentación x 100.
(0/94) * 100 = 0%</t>
  </si>
  <si>
    <t>Se presentaron estas 94  solicitudes durante el periodo del cuatrimestre.</t>
  </si>
  <si>
    <t>Observaciones ó cambios presentados en:
Riesgo: Sigue igual
Causas: Siguen igual
Consecuencias: Se mantienen
Controles:Se mantienen
Acciones de contingencia: Se mantienen.
Indicador: Sigue igual.
Otros: No se presentaron</t>
  </si>
  <si>
    <t xml:space="preserve">Se presentaron 15 accidentes del 1° de mayo al 31 de agosto de 2019,  los cuales fueron reportados oportunamente.  </t>
  </si>
  <si>
    <t>Observaciones ó cambios presentados en:
Riesgo: Sigue igual
Causas: Siguen igual
consecuencias: Se mantienen
Controles:Se mantienen
Acciones de contingencia: Se mantienen
Indicador:Se ajustó
Otros:No se presentaron
Se aclara que respecto al primer reporte del cuatrimestre de enero a abril de 2019, se habían registrado 6 accidentes cuando en realidad eran 7 considerando que fueron accidentes ocurridos finalizando mes.</t>
  </si>
  <si>
    <t>Se presentaron accidentes en el cuatrimestre los cuales fueron reportados oportunamente.
Se presentaron accidentes de tipo deportivo, caídas a nivel y propios del trabajo.</t>
  </si>
  <si>
    <t xml:space="preserve"> Lesiones como heridas leves, golpes leves y torceduras.</t>
  </si>
  <si>
    <t>Se realiza plan de mejoramiento semestral</t>
  </si>
  <si>
    <t>01-May-2019 al 31-Ago-2019</t>
  </si>
  <si>
    <t xml:space="preserve">
1. Los documentos recibidos de procesos selectivos o de la dependencia (Contratación Directa y/o modificaciones contractuales), se encuentran incompletos y/o presentan inconsistencia. 
2. Demoras en la entrega de la documentación por parte de los contratistas  para la elaboración del contrato (UT y/o consorcios), la legalización (garantías, anexos) y las modificaciones contractuales .
3. Demora en los plazos para la revisión y firma del contrato y/o modificación por parte del ordenador del gasto y/o contratista.</t>
  </si>
  <si>
    <t>1. Publicación de la minuta definitiva para cada proceso de selección en los portales de contratación pública.
2. Procedimiento en el cual se establecen los requisitos  para la entrega de la información,  informe  final, acta de entrega y formato de paz y salvo del personal que se retira o finaliza su contrato. (se debe anexar CD de la información).
3. Plan Anual de Adquisiciones.
..........................................................................................
4. Lista  Chequeo Verificación documental de Contratos.
5. Aplicación del procedimiento  para la Elaboración de contratos derivados de procesos de selección.
6.  Aplicación del procedimiento  para la elaboración y suscripción de convenios y contratos bajo la modalidad de contratación directa por casuales distintas a PSP.
7.  Aplicación del Procedimiento para la modificación y suspensión a contratos estatales excepto PSP.
.........................................................................................
8. En el contrato y sus documentos previos se expresan los requisitos y la  documentación que se exigen para su suscripción y legalización (cláusulas de perfeccionamiento y legalización).
9. El abogado asignado verifica y gestiona para que el proponente seleccionado realice la entrega en las condiciones exigidas, en caso que no cumpla se le informará al supervisor del contrato de la novedad para que este proceda con las acciones pertinentes.
10.  Aplicación del procedimiento  para la Elaboración de contratos derivados de procesos de selección.
11. Aplicación del Procedimiento para la contratación de prestación de servicios profesionales y los de apoyo a la gestión.
12. Aplicación del procedimiento para la elaboración y suscripción de convenios y contratos bajo la modalidad de contratación directa por casuales distintas a PSP.
13.  Aplicación del Procedimiento para la modificación y cesión a contratos estatales.
...................................................................................... 
14. La resolución de adjudicación en los procesos de selección, establece un plazo para la suscripción del contrato a partir de la fecha de adjudicación del proceso.
15 . Aplicación del procedimiento  para la Elaboración de contratos derivados de procesos de selección.
16. Aplicación del procedimiento para la contratación de prestación de servicios profesionales y los de apoyo a la gestión.
17. Aplicación del Procedimiento para la elaboración y suscripción de convenios y contratos bajo la modalidad de contratación directa por casuales distintas a PSP.
18.   Aplicación del Procedimiento para la modificación y cesión a contratos estatales.</t>
  </si>
  <si>
    <t>1. Minuta del contrato 
2. Formatos de informe de gestión y 3. Acta de entrega y  Paz y Salvo
……………..
1. FOGC10 lista chequeo verificación  documental de contratación
2. PRGC05 Suscripción de contratos derivados de procesos de selección producto convocatoria publica
4. PRGC09 Elaboración y suscripción de convenios y contratos bajo la modalidad de contratación directa por casuales distintas a PSPAG
5. PRGC14_Modificación y cesión a contratos estatales
...............
1. Cláusula de perfeccionamiento y legalización en el contrato.
Memorandos - ORFEO
2. PRGC05 Suscripción de contratos derivados de procesos de selección producto convocatoria publica.
3. PRGC12 Contratación de prestación de servicios profesionales
4. PRGC09 Elaboración y suscripción de convenios y contratos bajo la modalidad de contratación directa por casuales distintas a PSPAG.
5.. PRGC14_Modificación y cesión a contratos estatales.
..................
1. Resolución de adjudicación.
2. PR-GC-09 Elaboración y suscripción de convenios y contratos bajo la modalidad de contratación directa por casuales distintas a PSPAG
3. PRGC05 Suscripción de contratos derivados de procesos de selección producto convocatoria pública
5. PRGC12 Contratación de prestación de servicios profesionales
6. . PRGC14_Modificación y cesión a contratos estatales.</t>
  </si>
  <si>
    <t xml:space="preserve">
Se da cumplimiento al trámite y elaboración de contratos nuevos y de las solicitudes de modificaciones contractuales, de acuerdo con la meta establecida en los indicadores de gestión en la DTGC, la cual corresponde al 90%.  </t>
  </si>
  <si>
    <r>
      <t xml:space="preserve">Observaciones ó cambios presentados en:
</t>
    </r>
    <r>
      <rPr>
        <b/>
        <sz val="8"/>
        <color theme="1"/>
        <rFont val="Arial"/>
        <family val="2"/>
      </rPr>
      <t>Riesgo:</t>
    </r>
    <r>
      <rPr>
        <sz val="8"/>
        <color theme="1"/>
        <rFont val="Arial"/>
        <family val="2"/>
      </rPr>
      <t xml:space="preserve"> Sigue igual
</t>
    </r>
    <r>
      <rPr>
        <b/>
        <sz val="8"/>
        <color theme="1"/>
        <rFont val="Arial"/>
        <family val="2"/>
      </rPr>
      <t>Causas:</t>
    </r>
    <r>
      <rPr>
        <sz val="8"/>
        <color theme="1"/>
        <rFont val="Arial"/>
        <family val="2"/>
      </rPr>
      <t xml:space="preserve"> Se elimina la causa No. 1. Descentralización de la información producto de la alta rotación del personal que elabora los contratos, lo anterior teniendo en cuenta a partir de la vigencia 2019 se oficializaron las Minutas Tipo las cuales se encuentran debidamente socializadas a través de memorando y compartidas a todos los funcionarios y contratistas de la DTGC. 
Se ajusta la redacción de la causa 2, en adelante la número 1. Quedando así: Los documentos recibidos de procesos selectivos o de la dependencia (Contratación Directa y/o modificaciones contractuales), se encuentran incompletos y/o presentan inconsistencia.
C</t>
    </r>
    <r>
      <rPr>
        <b/>
        <sz val="8"/>
        <color theme="1"/>
        <rFont val="Arial"/>
        <family val="2"/>
      </rPr>
      <t>onsecuencias:</t>
    </r>
    <r>
      <rPr>
        <sz val="8"/>
        <color theme="1"/>
        <rFont val="Arial"/>
        <family val="2"/>
      </rPr>
      <t xml:space="preserve"> No cambian
</t>
    </r>
    <r>
      <rPr>
        <b/>
        <sz val="8"/>
        <color theme="1"/>
        <rFont val="Arial"/>
        <family val="2"/>
      </rPr>
      <t xml:space="preserve">Controles: </t>
    </r>
    <r>
      <rPr>
        <sz val="8"/>
        <color theme="1"/>
        <rFont val="Arial"/>
        <family val="2"/>
      </rPr>
      <t xml:space="preserve">1 – 2 Se ajusta la redacción 
3. Acompañamiento jurídico permanente a los diferentes comités de obra -  se elimina este control ya que no se está adelantando esta actividad.
4. Ahora control 3 Se ajusta la redacción.
6. Ahora control 5 Se ajusta la redacción.
8 Ahora control 7 se ajusta la redacción 
10 ahora 9 se ajusta redacción 
11. Se elimina este control. 
12 ahora control 10 se ajusta redacción 
16. Informes periódicos de seguimiento a garantías (DTGC, se elimina ya que esta actividad no se adelanta. 
18 ahora 16 se ajusta redacción 
</t>
    </r>
    <r>
      <rPr>
        <b/>
        <sz val="8"/>
        <color theme="1"/>
        <rFont val="Arial"/>
        <family val="2"/>
      </rPr>
      <t>Acciones de contingencia:</t>
    </r>
    <r>
      <rPr>
        <sz val="8"/>
        <color theme="1"/>
        <rFont val="Arial"/>
        <family val="2"/>
      </rPr>
      <t xml:space="preserve"> No cambian
</t>
    </r>
    <r>
      <rPr>
        <b/>
        <sz val="8"/>
        <color theme="1"/>
        <rFont val="Arial"/>
        <family val="2"/>
      </rPr>
      <t xml:space="preserve">Indicador: </t>
    </r>
    <r>
      <rPr>
        <sz val="8"/>
        <color theme="1"/>
        <rFont val="Arial"/>
        <family val="2"/>
      </rPr>
      <t xml:space="preserve">No cambian
</t>
    </r>
    <r>
      <rPr>
        <b/>
        <sz val="8"/>
        <color theme="1"/>
        <rFont val="Arial"/>
        <family val="2"/>
      </rPr>
      <t xml:space="preserve">Otros: </t>
    </r>
    <r>
      <rPr>
        <sz val="8"/>
        <color theme="1"/>
        <rFont val="Arial"/>
        <family val="2"/>
      </rPr>
      <t>No cambian</t>
    </r>
  </si>
  <si>
    <t>1. Cambio y/o rotación del personal en las áreas involucradas.  
2. Demora en la entrega y/o inconsistencia del concepto técnico.</t>
  </si>
  <si>
    <t xml:space="preserve">1. Procedimiento en el cual se establecen los requisitos  para la entrega de la información,  informe  final, acta de entrega y formato de paz y salvo del personal que se retira o finaliza su contrato. (se debe anexar CD de la información).
2. Plan Anual de Adquisiciones. 
3. Aplicación del procedimiento de Declaratoria de incumplimiento para la imposición de multa clausula penal y caducidad.
4. Aplicación del procedimiento para la liquidación de contratos y/o convenios. </t>
  </si>
  <si>
    <t xml:space="preserve">1. Formatos de informe de gestión y 3. Acta de entrega y  Paz y Salvo
2. PR-GC-06
3. PR-GC-13
</t>
  </si>
  <si>
    <t xml:space="preserve">No .de actos administrativos de sanción  / cierre y/o liquidación elaborados en el periodo. </t>
  </si>
  <si>
    <t xml:space="preserve">Se elaboraron los actos administrativos correspondientes y de acuerdo con los insumos suministrados por las áreas. 
Para el segundo cuatrimestre de la videncia 2019 se han elaborado 10 Actos Administrativos. </t>
  </si>
  <si>
    <t>Observaciones ó cambios presentados en:
Riesgo: Sigue igual
Causas: 2. se ajusta la redacción 
consecuencias: No cambian
Controles: 1. Se ajusta la redacción 
2 Se elimina este control 
3 ahora 2 se ajusta redacción 
4 ahora 3 se ajusta nombre del procedimiento a Declaratoria de incumplimiento para la imposición de multa clausula penal y caducidad
Acciones de contingencia: No cambian
Indicador: Se ajusta el indicador quedando de la siguiente manera: No .de actos administrativos de sanción / cierre y/o liquidación elaborados en el periodo.
Otros: No cambian</t>
  </si>
  <si>
    <t>Profesionales, Contratistas con rol de evaluadores y/o plieguistas</t>
  </si>
  <si>
    <t xml:space="preserve">
2057 / 2057    =100 %                             Publicación oportuna  de 2057 documentos tanto de la etapa precontractual como la contractual de los procesos de selección,  equivantes a un 100% en publicaciones oportunas</t>
  </si>
  <si>
    <r>
      <t xml:space="preserve">Observaciones ó cambios presentados en:
</t>
    </r>
    <r>
      <rPr>
        <sz val="8"/>
        <color theme="1"/>
        <rFont val="Arial"/>
        <family val="2"/>
      </rPr>
      <t>Riesgo: Sigue igual
Causas: No cambian
consecuencias: No cambian
Controles: Cambia el control 1, quedando así: 
1. Cumplir la normatividad vigente, en cuanto a que los actos y documentos del proceso se deben publicar dentro de los 3 días siguientes a su expedición.
Se elimina el Control 2.
Acciones de contingencia: No cambian
Indicador: No cambian
Otros: Cambia la columna QUIEN:  se adiciona: con rol de evaluadores y/o plieguistas</t>
    </r>
  </si>
  <si>
    <t xml:space="preserve">21/23=91%  
Durante el periodo de seguimiento se tramitaron un total de 23 procesos, y se verificó la oportuna elaboración del pliego definitvo dentro de los tiempos establecidos en los procedimientos, alcanzando  el 100% del cumplimiento .                                            </t>
  </si>
  <si>
    <r>
      <t xml:space="preserve">Observaciones ó cambios presentados en:
</t>
    </r>
    <r>
      <rPr>
        <sz val="8"/>
        <color theme="1"/>
        <rFont val="Arial"/>
        <family val="2"/>
      </rPr>
      <t xml:space="preserve">
Riesgo: Sigue igual
Causas: No cambian
consecuencias: No cambian
Controles: Cambian los controles 3 y 5. quedando así: 
3. Seguimiento a los cronogramas del proceso por parte del profesional que alimenta la base de seguimiento de procesos. 
5. Verificación de los tiempos establecidos en los procedimientos toomando como fuente la información registrada en la base de seguimiento de procesos.  
Acciones de contingencia: No cambian
Indicador: No cambian
Otros: No cambian</t>
    </r>
  </si>
  <si>
    <t xml:space="preserve">0/48=0%
Durante el periodo de seguimiento no hubo declaratorias desiertas por deficiencia en elaboracion de pliegos .       
</t>
  </si>
  <si>
    <t>Agosto 27 de 2019</t>
  </si>
  <si>
    <t>Mayo-Agosto de 2019</t>
  </si>
  <si>
    <r>
      <t>1. Revisión y aplicación de Normas, Reglamentos Técnicos y Estatutos de las Entidades.
2.</t>
    </r>
    <r>
      <rPr>
        <sz val="8"/>
        <color indexed="10"/>
        <rFont val="Arial"/>
        <family val="2"/>
      </rPr>
      <t xml:space="preserve"> </t>
    </r>
    <r>
      <rPr>
        <sz val="8"/>
        <rFont val="Arial"/>
        <family val="2"/>
      </rPr>
      <t>Existencia de manuales, guías o procedimientos asociados al proceso de gestión interinstitucional. 
3.</t>
    </r>
    <r>
      <rPr>
        <sz val="8"/>
        <color indexed="10"/>
        <rFont val="Arial"/>
        <family val="2"/>
      </rPr>
      <t xml:space="preserve"> </t>
    </r>
    <r>
      <rPr>
        <sz val="8"/>
        <rFont val="Arial"/>
        <family val="2"/>
      </rPr>
      <t xml:space="preserve">Revisión de los convenios marco, acuerdos o actas de compromiso o documentos de referencia.
4. Designación de funcionarios con conocimiento </t>
    </r>
    <r>
      <rPr>
        <sz val="8"/>
        <color theme="3"/>
        <rFont val="Arial"/>
        <family val="2"/>
      </rPr>
      <t xml:space="preserve">para la negociación de convenios, acuerdos, actas de compromiso o documentos referentes. </t>
    </r>
    <r>
      <rPr>
        <sz val="8"/>
        <rFont val="Arial"/>
        <family val="2"/>
      </rPr>
      <t xml:space="preserve">
5. </t>
    </r>
    <r>
      <rPr>
        <sz val="8"/>
        <color rgb="FFFF0000"/>
        <rFont val="Arial"/>
        <family val="2"/>
      </rPr>
      <t xml:space="preserve"> </t>
    </r>
    <r>
      <rPr>
        <sz val="8"/>
        <rFont val="Arial"/>
        <family val="2"/>
      </rPr>
      <t>Actividades de coordinación con Entidades  Públicas del Orden Nacional, Departamental, Municipal, Distrital, Empresas de Servicios Públicos y privados (reuniones, correspondencia, etc.) para la ejecución y aplicación de los convenios-
6. Divulgación y sensibilización de los convenios y acuerdos suscritos al interior del IDU y/o por solicitud externa.</t>
    </r>
  </si>
  <si>
    <r>
      <t xml:space="preserve">
1. Guía de Coordinación IDU, ESP y TIC en Proyectos de Infraestructura de
Transporte.
2. Manual de Interventoría y/o Supervisión de Contratos.
3. Manual de Gestión Contractual.
4. Convenios, acuerdos o actas de compromiso o documentos referentes. 
5. Actas de reunión y/o listas de asistencia.
6. Correos electrónicos y/o comunicaciones de Orfeo.</t>
    </r>
    <r>
      <rPr>
        <sz val="8"/>
        <color indexed="10"/>
        <rFont val="Arial"/>
        <family val="2"/>
      </rPr>
      <t xml:space="preserve">
</t>
    </r>
    <r>
      <rPr>
        <sz val="8"/>
        <rFont val="Arial"/>
        <family val="2"/>
      </rPr>
      <t>7. Manual de Intervención de Urbanizadores y/o Terceros.</t>
    </r>
  </si>
  <si>
    <t>(4/6)*100% = 67%</t>
  </si>
  <si>
    <t xml:space="preserve">En el mes de Junio de 2019,  se envía a la DG a través del  radicado No. 20193050135573, los informes de los convenios con 612 de EAB, Gas Natural, ETB y Codensa correspondiente al periodo Octubre a Diciembre del 2018. Se envía reporte a la DG 4 de 6 convenios.
</t>
  </si>
  <si>
    <t>Observaciones ó cambios presentados en:
Riesgo: Se mantiene igual.
Causas: Se mantienen igual.
Consecuencias: Se mantienen igual.
Controles: Se adiciona el control No. 6. Los demás controles, se mantienen igual.
Acciones de contingencia: Se mantienen igual.
Indicador: Se mantiene la formula del indicador.
Otros: Se adiciona el numeral 7 a la documentación asociada al control y al registro de su ejecución y se modifica la redacción del numeral 4. Los demás numerales se mantienen igual.</t>
  </si>
  <si>
    <t xml:space="preserve">
Cumplimiento extemporáneo de las cargas urbanísticas y/o acciones de mitigación a ejecutar por terceros en concordancia con las condiciones definidas en los actos administrativos emitidos por las Entidades Distritales (SDM, SDP, etc.)</t>
  </si>
  <si>
    <r>
      <t>1. Que no se logre la armonización de los proyectos del PDD a cargo del IDU con los proyectos de responsabilidad de terceros (obligaciones urbanísticas y/o acciones de mitigación emitidos por la SDM, SDP y demás entidades distritales).
2.</t>
    </r>
    <r>
      <rPr>
        <sz val="8"/>
        <color indexed="10"/>
        <rFont val="Arial"/>
        <family val="2"/>
      </rPr>
      <t xml:space="preserve"> </t>
    </r>
    <r>
      <rPr>
        <sz val="8"/>
        <rFont val="Arial"/>
        <family val="2"/>
      </rPr>
      <t>Deficiencias en la socialización de los actos administrativos adoptados por la SDP y la SDM  hacia el IDU.
3. No cumplimiento de las especificaciones técnicas  IDU para las obras desarrolladas por el tercero y establecidas en los Instrumentos de Planeación.</t>
    </r>
  </si>
  <si>
    <r>
      <t>1. Ejecución de obras por el tercero sin el acompañamiento del IDU</t>
    </r>
    <r>
      <rPr>
        <sz val="8"/>
        <color rgb="FFFF0000"/>
        <rFont val="Arial"/>
        <family val="2"/>
      </rPr>
      <t>.</t>
    </r>
    <r>
      <rPr>
        <sz val="8"/>
        <rFont val="Arial"/>
        <family val="2"/>
      </rPr>
      <t xml:space="preserve">
2. Retrasos o no entrega de las obras a cargo de terceros.
3. Requerimientos Entes de Control.
</t>
    </r>
  </si>
  <si>
    <t xml:space="preserve">1. Revisión de los convenios, acuerdos y/o actos administrativos suscritos con terceros como documentos de referencia.
2. Análisis y estructuración de los estudios previos o documento que aplique para el acompañamiento a la ejecución de cargas urbanísticas y/o acciones de mitigación a cargo de terceros, en concordancia con las condiciones definidas en los actos administrativos emitidos por la SDP y la SDM.
3. Seguimiento y reporte de la información relacionada con las intervenciones a cargo de terceros, Entidades  Públicas del Orden Nacional, Departamental, Municipal, Distrital y Empresas de Servicios Públicos.
4. Actividades de coordinación con  Entidades  Públicas del Orden Nacional, Departamental, Municipal, Distrital, Empresas de Servicios Públicos y privados (reuniones, correspondencia, etc.)
</t>
  </si>
  <si>
    <t xml:space="preserve">
1. Guía de Permisos para la Intervención de Infraestructura de Transporte por Terceros.
2. Manual de  Intervención de Urbanizadores y/o Terceros. 
3. Convenios, acuerdos o actas de compromiso o documentos referentes. 
4. Resolución o acto administrativo emitido por la SDP, SDM y demás entidades distritales.
5. Actas de reunión y/o listas de asistencia.
6. Correos electrónicos y/o comunicaciones de Orfeo.
</t>
  </si>
  <si>
    <t>(19/19)%100=0%</t>
  </si>
  <si>
    <t>De un total de diecinueve (19) convenios generados y suscritos desde la SGDU , no se han registrado casos en los cuales no se hayan desarrollado las cargas urbanísticas definidas en los actos administrativos emitidos por las Entidades Distritales (SDM, SDP, etc.)</t>
  </si>
  <si>
    <t>Observaciones ó cambios presentados en:
Riesgo: Se modifica la redacción del riesgo.
Causas: Se modifica la redacción de las causas No. 2 y 3. La causa No. 1, se mantiene igual.
Consecuencias: Se modifica la redacción de la consecuencia No. 1. Las consecuencias No. 2 y 3, se mantienen igual.
Controles: Se ajustó la redacción del control No. 2. Los controles 1, 3 y 4, se mantienen igual.
Acciones de contingencia: Se mantienen igual.
Indicador: Se mantiene la formula del indicador.
Otros: Se modifica el numeral 3 de la documentación asociada al control y al registro de su ejecución. Los demás numerales se mantienen igual.</t>
  </si>
  <si>
    <t xml:space="preserve">Aplicación inadecuada de los convenios o acuerdos suscritos con las  Empresas de Servicios Públicos.  </t>
  </si>
  <si>
    <r>
      <t>1. Incumplimiento en el desarrollo de los proyectos de competencia del IDU.
2. Requerimientos Entes de Control.
3. Mala imagen de la entidad
4.</t>
    </r>
    <r>
      <rPr>
        <sz val="8"/>
        <color rgb="FFFF0000"/>
        <rFont val="Arial"/>
        <family val="2"/>
      </rPr>
      <t xml:space="preserve"> </t>
    </r>
    <r>
      <rPr>
        <sz val="8"/>
        <rFont val="Arial"/>
        <family val="2"/>
      </rPr>
      <t>Suspensiones y/ o modificaciones de los contratos cobijados por los convenios o acuerdos.</t>
    </r>
    <r>
      <rPr>
        <sz val="8"/>
        <color rgb="FFFF0000"/>
        <rFont val="Arial"/>
        <family val="2"/>
      </rPr>
      <t xml:space="preserve">
</t>
    </r>
    <r>
      <rPr>
        <sz val="8"/>
        <rFont val="Arial"/>
        <family val="2"/>
      </rPr>
      <t>5. Posibles modificaciones  de los convenios o acuerdos suscritos.</t>
    </r>
  </si>
  <si>
    <r>
      <t xml:space="preserve">1. Seguimiento semestral a la aplicación de los convenios y/o acuerdos por parte del área ejecutora.
2. Mesa de Seguimiento IDU para la Gestión y Coordinación de redes de Servicios Públicos en fase de planeación.
3. Retroalimentación del seguimiento efectuado por las áreas ejecutoras.
4. Divulgación y sensibilización de los convenios y acuerdos suscritos al interior del IDU y/o por solicitud externa.
</t>
    </r>
    <r>
      <rPr>
        <sz val="8"/>
        <color indexed="10"/>
        <rFont val="Arial"/>
        <family val="2"/>
      </rPr>
      <t/>
    </r>
  </si>
  <si>
    <r>
      <rPr>
        <strike/>
        <sz val="8"/>
        <rFont val="Arial"/>
        <family val="2"/>
      </rPr>
      <t xml:space="preserve">
</t>
    </r>
    <r>
      <rPr>
        <sz val="8"/>
        <rFont val="Arial"/>
        <family val="2"/>
      </rPr>
      <t xml:space="preserve">1. Guía de Coordinación IDU, ESP y TIC en Proyectos de Infraestructura de Transporte.
2. Actas de reunión y/o listas de asistencia.
3. Correos electrónicos y/o comunicaciones de Orfeo.
4. Convenios, acuerdos o actas de compromiso o documentos referentes. </t>
    </r>
  </si>
  <si>
    <t>5/6*100= 83%</t>
  </si>
  <si>
    <t>Entre los meses de Junio a Agosto del 2019, la SGDU recibe de la SGI los informes por convenio a través de los siguientes radicados: Condensa 849: 247223, EAB 612: 189853, EAB 1450: 184043 y 185243, Telecomunicaciones 1454: 233753 y ETB 1069: 263183.  Se realiza seguimiento a  5 de 6 convenios en el trimestre.</t>
  </si>
  <si>
    <t>Observaciones ó cambios presentados en:
Riesgo: Se modifica la redacción del riesgo.
Causas: Se mantienen igual.
Consecuencias: Se adiciona las consecuencias No. 4 y 5. Las demás se mantienen igual.
Controles: Se ajusta la redacción del control No.2. y se adiciona el control No. 4.  Los demás controles se mantienen igual.
Acciones de contingencia: Se mantienen igual.
Indicador: Se mantiene la fórmula del indicador.
Otros: Se ajusta la redacción del numeral 4 de la documentación asociada al control y al registro de su ejecución. Los demás numerales se mantienen igual.</t>
  </si>
  <si>
    <t>01 mayo - 31 agosto 2019</t>
  </si>
  <si>
    <t xml:space="preserve">Durante el periodo evaluado se atendieron 39 solicitudes de conciliación de 39 solicitudes de conciliación radicadas en el IDU. </t>
  </si>
  <si>
    <t>Observaciones ó cambios presentados en:
Riesgo: Sin modificación
Causas: Sin modificación
Documentación: Sin modificación
consecuencias: Sin modificación
Controles: Siguen iguales
Acciones de contingencia: Siguen iguales
Indicador: Sigue igual
Otros:</t>
  </si>
  <si>
    <t xml:space="preserve">Durante el periodo evaluado se recibieron 161 insumos técnicos de 161 solicitudes realizadas </t>
  </si>
  <si>
    <t>En el periodo evaluado se encuentran activos 1238 procesos de los cuales 1238 tienen abogado asignado.</t>
  </si>
  <si>
    <t>En el periodo evaluado se tramitaron 6 pagos de sentencias judiciales y 0 exedieron el termino para pago de sentencias judiciales.</t>
  </si>
  <si>
    <t>Número de requerimientos sobre desactualización del SIPROJ atendidos / Número de requerimientos sobre desactualización del SIPROJ recibidos * 100%.</t>
  </si>
  <si>
    <t>Durante el periodo evaluado no se recibió ningún requerimiento informando desactaulización del aplicativo SIPROJ</t>
  </si>
  <si>
    <t>Observaciones ó cambios presentados en:
Riesgo: Se mantiene
Causas: Se mantiene
Consecuencias: Se mantiene
Controles: Se mantiene
Acciones de contingencia: Se mantiene
Indicador: Se modifico por una errada interpretación del control. La revisión hace parte de la actualización del SIPROJ como elemento de control y no como generador de hallazgos.
Otros:</t>
  </si>
  <si>
    <t>En el periodo evaluado no se decidio iniciar ninguna acción de repetición.</t>
  </si>
  <si>
    <t>GISELE BRIGITE BELLMONT</t>
  </si>
  <si>
    <t>3 de septiembre de 2019</t>
  </si>
  <si>
    <t>01-05-2019 al 31-08-2019</t>
  </si>
  <si>
    <r>
      <t xml:space="preserve">ACCIONES DE RESPUESTA Y/O CONTINGENCIA
</t>
    </r>
    <r>
      <rPr>
        <sz val="14"/>
        <rFont val="Arial"/>
        <family val="2"/>
      </rPr>
      <t>EN CASO DE MATERIALIZACIÓN</t>
    </r>
  </si>
  <si>
    <r>
      <t xml:space="preserve">FÓRMULA DEL INDICADOR
</t>
    </r>
    <r>
      <rPr>
        <sz val="14"/>
        <rFont val="Arial"/>
        <family val="2"/>
      </rPr>
      <t>(De alertas y/o riesgos)</t>
    </r>
  </si>
  <si>
    <r>
      <rPr>
        <b/>
        <sz val="14"/>
        <rFont val="Arial"/>
        <family val="2"/>
      </rPr>
      <t>DATO</t>
    </r>
    <r>
      <rPr>
        <sz val="14"/>
        <rFont val="Arial"/>
        <family val="2"/>
      </rPr>
      <t xml:space="preserve">
DEL INDICADOR</t>
    </r>
  </si>
  <si>
    <r>
      <t xml:space="preserve">ANÁLISIS
</t>
    </r>
    <r>
      <rPr>
        <sz val="14"/>
        <rFont val="Arial"/>
        <family val="2"/>
      </rPr>
      <t>DEL INDICADOR</t>
    </r>
  </si>
  <si>
    <r>
      <rPr>
        <b/>
        <sz val="14"/>
        <rFont val="Arial"/>
        <family val="2"/>
      </rPr>
      <t>NOTAS DE SEGUIMIENTO</t>
    </r>
    <r>
      <rPr>
        <sz val="14"/>
        <rFont val="Arial"/>
        <family val="2"/>
      </rPr>
      <t xml:space="preserve">
AL RIESGO</t>
    </r>
  </si>
  <si>
    <r>
      <rPr>
        <b/>
        <sz val="14"/>
        <rFont val="Arial"/>
        <family val="2"/>
      </rPr>
      <t>DESCRIPCIÓN DEL EVENTO</t>
    </r>
    <r>
      <rPr>
        <sz val="14"/>
        <rFont val="Arial"/>
        <family val="2"/>
      </rPr>
      <t xml:space="preserve">
DE RIESGOS MATERIALIZADOS</t>
    </r>
  </si>
  <si>
    <r>
      <rPr>
        <b/>
        <sz val="14"/>
        <rFont val="Arial"/>
        <family val="2"/>
      </rPr>
      <t>CONSECUENCIAS</t>
    </r>
    <r>
      <rPr>
        <sz val="14"/>
        <rFont val="Arial"/>
        <family val="2"/>
      </rPr>
      <t xml:space="preserve">
EFECTOS</t>
    </r>
  </si>
  <si>
    <r>
      <t xml:space="preserve">FECHA
</t>
    </r>
    <r>
      <rPr>
        <b/>
        <sz val="14"/>
        <rFont val="Arial"/>
        <family val="2"/>
      </rPr>
      <t>INICIO</t>
    </r>
  </si>
  <si>
    <r>
      <t xml:space="preserve">FECHA
</t>
    </r>
    <r>
      <rPr>
        <b/>
        <sz val="14"/>
        <rFont val="Arial"/>
        <family val="2"/>
      </rPr>
      <t>FIN</t>
    </r>
  </si>
  <si>
    <r>
      <rPr>
        <b/>
        <sz val="14"/>
        <rFont val="Arial"/>
        <family val="2"/>
      </rPr>
      <t>Id. Acciones</t>
    </r>
    <r>
      <rPr>
        <sz val="14"/>
        <rFont val="Arial"/>
        <family val="2"/>
      </rPr>
      <t xml:space="preserve"> Plan de Mejoramiento</t>
    </r>
  </si>
  <si>
    <t xml:space="preserve">En caso de la no asignación de recursos, se revisará el impacto en la gestión de la DTDP y se elevará a SGDU y a Dirección de la Entidad. 
En caso de asignación tardía de recursos, se realizará el ajuste en los cronogramas de la adquisición predial de la DTDP.
</t>
  </si>
  <si>
    <t xml:space="preserve">Al corte del 31 de agosto, de acuerdo con la dinámica de ejecución de los proyectos se han adelantado los procesos de adquisición predial ajustados a los cronogramas vigentes, por tanto no se ha materializado el riesgo de atraso en la ejecución de obras de infraestructura vial por no disposición de predios. 
Es importante señalar que los procesos de adquisición se adelantan sobre las obras priorizadas. En este sentido, durante el periodo se señaló por parte de la OAP y de la DTPC acerca de la no disposición de recursos para el proyecto Avenida Centenario, por suspensión de los mismos. 
Frente al tema anteriormente mencionado, se revisó el alcance de las metas para la vigencia por parte de la DTDP  y el avance frente a la obra (cuyo cronograma se extiende hasta la vigencia 2020), priorizando para el 2019 la continuidad del proceso de adquisición en cerca de 244 predios. De igual manera en el marco de los ejercicios de anteproyecto se estableció el aseguramiento de recursos en la próxima vigencia. Esta situación no afecta el resultado del indicador, por cuanto los predios en adquisición y las metas fueron reprogramados. 
Para los proyectos priorizados, especialmente los que corresponden a las Troncales de Transmilenio, Primera Línea del Metro, Avenida Centenario, Intersección Autopista Sur con Avenida Bosa, y las correspondientes a los proyectos de Valorización Acuerdo 724 de 2018, se gestionaron vía anteproyecto, los recursos requeridos para la vigencia 2020. 
Desde las jornadas de seguimiento efectuadas se han generado las alertas para asegurar el cumplimiento de los cronogramas establecidos. Durante el periodo se han realizado  69 seguimientos. </t>
  </si>
  <si>
    <t xml:space="preserve">Frente a la formulación del riesgo no se han identificado ajustes. </t>
  </si>
  <si>
    <t>En caso de que la pérdida o alteración sea digital, se escalará la situación a la STRT para que se solicite el último backup y se tomen las medidas necesarias para identificar la vulnerabilidad y tomar las acciones  pertinentes.</t>
  </si>
  <si>
    <t>01 mayo a 31 de agosto de 2019</t>
  </si>
  <si>
    <t>Durante el periodo reportado no se presentaron solicitudes ciudadanas para acceder a la figura del Defensor del Ciudadano.</t>
  </si>
  <si>
    <t>once</t>
  </si>
  <si>
    <t>Se enviaron once (11) correos electrónicos a STJEF y DTP con el fin de requerir la respuesta a peticiones vencidas.</t>
  </si>
  <si>
    <t>Observaciones ó cambios presentados en:
Riesgo: Se mantiene.
Causas: Se mantienen.
consecuencias: Se mantienen.
Controles: Se identifica que los controles registrados operan y están vigentes.
Acciones de contingencia: Se mantienen
Indicador: Se mantiene.
Otros: N/A</t>
  </si>
  <si>
    <t>Incumplimiento reiterativo en la vigencia de las acciones planteadas dentro de las fechas establecidas en el plan de mejoramiento.</t>
  </si>
  <si>
    <t xml:space="preserve">% de acciones con incumplimineto reiterativo:
(Número de acciones vencidas con incumplimiento en dos reportes de la OCI / Número de acciones vencidas) x 100%
</t>
  </si>
  <si>
    <t>En el periodo monitoreado se evidenció la ocurrencia de 5 eventos de riesgos materializados, a saber:
1. Acción 1639 - DTC
2. Acción 1508 - DTP
3. Acción 1015 - DTGC
4. Acción 1096 - DTGC
5. Acción 1368 - DTGC</t>
  </si>
  <si>
    <t>Observaciones ó cambios presentados en:
Riesgo: Se ajusta descripción para aclarar el incumplimiento "reiterativo" en la vigencia.
.
Causas: Se mantienen.
consecuencias: Se mantienen.
Controles: Se identifica que los controles registrados operan y están vigentes.
Acciones de contingencia: Se mantienen
Indicador: Se ajusta el indicador aclarando el reporte de eventos de forma reiterativa,
Otros:
1. Frente a las acciones de respuesta/contingencia la OCI realizará los requerimientos pertinentes a las áreas en las cuales se evidenció la ocurrencia de los eventos de riesgos materializados, para que se implementen las acciones de contiengencia que correspondan, para dar cumplimiento a las acciones incumplidas.</t>
  </si>
  <si>
    <t>En el periodo monitoreado se evidenció la ocurrencia de 5 eventos de riesgos materializados, a saber:
1. Acción 1639 a cargo de la DTC
2. Acción 1508 a cargo de la DTP
3. Acción 1015 a cargo de la DTGC
4. Acción 1096 a cargo de la DTGC
5. Acción 1368 a cargo de la DTGC</t>
  </si>
  <si>
    <t>Posible afectación de mejora y/o gestión de los procesos en los cuales se presentó el incumplimiento</t>
  </si>
  <si>
    <t>A LA FECHA DEL PRESENTE MONITOREO NO APLICA EL REGISTRO.
SE GESTIONARÁ LO PERTINENTE CONFORME A LOS LINEAMIENTOS DEL MANUAL DE ADMNISTRACIÓN DEL RIESGO.</t>
  </si>
  <si>
    <t>Que las Acciones Correctivas, Acciones de Mejora  no sean efectivas de forma reiterativa para subsanar la causa raíz o resolver el problema.</t>
  </si>
  <si>
    <t>% de acciones no efectivas reiterativas:
(Número de acciones no efectivas reiterativas / Número de acciones no efectivas reportadas en la vigencia) x 100%
(Medición anual).</t>
  </si>
  <si>
    <t>Observaciones ó cambios presentados en:
Riesgo: Se ajusta la descripción para tener encuenta el periodo de evaluación de efectividad de las acciones.
Causas: Se mantienen.
consecuencias: Se mantienen.
Controles: Se mantienen.
Acciones de contingencia: Se mantienen
Indicador: Se ajusta el indicador, para medición anual.
Otros: N/A</t>
  </si>
  <si>
    <t>(12/13)*100 = 92,30%</t>
  </si>
  <si>
    <t>Se realizaron las siguientes actividades de prevención:
En mayo 1 capacitación, 1 publicación
En junio 3 flash, 1 recomendación, 1 capacitación, 1 publicación
En julio se realizaron 2 flash disciplinarios y 2 capacitaciones
En agosto no se realizaron actividades
Total: 12 realizadas de 13 programadas.
Riesgos materializados: 0</t>
  </si>
  <si>
    <t xml:space="preserve">Observaciones ó cambios presentados en:
Riesgo: Se mantiene.
Causas: Se mantienen.
Consecuencias: Se mantienen.
Controles: Se mantienen.
Acciones de contingencia: Se mantienen.
Indicador: Se mantiene.
Otros: No se generaron. </t>
  </si>
  <si>
    <t xml:space="preserve"> NO 
</t>
  </si>
  <si>
    <t>Observaciones ó cambios presentados en:
No se identificó, por parte del proceso, que el riesgo se materializara. No obstante, en las reuniones de monitoreo realizada con los representantes de OAP se comunicó la necesidad de revisar la pertinencia o no de incluir en la matriz de riesgos del proceso EVALUACIÓN Y CONTROL  riesgos de seguridad de la información cuya administración están a cargo del área de sistemas la STRT.
NOTA: Actualmente bajo el liderazgo de la STRT se están actualizando los riesgos de seguridad de la información bajo los nuevos lienamientos de la guía del DAFP.</t>
  </si>
  <si>
    <t>Observaciones ó cambios presentados en:
No se identificó, por parte del proceso, que el riesgo se materializara. No obstante, en las reuniones de monitoreo realizada con los representantes de OAP se comunicó la necesidad de revisar la pertinencia o no de incluir en la matriz de riesgos del proceso EVALUACIÓN Y CONTROL  riesgos de seguridad de la información cuyo control está a cargo del área de sistemas la STRT.
NOTA: Actualmente bajo el liderazgo de la STRT se están actualizando los riesgos de seguridad de la información bajo los nuevos lienamientos de la guía del DAFP.</t>
  </si>
  <si>
    <t>Observaciones ó cambios presentados en:
No se identificó, por parte del proceso, que el riesgo se materializara. No obstante, en las reuniones de monitoreo realizada con los representantes de OAP se comunicó la necesidad de revisar la pertinencia o no de incluir en la matriz de riesgos del proceso MEJORAMIENTO riesgos de seguridad de la información cuyo control está a cargo del área de sistemas la STRT.
NOTA: Actualmente bajo el liderazgo de la STRT se están actualizando los riesgos de seguridad de la información bajo los nuevos lienamientos de la guía del DAFP.</t>
  </si>
  <si>
    <t>mayo - agosto 2019</t>
  </si>
  <si>
    <t>% promedio ponderado de ejecución de metas plan de desarrollo. (en relación a los recursos asignados a cada meta) /  % promedio ponderado de programado de metas plan de desarrollo x 100</t>
  </si>
  <si>
    <t>Controles programados y ejecutados: 
Para este periodo se cumplio  con los controles 1, 2, 3, 4,5, 6,7, no obstante a corte de septuiembre no se ha culmidado con el proceso de anteproyecto de presupuesto.
No se conoce que el riesgo se haya materializado.</t>
  </si>
  <si>
    <t>Observaciones ó cambios presentados en:
Riesgo: Continua igual
Causas: Continua igual
consecuencias: Continua igual
Controles: Siguen igual
Acciones de contingencia:
Indicador: Sigue igual.
Otros: No se generaron.</t>
  </si>
  <si>
    <t>(# de cargues ejecutados) / (# de cargues programados en SEGPLAN) x 100.
(01/01) * 100 % = 100 %</t>
  </si>
  <si>
    <t>Se realizó el cargue oportuno y consistente de los datos del seguimiento a 31 de Diciembre de 2018,  Enero de 2019, a 31 de marzo de 2019, abril de 2019 y 31 de agosto de 2019.</t>
  </si>
  <si>
    <t>Observaciones ó cambios presentados en:
Riesgo: Continua igual
Causas: Continua igual
Consecuencias: Continua igual
Controles: Siguen igual
Acciones de contingencia: Siguen igual.
Indicador: Sigue igual.
Otros: No se generaron.
No se observó que el riesgo se haya materializado.</t>
  </si>
  <si>
    <t>(# de planes de acción por dependencia programados para la vigencia / # total de planes de acción a programar por vigencia) * 100
(31/31) * 100 % = 100 %</t>
  </si>
  <si>
    <t>Se cumplió con la ejecución programada, las dependencias (31) entregaron los planes de acción 2019.</t>
  </si>
  <si>
    <t>Observaciones ó cambios presentados en:
Riesgo: La información sigue vigente y no se modifica
Causas: Continuan las mismas
Consecuencias: No se modifica
Controles: Siguen los mismos controles
Acciones de contingencia: No ha sido necesario su ejecución
Indicador: No se presentó el evento.
Otros: No se generaron. 
No se observó que el riesgo se haya materializado.</t>
  </si>
  <si>
    <t>MAYO-AGOSTO</t>
  </si>
  <si>
    <t xml:space="preserve">1. . Necesidad de adicionar el contrato.
2. Dar inicio a la obra sin contar con los recursos requeridos.
3. Reducción de metas fisicas programadas.
4. Liquidación del contrato sin el cumplimiento del objeto contratado.
</t>
  </si>
  <si>
    <r>
      <rPr>
        <b/>
        <sz val="8"/>
        <color rgb="FFFF0000"/>
        <rFont val="Arial"/>
        <family val="2"/>
      </rPr>
      <t>Observaciones ó cambios presentados en:</t>
    </r>
    <r>
      <rPr>
        <sz val="8"/>
        <color rgb="FFFF0000"/>
        <rFont val="Arial"/>
        <family val="2"/>
      </rPr>
      <t xml:space="preserve">
</t>
    </r>
    <r>
      <rPr>
        <b/>
        <sz val="8"/>
        <color rgb="FFFF0000"/>
        <rFont val="Arial"/>
        <family val="2"/>
      </rPr>
      <t>Riesgo:</t>
    </r>
    <r>
      <rPr>
        <sz val="8"/>
        <color rgb="FFFF0000"/>
        <rFont val="Arial"/>
        <family val="2"/>
      </rPr>
      <t xml:space="preserve"> Se elimina el riesgo
</t>
    </r>
    <r>
      <rPr>
        <b/>
        <sz val="8"/>
        <color rgb="FFFF0000"/>
        <rFont val="Arial"/>
        <family val="2"/>
      </rPr>
      <t>Causas:</t>
    </r>
    <r>
      <rPr>
        <sz val="8"/>
        <color rgb="FFFF0000"/>
        <rFont val="Arial"/>
        <family val="2"/>
      </rPr>
      <t xml:space="preserve"> 
</t>
    </r>
    <r>
      <rPr>
        <b/>
        <sz val="8"/>
        <color rgb="FFFF0000"/>
        <rFont val="Arial"/>
        <family val="2"/>
      </rPr>
      <t xml:space="preserve">Consecuencias: </t>
    </r>
    <r>
      <rPr>
        <sz val="8"/>
        <color rgb="FFFF0000"/>
        <rFont val="Arial"/>
        <family val="2"/>
      </rPr>
      <t xml:space="preserve">
</t>
    </r>
    <r>
      <rPr>
        <b/>
        <sz val="8"/>
        <color rgb="FFFF0000"/>
        <rFont val="Arial"/>
        <family val="2"/>
      </rPr>
      <t>Controles:</t>
    </r>
    <r>
      <rPr>
        <sz val="8"/>
        <color rgb="FFFF0000"/>
        <rFont val="Arial"/>
        <family val="2"/>
      </rPr>
      <t xml:space="preserve"> 
</t>
    </r>
    <r>
      <rPr>
        <b/>
        <sz val="8"/>
        <color rgb="FFFF0000"/>
        <rFont val="Arial"/>
        <family val="2"/>
      </rPr>
      <t>Acciones de contingencia:</t>
    </r>
    <r>
      <rPr>
        <sz val="8"/>
        <color rgb="FFFF0000"/>
        <rFont val="Arial"/>
        <family val="2"/>
      </rPr>
      <t xml:space="preserve"> 
</t>
    </r>
    <r>
      <rPr>
        <b/>
        <sz val="8"/>
        <color rgb="FFFF0000"/>
        <rFont val="Arial"/>
        <family val="2"/>
      </rPr>
      <t>Indicador</t>
    </r>
    <r>
      <rPr>
        <sz val="8"/>
        <color rgb="FFFF0000"/>
        <rFont val="Arial"/>
        <family val="2"/>
      </rPr>
      <t xml:space="preserve">: 
</t>
    </r>
    <r>
      <rPr>
        <b/>
        <sz val="8"/>
        <color rgb="FFFF0000"/>
        <rFont val="Arial"/>
        <family val="2"/>
      </rPr>
      <t>Otros:</t>
    </r>
  </si>
  <si>
    <t xml:space="preserve">
(No. De contratos con declaratoria de cumplimiento de todos sus productos por parte de interventoria dentro del plazo del contrato / Total contratos líquidados en el periodo) X100</t>
  </si>
  <si>
    <t>Resultado: (4/4)*100% = 100%</t>
  </si>
  <si>
    <t>En el periodo se liquidaron cuatro contratos IDU  299-2015, 300-2015, 1725-2013, y 1767-2013</t>
  </si>
  <si>
    <r>
      <t xml:space="preserve">Observaciones ó cambios presentados en:
Riesgo: Se mantiene, no presenta cambios.
Causas: Se mantienen, no presentan cambios.
consecuencias: Se mantienen, no presentan cambios.
Controles: Se mantienen, no presentan cambios.
Acciones de contingencia: Se mantienen, no presentan cambios.
</t>
    </r>
    <r>
      <rPr>
        <b/>
        <sz val="8"/>
        <rFont val="Arial"/>
        <family val="2"/>
      </rPr>
      <t>Indicador:</t>
    </r>
    <r>
      <rPr>
        <sz val="8"/>
        <rFont val="Arial"/>
        <family val="2"/>
      </rPr>
      <t xml:space="preserve"> Se modifico la formula del indicador teniendo en cuenta que en la etapa de liquidación estan dados los espacios para aprobaciones y declaraciones de cumplimiento.
Otros:</t>
    </r>
  </si>
  <si>
    <t>5. Demora en conceptos de no objeción de los productos por parte del IDU.                                    6. Demora por consumir los recursos de tiempo de estudios y diseños en la etapa de factibilidad.</t>
  </si>
  <si>
    <t>(No. De modificaciones contractuales por errores en componentes técnico de los pliegos de condiciones en el periodo.</t>
  </si>
  <si>
    <t>No se presentaron modificaciones originadas por errores en el componente técnico de los pliegos de condiciones en este periodo.</t>
  </si>
  <si>
    <r>
      <rPr>
        <b/>
        <sz val="8"/>
        <rFont val="Arial"/>
        <family val="2"/>
      </rPr>
      <t>Observaciones ó cambios presentados en:</t>
    </r>
    <r>
      <rPr>
        <sz val="8"/>
        <rFont val="Arial"/>
        <family val="2"/>
      </rPr>
      <t xml:space="preserve">
</t>
    </r>
    <r>
      <rPr>
        <b/>
        <sz val="8"/>
        <rFont val="Arial"/>
        <family val="2"/>
      </rPr>
      <t xml:space="preserve">Riesgo: </t>
    </r>
    <r>
      <rPr>
        <sz val="8"/>
        <rFont val="Arial"/>
        <family val="2"/>
      </rPr>
      <t xml:space="preserve">Se mantiene, no presenta cambios.
</t>
    </r>
    <r>
      <rPr>
        <b/>
        <sz val="8"/>
        <rFont val="Arial"/>
        <family val="2"/>
      </rPr>
      <t>Causas:</t>
    </r>
    <r>
      <rPr>
        <sz val="8"/>
        <rFont val="Arial"/>
        <family val="2"/>
      </rPr>
      <t xml:space="preserve"> Se mantienen, no presentan cambios.
</t>
    </r>
    <r>
      <rPr>
        <b/>
        <sz val="8"/>
        <rFont val="Arial"/>
        <family val="2"/>
      </rPr>
      <t>consecuencias</t>
    </r>
    <r>
      <rPr>
        <sz val="8"/>
        <rFont val="Arial"/>
        <family val="2"/>
      </rPr>
      <t xml:space="preserve">: Se mantienen, no presentan cambios.
</t>
    </r>
    <r>
      <rPr>
        <b/>
        <sz val="8"/>
        <rFont val="Arial"/>
        <family val="2"/>
      </rPr>
      <t>Controles:</t>
    </r>
    <r>
      <rPr>
        <sz val="8"/>
        <rFont val="Arial"/>
        <family val="2"/>
      </rPr>
      <t xml:space="preserve"> Se mantienen, no presentan cambios.
</t>
    </r>
    <r>
      <rPr>
        <b/>
        <sz val="8"/>
        <rFont val="Arial"/>
        <family val="2"/>
      </rPr>
      <t>Acciones de contingencia:</t>
    </r>
    <r>
      <rPr>
        <sz val="8"/>
        <rFont val="Arial"/>
        <family val="2"/>
      </rPr>
      <t xml:space="preserve"> Se mantienen, no presentan cambios.
</t>
    </r>
    <r>
      <rPr>
        <b/>
        <sz val="8"/>
        <rFont val="Arial"/>
        <family val="2"/>
      </rPr>
      <t>Indicador:</t>
    </r>
    <r>
      <rPr>
        <sz val="8"/>
        <rFont val="Arial"/>
        <family val="2"/>
      </rPr>
      <t xml:space="preserve"> Se ajusta, teniendo en cuenta que el denominador propuesto no aplica al periodo del numerador.
</t>
    </r>
    <r>
      <rPr>
        <b/>
        <sz val="8"/>
        <rFont val="Arial"/>
        <family val="2"/>
      </rPr>
      <t>Otros:</t>
    </r>
  </si>
  <si>
    <t>Observaciones ó cambios presentados en:
Riesgo: Se eliminó el riesgo
Causas: 
consecuencias: 
Controles: 
Acciones de contingencia: 
Indicador: S
Otros:</t>
  </si>
  <si>
    <t>Se divulgaron 6 actividades sobre seguridad y riesgos de la información, (14/05/2019), actualización de activos (15/5/2019), conferencia seguridad de la información (15 y 16/05/2019), riesgo en la privacidad de la información (22/05/2019) y cambios en las caracteristicas de las contraseñas (30/05/2019), declaración de aplicabilidad SGSI (23/07/2019).</t>
  </si>
  <si>
    <t>(No. Actividades de seguimiento registradas en medios tecnologicos / Total de actividades divulgadas) x 100%</t>
  </si>
  <si>
    <r>
      <rPr>
        <b/>
        <i/>
        <sz val="9"/>
        <rFont val="Arial"/>
        <family val="2"/>
      </rPr>
      <t>OBSERVACIONES</t>
    </r>
    <r>
      <rPr>
        <i/>
        <sz val="9"/>
        <rFont val="Arial"/>
        <family val="2"/>
      </rPr>
      <t>: Se</t>
    </r>
    <r>
      <rPr>
        <i/>
        <sz val="10"/>
        <rFont val="Arial"/>
        <family val="2"/>
      </rPr>
      <t xml:space="preserve"> elimina el riesgo N° 2, por considerar que no es un riesgo de gestión toda vez que las diferencias de los valores iniciales y finales seran una salida cierta del proceso ya que un Diseño en detalle determinarán un valor mas exacto del proyecto. Y no es posible conocer hasta qué limite se consideraría un riesgo por mala gestión.</t>
    </r>
    <r>
      <rPr>
        <i/>
        <sz val="9"/>
        <rFont val="Arial"/>
        <family val="2"/>
      </rPr>
      <t xml:space="preserve">
De igual manera se elimina el riesgoN°6, porque se incluyó como una de las cusas del Riesgo N°4.</t>
    </r>
  </si>
  <si>
    <t>Resultado: (1/1)*100=100%</t>
  </si>
  <si>
    <t>Se recibieron productos del contrato IDU-1564-2017 al cual se le realiza la supervisión directa,  y se procedió a realizar el pago, de la siguiente manera: Acta 9, factura 1, orden 2246, por recopilación de información de la etapa de factibilidad, se realiza descuento por prorroga 1.</t>
  </si>
  <si>
    <t>Resultado: (37/37)*100%=100%</t>
  </si>
  <si>
    <t xml:space="preserve">Se recibieron prodcutos para 37 proyectoslos cuales cumplen con la totalidad de los requisitos y se procedió a realizar el pago, de la siguiente manera: Acta 3, contrato 1553-2017, orden 1287, factura 3; Acta 1, contrato 1467-2018, orden 1288, factura GE204;  Acta 11, contrato 942-2017, orden 1292, factura 58; Acta 16, contrato 952-2017, orden 1268, factura 306; Acta 15, contrato 956-2017, orden 1273, factura 29; Acta 6, contrato 1561-2017, orden 1283, factura 202; Acta 24, contrato 1500-2017, orden 1293, factura 09 (item unitarios); Acta 21, contrato 1516-2017, orden 1205, factura 5; Acta 8, contrato 1572-2017, orden 1267, factura 01; Acta 16, contrato 1397-2017, orden 1270, factura ME 30451;  Acta 3, contrato 1563-2018, orden 1701, factura 02;  Acta 29 contrato 1553-2017, orden 1762, factura 7; Acta 17a, contrato 1353-2017, orden 1648, factura 16; Acta 17, contrato 1353-2017, orden 1647, factura 17; Acta 18, contrato 1361-2017, orden 2092, factura 09;  Acta 11, contrato 1403-2017, orden 2156, factura 17; Acta 14, contrato 1496-2017, orden 2154, factura 2; Acta 20, contrato 1580-2017, orden 2153, factura 10046;   Acta 2, contrato 1523-2018, orden 2223, factura 1; Acta 3, contrato 1564-2018, orden 2093, factura 01; Acta 4, contrato 1564-2018, orden 2213, factura 03; Acta 3, contrato 1564-2018, orden 2093, factura 01;   Acta 4, contrato 1563-2018, orden 2230, factura 04; Acta 14, contrato 1521-2017, orden 2239, factura 205 se realizan descuentos prorroga 3; Acta 10, contrato 1551-2017, orden 2155, factura 02; Acta 11, contrato 1524-2017, orden 2224, factura 01; Acta 9, contrato 1572-2017, orden 2221, factura 2; Acta 26, contrato 1552-2017, orden 2157, factura 18; Acta 12, contrato 1524-2017, orden 2645, factura 2 descuento prorroga 2; Acta 6, contrato 1563-2018, orden 2634, factura 06; Acta 8, contrato 1438-2018, orden 2641, factura 11; Acta 2, contrato 1467-2018, orden 2642, factura GE 214;  Acta 13, contrato 1436-2017, orden 2679, factura 3; Acta 7, contrato 1561-2017, orden 2639, factura 203; Acta 5, contrato 1564-2018, orden 2635, factura 05; Acta 10, contrato 1507-2017, orden 2643, factura RI1075; Acta 17, contrato 1353-2017, orden 2640, factura 20.                       </t>
  </si>
  <si>
    <t>Resultado: (11/11)*100%= 100%</t>
  </si>
  <si>
    <t>Se divulgaron 11 actividades sobre seguridad y riesgos de la información, (14/05/2019), actualización de activos (15/5/2019), conferencia seguridad de la información (15 y 16/05/2019), riesgo en la privacidad de la información (22/05/2019) y cambios en las caracteristicas de las contraseñas (30/05/2019), declaración de aplicabilidad SGSI (23/07/2019). Y 5 Flash disciplinarios sobre el código único disciplinario: (10/06/2019) #5, (11/06/2019) #6, (14/06/2019) #7, (25/06/2019) # 8 y el (12/07/2019) #9.</t>
  </si>
  <si>
    <t>En este cuatrimetre No se presentarón solicitude devueltas por deficiente justificación.</t>
  </si>
  <si>
    <t>Resultado: (0/4)*100%=0%</t>
  </si>
  <si>
    <t>Se liquidaron los contratos 299-2015, 300-2015, 1725-2013, y 1767-2013</t>
  </si>
  <si>
    <t>Observaciones ó cambios presentados en:
Riesgo: Se mantiene, no presenta cambios.
Causas: Se mantienen, no presentan cambios.
consecuencias: Se mantienen, no presentan cambios.
Controles: Se mantienen, no presentan cambios.
Acciones de contingencia: Se mantienen, no presentan cambios.
Indicador: Se modifico la formula del indicador teniendo en cuenta que en la etapa de liquidación estan dados los espacios para aprobaciones y declaraciones de cumplimiento
Otros:</t>
  </si>
  <si>
    <t>Mayo-Agosto-2019</t>
  </si>
  <si>
    <t>Prefactibilidad y factibilidad</t>
  </si>
  <si>
    <t xml:space="preserve">No incluir en las etapas de pre factibilidad y factibilidad  las acciones judiciales existentes asociadas al proyecto  </t>
  </si>
  <si>
    <t xml:space="preserve">1.No recibir el reporte oportuno de las acciones judiciales existentes por parte del area responsable (DTGJ)
2. Desconocimiento de las acciones judiciales existentes. 
3. Falta de socialización de las acciones judiciales existentes.
</t>
  </si>
  <si>
    <t xml:space="preserve">1. No cumplimiento de las acciones judiciales .
2. Reprocesos que implican mayor recurso de tiempo y personal. 
3. Desgaste administrativo.
4. Posibles sanciones de los Entes de Control.
</t>
  </si>
  <si>
    <t xml:space="preserve">1. Reporte de novedades de acciones judiciales por parte de la (DTGJ), en el marco de competencia de la DTP.
2. Socialización de las novedades de las aciones judiciales al interior del área
3.Identificar dentro de los proyectos en fase de pre inversión, cruces existentes con acciones judiciales existentes.
</t>
  </si>
  <si>
    <t xml:space="preserve">1. Reportes de acciones judiciales emitidos por la DTGJ a traves de radicados de ORFEO.
2. Correos electrónicos de socialización de los reportes emitidos por la DTGJ.
</t>
  </si>
  <si>
    <t xml:space="preserve">1.Reportar la materialización del riesgo a la SGDU como área líder del proceso.
2. Realizar mesa de reunión con la SGJ, SGDU, DTP y la DTGJ. 
3. Adelantar el trámite correspondiente para dar cumplimiento a la acción judicial.
</t>
  </si>
  <si>
    <t>No. De casos materializados de acciones judiciales reportadas al área.</t>
  </si>
  <si>
    <t>No se presentaron casos de materialización de acciones judiciales entre mayo y agosto.</t>
  </si>
  <si>
    <r>
      <t xml:space="preserve">Observaciones ó cambios presentados en:
</t>
    </r>
    <r>
      <rPr>
        <b/>
        <sz val="8"/>
        <rFont val="Arial"/>
        <family val="2"/>
      </rPr>
      <t>Riesgo:</t>
    </r>
    <r>
      <rPr>
        <sz val="8"/>
        <rFont val="Arial"/>
        <family val="2"/>
      </rPr>
      <t xml:space="preserve"> Se modifico porque se consideró que como estaba redactado no era un riesgo, era parte inherente del proceso.
</t>
    </r>
    <r>
      <rPr>
        <b/>
        <sz val="8"/>
        <rFont val="Arial"/>
        <family val="2"/>
      </rPr>
      <t>Causas:</t>
    </r>
    <r>
      <rPr>
        <sz val="8"/>
        <rFont val="Arial"/>
        <family val="2"/>
      </rPr>
      <t xml:space="preserve"> Se modifican y se complementan de acuerdo al riesgo.
</t>
    </r>
    <r>
      <rPr>
        <b/>
        <sz val="8"/>
        <rFont val="Arial"/>
        <family val="2"/>
      </rPr>
      <t>Consecuencias:</t>
    </r>
    <r>
      <rPr>
        <sz val="8"/>
        <rFont val="Arial"/>
        <family val="2"/>
      </rPr>
      <t xml:space="preserve"> Se modifican de acuerdo a las causas.
</t>
    </r>
    <r>
      <rPr>
        <b/>
        <sz val="8"/>
        <rFont val="Arial"/>
        <family val="2"/>
      </rPr>
      <t>Controles:</t>
    </r>
    <r>
      <rPr>
        <sz val="8"/>
        <rFont val="Arial"/>
        <family val="2"/>
      </rPr>
      <t xml:space="preserve"> Se modificaron de acuerdo al Manual de Riesgos
</t>
    </r>
    <r>
      <rPr>
        <b/>
        <sz val="8"/>
        <rFont val="Arial"/>
        <family val="2"/>
      </rPr>
      <t>Acciones de contingencia:</t>
    </r>
    <r>
      <rPr>
        <sz val="8"/>
        <rFont val="Arial"/>
        <family val="2"/>
      </rPr>
      <t xml:space="preserve"> Se modificaron de acuerdo al riesgo.
</t>
    </r>
    <r>
      <rPr>
        <b/>
        <sz val="8"/>
        <rFont val="Arial"/>
        <family val="2"/>
      </rPr>
      <t>Indicador</t>
    </r>
    <r>
      <rPr>
        <sz val="8"/>
        <rFont val="Arial"/>
        <family val="2"/>
      </rPr>
      <t xml:space="preserve">: Se ajusto de tal forma que arroje el resultado real del riesgo idéntificado.
</t>
    </r>
    <r>
      <rPr>
        <b/>
        <sz val="8"/>
        <rFont val="Arial"/>
        <family val="2"/>
      </rPr>
      <t xml:space="preserve">Otros: </t>
    </r>
    <r>
      <rPr>
        <sz val="8"/>
        <rFont val="Arial"/>
        <family val="2"/>
      </rPr>
      <t>N.A</t>
    </r>
  </si>
  <si>
    <r>
      <t xml:space="preserve">Observaciones ó cambios presentados en:
</t>
    </r>
    <r>
      <rPr>
        <b/>
        <sz val="8"/>
        <rFont val="Arial"/>
        <family val="2"/>
      </rPr>
      <t>Riesgo</t>
    </r>
    <r>
      <rPr>
        <sz val="8"/>
        <rFont val="Arial"/>
        <family val="2"/>
      </rPr>
      <t>:</t>
    </r>
    <r>
      <rPr>
        <b/>
        <sz val="8"/>
        <rFont val="Arial"/>
        <family val="2"/>
      </rPr>
      <t>Se elimina el riesgo,por falta de claridad, aplicación y resultado, ya que su enfoque no se dirige hacia un riesgo puro.</t>
    </r>
    <r>
      <rPr>
        <sz val="8"/>
        <rFont val="Arial"/>
        <family val="2"/>
      </rPr>
      <t xml:space="preserve">
</t>
    </r>
    <r>
      <rPr>
        <b/>
        <sz val="8"/>
        <rFont val="Arial"/>
        <family val="2"/>
      </rPr>
      <t>Causas:</t>
    </r>
    <r>
      <rPr>
        <sz val="8"/>
        <rFont val="Arial"/>
        <family val="2"/>
      </rPr>
      <t xml:space="preserve">
</t>
    </r>
    <r>
      <rPr>
        <b/>
        <sz val="8"/>
        <rFont val="Arial"/>
        <family val="2"/>
      </rPr>
      <t>Consecuencias:</t>
    </r>
    <r>
      <rPr>
        <sz val="8"/>
        <rFont val="Arial"/>
        <family val="2"/>
      </rPr>
      <t xml:space="preserve"> 
</t>
    </r>
    <r>
      <rPr>
        <b/>
        <sz val="8"/>
        <rFont val="Arial"/>
        <family val="2"/>
      </rPr>
      <t>Controles</t>
    </r>
    <r>
      <rPr>
        <sz val="8"/>
        <rFont val="Arial"/>
        <family val="2"/>
      </rPr>
      <t xml:space="preserve">:
</t>
    </r>
    <r>
      <rPr>
        <b/>
        <sz val="8"/>
        <rFont val="Arial"/>
        <family val="2"/>
      </rPr>
      <t>Acciones de contingencia:</t>
    </r>
    <r>
      <rPr>
        <sz val="8"/>
        <rFont val="Arial"/>
        <family val="2"/>
      </rPr>
      <t xml:space="preserve">
</t>
    </r>
    <r>
      <rPr>
        <b/>
        <sz val="8"/>
        <rFont val="Arial"/>
        <family val="2"/>
      </rPr>
      <t>Indicador:</t>
    </r>
    <r>
      <rPr>
        <sz val="8"/>
        <rFont val="Arial"/>
        <family val="2"/>
      </rPr>
      <t xml:space="preserve">
</t>
    </r>
    <r>
      <rPr>
        <b/>
        <sz val="8"/>
        <rFont val="Arial"/>
        <family val="2"/>
      </rPr>
      <t>Otros:</t>
    </r>
    <r>
      <rPr>
        <sz val="8"/>
        <rFont val="Arial"/>
        <family val="2"/>
      </rPr>
      <t>N.A</t>
    </r>
  </si>
  <si>
    <t>Omisiones de los  lineamientos técnicos vigentes en el desarrollo de las prefactibilidades o factibilidades</t>
  </si>
  <si>
    <t xml:space="preserve">
1. Desconocimiento de nuevas tecnologías.
2. Modificación de las normas técnicas, legales y/o urbanísticas.
3. Falta de asignación de recursos físicos, tecnológicos, humanos y presupuestales.</t>
  </si>
  <si>
    <t xml:space="preserve">1) Revisión y actualización periódica de las guías, manuales, cartillas, entre otros.
2) Socializaciones sobre los nuevos lineamientos técnicos y normativos vigentes.
</t>
  </si>
  <si>
    <t>1. Reunión de contingencia entre los especialistas, para desarrollar alternativas y tomar acciones al respecto.
2. Solicitar concepto a la DTGC, para emitir posibles adendas o realizar ajustes a los pliegos antes de su emisión definitiva.</t>
  </si>
  <si>
    <r>
      <t xml:space="preserve">Observaciones o cambios presentados en:
</t>
    </r>
    <r>
      <rPr>
        <b/>
        <sz val="8"/>
        <rFont val="Arial"/>
        <family val="2"/>
      </rPr>
      <t>Riesgo</t>
    </r>
    <r>
      <rPr>
        <sz val="8"/>
        <rFont val="Arial"/>
        <family val="2"/>
      </rPr>
      <t xml:space="preserve">: Se modifica el riesgo, enfocándolo a las omisiones.
</t>
    </r>
    <r>
      <rPr>
        <b/>
        <sz val="8"/>
        <rFont val="Arial"/>
        <family val="2"/>
      </rPr>
      <t>Causas:</t>
    </r>
    <r>
      <rPr>
        <sz val="8"/>
        <rFont val="Arial"/>
        <family val="2"/>
      </rPr>
      <t xml:space="preserve"> Se mantienen las mismas causas.
</t>
    </r>
    <r>
      <rPr>
        <b/>
        <sz val="8"/>
        <rFont val="Arial"/>
        <family val="2"/>
      </rPr>
      <t>Consecuencias:</t>
    </r>
    <r>
      <rPr>
        <sz val="8"/>
        <rFont val="Arial"/>
        <family val="2"/>
      </rPr>
      <t xml:space="preserve"> Se mantienen las mismas consecuencias.
</t>
    </r>
    <r>
      <rPr>
        <b/>
        <sz val="8"/>
        <rFont val="Arial"/>
        <family val="2"/>
      </rPr>
      <t>Controles</t>
    </r>
    <r>
      <rPr>
        <sz val="8"/>
        <rFont val="Arial"/>
        <family val="2"/>
      </rPr>
      <t xml:space="preserve">: Se mantienen los mismos controles
</t>
    </r>
    <r>
      <rPr>
        <b/>
        <sz val="8"/>
        <rFont val="Arial"/>
        <family val="2"/>
      </rPr>
      <t>Acciones de contingencia:</t>
    </r>
    <r>
      <rPr>
        <sz val="8"/>
        <rFont val="Arial"/>
        <family val="2"/>
      </rPr>
      <t xml:space="preserve"> Se mantienen las mismas.
</t>
    </r>
    <r>
      <rPr>
        <b/>
        <sz val="8"/>
        <rFont val="Arial"/>
        <family val="2"/>
      </rPr>
      <t>Indicador:</t>
    </r>
    <r>
      <rPr>
        <sz val="8"/>
        <rFont val="Arial"/>
        <family val="2"/>
      </rPr>
      <t xml:space="preserve"> Se mantiene
</t>
    </r>
    <r>
      <rPr>
        <b/>
        <sz val="8"/>
        <rFont val="Arial"/>
        <family val="2"/>
      </rPr>
      <t>Otros:</t>
    </r>
    <r>
      <rPr>
        <sz val="8"/>
        <rFont val="Arial"/>
        <family val="2"/>
      </rPr>
      <t>N.A</t>
    </r>
  </si>
  <si>
    <t>Pre factibilidad y factibilidad</t>
  </si>
  <si>
    <t>Falta de armonización de los productos técnicos de la pre factibilidad o factibilidad</t>
  </si>
  <si>
    <t xml:space="preserve">
1. Falta de claridad y directrices  por parte de la administración distrital y las áreas competentes del IDU.
2. Falta de comunicación y limitación en los tiempos de entrega.
</t>
  </si>
  <si>
    <t xml:space="preserve">
1) Actas de reunión y/o mesas de trabajo, listas de asistencia.
2) Comunicaciones ORFEO y/o correo electrónico.
</t>
  </si>
  <si>
    <t>1. Reunión de contingencia entre los especialistas, contratista e interventoría para desarrollar alternativas y tomar acciones al respecto.
2. Solicitar concepto a la DTGC y a la SGJ, para emitir posibles modificatorios a los contratos.</t>
  </si>
  <si>
    <r>
      <t xml:space="preserve">Observaciones o cambios presentados en:
</t>
    </r>
    <r>
      <rPr>
        <b/>
        <sz val="8"/>
        <rFont val="Arial"/>
        <family val="2"/>
      </rPr>
      <t>Riesgo</t>
    </r>
    <r>
      <rPr>
        <sz val="8"/>
        <rFont val="Arial"/>
        <family val="2"/>
      </rPr>
      <t xml:space="preserve">: Se modifica el riesgo, en su redacción y terminología.
</t>
    </r>
    <r>
      <rPr>
        <b/>
        <sz val="8"/>
        <rFont val="Arial"/>
        <family val="2"/>
      </rPr>
      <t>Causas:</t>
    </r>
    <r>
      <rPr>
        <sz val="8"/>
        <rFont val="Arial"/>
        <family val="2"/>
      </rPr>
      <t xml:space="preserve"> Se mantienen las mismas causas.
</t>
    </r>
    <r>
      <rPr>
        <b/>
        <sz val="8"/>
        <rFont val="Arial"/>
        <family val="2"/>
      </rPr>
      <t>Consecuencias:</t>
    </r>
    <r>
      <rPr>
        <sz val="8"/>
        <rFont val="Arial"/>
        <family val="2"/>
      </rPr>
      <t xml:space="preserve"> Se mantienen las mismas consecuencias.
</t>
    </r>
    <r>
      <rPr>
        <b/>
        <sz val="8"/>
        <rFont val="Arial"/>
        <family val="2"/>
      </rPr>
      <t>Controles</t>
    </r>
    <r>
      <rPr>
        <sz val="8"/>
        <rFont val="Arial"/>
        <family val="2"/>
      </rPr>
      <t xml:space="preserve">: Se mantienen los mismos controles
</t>
    </r>
    <r>
      <rPr>
        <b/>
        <sz val="8"/>
        <rFont val="Arial"/>
        <family val="2"/>
      </rPr>
      <t>Acciones de contingencia</t>
    </r>
    <r>
      <rPr>
        <sz val="8"/>
        <rFont val="Arial"/>
        <family val="2"/>
      </rPr>
      <t xml:space="preserve">: Se mantienen las mismas.
</t>
    </r>
    <r>
      <rPr>
        <b/>
        <sz val="8"/>
        <rFont val="Arial"/>
        <family val="2"/>
      </rPr>
      <t>Indicador:</t>
    </r>
    <r>
      <rPr>
        <sz val="8"/>
        <rFont val="Arial"/>
        <family val="2"/>
      </rPr>
      <t xml:space="preserve"> Se mantiene
</t>
    </r>
    <r>
      <rPr>
        <b/>
        <sz val="8"/>
        <rFont val="Arial"/>
        <family val="2"/>
      </rPr>
      <t>Otros:</t>
    </r>
    <r>
      <rPr>
        <sz val="8"/>
        <rFont val="Arial"/>
        <family val="2"/>
      </rPr>
      <t>N.A</t>
    </r>
  </si>
  <si>
    <t>Que se finalice el plazo del contrato sin la entrega de los productos de factibilidad</t>
  </si>
  <si>
    <r>
      <t xml:space="preserve">1.Demora en la coordinación con las ESP y demás entidades.
2. Demora en la entrega de insumos, conceptos y/o respuestas por parte de las ESP y entidades distritales para el desarrollo de las factibilidades.
3. Demora en la revisión, conceptos y aprobación por parte </t>
    </r>
    <r>
      <rPr>
        <strike/>
        <sz val="8"/>
        <rFont val="Arial"/>
        <family val="2"/>
      </rPr>
      <t xml:space="preserve">fe </t>
    </r>
    <r>
      <rPr>
        <sz val="8"/>
        <rFont val="Arial"/>
        <family val="2"/>
      </rPr>
      <t>de la interventroia.
4.Demora del consultor en los plazos establecidos en el cronograma aprobado por la interventoria.</t>
    </r>
  </si>
  <si>
    <r>
      <t xml:space="preserve">1. Afectación de la programación establecida por el IDU para la Licitación de la Obra y etapas posteriores.
2. Apertura de </t>
    </r>
    <r>
      <rPr>
        <sz val="8"/>
        <rFont val="Arial"/>
        <family val="2"/>
      </rPr>
      <t>procesos de incumplimiento al contratista e interventoría.</t>
    </r>
  </si>
  <si>
    <t xml:space="preserve">
1. Realización de reuniones de seguimiento semanales, entre consultoría, profesional de apoyo a supervisión e interventoría.
2. Aplicación de la guía de Coordinación IDU, ESP YTIC en proyectos de infraestructura de transporte.
3. Reuniones,  mesas de trabajo, y/o visitas a terreno con las ESP y demás Entidades para la coordinación y viabilidad pertinente de los productos. 
4. Elaborar solicitud de concepto a las ESP y demás Entidades Distritales.
5. Aplicación de convenios existentes.
6. Seguimiento y control del cronograma del  proyecto.
7. Aplicación del Manual de Interventoría y/o supervisión de contratos.
8. Aplicación del instructivo de adopción de medidas frente al incumplimiento de los contratos
</t>
  </si>
  <si>
    <t>Durante el periodo el contrato de  IDU-1475/2017 terminó su etapa de factibilidad con todos sus productos terminados y aprobados, con acta N°20 de terminación de la etapa de factibilidad del 17/06/2019, se evidencia la entrega de todos los productos con sus respectivos memorandos de aprobación.</t>
  </si>
  <si>
    <r>
      <t xml:space="preserve">Observaciones ó cambios presentados en:
</t>
    </r>
    <r>
      <rPr>
        <b/>
        <sz val="8"/>
        <rFont val="Arial"/>
        <family val="2"/>
      </rPr>
      <t>Riesgo</t>
    </r>
    <r>
      <rPr>
        <sz val="8"/>
        <rFont val="Arial"/>
        <family val="2"/>
      </rPr>
      <t xml:space="preserve">: Se modifica el riesgo en tu redacción y terminología.
</t>
    </r>
    <r>
      <rPr>
        <b/>
        <sz val="8"/>
        <rFont val="Arial"/>
        <family val="2"/>
      </rPr>
      <t>Causas:</t>
    </r>
    <r>
      <rPr>
        <sz val="8"/>
        <rFont val="Arial"/>
        <family val="2"/>
      </rPr>
      <t xml:space="preserve">Se mantienen las mismas causas
</t>
    </r>
    <r>
      <rPr>
        <b/>
        <sz val="8"/>
        <rFont val="Arial"/>
        <family val="2"/>
      </rPr>
      <t>Consecuencias</t>
    </r>
    <r>
      <rPr>
        <sz val="8"/>
        <rFont val="Arial"/>
        <family val="2"/>
      </rPr>
      <t xml:space="preserve">:Se mantienen las mismas
</t>
    </r>
    <r>
      <rPr>
        <b/>
        <sz val="8"/>
        <rFont val="Arial"/>
        <family val="2"/>
      </rPr>
      <t>Controles:</t>
    </r>
    <r>
      <rPr>
        <sz val="8"/>
        <rFont val="Arial"/>
        <family val="2"/>
      </rPr>
      <t xml:space="preserve"> Se reajustaron de acuerdo al riesgos y a las causas.
</t>
    </r>
    <r>
      <rPr>
        <b/>
        <sz val="8"/>
        <rFont val="Arial"/>
        <family val="2"/>
      </rPr>
      <t>Acciones de contingencia</t>
    </r>
    <r>
      <rPr>
        <sz val="8"/>
        <rFont val="Arial"/>
        <family val="2"/>
      </rPr>
      <t xml:space="preserve">:Se mantienen las mismas.
</t>
    </r>
    <r>
      <rPr>
        <b/>
        <sz val="8"/>
        <rFont val="Arial"/>
        <family val="2"/>
      </rPr>
      <t>Indicador</t>
    </r>
    <r>
      <rPr>
        <sz val="8"/>
        <rFont val="Arial"/>
        <family val="2"/>
      </rPr>
      <t xml:space="preserve">:Se mantiene
</t>
    </r>
    <r>
      <rPr>
        <b/>
        <sz val="8"/>
        <rFont val="Arial"/>
        <family val="2"/>
      </rPr>
      <t>Otros:</t>
    </r>
    <r>
      <rPr>
        <sz val="8"/>
        <rFont val="Arial"/>
        <family val="2"/>
      </rPr>
      <t>N.A</t>
    </r>
  </si>
  <si>
    <t>1. Resolución 34217 de 2015 de  Políticas de seguridad de la información.
2. Boletines informativos vía correo electrónico.
3.  DU-TI-06 Políticas operacionales de tecnologias de informaión y comunicación para el IDU</t>
  </si>
  <si>
    <t>1. Resolución 34217 de 2015 de  Políticas de seguridad de la información
2. Boletines informativos vía correo electrónico.
3.  DU-TI-06 Políticas operacionales de tecnologías de informaión y comunicación para el IDU</t>
  </si>
  <si>
    <t>1. Resolución 34217 de 2015 de  Políticas de seguridad de la información.
2. Boletines informativos vía correo electrónico.
3.  DU-TI-06 Políticas operacionales de tecnologías de información y comunicación para el IDU</t>
  </si>
  <si>
    <t>(No. De Actividades de seguimiento registradas en medios tecnológicos / Total de actividades divulgadas) x 100</t>
  </si>
  <si>
    <r>
      <rPr>
        <b/>
        <i/>
        <sz val="8"/>
        <rFont val="Arial"/>
        <family val="2"/>
      </rPr>
      <t>OBSERVACIONES</t>
    </r>
    <r>
      <rPr>
        <i/>
        <sz val="8"/>
        <rFont val="Arial"/>
        <family val="2"/>
      </rPr>
      <t>: El riesgo N°2 fue eliminado,una vez analizado se evidenció que su enfoque no se representaba como un riesgo, y faltaba claridad en su redacción, de igual manera su aplicación y resultado no evidenciaban el enfoque hacia un riesgo puro.</t>
    </r>
  </si>
  <si>
    <t xml:space="preserve">No se crean nuevos riesgos, se ajustan los existentes a las Observaciones recibidas por la OCI y la OAP. </t>
  </si>
  <si>
    <t>01 de mayo - 30 de agosto</t>
  </si>
  <si>
    <r>
      <t>1. Si depende de un tercero, la DTE solicitará a la dependencia o la entidad correspondiente la información para la actualización del proceso.
2. Si es por insuficiencia de personal, la DTE establecerá estrategias de solución.
3. Si es por inconvenientes con la plataforma tecnológica, la DTE informará a las dependencia</t>
    </r>
    <r>
      <rPr>
        <sz val="8"/>
        <color rgb="FFFF0000"/>
        <rFont val="Arial"/>
        <family val="2"/>
      </rPr>
      <t>s</t>
    </r>
    <r>
      <rPr>
        <sz val="8"/>
        <rFont val="Arial"/>
        <family val="2"/>
      </rPr>
      <t xml:space="preserve"> encargadas, Oficina Asesora de Comunicaciones  - OAC y Subdirección Técnica de Recursos Tecnológicos - STRT.
4. Si es por el no cumplimiento de funciones laborales o actividades contractuales, la DTE informará a la Subdirección Técnica de Recursos Humanos STRH, y a la Dirección Técnica de Gestión Contractual - DTGC. </t>
    </r>
  </si>
  <si>
    <t>1. GEOMATICA
Número de requerimientos atendidos (Sistema de Información Geográfico) / Número de requerimientos recibidos  (Sistema de Información Geográfico)* 100%.
2. ECONOMICO - PRECIOS DE REFERENCIA
(Número de actualizaciones de la base de datos de precios de referencia realizadas/Numero de actualización de la base de datos de precios de referencia programadas) x 100%.
3. DIRECTORIO AMBIENTAL DE PROVEEDORES
(Número de actualizaciones realizadas del Directorio Ambiental de Proveedores) / (Numero de actualizaciones programadas)*100%.
4. INNOVACIÓN - DTE
(Número de documentos técnicos generados o actualizados y publicados) / (Total  de documentos técnicos Programados)*100%.</t>
  </si>
  <si>
    <t>1. GEOMATICA
Calculo del indicador: 195/195) x 100% = 100%
2. ECONOMICO - PRECIOS DE REFERENCIA
Calculo del indicador: 1/1) x 100% = 100%
3. DIRECTORIO AMBIENTAL DE PROVEEDORES
Calculo del indicador: (16/16) x 100% =100%
4. INNOVACIÓN - DTE
Calculo del indicador: (10/10) x 100% =100%</t>
  </si>
  <si>
    <t xml:space="preserve">1. GEOMATICA - Porcentaje de ejecución 100%
Fueron atendidas las solicitudes de reservas y reportes de elementos viales radicadas durante el periodo (195), correspondiente a entidades distritales, empresas de servicios públicos y áreas IDU. 
Fecha de corte: 15 días calendario antes del fin del periodo de evaluación; entendiéndose que lo que se radique después de esta fecha, se evaluará en el siguiente periodo.
2. ECONOMICO - PRECIOS DE REFERENCIA - Porcentaje de ejecución 100%
Se realizaron los procesos de acopio, recolección, validación y consistencia de los precios de la canasta de insumos y análisis de precios unitarios, en su Fase 1, cumpliendo con la meta programada.
3. DIRECTORIO AMBIENTAL DE PROVEEDORES - Porcentaje de ejecución 100%
Se realizaron las 16 actualizaciones del Directorio Ambiental de Proveedores programadas, y se solicitó la publicación del Visor a la Oficina Asesora de Comunicaciones.
4. INNOVACIÓN - DTE - Porcentaje de ejecución 100%
A corte de junio se crearon o actualizaron los siguientes documentos: 
1. Boletín evaluación del riesgo sísmico de puentes.
2. Estadísticas de la malla vial 2018 II.
3. GU-IC-06 Entrega de productos en formato digital de proyectos realizados en la infraestructura de los sistemas de movilidad y espacio público. V2.
4. GU-IC-07 Elaboración de estudios topográficos V 2.
5. Informe contrato 1556 de 2017.
6. IN-IC-06 Inspección básica de puentes.
7. IN-IC-07 Validación modificación e incorporación de la información de diagnóstico pavimentos en SIGIDU.
8. IN-IC-08 Reserva IDU elementos malla vial espacio público y puentes.
9. Perfiles viales POT - Construcción BD 2018 II y mano de obra 2019.
10. SIIPVIALES 2018 II.
</t>
  </si>
  <si>
    <t xml:space="preserve">Observaciones ó cambios presentados en:
Riesgo: Se mantiene igual.
Causas: Se mantiene igual.
Consecuencias: Se mantiene igual.
Controles: Se mantiene igual.
Documentación: Se mantiene igual.
Acciones de contingencia: Se mantiene igual.
Formula del indicador: En el número 3 se incluyó la palabra ambiental, el resto se mantiene igual.
Datos y análisis de indicador: Se incluye la información del periodo
</t>
  </si>
  <si>
    <t>Se remitieron 2 correos electrónicos relacionados con seguridad de la información</t>
  </si>
  <si>
    <t xml:space="preserve">La Subdirección Técnica de Recursos Tecnológicos socializó mediante correo electrónico la Declaración de Aplicabilidad SGSI, el 23 de julio de 2019.
La Dirección Técnica Estratégica socializó mediante correo electrónico temas de seguridad de la información, el 29 de agosto de 2019.
</t>
  </si>
  <si>
    <t>Observaciones ó cambios presentados en:
Riesgo: Se mantiene igual.
Causas: Se mantiene igual.
Consecuencias: Se mantiene igual.
Controles: Se mantiene igual.
Documentación: Se mantiene igual.
Acciones de contingencia: Se mantiene igual.
Formula del indicador: Se mantiene igual.
Datos y análisis de indicador: Se incluye la información del periodo</t>
  </si>
  <si>
    <r>
      <t xml:space="preserve">
1. Verificar  la prueba de entrega en la dirección del predio con la fotografía 
2. Realizar seguimiento y control que garantice el cumplimiento de las obligaciones contractuales de la empresa de mensajería 
3. Ubiación de direcciones alternas para el nuevo envío
4. Ubicación física del predio mediante la georrefernciación
</t>
    </r>
    <r>
      <rPr>
        <sz val="8"/>
        <rFont val="Arial"/>
        <family val="2"/>
      </rPr>
      <t xml:space="preserve">
</t>
    </r>
  </si>
  <si>
    <t>1270/1273*100%=100%</t>
  </si>
  <si>
    <t xml:space="preserve">
Teniendo en cuenta las actividades realizadas en la etapa de notificación de la contribución de valorización por el Acuerdo Distrital 724 de 2018 a través de la entrega certificada del acto administrativo de asignación, para el  Eje Zona Industrial, Eje Córdoba, Eje Cedro y el proceso de distribución de las cuentas de cobro para el AC180, AC398, AC 523,  hasta el momento, se ha realizado la entrega  de 371,754 predios, de los cuales 363,732 fueron entregas efectivas y del restante 1273 fueron reportados como dirección incorrecta o no ubicada para todos los acuerdos, de los cuales 1270 fueron  tramitados, para un porcentaje de cumplimiento del 99.7%  y con el fin de garantizar la correcta notificación, se adelantaron  conjuntamente con la empresa de correo las siguientes actividades :
*Nuevos intentos en direcciones alternas ubicadas mediante el RUES 
*Georreferenciación (mapas) para ubicación física del predio por sector manzana lote  y nuevos intentos de entrega  
</t>
  </si>
  <si>
    <t>Observaciones ó cambios presentados en:
Riesgo: Se ajusta el riesgo
Causas: Se ajustan
consecuencias: siguen igual
Controles: Se realizan ajustes
Acciones de contingencia: Permanecen igual
Indicador: se ajusta
Otros:</t>
  </si>
  <si>
    <t>Para el período comprendido entre mayo y agosto de 2019 la STJEF radicó en el sistema valoricemos 2.441 recursos de reconsideración, los cuales tienen auto admisorio y/o inadmisorio, por lo tanto todos a la fecha se encuentran con la sustanciación al día.</t>
  </si>
  <si>
    <t>La STJEF para el 31 de agosto contaba con 19.822 procesos de cobro coactivo, y una vez verificado los procesos mes a mes se ha evidenciado que todos tienen gestión.</t>
  </si>
  <si>
    <t xml:space="preserve">FO CO 193 - En el cuatrimestre se recibieron 302 solicitudes externas, las cuales fueron tramitadas satisfactoriamente y se dieron respuesta en su totalidad. 
Mensualmente están divididas así: 
Mayo 49
Junio 66
Julio 157
Agosto: 73
Total: 345
FO CO 02 Y Correo -Piezas de divulgación solicitadas y tramitadas
Mayo 18
Junio 13
Julio 9
Agosto: 12
</t>
  </si>
  <si>
    <r>
      <rPr>
        <b/>
        <u/>
        <sz val="9"/>
        <rFont val="Arial Unicode MS"/>
        <family val="2"/>
      </rPr>
      <t>Riesgo:</t>
    </r>
    <r>
      <rPr>
        <sz val="9"/>
        <rFont val="Arial Unicode MS"/>
        <family val="2"/>
      </rPr>
      <t xml:space="preserve"> Se mantiene el riesgo
</t>
    </r>
    <r>
      <rPr>
        <b/>
        <u/>
        <sz val="9"/>
        <rFont val="Arial Unicode MS"/>
        <family val="2"/>
      </rPr>
      <t xml:space="preserve">
Causas:</t>
    </r>
    <r>
      <rPr>
        <sz val="9"/>
        <rFont val="Arial Unicode MS"/>
        <family val="2"/>
      </rPr>
      <t xml:space="preserve"> Al revisar las causas establecidas, éstas continúan. No se identificaron nuevas causas.
</t>
    </r>
    <r>
      <rPr>
        <b/>
        <u/>
        <sz val="9"/>
        <rFont val="Arial Unicode MS"/>
        <family val="2"/>
      </rPr>
      <t xml:space="preserve">
Controles: </t>
    </r>
    <r>
      <rPr>
        <sz val="9"/>
        <rFont val="Arial Unicode MS"/>
        <family val="2"/>
      </rPr>
      <t xml:space="preserve">Revisados los controles, estos se mantienen, se llevan a cabo y son tenidos en cuenta para las actividades relacionadas que se desarrollan en el área.
</t>
    </r>
    <r>
      <rPr>
        <b/>
        <u/>
        <sz val="9"/>
        <rFont val="Arial Unicode MS"/>
        <family val="2"/>
      </rPr>
      <t>Acciones asociadas:</t>
    </r>
    <r>
      <rPr>
        <sz val="9"/>
        <rFont val="Arial Unicode MS"/>
        <family val="2"/>
      </rPr>
      <t xml:space="preserve"> Para el periodo analizado se revisaron seis (6) informes de visita de seguimiento, con el fin de revisar los daños encontrados de los siguientes contratos:
1. IDU-1717/14 Visita de seguimiento # 2 de Mayo 6 de 2019.
2. IDU-1722/13 Visita de seguimiento # 6 de Julio 17 de 2019.
3. IDU-1346/14 Visita de seguimiento # 2 de Mayo 9 de 2019.
4. Urb 198/15 Visita de seguimiento # 10 de Junio 14 de 2019.
5. IDU-945/13 Visita de seguimiento # 6 de Agosto 5 de 2019.
6. IDU-1680/14 Visita de seguimiento # 3 de Junio 11 de 2019.
Los soportes se encuentran en la carpeta de los contratos.</t>
    </r>
  </si>
  <si>
    <r>
      <rPr>
        <b/>
        <sz val="9"/>
        <rFont val="Arial Unicode MS"/>
        <family val="2"/>
      </rPr>
      <t>Ejecutado: 6 / 6 = 100%</t>
    </r>
    <r>
      <rPr>
        <sz val="9"/>
        <rFont val="Arial Unicode MS"/>
        <family val="2"/>
      </rPr>
      <t xml:space="preserve">
Acorde con lo programado, se efectuó la revisión de seis (6) informes de visita de recibo de reparaciones del espacio público (FO-AI-047) de licencias otorgadas en el  2018 y 2019, encontrando que para el 16% de los recibos, el beneficiario no cumplió con las especificaciones técnicas, mientras que para el 84% de los recibos, el beneficiario cumplió con las especificaciones técnicas.
Con esto podemos evidenciar que los controles establecidos son efectivos, lo que nos permitió alcanzar el 100% de control.</t>
    </r>
  </si>
  <si>
    <r>
      <rPr>
        <b/>
        <u/>
        <sz val="9"/>
        <rFont val="Arial Unicode MS"/>
        <family val="2"/>
      </rPr>
      <t>Riesgo</t>
    </r>
    <r>
      <rPr>
        <sz val="9"/>
        <rFont val="Arial Unicode MS"/>
        <family val="2"/>
      </rPr>
      <t xml:space="preserve">: Se mantiene el riesgo.
</t>
    </r>
    <r>
      <rPr>
        <b/>
        <u/>
        <sz val="9"/>
        <rFont val="Arial Unicode MS"/>
        <family val="2"/>
      </rPr>
      <t xml:space="preserve">
Causas:</t>
    </r>
    <r>
      <rPr>
        <sz val="9"/>
        <rFont val="Arial Unicode MS"/>
        <family val="2"/>
      </rPr>
      <t xml:space="preserve"> No se identificaron nuevas causas.
</t>
    </r>
    <r>
      <rPr>
        <b/>
        <u/>
        <sz val="9"/>
        <rFont val="Arial Unicode MS"/>
        <family val="2"/>
      </rPr>
      <t xml:space="preserve">
Controles:</t>
    </r>
    <r>
      <rPr>
        <sz val="9"/>
        <rFont val="Arial Unicode MS"/>
        <family val="2"/>
      </rPr>
      <t xml:space="preserve"> Los controles se siguen efectuando.
</t>
    </r>
    <r>
      <rPr>
        <b/>
        <u/>
        <sz val="9"/>
        <rFont val="Arial Unicode MS"/>
        <family val="2"/>
      </rPr>
      <t>Acciones asociadas</t>
    </r>
    <r>
      <rPr>
        <sz val="9"/>
        <rFont val="Arial Unicode MS"/>
        <family val="2"/>
      </rPr>
      <t>: Para el periodo analizado se revisaron seis (6) informes de visita a espacio público intervenido con licencia, así:
a. LE-029-2019          e. LE-451-2018
b. LE-145-2018          f. LE-032-2018 
c. LE-431-2018          d. LE-123-2018     
La información puede ser verificada tanto en los expedientes de cada Licencia, como en los aplicativos dispuestos para tal fin en la DTAI.</t>
    </r>
  </si>
  <si>
    <t>Álvaro Reinoso</t>
  </si>
  <si>
    <r>
      <rPr>
        <b/>
        <u/>
        <sz val="9"/>
        <rFont val="Arial Unicode MS"/>
        <family val="2"/>
      </rPr>
      <t xml:space="preserve">Riesgo: </t>
    </r>
    <r>
      <rPr>
        <sz val="9"/>
        <rFont val="Arial Unicode MS"/>
        <family val="2"/>
      </rPr>
      <t xml:space="preserve">Se mantiene el riesgo.
</t>
    </r>
    <r>
      <rPr>
        <b/>
        <u/>
        <sz val="9"/>
        <rFont val="Arial Unicode MS"/>
        <family val="2"/>
      </rPr>
      <t>Causas:</t>
    </r>
    <r>
      <rPr>
        <sz val="9"/>
        <rFont val="Arial Unicode MS"/>
        <family val="2"/>
      </rPr>
      <t xml:space="preserve"> No se identificaron nuevas causas.
</t>
    </r>
    <r>
      <rPr>
        <b/>
        <u/>
        <sz val="9"/>
        <rFont val="Arial Unicode MS"/>
        <family val="2"/>
      </rPr>
      <t>Controles:</t>
    </r>
    <r>
      <rPr>
        <b/>
        <sz val="9"/>
        <rFont val="Arial Unicode MS"/>
        <family val="2"/>
      </rPr>
      <t xml:space="preserve"> </t>
    </r>
    <r>
      <rPr>
        <sz val="9"/>
        <rFont val="Arial Unicode MS"/>
        <family val="2"/>
      </rPr>
      <t xml:space="preserve">Los controles se siguen efectuando.
</t>
    </r>
    <r>
      <rPr>
        <b/>
        <u/>
        <sz val="9"/>
        <rFont val="Arial Unicode MS"/>
        <family val="2"/>
      </rPr>
      <t>Acciones asociadas</t>
    </r>
    <r>
      <rPr>
        <sz val="9"/>
        <rFont val="Arial Unicode MS"/>
        <family val="2"/>
      </rPr>
      <t>: Para el periodo analizado se revisaron los expedientes físicos de seis (6) tramites de expedición de licencia de excavación, así:
a. LE-135-2019          d. LE-270-2019
b. LE-096-2019          e. LE-148-2019     
c. LE-124-2019            f. LE-272-2019
La información puede ser verificada tanto en los expedientes de cada Licencia, como en los aplicativos dispuestos para tal fin en la DTAI.</t>
    </r>
  </si>
  <si>
    <r>
      <rPr>
        <b/>
        <sz val="9"/>
        <rFont val="Arial Unicode MS"/>
        <family val="2"/>
      </rPr>
      <t>Ejecutado: 8 / 8 = 100%</t>
    </r>
    <r>
      <rPr>
        <sz val="9"/>
        <rFont val="Arial Unicode MS"/>
        <family val="2"/>
      </rPr>
      <t xml:space="preserve">
na vez revisadas ocho (8) solicitudes de acuerdo con lo programado, se encontró que el 37,5% cumplía con los requisitos exigidos por tanto se otorgó el permiso correspondiente para el uso temporal del espacio público, mientras que el 62,5% restante no cumplía con los requisitos exigidos para el uso temporal del espacio público, por tanto fueron negadas dichas solicitudes.
Así las cosas, se puede evidenciar que el control establecido es efectivo, lo que nos permitió alcanzar el 100% de control.</t>
    </r>
  </si>
  <si>
    <r>
      <rPr>
        <b/>
        <u/>
        <sz val="9"/>
        <rFont val="Arial Unicode MS"/>
        <family val="2"/>
      </rPr>
      <t>Riesgo</t>
    </r>
    <r>
      <rPr>
        <sz val="9"/>
        <rFont val="Arial Unicode MS"/>
        <family val="2"/>
      </rPr>
      <t xml:space="preserve">: Se mantiene el riesgo.
</t>
    </r>
    <r>
      <rPr>
        <b/>
        <u/>
        <sz val="9"/>
        <rFont val="Arial Unicode MS"/>
        <family val="2"/>
      </rPr>
      <t>Causas</t>
    </r>
    <r>
      <rPr>
        <sz val="9"/>
        <rFont val="Arial Unicode MS"/>
        <family val="2"/>
      </rPr>
      <t xml:space="preserve">: No se identificaron nuevas causas.
</t>
    </r>
    <r>
      <rPr>
        <b/>
        <u/>
        <sz val="9"/>
        <rFont val="Arial Unicode MS"/>
        <family val="2"/>
      </rPr>
      <t>Controles</t>
    </r>
    <r>
      <rPr>
        <sz val="9"/>
        <rFont val="Arial Unicode MS"/>
        <family val="2"/>
      </rPr>
      <t xml:space="preserve">: Los controles se siguen efectuando.
</t>
    </r>
    <r>
      <rPr>
        <b/>
        <u/>
        <sz val="9"/>
        <rFont val="Arial Unicode MS"/>
        <family val="2"/>
      </rPr>
      <t>Acciones asociadas</t>
    </r>
    <r>
      <rPr>
        <sz val="9"/>
        <rFont val="Arial Unicode MS"/>
        <family val="2"/>
      </rPr>
      <t>:  Para el periodo analizado, se revisaron ocho (8) solicitudes de uso temporal de espacio público, las cuales fueron radicadas mediante oficios 20195260623962, 20195260636352, 20195260710512, 20195260760992, 20195260803662, 20195260859912, 20195260948902 y 20195260948292.
La información puede ser verificada en Orfeo.</t>
    </r>
  </si>
  <si>
    <t>01 de Mayo de 2019 al 31 de Agosto de 2019</t>
  </si>
  <si>
    <t>1. Aplicar el Manual de Interventoría y/o Supervisión de contratos.
2. Aplicar el procedimiento Cambio de Estudios y Diseños aprobados en etapa de Construcción y/o Conservación"
3. aplicar la guía "Coordinación IDU, ESP y TIC EN PROYECTOS DE INFRAESTRUCTURA DE TRANSPORTE"
4. Dar aplicación a los convenios Suscritos con  las ESP.
5. Evitar nuevas solicitudes de obras en los comités con TM, ESP y otras Entidades</t>
  </si>
  <si>
    <t>Observaciones o cambios presentados en:
Riesgo: continúan los mismos
Causas: continúan las mismas
consecuencias: continúan las mismas
Controles: continúan los mismos ( Se ajusta la redacción relacionada con los controles del manual de interventoría)
Acciones de contingencia: continúan las mismas
Indicador: continua el mismo</t>
  </si>
  <si>
    <t>1. Aplicar el Manual de Interventoría y/o Supervisión de contratos. 
2. Diligenciar el formato  Plan de Inversión del Anticipo.
3. Aplicar la guía de pago a terceros. 
4. Exigir las Pólizas de cumplimiento de los contratos.
5. Utilizar los mecanismos de Fiducia.
6. Aplicar lo establecido en los Contratos (valores y  condiciones de pago y amortización del anticipo).</t>
  </si>
  <si>
    <t>1. Oficios de aprobación de la interventoría de los informes de plan de manejo del  anticipo.
2. Formato Plan de Inversión del Anticipo.
3. Contrato de Fiducia entre el contratista y la Fiducia.
4. Informes mensuales del manejo de Anticipo.
5. Póliza Aprobada de Buen manejo de anticipo.</t>
  </si>
  <si>
    <t xml:space="preserve">Para el periodo comprendido entre los meses de mayo a agosto de 2019 no se ha girado anticipados </t>
  </si>
  <si>
    <t>1. Aplicar el Manual de Interventoría y/o Supervisión de contratos 
2. verificar los Ítems No Previstos en el Listado de precios del IDU.
3. Verificar las Cotizaciones.
4. verificar la aprobación de los APUS por parte de la interventoría. 
5. Realizar mesas de trabajo.
6. comunicación de no objeción por parte del IDU de los APUS
7. Revisión de los Ítems No previstos del grupo de APU's de la DTC</t>
  </si>
  <si>
    <t>2287/ 2287 x 100%
100%</t>
  </si>
  <si>
    <t>De los 2287 APUS, registrados para revisión fueron devueltos un total de 1046 APUS, por no cumplir con los requisitos establecidos.
Los APU´S fueron devueltos con los siguientes oficios:  2019346066741,20193360446621,20193360477621,20193360520541,20193360560241,20193360580051,20193360604151,20193360625991,20193360643281,20193360644341,20193360652981,20193360672391,20193360677131,20193360699971,20193360711641,20193360745151,20193360748491,20193360748581,20193360772041,20193360776631,20193360782791,20193360794381,20193360840241,20193360852081,20193360857161,20193360857191,20193360874521,20193360895011,20193360919411,20193360919421,20193360919461,20193360919501,20193360924541,20193460477641,20193460570371,20193460570381,20193460630721</t>
  </si>
  <si>
    <t>1. Aplicación del Manual de Interventoría y/o Supervisión de contratos.
2. Aplicar lo establecido en los Contratos.
3. Aplicar lo establecido en el  Manual de Gestión Contractual.
4. Acta de mayores cantidades debidamente soportadas.
5. Memoria de calculo de Cantidades.</t>
  </si>
  <si>
    <t># de Solicitudes de mayores cantidades de obra son revisados o que se encuentran en revisión / # de solicitudes de mayores cantidades de obra que llegan para revisión 100%.</t>
  </si>
  <si>
    <t>1. Aplicar el Manual de Interventoría y/o Supervisión de contratos 
2. Aplicar la guía de pago a terceros. 
3. Aplicar lo establecido en los Contratos.
4. Aplicar lo estaManual de Gestión Contractual.
5. Revision de los Informes semanales y mensuales de Interventoría.
6. Verificar la aplicacion por parte de la Interventoría del cumplimiento de las Especificaciones Técnicas del IDU.
7.Revisión de las actas de recibo parcial y/o final.
8. Aplicar el proceso sancionatorio cuando sea requerido.</t>
  </si>
  <si>
    <t xml:space="preserve"> # de contratos con  actas de recibo parcial y/o final con el cumplimiento de los requisitos / # de contratos con actas de recibo parcial y/o final tramitadas x 100%</t>
  </si>
  <si>
    <t>16/16 x 100%
100%</t>
  </si>
  <si>
    <t>Se tramitaron actas de recibo parcial y/o final de los contratos  IDU-1347-2014, IDU-1492-2017, IDU-1500-2017, IDU-1521-2017, IDU-1543-2017, IDU-1550-2017, IDU-1725-2014, IDU-1746-2014, IDU-1828-2015, IDU-1835-2014, IDU-1838-2015, IDU-1843-2015, IDU-1851-2015, IDU-420-2015, IDU-714-2014, IDU-933-2016 todas cumplieron con los requisitos establecidos.</t>
  </si>
  <si>
    <t>Mayo - Agosto 2019</t>
  </si>
  <si>
    <t>Número de proyectos que iniciarion el plazo contractual de la Etapa de ejecución de obra / Numero de proyectos que suscribierion acta de cambio de etapa ó terminaron anticipadamente sin ejecucion de obra.</t>
  </si>
  <si>
    <t>En el trimestre,ningun contrato cambio de etapa de Estudios y diseños a obra. Ampliacion de estaciones Verificar.</t>
  </si>
  <si>
    <t>1. Posibles investigaciones administrativas y disciplinarias por parte de los entes de control.
2. Demoras en la entrega de las obras a la comunidad.
3. Perjuicios ocasionados a terceros.
4. Posibles demandas y reclamaciones.
5. Mala imagen para el IDU.
6. Finalización del Contrato sin la entrega de total de la obra.
7.  Perjuicios ocasionados  por desequilibro económico del contratista y/o del Interventor.
8. Desfinanciación de otros proyectos.
9. Finalización del Contrato sin la entrega total de la obra.</t>
  </si>
  <si>
    <t>1/1 x 100%</t>
  </si>
  <si>
    <t>En el marco del proyecto puente vehicular de la Av. San Antonio por Av. Boyaca.
Se generaron durante el periodo de mayo-junio-julio-agosto de 2019, 3 comunicados dirigidos a la DTGC indicando los PAS como los siguientes:  mediante comunicación 20195260798162 del 03 de julio de 2019 al cual se le dio alcance mediante oficio 20195260879512 del 23 de julio de 2019, radicó en el Instituto el informe técnico consolidado de presunto incumplimiento contractual y solicitando el inicio de un PAS por los siguientes presuntos incumplimientos: I. NO TERMINACIÓN DEL 100% DE LA META FÍSICA CONTRATADA A LA TERMINACIÓN DEL PLAZO DE EJECUCIÓN DEL CONTRATO. II. EJECUCIÓN DE OBRAS SIN ESTUDIOS Y DISEÑOS COMPLETOS Y SIN EL CUMPLIMIENTO DE LOS REQUISITOS DE CALIDAD ESTABLECIDOS EN EL CONTRATO Y LA NORMATIVIDAD TÉCNICA APLICABLE. III. NO ATENCIÓN DEFINITIVA DE LAS SOLICITUDES EFECTUADAS POR LA INTERVENTORÍA Y/O EL IDU, EN RELACIÓN CON LOS ASPECTOS SST DEL CONTRATO.  La DTGC mediante comunicación 2019 4350832021 del 13 de agosto de 2019, efectuó citación al Consorcio Infraestructura Puente 183 como contratista de obra, al inicio de la Audiencia dentro del PAS por el presunto incumplimiento del contrato 1838 de 2015. Citación que fue programada inicialmente para el 22 de agosto de 2019 y posteriormente reprogramada para el 2 de septiembre de 2019. El 2 de septiembre de 2019, se dio inicio a la Audiencia en mención, siendo suspendida en dicha fecha y programada su continuación para el próximo 12 de septiembre de 2019.</t>
  </si>
  <si>
    <t>El contrato fue terminado y a lafecha se encuentra en funcionamiento</t>
  </si>
  <si>
    <t>Si</t>
  </si>
  <si>
    <t>NO TERMINACIÓN DEL 100% DE LA META FÍSICA CONTRATADA A LA TERMINACIÓN DEL PLAZO DE EJECUCIÓN DEL CONTRATO.</t>
  </si>
  <si>
    <t>Demora en la entrega de la obra</t>
  </si>
  <si>
    <t xml:space="preserve">Realizar seguimiento al sancionatorio </t>
  </si>
  <si>
    <t>STEST - STESV - DTC - SGI - INTERVENTORÍA</t>
  </si>
  <si>
    <t>Se evidencia en el ZIPA, los cargues de información de todos los proyectos a cargo de la DTC que se encuentran en ejecución, los proyectos son los siguientes: 
AV. MUTIS ( PUENTE SOBRE LA AV.BOYACA)
AV. FERROCARRIL
PEATONALIZACION SEPTIMA FASE II
AV. RINCON TABOR
ESPACIO PUBLICO - ACCIONES POPULARES
CABLE AEREO
AV. SAN ANTONIO - AUTOPISTA -BOYACA
TALUD AMAPOLAS
REDES PEATONALES ZONA ROSA
REFORZAMIENTO DE PUENTES VEHICULARES GP A
AV. SIRENA-19-9
(AV. RINCÓN E INTERSECCIÓN DE LA AV.RINCON X AV. BOYACÁ)  
INTERSECCION FERROCARRIL
PORTAL AMERICAS 
PORTAL TUNAL
TINTAL ALSACIA GP 1
TINTAL ALSACIA GP 2
TINTAL ALSACIA GP 3
TINTAL ALSACIA GP 4
TINTAL ALSACIA GP 5
PORTAL SUR</t>
  </si>
  <si>
    <t>Comunicaciones enviadas por parte de la DTC en el año / 1 x 100%</t>
  </si>
  <si>
    <t>Se envió por el correo institucional la matriz de cargas con priorización del personal, este reporte ser realizó en trimestre anterior</t>
  </si>
  <si>
    <t>21/21 x 100%
100%</t>
  </si>
  <si>
    <t>Se realizaron visitas y reuniones en  todos los contratos que se ejecutan en fase de Construcción en la DTC: los proyectos son los siguientes:
AV. MUTIS ( PUENTE SOBRE LA AV.BOYACA)
AV. FERROCARRIL
PEATONALIZACION SEPTIMA FASE II
AV. RINCON TABOR
ESPACIO PUBLICO - ACCIONES POPULARES
CABLE AEREO
AV. SAN ANTONIO - AUTOPISTA -BOYACA
TALUD AMAPOLAS
REDES PEATONALES ZONA ROSA
REFORZAMIENTO DE PUENTES VEHICULARES GP A
AV. SIRENA-19-9
(AV. RINCÓN E INTERSECCIÓN DE LA AV.RINCON X AV. BOYACÁ)  
INTERSECCION FERROCARRIL
PORTAL AMERICAS 
PORTAL TUNAL
TINTAL ALSACIA GP 1
TINTAL ALSACIA GP 2
TINTAL ALSACIA GP 3
TINTAL ALSACIA GP 4
TINTAL ALSACIA GP 5
PORTAL SUR</t>
  </si>
  <si>
    <t>Negativa por  parte del contratista y/o de la Interventoría para suscribir el acta de recibo final de obra y entregas documentales requeridas</t>
  </si>
  <si>
    <t>1. Mesa de trabajo a los 30 días de terminación del contrato o el tiempo establecido en el manual, de seguimiento a la suscripción del acta de recibo de obra.
2. Comunicaciones Oficiales a la Interventoría estableciendo un tiempo para la entrega de alta en el tiempo establecido según mesa de trabajo.
3  Realizar el Procedimiento para la toma de posesión de las obras (hace las veces de acta de recibo). cuando sea necesario
4. Requerimientos formales cuando sea necesarios al contratista y/o interventor , en caso que no los atienda se aplica el procedimiento sancionatorio.</t>
  </si>
  <si>
    <t>1. Comunicaciones e instrucciones, de políticas relacionadas con la seguridad en la información, cada vez que sea necesario.
2.  Política de Escritorio limpio y pantalla despejada que reglamenta, y  el directorio activo que aplica el control.</t>
  </si>
  <si>
    <t>1. Comunicaciones e instrucciones, de políticas relacionadas con la seguridad en la información, cada vez que sea necesario.</t>
  </si>
  <si>
    <t>Acceso no autorizado de visitantes a los sistemas de información o a los documentos fisicos ó digitales</t>
  </si>
  <si>
    <t>1. Comunicaciones e instrucciones, de políticas relacionadas con la seguridad en la información, cada vez que sea necesario..
2. Archivar las actas y demás documentos segun la guía para la gestión Documental de acuerdo con las tablas de retención vigentes, cada vez que sea generado un documento.</t>
  </si>
  <si>
    <t>Disposición de documentos de oficina en sitios no adecuados</t>
  </si>
  <si>
    <t>Se revisan y actualizan las causas, consecuencias, los controles y las formulas de los indicadores segun el acta der reunion del 30 de agosto de 2019.
A continuación se presentan las modificarones realizadas a los riesgos:
Riesgo R4 y Riego R5.
se identifica que una vez analizadas las causas de los riesgos G.EO.04 "Aumento en el tiempo de ejecución de la Obra" y G.EO.05 "Mayor valor de obra al presupuestado inicialmente" se puede identificar que  las causas que se presentan en los dos casos, pueden generar aumento en el tiempo del contrato o aumento en el valor, vale la pena mencionar que el manual de gestion contractual y en la Ley, permiten que en los contratos se pueda generar una prorroga o una adición, es decir que el riesgo se enfocará en el no cumplimiento de los plazos y valor contractual vigente. Por lo tanto se unifican los dos riesgos y se ajusta a la siguiente redacción "No cumplimiento del objeto del proyecto en el plazo y recursos establecidos contractualmente."</t>
  </si>
  <si>
    <t>OBSERVACIONES ANÁLISIS DE SEGUIMIENTO
CORTE AGOSTO 31-2019</t>
  </si>
  <si>
    <t>1 Direccionamiento en la toma de decisiones favoreciendo a partes interesadas.
2 Planes de mejoramiento inocuos.
3. Incumplimiento  de la  Ley 87 de 1993 (objetivos y características del sistema de control Interno).</t>
  </si>
  <si>
    <t>(0 / 50) x100% = 0%</t>
  </si>
  <si>
    <t>A la fecha no se han detectado informes direccionados en el sentido de la descripción del riesgo.</t>
  </si>
  <si>
    <t>Observaciones o cambios presentados en:
Riesgo: Se mantiene
Causas: Se mantienen
consecuencias: Se mantienen
Controles: Operan dentro del proceso.
Acciones de contingencia: Se mantienen
Indicador: Se mantiene
Otros: 1. En Acciones Asociadas al Control:
Se cuenta con un plan de acción general para la implementación de MIPG en consideración a los lineamientos nacionales y distritales y los resultados del FURAG.
2. En Acciones Asociadas al Control, la entidad actualizó el Manual de Administración del Riesgo conforme a los lineamientos del Modelo Integrado de Planeación y Gestión y la Guía para la Administración de los Riesgos de Gestión, Corrupción y Seguridad Digital del DAFP.
3. La OCI está realizando auditorías con enfoque basado en riesgos. Se está realizando seguimiento a los riesgos de gestión y a riesgos de corrupción en el marco del plan anual de auditoría.</t>
  </si>
  <si>
    <t>1. Se identifica que el riesgo y su descripción son vigentes.
2. Se identifica que los controles son vigentes y operan dentro del proceso.
3, No se ha identificado materialización del riesgo.
4. Se consolidan por parte de OCI, las cifras del indicador de alerta con corte al 31 de agosto de 2019.
Otros: 1. En Acciones Asociadas al Control:
Se cuenta con un plan de acción general para la implementación de MIPG en consideración a los lineamientos nacionales y distritales y los resultados del FURAG.
2. En Acciones Asociadas al Control, la entidad actualizó el Manual de Administración del Riesgo conforme a los lineamientos del Modelo Integrado de Planeación y Gestión y la Guía para la Administración de los Riesgos de Gestión, Corrupción y Seguridad Digital del DAFP.
3. La OCI está realizando auditorías con enfoque basado en riesgos. Se está realizando seguimiento a los riesgos de gestión y a riesgos de corrupción en el marco del plan anual de auditoría.</t>
  </si>
  <si>
    <r>
      <t xml:space="preserve">INFORMES EVALUACIONES PERIODO MAYO-AGOSTO/2019:
SEGÚN REPORTE ENVIADO POR NOHRA FORERO Y CONSOLIDACIÓN EN ARCHIVO "PAAI 2019 Datos indicadores monitoreo Riesgos"
1. Mayo/2019 = 10
2. Junio/2019 = 3
3. Julio/2019 = 8
4. Agosto/2019 = 29
</t>
    </r>
    <r>
      <rPr>
        <b/>
        <sz val="11"/>
        <color theme="8" tint="0.59999389629810485"/>
        <rFont val="Calibri"/>
        <family val="2"/>
        <scheme val="minor"/>
      </rPr>
      <t>TOTAL INFORMES SEGUNDO CUATRIMESTRE= 50</t>
    </r>
  </si>
  <si>
    <t>(8 / 8) x100% = 100%</t>
  </si>
  <si>
    <t>A la fecha no se han detectado desviaciones significativas en la oportunidad de entrega de los planes de mejoramiento solicitados por la OCI, derivados de los informes comunicados.</t>
  </si>
  <si>
    <t>1. Se identifica que el riesgo y su descripción son vigentes.
2. Se identifica que los controles son vigentes y operan dentro del proceso.
3, No se ha identificado materialización del riesgo.
4. Se consolidan por parte de OCI, las cifras del indicador de alerta con corte al 31 de agosto de 2019.
Otros: 1. En Acciones Asociadas al Control:
Se cuenta con un plan de acción general para la implementación de MIPG en consideración a los lineamientos nacionales y distritales y los resultados del FURAG.
2. En Acciones Asociadas al Control, la entidad actualizó el Manual de Administración del Riesgo conforme a los lineamientos del Modelo Integrado de Planeación y Gestión y la Guía para la Administración de los Riesgos de Gestión, Corrupción y Seguridad Digital del DAFP.
3. La OCI está realizando auditorías con enfoque basado en riesgos. Se está realizando seguimiento a los riesgos de gestión y a riesgos de corrupción en el marco del plan anual de auditoría</t>
  </si>
  <si>
    <t xml:space="preserve">Se crearon 8 Planes de Mejoramiento en el periodo, conforme a consulta en el CHIE, según archivo "Acciones y Planes M Creadas 01-05-2019 a 30-08-2019"
</t>
  </si>
  <si>
    <t>1 Materialización de riesgos identificados en el proceso u objeto de auditoría
2 Apertura de investigaciones penales o disciplinarias o administrativas.</t>
  </si>
  <si>
    <t>( 0 / 50 ) *100% = 0%</t>
  </si>
  <si>
    <t>1 Inoportunidad en la toma de correctivos
2 Materialización de riesgos identificados en el proceso u objeto de auditoria</t>
  </si>
  <si>
    <t>( 0 / 50 ) * 100% = 0%</t>
  </si>
  <si>
    <t>1. En Acciones Asociadas al Control se requiere conocer el Plan/Avance en la implementación de la dimensión de control interno, por parte de la OAP, como responsable de esta tarea.
2. En Acciones Asociadas al Control se sugiere incluir por parte de OAP la gestión asociada a riesgos, por ejemplo la actualización del Manual de Administración de Riesgos entre otros.
3. Se identifica que el riesgo y su descripción son vigentes.
4. Se identifica que los controles son vigentes y operan dentro del proceso.
5. No se ha identificado materialización del riesgo.
6. Se consolidan por parte de OCI, las cifras del indicador de alerta con corte al 31 de agosto de 2019.</t>
  </si>
  <si>
    <t>Observaciones o cambios presentados en:
Riesgo: Se mantiene
Causas: Se mantienen
consecuencias: Se mantienen.
Controles: Se mantiene
Acciones de contingencia: Se mantiene
Indicador: Se mantiene.
Otros:</t>
  </si>
  <si>
    <t>SEGÚN REPORTE OCD POR CORREO ELECTRÓNICO.</t>
  </si>
  <si>
    <t xml:space="preserve">1. Revisión inicial por parte del abogado de queja y/o expediente al recibirlo por reparto
2. Seguimiento y autocontrol del abogado a cargo
3 Directriz y/o recomendaciones a los abogados de apoyo de la OCD para identificar oportunamente los términos de caducidad y/o prescripción.
</t>
  </si>
  <si>
    <t>( 0 / 56 ) x 100% = 0%</t>
  </si>
  <si>
    <t>Se iniciaron 56 procesos entre el 01/01/2019 a 31/08/2019.
Durante este periodo no se  presentó prescripción o caducidad por falta de acción disciplinaria.</t>
  </si>
  <si>
    <t>56 expedientes abiertos entre el 01/01/2019 a 31/08/2019. en el periodo no se ha perdido ningún expediente</t>
  </si>
  <si>
    <t>Mayo- Agosto-2019</t>
  </si>
  <si>
    <t>Se elaboraron durante el periodo mayo-agosto 2 matrices multicriterio para los proyectos  Puente Peatonal Av Boyacá con Troncal 80 costado sur  y Andenes autonorte.</t>
  </si>
  <si>
    <t>Mediante memorando 20193550072103 se informo a la DTP acerca de la disponibilidad de recursos vigencia 2019 para conservación de malla vial.En consecuencia, con memorandos DTP 20192250070683 y DTP 20192250083933  fueron remitidos a la STRF el original del DTS del programa de conservación de malla vial vigencia 2019 malla vial que soporta rutas SITP. Durante este cuatrimestre el programa de interventoria malla rural e interventoria en brigadas fueron  publicados en pliegos.</t>
  </si>
  <si>
    <t>R=11  Campañas de información en medios tecnológicos/ 11 actividades divulgadas.
100%</t>
  </si>
  <si>
    <t>Se divulgaron 6 actividades sobre seguridad y riesgos de la información, (14/05/2019), actualización de activos (15/5/2019), conferencia seguridad de la información (15 y 16/05/2019), riesgo en la privacidad de la información (22/05/2019) y cambios en las caracteristicas de las contraseñas (30/05/2019), declaración de aplicabilidad SGSI (23/07/2019). Y 5 Flash disciplinarios sobre el código único disciplinario: (10/06/2019) #5, (11/06/2019) #6, (14/06/2019) #7, (25/06/2019) # 8 y el (12/07/2019) #9.</t>
  </si>
  <si>
    <t>R=9 Productos validados/ 9 Productos revisados.
100%</t>
  </si>
  <si>
    <t>Durante el cuatrimestre se revisarón mediante lista de chequeo 9 productos 7 de prefactibilidad ( Interseccion entre la Av. General Santander,Acción Popular No. 2013-00367 Calle 54,Vía provisional Suba - Cota ,Av. Constitución (AK 70),Alameda entre Humedales y Conexión Av. Chile,  Puente San Agustin Calle 49, Patio Zonal Alameda Jardín  ) y 2 de factibilidades(Puente Peatonal Av Boyacá con Troncal 80 costado sur  y Andenes autonorte.)</t>
  </si>
  <si>
    <t>Durante el periodo de mayo- agosto se terminarón (2) factibilidades; (Puente Peatonal Av Boyacá con Troncal 80 costado sur  y Andenes Autonorte.), las cuales cuentan con su lista de chequeo.</t>
  </si>
  <si>
    <t>Durante el periodo de mayo- agosto no se presentaron devoluciones por modificaciones contractuales.</t>
  </si>
  <si>
    <t>MATRIZ RIESGOS DE CORRUPCIÓN</t>
  </si>
  <si>
    <t># Documentos identificados que contienen directrices indebidas y/o que incumplen el tramite de aprobación / # De documentos tramitados * 100%.
(0/30) * 100% = 0%</t>
  </si>
  <si>
    <t>Durante el periodo a reportar mayo a agosto , se tramitaron un total de 30 documentos de los cuales corresponden a actualización o creación de  documentos. Dichas solicitudes fueron tramitadas a través del Sistema de Información Documentada, cumpliendo el flujo de solicitud de cambio y aprobación definidos, razón por la cual, no se evidencia en el periodo  documentos identificados que contengan directrices indebidas y/o que incumplan el tramite de aprobación.</t>
  </si>
  <si>
    <t xml:space="preserve">Observaciones ó cambios presentados en:
Riesgo: Sigue igual
Causas: Siguen igual
Consecuencias:  No cambian
Controles:  No cambian
Acciones de contingencia: Permanecen iguales
Indicador:  No cambia
Otros: No se registraron.
Se evidenció que el riesgo no se materializo. </t>
  </si>
  <si>
    <t>Número de procesos con observaciones que contegan requisitos atípicos / Total de procesos recibidos en el período
 0 / 49 = 0 procesos
Durante el periodo analizado se radicaron  37  procesos de contratación en la DTPS, de los cuales 49 procesos de contratación tuvieron observaciones comunes a los mismos y 0% requisitos atípicos.
Evaluaciones legales finales publicadas / Evaluaciones legales finales programadas según cronogramas
36/36* 100% = 100% de evaluaciones
Para el periodo analizado, se programaron 6 procesos de contratación para ser evaluados, de los cuales se publicó el 100% de todas las evaluaciones legales</t>
  </si>
  <si>
    <t xml:space="preserve">Divulgación de procedimientos de DTPS realizados (presentaciones, correos o memorando)
___________
Divulgación trimestral de políticas y/o  procedimientos de DTPS que incluyan políticas de confidencialidad
19/19 *100 = 100%
Durante el periodo de seguimiento, se realizaron socializaciones al interior del área y se enviaron correos electrónicos  para los integrantes de la DTPS con el fin de dar a conocer directrices generales y  políticas internas de la dependencia .
</t>
  </si>
  <si>
    <t xml:space="preserve">1. Procedimientos estandarizados segun modalidad de selección.
2.  Designación de personal responsable del trámite operativo de las publicaciones en los portales de contración 
</t>
  </si>
  <si>
    <t>Número de procesos con publicación de documentos por fuera de tiempo / Número de procesos con publicación de documentos del periodo
0/59 * 100% = 0%
Publicación oportuna  de 1725 documentos correspondientes a 59 procesos, equivantes a un 100% en publicaciones oportunas</t>
  </si>
  <si>
    <r>
      <t xml:space="preserve">Observaciones ó cambios presentados en:
Riesgo:
Causas:
consecuencias:
Controles: Se modifica el control 2, quedando así:
</t>
    </r>
    <r>
      <rPr>
        <b/>
        <sz val="8"/>
        <color theme="1"/>
        <rFont val="Arial"/>
        <family val="2"/>
      </rPr>
      <t>2.  Designación de personal responsable del seguimiento a las publicaciones en el portal de contratación.</t>
    </r>
    <r>
      <rPr>
        <sz val="8"/>
        <color theme="1"/>
        <rFont val="Arial"/>
        <family val="2"/>
      </rPr>
      <t xml:space="preserve">
</t>
    </r>
    <r>
      <rPr>
        <b/>
        <sz val="8"/>
        <color theme="1"/>
        <rFont val="Arial"/>
        <family val="2"/>
      </rPr>
      <t>Se elimina el control 3</t>
    </r>
    <r>
      <rPr>
        <sz val="8"/>
        <color theme="1"/>
        <rFont val="Arial"/>
        <family val="2"/>
      </rPr>
      <t xml:space="preserve">
Acciones de contingencia:
Indicador:
Otros:</t>
    </r>
  </si>
  <si>
    <t>Se realizó 1  contrato de prestación de servicios profesionales y de apoyo a la gestión en este periodo, el cual tiene la cláusula de confidencialidad de la información.
Adicionalmente, se lleva el control del ingreso de otros funcionarios a la DTPS, con el registro de planillas diarias 
Se lleva el control de los formatos de designación de evaluadores de los procesos asignados durante el periodo</t>
  </si>
  <si>
    <t>Número de contratos suscritos sin el lleno de requisitos / Total de contratos suscritos en el segundo cuatrimestre 2019:
0 / 243* 100% = 0 %
Para el periodo analizado no se evidencia la suscripción de contratos sin el lleno de los requisitos legales.</t>
  </si>
  <si>
    <t>Número de hallazgos u observaciones realizados por entes de control y la OCI de modificaciones contractuales realizadas sin el lleno de requisitos legales en el periodo a reportar = 0 
Los informes presentados por los entes de control en lo corrido del segundo cuatrimestre de la vigencia 2019, no presentan observaciones y/o hallazgos en los cuales se pueda establecer la elaboración de modificaciones contractuales sin el lleno de requisitos legales.</t>
  </si>
  <si>
    <t>Número denuncias, quejas y/o hallazgos u observaciones realizados por funcionarios, ciudadanos o entes de control o de la OCI, sobre inconsistencias de las minutas frente a la documentación del proceso adjudicado = 0
Los informes presentados por los entes de control en lo corrido del segundo cuatrimestre de la vigencia 2019, no presentan observaciones y/o hallazgos en los cuales se pueda establecer la alteración de las condiciones del proceso de selección adjudicado lo cual se evidencie en la minuta. Tampoco se cuenta con denucias  o quejas.</t>
  </si>
  <si>
    <t>Mayo - Agosto de 2019</t>
  </si>
  <si>
    <t>En el cuatrimestre Mayo- Agosto de 2019, no se recepcionaron quejas, denuncias y/o no conformidades de auditoria,  sobre manipulación o divulgación de información de las ofertas realizadas por los bancos para realizar inversiones.</t>
  </si>
  <si>
    <t>No se recepcionaron en los meses de Mayo- Agosto de 2019, quejas, denuncias y/o no conformidades de auditoria,  sobre manipulación de la información en el sistema VALORICEMOS,  en lo referente a aplicación y/o reversión de pagos</t>
  </si>
  <si>
    <t>No se presentó ningún caso de adulteración de documentos, tramite de pagos con documentación incompleta o falsa o violación del derecho al turno, en el cuatrimestre Mayo- Agosto de 2019, para la gestión relacionada con el proceso de Gestión Financiera.</t>
  </si>
  <si>
    <t>No se presentó ningún caso de alteración de la destinación inicial de los recursos, en el cuatrimestre de Mayo- Agosto de 2019, para la gestión relacionada con el proceso de Gestión Financiera.</t>
  </si>
  <si>
    <r>
      <rPr>
        <b/>
        <sz val="8"/>
        <rFont val="Arial"/>
        <family val="2"/>
      </rPr>
      <t>Indique los ajustes realizados en:</t>
    </r>
    <r>
      <rPr>
        <sz val="8"/>
        <rFont val="Arial"/>
        <family val="2"/>
      </rPr>
      <t xml:space="preserve">
</t>
    </r>
    <r>
      <rPr>
        <b/>
        <sz val="8"/>
        <rFont val="Arial"/>
        <family val="2"/>
      </rPr>
      <t>Causas:</t>
    </r>
    <r>
      <rPr>
        <sz val="8"/>
        <rFont val="Arial"/>
        <family val="2"/>
      </rPr>
      <t xml:space="preserve">  Se mantienen en los términos definidos inicialmente.
</t>
    </r>
    <r>
      <rPr>
        <b/>
        <sz val="8"/>
        <rFont val="Arial"/>
        <family val="2"/>
      </rPr>
      <t>Riesgo:</t>
    </r>
    <r>
      <rPr>
        <sz val="8"/>
        <rFont val="Arial"/>
        <family val="2"/>
      </rPr>
      <t xml:space="preserve">  El riesgo no se ha materializado y se mantiene en los términos iniciales.
</t>
    </r>
    <r>
      <rPr>
        <b/>
        <sz val="8"/>
        <rFont val="Arial"/>
        <family val="2"/>
      </rPr>
      <t>Consecuencias</t>
    </r>
    <r>
      <rPr>
        <sz val="8"/>
        <rFont val="Arial"/>
        <family val="2"/>
      </rPr>
      <t xml:space="preserve">: Se mantienen en los términos iniciales.
</t>
    </r>
    <r>
      <rPr>
        <b/>
        <sz val="8"/>
        <rFont val="Arial"/>
        <family val="2"/>
      </rPr>
      <t>Controles</t>
    </r>
    <r>
      <rPr>
        <sz val="8"/>
        <rFont val="Arial"/>
        <family val="2"/>
      </rPr>
      <t xml:space="preserve">: Se mantienen en los términos definidos inicialmente.
</t>
    </r>
    <r>
      <rPr>
        <b/>
        <sz val="8"/>
        <rFont val="Arial"/>
        <family val="2"/>
      </rPr>
      <t>Acciones Asociadas al Control</t>
    </r>
    <r>
      <rPr>
        <sz val="8"/>
        <rFont val="Arial"/>
        <family val="2"/>
      </rPr>
      <t>: Se ajusta  la redacción de la acción No. 2. Las demás acciones se mantienen en los términos iniciales.</t>
    </r>
    <r>
      <rPr>
        <sz val="8"/>
        <color indexed="10"/>
        <rFont val="Arial"/>
        <family val="2"/>
      </rPr>
      <t xml:space="preserve"> </t>
    </r>
    <r>
      <rPr>
        <sz val="8"/>
        <rFont val="Arial"/>
        <family val="2"/>
      </rPr>
      <t xml:space="preserve">
</t>
    </r>
    <r>
      <rPr>
        <b/>
        <sz val="8"/>
        <rFont val="Arial"/>
        <family val="2"/>
      </rPr>
      <t xml:space="preserve">
Registro</t>
    </r>
    <r>
      <rPr>
        <sz val="8"/>
        <rFont val="Arial"/>
        <family val="2"/>
      </rPr>
      <t xml:space="preserve">: Se ajusta la redacción del registro No. 1. Los demás registros se mantienen en los términos definidos inicialmente.
</t>
    </r>
    <r>
      <rPr>
        <b/>
        <sz val="8"/>
        <rFont val="Arial"/>
        <family val="2"/>
      </rPr>
      <t>Acciones de Respuesta y/o Contingencia</t>
    </r>
    <r>
      <rPr>
        <sz val="8"/>
        <rFont val="Arial"/>
        <family val="2"/>
      </rPr>
      <t xml:space="preserve">: Se mantienen en los términos definidos inicialmente.
</t>
    </r>
    <r>
      <rPr>
        <b/>
        <sz val="8"/>
        <rFont val="Arial"/>
        <family val="2"/>
      </rPr>
      <t xml:space="preserve">
Indicadores:</t>
    </r>
    <r>
      <rPr>
        <sz val="8"/>
        <rFont val="Arial"/>
        <family val="2"/>
      </rPr>
      <t xml:space="preserve"> Se mantiene la fórmula en concordancia con las alertas del riesgo y se actualiza el resultado para el periodo mayo-agosto  de 2019.
</t>
    </r>
  </si>
  <si>
    <t>1. Actas de reunión, correos electrónicos, ayudas de memoria y/o listas de asistencia vigentes.
2. Oficios de requerimientos.
3. Actos Administrativos emitidos por la SDP y Actas de Compromiso emitidas por la SDM.
4. Informes de seguimiento convenios o acuerdos suscritos.
5. Convenios o acuerdos suscritos.</t>
  </si>
  <si>
    <t>1. Participación y asistencia a comités sectoriales e intersectoriales  y/o mesas de reunión  por parte de los funcionarios  delegados y con la experticia  especifica en los  temas asociados a los convenios o acuerdos para velar por el cumplimiento de la normatividad vigente, funciones y competencias de las entidades que participan en los proyectos de infraestructura.
2. Generar los reportes de seguimiento y control a la ejecución de los convenios o acuerdos vigentes con ESP, Entidades Públicas del Orden Nacional, Territorial y Privados.
3. Identificación y aplicación de propuestas de mejora para la implementación de nuevos convenios, como resultado del seguimiento efectuado a los convenios vigentes.
4. Se realiza sensibilización a personal interno y externo del  IDU   (funcionarios, contratistas, consultores, interventores, etc.) de los compromisos u obligaciones a cargo de las ESP, Entidades Públicas del Orden Nacional, Territorial y Privados y de la normatividad vigente al interior del IDU.</t>
  </si>
  <si>
    <r>
      <t xml:space="preserve">Que por omisión o extralimitación de competencias, se realice la estructuración y seguimiento de convenios o acuerdos, en beneficio de </t>
    </r>
    <r>
      <rPr>
        <b/>
        <sz val="8"/>
        <rFont val="Arial"/>
        <family val="2"/>
      </rPr>
      <t>intereses particulares.</t>
    </r>
  </si>
  <si>
    <t>Agosto 20 de 2019</t>
  </si>
  <si>
    <t>Observaciones ó cambios presentados en:
Riesgo: Sin modificación
Causas: Sin modificación
consecuencias: Sin modificación
Controles: Sin modificación
Acciones de contingencia: Se mantienen
Indicador: Se mantiene
Otros:</t>
  </si>
  <si>
    <t>01 de mayo al 31 de agosto de 2019</t>
  </si>
  <si>
    <t xml:space="preserve">Frente al total de predios objeto del proceso de adquisición predial, no se reportaron ante la DTDP incidentes de pérdida de confidencialidad </t>
  </si>
  <si>
    <t>Frente a la formulación del riesgo no se han identificado ajustes</t>
  </si>
  <si>
    <t>Frente al total de predios objeto del proceso de adquisición predial, no se reportaron ante la DTDP incidentes de favorecimiento a terceros</t>
  </si>
  <si>
    <t>Se realizaron en el segundo cuatrimestre de 2019; 1602 encuestas que evaluan la satisfacción por la atención en los diferentes canales de la entidad, asi como en el evento organizado con urbanizadores, de la siguiente forma:
Pntos Idu:230,  PQRS: 392, Trámite de Valorización (incluyendo Cades y Supercades): 821, Tramites de urbanizadores: 119.</t>
  </si>
  <si>
    <t>(0/421)*100 = 0%</t>
  </si>
  <si>
    <t>No se han presentado casos en que los candidatos a posesionarse o servidores de  planta del Instituto aporten títulos de educación formal falsos, en el período comprendido entre mayo a agosto de 2019</t>
  </si>
  <si>
    <t>NA</t>
  </si>
  <si>
    <t>No se han alterado las bases de datos de la información asociada a la nómina beneficiando y/o afectando a un servidor, en el período comprendido entre mayo a agosto de 2019</t>
  </si>
  <si>
    <t>Que por omisión o por presiones internas o externas, se incluyan en las especificaciones técnicas generales de materiales y construcción IDU-ET o documentos técnicos, productos, técnicas o tecnologías, con el ánimo de favorecer un particular.</t>
  </si>
  <si>
    <t xml:space="preserve">1. Aplicación del protocolo (Instructivo IN-IC-019) para la presentación de productos, técnicas  o tecnologías innovadoras. (ORFEO)  
2. Generación de mesas de trabajo o solicitudes con interesados internos.    
3. Actualización de la documentación o secciones de la especificación IDU-ET. 
</t>
  </si>
  <si>
    <t>1. FOIC16 Presentación de un producto técnica o tecnología innovador.
2. FOIC15 Carta presentación.
3. FOIC17 Inspección visual a un tramo testigo o de prueba.
4. FOIC18 Evaluación precalificación de producto técnica o tecnología innovadora.
5. Oficios y memorandos (ORFEO).
6. Actas o lista de asistencia.
7. Correo electrónico institucional.
8. Acto administrativo - especificaciones técnicas.
9. IN-IC-019 Instructivo para la presentación de productos, Técnicas o tecnologías innovadoras</t>
  </si>
  <si>
    <r>
      <rPr>
        <b/>
        <sz val="8"/>
        <rFont val="Arial"/>
        <family val="2"/>
      </rPr>
      <t>Indicador No. 1</t>
    </r>
    <r>
      <rPr>
        <sz val="8"/>
        <rFont val="Arial"/>
        <family val="2"/>
      </rPr>
      <t xml:space="preserve">
Calculo del indicador:  6/6 x 100 = 100%
</t>
    </r>
    <r>
      <rPr>
        <b/>
        <sz val="8"/>
        <rFont val="Arial"/>
        <family val="2"/>
      </rPr>
      <t>Indicador No. 2</t>
    </r>
    <r>
      <rPr>
        <sz val="8"/>
        <rFont val="Arial"/>
        <family val="2"/>
      </rPr>
      <t xml:space="preserve">
No se generaron o actualizaron secciones de especificaciones o documentos técnicos durante el periodo
</t>
    </r>
  </si>
  <si>
    <r>
      <rPr>
        <b/>
        <sz val="8"/>
        <rFont val="Arial"/>
        <family val="2"/>
      </rPr>
      <t>Indicador No. 1 -</t>
    </r>
    <r>
      <rPr>
        <sz val="8"/>
        <rFont val="Arial"/>
        <family val="2"/>
      </rPr>
      <t xml:space="preserve"> Se obtuvo un porcentaje de ejecución del 100%
Se atendieron las propuestas radicadas (3), las cuales se relacionan a continuación:
* ARITREC: Tema - Barras de polímero compuesto reforzadas con fibra de vidrio.  Intención - tramo de prueba.  Oficio de entrada 20195260524672 del 03/05/2019, Oficio de respuesta 20192150388871 del 10/05/2019, con observaciones.
* ARITREC: Tema - Barras de polímero compuesto reforzadas con fibra de vidrio.  Intención - transferencia de conocimiento. Oficio de entrada  20195260782662 del 28/06/2019. Oficio de respuesta 20192150659621 del 04/07/2019, se le informa que es procedente la transferencia de conocimiento.
* ICTIS: Tema - Tecnologías sin zanja. Intención transferencia de conocimiento. Oficio de entrada 20195260688832 del 05/06/2019. Oficio de respuesta 20192150553211 del 10/06/2019, con observaciones.
* ICTIS: Tema - Tecnologías sin zanja. Intención transferencia de conocimiento. Oficio de entrada 20195260778612 del 27/06/2019. Oficio de respuesta 20192150646171 del 02/07/2019, se le informa que es procedente la transferencia de conocimiento.
* INARE-MATIERE: Tema - Puentes metálicos modulares. Intención transferencia de conocimiento. Oficio de entrada 20191250896652 del 25/07/2019. Oficio de respuesta 20192150779821 del 26/07/2019, con observaciones.
* INARE-MATIERE: Tema: Puentes metálicos modulares. Intención transferencia de conocimiento. Oficio de entrada 20191250986822 del 15/08/2019, Oficio de respuesta 20192150852451 del 16/08/2019, se le informa que es procedente la transferencia de conocimiento.
Fecha de corte: 15 días  calendario antes del fin del periodo de evaluación; entendiéndose que lo que se radique después de esta fecha, se evaluará en el siguiente periodo.
</t>
    </r>
    <r>
      <rPr>
        <b/>
        <sz val="8"/>
        <rFont val="Arial"/>
        <family val="2"/>
      </rPr>
      <t>Indicador No. 2</t>
    </r>
    <r>
      <rPr>
        <sz val="8"/>
        <rFont val="Arial"/>
        <family val="2"/>
      </rPr>
      <t xml:space="preserve">
No se generaron o actualizaron secciones de especificaciones o documentos técnicos durante el periodo</t>
    </r>
  </si>
  <si>
    <t xml:space="preserve">Observaciones ó cambios presentados en:
Riesgo: Se ajusto la redacción del riesgo.
Causas: Se mantiene igual.
Consecuencias: Se mantiene igual.
Controles: Se incluyó el código del instructivo del protocolo en el numeral 1, es resto se mantiene igual.
Acciones asociadas al control: Se mantiene igual.
Registro: Se mantiene igual.
Acciones de contingencia: Se mantiene igual.
Formula del Indicador: Se mantiene igual
Dato y Análisis: Se incluye la información del periodo monitoreado.
</t>
  </si>
  <si>
    <t>Que por presiones internas o externas, se incluyan en la base del Directorio Ambiental de Proveedores del IDU, las empresas que no cumplan con los requisitos establecidos en el procedimiento del Directorio, así como la normativa ambiental y minera vigente; con el fin de favorecer a un particular.</t>
  </si>
  <si>
    <t xml:space="preserve">1. Aplicación del procedimiento PRIC03 Actualizacón Directorio Ambiental de Proveedores - Politicas operacionales.
2. Solicitud de consulta mediante oficio a autoridades ambientales, territoriales o mineras.   
</t>
  </si>
  <si>
    <t>1. Si la materialización del riesgo se identifica al interior del Instituto, el funcionario o contratista debe informar a su jefe inmediato (Director(a) Técnico(a) Estratégico(a), quien informará a la Subdirección General de Desarrollo Urbano – SGDU.
2. Si la materialización del riesgo se identifica en forma externa, el tercero debe Informar por escrito (Oficio o Correo) a la Dirección Técnica Estratégica - DTE y a la Subdirección General de Desarrollo Urbano – SGDU.
3. La DTE deberá inactivar y cancelar el registro del proveedor en la base de datos del Directorio Ambiental de Proveedores e informarle por escrito.
4. La DTE Informará a la Subdirección General de Infraestructura -  SGI y áreas ejecutoras, para que estas a su vez informen a los contratistas e interventores.
5. La DTE deberá informar a Oficina de Control Disciplinario - OCD y a la Dirección Técnica de Gestión Contractual – DTGC.</t>
  </si>
  <si>
    <r>
      <rPr>
        <b/>
        <sz val="8"/>
        <rFont val="Arial"/>
        <family val="2"/>
      </rPr>
      <t>Indicador 1</t>
    </r>
    <r>
      <rPr>
        <sz val="8"/>
        <rFont val="Arial"/>
        <family val="2"/>
      </rPr>
      <t xml:space="preserve">
Calculo del indicador: (74/74)*100% = 100%
</t>
    </r>
  </si>
  <si>
    <r>
      <rPr>
        <b/>
        <sz val="8"/>
        <rFont val="Arial"/>
        <family val="2"/>
      </rPr>
      <t>Indicador No. 1 -</t>
    </r>
    <r>
      <rPr>
        <sz val="8"/>
        <rFont val="Arial"/>
        <family val="2"/>
      </rPr>
      <t xml:space="preserve"> Se obtuvo un porcentaje de ejecución del 100%</t>
    </r>
    <r>
      <rPr>
        <b/>
        <sz val="8"/>
        <rFont val="Arial"/>
        <family val="2"/>
      </rPr>
      <t xml:space="preserve">
</t>
    </r>
    <r>
      <rPr>
        <sz val="8"/>
        <rFont val="Arial"/>
        <family val="2"/>
      </rPr>
      <t xml:space="preserve">
De las 74 solicitudes radicadas para Inscripción o Renovación ante el Directorio Ambiental de Proveedores del IDU, 37 solicitudes cumplieron con los requisitos exigidos, por lo tanto les fue otorgado registro y fueron activados en la Base del Directorio Ambiental de Proveedores y las 37 solicitudes restantes, presentaron inconsistencias en el cumplimiento de los requisitos exigidos, por lo tanto se les solicito allegar la documentación faltante y cumplir con la totalidad de los requisitos establecidos.  
Fecha de corte: 15 días calendario antes del fin del periodo de evaluación; entendiéndose que lo que se radique después de esta fecha, se evaluará en el siguiente periodo.</t>
    </r>
  </si>
  <si>
    <t xml:space="preserve">Observaciones ó cambios presentados en:
Riesgo: Se incluyó la palabra ambiental.
Causas: Se mantiene igual.
Consecuencias: Se mantiene igual.
Controles: Se actualiza el nombre del procedimiento en el numeral 1 y se especifica en que parte de dicho procedimiento, se encuentran las aclaraciones generales, el resto se mantiene igual.
Acciones asociadas al control: Se mantiene igual.
Registro: Se mantiene igual.
Acciones de contingencia: Se incluyó la palabra ambiental en el numeral 3 , el resto se mantiene igual.
Formula del Indicador: Se mantiene igual
Dato y Análisis: Se incluye la información del periodo monitoreado.
</t>
  </si>
  <si>
    <t>OBSERVACIONES ANÁLISIS DE SEGUIMIENTO
CORTE AGOSTO 31 DE 2019</t>
  </si>
  <si>
    <t>1. Verificar los registros de la aplicación de las metodologías de identificación de causas en la formulación de los planes de mejoramiento.
2. Realizar seguimiento de las acciones de mejoramiento con Organismos de Control, en el marco del indicador transversal.</t>
  </si>
  <si>
    <t>1. FOMC01 Formato Planes de Mejoramiento.
Que incluye Formato análisis de causas.
2. Formato Actas de reuniones de seguimiento al cumplimiento.
3.  Reportes del aplicativo de plan de mejoramiento.</t>
  </si>
  <si>
    <t>(0 / 109) x 100% = 
0%</t>
  </si>
  <si>
    <t>De las 109 acciones creadas en el sistema CHIE, entre el 1 de mayo de 2019 y el 31 de agosto de 2019, no se identificó ninguna acción creada para favorecer intereses de terceros o evadir controles.</t>
  </si>
  <si>
    <t>Observaciones ó cambios presentados en:
Riesgo: el riesgo y su descripción son vigentes.
Causas: Se mantienen
consecuencias: Se mantienen
Controles: Se mantienen
Acciones de contingencia:
Indicador: Se mantiene
Otros:
No se ha identificado materialización del riesgo.</t>
  </si>
  <si>
    <t>1. Se identifica que el riesgo y su descripción son vigentes.
2 . Se identifica que los controles son vigentes y operan dentro del proceso.
3. No se ha identificado materialización del riesgo.
6. Se consultó el aplicativo CHIE, observando que en el periodo evaluado, es decir entre el 1 de mayo de 2019 y el 31 de agosto de 2019 fueron creadas 109 acciones de mejoramiento.</t>
  </si>
  <si>
    <t>Observaciones ó cambios presentados en:
Riesgo: Se identifica que el riesgo y su descripción son vigentes.
Causas: Se mantienen.
Consecuencias: Se mantienen.
Controles: Se identifica que los controles son vigentes Acciones de contingencia: Se mantienen
Indicador: Continua el mismo indicador
Otros: no se ha identificado materialización del riesgo.</t>
  </si>
  <si>
    <r>
      <rPr>
        <b/>
        <sz val="8"/>
        <rFont val="Arial"/>
        <family val="2"/>
      </rPr>
      <t>CONSOLIDA Y ACTUALIZA LA INFORMACIÓN LA OAP
1. Las acciones asociadas al control deberían revisarse por parte de OAP</t>
    </r>
    <r>
      <rPr>
        <sz val="8"/>
        <rFont val="Arial"/>
        <family val="2"/>
      </rPr>
      <t xml:space="preserve">
3. Se identifica que el riesgo y su descripción son vigentes.
4. Se identifica que los controles son vigentes y operan dentro del proceso.
5. No se ha identificado materialización del riesgo.
6. Se consolidarán cifras del indicador de alerta con corte al 30 de abril de 2019.</t>
    </r>
  </si>
  <si>
    <r>
      <t>Número de solicitudes aprobadas de modificaciones presupuestales / Total de solicitudes radicadas en OAP.</t>
    </r>
    <r>
      <rPr>
        <sz val="8"/>
        <color rgb="FFFF0000"/>
        <rFont val="Arial"/>
        <family val="2"/>
      </rPr>
      <t xml:space="preserve">
</t>
    </r>
    <r>
      <rPr>
        <sz val="8"/>
        <rFont val="Arial"/>
        <family val="2"/>
      </rPr>
      <t>(158/158)*100% =100%</t>
    </r>
  </si>
  <si>
    <r>
      <t>Se radicaron a traves del formato FOGF25, 158</t>
    </r>
    <r>
      <rPr>
        <sz val="8"/>
        <color rgb="FFFF0000"/>
        <rFont val="Arial"/>
        <family val="2"/>
      </rPr>
      <t xml:space="preserve"> </t>
    </r>
    <r>
      <rPr>
        <sz val="8"/>
        <rFont val="Arial"/>
        <family val="2"/>
      </rPr>
      <t>ajustes entre centros de costos, los cuales fueron aprobadas y gestionadas en su totalidad, en cumplimiento de las politicas y procedimientos establecidos.</t>
    </r>
  </si>
  <si>
    <t>Observaciones ó cambios presentados en:
Riesgo: El riesgo continúa igual.
Causas: Continúan iguales.
Consecuencias: Continúan iguales.
Controles: Continúan iguales.
Acciones de contingencia: Siguen Iguales.
Indicador: Sigue igual.
Otros: No se registra ninguno.</t>
  </si>
  <si>
    <t>(# de cargues ejecutados) / # de cargues (programados en SEGPLAN y PREDIS).
(1/1) * 100% =100%</t>
  </si>
  <si>
    <t>Se realizó un (1) cargue programado de manera oportuna dentro de la vigencia de mayo a agosto, el cual fue consistente a los datos que se han venido realizando a los seguimientos a estos así: 31 de Diciembre de 2018, a 31 de Enero de 2019, al corte del 31 de marzo de 2019, al 30 de abril de 2019 y al 31 de agosto de 2019.</t>
  </si>
  <si>
    <t>Observaciones ó cambios presentados en:
Riesgo: Sigue igual. 
Causas: No cambian. 
Consecuencias: Siguen igual. 
Controles: No cambian.
Acciones de contingencia: Siguen iguales
Indicador: Sigue igual.
Otros: No se registró ninguno.</t>
  </si>
  <si>
    <t>01 de mayo - 31 de agosto 2019</t>
  </si>
  <si>
    <t>1. realizar seguimiento a los servidores e información de la Entidad, con herramientas apropiadas</t>
  </si>
  <si>
    <t>Se realiza seguimiento diario a las herramientas Nagios, Spotlight y SIEM</t>
  </si>
  <si>
    <t>Se publicaron 4 piezas de comuniación en el periodo evaluado</t>
  </si>
  <si>
    <t>El portal web estuvo indisponible durante 26 horas en el periodo evaluado.</t>
  </si>
  <si>
    <r>
      <t>1. STOP realiza la verificación de los registros con las bases de datos oficiales.</t>
    </r>
    <r>
      <rPr>
        <sz val="8"/>
        <color indexed="17"/>
        <rFont val="Arial"/>
        <family val="2"/>
      </rPr>
      <t xml:space="preserve">
</t>
    </r>
    <r>
      <rPr>
        <sz val="8"/>
        <color indexed="8"/>
        <rFont val="Arial"/>
        <family val="2"/>
      </rPr>
      <t xml:space="preserve">
2. Revisión por parte de los profesionales designados para tal fin, verificando que la información de los predios coincidan con los datos oficales
3. Los conceptos técnicos son cargados en el sistema Valoricemos y allí pasa a control por parte del revisor y una vez aprobado, pasa a revisión del supervisor para realizar el último filtro del concepto por parte de la STOP. 
4, Crear los soportes de cada uno de las actividades realizadas para el sustento del concepto técnico </t>
    </r>
  </si>
  <si>
    <t>0/33</t>
  </si>
  <si>
    <t>Con el fin de realizar el control  para evitar que no se materialice el riesgo, se realiza seguimiento a los conceptos técnicos que modificaron o revocaron la contribución de valorización por el Acuerdo 724 de 2018.
Durante este período de tiempo, se han generado 32 conceptos de modifica y 1 de revoca, para lo cual se adelantaron las siguientes actividades:
• Realizar el correspondiente análisis del escrito del recurso de reconsideración y solicitud de la STJEF, 
• Se validan las bases de datos, tanto alfanumérica como cartográfica: Información del Instituto de Desarrollo Urbano IDU (Sistema de información Valoricemos), de la Unidad Administrativa Especial de Catastro Distrital UAECD (SIIC), de la Superintendencia de Notariado y Registro SNR (VUR), de la Secretaria Distrital de Planeación y de otras entidades cuando sea necesario.
•  Crear los soportes de cada uno de las actividades y descripciones de las entidades mencionadas anteriormente, para dar sustento al concepto técnico.
Una vez realizada estas actividades y tener proyectado el concepto técnico, el PROFESIONAL lo carga en el sistema de información valoricemos, donde entra en un flujo o esquema de tareas de validación, como control pasa a un REVISOR el cual hace una revisión total; donde tiene la opción de devolver para ajustar, corregir o ratificar el concepto técnico. Una vez ratificado, el revisor lo remite al supervisor, quien es el último filtro. Como ultima validación y control pasa al SUPERVISOR quien tiene la opción de devolver para ajustar, corregir o realizar la aprobación del concepto técnico.
De acuerdo a lo anterior, se verificó que los conceptos técnicos fueron generados según los reqerimiento exigidos.</t>
  </si>
  <si>
    <t>Observaciones ó cambios presentados en:
Riesgo: Permanece igual
Causas: Continua igual
consecuencias: Continua igual
Controles: Se complementaron
Acciones de contingencia: Continua igual
Indicador: Sigue igual
Otros:</t>
  </si>
  <si>
    <t>1. Activación de alertas en el aplicativo VALORICEMOS de la expedición de paz y salvos
2. Revisión períodica de una muestra representativa de los paz y salvos emitidos.
3. Parametrización del módulo de paz y salvos en el aplicativo Valoricemos mediante el log de auditoría.</t>
  </si>
  <si>
    <t>1. La STOP analiza el caso específico y realiza la indagación pertinente.
2. La STOP informa a la STRT de los ajustes que deben ser realizados en el Sistema Valoricemos.
3. Informar al Contribuyente su estado de cuenta actual del predio.
4. Se debe informar el evento para investigación disciplinaria.</t>
  </si>
  <si>
    <t>0/300=0</t>
  </si>
  <si>
    <t xml:space="preserve">
Para el período comprendido entre mayo y agosto de 2019 la STRT entregó un reporte de  157,124 certificados de estados de cuenta  para trámite notarial, se revisaron 300 estados de cuenta para trámite notarial, los cuales se generaron bajo los parámetros establecidos para realizar el trámite y cumpliendo con los estandares de calidad y transparencia.  Se realizaron observaciones de que algunos predios habían quedado con una homologación incompleta en sus códigos y otros predios se homologaron con códigos incorrectos, pero esto no afecta la entrega correcta del paz y salvo. Sin embargo, al interior del área, con estos resultados, se realiza  una retroalimentación a las  personas que expiden los paz y salvos, con el fin de mejorar el trámite y fortalecer los procesos en la dependencia. 
</t>
  </si>
  <si>
    <t>Observaciones ó cambios presentados en:
Riesgo: Permanece igual
Causas: Siguen las mismas
consecuencias: Siguen las mismas
Controles: Se complementaron
Acciones de contingencia: Permanecen las mismas
Indicador: El mismo
Otros:</t>
  </si>
  <si>
    <t xml:space="preserve">Revisión por parte del funcionario designado para tal fin, verificando que la información de los predios coincidan con los datos oficales
Revisión periódica de una muestra aleatoria de los conceptos técnicos emitidos
Cargue en el Sistema Valoricemos de los respectivos soportes de los conceptos técnicos que se generen para cada uno de los Acuerdos de Valorización
</t>
  </si>
  <si>
    <t>1.  Realizar una segunda validación de la información emitida.
2. STOP informa las inconsistencias a la STRT para que se modifique la información del  predio en el sistema Valoricemos.
3. Generar nuevamente el concepto técnico e informar a las áreas involucradas en el proceso.
4. Se debe informar el evento para investigación disciplinaria</t>
  </si>
  <si>
    <t>0/298 =0</t>
  </si>
  <si>
    <t>Durante el período entre mayo y agosto de 2019, la STRT entregó un reporte de 4.431 registros los cuales corresponden a 1.329 conceptos técnicos.  Se determinó que la muestra serían 298 registros lo que corresponde al 22.42% del universo,  los cuales fueron revisados por el equipo a través del Sistema Valoricemos, se tuvo en cuenta los tiempos de gestión del concepto. Se evidenció que el 98% de los conceptos técnicos, no tienen ninguna inconsistencia, se han generado bajo los parámetros establecidos en los procedimientos y conservando los estandares de calidad y transparencia.  La única observación realizada para el restante de los conceptos, fue que no tenían el respectivo soporte en el sistema, pero eso no afecta la correcta generación de los conceptos técnicos. Se concluye, que después de la revisión, el riesgo no se materializó.</t>
  </si>
  <si>
    <t>El sistema solo permite las modificaciones de los predios a los perfiles autorizados
Luego de terminar el proceso de liquidación de cartera, se realiza un control de calidad por parte de otra persona diferente a quién la realiza</t>
  </si>
  <si>
    <t>1-STOP informa a la DTAV y a la STRT para revisar los intereses y realizar los ajuestes necesarios con el fin de garantizar la integridad de la información.
2. En caso de haberse enviado los archivos planos a la empresa de impresión y distribución, STOP deberá informarles para la modificación correspondiente.</t>
  </si>
  <si>
    <t>(0/69.490)/=0</t>
  </si>
  <si>
    <t>Durante los meses de Mayo, Junio, Julio y Agosto de 2019, se generó de manera masiva la liquidación y facturación para 69.490 predios en total,  previo los controles de calidad mensuales para finalmente generar la aprobación masiva de las cuentas de cobro, para los proyectos AC180-05, AC398-09 y AC523-13, para los siguientes escenarios que corresponden a predios que presentan deuda vigente por concepto de la contribución de valorización: pago por cuotas (predios al día), acuerdos de pago, planes de abono y predios en mora. Se evidenciaron 29 predios con inconsistencias, las cuales son objeto de ajuste por parte de la STOP y la STRT, con el fin de garantizar la integridad de la información.
Los ajustes más frecuentes que se presentan son: inconsistencia  en el cálculo de los intereses (mora o financiación), ajustes a la centena, inconsistencia en la fecha de vencimiento y variación al  consolidar el saldo, así como alteración en variables de facturación.
Con el fin de detectar las inconsistencias se genera reporte en archivos planos que genera el sistema VALORICEMOS los cuales se exportan a Excel, en donde se muestran las variables de facturación, las cuales se validan de acuerdo a los meses en mora, cuentas de cobro procesadas y etapa de cobro, entre otras. Después de adelantar todo el proceso, se evidencia que no se materializó el riesgo de corrupción.</t>
  </si>
  <si>
    <t>Indique los ajustes realizados en:
Causas:  Se mantienen iguales
Riesgo: Se modifica la redacción, pero continúa el mismo riesgo
Consecuencias: Se mantienen iguales
Controles: Se complementaron
Acciones: Siguen las mismas
Indicador: Se realiza un ajuste</t>
  </si>
  <si>
    <t>1. Informar a la Superintendencia de Notariado y Registro para que se cancele la notación del levantamiento de las medidas administrativas o cautelares.
2. Se debe informar el evento para investigación disciplinaria</t>
  </si>
  <si>
    <t>Para los meses de Mayo, Junio,  Julio y Agosto se generaron 136 oficios de levantamiento de gravamen que involucran a  1.864 predios, a los cuales se les realizó la respectiva revisión y verificación de los certificados de tradición y libertad y el estado de cuenta en el sistema Valoricemos, no encontrando errores en dichos oficios.</t>
  </si>
  <si>
    <t>Observaciones ó cambios presentados en:
Causas:  Se mantienen iguales.
Riesgo: Se mantienen iguales.
Consecuencias: Se mantienen iguales.
Controles: Se mantienen iguales.
Acciones: Siguen las mismas.
Indicador: Se realiza un ajuste.
Otros:</t>
  </si>
  <si>
    <t>1. Informar a la SGJ de la inconsistencia encontrada y se envía el proyecto de acto administrativo corregido.
2. Se debe informar el evento para investigación disciplinaria.</t>
  </si>
  <si>
    <t>Se realizó la revisión de los actos administrativos remitidos para firma de la Subdirectora General Jurídica, durante los meses de Mayo, Junio,  Julio y Agosto, se verificó que efectivamente cada uno de los 466 proyectos de acto administrativo enviados por la STJEF, contó con el control de calidad correspondiente, el cual fue avalado, con  el VoBo de cada uno de los intervinientes, no se encontró devoluciones en lo que respecta a incongruencia con la normatividad aplicable.</t>
  </si>
  <si>
    <t>01-JUNIO- 31- AGOSTO</t>
  </si>
  <si>
    <t>Durante el periodo no se reportaron proyectos en los cuales se viera amenzada la integridad de la información dispuesta en el sistema.
Es importante mencionar que logró la inclusión del ZIPA como parte de la política de transparencia y acceso a la información del Distrito 2018-2022, la cual fue promulgada en diciembre de 2018 y los avances en su implementación han sido monitoreados por la Secretaría General de la Alcaldía Mayor y la Veeduría Distrital</t>
  </si>
  <si>
    <t>MAYO - AGOSTO 2019</t>
  </si>
  <si>
    <t>Durante el periodo se observó que el 31% de los proyectos presentó un atraso en la presentación de informes, en buena medida debido a los atrasos en la presentación de los informes semanales por parte de las interventorías de los contratos. Dicho informe es el insumo principal para cargar los informes de avance en el sistema. Sin embargo, se observa que estos atrasos son temporales y se subsanan en la mayoría de los casos de forma rápida.
.</t>
  </si>
  <si>
    <t>Observaciones ó cambios presentados en:
Riesgo:
Causas:
consecuencias:
Controles: A partir de la vigencia 2019 y con el apoyo de la OCI, se incluirá dentro del plan de auditoría de los procesos la misionales la revisión del estado de los proyectos a su cargo en el sistema. Lo anterior perimitirá mejorar el control de la información incluida en el sistema.
Acciones de contingencia:
Indicador: Se deberá revisar el indicador del riesgo, de modo tal que se establezcan criterios claros para obtener una medición objetiva del indicador, ya que como está establecido, no se indica de manera clara cuando un proyecto se considera desactualizado ni la forma de medir tal estado
Otros:</t>
  </si>
  <si>
    <t>Según el Tablero de Control el Sistema de Información ZIPA, se evidenció con corte al 10/05/2019, que de 67 contratos que se encuentran en ejecución, 21 (31%) presentan reporte de avance desactualizado, lo cual permite evidenciar que el riesgo se ha  materializado, puesto que no se ha realizado el cargue oportuno de acuerdo con el estado de cada proyecto en ZIPA.</t>
  </si>
  <si>
    <t>Durante el periodo en que los proyectos no se actualizaron, no se pudo conocer el estado de éstos, tanto a nivel interno (resumen ejecutivo), como a nivel externo (visor de proyectos)</t>
  </si>
  <si>
    <t>1. Revisión de la fórmula del indicador para establecer criterios claros para la medición del mismo</t>
  </si>
  <si>
    <t>Durante el periodo se evidenció que no se incluyó dentro del plan de actualización de la vigencia anterior, el procedimiento PR-SP-04 a cargo de la OTC. Adicionalmente, todavía aparece en la intranet un informe de seguimiento realizado varias vigencias atrás.</t>
  </si>
  <si>
    <t>Observaciones ó cambios presentados en:
Riesgo:
Causas:
consecuencias:
Controles:
Acciones de contingencia:
Indicador: Se requiere formular un nuevo plan de actualización documental para subsanar los errores evidenciados en la documentación del proceso
Otros:</t>
  </si>
  <si>
    <t xml:space="preserve">se identificaron los documentos Programa general de seguimiento y monitoreo a proyectos 2015 y PR-SP-04 Medición y seguimiento de percepción al componente socioambiental de proyectos de infraestructura V1 de diciembre 18 de 2014, el primero sin adopción y el segundo sin actualización. 
Se observó en el documento Programa general de seguimiento y monitoreo a proyectos 2015, la referencia a documentos guía que no se encuentran publicados en la Intranet, como la GU-SP-01 Guía para el seguimiento de los proyectos de infraestructura y espacio público.
También se observó la adopción de los documentos, GUGI02 Documento técnico intervencion infraestructura víal y espacio público V1 y INGI02 Toma de posesión física de obra V1, por lo que se recomienda verificar el alcance del proceso contra el objetivo y alcance de los mismos.  
</t>
  </si>
  <si>
    <t>Documentación del proceso desactualizada lo que puede generar confusión en los usuarios del proceso</t>
  </si>
  <si>
    <t>Formular un nuevo plan de actualización que subsane los errores evidenciados durante el periodo</t>
  </si>
  <si>
    <t>01/05/2019 al 31/08/2019</t>
  </si>
  <si>
    <t>En el periodo de monitoreo y seguimiento, se han realizado alrededor de 119 arqueos a funcionarios y contratistas de la Entidad, en donde el numero de faltantes es cero. Por otro lado, se observo que 54 funcionarios tenian a cargo elementos que no se encontraban en su inventario, por lo que de manera inmediata se procedió a actualizar la información en el sistema.</t>
  </si>
  <si>
    <t>En este periodo de medición se presentó una disminución del 28% en la cantidad de elementos en deposito comparado con el cuatrimestre anterior. Esto con ocasión al proceso de enajenación y baja de bienes que se llevo a cabo en el mes de agosto y con el cual se liberó espacios para el almacenamiento en las bodegas de la Entidad.</t>
  </si>
  <si>
    <t>En el periodo objeto de medición, no se han presentado quejas o reclamos a la STRF por indisponibilidad de bienes o servicios responsabilidad de la Subdirección.</t>
  </si>
  <si>
    <t xml:space="preserve">En el segundo cuatrimestre la Subdirección recibió un total de 101 solicitudes de mantenimiento locativo en las sede de la Entidad, de las cuales se atendieron 96 de manera efectiva. El 5% de los requerimientos que no se lograron atender, se deben principalmente a intervenciones en los pisos de la sede principal, los cuales requieren tiempos considerables que afectan la operación de los funcionarios, lo cual ha dificultado la programación de los mismos. No obstante, no se considera que el riesgo de una inadecuada prestación del servicio de mantenimiento se haya materializado, toda vez que las labores programadas del plan de mantenimiento con los contratistas se efectuó sin novedad. </t>
  </si>
  <si>
    <t>En el segundo cuatrimestre la STRF no ha recibido quejas o reclamos por inadecuada atención en los siniestros y reclamaciones realizadas. De manera que el riesgo no se ha materializado.</t>
  </si>
  <si>
    <t>En el periodo objeto de medición se han programado y atendido 1957 servicios de transporte, de los cuales se presentó una queja en la asignación, no obstante, de manera inmediata se analizó la situación y se tomaron las medidas correctivas.</t>
  </si>
  <si>
    <t>En el periodo de medición  se prestaron 1957 servicios de transporte, dentro de los cuales se reporto la ocurrencia de 13 INCIDENTES (0,67%) 
 ante la ARL y la profesional SS&amp;T de la Entidad.</t>
  </si>
  <si>
    <t>Observaciones o cambios presentados en:
Riesgo: Se mantiene igual
Causas: Se mantiene igual 
Consecuencias: Se mantienen igual.
Controles: Se mantiene igual
Acciones de contingencia: Se mantiene igual
Indicador: Se mantiene igual
Otros:</t>
  </si>
  <si>
    <t xml:space="preserve">Durante el último cuatrimestre se han presentado 13 INCIDENTES ocurridos en la prestación del servicio de transporte, lo que representa un 0,67% sobre el total de los servicios prestados.
Los anteriores eventos, has sido choques simples, por lo que se ha fijado como plan de mejora:
* Socializa lecciones aprendidas con los conductores
* Charlas de seguridad y percepción del riesgo en el marco del PESV
El mencionado plan de mejoramiento se encuentra en proceso de formalización </t>
  </si>
  <si>
    <t>Posibles afectaciones a la integridad de las personas.
Reclamaciones ante la aseguradora.</t>
  </si>
  <si>
    <t>* En proceso de formalización</t>
  </si>
  <si>
    <t>MARTHA ÁLVAREZ ESCOBAR</t>
  </si>
  <si>
    <t>En el periodo comprendido entre del 01/05/2019 a 31/08/2019 se realizaron dos (2) arqueo a la caja menor, uno por parte de la ordenadora del gasto u el otro por parte de la Oficina de Control Interno, como resultado se concluyó que no hubo faltante alguno en ninguno de los casos</t>
  </si>
  <si>
    <t>En este periodo se programaron 7 actividades dentro del Programa de Gestión Documental, de las cuales se logró finalizar con 6 y una de estas se encuentra parcialmente cumplida y proceso de finalización. Esta última obedece al ajuste en algunos formatos del proceso y su la publicación en la Intranet.
Conforme al resultado del indicador, no se considera se materialice el riesgo en asunto.</t>
  </si>
  <si>
    <t>En el periodo de seguimiento no se presentaron eventos donde se haya materializado el riesgo por las causas identificadas o a cargo de la Subdirección.</t>
  </si>
  <si>
    <t>mayo - agosto de 2019</t>
  </si>
  <si>
    <t>No se ha presentado extemporaneidad en el cargue de novedades de nómina en el período comprendido entre mayo a agosto de 2019</t>
  </si>
  <si>
    <t>Observaciones ó cambios presentados en:
Riesgo: se mantiene
Causas: se mantiene iguales.
consecuencias: se mantienen iguales.
Controles: se mantienen iguales.
Acciones de contingencia: se mantienen iguales.
Indicador: se mantiene
Otros: N/A</t>
  </si>
  <si>
    <t xml:space="preserve">1. Formulación del Plan Institucional de Capacitación teniendo en cuenta los Proyectos de Aprendizaje en Equipo, las necesidades institucionales y de los servidores.
2. Para los eventos de capacitación que implican asignación de recursos es necesaria la firma de la Carta de Compromiso por parte del servidor y de su jefe inmediato.
3. Iniciar el proceso de estudio de mercados y elaboración de los estudios previos una vez se cuente con el PIC aprobado.
4. Definición y precisión en el momento de estructurar las obligaciones y requerimientos del contrato dentro de los estudios de mercado y estudios previos. 
5. Durante la ejecución del contrato se reciben las observaciones de los servidores respecto a la calidad del servicio contratado, se analizan las mismas y se toman las acciones que correspondan con el contratista.
6. Al finalizar el evento de capacitación se aplica la evaluación de satisfacción.
7. Programación de actividades de capacitación de acuerdo con disponibilidad del auditorio.
</t>
  </si>
  <si>
    <t>(0/3)*100 = 0%</t>
  </si>
  <si>
    <t>No se ha materializado que la defensa de los intereses judiciales de naturaliza laboral no sea contundente y oportuna en el período comprendido entre mayo a agosto de 2019</t>
  </si>
  <si>
    <t>(0/14)*100 = 0%</t>
  </si>
  <si>
    <t>No se presentó demora en la ejecución del PIC en el período comprendido entre mayo a agosto de 2019</t>
  </si>
  <si>
    <t>Todos los servidores con información actualizada en el Cajero Kactus en el período comprendido entre mayo a agosto de 2019</t>
  </si>
  <si>
    <t>Historias laborales actualizadas en el período comprendido entre mayo a agosto de 2019</t>
  </si>
  <si>
    <t>No se ha presentado sustracción o alteración de información sensible para el proceso de Gestión del Talento Humano en el período comprendo entre mayo a agosto de 2019</t>
  </si>
  <si>
    <t>No se ha presentado manejo inadecuado de la información personal de los serviidores o colaboradores en el período comprenduido entre mayo a agosto de 2019</t>
  </si>
  <si>
    <t>REPORTE Y/O CARGUE NO OPORTUNO DE LAS NOVEDADES DE NÓMINA.</t>
  </si>
  <si>
    <t>Mayo- Agosto 2019</t>
  </si>
  <si>
    <t xml:space="preserve">En el periodo comprendido entre Mayo- Agosto de 2019, no se presentaron denuncias, quejas y/o no conformidades, sobre manipulación de información en el sistema Valoricemos, en lo referente a aplicaciones de recaudo. </t>
  </si>
  <si>
    <t xml:space="preserve">No se presentaron quejas, derechos de petición, denuncias y/o no conformidades por parte de los contribuyentes, en el segundo cuatrimestre de 2019, sobre la no disponibilidad de los medios de pago, para la valorización.  </t>
  </si>
  <si>
    <t>No se realizaron solicitudes de adición de recursos  del Programa Anual mensualizado de Caja - PAC a la Secretaria Distrital de Hacienda,  en el periodo comprendido entre mayo a agosto de 2019.</t>
  </si>
  <si>
    <r>
      <t xml:space="preserve">La totalidad </t>
    </r>
    <r>
      <rPr>
        <sz val="8"/>
        <color rgb="FFFF0000"/>
        <rFont val="Arial"/>
        <family val="2"/>
      </rPr>
      <t xml:space="preserve"> </t>
    </r>
    <r>
      <rPr>
        <sz val="8"/>
        <rFont val="Arial"/>
        <family val="2"/>
      </rPr>
      <t>(492)</t>
    </r>
    <r>
      <rPr>
        <sz val="8"/>
        <color rgb="FFFF0000"/>
        <rFont val="Arial"/>
        <family val="2"/>
      </rPr>
      <t xml:space="preserve"> </t>
    </r>
    <r>
      <rPr>
        <sz val="8"/>
        <rFont val="Arial"/>
        <family val="2"/>
      </rPr>
      <t>de traslados entre cuentas bancarias, presentados en el periodo Mayo- Agosto de 2019, se realizaron oportunamente de conformidad con los tiempos establecidos en los compromisos y contratos-convenios bancarios.</t>
    </r>
  </si>
  <si>
    <t xml:space="preserve">No se presentaron, en el cuatrimestre  Mayo- Agosto de 2019, solicitudes de apertura de investigaciones, por perdida de recursos por realizarse una adecuada inversión. </t>
  </si>
  <si>
    <r>
      <t>La totalidad  (8.665)</t>
    </r>
    <r>
      <rPr>
        <sz val="8"/>
        <color rgb="FFFF0000"/>
        <rFont val="Arial"/>
        <family val="2"/>
      </rPr>
      <t xml:space="preserve"> </t>
    </r>
    <r>
      <rPr>
        <sz val="8"/>
        <rFont val="Arial"/>
        <family val="2"/>
      </rPr>
      <t>de pagos efectuados en el periodo comprendido entre Mayo- Agosto de 2019, fueron realizados correctamente.</t>
    </r>
  </si>
  <si>
    <t xml:space="preserve">Los pagos de obligaciones financieras a los diferentes proveedores, contratistas, así como de impuestos, seguridad social etc. y otros beneficiarios de pago, durante el segundo cuatrimestre del año 2019, fueron realizados oportunamente. </t>
  </si>
  <si>
    <t>Durante los meses de Mayo a Agosto de 2019, no se presentaron denuncias respecto a robos, desviación de dineros o perdida, ante autoridades internas o externas.</t>
  </si>
  <si>
    <t>Durante los meses de Mayo a Agosto de 2019  no se presentaron reclamos por valores inexactos.</t>
  </si>
  <si>
    <t>Durante los meses de Mayo- Agosto de 2019 no se presentaron diferencias entre Predis y Stone.</t>
  </si>
  <si>
    <t xml:space="preserve">Durante los meses de Mayo- Agosto de 2019, no se presentaron objeciones a los informes por parte de los entes de control u otras entidades. </t>
  </si>
  <si>
    <t>No se presentó ningún caso de violación de información, ni de alertas de infracción, en el segundo cuatrimestre Mayo- Agosto de 2019, para la gestión relacionada con el proceso de Gestión Financiera.</t>
  </si>
  <si>
    <t>No se recepcionaron quejas por parte de la ciudadanía por perdida o alteración de información en el periodo Mayo- Agosto de 2019, para la gestión relacionada con el proceso de Gestión Financiera.</t>
  </si>
  <si>
    <t>En los meses deMayo- Agosto de 2019,  no se presentaron quejas de la ciudadanía y/o partes interesadas, por la no operación normal del proceso.</t>
  </si>
  <si>
    <t>No se recepcionaron quejas por parte de la ciudadanía por inadecuado manejo de la información personal de los ciudadanos o terceros, en el periodo Mayo- Agosto de 2019,  para la gestión relacionada con el proceso de Gestión Financiera.</t>
  </si>
  <si>
    <t xml:space="preserve">Observaciones o cambios presentados en:
Riesgo: La información continua igual, no hay modificación
Causas: La información continua igual, no hay modificación
Consecuencias: La información continua igual, no hay modificación
Controles: La información continua igual, no hay modificación
Acciones de contingencia: La información continua igual, no hay modificación
Indicador: La información continua igual, no hay modificación
Otros: Observaciones o cambios presentados en:
</t>
  </si>
  <si>
    <t>mayo - agosto - 2019</t>
  </si>
  <si>
    <t>- Se revisa la adecuada instalación de "parches de seguridad" a través de las consolas de monitoreo de los elementos de tecnología y se hacen revisiones periódicas de dichas aplicaciones a través del procedimiento de revisión de la plataforma.
- Se dispone del software de antivirus institucional.
- Inducción a los colaboradores que ingresan al Instituto, para hacer uso de los recursos de tecnología que les son asignados.
- Campañas de divulgación a través de carteleras virtuales, sobre el uso de los recursos de tecnología y sobre la protección de la información.
- Inspección del estado físico y de la ubicación en el puesto de trabajo de los equipos de usuario final .</t>
  </si>
  <si>
    <t>- Cambio de equipo (sujeto a disponibilidad)
- Reparación del equipo afectado.
- Aplicación de garantía o pólizas de seguro</t>
  </si>
  <si>
    <t>Observaciones o cambios presentados en:
Riesgo: se mantiene
Causas: se mantienen
consecuencias: se mantienen
Controles: Se adiciona un control
Acciones de contingencia: se ajustan, incluyendo una nueva.
Indicador: se mantiene
Otros:</t>
  </si>
  <si>
    <t>Se pudo presentar indisponibilidad de un activo de información.</t>
  </si>
  <si>
    <t>Gestión</t>
  </si>
  <si>
    <t>Manipulación de equipo de cómputo de usuario por familiar o tercero sin autorización o sin supervisión</t>
  </si>
  <si>
    <t>Observaciones o cambios presentados en:
Riesgo: se ajusta redacción para definir su definición y aplicación
Causas: se mantienen
consecuencias: se mantienen
Controles: se mantienen
Acciones de contingencia: se mantienen
Indicador: se mantiene
Otros:</t>
  </si>
  <si>
    <t xml:space="preserve">
Se revisan las causas, las consecuencias y los controles de cada uno de los riesgos y  se enfocan a los riesgos finales.
Se resalizaron ajustes indicados en la sección de seguimiento
No se ha eliminado ningún riesgo.
</t>
  </si>
  <si>
    <r>
      <rPr>
        <b/>
        <sz val="8"/>
        <rFont val="Arial"/>
        <family val="2"/>
      </rPr>
      <t xml:space="preserve">
1.</t>
    </r>
    <r>
      <rPr>
        <sz val="8"/>
        <rFont val="Arial"/>
        <family val="2"/>
      </rPr>
      <t xml:space="preserve">   7  informes de anticipo revisados / 7 informes de anticipo recibidos  de los contratos para los cuales aplica el manejo del anticipo * 100
Cumplimiento indicador: 100%
Durante el periodo de monitoreo se recibieron  7 informes de anticipo, de los cuales, en desarrollo de las actividades de seguimiento y supervisión que adelanta la DTM  fueron revisados 7; de los informes  revisados, fueron objetados aquellos que no cumplieron con los requisitos previstos (4); dicha objeción a través de oficios remitidos a la respectivas interventorías de los contratos de obra, en algunos casos reiterativos, con el propósito de obtener la total conformidad en estos informes.
</t>
    </r>
  </si>
  <si>
    <r>
      <t xml:space="preserve">
</t>
    </r>
    <r>
      <rPr>
        <b/>
        <sz val="8"/>
        <rFont val="Arial"/>
        <family val="2"/>
      </rPr>
      <t xml:space="preserve">1.  </t>
    </r>
    <r>
      <rPr>
        <sz val="8"/>
        <rFont val="Arial"/>
        <family val="2"/>
      </rPr>
      <t xml:space="preserve"> 310 APUs No Previstos  revisados por la DTM / 310  APUs No Previstos  aprobados por la interventoría y recibidos en DTM*100
Cumplimiento indicador: 100%
Durante el periodo que se reporta y en desarrollo de las actividades de seguimiento y supervisión que adelanta la DTM fueron recibidos 310 APUs NP  aprobados y remitidos por la interventoría, de los cuales se  revisaron  310 APUs NP,  debiendo aclarar que varios de estos precios no previstos  fueron  objeto de observaciones y devolución por parte del IDU a través de oficios y mesas de trabajo, incluso en más de una oportunidad,  por lo cual las revisiones  se incrementaron frente al número real de precios No Previstos  recibidos,  pasando a 423 revisiones.
Derivado de estas 423 revisiones  totales, se presentaron  225  objeciones o devoluciones de APUs No Previstos  hacia las interventorías, esto con el propósito de lograr la presentación de los precios dentro de los parámetros establecidos por la entidad.
 </t>
    </r>
  </si>
  <si>
    <t>1. 
 100%
2. 
91%</t>
  </si>
  <si>
    <r>
      <rPr>
        <b/>
        <sz val="8"/>
        <rFont val="Arial"/>
        <family val="2"/>
      </rPr>
      <t>1.</t>
    </r>
    <r>
      <rPr>
        <sz val="8"/>
        <rFont val="Arial"/>
        <family val="2"/>
      </rPr>
      <t xml:space="preserve">    27.412 m3  volúmen de ingreso y retiro de material de fresado certificado / 27.412 m3  volúmen de ingreso y retiro de material reportado para certificación *100
Cumplimiento indicador: 100%
Mediante resolución 26700 del 15 de abril de 2015, la entidad adopta el Manual para la supervisión, control, manejo  y operación de los sitios de almacenamiento transitorio de pavimento asfáltico fresado - SATPAF, versión 1.0., el cual contiene los lineamientos de seguimiento y control del uso y disposición del material  generado en  desarrollo de los contratos a cargo de la entidad, por lo que se continuará con la aplicación de dichos lineamientos,  Este manual respalda  las acciones y decisiones tomadas frente a la expedición de certificaciones  relacionadas con el  retiro e ingreso del material  al patio de acopio.
</t>
    </r>
    <r>
      <rPr>
        <b/>
        <sz val="8"/>
        <rFont val="Arial"/>
        <family val="2"/>
      </rPr>
      <t xml:space="preserve">2.   </t>
    </r>
    <r>
      <rPr>
        <sz val="8"/>
        <rFont val="Arial"/>
        <family val="2"/>
      </rPr>
      <t>21  informes periodicos de interventoría rcibidos que cuentan con los debidos registros y soportes relacionados con la gestión de fresado / 23  informes periódicos de interventoría recibidos en que se haya llevado a cabo actividades con material de fresado*100
Cumplimiento del Indicador: 91%
2 informes aun  devueltos por no cumplir con los requisitos exigidos.</t>
    </r>
  </si>
  <si>
    <r>
      <t xml:space="preserve">
1. No. de Planes de Calidad   de obra e interventoría  revisados por la supervisión IDU / No. de Planes de Calidad   de obra e interventoría  recibidos de los contratos en ejecución*100
</t>
    </r>
    <r>
      <rPr>
        <b/>
        <sz val="8"/>
        <rFont val="Arial"/>
        <family val="2"/>
      </rPr>
      <t xml:space="preserve">
</t>
    </r>
    <r>
      <rPr>
        <sz val="8"/>
        <rFont val="Arial"/>
        <family val="2"/>
      </rPr>
      <t>2.</t>
    </r>
    <r>
      <rPr>
        <b/>
        <sz val="8"/>
        <rFont val="Arial"/>
        <family val="2"/>
      </rPr>
      <t xml:space="preserve"> </t>
    </r>
    <r>
      <rPr>
        <sz val="8"/>
        <rFont val="Arial"/>
        <family val="2"/>
      </rPr>
      <t xml:space="preserve">No. de informes mensuales de Interventoría  revisados por la supervisión en los aspectos inherentes al Plan de Calidad  / No. de informes mensuales  revisados en el periodo  para los contratos en ejecución*100
</t>
    </r>
  </si>
  <si>
    <t>1.
  100%
2. 
100%</t>
  </si>
  <si>
    <r>
      <t xml:space="preserve">
</t>
    </r>
    <r>
      <rPr>
        <b/>
        <sz val="8"/>
        <rFont val="Arial"/>
        <family val="2"/>
      </rPr>
      <t xml:space="preserve">1.     </t>
    </r>
    <r>
      <rPr>
        <sz val="8"/>
        <rFont val="Arial"/>
        <family val="2"/>
      </rPr>
      <t xml:space="preserve">2  Planes de Calidad  de obra e interventoría  revisados por la supervisión IDU  / 2  Planes de Calidad   de obra e interventoría  recibidos de los contratos en ejecución*100
Cumplimiento del Indicador = 100%
Respecto de los planes de calidad, como resultado de la verificación efectuada,  fueron objetados los dos informes a través de oficio, solicitando a la respectivas interventorías los ajustes pertinentes hasta obtener el cumplimiento de los requisitos establecidos.
</t>
    </r>
    <r>
      <rPr>
        <sz val="8"/>
        <color rgb="FFFF0000"/>
        <rFont val="Arial"/>
        <family val="2"/>
      </rPr>
      <t xml:space="preserve">
</t>
    </r>
    <r>
      <rPr>
        <b/>
        <sz val="8"/>
        <rFont val="Arial"/>
        <family val="2"/>
      </rPr>
      <t>2.</t>
    </r>
    <r>
      <rPr>
        <sz val="8"/>
        <rFont val="Arial"/>
        <family val="2"/>
      </rPr>
      <t xml:space="preserve">     83 informes mensuales de Interventoría  revisados por la supervisión en los aspectos inherentes al Plan de Calidad  / 83 informes mensuales  recibidos en el período  para los contratos en ejecución *100%
Cumplimiento del Indicador = 100%
También como resultado del seguimiento y control en los aspectos de calidad, se verificó  el recibo de 7.574 ensayos de laboratorio, de los cuales fueron objeto de devolución 4.337; para aquellos ensayos objetados se solicita a las interventorías atender las observaciones,  efectuando por parte de la DTM  las posteriores verificaciones ante las nuevas radicaciones, hasta obtener la conformidad.    
Es de aclarar, que de las objeciones aquí señaladas  hacen parte devoluciones de paquetes completos de ensayos por observaciones generales a su presentación, más no por falencias detectadas en cada uno de los ensayos como tal.
</t>
    </r>
  </si>
  <si>
    <t>1.
       53%
2. 
100%</t>
  </si>
  <si>
    <r>
      <rPr>
        <b/>
        <sz val="8"/>
        <rFont val="Arial"/>
        <family val="2"/>
      </rPr>
      <t>1.</t>
    </r>
    <r>
      <rPr>
        <sz val="8"/>
        <rFont val="Arial"/>
        <family val="2"/>
      </rPr>
      <t xml:space="preserve">  65 registros de profesionales ingresados  al aplicativo SIAC por DTM / 122 nuevos profesionales vinculados a los contratos  de obra e interventoría DTM*100
Cumplimiento del Indicador = 53%
El resultado del indicador obedece a que de los  122 nuevos profesionales que  fueron vinculados a los contratos de la DTM, 57 profesionales ya se encontraban ingresados al SIAC por vínculo a través de otros contratos, por lo que resultó significativamente  inferior el número de profesionales  a ingresar al aplicativo durante el periodo evaluado frente al número de profesionales vinculados.
</t>
    </r>
    <r>
      <rPr>
        <b/>
        <sz val="8"/>
        <rFont val="Arial"/>
        <family val="2"/>
      </rPr>
      <t xml:space="preserve">2.  </t>
    </r>
    <r>
      <rPr>
        <sz val="8"/>
        <rFont val="Arial"/>
        <family val="2"/>
      </rPr>
      <t xml:space="preserve">  2.055  personas de la plantilla mínima de contratista de obra e interventoría que cuenta con soportes de pago al SGSSI y de cumplimiento de dedicación / 2055 personal de plantilla mínima formalmente vinculados a los contratos de obra e interventoría*100
Cumplimiento del Indicador = 100%
El total de personal formalmente vinculado a los contratos durante el periodo evaluado cuenta con los debidos soportes de pago al SGSSI y de cumplimiento de dedicación.</t>
    </r>
  </si>
  <si>
    <t>1 de mayo a 30 de agosto de 2019</t>
  </si>
  <si>
    <t>1. 
38%</t>
  </si>
  <si>
    <r>
      <rPr>
        <b/>
        <sz val="8"/>
        <rFont val="Arial"/>
        <family val="2"/>
      </rPr>
      <t xml:space="preserve">1.  </t>
    </r>
    <r>
      <rPr>
        <sz val="8"/>
        <rFont val="Arial"/>
        <family val="2"/>
      </rPr>
      <t xml:space="preserve">        3  contratos de conservación (obra e interventoría) bajo control y seguimiento  a cargo de la DTM  con solicitudes a DTGC de inicio de procesos sancionatorios por presunto incumplimiento durante el periodo evaluado / 8</t>
    </r>
    <r>
      <rPr>
        <sz val="8"/>
        <color rgb="FFFF0000"/>
        <rFont val="Arial"/>
        <family val="2"/>
      </rPr>
      <t xml:space="preserve"> </t>
    </r>
    <r>
      <rPr>
        <sz val="8"/>
        <rFont val="Arial"/>
        <family val="2"/>
      </rPr>
      <t xml:space="preserve">contratos de conservación (obra e interventoría)  bajo control y seguimiento a cargo de DTM para los cuales se generaron apremios por presunto incumplimiento durante el periodo evaluado*100
Resultado del Indicador: 38% 
Aunque durante el período de monitoreo  se registraron apremios a 12 contratistas, las solicitudes de inicio de proceso sancionatorio ante la DTGC son menores por cuanto en algunos casos, con el apremio se obtiene el cumplimieno del contratista, y en otros,  aún se están surtiendo los apremios y seguramente para el siguiente periodo de monitoreo se habrá solicitado el inicio del proceso sancionatorio, si a ello hay lugar  </t>
    </r>
  </si>
  <si>
    <t>1.  
0.00%</t>
  </si>
  <si>
    <r>
      <rPr>
        <b/>
        <sz val="8"/>
        <rFont val="Arial"/>
        <family val="2"/>
      </rPr>
      <t>1.</t>
    </r>
    <r>
      <rPr>
        <sz val="8"/>
        <rFont val="Arial"/>
        <family val="2"/>
      </rPr>
      <t xml:space="preserve">        Cero (0,00)  Frentes de obra  abandonados o sin entrega definitiva a la interventoría  por el contratista,  con  solución  de tal situación  / Cero (0.00)  Frentes de obra abandonados o sin entrega definitiva a la interventoría por parte del contratista*100
Resultado del Indicador: 0.00%
El resultado del indicador muestra que  para el periodo que se evalua  no se presentaron situaciones relacionadas con abandono de frentes de obra por parte de los contratistas.</t>
    </r>
  </si>
  <si>
    <t>NO*</t>
  </si>
  <si>
    <r>
      <rPr>
        <b/>
        <sz val="10"/>
        <rFont val="Arial"/>
        <family val="2"/>
      </rPr>
      <t>NOTA:  El riesgo se materializó en el anterior período (enero - abrl de 2019),  sin embargo se reporta el avance  y estado actual de las acciones emprendidas ante la situación presentada.</t>
    </r>
    <r>
      <rPr>
        <b/>
        <sz val="8"/>
        <rFont val="Arial"/>
        <family val="2"/>
      </rPr>
      <t xml:space="preserve">
</t>
    </r>
    <r>
      <rPr>
        <sz val="8"/>
        <rFont val="Arial"/>
        <family val="2"/>
      </rPr>
      <t xml:space="preserve">
En la ejecución del contrato 1505 de 2017, cuyo objeto es la “CONSERVACIÓN DE PUENTES PEATONALES DE LA MALLA VIAL ARTERIAL, GRUPO 3: TRONCALES AUTOPISTA NORTE, CALLE 26, CALLE 80, EN BOGOTA D.C., INCLUYE SUPERESTRUCTURA, SUBESTRUCTUR NOTA:  aUNQACCESOS.” se presentó abandono de los frentes de obra identificados como: 
a) AV. PASEO DE LOS LIBERTADORES POR CL 125
b) AV. MEDELLÍN POR CRA 99
c) AV. MEDELLÍN POR AV DE LA CONSTITUCIÓN
d) AV. PASEO DE LOS LIBERTADORES POR CLL 114A BIS 
e) AV. MEDELLÍN POR KRA 71
Frente a la Acciones de Respuesta y/o Contingencia establecidas, se tiene el siguiente avance:
</t>
    </r>
    <r>
      <rPr>
        <b/>
        <sz val="8"/>
        <rFont val="Arial"/>
        <family val="2"/>
      </rPr>
      <t xml:space="preserve">*Toma de posesión de las obras abandonadas si  ello aplica: </t>
    </r>
    <r>
      <rPr>
        <sz val="8"/>
        <rFont val="Arial"/>
        <family val="2"/>
      </rPr>
      <t xml:space="preserve">Se esta en revisión del Acta de Recibo Final de Obra con la participación del contratista e interventoría, adicionalmente se espera el tramite del Acta No. 13 de Recibo Parcial de Obra No. 2 con la cual se amortiza el saldo del anticipo y de esta manera se  cierra el balance registrado en el acta de Recibo Final de Obra. En caso de no lograrse la suscripción de dicha acta se implementará lo indicado en el Manual de Interventoria versión 5 resepcto a la toma de poseción de obras.
</t>
    </r>
    <r>
      <rPr>
        <b/>
        <sz val="8"/>
        <rFont val="Arial"/>
        <family val="2"/>
      </rPr>
      <t>*Gestionar ante la DTP, la posible inclusión  en otro contrato de aquellas obras abandonadas  por el contratista, o la contratación de un nuevo contratista, según aplique:</t>
    </r>
    <r>
      <rPr>
        <sz val="8"/>
        <rFont val="Arial"/>
        <family val="2"/>
      </rPr>
      <t xml:space="preserve"> Mediante Memotando STMST No. 20193660155713 del 17 de junio de 2019, se informo a la DTP el avance y estado en el que quedo la meta fisica programa dentro del contrato de obra 1505 de 2017, para que se incluyera en nuevos procesos o de ser posible se atendendiera con otros contratos. 
Con el Contrato de Obra 1504 de 2017 se atendio el Puente Peatonal ubicado en la Av. Medellin con Cra 71 (Estacion Av. Boyaca). 
</t>
    </r>
    <r>
      <rPr>
        <b/>
        <sz val="8"/>
        <rFont val="Arial"/>
        <family val="2"/>
      </rPr>
      <t xml:space="preserve">*Dar inicio al respectivo proceso sancionatorio ante la DTGC: </t>
    </r>
    <r>
      <rPr>
        <sz val="8"/>
        <rFont val="Arial"/>
        <family val="2"/>
      </rPr>
      <t xml:space="preserve">Mediante comunicación radicado IDU No. 20195260116562 del 06/02/2019, la Interventoría entrego a la DTGC el  INFORME TÉCNICO DEL PRESUNTO INCUMPLIMIENTO CONTRACTUAL con el cual se dió inicio al respectivo proceso sancionatorio, a la fecha se llevan 11 sesiones desde el dia 25 de febrero de 2019 cuando se realizo la Audiencia de Instalación.   
*Una vez iniciado el proceso sancionatorio ... : se ha hecho el debido acompañamiento a la DTGC (atendiendo las solicitudes  de la citada dependencia en cuanto a aporte de información  y documentación requerida por dicha área,  además de asistencia a las diferentes audiencias realizadas), acompañamiento que se continuará hasta la culminación o cierre del mismo.  
</t>
    </r>
  </si>
  <si>
    <t>Que no  se realice la liquidación en el plazo establecido en el contrato y/o la ley.</t>
  </si>
  <si>
    <t>1.
0.00 %
2.
0.00%</t>
  </si>
  <si>
    <r>
      <rPr>
        <b/>
        <sz val="8"/>
        <rFont val="Arial"/>
        <family val="2"/>
      </rPr>
      <t xml:space="preserve">1.  </t>
    </r>
    <r>
      <rPr>
        <sz val="8"/>
        <rFont val="Arial"/>
        <family val="2"/>
      </rPr>
      <t xml:space="preserve">    Cero (0.00)   requerimiento de la autoridad ambiental atendido por el IDU en el período evaluado / Cero (0.00)  requerimientos presentados por la autoridad ambiental en el periodo evaluado *100
Resultado del Indicador:  0.00%
El resultado del indicador  refleja  que no se presentaron requerimientos de la autoridad ambiental durante el periodo evaluado relacionados con el patio del material de fresado.
</t>
    </r>
    <r>
      <rPr>
        <b/>
        <sz val="8"/>
        <rFont val="Arial"/>
        <family val="2"/>
      </rPr>
      <t xml:space="preserve">2.    </t>
    </r>
    <r>
      <rPr>
        <sz val="8"/>
        <rFont val="Arial"/>
        <family val="2"/>
      </rPr>
      <t xml:space="preserve">  Cero (0.00</t>
    </r>
    <r>
      <rPr>
        <b/>
        <sz val="8"/>
        <rFont val="Arial"/>
        <family val="2"/>
      </rPr>
      <t xml:space="preserve">) </t>
    </r>
    <r>
      <rPr>
        <sz val="8"/>
        <rFont val="Arial"/>
        <family val="2"/>
      </rPr>
      <t xml:space="preserve"> PQRS  atendidos por el IDU en el período evaluado / Cero (0.00)  PQRS recibidas  en el periodo evaluado*100
Resultado del indicador 0.00% 
Para este indicador 2., igualmente el resultado es 0.00% por cuanto no se recibieron quejas o PQRs  durante el periodo evaluado   relacionadas  con  la ubicación del patio de acopio del fresado y/o el material contenido en el mismo.
</t>
    </r>
  </si>
  <si>
    <r>
      <rPr>
        <b/>
        <sz val="8"/>
        <rFont val="Arial"/>
        <family val="2"/>
      </rPr>
      <t xml:space="preserve">1.  </t>
    </r>
    <r>
      <rPr>
        <sz val="8"/>
        <rFont val="Arial"/>
        <family val="2"/>
      </rPr>
      <t xml:space="preserve">         5 emergencias a nivel distrital atendidas por IDU / 5 emergencias  a nivel distrital requeridas para atención del IDU*100
Resultado del Indicador:100%
En realidad se recibieron  9 solicitudes de atención de emergencias por parte del IDU, sin embargo, luego de verificar la real competencia,  4 de las mismas no resultaron ser de competencia de esta entidad, por lo que fueron devueltas para su atención por parte de la entidad competente, ello motiva el no ser consideradas para el indicador</t>
    </r>
  </si>
  <si>
    <t>1.        47 contratos de conservación  bajo control y seguimiento  de la DTM  que no han registrado alteración o extravío de la información  / 47 contratos de conservación  bajo control y seguimiento  de DTM *100
Resultado del Indicador:100%</t>
  </si>
  <si>
    <t xml:space="preserve">Cero (0.00) quejas recibidas  </t>
  </si>
  <si>
    <t>1. ​      Cero (0.00)  quejas presentadas por ciudadanos o terceros, debido a un manejo inadecuado de la información personal en la DTM
Resultado del Indicador: 0.00  quejas
Durante el periodo que se evalua no se recibieron quejas de ciudadanos o terceros por inadecuado manejo de su información personal confiada a la DTM.</t>
  </si>
  <si>
    <t xml:space="preserve">LIGIA STELLA RODRIGUEZ HERNANDEZ </t>
  </si>
  <si>
    <t>- Se cuenta con las obligaciones contractuales definidas en cada uno de los contratos (Definición y cumplimiento de los Acuerdos de Nivel de Servicio -ANS), así como la suscripción de las pólizas de cumplimiento. Las incidencias sobre los servicios son reportadas a través de las herramientas suministradas por cada proveedor, y el cierre de las mismas son revisadas periódicamente a corte de facturación.
- Procedimientos PR-TI-17 y PR-TI-23 Gestión de servidores y Gestión de telecomunicaciones.
- Aplicación de metodologías conocidas para la definición del PETI, el plan anual de adquisiciones.
- Módulo Asset Management de la herramienta Aranda y Módulo Almacén sistema STONE para ejercer el control automatizado y su comparación.
- Programación de mantenimiento preventivo que se pacta como obligaciones establecidas para los contratistas.
- Utilización del Instructivo de uso del aplicativo WSUS.   
- Control de licencias a partir del servidor de licenciamiento; restricciones para el uso de Llaves USB.
- Cláusulas de confidencialidad en los contratos con terceros.
- Construcción de la documentación operacional para identificación de fallas, instrucciones de apagado y encendido.
- Acceso controlado y regulado al centro de cómputo.
-Análisis periódico de vulnerabilidades</t>
  </si>
  <si>
    <t>Los servicios no se vieron afectados</t>
  </si>
  <si>
    <t>Observaciones o cambios presentados en:
Riesgo:  se mantiene
Causas: se mantienen
consecuencias: se mantienen
Controles: Se incluye un nuevo control
Acciones de contingencia: se mantienen
Indicador:  se mantienen
Otros:</t>
  </si>
  <si>
    <t>- Identificación de roles y responsabilidades en el proceso GTIC, mediante la matriz de responsabilidades.
- Formalización y publicación de las políticas operativas de TIC.
- Revisión periódica de los accesos que tienen los usuarios a los recursos.
- Servicio de NTP centralizado en el servidor de dominio que hace que todos los equipos que se autentiquen en la red del Instituto mantengan actualizados los datos de fecha y hora.
- Revisión periódica del módulo de prevención de ataques (IPS) del dispositivo de seguridad perimetral.
- La mesa de trabajo de gestión de cambios realiza la aprobación o rechazo de solicitudes, de los casos registrados en Aranda.
- Los usuarios finales de la plataforma de TI del Instituto, no cuentan con privilegios de administración local o de red, que permitan cambios o accesos no autorizados.
- Periódicamente se hacen revisiones a los registros automáticos (logs) de los diferentes servidores y equipos de red, para identificar alertas y advertencias de seguridad.
-Análisis periódico de vulnerabilidades</t>
  </si>
  <si>
    <t>Observaciones o cambios presentados en:
Riesgo:  se mantiene
Causas: se mantienen
consecuencias: se mantienen
Controles: se incluye un nuevo control
Acciones de contingencia: se mantienen
Indicador: se mantiene
Otros:</t>
  </si>
  <si>
    <t>- Algunas aplicaciones y servicios adicionan certificados digitales o algoritmos de cifrado de la información en las transacciones que se realizan a través de redes públicas.
- Se han contemplado las condiciones de uso de los recursos de tecnología y se hace divulgación de dichas condiciones en conjunto con la OAC.
- Se ha formalizado y se está promoviendo el uso del procedimiento de gestión de incidentes de seguridad de la información.
-Análisis periódico de vulnerabilidades</t>
  </si>
  <si>
    <t>Observaciones o cambios presentados en:
Riesgo: se mantiene
Causas: se mantienen
consecuencias: se mantienen
Controles: Se incluye un nuevo control.
Acciones de contingencia: se mantienen
Indicador: se mantienen
Otros:</t>
  </si>
  <si>
    <t>En el periodo evaluado se presentaron  casos que fueron cerrados fuera de los tiempos de los acuerdos de nivel de servicio, los que están siendo verificados.</t>
  </si>
  <si>
    <t>Se definirá plan de mejoramiento, pues este ejercicio nos permitió determinar que el riesgo se había materializado</t>
  </si>
  <si>
    <r>
      <t xml:space="preserve">Una vez detectados daños en las obras, no requerir al contratista por los daños de su presunta imputabilidad en contratos con póliza de estabilidad vigente, incumpliendo el Art. 4 numeral 4 de la Ley 80/1993: </t>
    </r>
    <r>
      <rPr>
        <b/>
        <i/>
        <sz val="10"/>
        <rFont val="Arial Unicode MS"/>
        <family val="2"/>
      </rPr>
      <t>"...verificar que ellos cumplan con las condiciones de calidad ofrecidas por los contratistas, y promoverán las acciones de responsabilidad contra éstos y sus garantes cuando dichas condiciones no se cumplan."</t>
    </r>
  </si>
  <si>
    <t>A.5.1.1 Políticas para la seguridad de la Información
A.7.2.2 Toma de Conciencia, Educación y Formación en la Seguridad de la Información
A.8.2.1 Clasificación de la Información
A.8.2.2 Etiquetado y manejo de información
A.11.2.8 Equipos de Usuario Desatendidos
A.11.2.9 Política de Escritorio Limpio y pantalla limpia</t>
  </si>
  <si>
    <t>A.5.1.1 Políticas para la seguridad de la Información
A.7.2.2 Toma de Conciencia, Educación y Formación en la Seguridad de la Información
A.12.3.1 Respaldo de la Información
A.12.4.1 Registro de Eventos</t>
  </si>
  <si>
    <t>A.5.1.1 Políticas para la seguridad de la Información
A.7.2.2 Toma de Conciencia, Educación y Formación en la Seguridad de la Información
A.13.2.1 Políticas y procedimientos de transferencia de información</t>
  </si>
  <si>
    <t>CONTROL ANEXO A 27001</t>
  </si>
  <si>
    <t>A.5.1.1 Políticas para la seguridad de la Información
A.7.2.2 Toma de Conciencia, Educación y Formación en la Seguridad de la Información
A.8.2.1 Clasificación de la Información
A.8.2.2 Etiquetado y manejo de información
A.8.2.3 Manejo de Activos
A.9.4.3 Sistema de Gestión de Contraseñas
A.9.4.2 Procedimiento de Ingreso Seguro
A.11.2.9 Política de Escritorio Limpio y pantalla limpia
A.12.3.1 Respaldo de la Información</t>
  </si>
  <si>
    <t>A.5.1.1 Políticas para la seguridad de la Información
A.6.2.1 Política para dispositivos móviles
A.7.2.2 Toma de Conciencia, Educación y Formación en la Seguridad de la Información
A.9.1.1 Política de Control de Acceso
A.12.3.1 Respaldo de la Información
A.12.4.1 Registro de Eventos</t>
  </si>
  <si>
    <t>A.5.1.1 Políticas para la seguridad de la Información
A.7.2.2 Toma de Conciencia, Educación y Formación en la Seguridad de la Información
A.12.1.3 Gestión de Capacidad
A.12.3.1 Respaldo de la Información
A.13.2.3 Mensajería Electrónica</t>
  </si>
  <si>
    <t xml:space="preserve">A.5.1.1 Políticas para la seguridad de la Información
8.3.3 Transferencia de medios físicos
A.12.1.3 Gestión de Capacidad
A.12.3.1 Respaldo de la Información
</t>
  </si>
  <si>
    <t>A.5.1.1 Políticas para la seguridad de la Información
A.7.2.2 Toma de Conciencia, Educación y Formación en la Seguridad de la Información</t>
  </si>
  <si>
    <t>A.5.1.1 Políticas para la seguridad de la Información
A.7.2.2 Toma de Conciencia, Educación y Formación en la Seguridad de la Información
A.11.2.1 Ubicación y protección de los equipos</t>
  </si>
  <si>
    <t>A.5.1.1 Políticas para la seguridad de la Información
A.6.2.2 Teletrabajo
A.12.3.1 Respaldo de la Información
A.17.1.1 Planificación de la continuidad de la Seguridad de la Información
A.17.1.2 Implementación de la continuidad de la seguridad de la información</t>
  </si>
  <si>
    <t>A.5.1.1 Políticas para la seguridad de la Información
A.7.2.2 Toma de Conciencia, Educación y Formación en la Seguridad de la Información
A.11.2.9 Política de Escritorio Limpio y pantalla limpia
A.12.3.1 Respaldo de la Información</t>
  </si>
  <si>
    <t>A.5.1.1 Políticas para la seguridad de la Información
A.7.2.2 Toma de Conciencia, Educación y Formación en la Seguridad de la Información
A.11.2.9 Política de Escritorio Limpio y pantalla limpia
A.12.3.1 Respaldo de la Información
A.13.2.3 Mensajería Electrónica</t>
  </si>
  <si>
    <t>A.7.2.2 Toma de Conciencia, Educación y Formación en la Seguridad de la Información
A.18.1.4 Privacidad y Protección de información de datos personales</t>
  </si>
  <si>
    <t xml:space="preserve">A.5.1.1 Políticas para la seguridad de la Información
A.7.2.2 Toma de Conciencia, Educación y Formación en la Seguridad de la Información
A.8.1.4 Devolución de Activos
A.9.2.4 Gestión de información de autenticación secreta de usuarios
A.11.1.3 Seguridad de oficinas, recintos e instalaciones
A.11.2.9 Política de Escritorio Limpio y pantalla limpia
A.12.3.1 Respaldo de la Información
A.13.2.3 Mensajería Electrónica
</t>
  </si>
  <si>
    <t xml:space="preserve">A.5.1.1 Políticas para la seguridad de la Información
A.7.2.2 Toma de Conciencia, Educación y Formación en la Seguridad de la Información
A.11.2.9 Política de Escritorio Limpio y pantalla limpia
A.13.2.1 Políticas y procedimientos de transferencia de información
A.13.2.3 Mensajería Electrónica
</t>
  </si>
  <si>
    <t>A.5.1.1 Políticas para la seguridad de la Información
A.17.1.1 Planificación de la continuidad de la Seguridad de la Información
A.17.1.2 Implementación de la continuidad de la seguridad de la información</t>
  </si>
  <si>
    <t>A.5.1.1 Políticas para la seguridad de la Información
A.6.2.1 Política para dispositivos móviles
A.9.1.1 Política de Control de Acceso
A.10.1.1 Política sobre el uso de controles criptográficos
A.10.1.2 Gestión de Llaves
A.11.2.9 Política de Escritorio Limpio y pantalla limpia
A.14.2.1 Política de Desarrollo Seguro
A.15.1.1 Política de Seguridad de la Información para las relaciones con proveedores</t>
  </si>
  <si>
    <t>A.5.1.1 Políticas para la seguridad de la Información</t>
  </si>
  <si>
    <t>A.5.1.1 Políticas para la seguridad de la Información
A.7.2.2 Toma de Conciencia, Educación y Formación en la Seguridad de la Información
A.11.2.8 Equipos de Usuario Desatendidos
A.11.2.9 Política de Escritorio Limpio y pantalla limpia</t>
  </si>
  <si>
    <t>A.7.2.2 Toma de Conciencia, Educación y Formación en la Seguridad de la Información
A.8.1.4 Devolución de Activos
A.8.2.1 Clasificación de la Información
A.8.2.2 Etiquetado y manejo de información
A.8.2.3 Manejo de Activos
A.9.4.3 Sistema de Gestión de Contraseñas
A.11.2.8 Equipos de Usuario Desatendidos
A.11.2.9 Política de Escritorio Limpio y pantalla limpia
A.13.2.3 Mensajería Electrónica</t>
  </si>
  <si>
    <t>A.8.1.1 Inventario de activos
A.13.2.4 Acuerdos de Confidencialidad o de NO divulgación
A.18.1.4 Privacidad y Protección de información de datos personales</t>
  </si>
  <si>
    <t>A.5.1.1 Políticas para la seguridad de la Información
A.7.2.2 Toma de Conciencia, Educación y Formación en la Seguridad de la Información
A.8.1.1 Inventario de activos
A.8.1.2 Propiedad de los activos
A.8.1.3 Uso aceptable de los activos
A.8.1.4 Devolución de Activos
A.8.2.1 Clasificación de la Información
A.8.2.2 Etiquetado y manejo de información
A.8.2.3 Manejo de Activos
A.9.4.3 Sistema de Gestión de Contraseñas
A.11.1.3 Seguridad de oficinas, recintos e instalaciones
A.11.1.5 Trabajo en áreas seguras
A.11.2.1 Ubicación y protección de los equipos
A.11.2.8 Equipos de Usuario Desatendidos
A.11.2.9 Política de Escritorio Limpio y pantalla limpia
A.12.6.2 Restricciones sobre la instalación de Software
A.13.2.3 Mensajería Electrónica</t>
  </si>
  <si>
    <t>A.5.1.1 Políticas para la seguridad de la Información
A.7.2.2 Toma de Conciencia, Educación y Formación en la Seguridad de la Información
A.11.2.9 Política de Escritorio Limpio y pantalla limpia
A.13.2.4 Acuerdos de Confidencialidad o de NO divulgación</t>
  </si>
  <si>
    <t>A.6.1.1 Roles y responsabilidades para la Seguridad de la Información
A.6.1.2 Separación de Deberes
A.8.1.3 Uso aceptable de los activos
A.8.2.3 Manejo de Activos
A.11.2.1 Ubicación y protección de los equipos
A.11.2.6 Seguridad de los equipos y activos fuera de las instalaciones
A.11.2.8 Equipos de Usuario Desatendidos
A.11.2.9 Política de Escritorio Limpio y pantalla limpia</t>
  </si>
  <si>
    <t xml:space="preserve">A.5.1.1 Políticas para la seguridad de la Información
A.11.2.9 Política de Escritorio Limpio y pantalla limpia
A.12.2.1 Controles contra códigos maliciosos
A.13.1.1 Controles de Redes
</t>
  </si>
  <si>
    <t>A.5.1.1 Políticas para la seguridad de la Información
A.7.2.2 Toma de Conciencia, Educación y Formación en la Seguridad de la Información
A.8.1.3 Uso aceptable de los activos
A.11.2.1 Ubicación y protección de los equipos
A.12.2.1 Controles contra códigos maliciosos</t>
  </si>
  <si>
    <t>A.5.1.1 Políticas para la seguridad de la Información
A.7.2.2 Toma de Conciencia, Educación y Formación en la Seguridad de la Información
A.11.2.2 Servicios de suministro
A.6.2.1 Política para dispositivos móviles
A.6.2.2 Teletrabajo
A.7.2.1 Responsabilidades de la Dirección
A.9.1.1 Política de Control de Acceso</t>
  </si>
  <si>
    <t>A.6.1.5 Seguridad de la Información en la Gestión de Proyectos</t>
  </si>
  <si>
    <t>A.5.1.1 Políticas para la seguridad de la Información
A.11.1.1 Perímetro de seguridad física
A.11.2.9 Política de Escritorio Limpio y pantalla limpia
A.12.1.1 Procedimientos de Operación Documentados
A.12.3.1 Respaldo de la Información</t>
  </si>
  <si>
    <t>A.13.2.3 Mensajería Electrónica
A.17.1.1 Planificación de la continuidad de la Seguridad de la Información
A.17.1.2 Implementación de la continuidad de la seguridad de la información
A.17.2.1 Disponibilidad de instalaciones de procesamiento de información</t>
  </si>
  <si>
    <t>A.5.1.1 Políticas para la seguridad de la Información
A.7.2.2 Toma de Conciencia, Educación y Formación en la Seguridad de la Información
A.8.1.1 Inventario de activos
A.8.1.2 Propiedad de los activos
A.8.1.3 Uso aceptable de los activos
A.8.1.4 Devolución de Activos
A.11.1.3 Seguridad de oficinas, recintos e instalaciones
A.11.2.8 Equipos de Usuario Desatendidos
A.11.2.9 Política de Escritorio Limpio y pantalla limpia
A.13.2.4 Acuerdos de Confidencialidad o de NO divulgación</t>
  </si>
  <si>
    <t>A.7.2.2 Toma de Conciencia, Educación y Formación en la Seguridad de la Información
A.8.1.3 Uso aceptable de los activos
A.12.3.1 Respaldo de la Información
A.12.5.1 Instalación de Software en Sistemas Operativos</t>
  </si>
  <si>
    <t>A.7.2.2 Toma de Conciencia, Educación y Formación en la Seguridad de la Información
A.11.2.8 Equipos de Usuario Desatendidos
A.11.2.9 Política de Escritorio Limpio y pantalla limpia
A.13.2.3 Mensajería Electrónica
A.13.2.4 Acuerdos de Confidencialidad o de NO divulgación</t>
  </si>
  <si>
    <t>A.5.1.1 Políticas para la seguridad de la Información
A.13.2.4 Acuerdos de Confidencialidad o de NO divulgación
A.18.1.4 Privacidad y Protección de información de datos personales</t>
  </si>
  <si>
    <t xml:space="preserve">A.16.1.3 Reporte de debilidades de seguridad de la información
A.15.2.2 Gestión de Cambios en los Servicios de los Proveedores
</t>
  </si>
  <si>
    <t xml:space="preserve">A.5.1.1 Políticas para la seguridad de la Información
A.7.2.2 Toma de Conciencia, Educación y Formación en la Seguridad de la Información
A.8.1.3 Uso aceptable de los activos
</t>
  </si>
  <si>
    <t>A.5.1.1 Políticas para la seguridad de la Información
A.7.2.2 Toma de Conciencia, Educación y Formación en la Seguridad de la Información
A.12.1.1 Procedimientos de Operación Documentados
A.12.3.1 Respaldo de la Información
A.18.1.4 Privacidad y Protección de información de datos personales</t>
  </si>
  <si>
    <t>A.6.1.1 Roles y responsabilidades para la Seguridad de la Información
A.7.2.2 Toma de Conciencia, Educación y Formación en la Seguridad de la Información
A.14.1.1 Análisis y especificación de requisitos de Seguridad de la Información</t>
  </si>
  <si>
    <t>A.11.2.5 Retiro de Activos</t>
  </si>
  <si>
    <t>A.5.1.1 Políticas para la seguridad de la Información
A.7.2.2 Toma de Conciencia, Educación y Formación en la Seguridad de la Información
A.8.1.4 Devolución de Activos
A.8.2.1 Clasificación de la Información
A.8.2.2 Etiquetado y manejo de información
A.11.2.9 Política de Escritorio Limpio y pantalla limpia
A.13.2.4 Acuerdos de Confidencialidad o de NO divulgación
A.13.2.3 Mensajería Electrónica</t>
  </si>
  <si>
    <t xml:space="preserve">A.5.1.1 Políticas para la seguridad de la Información
A.7.2.2 Toma de Conciencia, Educación y Formación en la Seguridad de la Información
A.11.2.9 Política de Escritorio Limpio y pantalla limpia
A.11.2.8 Equipos de Usuario Desatendidos
A.12.3.1 Respaldo de la Información
A.12.4.1 Registro de Eventos
A.12.5.1 Instalación de Software en Sistemas Operativos
</t>
  </si>
  <si>
    <t xml:space="preserve">A.5.1.1 Políticas para la seguridad de la Información
A.7.2.2 Toma de Conciencia, Educación y Formación en la Seguridad de la Información
A.11.2.9 Política de Escritorio Limpio y pantalla limpia
A.11.2.8 Equipos de Usuario Desatendidos
A.13.2.3 Mensajería Electrónica
</t>
  </si>
  <si>
    <t>A.17.1.1 Planificación de la continuidad de la Seguridad de la Información
A.17.1.2 Implementación de la continuidad de la seguridad de la información</t>
  </si>
  <si>
    <t>A.7.2.2 Toma de Conciencia, Educación y Formación en la Seguridad de la Información
A.13.2.4 Acuerdos de Confidencialidad o de NO divulgación
A.18.1.4 Privacidad y Protección de información de datos personales</t>
  </si>
  <si>
    <t xml:space="preserve">  A.7.2.2 Toma de Conciencia, Educación y Formación en la Seguridad de la Información
A.8.1.1 Inventario de activos
A.8.1.2 Propiedad de los activos
A.8.1.3 Uso aceptable de los activos
A.18.1.4 Privacidad y Protección de información de datos personales</t>
  </si>
  <si>
    <t>A.11.1.4 Protección contra amenazas externas y ambientales
A.11.1.6 Áreas de despacho y carga
A.15.1.2 Tratamiento de la Seguridad dentro de los acuerdos con proveedores
A.17.1.1 Planificación de la continuidad de la Seguridad de la Información
A.17.1.2 Implementación de la continuidad de la seguridad de la información</t>
  </si>
  <si>
    <t>A.16.1.3 Reporte de debilidades de seguridad de la información</t>
  </si>
  <si>
    <t xml:space="preserve">A.13.1.2 Seguridad en los servicios de red
A.13.2.2 Acuerdos sobre transferencia de Información
A.16.1.3 Reporte de debilidades de seguridad de la información
</t>
  </si>
  <si>
    <t>A.14.1.3 Protección de transacciones de los servicios de las aplicaciones</t>
  </si>
  <si>
    <t xml:space="preserve">
A.10.1.2 Gestión de Llaves
A.13.1.2 Seguridad en los servicios de red</t>
  </si>
  <si>
    <t>A.7.2.2 Toma de Conciencia, Educación y Formación en la Seguridad de la Información</t>
  </si>
  <si>
    <t>A.12.1.1 Procedimientos de Operación Documentados</t>
  </si>
  <si>
    <t>A.5.1.1 Políticas para la seguridad de la Información
A.7.2.2 Toma de Conciencia, Educación y Formación en la Seguridad de la Información
A.8.2.1 Clasificación de la Información
A.8.2.2 Etiquetado y manejo de información
A.11.2.8 Equipos de Usuario Desatendidos
A.11.2.9 Política de Escritorio Limpio y pantalla limpia
A.12.3.1 Respaldo de la Información
A.17.1.1 Planificación de la continuidad de la Seguridad de la Información
A.17.1.2 Implementación de la continuidad de la seguridad de la información</t>
  </si>
  <si>
    <t>A.7.2.2 Toma de Conciencia, Educación y Formación en la Seguridad de la Información
A.12.1.1 Procedimientos de Operación Documentados
A.17.1.1 Planificación de la continuidad de la Seguridad de la Información
A.17.1.2 Implementación de la continuidad de la seguridad de la información</t>
  </si>
  <si>
    <t>A.17.1.1 Planificación de la continuidad de la Seguridad de la Información
A.17.1.2 Implementación de la continuidad de la seguridad de la información
A.17.1.3 Verificación, revisión y evaluación de la continuidad de la seguridad de la información
A.17.2.1 Disponibilidad de instalaciones de procesamiento de información</t>
  </si>
  <si>
    <t>A.7.2.2 Toma de Conciencia, Educación y Formación en la Seguridad de la Información
A.18.1.1 Identificación de la legislación aplicable y los requisitos contractuales</t>
  </si>
  <si>
    <t>A.18.1.1 Identificación de la legislación aplicable y los requisitos contractuales</t>
  </si>
  <si>
    <t>A.5.1.1 Políticas para la seguridad de la Información
A.7.2.2 Toma de Conciencia, Educación y Formación en la Seguridad de la Información
A.11.2.8 Equipos de Usuario Desatendidos
A.11.2.9 Política de Escritorio Limpio y pantalla limpia
A.12.3.1 Respaldo de la Información</t>
  </si>
  <si>
    <t>A.5.1.1 Políticas para la seguridad de la Información
A.7.2.2 Toma de Conciencia, Educación y Formación en la Seguridad de la Información
A.18.1.4 Privacidad y Protección de información de datos personales</t>
  </si>
  <si>
    <t>A.9.4.5 Control de Acceso a Códigos Fuente de Programas
A.12.1.4 Separación de las instalaciones de desarrollo, ensayo y operación
A.14.1.1 Análisis y especificación de requisitos de seguridad de la información
A.14.2.1 Política de desarrollo seguro
A.14.2.2 Procedimientos de control de cambios en sistemas
A.14.2.5 Principios de construcción de sistemas seguros
A.14.2.6 Ambiente de desarrollo seguro</t>
  </si>
  <si>
    <t>A.12.1.3 Gestión de Capacidad</t>
  </si>
  <si>
    <t>A.9.1.1 Política de Control de Acceso
A.9.3.1 Uso de información de autenticación secreta
A.9.4.2 Procedimiento de Ingreso Seguro
A.9.4.3 Sistema de Gestión de Contraseñas
A.11.2.1 Ubicación y protección de los equipos
A.11.2.3 Seguridad del cableado
A.11.2.4 Mantenimiento de los equipos
A.11.2.8 Equipos de Usuario Desatendidos
A.12.3.1 Respaldo de la Información
A.12.5.1 Instalación de Software en Sistemas Operativos
A.12.6.1 Gestión de las Vulnerabilidades Técnicas
A.12.6.2 Restricciones sobre la instalación de Software
A.13.1.1 Controles de Redes
A.13.1.2 Seguridad en los servicios de red
A.13.2.1 Políticas y procedimientos de transferencia de información
A.13.2.2 Acuerdos sobre transferencia de Información
A.14.1.2 Seguridad en los servicios de las aplicaciones en redes públicas
A.14.1.3 Protección de transacciones de los servicios de las aplicaciones
A.18.2.3 Revisión del cumplimiento técnico</t>
  </si>
  <si>
    <t>A.5.1.1 Políticas para la seguridad de la Información
A.6.2.1 Política para dispositivos móviles
A.6.2.2 Teletrabajo
A.7.2.1 Responsabilidades de la Dirección
A.7.2.2 Toma de Conciencia, Educación y Formación en la Seguridad de la Información
A.8.3.2 Disposición de los Medios
A.9.1.1 Política de Control de Acceso
A.9.4.3 Sistema de Gestión de Contraseñas
A.9.4.4 Uso de programas utilitarios privilegiados
A.9.4.5 Control de Acceso a Códigos Fuente de Programas
A.10.1.1 Política sobre el uso de controles criptográficos
A.11.2.7 Disposición Segura o Reutilización de equipos
A.11.2.8 Equipos de Usuario Desatendidos
A.11.2.9 Política de Escritorio Limpio y pantalla limpia
A.12.2.1 Controles contra códigos maliciosos
A.12.4.1 Registro de Eventos
A.12.4.2 Protección de la información del registro
A.12.5.1 Instalación de Software en Sistemas Operativos
A.12.6.1 Gestión de las Vulnerabilidades Técnicas
A.12.6.2 Restricciones sobre la instalación de Software
A.12.7.1 Controles de auditorias de sistemas de información
A.14.2.1 Política de Desarrollo Seguro
A.15.1.1 Política de Seguridad de la Información para las relaciones con proveedores
A.18.2.1 Revisión Independiente de la Seguridad de Información</t>
  </si>
  <si>
    <t>A.6.1.1 Roles y responsabilidades para la Seguridad de la Información
A.9.2.1 Registro y cancelación del registro de usuarios
A.9.2.2 Suministro de Acceso a Usuarios
A.9.2.3 Gestión de Derechos de Acceso Privilegiado
A.9.2.5 Revisión de los derechos de Acceso de Usuarios
A.9.2.6 Retiro o ajuste de derechos de acceso
A.12.1.2 Gestión de Cambios
A.12.4.3 Registros del Administrador y del Operador
A.12.4.4 Sincronización de Relojes
A.14.2.3 Revisión Técnicas de las Aplicaciones después de los cambios en la plataforma de operación
A.14.2.4 Restricciones en los cambios a los paquetes de software
A.15.2.2 Gestión de Cambios en los Servicios de los Proveedores
A.18.1.3 Protección de registros 
A.18.2.3 Revisión del cumplimiento técnico</t>
  </si>
  <si>
    <t>A.7.2.2 Toma de Conciencia, Educación y Formación en la Seguridad de la Información
A.8.1.1 Inventario de activos
A.8.1.2 Propiedad de los activos
A.12.2.1 Controles contra códigos maliciosos
A.12.5.1 Instalación de Software en Sistemas Operativos</t>
  </si>
  <si>
    <t>A.6.2.1 Política para dispositivos móviles
A.6.2.2 Teletrabajo
A.8.3.1 Gestión de Medios Removibles
A.8.3.3 Transferencia de Medios Físicos
A.9.4.1 Restricción de Acceso a la Información
A.11.2.1 Ubicación y protección de los equipos
A.11.2.6 Seguridad de los equipos y activos fuera de las instalaciones
A.12.1.2 Gestión de Cambios
A.12.2.1 Controles contra códigos maliciosos
A.12.3.1 Respaldo de la Información
A.12.5.1 Instalación de Software en Sistemas Operativos
A.12.7.1 Controles de auditorias de sistemas de información
A.13.2.1 Políticas y procedimientos de transferencia de información
A.14.2.3 Revisión Técnicas de las Aplicaciones después de los cambios en la plataforma de operación
A.15.2.2 Gestión de Cambios en los Servicios de los Proveedores
A.18.2.1 Revisión Independiente de la Seguridad de Información</t>
  </si>
  <si>
    <t>A.9.4.1 Restricción de Acceso a la Información
A.11.1.2 Controles de acceso físico
A.11.1.3 Seguridad de oficinas, recintos e instalaciones
A.12.3.1 Respaldo de la Información
A.16.1.1 Gestión de Incidentes / Responsabilidades y Procedimientos</t>
  </si>
  <si>
    <t>A.6.1.3 Contacto con las autoridades
A.6.1.4 Contacto con las grupos de interés especial
A.7.2.2 Toma de Conciencia, Educación y Formación en la Seguridad de la Información
A.7.2.3 Proceso Disciplinario
A.9.4.3 Sistema de Gestión de Contraseñas
A.10.1.1 Política sobre el uso de controles criptográficos
A.10.1.2 Gestión de Llaves
A.11.2.1 Ubicación y protección de los equipos
A.12.6.2 Restricciones sobre la instalación de Software
A.16.1.1 Gestión de Incidentes / Responsabilidades y Procedimientos
A.16.1.2 Reporte de Eventos de Seguridad de la Información
A.16.1.3 Reporte de debilidades de seguridad de la información
A.16.1.4 Evaluación de Eventos de Seguridad de la Información y decisiones sobre ellos
A.16.1.5 Respuesta a incidentes de seguridad de la información
A.16.1.6 Aprendizaje obtenido de los incidentes de seguridad de la información
A.16.1.7 Recolección de Evidencia
A.18.1.5 Reglamentación de Controles Criptográficos
A.18.2.3 Revisión del cumplimiento técnico</t>
  </si>
  <si>
    <t>A.6.1.2 Separación de Deberes
A.6.1.3 Contacto con las autoridades
A.6.1.4 Contacto con las grupos de interés especial
A.7.2.2 Toma de Conciencia, Educación y Formación en la Seguridad de la Información
A.9.1.2 Acceso a redes y a servicios de red
A.9.4.3 Sistema de Gestión de Contraseñas
A.9.4.4 Uso de programas utilitarios privilegiados
A.11.2.1 Ubicación y protección de los equipos
A.11.2.3 Seguridad del cableado
A.11.2.8 Equipos de Usuario Desatendidos
A.12.2.1 Controles contra códigos maliciosos
A.12.6.2 Restricciones sobre la instalación de Software
A.15.1.3 Cadena de Suministro de Tecnología de Información y Comunicación
A.16.1.4 Evaluación de Eventos de Seguridad de la Información y decisiones sobre ellos
A.16.1.5 Respuesta a incidentes de seguridad de la información
A.16.1.6 Aprendizaje obtenido de los incidentes de seguridad de la información
A.16.1.7 Recolección de Evidencia
A.18.1.5 Reglamentación de Controles Criptográficos
A.18.2.1 Revisión Independiente de la Seguridad de Información
A.18.2.3 Revisión del cumplimiento técnico</t>
  </si>
  <si>
    <t>A.6.1.2 Separación de Deberes
A.16.1.1 Gestión de Incidentes / Responsabilidades y Procedimientos
A.16.1.2 Reporte de Eventos de Seguridad de la Información
A.16.1.3 Reporte de debilidades de seguridad de la información
A.16.1.4 Evaluación de Eventos de Seguridad de la Información y decisiones sobre ellos
A.16.1.5 Respuesta a incidentes de seguridad de la información
A.16.1.6 Aprendizaje obtenido de los incidentes de seguridad de la información
A.16.1.7 Recolección de Evidencia</t>
  </si>
  <si>
    <t xml:space="preserve">A.9.1.2 Acceso a redes y a servicios de red
A.9.4.3 Sistema de Gestión de Contraseñas
A.12.2.1 Controles contra códigos maliciosos
A.12.6.2 Restricciones sobre la instalación de Software
A.13.1.1 Controles de Redes
A.13.1.3 Separación en las Redes
A.13.2.1 Políticas y procedimientos de transferencia de información
</t>
  </si>
  <si>
    <t>A.7.2.2 Toma de Conciencia, Educación y Formación en la Seguridad de la Información
A.9.4.3 Sistema de Gestión de Contraseñas
A.11.2.8 Equipos de Usuario Desatendidos
A.12.5.1 Instalación de Software en Sistemas Operativos
A.12.6.2 Restricciones sobre la instalación de Software
A.13.2.3 Mensajería Electrónica</t>
  </si>
  <si>
    <t>A.6.2.2 Teletrabajo
A.7.2.2 Toma de Conciencia, Educación y Formación en la Seguridad de la Información
A.11.2.1 Ubicación y protección de los equipos
A.11.2.6 Seguridad de los equipos y activos fuera de las instalaciones
A.12.3.1 Respaldo de la Información
A.12.5.1 Instalación de Software en Sistemas Operativos
A.13.2.1 Políticas y procedimientos de transferencia de información</t>
  </si>
  <si>
    <t>A.11.1.1 Perímetro de seguridad física
A.11.1.2 Controles de acceso físico
A.11.1.3 Seguridad de oficinas, recintos e instalaciones
A.11.1.4 Protección contra amenazas externas y ambientales
A.11.1.5 Trabajo en áreas seguras
A.17.1.1 Planificación de la continuidad de la Seguridad de la Información
A.17.1.2 Implementación de la continuidad de la seguridad de la información
A.17.2.1 Disponibilidad de instalaciones de procesamiento de información
A.18.2.2 Cumplimiento con las políticas y normas de seguridad</t>
  </si>
  <si>
    <t>A.8.3.2 Disposición de los Medios
A.9.4.1 Restricción de Acceso a la Información
A.11.2.7 Disposición Segura o Reutilización de equipos
A.17.1.1 Planificación de la continuidad de la Seguridad de la Información
A.17.1.2 Implementación de la continuidad de la seguridad de la información
A.17.2.1 Disponibilidad de instalaciones de procesamiento de información</t>
  </si>
  <si>
    <t>A.14.2.7 Desarrollo contratado externamente
A.15.1.2 Tratamiento de la Seguridad dentro de los acuerdos con proveedores
A.15.1.3 Cadena de Suministro de Tecnología de Información y Comunicación
A.15.2.1 Seguimiento y revisión de los servicios de los proveedores
A.15.2.2 Gestión de Cambios en los Servicios de los Proveedores</t>
  </si>
  <si>
    <t>A.12.3.1 Respaldo de la Información</t>
  </si>
  <si>
    <t xml:space="preserve">A.7.2.2 Toma de Conciencia, Educación y Formación en la Seguridad de la Información
A.12.3.1 Respaldo de la Información
</t>
  </si>
  <si>
    <t>A.8.1.1 Inventario de activos
A.8.1.2 Propiedad de los activos</t>
  </si>
  <si>
    <t>A.5.1.1 Políticas para la seguridad de la Información
A.7.2.2 Toma de Conciencia, Educación y Formación en la Seguridad de la Información
A.8.2.1 Clasificación de la Información
A.8.2.2 Etiquetado y manejo de información
A.8.1.4 Devolución de Activos
A.11.2.8 Equipos de Usuario Desatendidos
A.11.2.9 Política de Escritorio Limpio y pantalla limpia
A.13.2.3 Mensajería Electrónica</t>
  </si>
  <si>
    <t>A.7.2.2 Toma de Conciencia, Educación y Formación en la Seguridad de la Información
A.12.3.1 Respaldo de la Información
A.12.5.1 Instalación de Software en Sistemas Operativos
A.18.1.3 Protección de registros</t>
  </si>
  <si>
    <t>A.7.2.2 Toma de Conciencia, Educación y Formación en la Seguridad de la Información
A.11.2.8 Equipos de Usuario Desatendidos
A.11.2.9 Política de Escritorio Limpio y pantalla limpia
A.12.1.1 Procedimientos de Operación Documentados
A.13.2.3 Mensajería Electrónica
A.13.2.4 Acuerdos de Confidencialidad o de NO divulgación</t>
  </si>
  <si>
    <t xml:space="preserve">A.17.1.1 Planificación de la continuidad de la Seguridad de la Información
A.17.1.2 Implementación de la continuidad de la seguridad de la información
</t>
  </si>
  <si>
    <t>A.5.1.1 Políticas para la seguridad de la Información
A.7.2.2 Toma de Conciencia, Educación y Formación en la Seguridad de la Información
A.8.2.2 Etiquetado y manejo de información
A.13.2.4 Acuerdos de Confidencialidad o de NO divulgación</t>
  </si>
  <si>
    <t>A.8.3.3 Transferencia de Medios Físicos
A.11.1.4 Protección contra amenazas externas y ambientales</t>
  </si>
  <si>
    <t>A.11.2.1 Ubicación y protección de los equipos
A.18.1.2 Derechos de propiedad intelectual (DPI)</t>
  </si>
  <si>
    <t xml:space="preserve">A.5.1.1 Políticas para la seguridad de la Información
A.7.2.2 Toma de Conciencia, Educación y Formación en la Seguridad de la Información
A.8.3.2 Disposición de los Medios
A.9.4.3 Sistema de Gestión de Contraseñas
A.11.1.1 Perímetro de seguridad física
A.11.1.2 Controles de acceso físico
A.11.1.3 Seguridad de oficinas, recintos e instalaciones
A.11.2.1 Ubicación y protección de los equipos
A.11.2.7 Disposición Segura o Reutilización de equipos
A.11.2.8 Equipos de Usuario Desatendidos
A.11.2.9 Política de Escritorio Limpio y pantalla limpia
</t>
  </si>
  <si>
    <t>A.5.1.1 Políticas para la seguridad de la Información
A.7.2.2 Toma de Conciencia, Educación y Formación en la Seguridad de la Información
A.9.1.2 Acceso a redes y a servicios de red
A.11.1.2 Controles de acceso físico
A.11.1.3 Seguridad de oficinas, recintos e instalaciones
A.11.2.1 Ubicación y protección de los equipos
A.11.2.8 Equipos de Usuario Desatendidos
A.11.2.9 Política de Escritorio Limpio y pantalla limpia
A.12.2.1 Controles contra códigos maliciosos</t>
  </si>
  <si>
    <t>A.5.1.1 Políticas para la seguridad de la Información
A.7.2.2 Toma de Conciencia, Educación y Formación en la Seguridad de la Información
A.12.1.3 Gestión de Capacidad
A.12.2.1 Controles contra códigos maliciosos
A.12.3.1 Respaldo de la Información
A.12.4.1 Registro de Eventos
A.13.2.4 Acuerdos de Confidencialidad o de NO divulgación
A.13.1.2 Seguridad en los servicios de red</t>
  </si>
  <si>
    <t>A.5.1.1 Políticas para la seguridad de la Información
A.7.2.2 Toma de Conciencia, Educación y Formación en la Seguridad de la Información
A.11.1.2 Controles de acceso físico
A.11.1.3 Seguridad de oficinas, recintos e instalaciones
A.11.2.1 Ubicación y protección de los equipos
A.11.2.2 Servicios de suministro
A.12.3.1 Respaldo de la Información
A.13.1.2 Seguridad en los servicios de red
A.17.1.1 Planificación de la continuidad de la Seguridad de la Información
A.17.1.2 Implementación de la continuidad de la seguridad de la información</t>
  </si>
  <si>
    <t>A.5.1.1 Políticas para la seguridad de la Información
A.7.2.2 Toma de Conciencia, Educación y Formación en la Seguridad de la Información
A.11.2.8 Equipos de Usuario Desatendidos
A.11.2.9 Política de Escritorio Limpio y pantalla limpia
A.18.1.4 Privacidad y Protección de información de datos personales</t>
  </si>
  <si>
    <t>A.5.1.1 Políticas para la seguridad de la Información
A.7.2.3 Proceso Disciplinario
A.11.1.1 Perímetro de seguridad física
A.11.1.2 Controles de acceso físico
A.11.1.3 Seguridad de oficinas, recintos e instalaciones
A.11.2.8 Equipos de Usuario Desatendidos
A.11.2.9 Política de Escritorio Limpio y pantalla limpia
A.12.3.1 Respaldo de la Información
A.13.2.4 Acuerdos de Confidencialidad o de NO divulgación
A.18.2.2 Cumplimiento con las políticas y normas de seguridad</t>
  </si>
  <si>
    <t xml:space="preserve">A.5.1.1 Políticas para la seguridad de la Información
A.6.1.1 Roles y responsabilidades para la Seguridad de la Información
A.6.1.2 Separación de Deberes
A.7.2.2 Toma de Conciencia, Educación y Formación en la Seguridad de la Información
A.8.3.2 Disposición de los Medios
A.11.1.1 Perímetro de seguridad física
A.11.1.2 Controles de acceso físico
A.11.1.3 Seguridad de oficinas, recintos e instalaciones
A.11.2.1 Ubicación y protección de los equipos
A.11.2.7 Disposición Segura o Reutilización de equipos
A.11.2.8 Equipos de Usuario Desatendidos
A.11.2.9 Política de Escritorio Limpio y pantalla limpia
A.13.1.2 Seguridad en los servicios de red
</t>
  </si>
  <si>
    <t>A.5.1.1 Políticas para la seguridad de la Información
A.6.1.1 Roles y responsabilidades para la Seguridad de la Información
A.9.2.3 Gestión de Derechos de Acceso Privilegiado
A.9.4.3 Sistema de Gestión de Contraseñas
A.11.2.8 Equipos de Usuario Desatendidos
A.11.2.9 Política de Escritorio Limpio y pantalla limpia
A.12.2.1 Controles contra códigos maliciosos
A.18.2.2 Cumplimiento con las políticas y normas de seguridad</t>
  </si>
  <si>
    <t>A.5.1.1 Políticas para la seguridad de la Información
A.6.1.2 Separación de Deberes
A.7.2.2 Toma de Conciencia, Educación y Formación en la Seguridad de la Información
A.12.1.3 Gestión de Capacidad
A.12.4.1 Registro de Eventos
A.13.1.2 Seguridad en los servicios de red
A.16.1.1 Gestión de Incidentes / Responsabilidades y Procedimientos</t>
  </si>
  <si>
    <t>A.5.1.1 Políticas para la seguridad de la Información
A.7.2.2 Toma de Conciencia, Educación y Formación en la Seguridad de la Información
A.11.1.1 Perímetro de seguridad física
A.11.1.2 Controles de acceso físico
A.11.1.3 Seguridad de oficinas, recintos e instalaciones
A.11.2.2 Servicios de suministro
A.12.3.1 Respaldo de la Información
A.17.1.1 Planificación de la continuidad de la Seguridad de la Información
A.17.1.2 Implementación de la continuidad de la seguridad de la información
A.17.2.1 Disponibilidad de instalaciones de procesamiento de información</t>
  </si>
  <si>
    <t>A.5.1.1 Políticas para la seguridad de la Información
A.7.2.2 Toma de Conciencia, Educación y Formación en la Seguridad de la Información
A.13.2.4 Acuerdos de Confidencialidad o de NO divulgación
A.18.1.4 Privacidad y Protección de información de datos personales</t>
  </si>
  <si>
    <t>I.AC.04</t>
  </si>
  <si>
    <t>G.PE11</t>
  </si>
  <si>
    <t>2018
vs
2019</t>
  </si>
  <si>
    <t>=</t>
  </si>
  <si>
    <t># R.
2018</t>
  </si>
  <si>
    <t># R.
2019</t>
  </si>
  <si>
    <t>I.VF01</t>
  </si>
  <si>
    <t>1. No recolección de los documentos que se han enviado a impresión o escaneado. 
2. Disposición de documentos de oficina en sitios no adecuados para su almacenamiento y control. 
3. No bloquear la sesión de usuario cuando se abandona la estación de trabajo. 
4. Mal uso de las contraseñas. 
5. Recuperación información a partir de medios de almacenamiento o procesamiento reciclados o desechados.</t>
  </si>
  <si>
    <t>*Sensibilización a los usuarios sobre los diferentes temas de seguridad de la información como: 
cuidado para la recolección de las impresiones enviadas, aplicación de la política de pantalla limpia y escritorio limpio, aplicación del manual polítcas de seguridad de la información, aplicación de la guía para la atención de los ciudadanos en temas de valorización, proceso sobre bloqueo de sesión, uso de las contraseñas y destrucción de los medios removibles con información
*Asignación de claves para la utilización de las impresoras con el fin de tener más seguridad (impresión segura) 
*Cargue manual del papel que requiera para la impresión
*Los ciudadanos que se acercan a solicitar información de sus procesos de cobro coactivo por valorización, no se atienden en los puestos de trabajo, sino en la sala de juntas para evitar extravío de la información</t>
  </si>
  <si>
    <t>Manual de politicas de informacion Resolución 34217/ 2015</t>
  </si>
  <si>
    <t>I.VF.02</t>
  </si>
  <si>
    <t>1. Ausencia o deficiencia en los procedimientos de manejo de la información personal. 
2. Desconocimiento de parte de las personas que manejan la información. 
3. Envío información sensible a terceros.
 4. Deficiencias en el manejo del archivo documental. 
5. Utilizar papel reciclado con información personal de terceros</t>
  </si>
  <si>
    <t>Reclamaciones de los titulares de los datos
Afectación al buen nombre de la entidad
Pérdida de confidencialidad de la información.
Pérdida de la integridad de la información.</t>
  </si>
  <si>
    <t>*Sensibilización sobre la política de uso de papel reciclado, sobre el Manual de pretección de datos personales MG-TI-17 y del manejo de la gestion documental. 
*Cláusulas contractuales para  contratistas de prestación de servicios y documentos de confidencialidad de los funcionarios de carrera administrativa.
*Proteger la información enviada a la empresa de impresión y distribución con códigos de seguridad</t>
  </si>
  <si>
    <t>Manual operativo para la protección de datos personales</t>
  </si>
  <si>
    <t>Todas las actividades que se ejecutan en el proceso</t>
  </si>
  <si>
    <t>1. Analizar el tema y el tipo de información a la cual tuvo acceso el personal no autorizado, su criticidad e impacto.
2. Reportar a la STRT para realizar un bloqueo del equipo y protección de la información exietente, para evitar otros accesos.
3. Realizar mesas de trabajo con las areas afecadas para realizar cambios o ajustes correspondientes con el fin de salvaguardar la información del proceso.
4. Iniciar el proceso sancionatario respectivo  para los contratistas y funcionarios</t>
  </si>
  <si>
    <t>N. de controles realizados/Controles a realizar</t>
  </si>
  <si>
    <t xml:space="preserve">Riesgo 1:  Se retira el riesgo, toda vez que durante la presente vigencia, no se presentará ningún Proyecto de Valorización a la Administración Distrital para su aprobación.
Riesgo 4:   Se retira, dado que durante la presente vigencia, no se realizará ninguna liquidación de un nuevo Acuerdo de Valorización 
Riesgo 8: Se modifica el riesgo, los controles, la documentación y el indicador.
Riesgo 9: Se ajusta el riesgo, las acciones de contingencia  y el indicador
Riesgo 11: Se reitra el riesgo, porque ya se encuentra incluido en la matriz de riesgos de corrupción
I.VF01:   Se inlcuye el riesgo, con consecuencias, controles, calificación, etc. 
I.VF.02: Se inlcuye el riesgo, con consecuencias, controles, calificación, etc.              
</t>
  </si>
  <si>
    <t>Observaciones ó cambios presentados en:
Riesgo: Se incluyó el riesgo en el mes de septiembre
Causas: Se incluyó
consecuencias: Se incluyó
Controles: Se incluyó
Acciones de contingencia: Se incluyó
Indicador: Se incluyó
Otros:</t>
  </si>
  <si>
    <t>01/05/2019_23/09/2019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</si>
</sst>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 #,##0_-;_-* &quot;-&quot;_-;_-@_-"/>
    <numFmt numFmtId="165" formatCode="0.0"/>
    <numFmt numFmtId="166" formatCode="dd/mmm/yyyy"/>
    <numFmt numFmtId="167" formatCode="dd/mmmm/yyyy"/>
    <numFmt numFmtId="168" formatCode="dd\-mmmm\-yyyy"/>
    <numFmt numFmtId="169" formatCode="0.00_);\(0.00\)"/>
  </numFmts>
  <fonts count="135">
    <font>
      <sz val="11"/>
      <color theme="1"/>
      <name val="Calibri"/>
      <family val="2"/>
      <scheme val="minor"/>
    </font>
    <font>
      <sz val="11"/>
      <color indexed="8"/>
      <name val="Calibri"/>
      <family val="2"/>
    </font>
    <font>
      <sz val="10"/>
      <name val="Arial"/>
      <family val="2"/>
    </font>
    <font>
      <b/>
      <sz val="8"/>
      <name val="Arial"/>
      <family val="2"/>
    </font>
    <font>
      <sz val="8"/>
      <name val="Arial"/>
      <family val="2"/>
    </font>
    <font>
      <sz val="10"/>
      <name val="Arial"/>
      <family val="2"/>
    </font>
    <font>
      <b/>
      <sz val="10"/>
      <name val="Arial"/>
      <family val="2"/>
    </font>
    <font>
      <sz val="9"/>
      <name val="Arial"/>
      <family val="2"/>
    </font>
    <font>
      <b/>
      <sz val="6"/>
      <name val="Arial"/>
      <family val="2"/>
    </font>
    <font>
      <sz val="7"/>
      <name val="Arial"/>
      <family val="2"/>
    </font>
    <font>
      <i/>
      <sz val="8"/>
      <name val="Arial"/>
      <family val="2"/>
    </font>
    <font>
      <b/>
      <sz val="11"/>
      <name val="Arial"/>
      <family val="2"/>
    </font>
    <font>
      <sz val="11"/>
      <name val="Arial"/>
      <family val="2"/>
    </font>
    <font>
      <b/>
      <sz val="9"/>
      <name val="Arial"/>
      <family val="2"/>
    </font>
    <font>
      <sz val="8"/>
      <color indexed="10"/>
      <name val="Arial"/>
      <family val="2"/>
    </font>
    <font>
      <sz val="8"/>
      <color indexed="8"/>
      <name val="Arial"/>
      <family val="2"/>
    </font>
    <font>
      <sz val="8"/>
      <color indexed="8"/>
      <name val="Calibri"/>
      <family val="2"/>
    </font>
    <font>
      <sz val="11"/>
      <color indexed="8"/>
      <name val="Calibri"/>
      <family val="2"/>
    </font>
    <font>
      <b/>
      <sz val="12"/>
      <name val="Arial"/>
      <family val="2"/>
    </font>
    <font>
      <sz val="16"/>
      <color indexed="8"/>
      <name val="Arial Black"/>
      <family val="2"/>
    </font>
    <font>
      <sz val="8"/>
      <color indexed="8"/>
      <name val="Calibri"/>
      <family val="2"/>
    </font>
    <font>
      <b/>
      <sz val="9"/>
      <color indexed="8"/>
      <name val="Comic Sans MS"/>
      <family val="4"/>
    </font>
    <font>
      <i/>
      <sz val="11"/>
      <color indexed="8"/>
      <name val="Calibri"/>
      <family val="2"/>
    </font>
    <font>
      <sz val="8"/>
      <name val="Calibri"/>
      <family val="2"/>
    </font>
    <font>
      <sz val="11"/>
      <color theme="1"/>
      <name val="Calibri"/>
      <family val="2"/>
      <scheme val="minor"/>
    </font>
    <font>
      <u/>
      <sz val="11"/>
      <color theme="10"/>
      <name val="Calibri"/>
      <family val="2"/>
      <scheme val="minor"/>
    </font>
    <font>
      <sz val="10"/>
      <name val="Arial"/>
      <family val="2"/>
    </font>
    <font>
      <sz val="8"/>
      <color theme="1"/>
      <name val="Arial"/>
      <family val="2"/>
    </font>
    <font>
      <b/>
      <sz val="8"/>
      <color theme="1"/>
      <name val="Arial"/>
      <family val="2"/>
    </font>
    <font>
      <sz val="9"/>
      <color theme="1"/>
      <name val="Arial"/>
      <family val="2"/>
    </font>
    <font>
      <sz val="10"/>
      <name val="Arial"/>
      <family val="2"/>
    </font>
    <font>
      <b/>
      <i/>
      <sz val="8"/>
      <name val="Arial"/>
      <family val="2"/>
    </font>
    <font>
      <sz val="8"/>
      <color rgb="FFFF0000"/>
      <name val="Arial"/>
      <family val="2"/>
    </font>
    <font>
      <sz val="7"/>
      <color theme="1"/>
      <name val="Arial"/>
      <family val="2"/>
    </font>
    <font>
      <sz val="10"/>
      <name val="Arial"/>
      <family val="2"/>
    </font>
    <font>
      <sz val="6"/>
      <name val="Arial"/>
      <family val="2"/>
    </font>
    <font>
      <sz val="8"/>
      <color indexed="17"/>
      <name val="Arial"/>
      <family val="2"/>
    </font>
    <font>
      <strike/>
      <sz val="8"/>
      <name val="Arial"/>
      <family val="2"/>
    </font>
    <font>
      <sz val="10"/>
      <name val="Arial"/>
      <family val="2"/>
    </font>
    <font>
      <b/>
      <sz val="8"/>
      <color theme="1"/>
      <name val="Calibri"/>
      <family val="2"/>
      <scheme val="minor"/>
    </font>
    <font>
      <b/>
      <sz val="12"/>
      <color theme="1"/>
      <name val="Calibri"/>
      <family val="2"/>
      <scheme val="minor"/>
    </font>
    <font>
      <b/>
      <sz val="11"/>
      <color theme="1"/>
      <name val="Calibri"/>
      <family val="2"/>
      <scheme val="minor"/>
    </font>
    <font>
      <sz val="9"/>
      <color theme="1"/>
      <name val="Calibri"/>
      <family val="2"/>
      <scheme val="minor"/>
    </font>
    <font>
      <strike/>
      <sz val="7"/>
      <name val="Arial"/>
      <family val="2"/>
    </font>
    <font>
      <sz val="10"/>
      <name val="Arial"/>
      <family val="2"/>
    </font>
    <font>
      <b/>
      <sz val="9"/>
      <color indexed="81"/>
      <name val="Tahoma"/>
      <family val="2"/>
    </font>
    <font>
      <sz val="9"/>
      <color indexed="81"/>
      <name val="Tahoma"/>
      <family val="2"/>
    </font>
    <font>
      <b/>
      <sz val="7"/>
      <color theme="1"/>
      <name val="Arial"/>
      <family val="2"/>
    </font>
    <font>
      <b/>
      <i/>
      <sz val="8"/>
      <name val="Times New Roman"/>
      <family val="1"/>
    </font>
    <font>
      <sz val="8"/>
      <color theme="0"/>
      <name val="Arial"/>
      <family val="2"/>
    </font>
    <font>
      <b/>
      <sz val="8"/>
      <color theme="0"/>
      <name val="Arial"/>
      <family val="2"/>
    </font>
    <font>
      <sz val="11"/>
      <color theme="4" tint="-0.249977111117893"/>
      <name val="Calibri"/>
      <family val="2"/>
      <scheme val="minor"/>
    </font>
    <font>
      <u/>
      <sz val="11"/>
      <color rgb="FF0070C0"/>
      <name val="Calibri"/>
      <family val="2"/>
      <scheme val="minor"/>
    </font>
    <font>
      <sz val="7.5"/>
      <name val="Arial"/>
      <family val="2"/>
    </font>
    <font>
      <sz val="10"/>
      <name val="Arial"/>
      <family val="2"/>
    </font>
    <font>
      <sz val="9"/>
      <name val="Arial Unicode MS"/>
      <family val="2"/>
    </font>
    <font>
      <b/>
      <sz val="9"/>
      <name val="Arial Unicode MS"/>
      <family val="2"/>
    </font>
    <font>
      <sz val="10"/>
      <name val="Arial Unicode MS"/>
      <family val="2"/>
    </font>
    <font>
      <sz val="8"/>
      <name val="Arial Unicode MS"/>
      <family val="2"/>
    </font>
    <font>
      <sz val="8"/>
      <color theme="1"/>
      <name val="Arial Unicode MS"/>
      <family val="2"/>
    </font>
    <font>
      <i/>
      <u/>
      <sz val="11"/>
      <color rgb="FFC00000"/>
      <name val="Calibri"/>
      <family val="2"/>
      <scheme val="minor"/>
    </font>
    <font>
      <sz val="8"/>
      <color rgb="FFFFFFFF"/>
      <name val="Arial"/>
      <family val="2"/>
    </font>
    <font>
      <sz val="14"/>
      <color theme="1"/>
      <name val="Arial"/>
      <family val="2"/>
    </font>
    <font>
      <sz val="8"/>
      <color rgb="FF000000"/>
      <name val="Arial"/>
      <family val="2"/>
    </font>
    <font>
      <b/>
      <sz val="11"/>
      <color theme="0"/>
      <name val="Calibri"/>
      <family val="2"/>
      <scheme val="minor"/>
    </font>
    <font>
      <b/>
      <sz val="10"/>
      <name val="Segoe UI Black"/>
      <family val="2"/>
      <charset val="1"/>
    </font>
    <font>
      <sz val="9"/>
      <name val="Arial"/>
      <family val="2"/>
      <charset val="1"/>
    </font>
    <font>
      <sz val="10"/>
      <color theme="1"/>
      <name val="Arial"/>
      <family val="2"/>
    </font>
    <font>
      <b/>
      <sz val="9"/>
      <name val="Segoe UI Black"/>
      <family val="2"/>
      <charset val="1"/>
    </font>
    <font>
      <b/>
      <sz val="10"/>
      <color theme="1"/>
      <name val="Calibri"/>
      <family val="2"/>
      <scheme val="minor"/>
    </font>
    <font>
      <sz val="10"/>
      <name val="Arial"/>
      <family val="2"/>
      <charset val="1"/>
    </font>
    <font>
      <sz val="8"/>
      <name val="Arial"/>
      <family val="2"/>
      <charset val="1"/>
    </font>
    <font>
      <b/>
      <sz val="12"/>
      <color rgb="FFFFFF00"/>
      <name val="Arial"/>
      <family val="2"/>
    </font>
    <font>
      <sz val="11"/>
      <name val="Calibri"/>
      <family val="2"/>
      <scheme val="minor"/>
    </font>
    <font>
      <sz val="8"/>
      <color theme="8" tint="-0.249977111117893"/>
      <name val="Arial"/>
      <family val="2"/>
    </font>
    <font>
      <b/>
      <sz val="8"/>
      <color theme="8" tint="-0.249977111117893"/>
      <name val="Arial"/>
      <family val="2"/>
    </font>
    <font>
      <b/>
      <sz val="10"/>
      <color rgb="FF0000FF"/>
      <name val="Arial"/>
      <family val="2"/>
    </font>
    <font>
      <b/>
      <sz val="10"/>
      <color theme="1"/>
      <name val="Arial"/>
      <family val="2"/>
    </font>
    <font>
      <b/>
      <sz val="12"/>
      <color theme="0"/>
      <name val="Arial"/>
      <family val="2"/>
    </font>
    <font>
      <b/>
      <sz val="12"/>
      <color rgb="FFFFFF00"/>
      <name val="Arial Unicode MS"/>
      <family val="2"/>
    </font>
    <font>
      <i/>
      <sz val="9"/>
      <name val="Arial Unicode MS"/>
      <family val="2"/>
    </font>
    <font>
      <sz val="10"/>
      <color theme="1"/>
      <name val="Arial Unicode MS"/>
      <family val="2"/>
    </font>
    <font>
      <sz val="9"/>
      <color theme="1"/>
      <name val="Arial Unicode MS"/>
      <family val="2"/>
    </font>
    <font>
      <sz val="11"/>
      <color rgb="FF9C0006"/>
      <name val="Calibri"/>
      <family val="2"/>
      <scheme val="minor"/>
    </font>
    <font>
      <b/>
      <sz val="12"/>
      <color theme="1"/>
      <name val="Arial"/>
      <family val="2"/>
    </font>
    <font>
      <b/>
      <sz val="4"/>
      <name val="Arial"/>
      <family val="2"/>
    </font>
    <font>
      <b/>
      <sz val="5"/>
      <name val="Arial"/>
      <family val="2"/>
    </font>
    <font>
      <sz val="10"/>
      <color rgb="FF00B050"/>
      <name val="Arial"/>
      <family val="2"/>
    </font>
    <font>
      <b/>
      <sz val="18"/>
      <color theme="0"/>
      <name val="Arial"/>
      <family val="2"/>
    </font>
    <font>
      <b/>
      <sz val="14"/>
      <color theme="0"/>
      <name val="Calibri"/>
      <family val="2"/>
      <scheme val="minor"/>
    </font>
    <font>
      <b/>
      <sz val="11"/>
      <name val="Calibri"/>
      <family val="2"/>
      <scheme val="minor"/>
    </font>
    <font>
      <sz val="9"/>
      <color rgb="FFFFFFFF"/>
      <name val="Arial"/>
      <family val="2"/>
    </font>
    <font>
      <sz val="8"/>
      <color theme="1"/>
      <name val="Calibri"/>
      <family val="2"/>
      <scheme val="minor"/>
    </font>
    <font>
      <b/>
      <sz val="10"/>
      <name val="Arial Unicode MS"/>
      <family val="2"/>
    </font>
    <font>
      <b/>
      <u/>
      <sz val="9"/>
      <name val="Arial Unicode MS"/>
      <family val="2"/>
    </font>
    <font>
      <sz val="10"/>
      <color theme="1"/>
      <name val="Calibri"/>
      <family val="2"/>
      <scheme val="minor"/>
    </font>
    <font>
      <sz val="10"/>
      <color rgb="FF0000FF"/>
      <name val="Arial"/>
      <family val="2"/>
      <charset val="1"/>
    </font>
    <font>
      <b/>
      <sz val="8"/>
      <color theme="8" tint="0.39997558519241921"/>
      <name val="Arial"/>
      <family val="2"/>
    </font>
    <font>
      <sz val="8"/>
      <color theme="8" tint="0.39997558519241921"/>
      <name val="Arial"/>
      <family val="2"/>
    </font>
    <font>
      <sz val="10"/>
      <color theme="8" tint="0.39997558519241921"/>
      <name val="Arial"/>
      <family val="2"/>
    </font>
    <font>
      <sz val="9"/>
      <color theme="8" tint="0.39997558519241921"/>
      <name val="Arial"/>
      <family val="2"/>
    </font>
    <font>
      <b/>
      <sz val="12"/>
      <color theme="8" tint="0.39997558519241921"/>
      <name val="Arial"/>
      <family val="2"/>
    </font>
    <font>
      <sz val="12"/>
      <color theme="8" tint="0.39997558519241921"/>
      <name val="Arial"/>
      <family val="2"/>
    </font>
    <font>
      <sz val="8"/>
      <color theme="3"/>
      <name val="Arial"/>
      <family val="2"/>
    </font>
    <font>
      <sz val="14"/>
      <name val="Arial"/>
      <family val="2"/>
      <charset val="1"/>
    </font>
    <font>
      <b/>
      <sz val="14"/>
      <name val="Segoe UI Black"/>
      <family val="2"/>
      <charset val="1"/>
    </font>
    <font>
      <b/>
      <sz val="14"/>
      <name val="Arial"/>
      <family val="2"/>
    </font>
    <font>
      <sz val="14"/>
      <name val="Arial"/>
      <family val="2"/>
    </font>
    <font>
      <b/>
      <sz val="14"/>
      <color rgb="FFFFFF00"/>
      <name val="Arial"/>
      <family val="2"/>
    </font>
    <font>
      <b/>
      <sz val="14"/>
      <color theme="1"/>
      <name val="Arial"/>
      <family val="2"/>
    </font>
    <font>
      <sz val="18"/>
      <name val="Arial"/>
      <family val="2"/>
    </font>
    <font>
      <sz val="18"/>
      <color theme="1"/>
      <name val="Arial"/>
      <family val="2"/>
    </font>
    <font>
      <b/>
      <sz val="18"/>
      <name val="Arial"/>
      <family val="2"/>
    </font>
    <font>
      <b/>
      <i/>
      <sz val="18"/>
      <name val="Arial"/>
      <family val="2"/>
    </font>
    <font>
      <i/>
      <sz val="18"/>
      <name val="Arial"/>
      <family val="2"/>
    </font>
    <font>
      <b/>
      <sz val="8"/>
      <color rgb="FFFF0000"/>
      <name val="Arial"/>
      <family val="2"/>
    </font>
    <font>
      <sz val="10"/>
      <color rgb="FFFF0000"/>
      <name val="Arial"/>
      <family val="2"/>
    </font>
    <font>
      <i/>
      <sz val="9"/>
      <name val="Arial"/>
      <family val="2"/>
    </font>
    <font>
      <b/>
      <i/>
      <sz val="9"/>
      <name val="Arial"/>
      <family val="2"/>
    </font>
    <font>
      <i/>
      <sz val="10"/>
      <name val="Arial"/>
      <family val="2"/>
    </font>
    <font>
      <sz val="11"/>
      <color rgb="FF0000FF"/>
      <name val="Calibri"/>
      <family val="2"/>
      <scheme val="minor"/>
    </font>
    <font>
      <b/>
      <sz val="7"/>
      <name val="Arial"/>
      <family val="2"/>
    </font>
    <font>
      <b/>
      <sz val="8"/>
      <color theme="8" tint="0.59999389629810485"/>
      <name val="Arial"/>
      <family val="2"/>
    </font>
    <font>
      <sz val="11"/>
      <color theme="8" tint="0.59999389629810485"/>
      <name val="Calibri"/>
      <family val="2"/>
      <scheme val="minor"/>
    </font>
    <font>
      <sz val="10"/>
      <color theme="8" tint="0.59999389629810485"/>
      <name val="Arial"/>
      <family val="2"/>
    </font>
    <font>
      <b/>
      <sz val="11"/>
      <color theme="8" tint="0.59999389629810485"/>
      <name val="Calibri"/>
      <family val="2"/>
      <scheme val="minor"/>
    </font>
    <font>
      <sz val="8"/>
      <color theme="8" tint="0.59999389629810485"/>
      <name val="Arial"/>
      <family val="2"/>
    </font>
    <font>
      <b/>
      <sz val="8"/>
      <name val="Calibri"/>
      <family val="2"/>
      <scheme val="minor"/>
    </font>
    <font>
      <sz val="8"/>
      <color rgb="FFC00000"/>
      <name val="Arial"/>
      <family val="2"/>
    </font>
    <font>
      <sz val="8"/>
      <color rgb="FF0000FF"/>
      <name val="Arial"/>
      <family val="2"/>
    </font>
    <font>
      <sz val="10"/>
      <name val="Calibri"/>
      <family val="2"/>
      <scheme val="minor"/>
    </font>
    <font>
      <sz val="10"/>
      <name val="Segoe UI Black"/>
      <family val="2"/>
    </font>
    <font>
      <sz val="12"/>
      <name val="Arial"/>
      <family val="2"/>
    </font>
    <font>
      <b/>
      <i/>
      <sz val="10"/>
      <name val="Arial Unicode MS"/>
      <family val="2"/>
    </font>
    <font>
      <u val="double"/>
      <sz val="8"/>
      <color rgb="FFFF0000"/>
      <name val="Arial"/>
      <family val="2"/>
    </font>
  </fonts>
  <fills count="5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FFCC"/>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33CCCC"/>
        <bgColor indexed="64"/>
      </patternFill>
    </fill>
    <fill>
      <patternFill patternType="solid">
        <fgColor rgb="FFFFC000"/>
        <bgColor indexed="64"/>
      </patternFill>
    </fill>
    <fill>
      <patternFill patternType="solid">
        <fgColor rgb="FFFF0000"/>
        <bgColor indexed="64"/>
      </patternFill>
    </fill>
    <fill>
      <patternFill patternType="solid">
        <fgColor rgb="FF66FFFF"/>
        <bgColor indexed="64"/>
      </patternFill>
    </fill>
    <fill>
      <patternFill patternType="solid">
        <fgColor theme="1" tint="0.499984740745262"/>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FF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rgb="FFCCFFFF"/>
        <bgColor indexed="64"/>
      </patternFill>
    </fill>
    <fill>
      <patternFill patternType="solid">
        <fgColor rgb="FFFF9900"/>
        <bgColor indexed="64"/>
      </patternFill>
    </fill>
    <fill>
      <patternFill patternType="solid">
        <fgColor rgb="FF990033"/>
        <bgColor indexed="64"/>
      </patternFill>
    </fill>
    <fill>
      <patternFill patternType="solid">
        <fgColor rgb="FFC00000"/>
        <bgColor indexed="64"/>
      </patternFill>
    </fill>
    <fill>
      <patternFill patternType="solid">
        <fgColor rgb="FFD9D9D9"/>
        <bgColor rgb="FFDCE6F2"/>
      </patternFill>
    </fill>
    <fill>
      <patternFill patternType="solid">
        <fgColor theme="0"/>
        <bgColor indexed="44"/>
      </patternFill>
    </fill>
    <fill>
      <patternFill patternType="solid">
        <fgColor theme="0"/>
        <bgColor indexed="43"/>
      </patternFill>
    </fill>
    <fill>
      <patternFill patternType="solid">
        <fgColor theme="4" tint="0.59999389629810485"/>
        <bgColor indexed="64"/>
      </patternFill>
    </fill>
    <fill>
      <gradientFill>
        <stop position="0">
          <color theme="4" tint="0.59999389629810485"/>
        </stop>
        <stop position="1">
          <color theme="2" tint="-9.8025452436902985E-2"/>
        </stop>
      </gradientFill>
    </fill>
    <fill>
      <gradientFill>
        <stop position="0">
          <color theme="2" tint="-9.8025452436902985E-2"/>
        </stop>
        <stop position="1">
          <color theme="5" tint="0.59999389629810485"/>
        </stop>
      </gradientFill>
    </fill>
    <fill>
      <patternFill patternType="solid">
        <fgColor theme="1" tint="0.14999847407452621"/>
        <bgColor indexed="64"/>
      </patternFill>
    </fill>
    <fill>
      <patternFill patternType="solid">
        <fgColor theme="4" tint="0.39997558519241921"/>
        <bgColor indexed="64"/>
      </patternFill>
    </fill>
    <fill>
      <gradientFill>
        <stop position="0">
          <color theme="9" tint="0.59999389629810485"/>
        </stop>
        <stop position="1">
          <color theme="5" tint="0.40000610370189521"/>
        </stop>
      </gradientFill>
    </fill>
    <fill>
      <patternFill patternType="solid">
        <fgColor theme="5" tint="0.39997558519241921"/>
        <bgColor indexed="64"/>
      </patternFill>
    </fill>
    <fill>
      <patternFill patternType="solid">
        <fgColor rgb="FF00B0F0"/>
        <bgColor indexed="64"/>
      </patternFill>
    </fill>
    <fill>
      <gradientFill>
        <stop position="0">
          <color theme="4" tint="0.40000610370189521"/>
        </stop>
        <stop position="1">
          <color theme="9" tint="0.59999389629810485"/>
        </stop>
      </gradientFill>
    </fill>
    <fill>
      <patternFill patternType="solid">
        <fgColor theme="1"/>
        <bgColor indexed="64"/>
      </patternFill>
    </fill>
    <fill>
      <patternFill patternType="solid">
        <fgColor rgb="FFFFC7CE"/>
      </patternFill>
    </fill>
    <fill>
      <patternFill patternType="solid">
        <fgColor theme="2" tint="-0.499984740745262"/>
        <bgColor indexed="64"/>
      </patternFill>
    </fill>
    <fill>
      <patternFill patternType="solid">
        <fgColor theme="5" tint="-0.499984740745262"/>
        <bgColor indexed="64"/>
      </patternFill>
    </fill>
    <fill>
      <patternFill patternType="solid">
        <fgColor theme="6" tint="-0.499984740745262"/>
        <bgColor indexed="64"/>
      </patternFill>
    </fill>
    <fill>
      <patternFill patternType="solid">
        <fgColor rgb="FFFFFFFF"/>
        <bgColor indexed="64"/>
      </patternFill>
    </fill>
    <fill>
      <patternFill patternType="solid">
        <fgColor rgb="FFDDBA97"/>
        <bgColor indexed="64"/>
      </patternFill>
    </fill>
    <fill>
      <patternFill patternType="solid">
        <fgColor rgb="FFFFA3A3"/>
        <bgColor indexed="64"/>
      </patternFill>
    </fill>
    <fill>
      <patternFill patternType="solid">
        <fgColor rgb="FFCCFF33"/>
        <bgColor indexed="64"/>
      </patternFill>
    </fill>
    <fill>
      <patternFill patternType="solid">
        <fgColor theme="0"/>
        <bgColor rgb="FFDCE6F2"/>
      </patternFill>
    </fill>
  </fills>
  <borders count="77">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diagonal/>
    </border>
    <border>
      <left style="hair">
        <color indexed="64"/>
      </left>
      <right/>
      <top style="hair">
        <color indexed="64"/>
      </top>
      <bottom/>
      <diagonal/>
    </border>
    <border>
      <left style="hair">
        <color indexed="64"/>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right/>
      <top/>
      <bottom style="hair">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style="thin">
        <color indexed="64"/>
      </bottom>
      <diagonal/>
    </border>
    <border>
      <left/>
      <right style="hair">
        <color auto="1"/>
      </right>
      <top style="double">
        <color auto="1"/>
      </top>
      <bottom/>
      <diagonal/>
    </border>
    <border>
      <left style="double">
        <color auto="1"/>
      </left>
      <right/>
      <top/>
      <bottom style="hair">
        <color auto="1"/>
      </bottom>
      <diagonal/>
    </border>
    <border>
      <left/>
      <right style="hair">
        <color auto="1"/>
      </right>
      <top/>
      <bottom style="hair">
        <color auto="1"/>
      </bottom>
      <diagonal/>
    </border>
    <border>
      <left style="double">
        <color auto="1"/>
      </left>
      <right/>
      <top style="hair">
        <color auto="1"/>
      </top>
      <bottom/>
      <diagonal/>
    </border>
    <border>
      <left/>
      <right style="hair">
        <color auto="1"/>
      </right>
      <top style="hair">
        <color auto="1"/>
      </top>
      <bottom/>
      <diagonal/>
    </border>
    <border>
      <left/>
      <right style="hair">
        <color auto="1"/>
      </right>
      <top/>
      <bottom style="double">
        <color auto="1"/>
      </bottom>
      <diagonal/>
    </border>
    <border>
      <left style="hair">
        <color auto="1"/>
      </left>
      <right/>
      <top/>
      <bottom style="double">
        <color auto="1"/>
      </bottom>
      <diagonal/>
    </border>
    <border>
      <left/>
      <right style="hair">
        <color auto="1"/>
      </right>
      <top/>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s>
  <cellStyleXfs count="36">
    <xf numFmtId="0" fontId="0" fillId="0" borderId="0"/>
    <xf numFmtId="0" fontId="25" fillId="0" borderId="0" applyNumberFormat="0" applyFill="0" applyBorder="0" applyAlignment="0" applyProtection="0"/>
    <xf numFmtId="0" fontId="5" fillId="0" borderId="0"/>
    <xf numFmtId="0" fontId="2" fillId="0" borderId="0"/>
    <xf numFmtId="0" fontId="24" fillId="0" borderId="0"/>
    <xf numFmtId="9" fontId="1" fillId="0" borderId="0" applyFont="0" applyFill="0" applyBorder="0" applyAlignment="0" applyProtection="0"/>
    <xf numFmtId="9" fontId="17" fillId="0" borderId="0" applyFont="0" applyFill="0" applyBorder="0" applyAlignment="0" applyProtection="0"/>
    <xf numFmtId="9" fontId="24" fillId="0" borderId="0" applyFont="0" applyFill="0" applyBorder="0" applyAlignment="0" applyProtection="0"/>
    <xf numFmtId="0" fontId="26" fillId="0" borderId="0"/>
    <xf numFmtId="0" fontId="2" fillId="0" borderId="0"/>
    <xf numFmtId="0" fontId="30" fillId="0" borderId="0"/>
    <xf numFmtId="0" fontId="34" fillId="0" borderId="0"/>
    <xf numFmtId="9" fontId="1" fillId="0" borderId="0" applyFont="0" applyFill="0" applyBorder="0" applyAlignment="0" applyProtection="0"/>
    <xf numFmtId="0" fontId="1" fillId="0" borderId="0"/>
    <xf numFmtId="0" fontId="2" fillId="0" borderId="0"/>
    <xf numFmtId="0" fontId="38" fillId="0" borderId="0"/>
    <xf numFmtId="0" fontId="25" fillId="0" borderId="0" applyNumberFormat="0" applyFill="0" applyBorder="0" applyAlignment="0" applyProtection="0"/>
    <xf numFmtId="0" fontId="24" fillId="0" borderId="0"/>
    <xf numFmtId="0" fontId="2" fillId="0" borderId="0"/>
    <xf numFmtId="0" fontId="2" fillId="0" borderId="0"/>
    <xf numFmtId="0" fontId="44" fillId="0" borderId="0"/>
    <xf numFmtId="0" fontId="54" fillId="0" borderId="0"/>
    <xf numFmtId="0" fontId="70" fillId="0" borderId="0"/>
    <xf numFmtId="0" fontId="2" fillId="0" borderId="0"/>
    <xf numFmtId="0" fontId="2" fillId="0" borderId="0"/>
    <xf numFmtId="9" fontId="24" fillId="0" borderId="0" applyFont="0" applyFill="0" applyBorder="0" applyAlignment="0" applyProtection="0"/>
    <xf numFmtId="43" fontId="70" fillId="0" borderId="0" applyFont="0" applyFill="0" applyBorder="0" applyAlignment="0" applyProtection="0"/>
    <xf numFmtId="9" fontId="70" fillId="0" borderId="0" applyFont="0" applyFill="0" applyBorder="0" applyAlignment="0" applyProtection="0"/>
    <xf numFmtId="0" fontId="83" fillId="49" borderId="0" applyNumberFormat="0" applyBorder="0" applyAlignment="0" applyProtection="0"/>
    <xf numFmtId="43" fontId="24" fillId="0" borderId="0" applyFont="0" applyFill="0" applyBorder="0" applyAlignment="0" applyProtection="0"/>
    <xf numFmtId="164" fontId="70"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cellStyleXfs>
  <cellXfs count="3049">
    <xf numFmtId="0" fontId="0" fillId="0" borderId="0" xfId="0"/>
    <xf numFmtId="0" fontId="0" fillId="2" borderId="0" xfId="0" applyFill="1"/>
    <xf numFmtId="0" fontId="27" fillId="3" borderId="0" xfId="0" applyFont="1" applyFill="1" applyProtection="1">
      <protection locked="0"/>
    </xf>
    <xf numFmtId="0" fontId="27" fillId="0" borderId="0" xfId="0" applyFont="1" applyBorder="1" applyProtection="1">
      <protection locked="0"/>
    </xf>
    <xf numFmtId="0" fontId="27" fillId="3" borderId="0" xfId="0" applyFont="1" applyFill="1" applyAlignment="1" applyProtection="1">
      <alignment horizontal="center" vertical="center" wrapText="1"/>
      <protection locked="0"/>
    </xf>
    <xf numFmtId="0" fontId="27" fillId="3" borderId="11" xfId="0" applyFont="1" applyFill="1" applyBorder="1" applyAlignment="1" applyProtection="1">
      <protection locked="0"/>
    </xf>
    <xf numFmtId="0" fontId="27" fillId="10" borderId="3" xfId="0" applyFont="1" applyFill="1" applyBorder="1" applyAlignment="1" applyProtection="1">
      <alignment horizontal="center" vertical="center" wrapText="1"/>
    </xf>
    <xf numFmtId="0" fontId="27" fillId="3" borderId="0" xfId="0" applyFont="1" applyFill="1" applyAlignment="1" applyProtection="1">
      <alignment horizontal="left" vertical="center" wrapText="1"/>
      <protection locked="0"/>
    </xf>
    <xf numFmtId="0" fontId="27" fillId="3" borderId="0" xfId="0" applyFont="1" applyFill="1" applyAlignment="1" applyProtection="1">
      <alignment horizontal="center"/>
      <protection locked="0"/>
    </xf>
    <xf numFmtId="0" fontId="27" fillId="3" borderId="0" xfId="0" applyFont="1" applyFill="1" applyAlignment="1" applyProtection="1">
      <alignment vertical="center" wrapText="1"/>
      <protection locked="0"/>
    </xf>
    <xf numFmtId="0" fontId="3" fillId="0" borderId="0" xfId="0" applyFont="1" applyFill="1" applyBorder="1" applyAlignment="1" applyProtection="1">
      <alignment vertical="center"/>
      <protection locked="0"/>
    </xf>
    <xf numFmtId="0" fontId="7" fillId="0" borderId="0" xfId="0" applyFont="1" applyFill="1" applyBorder="1" applyAlignment="1" applyProtection="1">
      <alignment vertical="center" wrapText="1"/>
      <protection locked="0"/>
    </xf>
    <xf numFmtId="0" fontId="4" fillId="0" borderId="3" xfId="0" applyFont="1" applyFill="1" applyBorder="1" applyAlignment="1" applyProtection="1">
      <alignment vertical="center" wrapText="1"/>
      <protection locked="0"/>
    </xf>
    <xf numFmtId="0" fontId="27" fillId="0" borderId="0" xfId="0" applyFont="1" applyFill="1" applyProtection="1">
      <protection locked="0"/>
    </xf>
    <xf numFmtId="0" fontId="27" fillId="0" borderId="0" xfId="0" applyFont="1" applyFill="1" applyAlignment="1" applyProtection="1">
      <alignment horizontal="center"/>
      <protection locked="0"/>
    </xf>
    <xf numFmtId="0" fontId="27" fillId="0" borderId="0" xfId="0" applyFont="1" applyFill="1" applyAlignment="1" applyProtection="1">
      <alignment horizontal="center" vertical="center"/>
      <protection locked="0"/>
    </xf>
    <xf numFmtId="0" fontId="27" fillId="0" borderId="0" xfId="0" applyFont="1" applyProtection="1">
      <protection locked="0"/>
    </xf>
    <xf numFmtId="0" fontId="27" fillId="0" borderId="0" xfId="0" applyFont="1" applyAlignment="1" applyProtection="1">
      <alignment horizontal="center"/>
      <protection locked="0"/>
    </xf>
    <xf numFmtId="0" fontId="27" fillId="0" borderId="0" xfId="0" applyFont="1" applyAlignment="1" applyProtection="1">
      <alignment horizontal="center" vertical="center"/>
      <protection locked="0"/>
    </xf>
    <xf numFmtId="0" fontId="27" fillId="0" borderId="0" xfId="0" applyFont="1" applyFill="1" applyBorder="1" applyAlignment="1" applyProtection="1">
      <alignment horizontal="center"/>
      <protection locked="0"/>
    </xf>
    <xf numFmtId="0" fontId="27" fillId="0" borderId="0" xfId="0" applyFont="1" applyFill="1" applyBorder="1" applyProtection="1">
      <protection locked="0"/>
    </xf>
    <xf numFmtId="0" fontId="27" fillId="0" borderId="0" xfId="0" applyFont="1" applyFill="1" applyBorder="1" applyAlignment="1" applyProtection="1">
      <alignment horizontal="center" vertical="center"/>
      <protection locked="0"/>
    </xf>
    <xf numFmtId="0" fontId="4" fillId="0" borderId="0" xfId="0" applyFont="1" applyFill="1" applyBorder="1" applyProtection="1">
      <protection locked="0"/>
    </xf>
    <xf numFmtId="0" fontId="27" fillId="0" borderId="3" xfId="0" applyFont="1" applyFill="1" applyBorder="1" applyAlignment="1" applyProtection="1">
      <alignment horizontal="center" vertical="center" textRotation="90" wrapText="1"/>
      <protection locked="0"/>
    </xf>
    <xf numFmtId="0" fontId="4" fillId="0" borderId="3" xfId="0" applyFont="1" applyFill="1" applyBorder="1" applyAlignment="1">
      <alignment horizontal="center" vertical="center" wrapText="1"/>
    </xf>
    <xf numFmtId="0" fontId="28" fillId="8" borderId="3" xfId="0" applyFont="1" applyFill="1" applyBorder="1" applyAlignment="1" applyProtection="1">
      <alignment horizontal="center" vertical="center" textRotation="90" wrapText="1"/>
    </xf>
    <xf numFmtId="0" fontId="28" fillId="11" borderId="3" xfId="0" applyFont="1" applyFill="1" applyBorder="1" applyAlignment="1" applyProtection="1">
      <alignment horizontal="center" vertical="center" textRotation="90" wrapText="1"/>
    </xf>
    <xf numFmtId="0" fontId="28" fillId="10" borderId="3" xfId="0" applyFont="1" applyFill="1" applyBorder="1" applyAlignment="1" applyProtection="1">
      <alignment horizontal="center" vertical="center" textRotation="90" wrapText="1"/>
    </xf>
    <xf numFmtId="0" fontId="27" fillId="8" borderId="3" xfId="0" applyFont="1" applyFill="1" applyBorder="1" applyAlignment="1" applyProtection="1">
      <alignment horizontal="center" vertical="center" textRotation="90" wrapText="1"/>
    </xf>
    <xf numFmtId="0" fontId="27" fillId="11" borderId="3" xfId="0" applyFont="1" applyFill="1" applyBorder="1" applyAlignment="1" applyProtection="1">
      <alignment horizontal="center" vertical="center" textRotation="90" wrapText="1"/>
    </xf>
    <xf numFmtId="0" fontId="28" fillId="8" borderId="3"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27" fillId="11" borderId="3" xfId="0" applyFont="1" applyFill="1" applyBorder="1" applyAlignment="1" applyProtection="1">
      <alignment horizontal="center" vertical="center" textRotation="90" wrapText="1"/>
      <protection locked="0"/>
    </xf>
    <xf numFmtId="0" fontId="4" fillId="11" borderId="3" xfId="0" applyFont="1" applyFill="1" applyBorder="1" applyAlignment="1" applyProtection="1">
      <alignment horizontal="center" vertical="center" wrapText="1"/>
      <protection locked="0"/>
    </xf>
    <xf numFmtId="0" fontId="3" fillId="4" borderId="3" xfId="0" applyFont="1" applyFill="1" applyBorder="1" applyAlignment="1" applyProtection="1">
      <alignment vertical="center"/>
    </xf>
    <xf numFmtId="0" fontId="0" fillId="0" borderId="0" xfId="0" applyAlignment="1">
      <alignment horizontal="left" vertical="center"/>
    </xf>
    <xf numFmtId="0" fontId="0" fillId="0" borderId="3" xfId="0" applyBorder="1" applyAlignment="1">
      <alignment horizontal="left" vertical="center"/>
    </xf>
    <xf numFmtId="0" fontId="0" fillId="0" borderId="0" xfId="0" applyAlignment="1">
      <alignment horizontal="center" vertical="center"/>
    </xf>
    <xf numFmtId="0" fontId="42" fillId="0" borderId="0" xfId="0" applyFont="1"/>
    <xf numFmtId="0" fontId="4" fillId="12" borderId="3" xfId="0" applyFont="1" applyFill="1" applyBorder="1" applyAlignment="1">
      <alignment horizontal="center" vertical="center" wrapText="1"/>
    </xf>
    <xf numFmtId="0" fontId="4" fillId="15" borderId="3" xfId="0" applyFont="1" applyFill="1" applyBorder="1" applyAlignment="1">
      <alignment horizontal="center" vertical="center" wrapText="1"/>
    </xf>
    <xf numFmtId="0" fontId="4" fillId="13" borderId="3" xfId="0" applyFont="1" applyFill="1" applyBorder="1" applyAlignment="1">
      <alignment horizontal="center" vertical="center" wrapText="1"/>
    </xf>
    <xf numFmtId="0" fontId="4" fillId="14" borderId="3" xfId="0" applyFont="1" applyFill="1" applyBorder="1" applyAlignment="1">
      <alignment horizontal="center" vertical="center" wrapText="1"/>
    </xf>
    <xf numFmtId="0" fontId="4" fillId="0" borderId="3" xfId="0" applyFont="1" applyBorder="1" applyAlignment="1">
      <alignment horizontal="center" vertical="center"/>
    </xf>
    <xf numFmtId="0" fontId="41" fillId="0" borderId="0" xfId="0" applyFont="1"/>
    <xf numFmtId="0" fontId="0" fillId="0" borderId="0" xfId="0" applyAlignment="1">
      <alignment horizontal="left"/>
    </xf>
    <xf numFmtId="0" fontId="27" fillId="3" borderId="0" xfId="0" applyFont="1" applyFill="1" applyBorder="1" applyAlignment="1">
      <alignment horizontal="left" vertical="center" wrapText="1"/>
    </xf>
    <xf numFmtId="0" fontId="41" fillId="0" borderId="0" xfId="0" applyFont="1" applyAlignment="1">
      <alignment horizontal="left" vertical="center"/>
    </xf>
    <xf numFmtId="0" fontId="41" fillId="0" borderId="0" xfId="0" applyFont="1" applyAlignment="1">
      <alignment horizontal="center" vertical="center"/>
    </xf>
    <xf numFmtId="0" fontId="4" fillId="0" borderId="3" xfId="0" applyFont="1" applyBorder="1" applyAlignment="1" applyProtection="1">
      <alignment horizontal="center" vertical="center" textRotation="90" wrapText="1"/>
      <protection locked="0"/>
    </xf>
    <xf numFmtId="0" fontId="27" fillId="3" borderId="3" xfId="0" applyFont="1" applyFill="1" applyBorder="1" applyAlignment="1" applyProtection="1">
      <alignment horizontal="center" vertical="center" textRotation="90" wrapText="1"/>
      <protection locked="0"/>
    </xf>
    <xf numFmtId="0" fontId="4" fillId="0" borderId="3" xfId="0" applyFont="1" applyFill="1" applyBorder="1" applyAlignment="1" applyProtection="1">
      <alignment horizontal="center" vertical="center" textRotation="90" wrapText="1"/>
      <protection locked="0"/>
    </xf>
    <xf numFmtId="2" fontId="4" fillId="3" borderId="1" xfId="9" applyNumberFormat="1" applyFont="1" applyFill="1" applyBorder="1" applyAlignment="1">
      <alignment horizontal="center" vertical="center" wrapText="1"/>
    </xf>
    <xf numFmtId="0" fontId="4" fillId="3" borderId="3" xfId="9" applyFont="1" applyFill="1" applyBorder="1" applyAlignment="1" applyProtection="1">
      <alignment horizontal="center" vertical="center" wrapText="1"/>
    </xf>
    <xf numFmtId="0" fontId="4" fillId="11" borderId="3" xfId="9" applyFont="1" applyFill="1" applyBorder="1" applyAlignment="1" applyProtection="1">
      <alignment horizontal="center" vertical="center" wrapText="1"/>
    </xf>
    <xf numFmtId="1" fontId="4" fillId="11" borderId="3" xfId="9" applyNumberFormat="1" applyFont="1" applyFill="1" applyBorder="1" applyAlignment="1">
      <alignment horizontal="center" vertical="center" wrapText="1"/>
    </xf>
    <xf numFmtId="0" fontId="27" fillId="10" borderId="3" xfId="9" applyFont="1" applyFill="1" applyBorder="1" applyAlignment="1" applyProtection="1">
      <alignment horizontal="center" vertical="center" textRotation="90" wrapText="1"/>
    </xf>
    <xf numFmtId="0" fontId="4" fillId="0" borderId="3" xfId="9" applyFont="1" applyFill="1" applyBorder="1" applyAlignment="1" applyProtection="1">
      <alignment vertical="center"/>
      <protection locked="0"/>
    </xf>
    <xf numFmtId="0" fontId="33" fillId="3" borderId="3" xfId="18" applyNumberFormat="1" applyFont="1" applyFill="1" applyBorder="1" applyAlignment="1">
      <alignment horizontal="left" vertical="center" wrapText="1"/>
    </xf>
    <xf numFmtId="0" fontId="27" fillId="3" borderId="3" xfId="0" applyFont="1" applyFill="1" applyBorder="1" applyAlignment="1" applyProtection="1">
      <alignment horizontal="center" vertical="center" wrapText="1"/>
      <protection locked="0"/>
    </xf>
    <xf numFmtId="0" fontId="27" fillId="0" borderId="0" xfId="0" applyFont="1" applyBorder="1"/>
    <xf numFmtId="0" fontId="27" fillId="0" borderId="0" xfId="0" applyFont="1"/>
    <xf numFmtId="0" fontId="27" fillId="0" borderId="0" xfId="0" applyFont="1" applyAlignment="1">
      <alignment horizontal="center" vertical="center"/>
    </xf>
    <xf numFmtId="0" fontId="4" fillId="0" borderId="0" xfId="0" applyFont="1" applyBorder="1"/>
    <xf numFmtId="0" fontId="27" fillId="3" borderId="0" xfId="0" applyFont="1" applyFill="1"/>
    <xf numFmtId="0" fontId="27" fillId="0" borderId="0" xfId="0" applyFont="1" applyFill="1" applyBorder="1" applyAlignment="1" applyProtection="1">
      <alignment vertical="center" wrapText="1"/>
      <protection locked="0"/>
    </xf>
    <xf numFmtId="0" fontId="27" fillId="0" borderId="3" xfId="0" applyFont="1" applyBorder="1" applyAlignment="1">
      <alignment vertical="center" wrapText="1"/>
    </xf>
    <xf numFmtId="0" fontId="27" fillId="0" borderId="0" xfId="0" applyFont="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4" fillId="0" borderId="3" xfId="0" applyFont="1" applyFill="1" applyBorder="1" applyAlignment="1" applyProtection="1">
      <alignment horizontal="justify" vertical="center" wrapText="1"/>
      <protection locked="0"/>
    </xf>
    <xf numFmtId="0" fontId="27" fillId="3" borderId="3" xfId="0"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textRotation="90" wrapText="1"/>
    </xf>
    <xf numFmtId="0" fontId="4" fillId="3" borderId="3" xfId="0" applyFont="1" applyFill="1" applyBorder="1" applyAlignment="1" applyProtection="1">
      <alignment vertical="center" wrapText="1"/>
      <protection locked="0"/>
    </xf>
    <xf numFmtId="2" fontId="4" fillId="16" borderId="1" xfId="9" applyNumberFormat="1" applyFont="1" applyFill="1" applyBorder="1" applyAlignment="1">
      <alignment horizontal="center" vertical="center" wrapText="1"/>
    </xf>
    <xf numFmtId="0" fontId="27" fillId="11" borderId="1" xfId="9" applyFont="1" applyFill="1" applyBorder="1" applyAlignment="1" applyProtection="1">
      <alignment horizontal="center" vertical="center" wrapText="1"/>
    </xf>
    <xf numFmtId="2" fontId="4" fillId="0" borderId="1" xfId="9" applyNumberFormat="1" applyFont="1" applyFill="1" applyBorder="1" applyAlignment="1">
      <alignment horizontal="center" vertical="center" wrapText="1"/>
    </xf>
    <xf numFmtId="0" fontId="4" fillId="0" borderId="3" xfId="9" applyFont="1" applyFill="1" applyBorder="1" applyAlignment="1" applyProtection="1">
      <alignment horizontal="center" vertical="center" wrapText="1"/>
    </xf>
    <xf numFmtId="0" fontId="9" fillId="0" borderId="3" xfId="9" applyFont="1" applyFill="1" applyBorder="1" applyAlignment="1" applyProtection="1">
      <alignment horizontal="justify" vertical="center" wrapText="1"/>
      <protection locked="0"/>
    </xf>
    <xf numFmtId="0" fontId="4" fillId="0" borderId="1" xfId="9" applyFont="1" applyFill="1" applyBorder="1" applyAlignment="1" applyProtection="1">
      <alignment horizontal="center" vertical="center" wrapText="1"/>
    </xf>
    <xf numFmtId="1" fontId="4" fillId="0" borderId="3" xfId="9" applyNumberFormat="1" applyFont="1" applyFill="1" applyBorder="1" applyAlignment="1">
      <alignment horizontal="center" vertical="center" wrapText="1"/>
    </xf>
    <xf numFmtId="0" fontId="9" fillId="0" borderId="2" xfId="9" applyFont="1" applyFill="1" applyBorder="1" applyAlignment="1" applyProtection="1">
      <alignment horizontal="justify" vertical="center" wrapText="1"/>
      <protection locked="0"/>
    </xf>
    <xf numFmtId="0" fontId="2" fillId="0" borderId="3" xfId="9" applyFill="1" applyBorder="1"/>
    <xf numFmtId="0" fontId="4" fillId="0" borderId="9" xfId="9" applyFont="1" applyFill="1" applyBorder="1" applyAlignment="1" applyProtection="1">
      <alignment vertical="center" textRotation="90" wrapText="1"/>
    </xf>
    <xf numFmtId="0" fontId="4" fillId="0" borderId="3" xfId="9" applyFont="1" applyFill="1" applyBorder="1" applyAlignment="1" applyProtection="1">
      <alignment vertical="center" textRotation="90" wrapText="1"/>
    </xf>
    <xf numFmtId="0" fontId="4" fillId="0" borderId="2" xfId="9" applyFont="1" applyFill="1" applyBorder="1" applyAlignment="1" applyProtection="1">
      <alignment vertical="center" textRotation="90" wrapText="1"/>
    </xf>
    <xf numFmtId="0" fontId="27" fillId="3" borderId="1" xfId="9" applyFont="1" applyFill="1" applyBorder="1" applyAlignment="1" applyProtection="1">
      <alignment horizontal="center" vertical="center" wrapText="1"/>
    </xf>
    <xf numFmtId="1" fontId="4" fillId="3" borderId="3" xfId="9" applyNumberFormat="1" applyFont="1" applyFill="1" applyBorder="1" applyAlignment="1">
      <alignment horizontal="center" vertical="center" wrapText="1"/>
    </xf>
    <xf numFmtId="0" fontId="9" fillId="3" borderId="3" xfId="18" applyNumberFormat="1" applyFont="1" applyFill="1" applyBorder="1" applyAlignment="1">
      <alignment horizontal="left" vertical="center" wrapText="1"/>
    </xf>
    <xf numFmtId="0" fontId="9" fillId="0" borderId="3" xfId="18" applyNumberFormat="1" applyFont="1" applyFill="1" applyBorder="1" applyAlignment="1">
      <alignment horizontal="left" vertical="center" wrapText="1"/>
    </xf>
    <xf numFmtId="0" fontId="27" fillId="11" borderId="3" xfId="9" applyFont="1" applyFill="1" applyBorder="1" applyAlignment="1" applyProtection="1">
      <alignment horizontal="center" vertical="center" wrapText="1"/>
    </xf>
    <xf numFmtId="0" fontId="7" fillId="0" borderId="2" xfId="9" applyFont="1" applyFill="1" applyBorder="1" applyAlignment="1" applyProtection="1">
      <alignment horizontal="justify" vertical="center" wrapText="1"/>
      <protection locked="0"/>
    </xf>
    <xf numFmtId="0" fontId="7" fillId="3" borderId="2" xfId="9" applyFont="1" applyFill="1" applyBorder="1" applyAlignment="1" applyProtection="1">
      <alignment horizontal="justify" vertical="center" wrapText="1"/>
      <protection locked="0"/>
    </xf>
    <xf numFmtId="0" fontId="4" fillId="0" borderId="0" xfId="0" applyFont="1" applyFill="1" applyBorder="1" applyAlignment="1" applyProtection="1">
      <alignment horizontal="center" vertical="center" wrapText="1"/>
      <protection locked="0"/>
    </xf>
    <xf numFmtId="0" fontId="4" fillId="3" borderId="3" xfId="0" applyFont="1" applyFill="1" applyBorder="1" applyAlignment="1" applyProtection="1">
      <alignment horizontal="left" vertical="center" wrapText="1"/>
      <protection locked="0"/>
    </xf>
    <xf numFmtId="0" fontId="58" fillId="0" borderId="3" xfId="0" applyFont="1" applyFill="1" applyBorder="1" applyAlignment="1" applyProtection="1">
      <alignment horizontal="center" vertical="center" textRotation="90" wrapText="1"/>
      <protection locked="0"/>
    </xf>
    <xf numFmtId="0" fontId="58" fillId="0" borderId="1" xfId="0" applyFont="1" applyFill="1" applyBorder="1" applyAlignment="1" applyProtection="1">
      <alignment horizontal="center" vertical="center" textRotation="90" wrapText="1"/>
      <protection locked="0"/>
    </xf>
    <xf numFmtId="0" fontId="0" fillId="0" borderId="0" xfId="0" applyFill="1" applyAlignment="1">
      <alignment horizontal="left" vertical="center"/>
    </xf>
    <xf numFmtId="0" fontId="0" fillId="0" borderId="0" xfId="0" applyFill="1" applyAlignment="1">
      <alignment horizontal="center" vertical="center"/>
    </xf>
    <xf numFmtId="0" fontId="3" fillId="0" borderId="0" xfId="0" applyFont="1" applyFill="1" applyBorder="1" applyAlignment="1">
      <alignment horizontal="center" vertical="center" wrapText="1"/>
    </xf>
    <xf numFmtId="0" fontId="3" fillId="24" borderId="3" xfId="0" applyFont="1" applyFill="1" applyBorder="1" applyAlignment="1">
      <alignment horizontal="center" vertical="center" wrapText="1"/>
    </xf>
    <xf numFmtId="0" fontId="0" fillId="0" borderId="0" xfId="0" applyAlignment="1">
      <alignment horizontal="center" vertical="center"/>
    </xf>
    <xf numFmtId="0" fontId="0" fillId="17" borderId="0" xfId="0" applyFill="1" applyAlignment="1">
      <alignment horizontal="center" vertical="center"/>
    </xf>
    <xf numFmtId="0" fontId="0" fillId="0" borderId="0" xfId="0" applyAlignment="1">
      <alignment horizontal="center" vertical="center"/>
    </xf>
    <xf numFmtId="0" fontId="28" fillId="6" borderId="3" xfId="0" applyFont="1" applyFill="1" applyBorder="1" applyAlignment="1">
      <alignment horizontal="center" vertical="center" wrapText="1"/>
    </xf>
    <xf numFmtId="0" fontId="3" fillId="7" borderId="3" xfId="0" applyFont="1" applyFill="1" applyBorder="1" applyAlignment="1">
      <alignment horizontal="center" vertical="center" wrapText="1"/>
    </xf>
    <xf numFmtId="0" fontId="3" fillId="25" borderId="3" xfId="0" applyFont="1" applyFill="1" applyBorder="1" applyAlignment="1">
      <alignment horizontal="center" vertical="center" wrapText="1"/>
    </xf>
    <xf numFmtId="0" fontId="3" fillId="26" borderId="3" xfId="0" applyFont="1" applyFill="1" applyBorder="1" applyAlignment="1">
      <alignment horizontal="center" vertical="center" wrapText="1"/>
    </xf>
    <xf numFmtId="0" fontId="3" fillId="27" borderId="3" xfId="0" applyFont="1" applyFill="1" applyBorder="1" applyAlignment="1">
      <alignment horizontal="center" vertical="center" wrapText="1"/>
    </xf>
    <xf numFmtId="0" fontId="3" fillId="22" borderId="3" xfId="0" applyFont="1" applyFill="1" applyBorder="1" applyAlignment="1">
      <alignment horizontal="center" vertical="center" wrapText="1"/>
    </xf>
    <xf numFmtId="0" fontId="3" fillId="28" borderId="3" xfId="0" applyFont="1" applyFill="1" applyBorder="1" applyAlignment="1">
      <alignment horizontal="center" vertical="center" wrapText="1"/>
    </xf>
    <xf numFmtId="0" fontId="3" fillId="29" borderId="3" xfId="0" applyFont="1" applyFill="1" applyBorder="1" applyAlignment="1">
      <alignment horizontal="center" vertical="center" wrapText="1"/>
    </xf>
    <xf numFmtId="0" fontId="3" fillId="23" borderId="3" xfId="0" applyFont="1" applyFill="1" applyBorder="1" applyAlignment="1">
      <alignment horizontal="center" vertical="center" wrapText="1"/>
    </xf>
    <xf numFmtId="0" fontId="0" fillId="23" borderId="0" xfId="0" applyFill="1" applyAlignment="1">
      <alignment horizontal="center" vertical="center"/>
    </xf>
    <xf numFmtId="0" fontId="3" fillId="20" borderId="3" xfId="0" applyFont="1" applyFill="1" applyBorder="1" applyAlignment="1">
      <alignment horizontal="center" vertical="center" wrapText="1"/>
    </xf>
    <xf numFmtId="0" fontId="3" fillId="30" borderId="3" xfId="0" applyFont="1" applyFill="1" applyBorder="1" applyAlignment="1">
      <alignment horizontal="center" vertical="center" wrapText="1"/>
    </xf>
    <xf numFmtId="0" fontId="3" fillId="18" borderId="3" xfId="0" applyFont="1" applyFill="1" applyBorder="1" applyAlignment="1">
      <alignment horizontal="center" vertical="center" wrapText="1"/>
    </xf>
    <xf numFmtId="0" fontId="0" fillId="18" borderId="0" xfId="0" applyFill="1" applyAlignment="1">
      <alignment horizontal="center" vertical="center"/>
    </xf>
    <xf numFmtId="0" fontId="3" fillId="5" borderId="3"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21" borderId="3" xfId="0" applyFont="1" applyFill="1" applyBorder="1" applyAlignment="1">
      <alignment horizontal="center" vertical="center" wrapText="1"/>
    </xf>
    <xf numFmtId="0" fontId="0" fillId="23" borderId="3" xfId="0" applyFill="1" applyBorder="1" applyAlignment="1">
      <alignment horizontal="center" vertical="center"/>
    </xf>
    <xf numFmtId="0" fontId="0" fillId="6" borderId="0" xfId="0" applyFill="1" applyAlignment="1">
      <alignment horizontal="center" vertical="center"/>
    </xf>
    <xf numFmtId="0" fontId="0" fillId="6" borderId="0" xfId="0" applyFill="1" applyAlignment="1">
      <alignment horizontal="center" vertical="center"/>
    </xf>
    <xf numFmtId="0" fontId="3" fillId="3" borderId="3" xfId="0" applyFont="1" applyFill="1" applyBorder="1" applyAlignment="1">
      <alignment horizontal="center" vertical="center" wrapText="1"/>
    </xf>
    <xf numFmtId="0" fontId="0" fillId="3" borderId="3" xfId="0" applyFill="1" applyBorder="1" applyAlignment="1">
      <alignment horizontal="center" vertical="center"/>
    </xf>
    <xf numFmtId="0" fontId="27" fillId="0" borderId="3" xfId="0" applyFont="1" applyBorder="1" applyAlignment="1">
      <alignment horizontal="center" vertical="center" wrapText="1"/>
    </xf>
    <xf numFmtId="0" fontId="28" fillId="9" borderId="3" xfId="0" applyFont="1" applyFill="1" applyBorder="1" applyAlignment="1">
      <alignment horizontal="center" vertical="center" wrapText="1"/>
    </xf>
    <xf numFmtId="0" fontId="0" fillId="19" borderId="0" xfId="0" applyFill="1" applyAlignment="1">
      <alignment horizontal="center" vertical="center"/>
    </xf>
    <xf numFmtId="0" fontId="28" fillId="9" borderId="3" xfId="0" applyFont="1" applyFill="1" applyBorder="1" applyAlignment="1">
      <alignment horizontal="center" vertical="center"/>
    </xf>
    <xf numFmtId="0" fontId="28" fillId="0" borderId="3" xfId="0" applyFont="1" applyBorder="1" applyAlignment="1">
      <alignment horizontal="center" vertical="center"/>
    </xf>
    <xf numFmtId="0" fontId="27" fillId="0" borderId="3" xfId="0" applyFont="1" applyBorder="1" applyAlignment="1">
      <alignment horizontal="center" vertical="center"/>
    </xf>
    <xf numFmtId="0" fontId="27" fillId="0" borderId="0" xfId="0" applyFont="1" applyAlignment="1">
      <alignment horizontal="center" vertical="center" wrapText="1"/>
    </xf>
    <xf numFmtId="0" fontId="27" fillId="0" borderId="3" xfId="0" applyFont="1" applyBorder="1"/>
    <xf numFmtId="0" fontId="27" fillId="0" borderId="0" xfId="0" applyFont="1" applyAlignment="1">
      <alignment wrapText="1"/>
    </xf>
    <xf numFmtId="0" fontId="27" fillId="0" borderId="3" xfId="0" applyFont="1" applyBorder="1" applyAlignment="1">
      <alignment wrapText="1"/>
    </xf>
    <xf numFmtId="0" fontId="28" fillId="6" borderId="3"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0" fillId="0" borderId="0" xfId="0" pivotButton="1"/>
    <xf numFmtId="0" fontId="0" fillId="0" borderId="0" xfId="0" applyNumberFormat="1"/>
    <xf numFmtId="165" fontId="0" fillId="0" borderId="0" xfId="0" applyNumberFormat="1"/>
    <xf numFmtId="0" fontId="27" fillId="32" borderId="3" xfId="0" applyFont="1" applyFill="1" applyBorder="1" applyAlignment="1">
      <alignment horizontal="center" vertical="center" wrapText="1"/>
    </xf>
    <xf numFmtId="0" fontId="27" fillId="12" borderId="3" xfId="0" applyFont="1" applyFill="1" applyBorder="1" applyAlignment="1">
      <alignment horizontal="center" vertical="center" wrapText="1"/>
    </xf>
    <xf numFmtId="0" fontId="27" fillId="33" borderId="3" xfId="0" applyFont="1" applyFill="1" applyBorder="1" applyAlignment="1">
      <alignment horizontal="center" vertical="center" wrapText="1"/>
    </xf>
    <xf numFmtId="0" fontId="61" fillId="14" borderId="3" xfId="0" applyFont="1" applyFill="1" applyBorder="1" applyAlignment="1">
      <alignment horizontal="center" vertical="center" wrapText="1"/>
    </xf>
    <xf numFmtId="0" fontId="27" fillId="0" borderId="26" xfId="0" applyFont="1" applyBorder="1" applyAlignment="1">
      <alignment horizontal="left" vertical="center"/>
    </xf>
    <xf numFmtId="0" fontId="27" fillId="0" borderId="58" xfId="0" applyFont="1" applyBorder="1" applyAlignment="1">
      <alignment horizontal="center" vertical="center"/>
    </xf>
    <xf numFmtId="165" fontId="27" fillId="0" borderId="58" xfId="0" applyNumberFormat="1" applyFont="1" applyBorder="1" applyAlignment="1">
      <alignment horizontal="center" vertical="center"/>
    </xf>
    <xf numFmtId="0" fontId="27" fillId="3" borderId="0" xfId="0" applyFont="1" applyFill="1" applyBorder="1" applyAlignment="1">
      <alignment horizontal="center" vertical="center" wrapText="1"/>
    </xf>
    <xf numFmtId="0" fontId="28" fillId="7" borderId="3" xfId="0" applyFont="1" applyFill="1" applyBorder="1" applyAlignment="1">
      <alignment horizontal="center" vertical="center" wrapText="1"/>
    </xf>
    <xf numFmtId="0" fontId="62" fillId="19" borderId="0" xfId="0" applyFont="1" applyFill="1"/>
    <xf numFmtId="0" fontId="62" fillId="18" borderId="0" xfId="0" applyFont="1" applyFill="1"/>
    <xf numFmtId="0" fontId="27" fillId="0" borderId="59" xfId="0" applyFont="1" applyBorder="1" applyAlignment="1">
      <alignment horizontal="left" vertical="center"/>
    </xf>
    <xf numFmtId="0" fontId="27" fillId="0" borderId="60" xfId="0" applyFont="1" applyBorder="1" applyAlignment="1">
      <alignment horizontal="center" vertical="center"/>
    </xf>
    <xf numFmtId="165" fontId="27" fillId="0" borderId="60" xfId="0" applyNumberFormat="1" applyFont="1" applyBorder="1" applyAlignment="1">
      <alignment horizontal="center" vertical="center"/>
    </xf>
    <xf numFmtId="0" fontId="28" fillId="0" borderId="61" xfId="0" applyFont="1" applyBorder="1" applyAlignment="1">
      <alignment horizontal="center" vertical="center"/>
    </xf>
    <xf numFmtId="0" fontId="28" fillId="0" borderId="62" xfId="0" applyFont="1" applyBorder="1" applyAlignment="1">
      <alignment horizontal="center" vertical="center"/>
    </xf>
    <xf numFmtId="165" fontId="28" fillId="0" borderId="62" xfId="0" applyNumberFormat="1" applyFont="1" applyBorder="1" applyAlignment="1">
      <alignment horizontal="center" vertical="center"/>
    </xf>
    <xf numFmtId="0" fontId="28" fillId="7" borderId="3" xfId="0" applyFont="1" applyFill="1" applyBorder="1" applyAlignment="1">
      <alignment horizontal="center" vertical="center"/>
    </xf>
    <xf numFmtId="165" fontId="27" fillId="0" borderId="3" xfId="0" applyNumberFormat="1" applyFont="1" applyBorder="1" applyAlignment="1">
      <alignment horizontal="center" vertical="center"/>
    </xf>
    <xf numFmtId="0" fontId="27" fillId="33" borderId="58" xfId="0" applyFont="1" applyFill="1" applyBorder="1" applyAlignment="1">
      <alignment horizontal="center" vertical="center" wrapText="1"/>
    </xf>
    <xf numFmtId="0" fontId="27" fillId="12" borderId="58" xfId="0" applyFont="1" applyFill="1" applyBorder="1" applyAlignment="1">
      <alignment horizontal="center" vertical="center" wrapText="1"/>
    </xf>
    <xf numFmtId="0" fontId="27" fillId="12" borderId="64" xfId="0" applyFont="1" applyFill="1" applyBorder="1" applyAlignment="1">
      <alignment horizontal="center" vertical="center" wrapText="1"/>
    </xf>
    <xf numFmtId="0" fontId="27" fillId="32" borderId="64" xfId="0" applyFont="1" applyFill="1" applyBorder="1" applyAlignment="1">
      <alignment horizontal="center" vertical="center" wrapText="1"/>
    </xf>
    <xf numFmtId="0" fontId="27" fillId="0" borderId="30" xfId="0" applyFont="1" applyBorder="1" applyAlignment="1">
      <alignment horizontal="left" vertical="center"/>
    </xf>
    <xf numFmtId="165" fontId="27" fillId="0" borderId="32" xfId="0" applyNumberFormat="1" applyFont="1" applyBorder="1" applyAlignment="1">
      <alignment horizontal="center" vertical="center"/>
    </xf>
    <xf numFmtId="0" fontId="27" fillId="33" borderId="32"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3" fillId="13" borderId="58" xfId="0" applyFont="1" applyFill="1" applyBorder="1" applyAlignment="1">
      <alignment horizontal="center" vertical="center" wrapText="1"/>
    </xf>
    <xf numFmtId="0" fontId="3" fillId="12" borderId="64" xfId="0" applyFont="1" applyFill="1" applyBorder="1" applyAlignment="1">
      <alignment horizontal="center" vertical="center" wrapText="1"/>
    </xf>
    <xf numFmtId="0" fontId="3" fillId="15" borderId="64" xfId="0" applyFont="1" applyFill="1" applyBorder="1" applyAlignment="1">
      <alignment horizontal="center" vertical="center" wrapText="1"/>
    </xf>
    <xf numFmtId="0" fontId="3" fillId="12" borderId="58" xfId="0" applyFont="1" applyFill="1" applyBorder="1" applyAlignment="1">
      <alignment horizontal="center" vertical="center" wrapText="1"/>
    </xf>
    <xf numFmtId="0" fontId="3" fillId="15" borderId="58" xfId="0" applyFont="1" applyFill="1" applyBorder="1" applyAlignment="1">
      <alignment horizontal="center" vertical="center" wrapText="1"/>
    </xf>
    <xf numFmtId="0" fontId="3" fillId="15" borderId="60" xfId="0" applyFont="1" applyFill="1" applyBorder="1" applyAlignment="1">
      <alignment horizontal="center" vertical="center" wrapText="1"/>
    </xf>
    <xf numFmtId="0" fontId="3" fillId="15" borderId="65" xfId="0" applyFont="1" applyFill="1" applyBorder="1" applyAlignment="1">
      <alignment horizontal="center" vertical="center" wrapText="1"/>
    </xf>
    <xf numFmtId="0" fontId="3" fillId="12" borderId="62" xfId="0" applyFont="1" applyFill="1" applyBorder="1" applyAlignment="1">
      <alignment horizontal="center" vertical="center" wrapText="1"/>
    </xf>
    <xf numFmtId="0" fontId="3" fillId="15" borderId="66" xfId="0" applyFont="1" applyFill="1" applyBorder="1" applyAlignment="1">
      <alignment horizontal="center" vertical="center" wrapText="1"/>
    </xf>
    <xf numFmtId="0" fontId="27" fillId="32" borderId="65" xfId="0" applyFont="1" applyFill="1" applyBorder="1" applyAlignment="1">
      <alignment horizontal="center" vertical="center" wrapText="1"/>
    </xf>
    <xf numFmtId="0" fontId="28" fillId="12" borderId="62" xfId="0" applyFont="1" applyFill="1" applyBorder="1" applyAlignment="1">
      <alignment horizontal="center" vertical="center" wrapText="1"/>
    </xf>
    <xf numFmtId="0" fontId="28" fillId="32" borderId="66" xfId="0" applyFont="1" applyFill="1" applyBorder="1" applyAlignment="1">
      <alignment horizontal="center" vertical="center" wrapText="1"/>
    </xf>
    <xf numFmtId="0" fontId="50" fillId="34" borderId="25" xfId="0" applyFont="1" applyFill="1" applyBorder="1" applyAlignment="1">
      <alignment horizontal="center" vertical="center"/>
    </xf>
    <xf numFmtId="0" fontId="61" fillId="3" borderId="0" xfId="0"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0" fontId="27" fillId="3" borderId="5" xfId="0" applyFont="1" applyFill="1" applyBorder="1" applyAlignment="1">
      <alignment horizontal="center" vertical="center"/>
    </xf>
    <xf numFmtId="0" fontId="27" fillId="3" borderId="12" xfId="0" applyFont="1" applyFill="1" applyBorder="1" applyAlignment="1">
      <alignment horizontal="center" vertical="center"/>
    </xf>
    <xf numFmtId="0" fontId="27" fillId="3" borderId="4" xfId="0" applyFont="1" applyFill="1" applyBorder="1" applyAlignment="1">
      <alignment horizontal="center" vertical="center"/>
    </xf>
    <xf numFmtId="0" fontId="49" fillId="3" borderId="0" xfId="0" applyFont="1" applyFill="1" applyBorder="1" applyAlignment="1">
      <alignment horizontal="center" vertical="center"/>
    </xf>
    <xf numFmtId="0" fontId="49" fillId="3" borderId="0" xfId="0" applyFont="1" applyFill="1" applyBorder="1" applyAlignment="1">
      <alignment horizontal="center" vertical="center" wrapText="1"/>
    </xf>
    <xf numFmtId="0" fontId="27" fillId="3" borderId="10" xfId="0" applyFont="1" applyFill="1" applyBorder="1" applyAlignment="1">
      <alignment horizontal="center" vertical="center"/>
    </xf>
    <xf numFmtId="0" fontId="27" fillId="3" borderId="0" xfId="0" applyFont="1" applyFill="1" applyBorder="1" applyAlignment="1">
      <alignment horizontal="center" vertical="center"/>
    </xf>
    <xf numFmtId="0" fontId="27" fillId="3" borderId="11" xfId="0" applyFont="1" applyFill="1" applyBorder="1" applyAlignment="1">
      <alignment horizontal="center" vertical="center"/>
    </xf>
    <xf numFmtId="0" fontId="27" fillId="3" borderId="6" xfId="0" applyFont="1" applyFill="1" applyBorder="1" applyAlignment="1">
      <alignment horizontal="center" vertical="center"/>
    </xf>
    <xf numFmtId="0" fontId="27" fillId="3" borderId="0" xfId="0" applyFont="1" applyFill="1" applyBorder="1"/>
    <xf numFmtId="0" fontId="0" fillId="3" borderId="0" xfId="0" applyFill="1" applyBorder="1"/>
    <xf numFmtId="0" fontId="27" fillId="3" borderId="6" xfId="0" applyFont="1" applyFill="1" applyBorder="1"/>
    <xf numFmtId="0" fontId="28" fillId="3" borderId="3" xfId="0" applyFont="1" applyFill="1" applyBorder="1"/>
    <xf numFmtId="165" fontId="29" fillId="0" borderId="3" xfId="0" applyNumberFormat="1" applyFont="1" applyBorder="1" applyAlignment="1">
      <alignment horizontal="center" vertical="center"/>
    </xf>
    <xf numFmtId="0" fontId="29" fillId="12" borderId="3" xfId="0" applyFont="1" applyFill="1" applyBorder="1" applyAlignment="1">
      <alignment horizontal="center" vertical="center" wrapText="1"/>
    </xf>
    <xf numFmtId="0" fontId="29" fillId="32" borderId="3" xfId="0" applyFont="1" applyFill="1" applyBorder="1" applyAlignment="1">
      <alignment horizontal="center" vertical="center" wrapText="1"/>
    </xf>
    <xf numFmtId="0" fontId="63" fillId="0" borderId="0" xfId="0" applyFont="1" applyBorder="1" applyAlignment="1">
      <alignment horizontal="center" vertical="center"/>
    </xf>
    <xf numFmtId="0" fontId="0" fillId="6" borderId="0" xfId="0" applyFill="1" applyAlignment="1">
      <alignment horizontal="center" vertical="center"/>
    </xf>
    <xf numFmtId="0" fontId="64" fillId="35" borderId="0" xfId="0" applyFont="1" applyFill="1" applyAlignment="1">
      <alignment horizontal="center" vertical="center"/>
    </xf>
    <xf numFmtId="14" fontId="0" fillId="0" borderId="0" xfId="0" applyNumberFormat="1" applyFill="1" applyAlignment="1">
      <alignment horizontal="center" vertical="center"/>
    </xf>
    <xf numFmtId="0" fontId="0" fillId="28" borderId="0" xfId="0" applyFill="1" applyAlignment="1">
      <alignment horizontal="center" vertical="center"/>
    </xf>
    <xf numFmtId="0" fontId="41" fillId="28" borderId="0" xfId="0" applyFont="1" applyFill="1" applyAlignment="1">
      <alignment horizontal="center" vertical="center"/>
    </xf>
    <xf numFmtId="2" fontId="0" fillId="28" borderId="0" xfId="0" applyNumberFormat="1" applyFill="1" applyAlignment="1">
      <alignment horizontal="center" vertical="center"/>
    </xf>
    <xf numFmtId="0" fontId="0" fillId="28" borderId="0" xfId="0" applyFill="1"/>
    <xf numFmtId="0" fontId="4" fillId="0" borderId="3" xfId="0" applyFont="1" applyFill="1" applyBorder="1" applyAlignment="1" applyProtection="1">
      <alignment horizontal="left" vertical="center" wrapText="1"/>
      <protection locked="0"/>
    </xf>
    <xf numFmtId="0" fontId="27" fillId="0" borderId="0" xfId="0" applyFont="1" applyAlignment="1" applyProtection="1">
      <protection locked="0"/>
    </xf>
    <xf numFmtId="0" fontId="41" fillId="4" borderId="1" xfId="0" applyFont="1" applyFill="1" applyBorder="1" applyAlignment="1">
      <alignment horizontal="center"/>
    </xf>
    <xf numFmtId="0" fontId="0" fillId="0" borderId="0" xfId="0" applyFill="1" applyBorder="1"/>
    <xf numFmtId="0" fontId="69" fillId="4" borderId="9" xfId="0" applyFont="1" applyFill="1" applyBorder="1" applyAlignment="1">
      <alignment horizontal="center"/>
    </xf>
    <xf numFmtId="0" fontId="0" fillId="0" borderId="0" xfId="0" applyFill="1" applyBorder="1" applyAlignment="1">
      <alignment horizontal="left"/>
    </xf>
    <xf numFmtId="0" fontId="4" fillId="0" borderId="0" xfId="0" applyFont="1"/>
    <xf numFmtId="0" fontId="3" fillId="37" borderId="0" xfId="0" applyFont="1" applyFill="1" applyBorder="1" applyAlignment="1">
      <alignment horizontal="center" vertical="center" wrapText="1"/>
    </xf>
    <xf numFmtId="0" fontId="3" fillId="3" borderId="0" xfId="0" applyFont="1" applyFill="1" applyBorder="1" applyAlignment="1">
      <alignment horizontal="left" indent="6"/>
    </xf>
    <xf numFmtId="0" fontId="3" fillId="3" borderId="0" xfId="0" applyFont="1" applyFill="1" applyBorder="1" applyAlignment="1"/>
    <xf numFmtId="0" fontId="3" fillId="38" borderId="0" xfId="0" applyFont="1" applyFill="1" applyBorder="1" applyAlignment="1"/>
    <xf numFmtId="0" fontId="3" fillId="40" borderId="5" xfId="0" applyFont="1" applyFill="1" applyBorder="1" applyAlignment="1">
      <alignment horizontal="center" vertical="center" wrapText="1"/>
    </xf>
    <xf numFmtId="0" fontId="3" fillId="7" borderId="3" xfId="0" applyFont="1" applyFill="1" applyBorder="1" applyAlignment="1">
      <alignment horizontal="left" indent="6"/>
    </xf>
    <xf numFmtId="0" fontId="3" fillId="7" borderId="3" xfId="0" applyFont="1" applyFill="1" applyBorder="1" applyAlignment="1"/>
    <xf numFmtId="0" fontId="3" fillId="41" borderId="3" xfId="0" applyFont="1" applyFill="1" applyBorder="1" applyAlignment="1"/>
    <xf numFmtId="0" fontId="47" fillId="8" borderId="3" xfId="0" applyFont="1" applyFill="1" applyBorder="1" applyAlignment="1" applyProtection="1">
      <alignment horizontal="center" vertical="center" textRotation="90" wrapText="1"/>
    </xf>
    <xf numFmtId="49" fontId="3" fillId="0" borderId="3" xfId="0" applyNumberFormat="1" applyFont="1" applyFill="1" applyBorder="1" applyAlignment="1">
      <alignment horizontal="center" vertical="center" wrapText="1"/>
    </xf>
    <xf numFmtId="0" fontId="3" fillId="0" borderId="3" xfId="0" applyFont="1" applyBorder="1" applyAlignment="1">
      <alignment horizontal="center" vertical="center" wrapText="1"/>
    </xf>
    <xf numFmtId="0" fontId="4" fillId="0" borderId="0" xfId="0" applyFont="1" applyAlignment="1">
      <alignment horizontal="center" vertical="center"/>
    </xf>
    <xf numFmtId="9" fontId="4" fillId="0" borderId="3" xfId="0" applyNumberFormat="1" applyFont="1" applyFill="1" applyBorder="1" applyAlignment="1" applyProtection="1">
      <alignment horizontal="center" vertical="center" wrapText="1"/>
      <protection locked="0"/>
    </xf>
    <xf numFmtId="15" fontId="0" fillId="0" borderId="3" xfId="0" applyNumberFormat="1" applyFill="1" applyBorder="1" applyAlignment="1">
      <alignment horizontal="center" vertical="center"/>
    </xf>
    <xf numFmtId="0" fontId="0" fillId="0" borderId="0" xfId="0" applyFill="1"/>
    <xf numFmtId="0" fontId="27" fillId="0" borderId="0" xfId="0" applyFont="1" applyFill="1" applyBorder="1" applyAlignment="1" applyProtection="1">
      <alignment horizontal="left" vertical="center" wrapText="1"/>
      <protection locked="0"/>
    </xf>
    <xf numFmtId="15" fontId="0" fillId="0" borderId="0" xfId="0" applyNumberFormat="1" applyFill="1" applyBorder="1" applyAlignment="1">
      <alignment horizontal="center" vertical="center"/>
    </xf>
    <xf numFmtId="0" fontId="4" fillId="0" borderId="0" xfId="0" applyFont="1" applyFill="1" applyBorder="1"/>
    <xf numFmtId="15" fontId="67" fillId="3" borderId="2" xfId="0" applyNumberFormat="1" applyFont="1" applyFill="1" applyBorder="1" applyAlignment="1" applyProtection="1">
      <alignment horizontal="center" vertical="center"/>
      <protection locked="0"/>
    </xf>
    <xf numFmtId="0" fontId="71" fillId="3" borderId="0" xfId="22" applyFont="1" applyFill="1"/>
    <xf numFmtId="0" fontId="71" fillId="0" borderId="17" xfId="22" applyFont="1" applyBorder="1" applyAlignment="1"/>
    <xf numFmtId="0" fontId="71" fillId="0" borderId="0" xfId="22" applyFont="1"/>
    <xf numFmtId="0" fontId="70" fillId="0" borderId="0" xfId="22"/>
    <xf numFmtId="0" fontId="3" fillId="3" borderId="0" xfId="22" applyFont="1" applyFill="1" applyAlignment="1">
      <alignment horizontal="center" vertical="center"/>
    </xf>
    <xf numFmtId="0" fontId="71" fillId="0" borderId="0" xfId="22" applyFont="1" applyBorder="1" applyAlignment="1"/>
    <xf numFmtId="0" fontId="71" fillId="0" borderId="22" xfId="22" applyFont="1" applyBorder="1" applyAlignment="1"/>
    <xf numFmtId="0" fontId="4" fillId="3" borderId="0" xfId="22" applyFont="1" applyFill="1" applyBorder="1" applyAlignment="1">
      <alignment horizontal="center" vertical="center" wrapText="1"/>
    </xf>
    <xf numFmtId="0" fontId="3" fillId="3" borderId="0" xfId="22" applyFont="1" applyFill="1" applyBorder="1" applyAlignment="1">
      <alignment horizontal="center" vertical="center" wrapText="1"/>
    </xf>
    <xf numFmtId="0" fontId="3" fillId="3" borderId="0" xfId="22" applyFont="1" applyFill="1" applyBorder="1" applyAlignment="1">
      <alignment horizontal="left" vertical="center" wrapText="1"/>
    </xf>
    <xf numFmtId="0" fontId="4" fillId="0" borderId="0" xfId="22" applyFont="1"/>
    <xf numFmtId="0" fontId="70" fillId="0" borderId="0" xfId="22" applyFill="1" applyBorder="1" applyAlignment="1">
      <alignment horizontal="left"/>
    </xf>
    <xf numFmtId="0" fontId="4" fillId="3" borderId="0" xfId="22" applyFont="1" applyFill="1"/>
    <xf numFmtId="0" fontId="3" fillId="16" borderId="5" xfId="22" applyFont="1" applyFill="1" applyBorder="1" applyAlignment="1">
      <alignment horizontal="center" vertical="center" wrapText="1"/>
    </xf>
    <xf numFmtId="0" fontId="3" fillId="18" borderId="13" xfId="22" applyFont="1" applyFill="1" applyBorder="1" applyAlignment="1">
      <alignment horizontal="left" indent="6"/>
    </xf>
    <xf numFmtId="0" fontId="3" fillId="18" borderId="13" xfId="22" applyFont="1" applyFill="1" applyBorder="1" applyAlignment="1"/>
    <xf numFmtId="0" fontId="3" fillId="44" borderId="13" xfId="22" applyFont="1" applyFill="1" applyBorder="1" applyAlignment="1"/>
    <xf numFmtId="49" fontId="3" fillId="16" borderId="5" xfId="22" applyNumberFormat="1" applyFont="1" applyFill="1" applyBorder="1" applyAlignment="1">
      <alignment horizontal="center" vertical="center" wrapText="1"/>
    </xf>
    <xf numFmtId="49" fontId="3" fillId="16" borderId="3" xfId="22" applyNumberFormat="1" applyFont="1" applyFill="1" applyBorder="1" applyAlignment="1">
      <alignment horizontal="center" vertical="center" wrapText="1"/>
    </xf>
    <xf numFmtId="49" fontId="3" fillId="0" borderId="12" xfId="22" applyNumberFormat="1" applyFont="1" applyFill="1" applyBorder="1" applyAlignment="1">
      <alignment vertical="center" wrapText="1"/>
    </xf>
    <xf numFmtId="49" fontId="3" fillId="0" borderId="4" xfId="22" applyNumberFormat="1" applyFont="1" applyFill="1" applyBorder="1" applyAlignment="1">
      <alignment vertical="center" wrapText="1"/>
    </xf>
    <xf numFmtId="0" fontId="8" fillId="0" borderId="3" xfId="22" applyFont="1" applyFill="1" applyBorder="1" applyAlignment="1">
      <alignment horizontal="center" vertical="center" wrapText="1"/>
    </xf>
    <xf numFmtId="0" fontId="3" fillId="11" borderId="3" xfId="22" applyFont="1" applyFill="1" applyBorder="1" applyAlignment="1">
      <alignment horizontal="center" vertical="center" wrapText="1"/>
    </xf>
    <xf numFmtId="0" fontId="3" fillId="16" borderId="3" xfId="22" applyFont="1" applyFill="1" applyBorder="1" applyAlignment="1">
      <alignment horizontal="center" vertical="center" wrapText="1"/>
    </xf>
    <xf numFmtId="0" fontId="28" fillId="11" borderId="3" xfId="22" applyFont="1" applyFill="1" applyBorder="1" applyAlignment="1" applyProtection="1">
      <alignment horizontal="center" vertical="center" wrapText="1"/>
      <protection locked="0"/>
    </xf>
    <xf numFmtId="0" fontId="28" fillId="11" borderId="3" xfId="22" applyFont="1" applyFill="1" applyBorder="1" applyAlignment="1" applyProtection="1">
      <alignment horizontal="center" vertical="center" textRotation="90" wrapText="1"/>
      <protection locked="0"/>
    </xf>
    <xf numFmtId="0" fontId="4" fillId="0" borderId="3" xfId="22" applyFont="1" applyFill="1" applyBorder="1" applyAlignment="1" applyProtection="1">
      <alignment vertical="center" wrapText="1"/>
      <protection locked="0"/>
    </xf>
    <xf numFmtId="0" fontId="70" fillId="0" borderId="0" xfId="22" applyFill="1"/>
    <xf numFmtId="15" fontId="70" fillId="0" borderId="3" xfId="22" applyNumberFormat="1" applyFill="1" applyBorder="1" applyAlignment="1" applyProtection="1">
      <alignment horizontal="center" vertical="center"/>
      <protection locked="0"/>
    </xf>
    <xf numFmtId="0" fontId="70" fillId="3" borderId="0" xfId="22" applyFill="1"/>
    <xf numFmtId="0" fontId="4" fillId="3" borderId="3" xfId="22" applyFont="1" applyFill="1" applyBorder="1" applyAlignment="1" applyProtection="1">
      <alignment vertical="center" wrapText="1"/>
      <protection locked="0"/>
    </xf>
    <xf numFmtId="15" fontId="70" fillId="3" borderId="3" xfId="22" applyNumberFormat="1" applyFill="1" applyBorder="1" applyAlignment="1" applyProtection="1">
      <alignment horizontal="center" vertical="center"/>
      <protection locked="0"/>
    </xf>
    <xf numFmtId="2" fontId="4" fillId="16" borderId="3" xfId="9" applyNumberFormat="1" applyFont="1" applyFill="1" applyBorder="1" applyAlignment="1">
      <alignment horizontal="center" vertical="center" wrapText="1"/>
    </xf>
    <xf numFmtId="2" fontId="4" fillId="0" borderId="3" xfId="22" applyNumberFormat="1" applyFont="1" applyFill="1" applyBorder="1" applyAlignment="1" applyProtection="1">
      <alignment horizontal="center" vertical="center" textRotation="90" wrapText="1"/>
      <protection locked="0"/>
    </xf>
    <xf numFmtId="0" fontId="4" fillId="0" borderId="3" xfId="22" applyFont="1" applyFill="1" applyBorder="1" applyAlignment="1" applyProtection="1">
      <alignment horizontal="center" vertical="center" textRotation="90" wrapText="1"/>
      <protection locked="0"/>
    </xf>
    <xf numFmtId="2" fontId="4" fillId="16" borderId="1" xfId="22" applyNumberFormat="1" applyFont="1" applyFill="1" applyBorder="1" applyAlignment="1">
      <alignment horizontal="center" vertical="center" wrapText="1"/>
    </xf>
    <xf numFmtId="0" fontId="4" fillId="11" borderId="3" xfId="22" applyFont="1" applyFill="1" applyBorder="1" applyAlignment="1" applyProtection="1">
      <alignment horizontal="center" vertical="center" wrapText="1"/>
    </xf>
    <xf numFmtId="0" fontId="4" fillId="10" borderId="3" xfId="22" applyFont="1" applyFill="1" applyBorder="1" applyAlignment="1" applyProtection="1">
      <alignment horizontal="center" vertical="center" textRotation="90" wrapText="1"/>
    </xf>
    <xf numFmtId="0" fontId="27" fillId="11" borderId="1" xfId="22" applyFont="1" applyFill="1" applyBorder="1" applyAlignment="1" applyProtection="1">
      <alignment horizontal="center" vertical="center" wrapText="1"/>
    </xf>
    <xf numFmtId="0" fontId="27" fillId="10" borderId="3" xfId="22" applyFont="1" applyFill="1" applyBorder="1" applyAlignment="1" applyProtection="1">
      <alignment horizontal="center" vertical="center" textRotation="90" wrapText="1"/>
    </xf>
    <xf numFmtId="1" fontId="4" fillId="11" borderId="3" xfId="22" applyNumberFormat="1" applyFont="1" applyFill="1" applyBorder="1" applyAlignment="1">
      <alignment horizontal="center" vertical="center" wrapText="1"/>
    </xf>
    <xf numFmtId="2" fontId="4" fillId="46" borderId="3" xfId="22" applyNumberFormat="1" applyFont="1" applyFill="1" applyBorder="1" applyAlignment="1" applyProtection="1">
      <alignment horizontal="center" vertical="center" textRotation="90" wrapText="1"/>
      <protection locked="0"/>
    </xf>
    <xf numFmtId="0" fontId="70" fillId="3" borderId="0" xfId="22" applyFill="1" applyAlignment="1">
      <alignment horizontal="center" vertical="center" wrapText="1"/>
    </xf>
    <xf numFmtId="0" fontId="6" fillId="3" borderId="0" xfId="22" applyFont="1" applyFill="1" applyAlignment="1">
      <alignment horizontal="center" vertical="center" wrapText="1"/>
    </xf>
    <xf numFmtId="0" fontId="70" fillId="3" borderId="0" xfId="22" applyFill="1" applyAlignment="1">
      <alignment horizontal="left" vertical="center" wrapText="1"/>
    </xf>
    <xf numFmtId="0" fontId="31" fillId="3" borderId="0" xfId="22" applyFont="1" applyFill="1" applyBorder="1" applyAlignment="1"/>
    <xf numFmtId="0" fontId="2" fillId="3" borderId="0" xfId="22" applyFont="1" applyFill="1" applyAlignment="1">
      <alignment horizontal="center" vertical="center" wrapText="1"/>
    </xf>
    <xf numFmtId="0" fontId="31" fillId="0" borderId="0" xfId="22" applyFont="1" applyBorder="1" applyAlignment="1"/>
    <xf numFmtId="0" fontId="70" fillId="0" borderId="0" xfId="22" applyAlignment="1">
      <alignment horizontal="center" vertical="center" wrapText="1"/>
    </xf>
    <xf numFmtId="0" fontId="70" fillId="0" borderId="0" xfId="22" applyAlignment="1">
      <alignment horizontal="left" vertical="center" wrapText="1"/>
    </xf>
    <xf numFmtId="0" fontId="3" fillId="3" borderId="0" xfId="22" applyFont="1" applyFill="1" applyBorder="1" applyAlignment="1">
      <alignment vertical="center"/>
    </xf>
    <xf numFmtId="0" fontId="3" fillId="4" borderId="3" xfId="22" applyFont="1" applyFill="1" applyBorder="1" applyAlignment="1">
      <alignment vertical="center"/>
    </xf>
    <xf numFmtId="0" fontId="4" fillId="3" borderId="0" xfId="22" applyFont="1" applyFill="1" applyBorder="1" applyAlignment="1">
      <alignment vertical="center"/>
    </xf>
    <xf numFmtId="0" fontId="4" fillId="0" borderId="3" xfId="22" applyFont="1" applyFill="1" applyBorder="1" applyAlignment="1" applyProtection="1">
      <alignment vertical="center"/>
      <protection locked="0"/>
    </xf>
    <xf numFmtId="0" fontId="4" fillId="3" borderId="13" xfId="22" applyFont="1" applyFill="1" applyBorder="1" applyAlignment="1">
      <alignment vertical="top"/>
    </xf>
    <xf numFmtId="0" fontId="4" fillId="3" borderId="13" xfId="22" applyFont="1" applyFill="1" applyBorder="1" applyAlignment="1">
      <alignment vertical="center"/>
    </xf>
    <xf numFmtId="0" fontId="41" fillId="4" borderId="9" xfId="0" applyFont="1" applyFill="1" applyBorder="1" applyAlignment="1">
      <alignment horizontal="center"/>
    </xf>
    <xf numFmtId="15" fontId="67" fillId="0" borderId="2" xfId="0" applyNumberFormat="1" applyFont="1" applyBorder="1" applyAlignment="1" applyProtection="1">
      <alignment horizontal="center" vertical="center"/>
      <protection locked="0"/>
    </xf>
    <xf numFmtId="0" fontId="27" fillId="0" borderId="3" xfId="0" applyFont="1" applyFill="1" applyBorder="1" applyAlignment="1" applyProtection="1">
      <alignment horizontal="center" vertical="center" wrapText="1"/>
    </xf>
    <xf numFmtId="0" fontId="27" fillId="0" borderId="3" xfId="0" applyFont="1" applyFill="1" applyBorder="1" applyAlignment="1" applyProtection="1">
      <alignment horizontal="center" vertical="center" textRotation="90" wrapText="1"/>
    </xf>
    <xf numFmtId="0" fontId="27" fillId="0" borderId="3" xfId="0" applyFont="1" applyFill="1" applyBorder="1" applyAlignment="1" applyProtection="1">
      <alignment horizontal="center" vertical="center" wrapText="1"/>
      <protection locked="0"/>
    </xf>
    <xf numFmtId="0" fontId="3" fillId="47" borderId="8" xfId="22" applyFont="1" applyFill="1" applyBorder="1" applyAlignment="1">
      <alignment horizontal="center" vertical="center" wrapText="1"/>
    </xf>
    <xf numFmtId="0" fontId="4" fillId="0" borderId="0" xfId="22" applyFont="1" applyFill="1"/>
    <xf numFmtId="0" fontId="28" fillId="0" borderId="3" xfId="22" applyFont="1" applyFill="1" applyBorder="1" applyAlignment="1" applyProtection="1">
      <alignment horizontal="center" vertical="center" wrapText="1"/>
      <protection locked="0"/>
    </xf>
    <xf numFmtId="0" fontId="28" fillId="0" borderId="3" xfId="22" applyFont="1" applyFill="1" applyBorder="1" applyAlignment="1" applyProtection="1">
      <alignment horizontal="center" vertical="center" textRotation="90" wrapText="1"/>
      <protection locked="0"/>
    </xf>
    <xf numFmtId="0" fontId="27" fillId="0" borderId="1" xfId="23" applyFont="1" applyFill="1" applyBorder="1" applyAlignment="1" applyProtection="1">
      <alignment horizontal="center" vertical="center" wrapText="1"/>
    </xf>
    <xf numFmtId="2" fontId="4" fillId="0" borderId="9" xfId="23" applyNumberFormat="1" applyFont="1" applyFill="1" applyBorder="1" applyAlignment="1">
      <alignment horizontal="center" vertical="center" wrapText="1"/>
    </xf>
    <xf numFmtId="0" fontId="4" fillId="3" borderId="0" xfId="22" applyFont="1" applyFill="1" applyBorder="1" applyAlignment="1">
      <alignment vertical="top"/>
    </xf>
    <xf numFmtId="2" fontId="4" fillId="16" borderId="1" xfId="23" applyNumberFormat="1" applyFont="1" applyFill="1" applyBorder="1" applyAlignment="1">
      <alignment horizontal="center" vertical="center" wrapText="1"/>
    </xf>
    <xf numFmtId="0" fontId="4" fillId="0" borderId="1" xfId="23" applyFont="1" applyFill="1" applyBorder="1" applyAlignment="1" applyProtection="1">
      <alignment vertical="center" wrapText="1"/>
    </xf>
    <xf numFmtId="0" fontId="27" fillId="0" borderId="1" xfId="23" applyFont="1" applyFill="1" applyBorder="1" applyAlignment="1" applyProtection="1">
      <alignment vertical="center" wrapText="1"/>
    </xf>
    <xf numFmtId="1" fontId="4" fillId="0" borderId="1" xfId="23" applyNumberFormat="1" applyFont="1" applyFill="1" applyBorder="1" applyAlignment="1">
      <alignment vertical="center" wrapText="1"/>
    </xf>
    <xf numFmtId="0" fontId="4" fillId="0" borderId="1" xfId="23" applyFont="1" applyFill="1" applyBorder="1" applyAlignment="1" applyProtection="1">
      <alignment vertical="center" textRotation="90" wrapText="1"/>
      <protection locked="0"/>
    </xf>
    <xf numFmtId="0" fontId="27" fillId="0" borderId="1" xfId="23" applyFont="1" applyFill="1" applyBorder="1" applyAlignment="1" applyProtection="1">
      <alignment vertical="center" textRotation="90" wrapText="1"/>
    </xf>
    <xf numFmtId="0" fontId="4" fillId="0" borderId="1" xfId="23" applyFont="1" applyFill="1" applyBorder="1" applyAlignment="1" applyProtection="1">
      <alignment vertical="center" textRotation="90" wrapText="1"/>
    </xf>
    <xf numFmtId="15" fontId="2" fillId="0" borderId="3" xfId="22" applyNumberFormat="1" applyFont="1" applyFill="1" applyBorder="1" applyAlignment="1" applyProtection="1">
      <alignment horizontal="center" vertical="center"/>
      <protection locked="0"/>
    </xf>
    <xf numFmtId="0" fontId="2" fillId="3" borderId="0" xfId="22" applyFont="1" applyFill="1"/>
    <xf numFmtId="0" fontId="2" fillId="0" borderId="0" xfId="22" applyFont="1" applyFill="1"/>
    <xf numFmtId="0" fontId="27" fillId="0" borderId="3" xfId="23" applyFont="1" applyFill="1" applyBorder="1" applyAlignment="1" applyProtection="1">
      <alignment horizontal="center" vertical="center" wrapText="1"/>
    </xf>
    <xf numFmtId="0" fontId="4" fillId="0" borderId="0" xfId="0" applyFont="1" applyFill="1" applyBorder="1" applyAlignment="1" applyProtection="1">
      <alignment vertical="center"/>
      <protection locked="0"/>
    </xf>
    <xf numFmtId="0" fontId="4" fillId="3" borderId="3" xfId="0" applyFont="1" applyFill="1" applyBorder="1" applyAlignment="1" applyProtection="1">
      <alignment horizontal="center" vertical="center" textRotation="90" wrapText="1"/>
      <protection locked="0"/>
    </xf>
    <xf numFmtId="0" fontId="4" fillId="3" borderId="3" xfId="0" applyFont="1" applyFill="1" applyBorder="1" applyAlignment="1" applyProtection="1">
      <alignment horizontal="center" vertical="center" textRotation="90" wrapText="1"/>
    </xf>
    <xf numFmtId="0" fontId="4" fillId="3" borderId="3" xfId="0" applyFont="1" applyFill="1" applyBorder="1" applyAlignment="1" applyProtection="1">
      <alignment horizontal="justify" vertical="center" wrapText="1"/>
      <protection locked="0"/>
    </xf>
    <xf numFmtId="0" fontId="4" fillId="0" borderId="3" xfId="0" applyFont="1" applyFill="1" applyBorder="1" applyAlignment="1" applyProtection="1">
      <alignment vertical="top" wrapText="1"/>
      <protection locked="0"/>
    </xf>
    <xf numFmtId="0" fontId="27" fillId="3" borderId="0" xfId="0" applyFont="1" applyFill="1" applyBorder="1" applyAlignment="1" applyProtection="1">
      <alignment vertical="center" wrapText="1"/>
      <protection locked="0"/>
    </xf>
    <xf numFmtId="0" fontId="28" fillId="3" borderId="0"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7" fillId="3" borderId="3" xfId="0" applyFont="1" applyFill="1" applyBorder="1" applyAlignment="1" applyProtection="1">
      <alignment horizontal="left" vertical="center" wrapText="1"/>
      <protection locked="0"/>
    </xf>
    <xf numFmtId="0" fontId="3" fillId="3" borderId="0" xfId="0" applyFont="1" applyFill="1" applyBorder="1" applyAlignment="1">
      <alignment horizontal="center" vertical="center" wrapText="1"/>
    </xf>
    <xf numFmtId="0" fontId="67" fillId="0" borderId="9" xfId="0" applyFont="1" applyBorder="1" applyAlignment="1" applyProtection="1">
      <alignment horizontal="center" vertical="center"/>
      <protection locked="0"/>
    </xf>
    <xf numFmtId="0" fontId="27" fillId="11" borderId="1" xfId="23" applyFont="1" applyFill="1" applyBorder="1" applyAlignment="1" applyProtection="1">
      <alignment horizontal="center" vertical="center" wrapText="1"/>
    </xf>
    <xf numFmtId="2" fontId="4" fillId="16" borderId="3" xfId="23" applyNumberFormat="1" applyFont="1" applyFill="1" applyBorder="1" applyAlignment="1">
      <alignment horizontal="center" vertical="center" wrapText="1"/>
    </xf>
    <xf numFmtId="0" fontId="4" fillId="0" borderId="3" xfId="0" applyFont="1" applyFill="1" applyBorder="1" applyAlignment="1" applyProtection="1">
      <alignment horizontal="justify" vertical="center" textRotation="90" wrapText="1"/>
      <protection locked="0"/>
    </xf>
    <xf numFmtId="15" fontId="73" fillId="0" borderId="0" xfId="0" applyNumberFormat="1" applyFont="1" applyFill="1" applyBorder="1" applyAlignment="1">
      <alignment horizontal="center" vertical="center"/>
    </xf>
    <xf numFmtId="0" fontId="73" fillId="0" borderId="0" xfId="0" applyFont="1" applyFill="1" applyBorder="1"/>
    <xf numFmtId="2" fontId="4" fillId="0" borderId="3" xfId="9" applyNumberFormat="1" applyFont="1" applyFill="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textRotation="90" wrapText="1"/>
      <protection locked="0"/>
    </xf>
    <xf numFmtId="0" fontId="27" fillId="10" borderId="3" xfId="0" applyFont="1" applyFill="1" applyBorder="1" applyAlignment="1" applyProtection="1">
      <alignment horizontal="center" vertical="center" textRotation="90" wrapText="1"/>
    </xf>
    <xf numFmtId="0" fontId="27" fillId="3" borderId="0" xfId="0" applyFont="1" applyFill="1" applyBorder="1" applyAlignment="1" applyProtection="1">
      <alignment horizontal="center" vertical="center" wrapText="1"/>
      <protection locked="0"/>
    </xf>
    <xf numFmtId="0" fontId="28" fillId="3" borderId="8" xfId="0" applyFont="1" applyFill="1" applyBorder="1" applyAlignment="1" applyProtection="1">
      <alignment horizontal="center" vertical="center" wrapText="1"/>
      <protection locked="0"/>
    </xf>
    <xf numFmtId="0" fontId="33" fillId="0" borderId="0" xfId="0" applyFont="1" applyBorder="1" applyAlignment="1" applyProtection="1">
      <alignment horizontal="center" vertical="center" wrapText="1"/>
      <protection locked="0"/>
    </xf>
    <xf numFmtId="0" fontId="4" fillId="3" borderId="0" xfId="0" applyFont="1" applyFill="1" applyBorder="1" applyAlignment="1">
      <alignment horizontal="center" vertical="center" wrapText="1"/>
    </xf>
    <xf numFmtId="2" fontId="4" fillId="0" borderId="3" xfId="22" applyNumberFormat="1" applyFont="1" applyFill="1" applyBorder="1" applyAlignment="1" applyProtection="1">
      <alignment horizontal="center" vertical="center" wrapText="1"/>
      <protection locked="0"/>
    </xf>
    <xf numFmtId="37" fontId="4" fillId="0" borderId="3" xfId="26" applyNumberFormat="1" applyFont="1" applyFill="1" applyBorder="1" applyAlignment="1" applyProtection="1">
      <alignment horizontal="center" vertical="center" wrapText="1"/>
      <protection locked="0"/>
    </xf>
    <xf numFmtId="0" fontId="4" fillId="0" borderId="3" xfId="0" quotePrefix="1" applyFont="1" applyFill="1" applyBorder="1" applyAlignment="1" applyProtection="1">
      <alignment vertical="center" wrapText="1"/>
      <protection locked="0"/>
    </xf>
    <xf numFmtId="0" fontId="4" fillId="0" borderId="3" xfId="22" quotePrefix="1" applyFont="1" applyFill="1" applyBorder="1" applyAlignment="1" applyProtection="1">
      <alignment vertical="center" wrapText="1"/>
      <protection locked="0"/>
    </xf>
    <xf numFmtId="0" fontId="4" fillId="23" borderId="3" xfId="23" applyFont="1" applyFill="1" applyBorder="1" applyAlignment="1" applyProtection="1">
      <alignment horizontal="center" vertical="center" textRotation="90" wrapText="1"/>
    </xf>
    <xf numFmtId="0" fontId="4" fillId="0" borderId="3" xfId="23" applyFont="1" applyFill="1" applyBorder="1" applyAlignment="1" applyProtection="1">
      <alignment vertical="center"/>
      <protection locked="0"/>
    </xf>
    <xf numFmtId="0" fontId="3" fillId="47" borderId="13" xfId="22" applyFont="1" applyFill="1" applyBorder="1" applyAlignment="1">
      <alignment horizontal="center" vertical="center" wrapText="1"/>
    </xf>
    <xf numFmtId="49" fontId="3" fillId="0" borderId="3" xfId="22" applyNumberFormat="1" applyFont="1" applyFill="1" applyBorder="1" applyAlignment="1">
      <alignment vertical="center" wrapText="1"/>
    </xf>
    <xf numFmtId="2" fontId="4" fillId="3" borderId="3" xfId="23" applyNumberFormat="1" applyFont="1" applyFill="1" applyBorder="1" applyAlignment="1">
      <alignment horizontal="center" vertical="center" wrapText="1"/>
    </xf>
    <xf numFmtId="0" fontId="27" fillId="3" borderId="3" xfId="23" applyFont="1" applyFill="1" applyBorder="1" applyAlignment="1" applyProtection="1">
      <alignment horizontal="center" vertical="center" wrapText="1"/>
    </xf>
    <xf numFmtId="1" fontId="4" fillId="3" borderId="3" xfId="23" applyNumberFormat="1" applyFont="1" applyFill="1" applyBorder="1" applyAlignment="1">
      <alignment horizontal="center" vertical="center" wrapText="1"/>
    </xf>
    <xf numFmtId="0" fontId="4" fillId="0" borderId="3" xfId="14" applyFont="1" applyFill="1" applyBorder="1" applyAlignment="1">
      <alignment vertical="center" textRotation="90" wrapText="1"/>
    </xf>
    <xf numFmtId="0" fontId="4" fillId="3" borderId="3" xfId="23" applyFont="1" applyFill="1" applyBorder="1" applyAlignment="1" applyProtection="1">
      <alignment vertical="center" wrapText="1"/>
      <protection locked="0"/>
    </xf>
    <xf numFmtId="0" fontId="4" fillId="0" borderId="35" xfId="23" applyFont="1" applyFill="1" applyBorder="1" applyAlignment="1" applyProtection="1">
      <alignment horizontal="center" vertical="center" wrapText="1"/>
      <protection locked="0"/>
    </xf>
    <xf numFmtId="0" fontId="27" fillId="0" borderId="9" xfId="23" applyFont="1" applyFill="1" applyBorder="1" applyAlignment="1" applyProtection="1">
      <alignment horizontal="center" vertical="center" wrapText="1"/>
    </xf>
    <xf numFmtId="0" fontId="4" fillId="0" borderId="41" xfId="23" applyFont="1" applyFill="1" applyBorder="1" applyAlignment="1" applyProtection="1">
      <alignment horizontal="center" vertical="center" wrapText="1"/>
      <protection locked="0"/>
    </xf>
    <xf numFmtId="0" fontId="4" fillId="0" borderId="42" xfId="23" applyFont="1" applyFill="1" applyBorder="1" applyAlignment="1" applyProtection="1">
      <alignment horizontal="center" vertical="center" textRotation="90" wrapText="1"/>
    </xf>
    <xf numFmtId="2" fontId="4" fillId="0" borderId="55" xfId="23" applyNumberFormat="1" applyFont="1" applyFill="1" applyBorder="1" applyAlignment="1">
      <alignment horizontal="center" vertical="center" wrapText="1"/>
    </xf>
    <xf numFmtId="0" fontId="4" fillId="0" borderId="55" xfId="23" applyFont="1" applyFill="1" applyBorder="1" applyAlignment="1" applyProtection="1">
      <alignment horizontal="center" vertical="center" wrapText="1"/>
    </xf>
    <xf numFmtId="0" fontId="27" fillId="0" borderId="7" xfId="0" applyFont="1" applyBorder="1" applyAlignment="1" applyProtection="1">
      <alignment horizontal="justify" vertical="top" wrapText="1"/>
      <protection locked="0"/>
    </xf>
    <xf numFmtId="0" fontId="4" fillId="0" borderId="3" xfId="0" applyFont="1" applyBorder="1" applyAlignment="1" applyProtection="1">
      <alignment horizontal="center" vertical="top" wrapText="1"/>
      <protection locked="0"/>
    </xf>
    <xf numFmtId="0" fontId="7" fillId="0" borderId="3" xfId="22" applyFont="1" applyFill="1" applyBorder="1" applyAlignment="1" applyProtection="1">
      <alignment vertical="center" wrapText="1"/>
      <protection locked="0"/>
    </xf>
    <xf numFmtId="2" fontId="4" fillId="10" borderId="1" xfId="23" applyNumberFormat="1" applyFont="1" applyFill="1" applyBorder="1" applyAlignment="1">
      <alignment horizontal="center" vertical="center" wrapText="1"/>
    </xf>
    <xf numFmtId="0" fontId="4" fillId="10" borderId="3" xfId="23" applyFont="1" applyFill="1" applyBorder="1" applyAlignment="1" applyProtection="1">
      <alignment horizontal="center" vertical="center" wrapText="1"/>
    </xf>
    <xf numFmtId="0" fontId="67" fillId="3" borderId="9" xfId="0" applyFont="1" applyFill="1" applyBorder="1" applyAlignment="1" applyProtection="1">
      <alignment horizontal="center" vertical="center"/>
      <protection locked="0"/>
    </xf>
    <xf numFmtId="0" fontId="4" fillId="3" borderId="3" xfId="22" applyFont="1" applyFill="1" applyBorder="1" applyAlignment="1" applyProtection="1">
      <alignment vertical="center"/>
      <protection locked="0"/>
    </xf>
    <xf numFmtId="2" fontId="4" fillId="16" borderId="1" xfId="23" applyNumberFormat="1" applyFont="1" applyFill="1" applyBorder="1" applyAlignment="1">
      <alignment horizontal="left" vertical="center" wrapText="1"/>
    </xf>
    <xf numFmtId="0" fontId="4" fillId="11" borderId="3" xfId="23" applyFont="1" applyFill="1" applyBorder="1" applyAlignment="1" applyProtection="1">
      <alignment horizontal="left" vertical="center" wrapText="1"/>
    </xf>
    <xf numFmtId="0" fontId="27" fillId="11" borderId="1" xfId="23" applyFont="1" applyFill="1" applyBorder="1" applyAlignment="1" applyProtection="1">
      <alignment horizontal="left" vertical="center" wrapText="1"/>
    </xf>
    <xf numFmtId="1" fontId="4" fillId="11" borderId="3" xfId="23" applyNumberFormat="1" applyFont="1" applyFill="1" applyBorder="1" applyAlignment="1">
      <alignment horizontal="left" vertical="center" wrapText="1"/>
    </xf>
    <xf numFmtId="43" fontId="0" fillId="0" borderId="0" xfId="26" applyFont="1" applyFill="1"/>
    <xf numFmtId="2" fontId="4" fillId="0" borderId="3" xfId="23" applyNumberFormat="1" applyFont="1" applyFill="1" applyBorder="1" applyAlignment="1" applyProtection="1">
      <alignment horizontal="left" vertical="center" textRotation="90" wrapText="1"/>
      <protection locked="0"/>
    </xf>
    <xf numFmtId="0" fontId="4" fillId="0" borderId="3" xfId="23" applyFont="1" applyFill="1" applyBorder="1" applyAlignment="1" applyProtection="1">
      <alignment horizontal="left" vertical="center" textRotation="90" wrapText="1"/>
      <protection locked="0"/>
    </xf>
    <xf numFmtId="0" fontId="4" fillId="10" borderId="3" xfId="23" applyFont="1" applyFill="1" applyBorder="1" applyAlignment="1" applyProtection="1">
      <alignment horizontal="left" vertical="center" textRotation="90" wrapText="1"/>
    </xf>
    <xf numFmtId="0" fontId="27" fillId="10" borderId="3" xfId="23" applyFont="1" applyFill="1" applyBorder="1" applyAlignment="1" applyProtection="1">
      <alignment horizontal="left" vertical="center" textRotation="90" wrapText="1"/>
    </xf>
    <xf numFmtId="0" fontId="4" fillId="3" borderId="9" xfId="22" applyFont="1" applyFill="1" applyBorder="1" applyAlignment="1" applyProtection="1">
      <alignment vertical="center" wrapText="1"/>
      <protection locked="0"/>
    </xf>
    <xf numFmtId="0" fontId="4" fillId="3" borderId="2" xfId="22" applyFont="1" applyFill="1" applyBorder="1" applyAlignment="1" applyProtection="1">
      <alignment vertical="center" wrapText="1"/>
      <protection locked="0"/>
    </xf>
    <xf numFmtId="0" fontId="3" fillId="47" borderId="5" xfId="22" applyFont="1" applyFill="1" applyBorder="1" applyAlignment="1">
      <alignment horizontal="center" vertical="center" wrapText="1"/>
    </xf>
    <xf numFmtId="49" fontId="3" fillId="4" borderId="5" xfId="22" applyNumberFormat="1" applyFont="1" applyFill="1" applyBorder="1" applyAlignment="1">
      <alignment horizontal="center" vertical="center" wrapText="1"/>
    </xf>
    <xf numFmtId="49" fontId="3" fillId="4" borderId="12" xfId="22" applyNumberFormat="1" applyFont="1" applyFill="1" applyBorder="1" applyAlignment="1">
      <alignment vertical="center" wrapText="1"/>
    </xf>
    <xf numFmtId="49" fontId="3" fillId="4" borderId="4" xfId="22" applyNumberFormat="1" applyFont="1" applyFill="1" applyBorder="1" applyAlignment="1">
      <alignment vertical="center" wrapText="1"/>
    </xf>
    <xf numFmtId="0" fontId="8" fillId="4" borderId="3" xfId="22" applyFont="1" applyFill="1" applyBorder="1" applyAlignment="1">
      <alignment horizontal="center" vertical="center" wrapText="1"/>
    </xf>
    <xf numFmtId="0" fontId="28" fillId="4" borderId="3" xfId="22" applyFont="1" applyFill="1" applyBorder="1" applyAlignment="1" applyProtection="1">
      <alignment horizontal="center" vertical="center" wrapText="1"/>
      <protection locked="0"/>
    </xf>
    <xf numFmtId="0" fontId="28" fillId="4" borderId="3" xfId="22" applyFont="1" applyFill="1" applyBorder="1" applyAlignment="1" applyProtection="1">
      <alignment horizontal="center" vertical="center" textRotation="90" wrapText="1"/>
      <protection locked="0"/>
    </xf>
    <xf numFmtId="2" fontId="57" fillId="0" borderId="3" xfId="24" applyNumberFormat="1" applyFont="1" applyFill="1" applyBorder="1" applyAlignment="1" applyProtection="1">
      <alignment horizontal="center" vertical="center" textRotation="90" wrapText="1"/>
      <protection locked="0"/>
    </xf>
    <xf numFmtId="2" fontId="58" fillId="0" borderId="3" xfId="24" applyNumberFormat="1" applyFont="1" applyFill="1" applyBorder="1" applyAlignment="1" applyProtection="1">
      <alignment horizontal="center" vertical="center" textRotation="90" wrapText="1"/>
      <protection locked="0"/>
    </xf>
    <xf numFmtId="0" fontId="58" fillId="0" borderId="3" xfId="24" applyFont="1" applyFill="1" applyBorder="1" applyAlignment="1" applyProtection="1">
      <alignment horizontal="center" vertical="center" textRotation="90" wrapText="1"/>
      <protection locked="0"/>
    </xf>
    <xf numFmtId="0" fontId="55" fillId="0" borderId="1" xfId="22" applyFont="1" applyFill="1" applyBorder="1" applyAlignment="1" applyProtection="1">
      <alignment horizontal="left" vertical="center" wrapText="1"/>
      <protection locked="0"/>
    </xf>
    <xf numFmtId="0" fontId="55" fillId="0" borderId="3" xfId="22" applyFont="1" applyFill="1" applyBorder="1" applyAlignment="1" applyProtection="1">
      <alignment horizontal="left" vertical="center" wrapText="1"/>
      <protection locked="0"/>
    </xf>
    <xf numFmtId="0" fontId="81" fillId="0" borderId="9" xfId="0" applyFont="1" applyBorder="1" applyAlignment="1" applyProtection="1">
      <alignment horizontal="center" vertical="center"/>
      <protection locked="0"/>
    </xf>
    <xf numFmtId="49" fontId="3" fillId="4" borderId="3" xfId="0" applyNumberFormat="1" applyFont="1" applyFill="1" applyBorder="1" applyAlignment="1">
      <alignment horizontal="center" vertical="center" wrapText="1"/>
    </xf>
    <xf numFmtId="0" fontId="3" fillId="4" borderId="3" xfId="0" applyFont="1" applyFill="1" applyBorder="1" applyAlignment="1">
      <alignment horizontal="center" vertical="center" wrapText="1"/>
    </xf>
    <xf numFmtId="0" fontId="55" fillId="0" borderId="1" xfId="0" applyFont="1" applyFill="1" applyBorder="1" applyAlignment="1" applyProtection="1">
      <alignment horizontal="center" vertical="center" wrapText="1"/>
      <protection locked="0"/>
    </xf>
    <xf numFmtId="0" fontId="59" fillId="0" borderId="3" xfId="0" applyFont="1" applyBorder="1" applyAlignment="1" applyProtection="1">
      <alignment horizontal="center" vertical="center" textRotation="90" wrapText="1"/>
      <protection locked="0"/>
    </xf>
    <xf numFmtId="0" fontId="59" fillId="3" borderId="3" xfId="0" applyFont="1" applyFill="1" applyBorder="1" applyAlignment="1" applyProtection="1">
      <alignment horizontal="center" vertical="center" textRotation="90" wrapText="1"/>
      <protection locked="0"/>
    </xf>
    <xf numFmtId="0" fontId="59" fillId="11" borderId="3" xfId="0" applyFont="1" applyFill="1" applyBorder="1" applyAlignment="1" applyProtection="1">
      <alignment horizontal="center" vertical="center" textRotation="90" wrapText="1"/>
      <protection locked="0"/>
    </xf>
    <xf numFmtId="0" fontId="59" fillId="10" borderId="3" xfId="0" applyFont="1" applyFill="1" applyBorder="1" applyAlignment="1" applyProtection="1">
      <alignment horizontal="center" vertical="center" wrapText="1"/>
    </xf>
    <xf numFmtId="0" fontId="59" fillId="10" borderId="3" xfId="0" applyFont="1" applyFill="1" applyBorder="1" applyAlignment="1" applyProtection="1">
      <alignment horizontal="center" vertical="center" textRotation="90" wrapText="1"/>
    </xf>
    <xf numFmtId="0" fontId="58" fillId="0" borderId="3" xfId="0" applyFont="1" applyBorder="1" applyAlignment="1" applyProtection="1">
      <alignment horizontal="center" vertical="center" wrapText="1"/>
      <protection locked="0"/>
    </xf>
    <xf numFmtId="0" fontId="58" fillId="11" borderId="3"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55" fillId="3" borderId="1" xfId="0" applyFont="1" applyFill="1" applyBorder="1" applyAlignment="1">
      <alignment horizontal="center" vertical="center" wrapText="1"/>
    </xf>
    <xf numFmtId="0" fontId="55" fillId="0" borderId="1" xfId="0" applyFont="1" applyFill="1" applyBorder="1" applyAlignment="1" applyProtection="1">
      <alignment horizontal="left" vertical="center" wrapText="1"/>
      <protection locked="0"/>
    </xf>
    <xf numFmtId="0" fontId="55" fillId="3" borderId="3" xfId="0" applyFont="1" applyFill="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3" xfId="0" applyFont="1" applyFill="1" applyBorder="1" applyAlignment="1" applyProtection="1">
      <alignment horizontal="left" vertical="center" wrapText="1"/>
      <protection locked="0"/>
    </xf>
    <xf numFmtId="0" fontId="55" fillId="0" borderId="3" xfId="0" applyFont="1" applyFill="1" applyBorder="1" applyAlignment="1" applyProtection="1">
      <alignment horizontal="center" vertical="center" wrapText="1"/>
      <protection locked="0"/>
    </xf>
    <xf numFmtId="0" fontId="3" fillId="0" borderId="9" xfId="0" applyFont="1" applyFill="1" applyBorder="1" applyAlignment="1" applyProtection="1">
      <alignment vertical="center"/>
    </xf>
    <xf numFmtId="0" fontId="4" fillId="0" borderId="9" xfId="0" applyFont="1" applyFill="1" applyBorder="1" applyAlignment="1" applyProtection="1">
      <alignment vertical="center" wrapText="1"/>
      <protection locked="0"/>
    </xf>
    <xf numFmtId="0" fontId="27" fillId="0" borderId="3" xfId="0" applyFont="1" applyBorder="1" applyAlignment="1" applyProtection="1">
      <alignment horizontal="left" vertical="center" wrapText="1"/>
      <protection locked="0"/>
    </xf>
    <xf numFmtId="0" fontId="4" fillId="0" borderId="3" xfId="0" applyFont="1" applyBorder="1" applyAlignment="1">
      <alignment horizontal="center" vertical="center" wrapText="1"/>
    </xf>
    <xf numFmtId="0" fontId="4" fillId="3" borderId="1" xfId="9" applyFont="1" applyFill="1" applyBorder="1" applyAlignment="1" applyProtection="1">
      <alignment horizontal="center" vertical="center" wrapText="1"/>
    </xf>
    <xf numFmtId="1" fontId="4" fillId="3" borderId="1" xfId="9" applyNumberFormat="1" applyFont="1" applyFill="1" applyBorder="1" applyAlignment="1">
      <alignment horizontal="center" vertical="center" wrapText="1"/>
    </xf>
    <xf numFmtId="2" fontId="4" fillId="3" borderId="3" xfId="9" applyNumberFormat="1" applyFont="1" applyFill="1" applyBorder="1" applyAlignment="1">
      <alignment horizontal="center" vertical="center" wrapText="1"/>
    </xf>
    <xf numFmtId="15" fontId="67" fillId="0" borderId="2" xfId="0" applyNumberFormat="1" applyFont="1" applyFill="1" applyBorder="1" applyAlignment="1" applyProtection="1">
      <alignment horizontal="center" vertical="center"/>
      <protection locked="0"/>
    </xf>
    <xf numFmtId="0" fontId="4" fillId="0" borderId="3" xfId="23" applyFont="1" applyFill="1" applyBorder="1" applyAlignment="1" applyProtection="1">
      <alignment vertical="top" wrapText="1"/>
      <protection locked="0"/>
    </xf>
    <xf numFmtId="2" fontId="4" fillId="0" borderId="3" xfId="23" applyNumberFormat="1" applyFont="1" applyFill="1" applyBorder="1" applyAlignment="1" applyProtection="1">
      <alignment horizontal="center" vertical="center" textRotation="90"/>
      <protection locked="0"/>
    </xf>
    <xf numFmtId="0" fontId="32" fillId="0" borderId="3" xfId="22" applyFont="1" applyFill="1" applyBorder="1" applyAlignment="1" applyProtection="1">
      <alignment vertical="center" wrapText="1"/>
      <protection locked="0"/>
    </xf>
    <xf numFmtId="0" fontId="4" fillId="0" borderId="3" xfId="23" applyFont="1" applyFill="1" applyBorder="1" applyAlignment="1" applyProtection="1">
      <alignment vertical="center" textRotation="90" wrapText="1"/>
      <protection locked="0"/>
    </xf>
    <xf numFmtId="0" fontId="4" fillId="0" borderId="0" xfId="23" applyFont="1" applyFill="1" applyBorder="1" applyAlignment="1" applyProtection="1">
      <alignment vertical="center"/>
      <protection locked="0"/>
    </xf>
    <xf numFmtId="0" fontId="0" fillId="3" borderId="0" xfId="0" applyFill="1" applyBorder="1" applyAlignment="1">
      <alignment horizontal="left"/>
    </xf>
    <xf numFmtId="0" fontId="4" fillId="3" borderId="0" xfId="0" applyFont="1" applyFill="1"/>
    <xf numFmtId="0" fontId="85" fillId="0" borderId="3" xfId="22" applyFont="1" applyFill="1" applyBorder="1" applyAlignment="1">
      <alignment horizontal="center" vertical="center" wrapText="1"/>
    </xf>
    <xf numFmtId="0" fontId="86" fillId="0" borderId="3" xfId="22" applyFont="1" applyFill="1" applyBorder="1" applyAlignment="1">
      <alignment horizontal="center" vertical="center" wrapText="1"/>
    </xf>
    <xf numFmtId="0" fontId="2" fillId="0" borderId="0" xfId="23" applyFont="1" applyFill="1"/>
    <xf numFmtId="16" fontId="2" fillId="0" borderId="3" xfId="23" applyNumberFormat="1" applyFont="1" applyFill="1" applyBorder="1" applyAlignment="1">
      <alignment horizontal="center" vertical="center" wrapText="1"/>
    </xf>
    <xf numFmtId="0" fontId="4" fillId="0" borderId="3" xfId="23" applyFont="1" applyFill="1" applyBorder="1" applyAlignment="1">
      <alignment vertical="center" wrapText="1"/>
    </xf>
    <xf numFmtId="0" fontId="7" fillId="0" borderId="3" xfId="22" applyFont="1" applyFill="1" applyBorder="1" applyAlignment="1" applyProtection="1">
      <alignment vertical="center"/>
      <protection locked="0"/>
    </xf>
    <xf numFmtId="0" fontId="87" fillId="0" borderId="0" xfId="23" applyFont="1" applyFill="1" applyBorder="1" applyAlignment="1">
      <alignment horizontal="center" vertical="center" wrapText="1"/>
    </xf>
    <xf numFmtId="0" fontId="4" fillId="0" borderId="0" xfId="22" applyFont="1" applyFill="1" applyBorder="1"/>
    <xf numFmtId="0" fontId="71" fillId="0" borderId="0" xfId="22" applyFont="1" applyFill="1"/>
    <xf numFmtId="0" fontId="71" fillId="0" borderId="0" xfId="22" applyFont="1" applyFill="1" applyBorder="1"/>
    <xf numFmtId="0" fontId="67" fillId="0" borderId="9" xfId="0" applyFont="1" applyFill="1" applyBorder="1" applyAlignment="1" applyProtection="1">
      <alignment horizontal="center" vertical="center"/>
      <protection locked="0"/>
    </xf>
    <xf numFmtId="0" fontId="0" fillId="0" borderId="3" xfId="0" applyBorder="1" applyAlignment="1">
      <alignment horizontal="center" vertical="center"/>
    </xf>
    <xf numFmtId="0" fontId="90" fillId="0" borderId="0" xfId="0" applyFont="1" applyFill="1" applyBorder="1" applyAlignment="1">
      <alignment horizontal="center" vertical="center"/>
    </xf>
    <xf numFmtId="0" fontId="73"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29" fillId="53" borderId="3" xfId="0" applyFont="1" applyFill="1" applyBorder="1" applyAlignment="1">
      <alignment horizontal="center" vertical="center" wrapText="1"/>
    </xf>
    <xf numFmtId="0" fontId="29" fillId="53" borderId="3" xfId="0" applyFont="1" applyFill="1" applyBorder="1" applyAlignment="1">
      <alignment horizontal="center" vertical="center"/>
    </xf>
    <xf numFmtId="0" fontId="29" fillId="53" borderId="1" xfId="0" applyFont="1" applyFill="1" applyBorder="1" applyAlignment="1">
      <alignment horizontal="center" vertical="center"/>
    </xf>
    <xf numFmtId="0" fontId="29" fillId="12" borderId="0" xfId="0" applyFont="1" applyFill="1" applyBorder="1" applyAlignment="1">
      <alignment horizontal="center" vertical="center" wrapText="1"/>
    </xf>
    <xf numFmtId="0" fontId="91" fillId="14" borderId="0" xfId="0" applyFont="1" applyFill="1" applyBorder="1" applyAlignment="1">
      <alignment horizontal="center" vertical="center" wrapText="1"/>
    </xf>
    <xf numFmtId="0" fontId="29" fillId="32" borderId="0" xfId="0" applyFont="1" applyFill="1" applyBorder="1" applyAlignment="1">
      <alignment horizontal="center" vertical="center" wrapText="1"/>
    </xf>
    <xf numFmtId="0" fontId="29" fillId="12" borderId="1" xfId="0" applyFont="1" applyFill="1" applyBorder="1" applyAlignment="1">
      <alignment horizontal="center" vertical="center" wrapText="1"/>
    </xf>
    <xf numFmtId="0" fontId="29" fillId="12" borderId="2" xfId="0" applyFont="1" applyFill="1" applyBorder="1" applyAlignment="1">
      <alignment horizontal="center" vertical="center" wrapText="1"/>
    </xf>
    <xf numFmtId="0" fontId="29" fillId="33" borderId="13" xfId="0" applyFont="1" applyFill="1" applyBorder="1" applyAlignment="1">
      <alignment horizontal="center" vertical="center" wrapText="1"/>
    </xf>
    <xf numFmtId="0" fontId="91" fillId="14" borderId="13" xfId="0" applyFont="1" applyFill="1" applyBorder="1" applyAlignment="1">
      <alignment horizontal="center" vertical="center" wrapText="1"/>
    </xf>
    <xf numFmtId="0" fontId="29" fillId="33" borderId="4" xfId="0" applyFont="1" applyFill="1" applyBorder="1" applyAlignment="1">
      <alignment horizontal="center" vertical="center" wrapText="1"/>
    </xf>
    <xf numFmtId="0" fontId="91" fillId="14" borderId="4" xfId="0" applyFont="1" applyFill="1" applyBorder="1" applyAlignment="1">
      <alignment horizontal="center" vertical="center" wrapText="1"/>
    </xf>
    <xf numFmtId="0" fontId="29" fillId="12" borderId="13" xfId="0" applyFont="1" applyFill="1" applyBorder="1" applyAlignment="1">
      <alignment horizontal="center" vertical="center" wrapText="1"/>
    </xf>
    <xf numFmtId="0" fontId="29" fillId="12" borderId="4" xfId="0" applyFont="1" applyFill="1" applyBorder="1" applyAlignment="1">
      <alignment horizontal="center" vertical="center" wrapText="1"/>
    </xf>
    <xf numFmtId="0" fontId="29" fillId="32" borderId="13" xfId="0" applyFont="1" applyFill="1" applyBorder="1" applyAlignment="1">
      <alignment horizontal="center" vertical="center" wrapText="1"/>
    </xf>
    <xf numFmtId="0" fontId="29" fillId="32" borderId="4" xfId="0" applyFont="1" applyFill="1" applyBorder="1" applyAlignment="1">
      <alignment horizontal="center" vertical="center" wrapText="1"/>
    </xf>
    <xf numFmtId="0" fontId="91" fillId="14" borderId="1" xfId="0" applyFont="1" applyFill="1" applyBorder="1" applyAlignment="1">
      <alignment horizontal="center" vertical="center" wrapText="1"/>
    </xf>
    <xf numFmtId="0" fontId="91" fillId="14" borderId="2" xfId="0" applyFont="1" applyFill="1" applyBorder="1" applyAlignment="1">
      <alignment horizontal="center" vertical="center" wrapText="1"/>
    </xf>
    <xf numFmtId="0" fontId="91" fillId="14" borderId="9" xfId="0" applyFont="1" applyFill="1" applyBorder="1" applyAlignment="1">
      <alignment horizontal="center" vertical="center" wrapText="1"/>
    </xf>
    <xf numFmtId="0" fontId="29" fillId="33" borderId="1" xfId="0" applyFont="1" applyFill="1" applyBorder="1" applyAlignment="1">
      <alignment horizontal="center" vertical="center" wrapText="1"/>
    </xf>
    <xf numFmtId="0" fontId="29" fillId="33" borderId="2" xfId="0" applyFont="1" applyFill="1" applyBorder="1" applyAlignment="1">
      <alignment horizontal="center" vertical="center" wrapText="1"/>
    </xf>
    <xf numFmtId="0" fontId="29" fillId="33" borderId="9" xfId="0" applyFont="1" applyFill="1" applyBorder="1" applyAlignment="1">
      <alignment horizontal="center" vertical="center" wrapText="1"/>
    </xf>
    <xf numFmtId="0" fontId="29" fillId="12" borderId="9" xfId="0" applyFont="1" applyFill="1" applyBorder="1" applyAlignment="1">
      <alignment horizontal="center" vertical="center" wrapText="1"/>
    </xf>
    <xf numFmtId="0" fontId="29" fillId="32" borderId="1" xfId="0" applyFont="1" applyFill="1" applyBorder="1" applyAlignment="1">
      <alignment horizontal="center" vertical="center" wrapText="1"/>
    </xf>
    <xf numFmtId="0" fontId="29" fillId="32" borderId="2" xfId="0" applyFont="1" applyFill="1" applyBorder="1" applyAlignment="1">
      <alignment horizontal="center" vertical="center" wrapText="1"/>
    </xf>
    <xf numFmtId="0" fontId="29" fillId="32" borderId="9" xfId="0" applyFont="1" applyFill="1" applyBorder="1" applyAlignment="1">
      <alignment horizontal="center" vertical="center" wrapText="1"/>
    </xf>
    <xf numFmtId="0" fontId="0" fillId="10" borderId="16" xfId="0" applyFill="1" applyBorder="1"/>
    <xf numFmtId="0" fontId="0" fillId="10" borderId="17" xfId="0" applyFill="1" applyBorder="1"/>
    <xf numFmtId="0" fontId="0" fillId="10" borderId="18" xfId="0" applyFill="1" applyBorder="1"/>
    <xf numFmtId="0" fontId="0" fillId="10" borderId="19" xfId="0" applyFill="1" applyBorder="1"/>
    <xf numFmtId="0" fontId="0" fillId="10" borderId="0" xfId="0" applyFill="1" applyBorder="1"/>
    <xf numFmtId="0" fontId="40" fillId="10" borderId="0" xfId="0" applyFont="1" applyFill="1" applyBorder="1" applyAlignment="1">
      <alignment horizontal="right" vertical="center"/>
    </xf>
    <xf numFmtId="14" fontId="40" fillId="10" borderId="0" xfId="0" applyNumberFormat="1" applyFont="1" applyFill="1" applyBorder="1" applyAlignment="1">
      <alignment horizontal="left" vertical="center"/>
    </xf>
    <xf numFmtId="0" fontId="39" fillId="10" borderId="0" xfId="0" applyFont="1" applyFill="1" applyBorder="1" applyAlignment="1">
      <alignment horizontal="right" vertical="center"/>
    </xf>
    <xf numFmtId="0" fontId="0" fillId="10" borderId="20" xfId="0" applyFill="1" applyBorder="1"/>
    <xf numFmtId="0" fontId="0" fillId="10" borderId="0" xfId="0" applyFill="1" applyBorder="1" applyAlignment="1">
      <alignment vertical="center"/>
    </xf>
    <xf numFmtId="0" fontId="21" fillId="10" borderId="0" xfId="0" applyFont="1" applyFill="1" applyBorder="1" applyAlignment="1">
      <alignment horizontal="left" vertical="center" wrapText="1"/>
    </xf>
    <xf numFmtId="0" fontId="16" fillId="10" borderId="11" xfId="0" applyFont="1" applyFill="1" applyBorder="1" applyAlignment="1">
      <alignment horizontal="left" vertical="center"/>
    </xf>
    <xf numFmtId="0" fontId="25" fillId="10" borderId="0" xfId="1" applyFill="1" applyBorder="1" applyAlignment="1">
      <alignment horizontal="left" vertical="center"/>
    </xf>
    <xf numFmtId="0" fontId="20" fillId="10" borderId="11" xfId="0" applyFont="1" applyFill="1" applyBorder="1" applyAlignment="1">
      <alignment horizontal="left" vertical="center" wrapText="1"/>
    </xf>
    <xf numFmtId="0" fontId="25" fillId="10" borderId="3" xfId="1" applyFill="1" applyBorder="1" applyAlignment="1">
      <alignment horizontal="left" vertical="center"/>
    </xf>
    <xf numFmtId="0" fontId="16" fillId="10" borderId="0" xfId="0" applyFont="1" applyFill="1" applyBorder="1" applyAlignment="1">
      <alignment horizontal="left" vertical="center" wrapText="1"/>
    </xf>
    <xf numFmtId="0" fontId="16" fillId="10" borderId="0" xfId="0" applyFont="1" applyFill="1" applyBorder="1" applyAlignment="1">
      <alignment horizontal="left" vertical="center"/>
    </xf>
    <xf numFmtId="0" fontId="25" fillId="10" borderId="7" xfId="1" applyFill="1" applyBorder="1" applyAlignment="1">
      <alignment horizontal="left" vertical="center"/>
    </xf>
    <xf numFmtId="0" fontId="25" fillId="10" borderId="5" xfId="1" applyFill="1" applyBorder="1" applyAlignment="1">
      <alignment horizontal="left" vertical="center"/>
    </xf>
    <xf numFmtId="0" fontId="22" fillId="10" borderId="0" xfId="0" applyFont="1" applyFill="1" applyBorder="1" applyAlignment="1">
      <alignment horizontal="left" vertical="center"/>
    </xf>
    <xf numFmtId="0" fontId="20" fillId="10" borderId="0" xfId="0" applyFont="1" applyFill="1" applyBorder="1" applyAlignment="1">
      <alignment vertical="center" wrapText="1"/>
    </xf>
    <xf numFmtId="0" fontId="25" fillId="10" borderId="13" xfId="1" applyFill="1" applyBorder="1" applyAlignment="1">
      <alignment vertical="center"/>
    </xf>
    <xf numFmtId="0" fontId="25" fillId="10" borderId="0" xfId="1" applyFill="1" applyBorder="1" applyAlignment="1">
      <alignment horizontal="center" vertical="center" wrapText="1"/>
    </xf>
    <xf numFmtId="0" fontId="52" fillId="10" borderId="0" xfId="1" applyFont="1" applyFill="1" applyBorder="1" applyAlignment="1">
      <alignment horizontal="center" vertical="center" wrapText="1"/>
    </xf>
    <xf numFmtId="0" fontId="60" fillId="10" borderId="0" xfId="1" applyFont="1" applyFill="1" applyBorder="1" applyAlignment="1">
      <alignment horizontal="left" vertical="center"/>
    </xf>
    <xf numFmtId="0" fontId="0" fillId="10" borderId="21" xfId="0" applyFill="1" applyBorder="1" applyAlignment="1">
      <alignment vertical="center"/>
    </xf>
    <xf numFmtId="0" fontId="0" fillId="10" borderId="22" xfId="0" applyFill="1" applyBorder="1" applyAlignment="1">
      <alignment vertical="center"/>
    </xf>
    <xf numFmtId="0" fontId="0" fillId="10" borderId="23" xfId="0" applyFill="1" applyBorder="1" applyAlignment="1">
      <alignment vertical="center"/>
    </xf>
    <xf numFmtId="9" fontId="4" fillId="3" borderId="3" xfId="22" applyNumberFormat="1" applyFont="1" applyFill="1" applyBorder="1" applyAlignment="1" applyProtection="1">
      <alignment horizontal="center" vertical="center" wrapText="1"/>
      <protection locked="0"/>
    </xf>
    <xf numFmtId="0" fontId="70" fillId="3" borderId="3" xfId="22" applyFill="1" applyBorder="1" applyAlignment="1">
      <alignment vertical="center"/>
    </xf>
    <xf numFmtId="9" fontId="4" fillId="0" borderId="3" xfId="25" applyFont="1" applyFill="1" applyBorder="1" applyAlignment="1" applyProtection="1">
      <alignment horizontal="center" vertical="center" wrapText="1"/>
      <protection locked="0"/>
    </xf>
    <xf numFmtId="0" fontId="70" fillId="3" borderId="0" xfId="22" applyFill="1" applyAlignment="1">
      <alignment horizontal="center" vertical="center"/>
    </xf>
    <xf numFmtId="0" fontId="2" fillId="3" borderId="9" xfId="0" applyFont="1" applyFill="1" applyBorder="1" applyAlignment="1" applyProtection="1">
      <alignment horizontal="center" vertical="center"/>
      <protection locked="0"/>
    </xf>
    <xf numFmtId="0" fontId="27" fillId="45" borderId="3" xfId="0" applyFont="1" applyFill="1" applyBorder="1" applyAlignment="1" applyProtection="1">
      <alignment horizontal="center" vertical="center" wrapText="1"/>
      <protection locked="0"/>
    </xf>
    <xf numFmtId="0" fontId="27" fillId="45" borderId="0" xfId="0" applyFont="1" applyFill="1" applyBorder="1" applyAlignment="1" applyProtection="1">
      <alignment horizontal="center" vertical="center" wrapText="1"/>
      <protection locked="0"/>
    </xf>
    <xf numFmtId="1" fontId="4" fillId="0" borderId="1" xfId="23" applyNumberFormat="1" applyFont="1" applyFill="1" applyBorder="1" applyAlignment="1">
      <alignment horizontal="center" vertical="center" wrapText="1"/>
    </xf>
    <xf numFmtId="1" fontId="4" fillId="0" borderId="2" xfId="23" applyNumberFormat="1" applyFont="1" applyFill="1" applyBorder="1" applyAlignment="1">
      <alignment horizontal="center" vertical="center" wrapText="1"/>
    </xf>
    <xf numFmtId="0" fontId="9" fillId="0" borderId="1" xfId="23" applyFont="1" applyFill="1" applyBorder="1" applyAlignment="1" applyProtection="1">
      <alignment horizontal="center" vertical="center" textRotation="90" wrapText="1"/>
    </xf>
    <xf numFmtId="2" fontId="4" fillId="0" borderId="1" xfId="23" applyNumberFormat="1" applyFont="1" applyFill="1" applyBorder="1" applyAlignment="1">
      <alignment horizontal="center" vertical="center" wrapText="1"/>
    </xf>
    <xf numFmtId="0" fontId="4" fillId="0" borderId="1" xfId="23" applyFont="1" applyFill="1" applyBorder="1" applyAlignment="1" applyProtection="1">
      <alignment horizontal="center" vertical="center" wrapText="1"/>
    </xf>
    <xf numFmtId="0" fontId="4" fillId="0" borderId="2" xfId="23" applyFont="1" applyFill="1" applyBorder="1" applyAlignment="1" applyProtection="1">
      <alignment horizontal="center" vertical="center" wrapText="1"/>
    </xf>
    <xf numFmtId="0" fontId="4" fillId="3" borderId="3" xfId="14" applyFont="1" applyFill="1" applyBorder="1" applyAlignment="1">
      <alignment vertical="center" wrapText="1"/>
    </xf>
    <xf numFmtId="0" fontId="92" fillId="0" borderId="0" xfId="0" applyFont="1" applyFill="1" applyBorder="1"/>
    <xf numFmtId="0" fontId="73" fillId="0" borderId="0" xfId="0" applyFont="1" applyFill="1"/>
    <xf numFmtId="15" fontId="73" fillId="0" borderId="3" xfId="0" applyNumberFormat="1" applyFont="1" applyFill="1" applyBorder="1" applyAlignment="1">
      <alignment horizontal="center" vertical="center"/>
    </xf>
    <xf numFmtId="2" fontId="4" fillId="0" borderId="3" xfId="0" applyNumberFormat="1" applyFont="1" applyFill="1" applyBorder="1" applyAlignment="1" applyProtection="1">
      <alignment horizontal="justify" vertical="center" wrapText="1"/>
      <protection locked="0"/>
    </xf>
    <xf numFmtId="0" fontId="4" fillId="0" borderId="3" xfId="0" applyFont="1" applyFill="1" applyBorder="1" applyAlignment="1" applyProtection="1">
      <alignment horizontal="justify" vertical="center" textRotation="90" wrapText="1"/>
    </xf>
    <xf numFmtId="0" fontId="4" fillId="0" borderId="3" xfId="0" applyFont="1" applyFill="1" applyBorder="1" applyAlignment="1" applyProtection="1">
      <alignment horizontal="justify" vertical="center" wrapText="1"/>
    </xf>
    <xf numFmtId="9" fontId="4" fillId="0" borderId="3" xfId="0" applyNumberFormat="1" applyFont="1" applyFill="1" applyBorder="1" applyAlignment="1" applyProtection="1">
      <alignment horizontal="justify" vertical="center" wrapText="1"/>
      <protection locked="0"/>
    </xf>
    <xf numFmtId="9" fontId="4" fillId="0" borderId="3" xfId="0" applyNumberFormat="1" applyFont="1" applyFill="1" applyBorder="1" applyAlignment="1" applyProtection="1">
      <alignment horizontal="left" vertical="center" wrapText="1"/>
      <protection locked="0"/>
    </xf>
    <xf numFmtId="0" fontId="4" fillId="0" borderId="3" xfId="0" applyFont="1" applyFill="1" applyBorder="1" applyAlignment="1" applyProtection="1">
      <alignment horizontal="center" vertical="center" textRotation="90" wrapText="1"/>
    </xf>
    <xf numFmtId="0" fontId="4" fillId="0" borderId="3"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39" fillId="4" borderId="1" xfId="0" applyFont="1" applyFill="1" applyBorder="1" applyAlignment="1">
      <alignment horizontal="center"/>
    </xf>
    <xf numFmtId="9" fontId="4" fillId="0" borderId="3" xfId="27" applyFont="1" applyFill="1" applyBorder="1" applyAlignment="1" applyProtection="1">
      <alignment horizontal="center" vertical="center" wrapText="1"/>
      <protection locked="0"/>
    </xf>
    <xf numFmtId="0" fontId="3" fillId="0" borderId="3" xfId="25" applyNumberFormat="1" applyFont="1" applyFill="1" applyBorder="1" applyAlignment="1" applyProtection="1">
      <alignment horizontal="center" vertical="center" wrapText="1"/>
      <protection locked="0"/>
    </xf>
    <xf numFmtId="0" fontId="4" fillId="0" borderId="3" xfId="29" applyNumberFormat="1" applyFont="1" applyFill="1" applyBorder="1" applyAlignment="1" applyProtection="1">
      <alignment horizontal="center" vertical="center" wrapText="1"/>
      <protection locked="0"/>
    </xf>
    <xf numFmtId="0" fontId="4" fillId="0" borderId="9" xfId="22" applyFont="1" applyFill="1" applyBorder="1" applyAlignment="1" applyProtection="1">
      <alignment vertical="center" wrapText="1"/>
      <protection locked="0"/>
    </xf>
    <xf numFmtId="0" fontId="4" fillId="0" borderId="1" xfId="22" applyFont="1" applyFill="1" applyBorder="1" applyAlignment="1" applyProtection="1">
      <alignment vertical="center" wrapText="1"/>
      <protection locked="0"/>
    </xf>
    <xf numFmtId="0" fontId="4" fillId="0" borderId="9" xfId="23" applyFont="1" applyFill="1" applyBorder="1" applyAlignment="1" applyProtection="1">
      <alignment horizontal="center" vertical="center" wrapText="1"/>
    </xf>
    <xf numFmtId="0" fontId="70" fillId="0" borderId="3" xfId="22" applyFill="1" applyBorder="1"/>
    <xf numFmtId="0" fontId="15" fillId="3" borderId="3" xfId="0" applyFont="1" applyFill="1" applyBorder="1" applyAlignment="1" applyProtection="1">
      <alignment horizontal="justify" vertical="center" wrapText="1"/>
      <protection locked="0"/>
    </xf>
    <xf numFmtId="164" fontId="4" fillId="0" borderId="3" xfId="30" applyFont="1" applyFill="1" applyBorder="1" applyAlignment="1" applyProtection="1">
      <alignment horizontal="center" vertical="center" wrapText="1"/>
      <protection locked="0"/>
    </xf>
    <xf numFmtId="15" fontId="2" fillId="3" borderId="2" xfId="0" applyNumberFormat="1" applyFont="1" applyFill="1" applyBorder="1" applyAlignment="1" applyProtection="1">
      <alignment horizontal="center" vertical="center"/>
      <protection locked="0"/>
    </xf>
    <xf numFmtId="0" fontId="4" fillId="0" borderId="3" xfId="0" applyFont="1" applyBorder="1" applyAlignment="1" applyProtection="1">
      <alignment horizontal="left" vertical="center" wrapText="1"/>
      <protection locked="0"/>
    </xf>
    <xf numFmtId="0" fontId="4" fillId="11" borderId="3" xfId="0" applyFont="1" applyFill="1" applyBorder="1" applyAlignment="1" applyProtection="1">
      <alignment horizontal="center" vertical="center" textRotation="90" wrapText="1"/>
      <protection locked="0"/>
    </xf>
    <xf numFmtId="0" fontId="4" fillId="10" borderId="3" xfId="0" applyFont="1" applyFill="1" applyBorder="1" applyAlignment="1" applyProtection="1">
      <alignment horizontal="center" vertical="center" wrapText="1"/>
    </xf>
    <xf numFmtId="0" fontId="4" fillId="10" borderId="3" xfId="0" applyFont="1" applyFill="1" applyBorder="1" applyAlignment="1" applyProtection="1">
      <alignment horizontal="center" vertical="center" textRotation="90" wrapText="1"/>
    </xf>
    <xf numFmtId="14" fontId="2" fillId="0" borderId="3" xfId="23" applyNumberFormat="1" applyFont="1" applyFill="1" applyBorder="1" applyAlignment="1">
      <alignment horizontal="center" vertical="center" textRotation="90"/>
    </xf>
    <xf numFmtId="0" fontId="2" fillId="0" borderId="3" xfId="23" applyFont="1" applyFill="1" applyBorder="1" applyAlignment="1">
      <alignment horizontal="center" vertical="center"/>
    </xf>
    <xf numFmtId="0" fontId="2" fillId="3" borderId="3" xfId="23" applyFont="1" applyFill="1" applyBorder="1" applyAlignment="1">
      <alignment horizontal="center" vertical="center" wrapText="1"/>
    </xf>
    <xf numFmtId="0" fontId="2" fillId="3" borderId="3" xfId="23" applyFont="1" applyFill="1" applyBorder="1" applyAlignment="1">
      <alignment horizontal="center" vertical="center"/>
    </xf>
    <xf numFmtId="0" fontId="27" fillId="0" borderId="3" xfId="3" applyFont="1" applyFill="1" applyBorder="1" applyAlignment="1" applyProtection="1">
      <alignment horizontal="left" vertical="center" wrapText="1"/>
      <protection locked="0"/>
    </xf>
    <xf numFmtId="0" fontId="70" fillId="0" borderId="0" xfId="22" applyFill="1" applyAlignment="1">
      <alignment horizontal="left" vertical="center" wrapText="1"/>
    </xf>
    <xf numFmtId="0" fontId="70" fillId="0" borderId="0" xfId="22" applyFill="1" applyAlignment="1">
      <alignment wrapText="1"/>
    </xf>
    <xf numFmtId="0" fontId="4" fillId="0" borderId="13" xfId="22" applyFont="1" applyFill="1" applyBorder="1" applyAlignment="1">
      <alignment horizontal="center" vertical="center"/>
    </xf>
    <xf numFmtId="0" fontId="71" fillId="19" borderId="0" xfId="22" applyFont="1" applyFill="1"/>
    <xf numFmtId="0" fontId="71" fillId="0" borderId="0" xfId="22" applyFont="1" applyFill="1" applyAlignment="1">
      <alignment wrapText="1"/>
    </xf>
    <xf numFmtId="0" fontId="55" fillId="0" borderId="3" xfId="22" applyFont="1" applyFill="1" applyBorder="1" applyAlignment="1" applyProtection="1">
      <alignment vertical="center" wrapText="1"/>
      <protection locked="0"/>
    </xf>
    <xf numFmtId="0" fontId="57" fillId="0" borderId="3" xfId="24" applyFont="1" applyFill="1" applyBorder="1" applyAlignment="1" applyProtection="1">
      <alignment horizontal="center" vertical="center" textRotation="90" wrapText="1"/>
      <protection locked="0"/>
    </xf>
    <xf numFmtId="2" fontId="4" fillId="16" borderId="3" xfId="22" applyNumberFormat="1" applyFont="1" applyFill="1" applyBorder="1" applyAlignment="1">
      <alignment horizontal="center" vertical="center" wrapText="1"/>
    </xf>
    <xf numFmtId="0" fontId="27" fillId="11" borderId="3" xfId="22" applyFont="1" applyFill="1" applyBorder="1" applyAlignment="1" applyProtection="1">
      <alignment horizontal="center" vertical="center" wrapText="1"/>
    </xf>
    <xf numFmtId="15" fontId="81" fillId="0" borderId="2" xfId="0" applyNumberFormat="1" applyFont="1" applyBorder="1" applyAlignment="1" applyProtection="1">
      <alignment horizontal="center" vertical="center"/>
      <protection locked="0"/>
    </xf>
    <xf numFmtId="0" fontId="4" fillId="7" borderId="3" xfId="0" applyFont="1" applyFill="1" applyBorder="1" applyAlignment="1">
      <alignment horizontal="center" vertical="center" wrapText="1"/>
    </xf>
    <xf numFmtId="0" fontId="55" fillId="3" borderId="3" xfId="0" applyFont="1" applyFill="1" applyBorder="1" applyAlignment="1" applyProtection="1">
      <alignment vertical="center" wrapText="1"/>
      <protection locked="0"/>
    </xf>
    <xf numFmtId="9" fontId="55" fillId="3" borderId="3" xfId="0" applyNumberFormat="1" applyFont="1" applyFill="1" applyBorder="1" applyAlignment="1" applyProtection="1">
      <alignment horizontal="center" vertical="center" wrapText="1"/>
      <protection locked="0"/>
    </xf>
    <xf numFmtId="0" fontId="55" fillId="0" borderId="3" xfId="0" applyFont="1" applyFill="1" applyBorder="1" applyAlignment="1" applyProtection="1">
      <alignment vertical="center" wrapText="1"/>
      <protection locked="0"/>
    </xf>
    <xf numFmtId="15" fontId="77" fillId="3" borderId="2" xfId="0" applyNumberFormat="1" applyFont="1" applyFill="1" applyBorder="1" applyAlignment="1" applyProtection="1">
      <alignment horizontal="center" vertical="center"/>
      <protection locked="0"/>
    </xf>
    <xf numFmtId="0" fontId="27" fillId="0" borderId="3" xfId="23" applyFont="1" applyFill="1" applyBorder="1" applyAlignment="1" applyProtection="1">
      <alignment vertical="center" wrapText="1"/>
      <protection locked="0"/>
    </xf>
    <xf numFmtId="9" fontId="0" fillId="0" borderId="0" xfId="27" applyFont="1" applyFill="1"/>
    <xf numFmtId="0" fontId="70" fillId="0" borderId="0" xfId="22" applyFont="1"/>
    <xf numFmtId="0" fontId="70" fillId="0" borderId="0" xfId="22" applyFont="1" applyFill="1" applyBorder="1" applyAlignment="1">
      <alignment horizontal="left"/>
    </xf>
    <xf numFmtId="0" fontId="3" fillId="11" borderId="3" xfId="22" applyFont="1" applyFill="1" applyBorder="1" applyAlignment="1" applyProtection="1">
      <alignment horizontal="center" vertical="center" wrapText="1"/>
      <protection locked="0"/>
    </xf>
    <xf numFmtId="0" fontId="3" fillId="11" borderId="3" xfId="22" applyFont="1" applyFill="1" applyBorder="1" applyAlignment="1" applyProtection="1">
      <alignment horizontal="center" vertical="center" textRotation="90" wrapText="1"/>
      <protection locked="0"/>
    </xf>
    <xf numFmtId="0" fontId="4" fillId="11" borderId="1" xfId="23" applyFont="1" applyFill="1" applyBorder="1" applyAlignment="1" applyProtection="1">
      <alignment horizontal="center" vertical="center" wrapText="1"/>
    </xf>
    <xf numFmtId="0" fontId="70" fillId="3" borderId="0" xfId="22" applyFont="1" applyFill="1"/>
    <xf numFmtId="0" fontId="70" fillId="0" borderId="0" xfId="22" applyFont="1" applyFill="1"/>
    <xf numFmtId="0" fontId="4" fillId="11" borderId="1" xfId="22" applyFont="1" applyFill="1" applyBorder="1" applyAlignment="1" applyProtection="1">
      <alignment horizontal="center" vertical="center" wrapText="1"/>
    </xf>
    <xf numFmtId="15" fontId="70" fillId="0" borderId="3" xfId="22" applyNumberFormat="1" applyFont="1" applyFill="1" applyBorder="1" applyAlignment="1" applyProtection="1">
      <alignment horizontal="center" vertical="center"/>
      <protection locked="0"/>
    </xf>
    <xf numFmtId="0" fontId="70" fillId="3" borderId="0" xfId="22" applyFont="1" applyFill="1" applyAlignment="1">
      <alignment horizontal="center" vertical="center" wrapText="1"/>
    </xf>
    <xf numFmtId="0" fontId="70" fillId="3" borderId="0" xfId="22" applyFont="1" applyFill="1" applyAlignment="1">
      <alignment horizontal="left" vertical="center" wrapText="1"/>
    </xf>
    <xf numFmtId="0" fontId="70" fillId="0" borderId="0" xfId="22" applyFont="1" applyAlignment="1">
      <alignment horizontal="center" vertical="center" wrapText="1"/>
    </xf>
    <xf numFmtId="0" fontId="70" fillId="0" borderId="0" xfId="22" applyFont="1" applyAlignment="1">
      <alignment horizontal="left" vertical="center" wrapText="1"/>
    </xf>
    <xf numFmtId="0" fontId="4" fillId="3" borderId="3" xfId="0" applyFont="1" applyFill="1" applyBorder="1" applyAlignment="1">
      <alignment horizontal="center" vertical="center" wrapText="1"/>
    </xf>
    <xf numFmtId="12" fontId="4" fillId="0" borderId="3" xfId="0" applyNumberFormat="1" applyFont="1" applyFill="1" applyBorder="1" applyAlignment="1" applyProtection="1">
      <alignment horizontal="center" vertical="center" wrapText="1"/>
      <protection locked="0"/>
    </xf>
    <xf numFmtId="15" fontId="2" fillId="0" borderId="3" xfId="22" applyNumberFormat="1" applyFont="1" applyFill="1" applyBorder="1" applyAlignment="1" applyProtection="1">
      <alignment horizontal="center" vertical="center" wrapText="1"/>
      <protection locked="0"/>
    </xf>
    <xf numFmtId="15" fontId="70" fillId="0" borderId="3" xfId="22" applyNumberFormat="1" applyFill="1" applyBorder="1" applyAlignment="1" applyProtection="1">
      <alignment horizontal="center" vertical="center" wrapText="1"/>
      <protection locked="0"/>
    </xf>
    <xf numFmtId="0" fontId="70" fillId="0" borderId="0" xfId="22" applyFill="1" applyAlignment="1">
      <alignment horizontal="center" vertical="center" wrapText="1"/>
    </xf>
    <xf numFmtId="0" fontId="70" fillId="3" borderId="0" xfId="22" applyFill="1" applyAlignment="1">
      <alignment vertical="center" wrapText="1"/>
    </xf>
    <xf numFmtId="0" fontId="4" fillId="3" borderId="0" xfId="0" applyFont="1" applyFill="1" applyBorder="1" applyAlignment="1" applyProtection="1">
      <alignment horizontal="center" vertical="center" wrapText="1"/>
      <protection locked="0"/>
    </xf>
    <xf numFmtId="15" fontId="4" fillId="0" borderId="3" xfId="0" applyNumberFormat="1" applyFont="1" applyFill="1" applyBorder="1" applyAlignment="1">
      <alignment horizontal="center" vertical="center" wrapText="1"/>
    </xf>
    <xf numFmtId="10" fontId="4" fillId="0" borderId="3" xfId="22" applyNumberFormat="1" applyFont="1" applyFill="1" applyBorder="1" applyAlignment="1" applyProtection="1">
      <alignment horizontal="center" vertical="center" wrapText="1"/>
      <protection locked="0"/>
    </xf>
    <xf numFmtId="10" fontId="4" fillId="0" borderId="3" xfId="0" applyNumberFormat="1" applyFont="1" applyFill="1" applyBorder="1" applyAlignment="1" applyProtection="1">
      <alignment horizontal="center" vertical="center" wrapText="1"/>
      <protection locked="0"/>
    </xf>
    <xf numFmtId="1" fontId="4" fillId="0" borderId="3" xfId="0" applyNumberFormat="1" applyFont="1" applyFill="1" applyBorder="1" applyAlignment="1" applyProtection="1">
      <alignment horizontal="center" vertical="center" wrapText="1"/>
      <protection locked="0"/>
    </xf>
    <xf numFmtId="1" fontId="2" fillId="3" borderId="3" xfId="22" applyNumberFormat="1" applyFont="1" applyFill="1" applyBorder="1" applyAlignment="1" applyProtection="1">
      <alignment horizontal="center" vertical="center" wrapText="1"/>
      <protection locked="0"/>
    </xf>
    <xf numFmtId="0" fontId="2" fillId="3" borderId="3" xfId="22" applyFont="1" applyFill="1" applyBorder="1" applyAlignment="1" applyProtection="1">
      <alignment horizontal="justify" vertical="center" wrapText="1"/>
      <protection locked="0"/>
    </xf>
    <xf numFmtId="0" fontId="2" fillId="3" borderId="3" xfId="22" applyFont="1" applyFill="1" applyBorder="1" applyAlignment="1" applyProtection="1">
      <alignment horizontal="center" vertical="center" wrapText="1"/>
      <protection locked="0"/>
    </xf>
    <xf numFmtId="0" fontId="2" fillId="3" borderId="3" xfId="22" applyFont="1" applyFill="1" applyBorder="1" applyAlignment="1" applyProtection="1">
      <alignment vertical="center" wrapText="1"/>
      <protection locked="0"/>
    </xf>
    <xf numFmtId="15" fontId="2" fillId="3" borderId="3" xfId="22" applyNumberFormat="1" applyFont="1" applyFill="1" applyBorder="1" applyAlignment="1" applyProtection="1">
      <alignment horizontal="center" vertical="center"/>
      <protection locked="0"/>
    </xf>
    <xf numFmtId="0" fontId="4" fillId="8" borderId="3" xfId="0" applyFont="1" applyFill="1" applyBorder="1"/>
    <xf numFmtId="9" fontId="7" fillId="0" borderId="3" xfId="0" applyNumberFormat="1" applyFont="1" applyFill="1" applyBorder="1" applyAlignment="1" applyProtection="1">
      <alignment horizontal="center" vertical="center" wrapText="1"/>
      <protection locked="0"/>
    </xf>
    <xf numFmtId="0" fontId="4" fillId="11" borderId="1" xfId="9" applyFont="1" applyFill="1" applyBorder="1" applyAlignment="1" applyProtection="1">
      <alignment horizontal="center" vertical="center" wrapText="1"/>
    </xf>
    <xf numFmtId="0" fontId="4" fillId="8" borderId="0" xfId="0" applyFont="1" applyFill="1"/>
    <xf numFmtId="0" fontId="2" fillId="0" borderId="3" xfId="0" applyFont="1" applyFill="1" applyBorder="1" applyAlignment="1" applyProtection="1">
      <alignment horizontal="center" vertical="center" wrapText="1"/>
      <protection locked="0"/>
    </xf>
    <xf numFmtId="15" fontId="95" fillId="0" borderId="3" xfId="0" applyNumberFormat="1" applyFont="1" applyFill="1" applyBorder="1" applyAlignment="1">
      <alignment horizontal="center" vertical="center"/>
    </xf>
    <xf numFmtId="0" fontId="27" fillId="3" borderId="0" xfId="0" applyFont="1" applyFill="1" applyAlignment="1" applyProtection="1">
      <protection locked="0"/>
    </xf>
    <xf numFmtId="0" fontId="0" fillId="3" borderId="0" xfId="0" applyFill="1" applyAlignment="1">
      <alignment horizontal="left"/>
    </xf>
    <xf numFmtId="0" fontId="4" fillId="0" borderId="0" xfId="22" applyFont="1" applyAlignment="1">
      <alignment horizontal="left" vertical="center"/>
    </xf>
    <xf numFmtId="0" fontId="3" fillId="16" borderId="15" xfId="22" applyFont="1" applyFill="1" applyBorder="1" applyAlignment="1">
      <alignment horizontal="center" vertical="center" wrapText="1"/>
    </xf>
    <xf numFmtId="0" fontId="3" fillId="18" borderId="13" xfId="22" applyFont="1" applyFill="1" applyBorder="1" applyAlignment="1">
      <alignment horizontal="left" vertical="center"/>
    </xf>
    <xf numFmtId="0" fontId="27" fillId="0" borderId="1" xfId="22" applyFont="1" applyFill="1" applyBorder="1" applyAlignment="1" applyProtection="1">
      <alignment horizontal="center" vertical="center" wrapText="1"/>
    </xf>
    <xf numFmtId="1" fontId="4" fillId="0" borderId="3" xfId="22" applyNumberFormat="1" applyFont="1" applyFill="1" applyBorder="1" applyAlignment="1">
      <alignment horizontal="center" vertical="center" wrapText="1"/>
    </xf>
    <xf numFmtId="0" fontId="70" fillId="22" borderId="0" xfId="22" applyFill="1"/>
    <xf numFmtId="0" fontId="4" fillId="0" borderId="5" xfId="22" applyFont="1" applyFill="1" applyBorder="1" applyAlignment="1" applyProtection="1">
      <alignment vertical="center" wrapText="1"/>
      <protection locked="0"/>
    </xf>
    <xf numFmtId="14" fontId="4" fillId="0" borderId="3" xfId="22" applyNumberFormat="1" applyFont="1" applyFill="1" applyBorder="1" applyAlignment="1" applyProtection="1">
      <alignment vertical="center" wrapText="1"/>
      <protection locked="0"/>
    </xf>
    <xf numFmtId="0" fontId="70" fillId="3" borderId="0" xfId="22" applyFill="1" applyAlignment="1">
      <alignment horizontal="left" vertical="center"/>
    </xf>
    <xf numFmtId="0" fontId="4" fillId="3" borderId="0" xfId="22" applyFont="1" applyFill="1" applyAlignment="1">
      <alignment horizontal="left" vertical="center"/>
    </xf>
    <xf numFmtId="0" fontId="71" fillId="3" borderId="0" xfId="22" applyFont="1" applyFill="1" applyAlignment="1">
      <alignment horizontal="left" vertical="center"/>
    </xf>
    <xf numFmtId="0" fontId="71" fillId="0" borderId="0" xfId="22" applyFont="1" applyAlignment="1">
      <alignment horizontal="left" vertical="center"/>
    </xf>
    <xf numFmtId="0" fontId="3" fillId="4" borderId="3" xfId="22" applyFont="1" applyFill="1" applyBorder="1" applyAlignment="1">
      <alignment horizontal="center" vertical="center" wrapText="1"/>
    </xf>
    <xf numFmtId="0" fontId="3" fillId="0" borderId="3" xfId="22" applyFont="1" applyFill="1" applyBorder="1" applyAlignment="1">
      <alignment horizontal="center" vertical="center" wrapText="1"/>
    </xf>
    <xf numFmtId="0" fontId="3" fillId="43" borderId="13" xfId="22" applyFont="1" applyFill="1" applyBorder="1" applyAlignment="1">
      <alignment horizontal="center" vertical="center" wrapText="1"/>
    </xf>
    <xf numFmtId="0" fontId="4" fillId="0" borderId="3" xfId="23" applyFont="1" applyFill="1" applyBorder="1" applyAlignment="1" applyProtection="1">
      <alignment horizontal="center" vertical="center" wrapText="1"/>
      <protection locked="0"/>
    </xf>
    <xf numFmtId="0" fontId="4" fillId="0" borderId="1" xfId="9" applyFont="1" applyFill="1" applyBorder="1" applyAlignment="1" applyProtection="1">
      <alignment horizontal="center" vertical="center" textRotation="90" wrapText="1"/>
      <protection locked="0"/>
    </xf>
    <xf numFmtId="0" fontId="4" fillId="0" borderId="2" xfId="22" applyFont="1" applyFill="1" applyBorder="1" applyAlignment="1" applyProtection="1">
      <alignment horizontal="center" vertical="center" wrapText="1"/>
      <protection locked="0"/>
    </xf>
    <xf numFmtId="0" fontId="4" fillId="0" borderId="3" xfId="23" applyFont="1" applyFill="1" applyBorder="1" applyAlignment="1" applyProtection="1">
      <alignment horizontal="center" vertical="center" textRotation="90" wrapText="1"/>
      <protection locked="0"/>
    </xf>
    <xf numFmtId="2" fontId="4" fillId="0" borderId="3" xfId="23" applyNumberFormat="1" applyFont="1" applyFill="1" applyBorder="1" applyAlignment="1" applyProtection="1">
      <alignment horizontal="center" vertical="center" textRotation="90" wrapText="1"/>
      <protection locked="0"/>
    </xf>
    <xf numFmtId="0" fontId="4" fillId="0" borderId="3" xfId="22" applyFont="1" applyFill="1" applyBorder="1" applyAlignment="1" applyProtection="1">
      <alignment horizontal="center" vertical="center" wrapText="1"/>
      <protection locked="0"/>
    </xf>
    <xf numFmtId="0" fontId="4" fillId="0" borderId="3" xfId="23" applyFont="1" applyFill="1" applyBorder="1" applyAlignment="1" applyProtection="1">
      <alignment horizontal="left" vertical="center" wrapText="1"/>
      <protection locked="0"/>
    </xf>
    <xf numFmtId="9" fontId="4" fillId="0" borderId="3" xfId="22" applyNumberFormat="1" applyFont="1" applyFill="1" applyBorder="1" applyAlignment="1" applyProtection="1">
      <alignment horizontal="center" vertical="center" wrapText="1"/>
      <protection locked="0"/>
    </xf>
    <xf numFmtId="0" fontId="4" fillId="3" borderId="13" xfId="22" applyFont="1" applyFill="1" applyBorder="1" applyAlignment="1">
      <alignment horizontal="center" vertical="center"/>
    </xf>
    <xf numFmtId="0" fontId="4" fillId="3" borderId="0" xfId="22" applyFont="1" applyFill="1" applyBorder="1" applyAlignment="1">
      <alignment horizontal="center" vertical="center"/>
    </xf>
    <xf numFmtId="0" fontId="4" fillId="3" borderId="1" xfId="9" applyFont="1" applyFill="1" applyBorder="1" applyAlignment="1" applyProtection="1">
      <alignment horizontal="center" vertical="center" wrapText="1"/>
      <protection locked="0"/>
    </xf>
    <xf numFmtId="0" fontId="4" fillId="0" borderId="3" xfId="3" applyFont="1" applyFill="1" applyBorder="1" applyAlignment="1" applyProtection="1">
      <alignment horizontal="justify" vertical="center" wrapText="1"/>
      <protection locked="0"/>
    </xf>
    <xf numFmtId="0" fontId="4" fillId="0" borderId="3" xfId="23" applyFont="1" applyFill="1" applyBorder="1" applyAlignment="1">
      <alignment horizontal="center" vertical="center" wrapText="1"/>
    </xf>
    <xf numFmtId="0" fontId="4" fillId="0" borderId="3" xfId="23" applyFont="1" applyFill="1" applyBorder="1" applyAlignment="1">
      <alignment horizontal="left" vertical="center" wrapText="1"/>
    </xf>
    <xf numFmtId="0" fontId="4" fillId="0" borderId="3" xfId="23" applyFont="1" applyFill="1" applyBorder="1" applyAlignment="1" applyProtection="1">
      <alignment vertical="center" wrapText="1"/>
      <protection locked="0"/>
    </xf>
    <xf numFmtId="0" fontId="4" fillId="3" borderId="3" xfId="23" applyFont="1" applyFill="1" applyBorder="1" applyAlignment="1" applyProtection="1">
      <alignment horizontal="center" vertical="center" wrapText="1"/>
      <protection locked="0"/>
    </xf>
    <xf numFmtId="0" fontId="4" fillId="3" borderId="3" xfId="23" applyFont="1" applyFill="1" applyBorder="1" applyAlignment="1" applyProtection="1">
      <alignment horizontal="center" vertical="center" textRotation="90" wrapText="1"/>
      <protection locked="0"/>
    </xf>
    <xf numFmtId="0" fontId="4" fillId="3" borderId="3" xfId="22" applyFont="1" applyFill="1" applyBorder="1" applyAlignment="1" applyProtection="1">
      <alignment horizontal="center" vertical="center" wrapText="1"/>
      <protection locked="0"/>
    </xf>
    <xf numFmtId="0" fontId="4" fillId="10" borderId="3" xfId="23" applyFont="1" applyFill="1" applyBorder="1" applyAlignment="1" applyProtection="1">
      <alignment horizontal="center" vertical="center" textRotation="90" wrapText="1"/>
    </xf>
    <xf numFmtId="0" fontId="57" fillId="0" borderId="3" xfId="24" applyFont="1" applyFill="1" applyBorder="1" applyAlignment="1" applyProtection="1">
      <alignment horizontal="left" vertical="center" wrapText="1"/>
      <protection locked="0"/>
    </xf>
    <xf numFmtId="49" fontId="3" fillId="4" borderId="3" xfId="22" applyNumberFormat="1" applyFont="1" applyFill="1" applyBorder="1" applyAlignment="1">
      <alignment horizontal="center" vertical="center" wrapText="1"/>
    </xf>
    <xf numFmtId="0" fontId="70" fillId="3" borderId="3" xfId="22" applyFill="1" applyBorder="1" applyAlignment="1">
      <alignment horizontal="center" vertical="center"/>
    </xf>
    <xf numFmtId="0" fontId="4" fillId="0" borderId="3" xfId="9" applyFont="1" applyFill="1" applyBorder="1" applyAlignment="1" applyProtection="1">
      <alignment horizontal="center" vertical="center" wrapText="1"/>
      <protection locked="0"/>
    </xf>
    <xf numFmtId="0" fontId="4" fillId="0" borderId="3" xfId="9" applyFont="1" applyFill="1" applyBorder="1" applyAlignment="1" applyProtection="1">
      <alignment horizontal="left" vertical="center" wrapText="1"/>
      <protection locked="0"/>
    </xf>
    <xf numFmtId="0" fontId="4" fillId="10" borderId="1" xfId="9" applyFont="1" applyFill="1" applyBorder="1" applyAlignment="1" applyProtection="1">
      <alignment horizontal="center" vertical="center" textRotation="90" wrapText="1"/>
    </xf>
    <xf numFmtId="0" fontId="4" fillId="3" borderId="3" xfId="9" applyFont="1" applyFill="1" applyBorder="1" applyAlignment="1">
      <alignment horizontal="justify" vertical="center" wrapText="1"/>
    </xf>
    <xf numFmtId="0" fontId="4" fillId="3" borderId="3" xfId="9" applyFont="1" applyFill="1" applyBorder="1" applyAlignment="1" applyProtection="1">
      <alignment horizontal="center" vertical="center" wrapText="1"/>
      <protection locked="0"/>
    </xf>
    <xf numFmtId="0" fontId="4" fillId="0" borderId="1" xfId="9" applyFont="1" applyFill="1" applyBorder="1" applyAlignment="1" applyProtection="1">
      <alignment horizontal="center" vertical="center" wrapText="1"/>
      <protection locked="0"/>
    </xf>
    <xf numFmtId="2" fontId="4" fillId="0" borderId="1" xfId="9" applyNumberFormat="1" applyFont="1" applyFill="1" applyBorder="1" applyAlignment="1" applyProtection="1">
      <alignment horizontal="center" vertical="center" textRotation="90" wrapText="1"/>
      <protection locked="0"/>
    </xf>
    <xf numFmtId="0" fontId="4" fillId="0" borderId="3" xfId="9" applyFont="1" applyFill="1" applyBorder="1" applyAlignment="1" applyProtection="1">
      <alignment horizontal="center" vertical="center" textRotation="90" wrapText="1"/>
      <protection locked="0"/>
    </xf>
    <xf numFmtId="2" fontId="4" fillId="0" borderId="3" xfId="9" applyNumberFormat="1" applyFont="1" applyFill="1" applyBorder="1" applyAlignment="1" applyProtection="1">
      <alignment horizontal="center" vertical="center" textRotation="90" wrapText="1"/>
      <protection locked="0"/>
    </xf>
    <xf numFmtId="0" fontId="4" fillId="0" borderId="3" xfId="22" applyFont="1" applyFill="1" applyBorder="1" applyAlignment="1" applyProtection="1">
      <alignment horizontal="justify" vertical="center" wrapText="1"/>
      <protection locked="0"/>
    </xf>
    <xf numFmtId="0" fontId="4" fillId="3" borderId="7" xfId="23" applyFont="1" applyFill="1" applyBorder="1" applyAlignment="1">
      <alignment horizontal="left" vertical="center" wrapText="1"/>
    </xf>
    <xf numFmtId="0" fontId="4" fillId="3" borderId="8" xfId="23" applyFont="1" applyFill="1" applyBorder="1" applyAlignment="1">
      <alignment horizontal="left" vertical="center" wrapText="1"/>
    </xf>
    <xf numFmtId="0" fontId="4" fillId="3" borderId="5" xfId="23" applyFont="1" applyFill="1" applyBorder="1" applyAlignment="1">
      <alignment horizontal="left" vertical="center" wrapText="1"/>
    </xf>
    <xf numFmtId="0" fontId="4" fillId="11" borderId="3" xfId="23" applyFont="1" applyFill="1" applyBorder="1" applyAlignment="1" applyProtection="1">
      <alignment horizontal="center" vertical="center" wrapText="1"/>
    </xf>
    <xf numFmtId="0" fontId="27" fillId="10" borderId="3" xfId="23" applyFont="1" applyFill="1" applyBorder="1" applyAlignment="1" applyProtection="1">
      <alignment horizontal="center" vertical="center" textRotation="90" wrapText="1"/>
    </xf>
    <xf numFmtId="1" fontId="4" fillId="11" borderId="3" xfId="23" applyNumberFormat="1" applyFont="1" applyFill="1" applyBorder="1" applyAlignment="1">
      <alignment horizontal="center" vertical="center" wrapText="1"/>
    </xf>
    <xf numFmtId="0" fontId="4" fillId="3" borderId="1" xfId="9" applyFont="1" applyFill="1" applyBorder="1" applyAlignment="1" applyProtection="1">
      <alignment horizontal="center" vertical="center" textRotation="90" wrapText="1"/>
      <protection locked="0"/>
    </xf>
    <xf numFmtId="0" fontId="4" fillId="3" borderId="3" xfId="9" applyFont="1" applyFill="1" applyBorder="1" applyAlignment="1" applyProtection="1">
      <alignment horizontal="center" vertical="center" textRotation="90" wrapText="1"/>
      <protection locked="0"/>
    </xf>
    <xf numFmtId="2" fontId="4" fillId="3" borderId="3" xfId="9" applyNumberFormat="1" applyFont="1" applyFill="1" applyBorder="1" applyAlignment="1" applyProtection="1">
      <alignment horizontal="center" vertical="center" textRotation="90" wrapText="1"/>
      <protection locked="0"/>
    </xf>
    <xf numFmtId="0" fontId="4" fillId="3" borderId="3" xfId="9" applyFont="1" applyFill="1" applyBorder="1" applyAlignment="1" applyProtection="1">
      <alignment horizontal="center" vertical="center" textRotation="90" wrapText="1"/>
    </xf>
    <xf numFmtId="0" fontId="4" fillId="3" borderId="3" xfId="3" applyFont="1" applyFill="1" applyBorder="1" applyAlignment="1" applyProtection="1">
      <alignment horizontal="justify" vertical="center" wrapText="1"/>
      <protection locked="0"/>
    </xf>
    <xf numFmtId="0" fontId="7" fillId="3" borderId="3" xfId="9" applyFont="1" applyFill="1" applyBorder="1" applyAlignment="1">
      <alignment horizontal="justify" vertical="center" wrapText="1"/>
    </xf>
    <xf numFmtId="0" fontId="7" fillId="3" borderId="3" xfId="9" applyFont="1" applyFill="1" applyBorder="1" applyAlignment="1" applyProtection="1">
      <alignment horizontal="justify" vertical="center" wrapText="1"/>
      <protection locked="0"/>
    </xf>
    <xf numFmtId="0" fontId="7" fillId="0" borderId="3" xfId="9" applyFont="1" applyFill="1" applyBorder="1" applyAlignment="1" applyProtection="1">
      <alignment horizontal="justify" vertical="center" wrapText="1"/>
      <protection locked="0"/>
    </xf>
    <xf numFmtId="0" fontId="4" fillId="10" borderId="3" xfId="9" applyFont="1" applyFill="1" applyBorder="1" applyAlignment="1" applyProtection="1">
      <alignment horizontal="center" vertical="center" textRotation="90" wrapText="1"/>
    </xf>
    <xf numFmtId="0" fontId="7" fillId="0" borderId="3" xfId="14" applyFont="1" applyFill="1" applyBorder="1" applyAlignment="1" applyProtection="1">
      <alignment horizontal="justify" vertical="center" wrapText="1"/>
      <protection locked="0"/>
    </xf>
    <xf numFmtId="0" fontId="7" fillId="3" borderId="3" xfId="14" applyFont="1" applyFill="1" applyBorder="1" applyAlignment="1" applyProtection="1">
      <alignment horizontal="center" vertical="center" wrapText="1"/>
      <protection locked="0"/>
    </xf>
    <xf numFmtId="0" fontId="7" fillId="3" borderId="3" xfId="14" applyFont="1" applyFill="1" applyBorder="1" applyAlignment="1" applyProtection="1">
      <alignment horizontal="center" vertical="center" textRotation="90" wrapText="1"/>
      <protection locked="0"/>
    </xf>
    <xf numFmtId="0" fontId="4" fillId="0" borderId="3" xfId="0" applyFont="1" applyFill="1" applyBorder="1" applyAlignment="1">
      <alignment horizontal="center" vertical="center" wrapText="1"/>
    </xf>
    <xf numFmtId="0" fontId="4" fillId="3" borderId="13" xfId="22" applyFont="1" applyFill="1" applyBorder="1" applyAlignment="1">
      <alignment horizontal="center" vertical="center"/>
    </xf>
    <xf numFmtId="0" fontId="4" fillId="0" borderId="3" xfId="22" applyFont="1" applyFill="1" applyBorder="1" applyAlignment="1" applyProtection="1">
      <alignment horizontal="center" vertical="center" wrapText="1"/>
      <protection locked="0"/>
    </xf>
    <xf numFmtId="0" fontId="4" fillId="0" borderId="3" xfId="23" applyFont="1" applyFill="1" applyBorder="1" applyAlignment="1" applyProtection="1">
      <alignment horizontal="center" vertical="center" wrapText="1"/>
      <protection locked="0"/>
    </xf>
    <xf numFmtId="0" fontId="27" fillId="0" borderId="3" xfId="23" applyFont="1" applyFill="1" applyBorder="1" applyAlignment="1" applyProtection="1">
      <alignment horizontal="center" vertical="center" textRotation="90" wrapText="1"/>
    </xf>
    <xf numFmtId="0" fontId="4" fillId="0" borderId="3" xfId="23" applyFont="1" applyFill="1" applyBorder="1" applyAlignment="1" applyProtection="1">
      <alignment horizontal="center" vertical="center" textRotation="90" wrapText="1"/>
    </xf>
    <xf numFmtId="9" fontId="4" fillId="0" borderId="3" xfId="22" applyNumberFormat="1" applyFont="1" applyFill="1" applyBorder="1" applyAlignment="1" applyProtection="1">
      <alignment horizontal="center" vertical="center" wrapText="1"/>
      <protection locked="0"/>
    </xf>
    <xf numFmtId="0" fontId="4" fillId="0" borderId="3" xfId="23" applyFont="1" applyFill="1" applyBorder="1" applyAlignment="1" applyProtection="1">
      <alignment horizontal="center" vertical="center" textRotation="90" wrapText="1"/>
      <protection locked="0"/>
    </xf>
    <xf numFmtId="2" fontId="4" fillId="0" borderId="3" xfId="23" applyNumberFormat="1" applyFont="1" applyFill="1" applyBorder="1" applyAlignment="1" applyProtection="1">
      <alignment horizontal="center" vertical="center" textRotation="90" wrapText="1"/>
      <protection locked="0"/>
    </xf>
    <xf numFmtId="15" fontId="70" fillId="0" borderId="1" xfId="22" applyNumberFormat="1" applyFill="1" applyBorder="1" applyAlignment="1" applyProtection="1">
      <alignment horizontal="center" vertical="center"/>
      <protection locked="0"/>
    </xf>
    <xf numFmtId="0" fontId="4" fillId="0" borderId="1" xfId="22" applyFont="1" applyFill="1" applyBorder="1" applyAlignment="1" applyProtection="1">
      <alignment horizontal="center" vertical="center" wrapText="1"/>
      <protection locked="0"/>
    </xf>
    <xf numFmtId="0" fontId="4" fillId="0" borderId="1" xfId="23" applyFont="1" applyFill="1" applyBorder="1" applyAlignment="1" applyProtection="1">
      <alignment horizontal="center" vertical="center" wrapText="1"/>
      <protection locked="0"/>
    </xf>
    <xf numFmtId="0" fontId="27" fillId="0" borderId="1" xfId="23" applyFont="1" applyFill="1" applyBorder="1" applyAlignment="1" applyProtection="1">
      <alignment horizontal="center" vertical="center" textRotation="90" wrapText="1"/>
    </xf>
    <xf numFmtId="0" fontId="4" fillId="0" borderId="1" xfId="23" applyFont="1" applyFill="1" applyBorder="1" applyAlignment="1" applyProtection="1">
      <alignment horizontal="center" vertical="center" textRotation="90" wrapText="1"/>
    </xf>
    <xf numFmtId="0" fontId="4" fillId="0" borderId="1" xfId="23" applyFont="1" applyFill="1" applyBorder="1" applyAlignment="1" applyProtection="1">
      <alignment horizontal="center" vertical="center" textRotation="90" wrapText="1"/>
      <protection locked="0"/>
    </xf>
    <xf numFmtId="2" fontId="4" fillId="0" borderId="1" xfId="23" applyNumberFormat="1" applyFont="1" applyFill="1" applyBorder="1" applyAlignment="1" applyProtection="1">
      <alignment horizontal="center" vertical="center" textRotation="90" wrapText="1"/>
      <protection locked="0"/>
    </xf>
    <xf numFmtId="0" fontId="3" fillId="0" borderId="3" xfId="22" applyFont="1" applyFill="1" applyBorder="1" applyAlignment="1">
      <alignment horizontal="center" vertical="center" wrapText="1"/>
    </xf>
    <xf numFmtId="49" fontId="3" fillId="0" borderId="3" xfId="22" applyNumberFormat="1" applyFont="1" applyFill="1" applyBorder="1" applyAlignment="1">
      <alignment horizontal="center" vertical="center" wrapText="1"/>
    </xf>
    <xf numFmtId="0" fontId="3" fillId="43" borderId="13" xfId="22" applyFont="1" applyFill="1" applyBorder="1" applyAlignment="1">
      <alignment horizontal="center" vertical="center" wrapText="1"/>
    </xf>
    <xf numFmtId="0" fontId="4" fillId="0" borderId="1" xfId="23" applyFont="1" applyFill="1" applyBorder="1" applyAlignment="1" applyProtection="1">
      <alignment horizontal="justify" vertical="center" wrapText="1"/>
      <protection locked="0"/>
    </xf>
    <xf numFmtId="0" fontId="4" fillId="0" borderId="3" xfId="23" applyFont="1" applyFill="1" applyBorder="1" applyAlignment="1" applyProtection="1">
      <alignment horizontal="justify" vertical="center" wrapText="1"/>
      <protection locked="0"/>
    </xf>
    <xf numFmtId="0" fontId="4" fillId="0" borderId="3" xfId="23" applyFont="1" applyFill="1" applyBorder="1" applyAlignment="1" applyProtection="1">
      <alignment vertical="center" wrapText="1"/>
      <protection locked="0"/>
    </xf>
    <xf numFmtId="1" fontId="4" fillId="0" borderId="3" xfId="23" applyNumberFormat="1" applyFont="1" applyFill="1" applyBorder="1" applyAlignment="1">
      <alignment horizontal="center" vertical="center" wrapText="1"/>
    </xf>
    <xf numFmtId="2" fontId="4" fillId="0" borderId="3" xfId="23" applyNumberFormat="1" applyFont="1" applyFill="1" applyBorder="1" applyAlignment="1">
      <alignment horizontal="center" vertical="center" wrapText="1"/>
    </xf>
    <xf numFmtId="0" fontId="4" fillId="0" borderId="3" xfId="23" applyFont="1" applyFill="1" applyBorder="1" applyAlignment="1" applyProtection="1">
      <alignment horizontal="center" vertical="center" wrapText="1"/>
    </xf>
    <xf numFmtId="0" fontId="4" fillId="0" borderId="3" xfId="3" applyFont="1" applyFill="1" applyBorder="1" applyAlignment="1" applyProtection="1">
      <alignment horizontal="center" vertical="center" textRotation="90" wrapText="1"/>
      <protection locked="0"/>
    </xf>
    <xf numFmtId="0" fontId="4" fillId="3" borderId="3" xfId="22" applyFont="1" applyFill="1" applyBorder="1" applyAlignment="1" applyProtection="1">
      <alignment horizontal="center" vertical="center" wrapText="1"/>
      <protection locked="0"/>
    </xf>
    <xf numFmtId="49" fontId="3" fillId="0" borderId="5" xfId="22" applyNumberFormat="1" applyFont="1" applyFill="1" applyBorder="1" applyAlignment="1">
      <alignment horizontal="center" vertical="center" wrapText="1"/>
    </xf>
    <xf numFmtId="0" fontId="4" fillId="0" borderId="9" xfId="9" applyFont="1" applyFill="1" applyBorder="1" applyAlignment="1" applyProtection="1">
      <alignment horizontal="center" vertical="center" textRotation="90" wrapText="1"/>
    </xf>
    <xf numFmtId="0" fontId="4" fillId="0" borderId="3" xfId="9" applyFont="1" applyFill="1" applyBorder="1" applyAlignment="1" applyProtection="1">
      <alignment horizontal="center" vertical="center" textRotation="90" wrapText="1"/>
    </xf>
    <xf numFmtId="0" fontId="4" fillId="0" borderId="3" xfId="22" applyFont="1" applyFill="1" applyBorder="1" applyAlignment="1" applyProtection="1">
      <alignment horizontal="justify" vertical="center" wrapText="1"/>
      <protection locked="0"/>
    </xf>
    <xf numFmtId="0" fontId="4" fillId="0" borderId="1" xfId="23" applyFont="1" applyFill="1" applyBorder="1" applyAlignment="1" applyProtection="1">
      <alignment vertical="center" wrapText="1"/>
      <protection locked="0"/>
    </xf>
    <xf numFmtId="0" fontId="4" fillId="0" borderId="3" xfId="0" applyFont="1" applyFill="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27" fillId="0" borderId="8" xfId="0" applyFont="1" applyBorder="1" applyAlignment="1" applyProtection="1">
      <alignment horizontal="center" vertical="center" wrapText="1"/>
      <protection locked="0"/>
    </xf>
    <xf numFmtId="0" fontId="27" fillId="0" borderId="5" xfId="0" applyFont="1" applyBorder="1" applyAlignment="1" applyProtection="1">
      <alignment horizontal="center" vertical="center" wrapText="1"/>
      <protection locked="0"/>
    </xf>
    <xf numFmtId="0" fontId="28" fillId="8" borderId="7" xfId="0" applyFont="1" applyFill="1" applyBorder="1" applyAlignment="1" applyProtection="1">
      <alignment horizontal="center" vertical="center" wrapText="1"/>
    </xf>
    <xf numFmtId="0" fontId="27" fillId="0" borderId="3" xfId="0" applyFont="1" applyBorder="1" applyAlignment="1" applyProtection="1">
      <alignment horizontal="justify" vertical="center" wrapText="1"/>
      <protection locked="0"/>
    </xf>
    <xf numFmtId="0" fontId="27" fillId="0" borderId="3" xfId="0" applyFont="1" applyBorder="1" applyAlignment="1" applyProtection="1">
      <alignment horizontal="center" vertical="center" wrapText="1"/>
      <protection locked="0"/>
    </xf>
    <xf numFmtId="9" fontId="55" fillId="55" borderId="3" xfId="22" applyNumberFormat="1" applyFont="1" applyFill="1" applyBorder="1" applyAlignment="1" applyProtection="1">
      <alignment horizontal="center" vertical="center" wrapText="1"/>
      <protection locked="0"/>
    </xf>
    <xf numFmtId="9" fontId="55" fillId="0" borderId="3" xfId="22" applyNumberFormat="1" applyFont="1" applyFill="1" applyBorder="1" applyAlignment="1" applyProtection="1">
      <alignment horizontal="center" vertical="center" wrapText="1"/>
      <protection locked="0"/>
    </xf>
    <xf numFmtId="0" fontId="96" fillId="0" borderId="0" xfId="22" applyFont="1" applyFill="1" applyAlignment="1">
      <alignment vertical="center"/>
    </xf>
    <xf numFmtId="0" fontId="96" fillId="0" borderId="0" xfId="22" applyFont="1" applyFill="1" applyAlignment="1">
      <alignment horizontal="left" vertical="center"/>
    </xf>
    <xf numFmtId="0" fontId="98" fillId="8" borderId="3" xfId="22" applyFont="1" applyFill="1" applyBorder="1" applyAlignment="1" applyProtection="1">
      <alignment horizontal="justify" vertical="center" wrapText="1"/>
      <protection locked="0"/>
    </xf>
    <xf numFmtId="0" fontId="27" fillId="0" borderId="3" xfId="22" applyFont="1" applyFill="1" applyBorder="1" applyAlignment="1" applyProtection="1">
      <alignment vertical="center" wrapText="1"/>
      <protection locked="0"/>
    </xf>
    <xf numFmtId="0" fontId="27" fillId="0" borderId="3" xfId="23" applyFont="1" applyFill="1" applyBorder="1" applyAlignment="1" applyProtection="1">
      <alignment horizontal="left" vertical="center" textRotation="90" wrapText="1"/>
      <protection locked="0"/>
    </xf>
    <xf numFmtId="49" fontId="3" fillId="10" borderId="5" xfId="22" applyNumberFormat="1" applyFont="1" applyFill="1" applyBorder="1" applyAlignment="1">
      <alignment horizontal="center" vertical="center" wrapText="1"/>
    </xf>
    <xf numFmtId="49" fontId="3" fillId="10" borderId="3" xfId="22" applyNumberFormat="1" applyFont="1" applyFill="1" applyBorder="1" applyAlignment="1">
      <alignment horizontal="center" vertical="center" wrapText="1"/>
    </xf>
    <xf numFmtId="49" fontId="3" fillId="10" borderId="12" xfId="22" applyNumberFormat="1" applyFont="1" applyFill="1" applyBorder="1" applyAlignment="1">
      <alignment vertical="center" wrapText="1"/>
    </xf>
    <xf numFmtId="49" fontId="3" fillId="10" borderId="4" xfId="22" applyNumberFormat="1" applyFont="1" applyFill="1" applyBorder="1" applyAlignment="1">
      <alignment vertical="center" wrapText="1"/>
    </xf>
    <xf numFmtId="0" fontId="8" fillId="10" borderId="3" xfId="22" applyFont="1" applyFill="1" applyBorder="1" applyAlignment="1">
      <alignment horizontal="center" vertical="center" wrapText="1"/>
    </xf>
    <xf numFmtId="0" fontId="3" fillId="10" borderId="3" xfId="22" applyFont="1" applyFill="1" applyBorder="1" applyAlignment="1">
      <alignment horizontal="center" vertical="center" wrapText="1"/>
    </xf>
    <xf numFmtId="0" fontId="28" fillId="10" borderId="3" xfId="22" applyFont="1" applyFill="1" applyBorder="1" applyAlignment="1" applyProtection="1">
      <alignment horizontal="center" vertical="center" wrapText="1"/>
      <protection locked="0"/>
    </xf>
    <xf numFmtId="0" fontId="28" fillId="10" borderId="3" xfId="22" applyFont="1" applyFill="1" applyBorder="1" applyAlignment="1" applyProtection="1">
      <alignment horizontal="center" vertical="center" textRotation="90" wrapText="1"/>
      <protection locked="0"/>
    </xf>
    <xf numFmtId="0" fontId="4" fillId="4" borderId="3" xfId="23" applyFont="1" applyFill="1" applyBorder="1" applyAlignment="1" applyProtection="1">
      <alignment horizontal="center" vertical="center" textRotation="90" wrapText="1"/>
      <protection locked="0"/>
    </xf>
    <xf numFmtId="0" fontId="104" fillId="3" borderId="0" xfId="22" applyFont="1" applyFill="1"/>
    <xf numFmtId="0" fontId="104" fillId="0" borderId="17" xfId="22" applyFont="1" applyBorder="1" applyAlignment="1"/>
    <xf numFmtId="0" fontId="104" fillId="0" borderId="0" xfId="22" applyFont="1"/>
    <xf numFmtId="0" fontId="106" fillId="3" borderId="0" xfId="22" applyFont="1" applyFill="1" applyAlignment="1">
      <alignment horizontal="center" vertical="center"/>
    </xf>
    <xf numFmtId="0" fontId="104" fillId="0" borderId="0" xfId="22" applyFont="1" applyBorder="1" applyAlignment="1"/>
    <xf numFmtId="0" fontId="104" fillId="0" borderId="22" xfId="22" applyFont="1" applyBorder="1" applyAlignment="1"/>
    <xf numFmtId="0" fontId="107" fillId="3" borderId="0" xfId="22" applyFont="1" applyFill="1" applyBorder="1" applyAlignment="1">
      <alignment horizontal="center" vertical="center" wrapText="1"/>
    </xf>
    <xf numFmtId="0" fontId="106" fillId="3" borderId="0" xfId="22" applyFont="1" applyFill="1" applyBorder="1" applyAlignment="1">
      <alignment horizontal="center" vertical="center" wrapText="1"/>
    </xf>
    <xf numFmtId="0" fontId="106" fillId="3" borderId="0" xfId="22" applyFont="1" applyFill="1" applyBorder="1" applyAlignment="1">
      <alignment horizontal="left" vertical="center" wrapText="1"/>
    </xf>
    <xf numFmtId="0" fontId="107" fillId="0" borderId="0" xfId="22" applyFont="1"/>
    <xf numFmtId="0" fontId="104" fillId="0" borderId="0" xfId="22" applyFont="1" applyFill="1" applyBorder="1" applyAlignment="1">
      <alignment horizontal="left"/>
    </xf>
    <xf numFmtId="0" fontId="106" fillId="16" borderId="5" xfId="22" applyFont="1" applyFill="1" applyBorder="1" applyAlignment="1">
      <alignment horizontal="center" vertical="center" wrapText="1"/>
    </xf>
    <xf numFmtId="0" fontId="106" fillId="43" borderId="13" xfId="22" applyFont="1" applyFill="1" applyBorder="1" applyAlignment="1">
      <alignment horizontal="center" vertical="center" wrapText="1"/>
    </xf>
    <xf numFmtId="0" fontId="106" fillId="47" borderId="8" xfId="22" applyFont="1" applyFill="1" applyBorder="1" applyAlignment="1">
      <alignment horizontal="center" vertical="center" wrapText="1"/>
    </xf>
    <xf numFmtId="0" fontId="106" fillId="18" borderId="13" xfId="22" applyFont="1" applyFill="1" applyBorder="1" applyAlignment="1">
      <alignment horizontal="left" indent="6"/>
    </xf>
    <xf numFmtId="0" fontId="106" fillId="18" borderId="13" xfId="22" applyFont="1" applyFill="1" applyBorder="1" applyAlignment="1"/>
    <xf numFmtId="0" fontId="106" fillId="44" borderId="13" xfId="22" applyFont="1" applyFill="1" applyBorder="1" applyAlignment="1"/>
    <xf numFmtId="49" fontId="106" fillId="16" borderId="5" xfId="22" applyNumberFormat="1" applyFont="1" applyFill="1" applyBorder="1" applyAlignment="1">
      <alignment horizontal="center" vertical="center" wrapText="1"/>
    </xf>
    <xf numFmtId="49" fontId="106" fillId="16" borderId="3" xfId="22" applyNumberFormat="1" applyFont="1" applyFill="1" applyBorder="1" applyAlignment="1">
      <alignment horizontal="center" vertical="center" wrapText="1"/>
    </xf>
    <xf numFmtId="49" fontId="106" fillId="0" borderId="12" xfId="22" applyNumberFormat="1" applyFont="1" applyFill="1" applyBorder="1" applyAlignment="1">
      <alignment vertical="center" wrapText="1"/>
    </xf>
    <xf numFmtId="49" fontId="106" fillId="0" borderId="4" xfId="22" applyNumberFormat="1" applyFont="1" applyFill="1" applyBorder="1" applyAlignment="1">
      <alignment vertical="center" wrapText="1"/>
    </xf>
    <xf numFmtId="0" fontId="106" fillId="0" borderId="3" xfId="22" applyFont="1" applyFill="1" applyBorder="1" applyAlignment="1">
      <alignment horizontal="center" vertical="center" wrapText="1"/>
    </xf>
    <xf numFmtId="0" fontId="106" fillId="11" borderId="3" xfId="22" applyFont="1" applyFill="1" applyBorder="1" applyAlignment="1">
      <alignment horizontal="center" vertical="center" wrapText="1"/>
    </xf>
    <xf numFmtId="0" fontId="106" fillId="16" borderId="3" xfId="22" applyFont="1" applyFill="1" applyBorder="1" applyAlignment="1">
      <alignment horizontal="center" vertical="center" wrapText="1"/>
    </xf>
    <xf numFmtId="0" fontId="109" fillId="11" borderId="3" xfId="22" applyFont="1" applyFill="1" applyBorder="1" applyAlignment="1" applyProtection="1">
      <alignment horizontal="center" vertical="center" wrapText="1"/>
      <protection locked="0"/>
    </xf>
    <xf numFmtId="0" fontId="109" fillId="11" borderId="3" xfId="22" applyFont="1" applyFill="1" applyBorder="1" applyAlignment="1" applyProtection="1">
      <alignment horizontal="center" vertical="center" textRotation="90" wrapText="1"/>
      <protection locked="0"/>
    </xf>
    <xf numFmtId="2" fontId="110" fillId="16" borderId="1" xfId="23" applyNumberFormat="1" applyFont="1" applyFill="1" applyBorder="1" applyAlignment="1">
      <alignment horizontal="center" vertical="center" wrapText="1"/>
    </xf>
    <xf numFmtId="0" fontId="110" fillId="11" borderId="3" xfId="23" applyFont="1" applyFill="1" applyBorder="1" applyAlignment="1" applyProtection="1">
      <alignment horizontal="center" vertical="center" wrapText="1"/>
    </xf>
    <xf numFmtId="0" fontId="111" fillId="11" borderId="1" xfId="23" applyFont="1" applyFill="1" applyBorder="1" applyAlignment="1" applyProtection="1">
      <alignment horizontal="center" vertical="center" wrapText="1"/>
    </xf>
    <xf numFmtId="1" fontId="110" fillId="11" borderId="3" xfId="23" applyNumberFormat="1" applyFont="1" applyFill="1" applyBorder="1" applyAlignment="1">
      <alignment horizontal="center" vertical="center" wrapText="1"/>
    </xf>
    <xf numFmtId="0" fontId="110" fillId="0" borderId="3" xfId="23" applyFont="1" applyFill="1" applyBorder="1" applyAlignment="1" applyProtection="1">
      <alignment horizontal="center" vertical="center" wrapText="1"/>
      <protection locked="0"/>
    </xf>
    <xf numFmtId="2" fontId="110" fillId="3" borderId="3" xfId="23" applyNumberFormat="1" applyFont="1" applyFill="1" applyBorder="1" applyAlignment="1" applyProtection="1">
      <alignment horizontal="center" vertical="center" textRotation="90" wrapText="1"/>
      <protection locked="0"/>
    </xf>
    <xf numFmtId="0" fontId="110" fillId="0" borderId="3" xfId="23" applyFont="1" applyFill="1" applyBorder="1" applyAlignment="1" applyProtection="1">
      <alignment horizontal="center" vertical="center" textRotation="90" wrapText="1"/>
      <protection locked="0"/>
    </xf>
    <xf numFmtId="2" fontId="110" fillId="0" borderId="3" xfId="23" applyNumberFormat="1" applyFont="1" applyFill="1" applyBorder="1" applyAlignment="1" applyProtection="1">
      <alignment horizontal="center" vertical="center" textRotation="90" wrapText="1"/>
      <protection locked="0"/>
    </xf>
    <xf numFmtId="0" fontId="110" fillId="10" borderId="3" xfId="23" applyFont="1" applyFill="1" applyBorder="1" applyAlignment="1" applyProtection="1">
      <alignment horizontal="center" vertical="center" textRotation="90" wrapText="1"/>
    </xf>
    <xf numFmtId="0" fontId="110" fillId="3" borderId="3" xfId="23" applyFont="1" applyFill="1" applyBorder="1" applyAlignment="1" applyProtection="1">
      <alignment horizontal="center" vertical="center" textRotation="90" wrapText="1"/>
      <protection locked="0"/>
    </xf>
    <xf numFmtId="0" fontId="110" fillId="0" borderId="3" xfId="23" applyFont="1" applyFill="1" applyBorder="1" applyAlignment="1" applyProtection="1">
      <alignment horizontal="left" vertical="center" wrapText="1"/>
      <protection locked="0"/>
    </xf>
    <xf numFmtId="0" fontId="111" fillId="10" borderId="3" xfId="23" applyFont="1" applyFill="1" applyBorder="1" applyAlignment="1" applyProtection="1">
      <alignment horizontal="center" vertical="center" textRotation="90" wrapText="1"/>
    </xf>
    <xf numFmtId="0" fontId="110" fillId="0" borderId="3" xfId="22" applyFont="1" applyFill="1" applyBorder="1" applyAlignment="1" applyProtection="1">
      <alignment horizontal="justify" vertical="center" wrapText="1"/>
      <protection locked="0"/>
    </xf>
    <xf numFmtId="0" fontId="110" fillId="0" borderId="3" xfId="22" applyFont="1" applyFill="1" applyBorder="1" applyAlignment="1" applyProtection="1">
      <alignment horizontal="center" vertical="center" wrapText="1"/>
      <protection locked="0"/>
    </xf>
    <xf numFmtId="9" fontId="110" fillId="0" borderId="3" xfId="22" applyNumberFormat="1" applyFont="1" applyFill="1" applyBorder="1" applyAlignment="1" applyProtection="1">
      <alignment horizontal="center" vertical="center" wrapText="1"/>
      <protection locked="0"/>
    </xf>
    <xf numFmtId="0" fontId="110" fillId="0" borderId="3" xfId="22" applyFont="1" applyFill="1" applyBorder="1" applyAlignment="1" applyProtection="1">
      <alignment vertical="center" wrapText="1"/>
      <protection locked="0"/>
    </xf>
    <xf numFmtId="0" fontId="110" fillId="0" borderId="3" xfId="22" applyFont="1" applyFill="1" applyBorder="1" applyAlignment="1">
      <alignment horizontal="center" vertical="center"/>
    </xf>
    <xf numFmtId="0" fontId="110" fillId="3" borderId="3" xfId="23" applyFont="1" applyFill="1" applyBorder="1" applyAlignment="1" applyProtection="1">
      <alignment horizontal="center" vertical="center" wrapText="1"/>
      <protection locked="0"/>
    </xf>
    <xf numFmtId="0" fontId="110" fillId="3" borderId="3" xfId="22" applyFont="1" applyFill="1" applyBorder="1" applyAlignment="1" applyProtection="1">
      <alignment horizontal="justify" vertical="center" wrapText="1"/>
      <protection locked="0"/>
    </xf>
    <xf numFmtId="0" fontId="110" fillId="3" borderId="3" xfId="22" applyFont="1" applyFill="1" applyBorder="1" applyAlignment="1" applyProtection="1">
      <alignment horizontal="center" vertical="center" wrapText="1"/>
      <protection locked="0"/>
    </xf>
    <xf numFmtId="2" fontId="110" fillId="0" borderId="3" xfId="22" applyNumberFormat="1" applyFont="1" applyFill="1" applyBorder="1" applyAlignment="1" applyProtection="1">
      <alignment horizontal="center" vertical="center" textRotation="90" wrapText="1"/>
      <protection locked="0"/>
    </xf>
    <xf numFmtId="0" fontId="110" fillId="0" borderId="3" xfId="22" applyFont="1" applyFill="1" applyBorder="1" applyAlignment="1" applyProtection="1">
      <alignment horizontal="center" vertical="center" textRotation="90" wrapText="1"/>
      <protection locked="0"/>
    </xf>
    <xf numFmtId="2" fontId="110" fillId="16" borderId="1" xfId="22" applyNumberFormat="1" applyFont="1" applyFill="1" applyBorder="1" applyAlignment="1">
      <alignment horizontal="center" vertical="center" wrapText="1"/>
    </xf>
    <xf numFmtId="0" fontId="110" fillId="11" borderId="3" xfId="22" applyFont="1" applyFill="1" applyBorder="1" applyAlignment="1" applyProtection="1">
      <alignment horizontal="center" vertical="center" wrapText="1"/>
    </xf>
    <xf numFmtId="0" fontId="110" fillId="10" borderId="3" xfId="22" applyFont="1" applyFill="1" applyBorder="1" applyAlignment="1" applyProtection="1">
      <alignment horizontal="center" vertical="center" textRotation="90" wrapText="1"/>
    </xf>
    <xf numFmtId="0" fontId="111" fillId="11" borderId="1" xfId="22" applyFont="1" applyFill="1" applyBorder="1" applyAlignment="1" applyProtection="1">
      <alignment horizontal="center" vertical="center" wrapText="1"/>
    </xf>
    <xf numFmtId="0" fontId="111" fillId="10" borderId="3" xfId="22" applyFont="1" applyFill="1" applyBorder="1" applyAlignment="1" applyProtection="1">
      <alignment horizontal="center" vertical="center" textRotation="90" wrapText="1"/>
    </xf>
    <xf numFmtId="1" fontId="110" fillId="11" borderId="3" xfId="22" applyNumberFormat="1" applyFont="1" applyFill="1" applyBorder="1" applyAlignment="1">
      <alignment horizontal="center" vertical="center" wrapText="1"/>
    </xf>
    <xf numFmtId="15" fontId="110" fillId="0" borderId="3" xfId="22" applyNumberFormat="1" applyFont="1" applyFill="1" applyBorder="1" applyAlignment="1" applyProtection="1">
      <alignment horizontal="center" vertical="center"/>
      <protection locked="0"/>
    </xf>
    <xf numFmtId="0" fontId="110" fillId="0" borderId="0" xfId="22" applyFont="1" applyFill="1"/>
    <xf numFmtId="2" fontId="110" fillId="46" borderId="3" xfId="22" applyNumberFormat="1" applyFont="1" applyFill="1" applyBorder="1" applyAlignment="1" applyProtection="1">
      <alignment horizontal="center" vertical="center" textRotation="90" wrapText="1"/>
      <protection locked="0"/>
    </xf>
    <xf numFmtId="0" fontId="110" fillId="3" borderId="0" xfId="22" applyFont="1" applyFill="1" applyAlignment="1">
      <alignment horizontal="center" vertical="center" wrapText="1"/>
    </xf>
    <xf numFmtId="0" fontId="112" fillId="3" borderId="0" xfId="22" applyFont="1" applyFill="1" applyAlignment="1">
      <alignment horizontal="center" vertical="center" wrapText="1"/>
    </xf>
    <xf numFmtId="0" fontId="110" fillId="3" borderId="0" xfId="22" applyFont="1" applyFill="1" applyAlignment="1">
      <alignment horizontal="left" vertical="center" wrapText="1"/>
    </xf>
    <xf numFmtId="0" fontId="113" fillId="3" borderId="0" xfId="22" applyFont="1" applyFill="1" applyBorder="1" applyAlignment="1"/>
    <xf numFmtId="0" fontId="110" fillId="3" borderId="0" xfId="22" applyFont="1" applyFill="1"/>
    <xf numFmtId="0" fontId="113" fillId="0" borderId="0" xfId="22" applyFont="1" applyBorder="1" applyAlignment="1"/>
    <xf numFmtId="0" fontId="110" fillId="0" borderId="0" xfId="22" applyFont="1" applyAlignment="1">
      <alignment horizontal="center" vertical="center" wrapText="1"/>
    </xf>
    <xf numFmtId="0" fontId="110" fillId="0" borderId="0" xfId="22" applyFont="1" applyAlignment="1">
      <alignment horizontal="left" vertical="center" wrapText="1"/>
    </xf>
    <xf numFmtId="0" fontId="110" fillId="0" borderId="0" xfId="22" applyFont="1"/>
    <xf numFmtId="0" fontId="112" fillId="3" borderId="0" xfId="22" applyFont="1" applyFill="1" applyBorder="1" applyAlignment="1">
      <alignment vertical="center"/>
    </xf>
    <xf numFmtId="0" fontId="112" fillId="4" borderId="3" xfId="22" applyFont="1" applyFill="1" applyBorder="1" applyAlignment="1">
      <alignment vertical="center"/>
    </xf>
    <xf numFmtId="0" fontId="110" fillId="3" borderId="0" xfId="22" applyFont="1" applyFill="1" applyBorder="1" applyAlignment="1">
      <alignment vertical="center"/>
    </xf>
    <xf numFmtId="0" fontId="110" fillId="0" borderId="3" xfId="22" applyFont="1" applyFill="1" applyBorder="1" applyAlignment="1" applyProtection="1">
      <alignment vertical="center"/>
      <protection locked="0"/>
    </xf>
    <xf numFmtId="0" fontId="2" fillId="3" borderId="0" xfId="22" applyFont="1" applyFill="1" applyAlignment="1">
      <alignment horizontal="center" vertical="center"/>
    </xf>
    <xf numFmtId="0" fontId="27" fillId="10" borderId="1" xfId="9" applyFont="1" applyFill="1" applyBorder="1" applyAlignment="1" applyProtection="1">
      <alignment horizontal="center" vertical="center" wrapText="1"/>
    </xf>
    <xf numFmtId="1" fontId="4" fillId="10" borderId="3" xfId="9" applyNumberFormat="1" applyFont="1" applyFill="1" applyBorder="1" applyAlignment="1">
      <alignment horizontal="center" vertical="center" wrapText="1"/>
    </xf>
    <xf numFmtId="0" fontId="3" fillId="0" borderId="3" xfId="22" applyFont="1" applyFill="1" applyBorder="1" applyAlignment="1">
      <alignment horizontal="center" vertical="center" wrapText="1"/>
    </xf>
    <xf numFmtId="0" fontId="3" fillId="43" borderId="13" xfId="22" applyFont="1" applyFill="1" applyBorder="1" applyAlignment="1">
      <alignment horizontal="center" vertical="center" wrapText="1"/>
    </xf>
    <xf numFmtId="0" fontId="4" fillId="0" borderId="3" xfId="23" applyFont="1" applyFill="1" applyBorder="1" applyAlignment="1" applyProtection="1">
      <alignment horizontal="center" vertical="center" wrapText="1"/>
      <protection locked="0"/>
    </xf>
    <xf numFmtId="0" fontId="4" fillId="0" borderId="1" xfId="23" applyFont="1" applyFill="1" applyBorder="1" applyAlignment="1" applyProtection="1">
      <alignment horizontal="center" vertical="center" wrapText="1"/>
      <protection locked="0"/>
    </xf>
    <xf numFmtId="2" fontId="4" fillId="0" borderId="1" xfId="23" applyNumberFormat="1" applyFont="1" applyFill="1" applyBorder="1" applyAlignment="1" applyProtection="1">
      <alignment horizontal="center" vertical="center" textRotation="90" wrapText="1"/>
      <protection locked="0"/>
    </xf>
    <xf numFmtId="0" fontId="4" fillId="0" borderId="1" xfId="23" applyFont="1" applyFill="1" applyBorder="1" applyAlignment="1" applyProtection="1">
      <alignment horizontal="center" vertical="center" textRotation="90" wrapText="1"/>
      <protection locked="0"/>
    </xf>
    <xf numFmtId="0" fontId="4" fillId="0" borderId="1" xfId="23" applyFont="1" applyFill="1" applyBorder="1" applyAlignment="1" applyProtection="1">
      <alignment horizontal="center" vertical="center" textRotation="90" wrapText="1"/>
    </xf>
    <xf numFmtId="0" fontId="4" fillId="0" borderId="3" xfId="23" applyFont="1" applyFill="1" applyBorder="1" applyAlignment="1" applyProtection="1">
      <alignment horizontal="center" vertical="center" textRotation="90" wrapText="1"/>
      <protection locked="0"/>
    </xf>
    <xf numFmtId="2" fontId="4" fillId="0" borderId="3" xfId="23" applyNumberFormat="1" applyFont="1" applyFill="1" applyBorder="1" applyAlignment="1" applyProtection="1">
      <alignment horizontal="center" vertical="center" textRotation="90" wrapText="1"/>
      <protection locked="0"/>
    </xf>
    <xf numFmtId="0" fontId="4" fillId="0" borderId="3" xfId="22" applyFont="1" applyFill="1" applyBorder="1" applyAlignment="1" applyProtection="1">
      <alignment horizontal="center" vertical="center" wrapText="1"/>
      <protection locked="0"/>
    </xf>
    <xf numFmtId="0" fontId="4" fillId="0" borderId="3" xfId="23" applyFont="1" applyFill="1" applyBorder="1" applyAlignment="1" applyProtection="1">
      <alignment horizontal="left" vertical="center" wrapText="1"/>
      <protection locked="0"/>
    </xf>
    <xf numFmtId="0" fontId="27" fillId="0" borderId="3" xfId="23" applyFont="1" applyFill="1" applyBorder="1" applyAlignment="1" applyProtection="1">
      <alignment horizontal="center" vertical="center" textRotation="90" wrapText="1"/>
    </xf>
    <xf numFmtId="0" fontId="4" fillId="0" borderId="3" xfId="23" applyFont="1" applyFill="1" applyBorder="1" applyAlignment="1" applyProtection="1">
      <alignment horizontal="center" vertical="center" textRotation="90" wrapText="1"/>
    </xf>
    <xf numFmtId="9" fontId="4" fillId="0" borderId="3" xfId="22" applyNumberFormat="1" applyFont="1" applyFill="1" applyBorder="1" applyAlignment="1" applyProtection="1">
      <alignment horizontal="center" vertical="center" wrapText="1"/>
      <protection locked="0"/>
    </xf>
    <xf numFmtId="0" fontId="4" fillId="3" borderId="13" xfId="22" applyFont="1" applyFill="1" applyBorder="1" applyAlignment="1">
      <alignment horizontal="center" vertical="center"/>
    </xf>
    <xf numFmtId="0" fontId="3" fillId="4" borderId="3" xfId="22" applyFont="1" applyFill="1" applyBorder="1" applyAlignment="1">
      <alignment horizontal="center" vertical="center"/>
    </xf>
    <xf numFmtId="0" fontId="4" fillId="3" borderId="0" xfId="22" applyFont="1" applyFill="1" applyBorder="1" applyAlignment="1">
      <alignment horizontal="center" vertical="center"/>
    </xf>
    <xf numFmtId="0" fontId="4" fillId="0" borderId="3" xfId="3" applyFont="1" applyFill="1" applyBorder="1" applyAlignment="1" applyProtection="1">
      <alignment horizontal="center" vertical="center" wrapText="1"/>
      <protection locked="0"/>
    </xf>
    <xf numFmtId="0" fontId="2" fillId="0" borderId="3" xfId="14" applyFont="1" applyFill="1" applyBorder="1" applyAlignment="1" applyProtection="1">
      <alignment horizontal="center" vertical="center" wrapText="1"/>
      <protection locked="0"/>
    </xf>
    <xf numFmtId="0" fontId="4" fillId="0" borderId="3" xfId="14" applyFont="1" applyFill="1" applyBorder="1" applyAlignment="1" applyProtection="1">
      <alignment horizontal="center" vertical="center" textRotation="90" wrapText="1"/>
      <protection locked="0"/>
    </xf>
    <xf numFmtId="1" fontId="4" fillId="0" borderId="3" xfId="23" applyNumberFormat="1" applyFont="1" applyFill="1" applyBorder="1" applyAlignment="1">
      <alignment horizontal="center" vertical="center" wrapText="1"/>
    </xf>
    <xf numFmtId="0" fontId="9" fillId="0" borderId="3" xfId="23" applyFont="1" applyFill="1" applyBorder="1" applyAlignment="1" applyProtection="1">
      <alignment horizontal="center" vertical="center" textRotation="90" wrapText="1"/>
    </xf>
    <xf numFmtId="0" fontId="2" fillId="0" borderId="3" xfId="3" applyFont="1" applyFill="1" applyBorder="1" applyAlignment="1" applyProtection="1">
      <alignment horizontal="center" vertical="center" wrapText="1"/>
      <protection locked="0"/>
    </xf>
    <xf numFmtId="0" fontId="4" fillId="0" borderId="3" xfId="23" applyFont="1" applyFill="1" applyBorder="1" applyAlignment="1">
      <alignment horizontal="center" vertical="center" wrapText="1"/>
    </xf>
    <xf numFmtId="2" fontId="4" fillId="0" borderId="3" xfId="23" applyNumberFormat="1" applyFont="1" applyFill="1" applyBorder="1" applyAlignment="1">
      <alignment horizontal="center" vertical="center" wrapText="1"/>
    </xf>
    <xf numFmtId="0" fontId="4" fillId="0" borderId="3" xfId="23" applyFont="1" applyFill="1" applyBorder="1" applyAlignment="1" applyProtection="1">
      <alignment horizontal="center" vertical="center" wrapText="1"/>
    </xf>
    <xf numFmtId="0" fontId="4" fillId="0" borderId="3" xfId="3" applyFont="1" applyFill="1" applyBorder="1" applyAlignment="1" applyProtection="1">
      <alignment horizontal="left" vertical="center" wrapText="1"/>
      <protection locked="0"/>
    </xf>
    <xf numFmtId="0" fontId="2" fillId="0" borderId="3" xfId="23" applyFont="1" applyFill="1" applyBorder="1" applyAlignment="1">
      <alignment horizontal="center" vertical="center" wrapText="1"/>
    </xf>
    <xf numFmtId="0" fontId="4" fillId="0" borderId="3" xfId="23" applyFont="1" applyFill="1" applyBorder="1" applyAlignment="1" applyProtection="1">
      <alignment vertical="center" wrapText="1"/>
      <protection locked="0"/>
    </xf>
    <xf numFmtId="0" fontId="4" fillId="3" borderId="3" xfId="23" applyFont="1" applyFill="1" applyBorder="1" applyAlignment="1" applyProtection="1">
      <alignment horizontal="center" vertical="center" wrapText="1"/>
      <protection locked="0"/>
    </xf>
    <xf numFmtId="2" fontId="4" fillId="3" borderId="3" xfId="23" applyNumberFormat="1" applyFont="1" applyFill="1" applyBorder="1" applyAlignment="1" applyProtection="1">
      <alignment horizontal="center" vertical="center" textRotation="90" wrapText="1"/>
      <protection locked="0"/>
    </xf>
    <xf numFmtId="0" fontId="4" fillId="3" borderId="3" xfId="23" applyFont="1" applyFill="1" applyBorder="1" applyAlignment="1" applyProtection="1">
      <alignment horizontal="center" vertical="center" textRotation="90" wrapText="1"/>
      <protection locked="0"/>
    </xf>
    <xf numFmtId="0" fontId="4" fillId="3" borderId="3" xfId="22" applyFont="1" applyFill="1" applyBorder="1" applyAlignment="1" applyProtection="1">
      <alignment horizontal="center" vertical="center" wrapText="1"/>
      <protection locked="0"/>
    </xf>
    <xf numFmtId="0" fontId="4" fillId="10" borderId="3" xfId="23" applyFont="1" applyFill="1" applyBorder="1" applyAlignment="1" applyProtection="1">
      <alignment horizontal="center" vertical="center" textRotation="90" wrapText="1"/>
    </xf>
    <xf numFmtId="0" fontId="4" fillId="0" borderId="3" xfId="9" applyFont="1" applyFill="1" applyBorder="1" applyAlignment="1" applyProtection="1">
      <alignment horizontal="center" vertical="center" wrapText="1"/>
      <protection locked="0"/>
    </xf>
    <xf numFmtId="0" fontId="4" fillId="0" borderId="3" xfId="9" applyFont="1" applyFill="1" applyBorder="1" applyAlignment="1">
      <alignment horizontal="justify" vertical="center" wrapText="1"/>
    </xf>
    <xf numFmtId="0" fontId="4" fillId="0" borderId="3" xfId="9" applyFont="1" applyFill="1" applyBorder="1" applyAlignment="1" applyProtection="1">
      <alignment horizontal="center" vertical="center" textRotation="90" wrapText="1"/>
      <protection locked="0"/>
    </xf>
    <xf numFmtId="2" fontId="4" fillId="0" borderId="3" xfId="9" applyNumberFormat="1" applyFont="1" applyFill="1" applyBorder="1" applyAlignment="1" applyProtection="1">
      <alignment horizontal="center" vertical="center" textRotation="90" wrapText="1"/>
      <protection locked="0"/>
    </xf>
    <xf numFmtId="0" fontId="4" fillId="0" borderId="3" xfId="9" applyFont="1" applyFill="1" applyBorder="1" applyAlignment="1" applyProtection="1">
      <alignment horizontal="center" vertical="center" textRotation="90" wrapText="1"/>
    </xf>
    <xf numFmtId="0" fontId="4" fillId="3" borderId="3" xfId="23" applyFont="1" applyFill="1" applyBorder="1" applyAlignment="1" applyProtection="1">
      <alignment horizontal="left" vertical="center" wrapText="1"/>
      <protection locked="0"/>
    </xf>
    <xf numFmtId="0" fontId="4" fillId="11" borderId="3" xfId="23" applyFont="1" applyFill="1" applyBorder="1" applyAlignment="1" applyProtection="1">
      <alignment horizontal="center" vertical="center" wrapText="1"/>
    </xf>
    <xf numFmtId="0" fontId="27" fillId="10" borderId="3" xfId="23" applyFont="1" applyFill="1" applyBorder="1" applyAlignment="1" applyProtection="1">
      <alignment horizontal="center" vertical="center" textRotation="90" wrapText="1"/>
    </xf>
    <xf numFmtId="1" fontId="4" fillId="11" borderId="3" xfId="23" applyNumberFormat="1" applyFont="1" applyFill="1" applyBorder="1" applyAlignment="1">
      <alignment horizontal="center" vertical="center" wrapText="1"/>
    </xf>
    <xf numFmtId="0" fontId="27" fillId="11" borderId="3" xfId="23" applyFont="1" applyFill="1" applyBorder="1" applyAlignment="1" applyProtection="1">
      <alignment horizontal="center" vertical="center" wrapText="1"/>
    </xf>
    <xf numFmtId="0" fontId="4" fillId="0" borderId="3" xfId="9" applyFont="1" applyFill="1" applyBorder="1" applyAlignment="1">
      <alignment horizontal="center" vertical="center" wrapText="1"/>
    </xf>
    <xf numFmtId="0" fontId="27" fillId="0" borderId="7" xfId="0" applyFont="1" applyBorder="1" applyAlignment="1" applyProtection="1">
      <alignment horizontal="center" vertical="center" wrapText="1"/>
      <protection locked="0"/>
    </xf>
    <xf numFmtId="0" fontId="27" fillId="0" borderId="8" xfId="0" applyFont="1" applyBorder="1" applyAlignment="1" applyProtection="1">
      <alignment horizontal="center" vertical="center" wrapText="1"/>
      <protection locked="0"/>
    </xf>
    <xf numFmtId="0" fontId="27" fillId="0" borderId="5" xfId="0" applyFont="1" applyBorder="1" applyAlignment="1" applyProtection="1">
      <alignment horizontal="center" vertical="center" wrapText="1"/>
      <protection locked="0"/>
    </xf>
    <xf numFmtId="0" fontId="28" fillId="8" borderId="7" xfId="0" applyFont="1" applyFill="1" applyBorder="1" applyAlignment="1" applyProtection="1">
      <alignment horizontal="center" vertical="center" wrapText="1"/>
    </xf>
    <xf numFmtId="0" fontId="28" fillId="0" borderId="7" xfId="0" applyFont="1" applyBorder="1" applyAlignment="1" applyProtection="1">
      <alignment horizontal="center" vertical="center" wrapText="1"/>
      <protection locked="0"/>
    </xf>
    <xf numFmtId="0" fontId="28" fillId="0" borderId="8" xfId="0" applyFont="1" applyBorder="1" applyAlignment="1" applyProtection="1">
      <alignment horizontal="center" vertical="center" wrapText="1"/>
      <protection locked="0"/>
    </xf>
    <xf numFmtId="0" fontId="28" fillId="0" borderId="5" xfId="0" applyFont="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0" fontId="4" fillId="3" borderId="7"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wrapText="1"/>
      <protection locked="0"/>
    </xf>
    <xf numFmtId="0" fontId="4" fillId="3" borderId="5"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justify" vertical="center" wrapText="1"/>
      <protection locked="0"/>
    </xf>
    <xf numFmtId="0" fontId="3" fillId="3" borderId="0" xfId="0" applyFont="1" applyFill="1" applyBorder="1" applyAlignment="1" applyProtection="1">
      <alignment horizontal="center" vertical="center" wrapText="1"/>
    </xf>
    <xf numFmtId="0" fontId="4" fillId="0" borderId="3" xfId="0" applyFont="1" applyBorder="1" applyAlignment="1" applyProtection="1">
      <alignment horizontal="justify" vertical="center" wrapText="1"/>
      <protection locked="0"/>
    </xf>
    <xf numFmtId="0" fontId="27" fillId="0" borderId="3" xfId="0" applyFont="1" applyBorder="1" applyAlignment="1" applyProtection="1">
      <alignment horizontal="center" vertical="center" wrapText="1"/>
      <protection locked="0"/>
    </xf>
    <xf numFmtId="0" fontId="4" fillId="0" borderId="7" xfId="0" applyFont="1" applyBorder="1" applyAlignment="1" applyProtection="1">
      <alignment horizontal="left" vertical="center" wrapText="1"/>
      <protection locked="0"/>
    </xf>
    <xf numFmtId="0" fontId="27" fillId="0" borderId="7" xfId="0" applyFont="1" applyBorder="1" applyAlignment="1" applyProtection="1">
      <alignment horizontal="left" vertical="center" wrapText="1"/>
      <protection locked="0"/>
    </xf>
    <xf numFmtId="0" fontId="55" fillId="3" borderId="3" xfId="0" applyFont="1" applyFill="1" applyBorder="1" applyAlignment="1">
      <alignment horizontal="center" vertical="center" wrapText="1"/>
    </xf>
    <xf numFmtId="0" fontId="4" fillId="3" borderId="3" xfId="0" applyFont="1" applyFill="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27" fillId="3" borderId="7" xfId="0" applyFont="1" applyFill="1" applyBorder="1" applyAlignment="1" applyProtection="1">
      <alignment horizontal="left" vertical="center" wrapText="1"/>
      <protection locked="0"/>
    </xf>
    <xf numFmtId="0" fontId="4" fillId="3" borderId="7" xfId="0" applyFont="1" applyFill="1" applyBorder="1" applyAlignment="1" applyProtection="1">
      <alignment horizontal="justify" vertical="center" wrapText="1"/>
      <protection locked="0"/>
    </xf>
    <xf numFmtId="2" fontId="32" fillId="0" borderId="1" xfId="23" applyNumberFormat="1" applyFont="1" applyFill="1" applyBorder="1" applyAlignment="1">
      <alignment horizontal="center" vertical="center" wrapText="1"/>
    </xf>
    <xf numFmtId="0" fontId="32" fillId="0" borderId="3" xfId="23" applyFont="1" applyFill="1" applyBorder="1" applyAlignment="1" applyProtection="1">
      <alignment horizontal="center" vertical="center" wrapText="1"/>
    </xf>
    <xf numFmtId="2" fontId="32" fillId="0" borderId="1" xfId="23" applyNumberFormat="1" applyFont="1" applyFill="1" applyBorder="1" applyAlignment="1">
      <alignment horizontal="justify" vertical="center" wrapText="1"/>
    </xf>
    <xf numFmtId="0" fontId="32" fillId="0" borderId="1" xfId="9" applyFont="1" applyFill="1" applyBorder="1" applyAlignment="1" applyProtection="1">
      <alignment vertical="center" textRotation="90" wrapText="1"/>
    </xf>
    <xf numFmtId="0" fontId="32" fillId="0" borderId="1" xfId="23" applyFont="1" applyFill="1" applyBorder="1" applyAlignment="1" applyProtection="1">
      <alignment vertical="center" wrapText="1"/>
    </xf>
    <xf numFmtId="1" fontId="32" fillId="0" borderId="1" xfId="23" applyNumberFormat="1" applyFont="1" applyFill="1" applyBorder="1" applyAlignment="1">
      <alignment vertical="center" wrapText="1"/>
    </xf>
    <xf numFmtId="2" fontId="32" fillId="0" borderId="2" xfId="23" applyNumberFormat="1" applyFont="1" applyFill="1" applyBorder="1" applyAlignment="1">
      <alignment vertical="center" wrapText="1"/>
    </xf>
    <xf numFmtId="0" fontId="32" fillId="0" borderId="2" xfId="23" applyFont="1" applyFill="1" applyBorder="1" applyAlignment="1" applyProtection="1">
      <alignment vertical="center" wrapText="1"/>
    </xf>
    <xf numFmtId="1" fontId="32" fillId="0" borderId="2" xfId="23" applyNumberFormat="1" applyFont="1" applyFill="1" applyBorder="1" applyAlignment="1">
      <alignment vertical="center" wrapText="1"/>
    </xf>
    <xf numFmtId="2" fontId="4" fillId="0" borderId="1" xfId="23" applyNumberFormat="1" applyFont="1" applyFill="1" applyBorder="1" applyAlignment="1">
      <alignment horizontal="justify" vertical="center" wrapText="1"/>
    </xf>
    <xf numFmtId="0" fontId="4" fillId="0" borderId="1" xfId="9" applyFont="1" applyFill="1" applyBorder="1" applyAlignment="1" applyProtection="1">
      <alignment vertical="center" textRotation="90" wrapText="1"/>
    </xf>
    <xf numFmtId="2" fontId="4" fillId="0" borderId="9" xfId="23" applyNumberFormat="1" applyFont="1" applyFill="1" applyBorder="1" applyAlignment="1">
      <alignment vertical="center" wrapText="1"/>
    </xf>
    <xf numFmtId="0" fontId="4" fillId="0" borderId="9" xfId="23" applyFont="1" applyFill="1" applyBorder="1" applyAlignment="1" applyProtection="1">
      <alignment vertical="center" wrapText="1"/>
    </xf>
    <xf numFmtId="0" fontId="27" fillId="0" borderId="9" xfId="23" applyFont="1" applyFill="1" applyBorder="1" applyAlignment="1" applyProtection="1">
      <alignment vertical="center" wrapText="1"/>
    </xf>
    <xf numFmtId="1" fontId="4" fillId="0" borderId="9" xfId="23" applyNumberFormat="1" applyFont="1" applyFill="1" applyBorder="1" applyAlignment="1">
      <alignment vertical="center" wrapText="1"/>
    </xf>
    <xf numFmtId="2" fontId="4" fillId="0" borderId="2" xfId="23" applyNumberFormat="1" applyFont="1" applyFill="1" applyBorder="1" applyAlignment="1">
      <alignment vertical="center" wrapText="1"/>
    </xf>
    <xf numFmtId="0" fontId="4" fillId="0" borderId="2" xfId="23" applyFont="1" applyFill="1" applyBorder="1" applyAlignment="1" applyProtection="1">
      <alignment vertical="center" wrapText="1"/>
    </xf>
    <xf numFmtId="0" fontId="27" fillId="0" borderId="2" xfId="23" applyFont="1" applyFill="1" applyBorder="1" applyAlignment="1" applyProtection="1">
      <alignment vertical="center" wrapText="1"/>
    </xf>
    <xf numFmtId="1" fontId="4" fillId="0" borderId="2" xfId="23" applyNumberFormat="1" applyFont="1" applyFill="1" applyBorder="1" applyAlignment="1">
      <alignment vertical="center" wrapText="1"/>
    </xf>
    <xf numFmtId="0" fontId="32" fillId="0" borderId="3" xfId="23" applyFont="1" applyFill="1" applyBorder="1" applyAlignment="1" applyProtection="1">
      <alignment horizontal="center" vertical="center" wrapText="1"/>
      <protection locked="0"/>
    </xf>
    <xf numFmtId="2" fontId="32" fillId="0" borderId="3" xfId="23" applyNumberFormat="1" applyFont="1" applyFill="1" applyBorder="1" applyAlignment="1" applyProtection="1">
      <alignment horizontal="center" vertical="center" textRotation="90" wrapText="1"/>
      <protection locked="0"/>
    </xf>
    <xf numFmtId="0" fontId="32" fillId="0" borderId="3" xfId="23" applyFont="1" applyFill="1" applyBorder="1" applyAlignment="1" applyProtection="1">
      <alignment horizontal="center" vertical="center" textRotation="90" wrapText="1"/>
      <protection locked="0"/>
    </xf>
    <xf numFmtId="0" fontId="32" fillId="0" borderId="3" xfId="23" applyFont="1" applyFill="1" applyBorder="1" applyAlignment="1" applyProtection="1">
      <alignment horizontal="center" vertical="center" textRotation="90" wrapText="1"/>
    </xf>
    <xf numFmtId="0" fontId="32" fillId="0" borderId="3" xfId="23" applyFont="1" applyFill="1" applyBorder="1" applyAlignment="1" applyProtection="1">
      <alignment horizontal="justify" vertical="center" wrapText="1"/>
      <protection locked="0"/>
    </xf>
    <xf numFmtId="0" fontId="32" fillId="0" borderId="1" xfId="23" applyFont="1" applyFill="1" applyBorder="1" applyAlignment="1" applyProtection="1">
      <alignment vertical="center" wrapText="1"/>
      <protection locked="0"/>
    </xf>
    <xf numFmtId="0" fontId="32" fillId="0" borderId="1" xfId="23" applyFont="1" applyFill="1" applyBorder="1" applyAlignment="1" applyProtection="1">
      <alignment vertical="center" textRotation="90" wrapText="1"/>
      <protection locked="0"/>
    </xf>
    <xf numFmtId="0" fontId="32" fillId="0" borderId="1" xfId="23" applyFont="1" applyFill="1" applyBorder="1" applyAlignment="1" applyProtection="1">
      <alignment vertical="center" textRotation="90" wrapText="1"/>
    </xf>
    <xf numFmtId="0" fontId="32" fillId="0" borderId="3" xfId="22" applyFont="1" applyFill="1" applyBorder="1" applyAlignment="1" applyProtection="1">
      <alignment horizontal="justify" vertical="center" wrapText="1"/>
      <protection locked="0"/>
    </xf>
    <xf numFmtId="9" fontId="32" fillId="0" borderId="3" xfId="22" applyNumberFormat="1" applyFont="1" applyFill="1" applyBorder="1" applyAlignment="1" applyProtection="1">
      <alignment horizontal="center" vertical="center" wrapText="1"/>
      <protection locked="0"/>
    </xf>
    <xf numFmtId="0" fontId="32" fillId="0" borderId="3" xfId="22" applyFont="1" applyFill="1" applyBorder="1" applyAlignment="1" applyProtection="1">
      <alignment horizontal="center" vertical="center" wrapText="1"/>
      <protection locked="0"/>
    </xf>
    <xf numFmtId="15" fontId="116" fillId="0" borderId="3" xfId="22" applyNumberFormat="1" applyFont="1" applyFill="1" applyBorder="1" applyAlignment="1" applyProtection="1">
      <alignment horizontal="center" vertical="center"/>
      <protection locked="0"/>
    </xf>
    <xf numFmtId="0" fontId="4" fillId="0" borderId="1" xfId="9" applyFont="1" applyFill="1" applyBorder="1" applyAlignment="1">
      <alignment vertical="center" wrapText="1"/>
    </xf>
    <xf numFmtId="0" fontId="4" fillId="0" borderId="9" xfId="9" applyFont="1" applyFill="1" applyBorder="1" applyAlignment="1">
      <alignment vertical="center" wrapText="1"/>
    </xf>
    <xf numFmtId="0" fontId="4" fillId="0" borderId="2" xfId="9" applyFont="1" applyFill="1" applyBorder="1" applyAlignment="1">
      <alignment vertical="center" wrapText="1"/>
    </xf>
    <xf numFmtId="0" fontId="4" fillId="0" borderId="0" xfId="0" applyFont="1" applyFill="1"/>
    <xf numFmtId="0" fontId="3" fillId="0" borderId="0" xfId="0" applyFont="1" applyFill="1" applyBorder="1" applyAlignment="1">
      <alignment horizontal="left" indent="6"/>
    </xf>
    <xf numFmtId="0" fontId="3" fillId="0" borderId="3" xfId="0" applyFont="1" applyFill="1" applyBorder="1" applyAlignment="1">
      <alignment horizontal="left" indent="6"/>
    </xf>
    <xf numFmtId="169" fontId="4" fillId="0" borderId="3" xfId="29" applyNumberFormat="1" applyFont="1" applyFill="1" applyBorder="1" applyAlignment="1" applyProtection="1">
      <alignment horizontal="center" vertical="center" wrapText="1"/>
      <protection locked="0"/>
    </xf>
    <xf numFmtId="0" fontId="4" fillId="14" borderId="1" xfId="23" applyFont="1" applyFill="1" applyBorder="1" applyAlignment="1" applyProtection="1">
      <alignment horizontal="center" vertical="center" wrapText="1"/>
      <protection locked="0"/>
    </xf>
    <xf numFmtId="0" fontId="4" fillId="14" borderId="3" xfId="3" applyFont="1" applyFill="1" applyBorder="1" applyAlignment="1" applyProtection="1">
      <alignment horizontal="center" vertical="center" textRotation="90" wrapText="1"/>
      <protection locked="0"/>
    </xf>
    <xf numFmtId="0" fontId="4" fillId="14" borderId="3" xfId="23" applyFont="1" applyFill="1" applyBorder="1" applyAlignment="1" applyProtection="1">
      <alignment horizontal="center" vertical="center" textRotation="90" wrapText="1"/>
      <protection locked="0"/>
    </xf>
    <xf numFmtId="0" fontId="4" fillId="14" borderId="3" xfId="23" applyFont="1" applyFill="1" applyBorder="1" applyAlignment="1" applyProtection="1">
      <alignment horizontal="center" vertical="center" wrapText="1"/>
      <protection locked="0"/>
    </xf>
    <xf numFmtId="2" fontId="4" fillId="14" borderId="3" xfId="23" applyNumberFormat="1" applyFont="1" applyFill="1" applyBorder="1" applyAlignment="1" applyProtection="1">
      <alignment horizontal="center" vertical="center" textRotation="90" wrapText="1"/>
      <protection locked="0"/>
    </xf>
    <xf numFmtId="2" fontId="4" fillId="14" borderId="1" xfId="23" applyNumberFormat="1" applyFont="1" applyFill="1" applyBorder="1" applyAlignment="1">
      <alignment horizontal="center" vertical="center" wrapText="1"/>
    </xf>
    <xf numFmtId="0" fontId="4" fillId="14" borderId="3" xfId="23" applyFont="1" applyFill="1" applyBorder="1" applyAlignment="1" applyProtection="1">
      <alignment horizontal="center" vertical="center" wrapText="1"/>
    </xf>
    <xf numFmtId="0" fontId="4" fillId="14" borderId="3" xfId="23" applyFont="1" applyFill="1" applyBorder="1" applyAlignment="1" applyProtection="1">
      <alignment horizontal="center" vertical="center" textRotation="90" wrapText="1"/>
    </xf>
    <xf numFmtId="0" fontId="4" fillId="14" borderId="3" xfId="23" applyFont="1" applyFill="1" applyBorder="1" applyAlignment="1" applyProtection="1">
      <alignment vertical="center" wrapText="1"/>
      <protection locked="0"/>
    </xf>
    <xf numFmtId="0" fontId="27" fillId="14" borderId="1" xfId="23" applyFont="1" applyFill="1" applyBorder="1" applyAlignment="1" applyProtection="1">
      <alignment horizontal="center" vertical="center" wrapText="1"/>
    </xf>
    <xf numFmtId="0" fontId="27" fillId="14" borderId="3" xfId="23" applyFont="1" applyFill="1" applyBorder="1" applyAlignment="1" applyProtection="1">
      <alignment horizontal="center" vertical="center" textRotation="90" wrapText="1"/>
    </xf>
    <xf numFmtId="1" fontId="4" fillId="14" borderId="3" xfId="23" applyNumberFormat="1" applyFont="1" applyFill="1" applyBorder="1" applyAlignment="1">
      <alignment horizontal="center" vertical="center" wrapText="1"/>
    </xf>
    <xf numFmtId="0" fontId="4" fillId="14" borderId="3" xfId="22" applyFont="1" applyFill="1" applyBorder="1" applyAlignment="1" applyProtection="1">
      <alignment vertical="center" wrapText="1"/>
      <protection locked="0"/>
    </xf>
    <xf numFmtId="43" fontId="4" fillId="14" borderId="3" xfId="29" applyFont="1" applyFill="1" applyBorder="1" applyAlignment="1" applyProtection="1">
      <alignment horizontal="center" vertical="center" wrapText="1"/>
      <protection locked="0"/>
    </xf>
    <xf numFmtId="0" fontId="32" fillId="14" borderId="3" xfId="22" applyFont="1" applyFill="1" applyBorder="1" applyAlignment="1" applyProtection="1">
      <alignment horizontal="left" vertical="center" wrapText="1"/>
      <protection locked="0"/>
    </xf>
    <xf numFmtId="0" fontId="4" fillId="14" borderId="3" xfId="22" applyFont="1" applyFill="1" applyBorder="1" applyAlignment="1" applyProtection="1">
      <alignment horizontal="center" vertical="center" wrapText="1"/>
      <protection locked="0"/>
    </xf>
    <xf numFmtId="15" fontId="70" fillId="14" borderId="3" xfId="22" applyNumberFormat="1" applyFill="1" applyBorder="1" applyAlignment="1" applyProtection="1">
      <alignment horizontal="center" vertical="center"/>
      <protection locked="0"/>
    </xf>
    <xf numFmtId="0" fontId="70" fillId="14" borderId="0" xfId="22" applyFill="1"/>
    <xf numFmtId="0" fontId="4" fillId="46" borderId="3" xfId="23" applyFont="1" applyFill="1" applyBorder="1" applyAlignment="1" applyProtection="1">
      <alignment horizontal="center" vertical="center" wrapText="1"/>
      <protection locked="0"/>
    </xf>
    <xf numFmtId="0" fontId="4" fillId="46" borderId="3" xfId="9" applyFont="1" applyFill="1" applyBorder="1" applyAlignment="1" applyProtection="1">
      <alignment horizontal="center" vertical="center" textRotation="90" wrapText="1"/>
      <protection locked="0"/>
    </xf>
    <xf numFmtId="0" fontId="3" fillId="46" borderId="7" xfId="9" applyFont="1" applyFill="1" applyBorder="1" applyAlignment="1" applyProtection="1">
      <alignment horizontal="center" vertical="center" wrapText="1"/>
      <protection locked="0"/>
    </xf>
    <xf numFmtId="0" fontId="3" fillId="46" borderId="8" xfId="9" applyFont="1" applyFill="1" applyBorder="1" applyAlignment="1" applyProtection="1">
      <alignment horizontal="center" vertical="center" wrapText="1"/>
      <protection locked="0"/>
    </xf>
    <xf numFmtId="0" fontId="3" fillId="46" borderId="5" xfId="9" applyFont="1" applyFill="1" applyBorder="1" applyAlignment="1" applyProtection="1">
      <alignment horizontal="center" vertical="center" wrapText="1"/>
      <protection locked="0"/>
    </xf>
    <xf numFmtId="0" fontId="4" fillId="46" borderId="7" xfId="23" applyFont="1" applyFill="1" applyBorder="1" applyAlignment="1" applyProtection="1">
      <alignment horizontal="center" vertical="center" textRotation="90" wrapText="1"/>
      <protection locked="0"/>
    </xf>
    <xf numFmtId="0" fontId="4" fillId="46" borderId="7" xfId="9" applyFont="1" applyFill="1" applyBorder="1" applyAlignment="1" applyProtection="1">
      <alignment horizontal="center" vertical="center" wrapText="1"/>
      <protection locked="0"/>
    </xf>
    <xf numFmtId="0" fontId="4" fillId="46" borderId="8" xfId="9" applyFont="1" applyFill="1" applyBorder="1" applyAlignment="1" applyProtection="1">
      <alignment horizontal="center" vertical="center" wrapText="1"/>
      <protection locked="0"/>
    </xf>
    <xf numFmtId="0" fontId="4" fillId="46" borderId="5" xfId="9" applyFont="1" applyFill="1" applyBorder="1" applyAlignment="1" applyProtection="1">
      <alignment horizontal="center" vertical="center" wrapText="1"/>
      <protection locked="0"/>
    </xf>
    <xf numFmtId="0" fontId="7" fillId="46" borderId="3" xfId="23" applyFont="1" applyFill="1" applyBorder="1" applyAlignment="1" applyProtection="1">
      <alignment horizontal="center" vertical="center" wrapText="1"/>
      <protection locked="0"/>
    </xf>
    <xf numFmtId="2" fontId="4" fillId="46" borderId="3" xfId="23" applyNumberFormat="1" applyFont="1" applyFill="1" applyBorder="1" applyAlignment="1" applyProtection="1">
      <alignment horizontal="center" vertical="center" textRotation="90" wrapText="1"/>
      <protection locked="0"/>
    </xf>
    <xf numFmtId="2" fontId="4" fillId="46" borderId="3" xfId="23" applyNumberFormat="1" applyFont="1" applyFill="1" applyBorder="1" applyAlignment="1">
      <alignment horizontal="center" vertical="center" wrapText="1"/>
    </xf>
    <xf numFmtId="0" fontId="4" fillId="46" borderId="3" xfId="23" applyFont="1" applyFill="1" applyBorder="1" applyAlignment="1" applyProtection="1">
      <alignment horizontal="center" vertical="center" wrapText="1"/>
    </xf>
    <xf numFmtId="0" fontId="4" fillId="46" borderId="3" xfId="23" applyFont="1" applyFill="1" applyBorder="1" applyAlignment="1" applyProtection="1">
      <alignment horizontal="center" vertical="center" textRotation="90" wrapText="1"/>
    </xf>
    <xf numFmtId="0" fontId="4" fillId="46" borderId="7" xfId="23" applyFont="1" applyFill="1" applyBorder="1" applyAlignment="1" applyProtection="1">
      <alignment horizontal="center" vertical="center" wrapText="1"/>
      <protection locked="0"/>
    </xf>
    <xf numFmtId="0" fontId="4" fillId="46" borderId="8" xfId="23" applyFont="1" applyFill="1" applyBorder="1" applyAlignment="1" applyProtection="1">
      <alignment horizontal="center" vertical="center" wrapText="1"/>
      <protection locked="0"/>
    </xf>
    <xf numFmtId="0" fontId="4" fillId="46" borderId="5" xfId="23" applyFont="1" applyFill="1" applyBorder="1" applyAlignment="1" applyProtection="1">
      <alignment horizontal="center" vertical="center" wrapText="1"/>
      <protection locked="0"/>
    </xf>
    <xf numFmtId="0" fontId="4" fillId="46" borderId="3" xfId="23" applyFont="1" applyFill="1" applyBorder="1" applyAlignment="1" applyProtection="1">
      <alignment horizontal="center" vertical="center" textRotation="90" wrapText="1"/>
      <protection locked="0"/>
    </xf>
    <xf numFmtId="0" fontId="27" fillId="46" borderId="3" xfId="23" applyFont="1" applyFill="1" applyBorder="1" applyAlignment="1" applyProtection="1">
      <alignment horizontal="center" vertical="center" wrapText="1"/>
    </xf>
    <xf numFmtId="0" fontId="27" fillId="46" borderId="3" xfId="23" applyFont="1" applyFill="1" applyBorder="1" applyAlignment="1" applyProtection="1">
      <alignment horizontal="center" vertical="center" textRotation="90" wrapText="1"/>
    </xf>
    <xf numFmtId="1" fontId="4" fillId="46" borderId="3" xfId="23" applyNumberFormat="1" applyFont="1" applyFill="1" applyBorder="1" applyAlignment="1">
      <alignment horizontal="center" vertical="center" wrapText="1"/>
    </xf>
    <xf numFmtId="0" fontId="4" fillId="46" borderId="3" xfId="22" applyFont="1" applyFill="1" applyBorder="1" applyAlignment="1" applyProtection="1">
      <alignment horizontal="center" vertical="center" wrapText="1"/>
      <protection locked="0"/>
    </xf>
    <xf numFmtId="9" fontId="4" fillId="46" borderId="5" xfId="22" applyNumberFormat="1" applyFont="1" applyFill="1" applyBorder="1" applyAlignment="1" applyProtection="1">
      <alignment horizontal="center" vertical="center" wrapText="1"/>
      <protection locked="0"/>
    </xf>
    <xf numFmtId="0" fontId="4" fillId="46" borderId="3" xfId="22" applyFont="1" applyFill="1" applyBorder="1" applyAlignment="1" applyProtection="1">
      <alignment vertical="center" wrapText="1"/>
      <protection locked="0"/>
    </xf>
    <xf numFmtId="15" fontId="70" fillId="46" borderId="3" xfId="22" applyNumberFormat="1" applyFill="1" applyBorder="1" applyAlignment="1" applyProtection="1">
      <alignment horizontal="center" vertical="center"/>
      <protection locked="0"/>
    </xf>
    <xf numFmtId="0" fontId="70" fillId="46" borderId="8" xfId="22" applyFill="1" applyBorder="1"/>
    <xf numFmtId="0" fontId="70" fillId="0" borderId="0" xfId="22" applyBorder="1" applyAlignment="1">
      <alignment horizontal="left" vertical="center" wrapText="1"/>
    </xf>
    <xf numFmtId="0" fontId="4" fillId="3" borderId="13" xfId="22" applyFont="1" applyFill="1" applyBorder="1" applyAlignment="1">
      <alignment horizontal="center" vertical="center"/>
    </xf>
    <xf numFmtId="0" fontId="4" fillId="0" borderId="3" xfId="22" applyFont="1" applyFill="1" applyBorder="1" applyAlignment="1" applyProtection="1">
      <alignment horizontal="center" vertical="center" wrapText="1"/>
      <protection locked="0"/>
    </xf>
    <xf numFmtId="0" fontId="4" fillId="0" borderId="3" xfId="23" applyFont="1" applyFill="1" applyBorder="1" applyAlignment="1" applyProtection="1">
      <alignment horizontal="center" vertical="center" wrapText="1"/>
      <protection locked="0"/>
    </xf>
    <xf numFmtId="9" fontId="4" fillId="0" borderId="3" xfId="22" applyNumberFormat="1" applyFont="1" applyFill="1" applyBorder="1" applyAlignment="1" applyProtection="1">
      <alignment horizontal="center" vertical="center" wrapText="1"/>
      <protection locked="0"/>
    </xf>
    <xf numFmtId="0" fontId="4" fillId="0" borderId="3" xfId="23" applyFont="1" applyFill="1" applyBorder="1" applyAlignment="1" applyProtection="1">
      <alignment horizontal="center" vertical="center" textRotation="90" wrapText="1"/>
      <protection locked="0"/>
    </xf>
    <xf numFmtId="2" fontId="4" fillId="0" borderId="3" xfId="23" applyNumberFormat="1" applyFont="1" applyFill="1" applyBorder="1" applyAlignment="1" applyProtection="1">
      <alignment horizontal="center" vertical="center" textRotation="90" wrapText="1"/>
      <protection locked="0"/>
    </xf>
    <xf numFmtId="0" fontId="4" fillId="0" borderId="1" xfId="22" applyFont="1" applyFill="1" applyBorder="1" applyAlignment="1" applyProtection="1">
      <alignment horizontal="center" vertical="center" wrapText="1"/>
      <protection locked="0"/>
    </xf>
    <xf numFmtId="0" fontId="4" fillId="0" borderId="1" xfId="22" applyFont="1" applyFill="1" applyBorder="1" applyAlignment="1" applyProtection="1">
      <alignment horizontal="left" vertical="center" wrapText="1"/>
      <protection locked="0"/>
    </xf>
    <xf numFmtId="9" fontId="4" fillId="0" borderId="1" xfId="22" applyNumberFormat="1" applyFont="1" applyFill="1" applyBorder="1" applyAlignment="1" applyProtection="1">
      <alignment horizontal="center" vertical="center" wrapText="1"/>
      <protection locked="0"/>
    </xf>
    <xf numFmtId="0" fontId="3" fillId="0" borderId="3" xfId="22" applyFont="1" applyFill="1" applyBorder="1" applyAlignment="1">
      <alignment horizontal="center" vertical="center" wrapText="1"/>
    </xf>
    <xf numFmtId="0" fontId="3" fillId="43" borderId="13" xfId="22" applyFont="1" applyFill="1" applyBorder="1" applyAlignment="1">
      <alignment horizontal="center" vertical="center" wrapText="1"/>
    </xf>
    <xf numFmtId="0" fontId="4" fillId="0" borderId="1" xfId="9" applyFont="1" applyFill="1" applyBorder="1" applyAlignment="1" applyProtection="1">
      <alignment horizontal="center" vertical="center" wrapText="1"/>
      <protection locked="0"/>
    </xf>
    <xf numFmtId="0" fontId="4" fillId="0" borderId="3" xfId="23" applyFont="1" applyFill="1" applyBorder="1" applyAlignment="1" applyProtection="1">
      <alignment vertical="center" wrapText="1"/>
      <protection locked="0"/>
    </xf>
    <xf numFmtId="0" fontId="4" fillId="10" borderId="3" xfId="23" applyFont="1" applyFill="1" applyBorder="1" applyAlignment="1" applyProtection="1">
      <alignment horizontal="center" vertical="center" textRotation="90" wrapText="1"/>
    </xf>
    <xf numFmtId="0" fontId="4" fillId="3" borderId="3" xfId="23" applyFont="1" applyFill="1" applyBorder="1" applyAlignment="1" applyProtection="1">
      <alignment horizontal="center" vertical="center" textRotation="90" wrapText="1"/>
      <protection locked="0"/>
    </xf>
    <xf numFmtId="0" fontId="4" fillId="3" borderId="3" xfId="9" applyFont="1" applyFill="1" applyBorder="1" applyAlignment="1" applyProtection="1">
      <alignment horizontal="center" vertical="center" wrapText="1"/>
      <protection locked="0"/>
    </xf>
    <xf numFmtId="0" fontId="4" fillId="3" borderId="1" xfId="9" applyFont="1" applyFill="1" applyBorder="1" applyAlignment="1" applyProtection="1">
      <alignment horizontal="center" vertical="center" wrapText="1"/>
      <protection locked="0"/>
    </xf>
    <xf numFmtId="0" fontId="4" fillId="0" borderId="3" xfId="9" applyFont="1" applyFill="1" applyBorder="1" applyAlignment="1" applyProtection="1">
      <alignment horizontal="center" vertical="center" wrapText="1"/>
      <protection locked="0"/>
    </xf>
    <xf numFmtId="0" fontId="27" fillId="10" borderId="3" xfId="23" applyFont="1" applyFill="1" applyBorder="1" applyAlignment="1" applyProtection="1">
      <alignment horizontal="center" vertical="center" textRotation="90" wrapText="1"/>
    </xf>
    <xf numFmtId="1" fontId="4" fillId="11" borderId="3" xfId="23" applyNumberFormat="1" applyFont="1" applyFill="1" applyBorder="1" applyAlignment="1">
      <alignment horizontal="center" vertical="center" wrapText="1"/>
    </xf>
    <xf numFmtId="0" fontId="4" fillId="11" borderId="3" xfId="23" applyFont="1" applyFill="1" applyBorder="1" applyAlignment="1" applyProtection="1">
      <alignment horizontal="center" vertical="center" wrapText="1"/>
    </xf>
    <xf numFmtId="0" fontId="27" fillId="11" borderId="3" xfId="23" applyFont="1" applyFill="1" applyBorder="1" applyAlignment="1" applyProtection="1">
      <alignment horizontal="center" vertical="center" wrapText="1"/>
    </xf>
    <xf numFmtId="0" fontId="4" fillId="3" borderId="3" xfId="23" applyFont="1" applyFill="1" applyBorder="1" applyAlignment="1" applyProtection="1">
      <alignment horizontal="center" vertical="center" wrapText="1"/>
    </xf>
    <xf numFmtId="0" fontId="4" fillId="3" borderId="3" xfId="18" applyFont="1" applyFill="1" applyBorder="1" applyAlignment="1" applyProtection="1">
      <alignment horizontal="center" vertical="center" textRotation="90" wrapText="1"/>
      <protection locked="0"/>
    </xf>
    <xf numFmtId="0" fontId="4" fillId="0" borderId="3" xfId="18" applyFont="1" applyFill="1" applyBorder="1" applyAlignment="1" applyProtection="1">
      <alignment horizontal="left" vertical="center" wrapText="1"/>
      <protection locked="0"/>
    </xf>
    <xf numFmtId="0" fontId="4" fillId="0" borderId="3" xfId="18" applyFont="1" applyFill="1" applyBorder="1" applyAlignment="1" applyProtection="1">
      <alignment horizontal="justify" vertical="center" wrapText="1"/>
      <protection locked="0"/>
    </xf>
    <xf numFmtId="0" fontId="4" fillId="0" borderId="3" xfId="18" applyFont="1" applyFill="1" applyBorder="1" applyAlignment="1" applyProtection="1">
      <alignment horizontal="center" vertical="center" wrapText="1"/>
      <protection locked="0"/>
    </xf>
    <xf numFmtId="0" fontId="33" fillId="0" borderId="3" xfId="18" applyNumberFormat="1" applyFont="1" applyFill="1" applyBorder="1" applyAlignment="1">
      <alignment horizontal="left" vertical="center" wrapText="1"/>
    </xf>
    <xf numFmtId="0" fontId="4" fillId="3" borderId="3" xfId="9" applyFont="1" applyFill="1" applyBorder="1" applyAlignment="1" applyProtection="1">
      <alignment horizontal="center" vertical="center" textRotation="90" wrapText="1"/>
    </xf>
    <xf numFmtId="0" fontId="4" fillId="3" borderId="3" xfId="9" applyFont="1" applyFill="1" applyBorder="1" applyAlignment="1" applyProtection="1">
      <alignment horizontal="center" vertical="center" textRotation="90" wrapText="1"/>
      <protection locked="0"/>
    </xf>
    <xf numFmtId="2" fontId="4" fillId="3" borderId="3" xfId="9" applyNumberFormat="1" applyFont="1" applyFill="1" applyBorder="1" applyAlignment="1" applyProtection="1">
      <alignment horizontal="center" vertical="center" textRotation="90" wrapText="1"/>
      <protection locked="0"/>
    </xf>
    <xf numFmtId="15" fontId="4" fillId="0" borderId="1" xfId="22" applyNumberFormat="1" applyFont="1" applyFill="1" applyBorder="1" applyAlignment="1" applyProtection="1">
      <alignment horizontal="center" vertical="center" wrapText="1"/>
      <protection locked="0"/>
    </xf>
    <xf numFmtId="0" fontId="4" fillId="3" borderId="1" xfId="9" applyFont="1" applyFill="1" applyBorder="1" applyAlignment="1" applyProtection="1">
      <alignment horizontal="center" vertical="center" textRotation="90" wrapText="1"/>
    </xf>
    <xf numFmtId="0" fontId="4" fillId="3" borderId="1" xfId="9" applyFont="1" applyFill="1" applyBorder="1" applyAlignment="1" applyProtection="1">
      <alignment horizontal="center" vertical="center" textRotation="90" wrapText="1"/>
      <protection locked="0"/>
    </xf>
    <xf numFmtId="2" fontId="4" fillId="3" borderId="1" xfId="9" applyNumberFormat="1" applyFont="1" applyFill="1" applyBorder="1" applyAlignment="1" applyProtection="1">
      <alignment horizontal="center" vertical="center" textRotation="90" wrapText="1"/>
      <protection locked="0"/>
    </xf>
    <xf numFmtId="9" fontId="55" fillId="55" borderId="3" xfId="0" applyNumberFormat="1" applyFont="1" applyFill="1" applyBorder="1" applyAlignment="1" applyProtection="1">
      <alignment horizontal="center" vertical="center" wrapText="1"/>
      <protection locked="0"/>
    </xf>
    <xf numFmtId="0" fontId="120" fillId="0" borderId="0" xfId="0" applyFont="1" applyFill="1" applyAlignment="1">
      <alignment vertical="center"/>
    </xf>
    <xf numFmtId="0" fontId="3" fillId="0" borderId="0" xfId="22" applyFont="1" applyFill="1" applyBorder="1" applyAlignment="1">
      <alignment horizontal="left" vertical="center" wrapText="1"/>
    </xf>
    <xf numFmtId="0" fontId="3" fillId="8" borderId="3" xfId="0" applyFont="1" applyFill="1" applyBorder="1" applyAlignment="1" applyProtection="1">
      <alignment horizontal="center" vertical="center" wrapText="1"/>
    </xf>
    <xf numFmtId="0" fontId="3" fillId="8" borderId="3" xfId="0" applyFont="1" applyFill="1" applyBorder="1" applyAlignment="1" applyProtection="1">
      <alignment horizontal="center" vertical="center" textRotation="90" wrapText="1"/>
    </xf>
    <xf numFmtId="0" fontId="3" fillId="11" borderId="3" xfId="0" applyFont="1" applyFill="1" applyBorder="1" applyAlignment="1" applyProtection="1">
      <alignment horizontal="center" vertical="center" textRotation="90" wrapText="1"/>
    </xf>
    <xf numFmtId="0" fontId="3" fillId="10" borderId="3" xfId="0" applyFont="1" applyFill="1" applyBorder="1" applyAlignment="1" applyProtection="1">
      <alignment horizontal="center" vertical="center" textRotation="90" wrapText="1"/>
    </xf>
    <xf numFmtId="0" fontId="4" fillId="8" borderId="3" xfId="0" applyFont="1" applyFill="1" applyBorder="1" applyAlignment="1" applyProtection="1">
      <alignment horizontal="center" vertical="center" textRotation="90" wrapText="1"/>
    </xf>
    <xf numFmtId="0" fontId="4" fillId="11" borderId="3" xfId="0" applyFont="1" applyFill="1" applyBorder="1" applyAlignment="1" applyProtection="1">
      <alignment horizontal="center" vertical="center" textRotation="90" wrapText="1"/>
    </xf>
    <xf numFmtId="0" fontId="3" fillId="8" borderId="7" xfId="0" applyFont="1" applyFill="1" applyBorder="1" applyAlignment="1" applyProtection="1">
      <alignment horizontal="center" vertical="center" wrapText="1"/>
    </xf>
    <xf numFmtId="0" fontId="121" fillId="8" borderId="3" xfId="0" applyFont="1" applyFill="1" applyBorder="1" applyAlignment="1" applyProtection="1">
      <alignment horizontal="center" vertical="center" textRotation="90" wrapText="1"/>
    </xf>
    <xf numFmtId="0" fontId="122" fillId="8" borderId="3" xfId="0" applyFont="1" applyFill="1" applyBorder="1" applyAlignment="1">
      <alignment horizontal="center" vertical="center" wrapText="1"/>
    </xf>
    <xf numFmtId="0" fontId="123" fillId="8" borderId="3" xfId="0" applyFont="1" applyFill="1" applyBorder="1" applyAlignment="1">
      <alignment horizontal="center" vertical="center"/>
    </xf>
    <xf numFmtId="0" fontId="124" fillId="8" borderId="3" xfId="0" applyFont="1" applyFill="1" applyBorder="1" applyAlignment="1" applyProtection="1">
      <alignment horizontal="justify" vertical="center" wrapText="1"/>
      <protection locked="0"/>
    </xf>
    <xf numFmtId="0" fontId="123" fillId="8" borderId="3" xfId="0" applyFont="1" applyFill="1" applyBorder="1" applyAlignment="1">
      <alignment horizontal="justify" vertical="center" wrapText="1"/>
    </xf>
    <xf numFmtId="0" fontId="126" fillId="8" borderId="3" xfId="0" applyFont="1" applyFill="1" applyBorder="1" applyAlignment="1" applyProtection="1">
      <alignment horizontal="justify" vertical="center" wrapText="1"/>
      <protection locked="0"/>
    </xf>
    <xf numFmtId="0" fontId="4" fillId="8" borderId="3" xfId="0" applyFont="1" applyFill="1" applyBorder="1" applyAlignment="1" applyProtection="1">
      <alignment horizontal="justify" vertical="center" wrapText="1"/>
      <protection locked="0"/>
    </xf>
    <xf numFmtId="0" fontId="73" fillId="8" borderId="3" xfId="0" applyFont="1" applyFill="1" applyBorder="1" applyAlignment="1">
      <alignment horizontal="justify" vertical="center" wrapText="1"/>
    </xf>
    <xf numFmtId="0" fontId="4" fillId="0" borderId="3" xfId="0" applyFont="1" applyFill="1" applyBorder="1" applyAlignment="1" applyProtection="1">
      <alignment horizontal="left" vertical="top" wrapText="1"/>
      <protection locked="0"/>
    </xf>
    <xf numFmtId="0" fontId="27" fillId="0" borderId="3" xfId="0" applyFont="1" applyFill="1" applyBorder="1" applyAlignment="1" applyProtection="1">
      <alignment vertical="center" wrapText="1"/>
      <protection locked="0"/>
    </xf>
    <xf numFmtId="0" fontId="4" fillId="0" borderId="3" xfId="0" applyNumberFormat="1" applyFont="1" applyFill="1" applyBorder="1" applyAlignment="1" applyProtection="1">
      <alignment horizontal="center" vertical="center" wrapText="1"/>
      <protection locked="0"/>
    </xf>
    <xf numFmtId="0" fontId="127" fillId="4" borderId="9" xfId="0" applyFont="1" applyFill="1" applyBorder="1" applyAlignment="1">
      <alignment horizontal="center"/>
    </xf>
    <xf numFmtId="15" fontId="4" fillId="0" borderId="2" xfId="0" applyNumberFormat="1" applyFont="1" applyFill="1" applyBorder="1" applyAlignment="1" applyProtection="1">
      <alignment horizontal="center" vertical="center"/>
      <protection locked="0"/>
    </xf>
    <xf numFmtId="0" fontId="128" fillId="3" borderId="0" xfId="0" applyFont="1" applyFill="1" applyAlignment="1" applyProtection="1">
      <alignment horizontal="center" vertical="center"/>
      <protection locked="0"/>
    </xf>
    <xf numFmtId="0" fontId="129" fillId="3" borderId="0" xfId="0" applyFont="1" applyFill="1" applyAlignment="1" applyProtection="1">
      <protection locked="0"/>
    </xf>
    <xf numFmtId="0" fontId="129" fillId="56" borderId="3" xfId="0" applyFont="1" applyFill="1" applyBorder="1" applyAlignment="1">
      <alignment horizontal="justify" vertical="center" wrapText="1"/>
    </xf>
    <xf numFmtId="15" fontId="130" fillId="0" borderId="3" xfId="0" applyNumberFormat="1" applyFont="1" applyFill="1" applyBorder="1" applyAlignment="1">
      <alignment horizontal="center" vertical="center"/>
    </xf>
    <xf numFmtId="0" fontId="129" fillId="8" borderId="3" xfId="0" applyFont="1" applyFill="1" applyBorder="1" applyAlignment="1">
      <alignment horizontal="justify" vertical="center" wrapText="1"/>
    </xf>
    <xf numFmtId="0" fontId="4" fillId="8" borderId="3" xfId="0" applyFont="1" applyFill="1" applyBorder="1" applyAlignment="1">
      <alignment horizontal="justify" vertical="center" wrapText="1"/>
    </xf>
    <xf numFmtId="14" fontId="4" fillId="0" borderId="3" xfId="0" applyNumberFormat="1" applyFont="1" applyFill="1" applyBorder="1" applyAlignment="1" applyProtection="1">
      <alignment vertical="center" wrapText="1"/>
      <protection locked="0"/>
    </xf>
    <xf numFmtId="14" fontId="0" fillId="0" borderId="3" xfId="34" applyNumberFormat="1" applyFont="1" applyFill="1" applyBorder="1" applyAlignment="1">
      <alignment horizontal="center" vertical="center"/>
    </xf>
    <xf numFmtId="0" fontId="15" fillId="3" borderId="3" xfId="0"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top" wrapText="1"/>
      <protection locked="0"/>
    </xf>
    <xf numFmtId="10" fontId="4" fillId="0" borderId="3" xfId="25" applyNumberFormat="1" applyFont="1" applyFill="1" applyBorder="1" applyAlignment="1" applyProtection="1">
      <alignment horizontal="center" vertical="center" wrapText="1"/>
      <protection locked="0"/>
    </xf>
    <xf numFmtId="0" fontId="66" fillId="0" borderId="0" xfId="22" applyFont="1" applyFill="1" applyAlignment="1">
      <alignment vertical="center" wrapText="1"/>
    </xf>
    <xf numFmtId="15" fontId="66" fillId="0" borderId="3" xfId="22" applyNumberFormat="1" applyFont="1" applyFill="1" applyBorder="1" applyAlignment="1" applyProtection="1">
      <alignment horizontal="center" vertical="center"/>
      <protection locked="0"/>
    </xf>
    <xf numFmtId="0" fontId="4" fillId="10" borderId="1" xfId="9" applyFont="1" applyFill="1" applyBorder="1" applyAlignment="1" applyProtection="1">
      <alignment horizontal="center" vertical="center" textRotation="90" wrapText="1"/>
      <protection locked="0"/>
    </xf>
    <xf numFmtId="0" fontId="4" fillId="0" borderId="3" xfId="0" applyFont="1" applyFill="1" applyBorder="1" applyAlignment="1">
      <alignment horizontal="center" vertical="center" wrapText="1"/>
    </xf>
    <xf numFmtId="0" fontId="4" fillId="0" borderId="3" xfId="0" applyFont="1" applyFill="1" applyBorder="1" applyAlignment="1" applyProtection="1">
      <alignment horizontal="center" vertical="center" wrapText="1"/>
      <protection locked="0"/>
    </xf>
    <xf numFmtId="0" fontId="28" fillId="8" borderId="7" xfId="0" applyFont="1" applyFill="1" applyBorder="1" applyAlignment="1" applyProtection="1">
      <alignment horizontal="center" vertical="center" wrapText="1"/>
    </xf>
    <xf numFmtId="0" fontId="27" fillId="0" borderId="7" xfId="0" applyFont="1" applyBorder="1" applyAlignment="1" applyProtection="1">
      <alignment horizontal="center" vertical="center" wrapText="1"/>
      <protection locked="0"/>
    </xf>
    <xf numFmtId="0" fontId="3" fillId="43" borderId="13" xfId="22" applyFont="1" applyFill="1" applyBorder="1" applyAlignment="1">
      <alignment horizontal="center" vertical="center" wrapText="1"/>
    </xf>
    <xf numFmtId="0" fontId="3" fillId="0" borderId="3" xfId="22" applyFont="1" applyFill="1" applyBorder="1" applyAlignment="1">
      <alignment horizontal="center" vertical="center" wrapText="1"/>
    </xf>
    <xf numFmtId="0" fontId="4" fillId="0" borderId="3" xfId="23" applyFont="1" applyFill="1" applyBorder="1" applyAlignment="1" applyProtection="1">
      <alignment horizontal="center" vertical="center" wrapText="1"/>
      <protection locked="0"/>
    </xf>
    <xf numFmtId="0" fontId="4" fillId="0" borderId="3" xfId="23" applyFont="1" applyFill="1" applyBorder="1" applyAlignment="1" applyProtection="1">
      <alignment horizontal="center" vertical="center" textRotation="90" wrapText="1"/>
      <protection locked="0"/>
    </xf>
    <xf numFmtId="0" fontId="4" fillId="0" borderId="2" xfId="23" applyFont="1" applyFill="1" applyBorder="1" applyAlignment="1" applyProtection="1">
      <alignment horizontal="center" vertical="center" wrapText="1"/>
      <protection locked="0"/>
    </xf>
    <xf numFmtId="2" fontId="4" fillId="0" borderId="3" xfId="23" applyNumberFormat="1" applyFont="1" applyFill="1" applyBorder="1" applyAlignment="1" applyProtection="1">
      <alignment horizontal="center" vertical="center" textRotation="90" wrapText="1"/>
      <protection locked="0"/>
    </xf>
    <xf numFmtId="0" fontId="4" fillId="0" borderId="3" xfId="22" applyFont="1" applyFill="1" applyBorder="1" applyAlignment="1" applyProtection="1">
      <alignment horizontal="center" vertical="center" wrapText="1"/>
      <protection locked="0"/>
    </xf>
    <xf numFmtId="0" fontId="4" fillId="0" borderId="3" xfId="22" applyFont="1" applyFill="1" applyBorder="1" applyAlignment="1" applyProtection="1">
      <alignment horizontal="left" vertical="center" wrapText="1"/>
      <protection locked="0"/>
    </xf>
    <xf numFmtId="0" fontId="27" fillId="0" borderId="3" xfId="23" applyFont="1" applyFill="1" applyBorder="1" applyAlignment="1" applyProtection="1">
      <alignment horizontal="center" vertical="center" textRotation="90" wrapText="1"/>
    </xf>
    <xf numFmtId="0" fontId="4" fillId="0" borderId="3" xfId="23" applyFont="1" applyFill="1" applyBorder="1" applyAlignment="1" applyProtection="1">
      <alignment horizontal="center" vertical="center" textRotation="90" wrapText="1"/>
    </xf>
    <xf numFmtId="9" fontId="4" fillId="0" borderId="3" xfId="22" applyNumberFormat="1" applyFont="1" applyFill="1" applyBorder="1" applyAlignment="1" applyProtection="1">
      <alignment horizontal="center" vertical="center" wrapText="1"/>
      <protection locked="0"/>
    </xf>
    <xf numFmtId="0" fontId="4" fillId="3" borderId="13" xfId="22" applyFont="1" applyFill="1" applyBorder="1" applyAlignment="1">
      <alignment horizontal="center" vertical="center"/>
    </xf>
    <xf numFmtId="0" fontId="4" fillId="0" borderId="2" xfId="23" applyFont="1" applyFill="1" applyBorder="1" applyAlignment="1" applyProtection="1">
      <alignment horizontal="center" vertical="center" textRotation="90" wrapText="1"/>
    </xf>
    <xf numFmtId="0" fontId="4" fillId="0" borderId="2" xfId="23" applyFont="1" applyFill="1" applyBorder="1" applyAlignment="1" applyProtection="1">
      <alignment horizontal="center" vertical="center" textRotation="90" wrapText="1"/>
      <protection locked="0"/>
    </xf>
    <xf numFmtId="0" fontId="27" fillId="0" borderId="2" xfId="23" applyFont="1" applyFill="1" applyBorder="1" applyAlignment="1" applyProtection="1">
      <alignment horizontal="center" vertical="center" textRotation="90" wrapText="1"/>
    </xf>
    <xf numFmtId="2" fontId="4" fillId="0" borderId="2" xfId="23" applyNumberFormat="1" applyFont="1" applyFill="1" applyBorder="1" applyAlignment="1" applyProtection="1">
      <alignment horizontal="center" vertical="center" textRotation="90" wrapText="1"/>
      <protection locked="0"/>
    </xf>
    <xf numFmtId="0" fontId="4" fillId="0" borderId="3" xfId="23" applyFont="1" applyFill="1" applyBorder="1" applyAlignment="1" applyProtection="1">
      <alignment vertical="center" wrapText="1"/>
      <protection locked="0"/>
    </xf>
    <xf numFmtId="1" fontId="4" fillId="0" borderId="3" xfId="23" applyNumberFormat="1" applyFont="1" applyFill="1" applyBorder="1" applyAlignment="1">
      <alignment horizontal="center" vertical="center" wrapText="1"/>
    </xf>
    <xf numFmtId="2" fontId="4" fillId="0" borderId="3" xfId="23" applyNumberFormat="1" applyFont="1" applyFill="1" applyBorder="1" applyAlignment="1">
      <alignment horizontal="center" vertical="center" wrapText="1"/>
    </xf>
    <xf numFmtId="0" fontId="4" fillId="0" borderId="3" xfId="23" applyFont="1" applyFill="1" applyBorder="1" applyAlignment="1" applyProtection="1">
      <alignment horizontal="center" vertical="center" wrapText="1"/>
    </xf>
    <xf numFmtId="0" fontId="4" fillId="0" borderId="3" xfId="23" applyFont="1" applyFill="1" applyBorder="1" applyAlignment="1">
      <alignment horizontal="center" vertical="center" wrapText="1"/>
    </xf>
    <xf numFmtId="0" fontId="4" fillId="0" borderId="3" xfId="14" applyFont="1" applyFill="1" applyBorder="1" applyAlignment="1">
      <alignment horizontal="center" vertical="center" wrapText="1"/>
    </xf>
    <xf numFmtId="0" fontId="4" fillId="0" borderId="3" xfId="14" applyFont="1" applyFill="1" applyBorder="1" applyAlignment="1">
      <alignment horizontal="center" vertical="center" textRotation="90" wrapText="1"/>
    </xf>
    <xf numFmtId="0" fontId="4" fillId="10" borderId="3" xfId="23" applyFont="1" applyFill="1" applyBorder="1" applyAlignment="1" applyProtection="1">
      <alignment horizontal="center" vertical="center" textRotation="90" wrapText="1"/>
    </xf>
    <xf numFmtId="0" fontId="4" fillId="0" borderId="45" xfId="23" applyFont="1" applyFill="1" applyBorder="1" applyAlignment="1" applyProtection="1">
      <alignment horizontal="center" vertical="center" textRotation="90" wrapText="1"/>
    </xf>
    <xf numFmtId="0" fontId="4" fillId="0" borderId="2" xfId="23" applyFont="1" applyFill="1" applyBorder="1" applyAlignment="1" applyProtection="1">
      <alignment vertical="center" wrapText="1"/>
      <protection locked="0"/>
    </xf>
    <xf numFmtId="0" fontId="4" fillId="3" borderId="3" xfId="23" applyFont="1" applyFill="1" applyBorder="1" applyAlignment="1" applyProtection="1">
      <alignment horizontal="center" vertical="center" wrapText="1"/>
    </xf>
    <xf numFmtId="0" fontId="27" fillId="0" borderId="7" xfId="0" applyFont="1" applyBorder="1" applyAlignment="1" applyProtection="1">
      <alignment horizontal="justify" vertical="center" wrapText="1"/>
      <protection locked="0"/>
    </xf>
    <xf numFmtId="0" fontId="27" fillId="0" borderId="3" xfId="0" applyFont="1" applyBorder="1" applyAlignment="1" applyProtection="1">
      <alignment horizontal="center" vertical="center" wrapText="1"/>
      <protection locked="0"/>
    </xf>
    <xf numFmtId="0" fontId="4" fillId="3" borderId="3" xfId="0" applyFont="1" applyFill="1" applyBorder="1" applyAlignment="1" applyProtection="1">
      <alignment horizontal="center" vertical="center" wrapText="1"/>
      <protection locked="0"/>
    </xf>
    <xf numFmtId="0" fontId="132" fillId="0" borderId="3" xfId="9" applyFont="1" applyFill="1" applyBorder="1" applyAlignment="1" applyProtection="1">
      <alignment vertical="center"/>
      <protection locked="0"/>
    </xf>
    <xf numFmtId="0" fontId="4" fillId="3" borderId="13" xfId="22" applyFont="1" applyFill="1" applyBorder="1" applyAlignment="1">
      <alignment horizontal="center" vertical="center"/>
    </xf>
    <xf numFmtId="0" fontId="4" fillId="0" borderId="3" xfId="22" applyFont="1" applyFill="1" applyBorder="1" applyAlignment="1" applyProtection="1">
      <alignment horizontal="center" vertical="center" wrapText="1"/>
      <protection locked="0"/>
    </xf>
    <xf numFmtId="0" fontId="4" fillId="0" borderId="3" xfId="23" applyFont="1" applyFill="1" applyBorder="1" applyAlignment="1" applyProtection="1">
      <alignment horizontal="center" vertical="center" wrapText="1"/>
      <protection locked="0"/>
    </xf>
    <xf numFmtId="9" fontId="4" fillId="0" borderId="3" xfId="22" applyNumberFormat="1" applyFont="1" applyFill="1" applyBorder="1" applyAlignment="1" applyProtection="1">
      <alignment horizontal="center" vertical="center" wrapText="1"/>
      <protection locked="0"/>
    </xf>
    <xf numFmtId="0" fontId="4" fillId="0" borderId="3" xfId="23" applyFont="1" applyFill="1" applyBorder="1" applyAlignment="1" applyProtection="1">
      <alignment horizontal="center" vertical="center" textRotation="90" wrapText="1"/>
      <protection locked="0"/>
    </xf>
    <xf numFmtId="2" fontId="4" fillId="0" borderId="3" xfId="23" applyNumberFormat="1" applyFont="1" applyFill="1" applyBorder="1" applyAlignment="1" applyProtection="1">
      <alignment horizontal="center" vertical="center" textRotation="90" wrapText="1"/>
      <protection locked="0"/>
    </xf>
    <xf numFmtId="0" fontId="3" fillId="0" borderId="3" xfId="22" applyFont="1" applyFill="1" applyBorder="1" applyAlignment="1">
      <alignment horizontal="center" vertical="center" wrapText="1"/>
    </xf>
    <xf numFmtId="0" fontId="3" fillId="43" borderId="13" xfId="22" applyFont="1" applyFill="1" applyBorder="1" applyAlignment="1">
      <alignment horizontal="center" vertical="center" wrapText="1"/>
    </xf>
    <xf numFmtId="0" fontId="4" fillId="3" borderId="3" xfId="23" applyFont="1" applyFill="1" applyBorder="1" applyAlignment="1" applyProtection="1">
      <alignment horizontal="center" vertical="center" wrapText="1"/>
      <protection locked="0"/>
    </xf>
    <xf numFmtId="0" fontId="4" fillId="3" borderId="3" xfId="22" applyFont="1" applyFill="1" applyBorder="1" applyAlignment="1" applyProtection="1">
      <alignment horizontal="center" vertical="center" wrapText="1"/>
      <protection locked="0"/>
    </xf>
    <xf numFmtId="0" fontId="4" fillId="10" borderId="3" xfId="23" applyFont="1" applyFill="1" applyBorder="1" applyAlignment="1" applyProtection="1">
      <alignment horizontal="center" vertical="center" textRotation="90" wrapText="1"/>
    </xf>
    <xf numFmtId="0" fontId="4" fillId="3" borderId="3" xfId="23" applyFont="1" applyFill="1" applyBorder="1" applyAlignment="1" applyProtection="1">
      <alignment horizontal="center" vertical="center" textRotation="90" wrapText="1"/>
      <protection locked="0"/>
    </xf>
    <xf numFmtId="0" fontId="4" fillId="11" borderId="3" xfId="23" applyFont="1" applyFill="1" applyBorder="1" applyAlignment="1" applyProtection="1">
      <alignment horizontal="center" vertical="center" wrapText="1"/>
    </xf>
    <xf numFmtId="0" fontId="27" fillId="10" borderId="3" xfId="23" applyFont="1" applyFill="1" applyBorder="1" applyAlignment="1" applyProtection="1">
      <alignment horizontal="center" vertical="center" textRotation="90" wrapText="1"/>
    </xf>
    <xf numFmtId="1" fontId="4" fillId="11" borderId="3" xfId="23" applyNumberFormat="1" applyFont="1" applyFill="1" applyBorder="1" applyAlignment="1">
      <alignment horizontal="center" vertical="center" wrapText="1"/>
    </xf>
    <xf numFmtId="0" fontId="4" fillId="0" borderId="3" xfId="23" quotePrefix="1" applyFont="1" applyFill="1" applyBorder="1" applyAlignment="1" applyProtection="1">
      <alignment horizontal="center" vertical="center" wrapText="1"/>
      <protection locked="0"/>
    </xf>
    <xf numFmtId="0" fontId="4" fillId="0" borderId="0" xfId="22" applyFont="1" applyFill="1" applyAlignment="1">
      <alignment horizontal="center" vertical="center"/>
    </xf>
    <xf numFmtId="0" fontId="3" fillId="0" borderId="13" xfId="22" applyFont="1" applyFill="1" applyBorder="1" applyAlignment="1">
      <alignment horizontal="left" indent="6"/>
    </xf>
    <xf numFmtId="0" fontId="3" fillId="0" borderId="13" xfId="22" applyFont="1" applyFill="1" applyBorder="1" applyAlignment="1">
      <alignment horizontal="center" vertical="center"/>
    </xf>
    <xf numFmtId="0" fontId="70" fillId="0" borderId="0" xfId="22" applyFill="1" applyAlignment="1">
      <alignment horizontal="center" vertical="center"/>
    </xf>
    <xf numFmtId="0" fontId="71" fillId="0" borderId="0" xfId="22" applyFont="1" applyFill="1" applyAlignment="1">
      <alignment horizontal="center" vertical="center"/>
    </xf>
    <xf numFmtId="0" fontId="4" fillId="0" borderId="8" xfId="22" applyFont="1" applyFill="1" applyBorder="1" applyAlignment="1" applyProtection="1">
      <alignment horizontal="center" vertical="center"/>
      <protection locked="0"/>
    </xf>
    <xf numFmtId="0" fontId="4" fillId="0" borderId="5" xfId="22" applyFont="1" applyFill="1" applyBorder="1" applyAlignment="1" applyProtection="1">
      <alignment horizontal="center" vertical="center" wrapText="1"/>
      <protection locked="0"/>
    </xf>
    <xf numFmtId="0" fontId="4" fillId="3" borderId="13" xfId="22" applyFont="1" applyFill="1" applyBorder="1" applyAlignment="1">
      <alignment horizontal="center" vertical="center"/>
    </xf>
    <xf numFmtId="0" fontId="3" fillId="4" borderId="8" xfId="22" applyFont="1" applyFill="1" applyBorder="1" applyAlignment="1">
      <alignment horizontal="center" vertical="center"/>
    </xf>
    <xf numFmtId="0" fontId="3" fillId="4" borderId="3" xfId="22" applyFont="1" applyFill="1" applyBorder="1" applyAlignment="1">
      <alignment horizontal="center" vertical="center"/>
    </xf>
    <xf numFmtId="0" fontId="4" fillId="0" borderId="3" xfId="22" applyFont="1" applyFill="1" applyBorder="1" applyAlignment="1" applyProtection="1">
      <alignment horizontal="center" vertical="center" wrapText="1"/>
      <protection locked="0"/>
    </xf>
    <xf numFmtId="0" fontId="4" fillId="0" borderId="3" xfId="23" applyFont="1" applyFill="1" applyBorder="1" applyAlignment="1" applyProtection="1">
      <alignment horizontal="center" vertical="center" wrapText="1"/>
      <protection locked="0"/>
    </xf>
    <xf numFmtId="0" fontId="4" fillId="0" borderId="5" xfId="23" applyFont="1" applyFill="1" applyBorder="1" applyAlignment="1" applyProtection="1">
      <alignment horizontal="left" vertical="center" wrapText="1"/>
      <protection locked="0"/>
    </xf>
    <xf numFmtId="0" fontId="4" fillId="0" borderId="15" xfId="23" applyFont="1" applyFill="1" applyBorder="1" applyAlignment="1" applyProtection="1">
      <alignment horizontal="center" vertical="center" wrapText="1"/>
      <protection locked="0"/>
    </xf>
    <xf numFmtId="0" fontId="4" fillId="0" borderId="5" xfId="23" applyFont="1" applyFill="1" applyBorder="1" applyAlignment="1" applyProtection="1">
      <alignment horizontal="center" vertical="center" wrapText="1"/>
      <protection locked="0"/>
    </xf>
    <xf numFmtId="0" fontId="4" fillId="0" borderId="15" xfId="23" applyFont="1" applyFill="1" applyBorder="1" applyAlignment="1">
      <alignment horizontal="center" vertical="center" wrapText="1"/>
    </xf>
    <xf numFmtId="0" fontId="4" fillId="0" borderId="6" xfId="23" applyFont="1" applyFill="1" applyBorder="1" applyAlignment="1">
      <alignment horizontal="center" vertical="center" wrapText="1"/>
    </xf>
    <xf numFmtId="0" fontId="4" fillId="0" borderId="1" xfId="23" applyFont="1" applyFill="1" applyBorder="1" applyAlignment="1">
      <alignment horizontal="center" vertical="center" wrapText="1"/>
    </xf>
    <xf numFmtId="0" fontId="4" fillId="0" borderId="9" xfId="23" applyFont="1" applyFill="1" applyBorder="1" applyAlignment="1">
      <alignment horizontal="center" vertical="center" wrapText="1"/>
    </xf>
    <xf numFmtId="0" fontId="71" fillId="3" borderId="0" xfId="22" applyFont="1" applyFill="1" applyAlignment="1">
      <alignment horizontal="center"/>
    </xf>
    <xf numFmtId="0" fontId="4" fillId="0" borderId="8" xfId="23" applyFont="1" applyFill="1" applyBorder="1" applyAlignment="1" applyProtection="1">
      <alignment horizontal="center" vertical="center"/>
      <protection locked="0"/>
    </xf>
    <xf numFmtId="0" fontId="4" fillId="0" borderId="5" xfId="23" applyFont="1" applyFill="1" applyBorder="1" applyAlignment="1" applyProtection="1">
      <alignment horizontal="center" vertical="center"/>
      <protection locked="0"/>
    </xf>
    <xf numFmtId="0" fontId="4" fillId="0" borderId="0" xfId="23" applyFont="1" applyFill="1" applyBorder="1" applyAlignment="1" applyProtection="1">
      <alignment horizontal="center" vertical="center"/>
      <protection locked="0"/>
    </xf>
    <xf numFmtId="0" fontId="4" fillId="3" borderId="0" xfId="22" applyFont="1" applyFill="1" applyBorder="1" applyAlignment="1">
      <alignment horizontal="center" vertical="center"/>
    </xf>
    <xf numFmtId="0" fontId="4" fillId="0" borderId="5" xfId="23" applyFont="1" applyFill="1" applyBorder="1" applyAlignment="1" applyProtection="1">
      <alignment horizontal="justify" vertical="center" wrapText="1"/>
      <protection locked="0"/>
    </xf>
    <xf numFmtId="0" fontId="32" fillId="0" borderId="5" xfId="23" applyFont="1" applyFill="1" applyBorder="1" applyAlignment="1" applyProtection="1">
      <alignment horizontal="justify" vertical="center" wrapText="1"/>
      <protection locked="0"/>
    </xf>
    <xf numFmtId="0" fontId="32" fillId="0" borderId="15" xfId="23" applyFont="1" applyFill="1" applyBorder="1" applyAlignment="1" applyProtection="1">
      <alignment horizontal="justify" vertical="center" wrapText="1"/>
      <protection locked="0"/>
    </xf>
    <xf numFmtId="0" fontId="32" fillId="0" borderId="6" xfId="23" applyFont="1" applyFill="1" applyBorder="1" applyAlignment="1" applyProtection="1">
      <alignment horizontal="justify" vertical="center" wrapText="1"/>
      <protection locked="0"/>
    </xf>
    <xf numFmtId="0" fontId="110" fillId="0" borderId="5" xfId="23" applyFont="1" applyFill="1" applyBorder="1" applyAlignment="1" applyProtection="1">
      <alignment horizontal="left" vertical="center" wrapText="1"/>
      <protection locked="0"/>
    </xf>
    <xf numFmtId="0" fontId="110" fillId="0" borderId="5" xfId="22" applyFont="1" applyFill="1" applyBorder="1" applyAlignment="1" applyProtection="1">
      <alignment horizontal="center" vertical="center" wrapText="1"/>
      <protection locked="0"/>
    </xf>
    <xf numFmtId="0" fontId="110" fillId="0" borderId="8" xfId="22" applyFont="1" applyFill="1" applyBorder="1" applyAlignment="1" applyProtection="1">
      <alignment horizontal="center" vertical="center"/>
      <protection locked="0"/>
    </xf>
    <xf numFmtId="0" fontId="112" fillId="4" borderId="8" xfId="22" applyFont="1" applyFill="1" applyBorder="1" applyAlignment="1">
      <alignment horizontal="center" vertical="center"/>
    </xf>
    <xf numFmtId="0" fontId="4" fillId="0" borderId="3" xfId="3" applyFont="1" applyFill="1" applyBorder="1" applyAlignment="1" applyProtection="1">
      <alignment horizontal="center" vertical="center" wrapText="1"/>
      <protection locked="0"/>
    </xf>
    <xf numFmtId="0" fontId="4" fillId="0" borderId="11" xfId="23" applyFont="1" applyFill="1" applyBorder="1" applyAlignment="1">
      <alignment horizontal="center" vertical="center" wrapText="1"/>
    </xf>
    <xf numFmtId="0" fontId="4" fillId="0" borderId="3" xfId="23" applyFont="1" applyFill="1" applyBorder="1" applyAlignment="1">
      <alignment horizontal="justify" vertical="center" wrapText="1"/>
    </xf>
    <xf numFmtId="0" fontId="4" fillId="0" borderId="3" xfId="14" applyFont="1" applyFill="1" applyBorder="1" applyAlignment="1">
      <alignment horizontal="center" vertical="center" wrapText="1"/>
    </xf>
    <xf numFmtId="0" fontId="4" fillId="3" borderId="3" xfId="23" applyFont="1" applyFill="1" applyBorder="1" applyAlignment="1" applyProtection="1">
      <alignment horizontal="center" vertical="center" wrapText="1"/>
      <protection locked="0"/>
    </xf>
    <xf numFmtId="0" fontId="4" fillId="0" borderId="6" xfId="23" applyFont="1" applyFill="1" applyBorder="1" applyAlignment="1" applyProtection="1">
      <alignment horizontal="center" vertical="center" wrapText="1"/>
      <protection locked="0"/>
    </xf>
    <xf numFmtId="0" fontId="4" fillId="0" borderId="48" xfId="23" applyFont="1" applyFill="1" applyBorder="1" applyAlignment="1">
      <alignment horizontal="center" vertical="center" wrapText="1"/>
    </xf>
    <xf numFmtId="0" fontId="4" fillId="3" borderId="3" xfId="9" applyFont="1" applyFill="1" applyBorder="1" applyAlignment="1" applyProtection="1">
      <alignment horizontal="justify" vertical="center" wrapText="1"/>
      <protection locked="0"/>
    </xf>
    <xf numFmtId="0" fontId="4" fillId="0" borderId="3" xfId="9" applyFont="1" applyFill="1" applyBorder="1" applyAlignment="1" applyProtection="1">
      <alignment horizontal="center" vertical="center" wrapText="1"/>
      <protection locked="0"/>
    </xf>
    <xf numFmtId="0" fontId="53" fillId="0" borderId="3" xfId="9" applyFont="1" applyFill="1" applyBorder="1" applyAlignment="1">
      <alignment horizontal="justify" vertical="center" wrapText="1"/>
    </xf>
    <xf numFmtId="0" fontId="4" fillId="0" borderId="2" xfId="23" applyFont="1" applyFill="1" applyBorder="1" applyAlignment="1">
      <alignment horizontal="center" vertical="center" wrapText="1"/>
    </xf>
    <xf numFmtId="0" fontId="4" fillId="3" borderId="8" xfId="22" applyFont="1" applyFill="1" applyBorder="1" applyAlignment="1" applyProtection="1">
      <alignment horizontal="center" vertical="center"/>
      <protection locked="0"/>
    </xf>
    <xf numFmtId="0" fontId="4" fillId="3" borderId="8" xfId="23" applyFont="1" applyFill="1" applyBorder="1" applyAlignment="1" applyProtection="1">
      <alignment horizontal="center" vertical="center"/>
      <protection locked="0"/>
    </xf>
    <xf numFmtId="0" fontId="4" fillId="3" borderId="3" xfId="9" applyFont="1" applyFill="1" applyBorder="1" applyAlignment="1">
      <alignment horizontal="center" vertical="center" wrapText="1"/>
    </xf>
    <xf numFmtId="0" fontId="4" fillId="0" borderId="8" xfId="9" applyFont="1" applyFill="1" applyBorder="1" applyAlignment="1" applyProtection="1">
      <alignment horizontal="center" vertical="center"/>
      <protection locked="0"/>
    </xf>
    <xf numFmtId="0" fontId="4" fillId="3" borderId="15" xfId="9" applyFont="1" applyFill="1" applyBorder="1" applyAlignment="1" applyProtection="1">
      <alignment horizontal="center" vertical="center" wrapText="1"/>
      <protection locked="0"/>
    </xf>
    <xf numFmtId="0" fontId="4" fillId="3" borderId="3" xfId="9" applyFont="1" applyFill="1" applyBorder="1" applyAlignment="1" applyProtection="1">
      <alignment horizontal="center" vertical="center" wrapText="1"/>
      <protection locked="0"/>
    </xf>
    <xf numFmtId="0" fontId="132" fillId="0" borderId="8" xfId="9" applyFont="1" applyFill="1" applyBorder="1" applyAlignment="1" applyProtection="1">
      <alignment horizontal="center" vertical="center"/>
      <protection locked="0"/>
    </xf>
    <xf numFmtId="0" fontId="4" fillId="3" borderId="1" xfId="9" applyFont="1" applyFill="1" applyBorder="1" applyAlignment="1">
      <alignment horizontal="center" vertical="center" wrapText="1"/>
    </xf>
    <xf numFmtId="0" fontId="4" fillId="3" borderId="9" xfId="9" applyFont="1" applyFill="1" applyBorder="1" applyAlignment="1">
      <alignment horizontal="center" vertical="center" wrapText="1"/>
    </xf>
    <xf numFmtId="0" fontId="4" fillId="3" borderId="2" xfId="9" applyFont="1" applyFill="1" applyBorder="1" applyAlignment="1">
      <alignment horizontal="center" vertical="center" wrapText="1"/>
    </xf>
    <xf numFmtId="2" fontId="4" fillId="4" borderId="3" xfId="9" applyNumberFormat="1" applyFont="1" applyFill="1" applyBorder="1" applyAlignment="1" applyProtection="1">
      <alignment horizontal="center" vertical="center" textRotation="90" wrapText="1"/>
      <protection locked="0"/>
    </xf>
    <xf numFmtId="2" fontId="4" fillId="4" borderId="3" xfId="22" applyNumberFormat="1" applyFont="1" applyFill="1" applyBorder="1" applyAlignment="1" applyProtection="1">
      <alignment horizontal="center" vertical="center" textRotation="90" wrapText="1"/>
      <protection locked="0"/>
    </xf>
    <xf numFmtId="2" fontId="4" fillId="4" borderId="3" xfId="23" applyNumberFormat="1" applyFont="1" applyFill="1" applyBorder="1" applyAlignment="1" applyProtection="1">
      <alignment horizontal="center" vertical="center" textRotation="90" wrapText="1"/>
      <protection locked="0"/>
    </xf>
    <xf numFmtId="2" fontId="110" fillId="4" borderId="3" xfId="23" applyNumberFormat="1" applyFont="1" applyFill="1" applyBorder="1" applyAlignment="1" applyProtection="1">
      <alignment horizontal="center" vertical="center" textRotation="90" wrapText="1"/>
      <protection locked="0"/>
    </xf>
    <xf numFmtId="0" fontId="4" fillId="4" borderId="3" xfId="23" applyFont="1" applyFill="1" applyBorder="1" applyAlignment="1">
      <alignment horizontal="center" vertical="center" textRotation="90" wrapText="1"/>
    </xf>
    <xf numFmtId="2" fontId="57" fillId="4" borderId="3" xfId="24" applyNumberFormat="1" applyFont="1" applyFill="1" applyBorder="1" applyAlignment="1" applyProtection="1">
      <alignment horizontal="center" vertical="center" textRotation="90" wrapText="1"/>
      <protection locked="0"/>
    </xf>
    <xf numFmtId="0" fontId="55" fillId="3" borderId="3" xfId="22" applyFont="1" applyFill="1" applyBorder="1" applyAlignment="1" applyProtection="1">
      <alignment vertical="center" wrapText="1"/>
      <protection locked="0"/>
    </xf>
    <xf numFmtId="0" fontId="55" fillId="3" borderId="3" xfId="22" applyFont="1" applyFill="1" applyBorder="1" applyAlignment="1" applyProtection="1">
      <alignment horizontal="justify" vertical="center" wrapText="1"/>
      <protection locked="0"/>
    </xf>
    <xf numFmtId="2" fontId="4" fillId="4" borderId="3" xfId="23" applyNumberFormat="1" applyFont="1" applyFill="1" applyBorder="1" applyAlignment="1" applyProtection="1">
      <alignment horizontal="left" vertical="center" textRotation="90" wrapText="1"/>
      <protection locked="0"/>
    </xf>
    <xf numFmtId="0" fontId="50" fillId="34" borderId="57" xfId="0" applyFont="1" applyFill="1" applyBorder="1" applyAlignment="1">
      <alignment horizontal="center" vertical="center" wrapText="1"/>
    </xf>
    <xf numFmtId="2" fontId="4" fillId="0" borderId="1" xfId="23" applyNumberFormat="1" applyFont="1" applyFill="1" applyBorder="1" applyAlignment="1" applyProtection="1">
      <alignment horizontal="center" vertical="center" textRotation="90" wrapText="1"/>
      <protection locked="0"/>
    </xf>
    <xf numFmtId="2" fontId="4" fillId="0" borderId="9" xfId="23" applyNumberFormat="1" applyFont="1" applyFill="1" applyBorder="1" applyAlignment="1" applyProtection="1">
      <alignment horizontal="center" vertical="center" textRotation="90" wrapText="1"/>
      <protection locked="0"/>
    </xf>
    <xf numFmtId="2" fontId="4" fillId="0" borderId="3" xfId="23" applyNumberFormat="1" applyFont="1" applyFill="1" applyBorder="1" applyAlignment="1" applyProtection="1">
      <alignment horizontal="center" vertical="center" textRotation="90" wrapText="1"/>
      <protection locked="0"/>
    </xf>
    <xf numFmtId="0" fontId="4" fillId="0" borderId="3" xfId="23" applyFont="1" applyFill="1" applyBorder="1" applyAlignment="1" applyProtection="1">
      <alignment horizontal="center" vertical="center" textRotation="90" wrapText="1"/>
    </xf>
    <xf numFmtId="0" fontId="4" fillId="0" borderId="3" xfId="23" applyFont="1" applyFill="1" applyBorder="1" applyAlignment="1" applyProtection="1">
      <alignment horizontal="center" vertical="center" wrapText="1"/>
    </xf>
    <xf numFmtId="0" fontId="70" fillId="0" borderId="0" xfId="22" applyBorder="1" applyAlignment="1">
      <alignment horizontal="center" vertical="center" wrapText="1"/>
    </xf>
    <xf numFmtId="0" fontId="71" fillId="0" borderId="0" xfId="22" applyFont="1" applyAlignment="1">
      <alignment horizontal="center"/>
    </xf>
    <xf numFmtId="0" fontId="27" fillId="3" borderId="3" xfId="18" applyNumberFormat="1" applyFont="1" applyFill="1" applyBorder="1" applyAlignment="1">
      <alignment horizontal="center" vertical="center" wrapText="1"/>
    </xf>
    <xf numFmtId="0" fontId="7" fillId="0" borderId="3" xfId="14" applyFont="1" applyFill="1" applyBorder="1" applyAlignment="1" applyProtection="1">
      <alignment horizontal="center" vertical="center" wrapText="1"/>
      <protection locked="0"/>
    </xf>
    <xf numFmtId="0" fontId="3" fillId="0" borderId="0" xfId="22" applyFont="1" applyFill="1" applyBorder="1" applyAlignment="1">
      <alignment horizontal="center" vertical="center" wrapText="1"/>
    </xf>
    <xf numFmtId="0" fontId="27" fillId="3" borderId="3" xfId="3" applyFont="1" applyFill="1" applyBorder="1" applyAlignment="1" applyProtection="1">
      <alignment horizontal="center" vertical="center" wrapText="1"/>
      <protection locked="0"/>
    </xf>
    <xf numFmtId="0" fontId="57" fillId="0" borderId="5" xfId="24" applyFont="1" applyFill="1" applyBorder="1" applyAlignment="1" applyProtection="1">
      <alignment horizontal="center" vertical="center" wrapText="1"/>
      <protection locked="0"/>
    </xf>
    <xf numFmtId="0" fontId="57" fillId="0" borderId="3" xfId="24" applyFont="1" applyFill="1" applyBorder="1" applyAlignment="1" applyProtection="1">
      <alignment horizontal="center" vertical="center" wrapText="1"/>
      <protection locked="0"/>
    </xf>
    <xf numFmtId="0" fontId="32" fillId="0" borderId="3" xfId="23" applyFont="1" applyFill="1" applyBorder="1" applyAlignment="1" applyProtection="1">
      <alignment horizontal="left" vertical="center" wrapText="1"/>
      <protection locked="0"/>
    </xf>
    <xf numFmtId="0" fontId="27" fillId="3" borderId="32" xfId="0" applyFont="1" applyFill="1" applyBorder="1" applyAlignment="1">
      <alignment horizontal="center" vertical="center"/>
    </xf>
    <xf numFmtId="0" fontId="27" fillId="3" borderId="58" xfId="0" applyFont="1" applyFill="1" applyBorder="1" applyAlignment="1">
      <alignment horizontal="center" vertical="center"/>
    </xf>
    <xf numFmtId="0" fontId="27" fillId="3" borderId="60" xfId="0" applyFont="1" applyFill="1" applyBorder="1" applyAlignment="1">
      <alignment horizontal="center" vertical="center"/>
    </xf>
    <xf numFmtId="0" fontId="27" fillId="24" borderId="58" xfId="0" applyFont="1" applyFill="1" applyBorder="1" applyAlignment="1">
      <alignment horizontal="center" vertical="center"/>
    </xf>
    <xf numFmtId="2" fontId="4" fillId="0" borderId="3" xfId="23" applyNumberFormat="1" applyFont="1" applyFill="1" applyBorder="1" applyAlignment="1" applyProtection="1">
      <alignment horizontal="center" vertical="center" textRotation="90" wrapText="1"/>
      <protection locked="0"/>
    </xf>
    <xf numFmtId="0" fontId="4" fillId="0" borderId="3" xfId="22" applyFont="1" applyFill="1" applyBorder="1" applyAlignment="1" applyProtection="1">
      <alignment horizontal="center" vertical="center" wrapText="1"/>
      <protection locked="0"/>
    </xf>
    <xf numFmtId="0" fontId="4" fillId="0" borderId="3" xfId="23" applyFont="1" applyFill="1" applyBorder="1" applyAlignment="1" applyProtection="1">
      <alignment horizontal="center" vertical="center" textRotation="90" wrapText="1"/>
      <protection locked="0"/>
    </xf>
    <xf numFmtId="0" fontId="4" fillId="0" borderId="5" xfId="23" applyFont="1" applyFill="1" applyBorder="1" applyAlignment="1" applyProtection="1">
      <alignment horizontal="center" vertical="center" wrapText="1"/>
      <protection locked="0"/>
    </xf>
    <xf numFmtId="0" fontId="4" fillId="3" borderId="3" xfId="22" applyFont="1" applyFill="1" applyBorder="1" applyAlignment="1" applyProtection="1">
      <alignment horizontal="center" vertical="center" wrapText="1"/>
      <protection locked="0"/>
    </xf>
    <xf numFmtId="2" fontId="4" fillId="7" borderId="3" xfId="22" applyNumberFormat="1" applyFont="1" applyFill="1" applyBorder="1" applyAlignment="1" applyProtection="1">
      <alignment horizontal="center" vertical="center" textRotation="90" wrapText="1"/>
      <protection locked="0"/>
    </xf>
    <xf numFmtId="0" fontId="25" fillId="10" borderId="7" xfId="1" applyFill="1" applyBorder="1" applyAlignment="1">
      <alignment horizontal="left" vertical="center"/>
    </xf>
    <xf numFmtId="0" fontId="25" fillId="10" borderId="5" xfId="1" applyFill="1" applyBorder="1" applyAlignment="1">
      <alignment horizontal="left" vertical="center"/>
    </xf>
    <xf numFmtId="0" fontId="25" fillId="10" borderId="0" xfId="1" applyFill="1" applyBorder="1" applyAlignment="1">
      <alignment horizontal="left" vertical="center"/>
    </xf>
    <xf numFmtId="0" fontId="25" fillId="10" borderId="3" xfId="1" applyFill="1" applyBorder="1" applyAlignment="1">
      <alignment horizontal="left" vertical="center"/>
    </xf>
    <xf numFmtId="0" fontId="16" fillId="10" borderId="0" xfId="0" applyFont="1" applyFill="1" applyBorder="1" applyAlignment="1">
      <alignment horizontal="left" vertical="center" wrapText="1"/>
    </xf>
    <xf numFmtId="0" fontId="25" fillId="10" borderId="14" xfId="1" applyFill="1" applyBorder="1" applyAlignment="1">
      <alignment horizontal="left" vertical="center"/>
    </xf>
    <xf numFmtId="0" fontId="25" fillId="10" borderId="15" xfId="1" applyFill="1" applyBorder="1" applyAlignment="1">
      <alignment horizontal="left" vertical="center"/>
    </xf>
    <xf numFmtId="0" fontId="25" fillId="10" borderId="2" xfId="1" applyFill="1" applyBorder="1" applyAlignment="1">
      <alignment horizontal="left" vertical="center"/>
    </xf>
    <xf numFmtId="0" fontId="21" fillId="10" borderId="0" xfId="0" applyFont="1" applyFill="1" applyBorder="1" applyAlignment="1">
      <alignment horizontal="left" vertical="center" wrapText="1"/>
    </xf>
    <xf numFmtId="0" fontId="21" fillId="10" borderId="0" xfId="0" applyFont="1" applyFill="1" applyBorder="1" applyAlignment="1">
      <alignment horizontal="left" wrapText="1"/>
    </xf>
    <xf numFmtId="0" fontId="19" fillId="10" borderId="17" xfId="0" applyFont="1" applyFill="1" applyBorder="1" applyAlignment="1">
      <alignment horizontal="center" vertical="center"/>
    </xf>
    <xf numFmtId="0" fontId="88" fillId="50" borderId="7" xfId="0" applyFont="1" applyFill="1" applyBorder="1" applyAlignment="1">
      <alignment horizontal="center" vertical="center"/>
    </xf>
    <xf numFmtId="0" fontId="88" fillId="50" borderId="8" xfId="0" applyFont="1" applyFill="1" applyBorder="1" applyAlignment="1">
      <alignment horizontal="center" vertical="center"/>
    </xf>
    <xf numFmtId="0" fontId="88" fillId="50" borderId="5" xfId="0" applyFont="1" applyFill="1" applyBorder="1" applyAlignment="1">
      <alignment horizontal="center" vertical="center"/>
    </xf>
    <xf numFmtId="0" fontId="21" fillId="10" borderId="0" xfId="0" applyFont="1" applyFill="1" applyBorder="1" applyAlignment="1">
      <alignment horizontal="left" vertical="center"/>
    </xf>
    <xf numFmtId="0" fontId="51" fillId="10" borderId="14" xfId="0" applyFont="1" applyFill="1" applyBorder="1" applyAlignment="1">
      <alignment horizontal="center" vertical="center"/>
    </xf>
    <xf numFmtId="0" fontId="51" fillId="10" borderId="15" xfId="0" applyFont="1" applyFill="1" applyBorder="1" applyAlignment="1">
      <alignment horizontal="center" vertical="center"/>
    </xf>
    <xf numFmtId="0" fontId="51" fillId="10" borderId="12" xfId="0" applyFont="1" applyFill="1" applyBorder="1" applyAlignment="1">
      <alignment horizontal="center" vertical="center"/>
    </xf>
    <xf numFmtId="0" fontId="51" fillId="10" borderId="6" xfId="0" applyFont="1" applyFill="1" applyBorder="1" applyAlignment="1">
      <alignment horizontal="center" vertical="center"/>
    </xf>
    <xf numFmtId="0" fontId="20" fillId="10" borderId="4" xfId="0" applyFont="1" applyFill="1" applyBorder="1" applyAlignment="1">
      <alignment horizontal="left" vertical="center" wrapText="1"/>
    </xf>
    <xf numFmtId="0" fontId="20" fillId="10" borderId="13" xfId="0" applyFont="1" applyFill="1" applyBorder="1" applyAlignment="1">
      <alignment horizontal="left" vertical="center" wrapText="1"/>
    </xf>
    <xf numFmtId="0" fontId="21" fillId="10" borderId="4"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25" fillId="10" borderId="12" xfId="1" applyFill="1" applyBorder="1" applyAlignment="1">
      <alignment horizontal="left" vertical="center"/>
    </xf>
    <xf numFmtId="0" fontId="25" fillId="10" borderId="6" xfId="1" applyFill="1" applyBorder="1" applyAlignment="1">
      <alignment horizontal="left" vertical="center"/>
    </xf>
    <xf numFmtId="0" fontId="28" fillId="3" borderId="3" xfId="0" applyFont="1" applyFill="1" applyBorder="1" applyAlignment="1">
      <alignment horizontal="center"/>
    </xf>
    <xf numFmtId="0" fontId="29" fillId="3" borderId="3" xfId="0" applyFont="1" applyFill="1" applyBorder="1" applyAlignment="1">
      <alignment horizontal="center"/>
    </xf>
    <xf numFmtId="0" fontId="27" fillId="3" borderId="3" xfId="0" applyFont="1" applyFill="1" applyBorder="1" applyAlignment="1">
      <alignment horizontal="center"/>
    </xf>
    <xf numFmtId="0" fontId="50" fillId="34" borderId="57" xfId="0" applyFont="1" applyFill="1" applyBorder="1" applyAlignment="1">
      <alignment horizontal="center" vertical="center" wrapText="1"/>
    </xf>
    <xf numFmtId="0" fontId="50" fillId="34" borderId="63" xfId="0" applyFont="1" applyFill="1" applyBorder="1" applyAlignment="1">
      <alignment horizontal="center" vertical="center" wrapText="1"/>
    </xf>
    <xf numFmtId="0" fontId="28" fillId="31" borderId="3" xfId="0" applyFont="1" applyFill="1" applyBorder="1" applyAlignment="1">
      <alignment horizontal="center" vertical="center" wrapText="1"/>
    </xf>
    <xf numFmtId="2" fontId="4" fillId="0" borderId="1" xfId="23" applyNumberFormat="1" applyFont="1" applyFill="1" applyBorder="1" applyAlignment="1" applyProtection="1">
      <alignment horizontal="center" vertical="center" textRotation="90" wrapText="1"/>
      <protection locked="0"/>
    </xf>
    <xf numFmtId="2" fontId="4" fillId="0" borderId="9" xfId="23" applyNumberFormat="1" applyFont="1" applyFill="1" applyBorder="1" applyAlignment="1" applyProtection="1">
      <alignment horizontal="center" vertical="center" textRotation="90" wrapText="1"/>
      <protection locked="0"/>
    </xf>
    <xf numFmtId="0" fontId="4" fillId="0" borderId="1" xfId="23" applyFont="1" applyFill="1" applyBorder="1" applyAlignment="1" applyProtection="1">
      <alignment horizontal="center" vertical="center" textRotation="90" wrapText="1"/>
    </xf>
    <xf numFmtId="0" fontId="4" fillId="0" borderId="9" xfId="23" applyFont="1" applyFill="1" applyBorder="1" applyAlignment="1" applyProtection="1">
      <alignment horizontal="center" vertical="center" textRotation="90" wrapText="1"/>
    </xf>
    <xf numFmtId="0" fontId="0" fillId="6" borderId="0" xfId="0" applyFill="1" applyAlignment="1">
      <alignment horizontal="center" vertical="center"/>
    </xf>
    <xf numFmtId="0" fontId="4" fillId="0" borderId="3" xfId="0" applyFont="1" applyFill="1" applyBorder="1" applyAlignment="1">
      <alignment horizontal="center" vertical="center" textRotation="90" wrapText="1"/>
    </xf>
    <xf numFmtId="0" fontId="4" fillId="0" borderId="3" xfId="0" applyFont="1" applyFill="1" applyBorder="1" applyAlignment="1">
      <alignment horizontal="center" vertical="center" wrapText="1"/>
    </xf>
    <xf numFmtId="0" fontId="3" fillId="15" borderId="3" xfId="0" applyFont="1" applyFill="1" applyBorder="1" applyAlignment="1">
      <alignment horizontal="center" vertical="center" wrapText="1"/>
    </xf>
    <xf numFmtId="0" fontId="3" fillId="12" borderId="3" xfId="0" applyFont="1" applyFill="1" applyBorder="1" applyAlignment="1">
      <alignment horizontal="center" vertical="center" wrapText="1"/>
    </xf>
    <xf numFmtId="0" fontId="0" fillId="0" borderId="3" xfId="0" applyBorder="1" applyAlignment="1">
      <alignment horizontal="center" vertical="center"/>
    </xf>
    <xf numFmtId="0" fontId="4" fillId="0" borderId="3" xfId="0" applyFont="1" applyBorder="1" applyAlignment="1">
      <alignment horizontal="center" vertical="center"/>
    </xf>
    <xf numFmtId="0" fontId="3" fillId="13" borderId="3" xfId="0" applyFont="1" applyFill="1" applyBorder="1" applyAlignment="1">
      <alignment horizontal="center" vertical="center" wrapText="1"/>
    </xf>
    <xf numFmtId="0" fontId="3" fillId="14" borderId="3" xfId="0" applyFont="1" applyFill="1" applyBorder="1" applyAlignment="1">
      <alignment horizontal="center" vertical="center" wrapText="1"/>
    </xf>
    <xf numFmtId="0" fontId="29" fillId="53" borderId="1" xfId="0" applyFont="1" applyFill="1" applyBorder="1" applyAlignment="1">
      <alignment horizontal="center" vertical="center"/>
    </xf>
    <xf numFmtId="0" fontId="29" fillId="53" borderId="2" xfId="0" applyFont="1" applyFill="1" applyBorder="1" applyAlignment="1">
      <alignment horizontal="center" vertical="center"/>
    </xf>
    <xf numFmtId="0" fontId="29" fillId="53" borderId="14" xfId="0" applyFont="1" applyFill="1" applyBorder="1" applyAlignment="1">
      <alignment horizontal="center" vertical="center" wrapText="1"/>
    </xf>
    <xf numFmtId="0" fontId="29" fillId="53" borderId="12" xfId="0" applyFont="1" applyFill="1" applyBorder="1" applyAlignment="1">
      <alignment horizontal="center" vertical="center" wrapText="1"/>
    </xf>
    <xf numFmtId="0" fontId="89" fillId="52" borderId="0" xfId="0" applyFont="1" applyFill="1" applyAlignment="1">
      <alignment horizontal="center" vertical="center"/>
    </xf>
    <xf numFmtId="0" fontId="89" fillId="51" borderId="0" xfId="0" applyFont="1" applyFill="1" applyAlignment="1">
      <alignment horizontal="center" vertical="center"/>
    </xf>
    <xf numFmtId="0" fontId="41" fillId="0" borderId="0" xfId="0" applyFont="1" applyAlignment="1">
      <alignment horizontal="center"/>
    </xf>
    <xf numFmtId="0" fontId="29" fillId="53" borderId="0" xfId="0" applyFont="1" applyFill="1" applyAlignment="1">
      <alignment horizontal="center" vertical="center"/>
    </xf>
    <xf numFmtId="0" fontId="29" fillId="53" borderId="7" xfId="0" applyFont="1" applyFill="1" applyBorder="1" applyAlignment="1">
      <alignment horizontal="center" vertical="center"/>
    </xf>
    <xf numFmtId="0" fontId="29" fillId="53" borderId="8" xfId="0" applyFont="1" applyFill="1" applyBorder="1" applyAlignment="1">
      <alignment horizontal="center" vertical="center"/>
    </xf>
    <xf numFmtId="0" fontId="29" fillId="53" borderId="5" xfId="0" applyFont="1" applyFill="1" applyBorder="1" applyAlignment="1">
      <alignment horizontal="center" vertical="center"/>
    </xf>
    <xf numFmtId="0" fontId="29" fillId="53" borderId="1" xfId="0" applyFont="1" applyFill="1" applyBorder="1" applyAlignment="1">
      <alignment horizontal="center" vertical="center" textRotation="90"/>
    </xf>
    <xf numFmtId="0" fontId="29" fillId="53" borderId="9" xfId="0" applyFont="1" applyFill="1" applyBorder="1" applyAlignment="1">
      <alignment horizontal="center" vertical="center" textRotation="90"/>
    </xf>
    <xf numFmtId="0" fontId="29" fillId="53" borderId="2" xfId="0" applyFont="1" applyFill="1" applyBorder="1" applyAlignment="1">
      <alignment horizontal="center" vertical="center" textRotation="90"/>
    </xf>
    <xf numFmtId="0" fontId="18" fillId="0" borderId="3" xfId="22" applyFont="1" applyFill="1" applyBorder="1" applyAlignment="1">
      <alignment horizontal="center" vertical="center" wrapText="1"/>
    </xf>
    <xf numFmtId="0" fontId="68" fillId="36" borderId="19" xfId="22" applyFont="1" applyFill="1" applyBorder="1" applyAlignment="1">
      <alignment horizontal="center" vertical="center" wrapText="1"/>
    </xf>
    <xf numFmtId="0" fontId="68" fillId="36" borderId="0" xfId="22" applyFont="1" applyFill="1" applyBorder="1" applyAlignment="1">
      <alignment horizontal="center" vertical="center" wrapText="1"/>
    </xf>
    <xf numFmtId="0" fontId="68" fillId="36" borderId="29" xfId="22" applyFont="1" applyFill="1" applyBorder="1" applyAlignment="1">
      <alignment horizontal="center" vertical="center" wrapText="1"/>
    </xf>
    <xf numFmtId="0" fontId="68" fillId="36" borderId="74" xfId="22" applyFont="1" applyFill="1" applyBorder="1" applyAlignment="1">
      <alignment horizontal="center" vertical="center" wrapText="1"/>
    </xf>
    <xf numFmtId="14" fontId="70" fillId="0" borderId="14" xfId="22" applyNumberFormat="1" applyBorder="1" applyAlignment="1">
      <alignment horizontal="center" vertical="center" wrapText="1"/>
    </xf>
    <xf numFmtId="14" fontId="70" fillId="0" borderId="13" xfId="22" applyNumberFormat="1" applyBorder="1" applyAlignment="1">
      <alignment horizontal="center" vertical="center" wrapText="1"/>
    </xf>
    <xf numFmtId="0" fontId="70" fillId="0" borderId="15" xfId="22" applyBorder="1" applyAlignment="1">
      <alignment horizontal="center" vertical="center" wrapText="1"/>
    </xf>
    <xf numFmtId="0" fontId="70" fillId="0" borderId="12" xfId="22" applyBorder="1" applyAlignment="1">
      <alignment horizontal="center" vertical="center" wrapText="1"/>
    </xf>
    <xf numFmtId="0" fontId="70" fillId="0" borderId="4" xfId="22" applyBorder="1" applyAlignment="1">
      <alignment horizontal="center" vertical="center" wrapText="1"/>
    </xf>
    <xf numFmtId="0" fontId="70" fillId="0" borderId="6" xfId="22" applyBorder="1" applyAlignment="1">
      <alignment horizontal="center" vertical="center" wrapText="1"/>
    </xf>
    <xf numFmtId="0" fontId="13" fillId="3" borderId="3" xfId="22" applyFont="1" applyFill="1" applyBorder="1" applyAlignment="1">
      <alignment horizontal="center" vertical="center"/>
    </xf>
    <xf numFmtId="0" fontId="66" fillId="3" borderId="68" xfId="22" applyFont="1" applyFill="1" applyBorder="1" applyAlignment="1">
      <alignment horizontal="center" vertical="center" wrapText="1"/>
    </xf>
    <xf numFmtId="0" fontId="66" fillId="3" borderId="39" xfId="22" applyFont="1" applyFill="1" applyBorder="1" applyAlignment="1">
      <alignment horizontal="center" vertical="center" wrapText="1"/>
    </xf>
    <xf numFmtId="0" fontId="66" fillId="3" borderId="69" xfId="22" applyFont="1" applyFill="1" applyBorder="1" applyAlignment="1">
      <alignment horizontal="center" vertical="center" wrapText="1"/>
    </xf>
    <xf numFmtId="0" fontId="3" fillId="0" borderId="3" xfId="22" applyFont="1" applyFill="1" applyBorder="1" applyAlignment="1">
      <alignment horizontal="center" vertical="center" wrapText="1"/>
    </xf>
    <xf numFmtId="0" fontId="3" fillId="0" borderId="3" xfId="22" applyFont="1" applyFill="1" applyBorder="1" applyAlignment="1">
      <alignment horizontal="center" vertical="center" textRotation="90" wrapText="1"/>
    </xf>
    <xf numFmtId="0" fontId="3" fillId="0" borderId="14" xfId="22" applyFont="1" applyFill="1" applyBorder="1" applyAlignment="1">
      <alignment horizontal="center" vertical="center" wrapText="1"/>
    </xf>
    <xf numFmtId="0" fontId="3" fillId="0" borderId="13" xfId="22" applyFont="1" applyFill="1" applyBorder="1" applyAlignment="1">
      <alignment horizontal="center" vertical="center" wrapText="1"/>
    </xf>
    <xf numFmtId="0" fontId="3" fillId="0" borderId="15" xfId="22" applyFont="1" applyFill="1" applyBorder="1" applyAlignment="1">
      <alignment horizontal="center" vertical="center" wrapText="1"/>
    </xf>
    <xf numFmtId="0" fontId="3" fillId="0" borderId="12" xfId="22" applyFont="1" applyFill="1" applyBorder="1" applyAlignment="1">
      <alignment horizontal="center" vertical="center" wrapText="1"/>
    </xf>
    <xf numFmtId="0" fontId="3" fillId="0" borderId="4" xfId="22" applyFont="1" applyFill="1" applyBorder="1" applyAlignment="1">
      <alignment horizontal="center" vertical="center" wrapText="1"/>
    </xf>
    <xf numFmtId="0" fontId="3" fillId="0" borderId="6" xfId="22" applyFont="1" applyFill="1" applyBorder="1" applyAlignment="1">
      <alignment horizontal="center" vertical="center" wrapText="1"/>
    </xf>
    <xf numFmtId="0" fontId="3" fillId="0" borderId="7" xfId="22" applyFont="1" applyFill="1" applyBorder="1" applyAlignment="1">
      <alignment horizontal="center" vertical="center" wrapText="1"/>
    </xf>
    <xf numFmtId="0" fontId="3" fillId="0" borderId="8" xfId="22" applyFont="1" applyFill="1" applyBorder="1" applyAlignment="1">
      <alignment horizontal="center" vertical="center" wrapText="1"/>
    </xf>
    <xf numFmtId="49" fontId="3" fillId="0" borderId="12" xfId="22" applyNumberFormat="1" applyFont="1" applyFill="1" applyBorder="1" applyAlignment="1">
      <alignment horizontal="center" vertical="center" wrapText="1"/>
    </xf>
    <xf numFmtId="49" fontId="3" fillId="0" borderId="4" xfId="22" applyNumberFormat="1" applyFont="1" applyFill="1" applyBorder="1" applyAlignment="1">
      <alignment horizontal="center" vertical="center" wrapText="1"/>
    </xf>
    <xf numFmtId="49" fontId="3" fillId="0" borderId="6" xfId="22" applyNumberFormat="1" applyFont="1" applyFill="1" applyBorder="1" applyAlignment="1">
      <alignment horizontal="center" vertical="center" wrapText="1"/>
    </xf>
    <xf numFmtId="49" fontId="3" fillId="29" borderId="7" xfId="22" applyNumberFormat="1" applyFont="1" applyFill="1" applyBorder="1" applyAlignment="1">
      <alignment horizontal="center" vertical="center" wrapText="1"/>
    </xf>
    <xf numFmtId="49" fontId="3" fillId="29" borderId="8" xfId="22" applyNumberFormat="1" applyFont="1" applyFill="1" applyBorder="1" applyAlignment="1">
      <alignment horizontal="center" vertical="center" wrapText="1"/>
    </xf>
    <xf numFmtId="49" fontId="3" fillId="29" borderId="5" xfId="22" applyNumberFormat="1" applyFont="1" applyFill="1" applyBorder="1" applyAlignment="1">
      <alignment horizontal="center" vertical="center" wrapText="1"/>
    </xf>
    <xf numFmtId="0" fontId="3" fillId="24" borderId="7" xfId="22" applyFont="1" applyFill="1" applyBorder="1" applyAlignment="1">
      <alignment horizontal="center" vertical="center"/>
    </xf>
    <xf numFmtId="0" fontId="3" fillId="24" borderId="8" xfId="22" applyFont="1" applyFill="1" applyBorder="1" applyAlignment="1">
      <alignment horizontal="center" vertical="center"/>
    </xf>
    <xf numFmtId="0" fontId="3" fillId="24" borderId="5" xfId="22" applyFont="1" applyFill="1" applyBorder="1" applyAlignment="1">
      <alignment horizontal="center" vertical="center"/>
    </xf>
    <xf numFmtId="0" fontId="66" fillId="0" borderId="21" xfId="22" applyFont="1" applyBorder="1" applyAlignment="1">
      <alignment horizontal="center" vertical="center" wrapText="1"/>
    </xf>
    <xf numFmtId="0" fontId="66" fillId="0" borderId="22" xfId="22" applyFont="1" applyBorder="1" applyAlignment="1">
      <alignment horizontal="center" vertical="center" wrapText="1"/>
    </xf>
    <xf numFmtId="0" fontId="66" fillId="0" borderId="73" xfId="22" applyFont="1" applyBorder="1" applyAlignment="1">
      <alignment horizontal="center" vertical="center" wrapText="1"/>
    </xf>
    <xf numFmtId="0" fontId="66" fillId="0" borderId="72" xfId="22" applyFont="1" applyBorder="1" applyAlignment="1">
      <alignment horizontal="center" vertical="center" wrapText="1"/>
    </xf>
    <xf numFmtId="15" fontId="7" fillId="0" borderId="24" xfId="22" applyNumberFormat="1" applyFont="1" applyBorder="1" applyAlignment="1">
      <alignment horizontal="center" vertical="center"/>
    </xf>
    <xf numFmtId="0" fontId="7" fillId="0" borderId="75" xfId="22" applyFont="1" applyBorder="1" applyAlignment="1">
      <alignment horizontal="center" vertical="center"/>
    </xf>
    <xf numFmtId="0" fontId="7" fillId="0" borderId="75" xfId="22" applyFont="1" applyFill="1" applyBorder="1" applyAlignment="1">
      <alignment horizontal="center" vertical="center"/>
    </xf>
    <xf numFmtId="0" fontId="7" fillId="0" borderId="76" xfId="22" applyFont="1" applyFill="1" applyBorder="1" applyAlignment="1">
      <alignment horizontal="center" vertical="center"/>
    </xf>
    <xf numFmtId="0" fontId="3" fillId="45" borderId="8" xfId="22" applyFont="1" applyFill="1" applyBorder="1" applyAlignment="1">
      <alignment horizontal="center"/>
    </xf>
    <xf numFmtId="0" fontId="3" fillId="45" borderId="5" xfId="22" applyFont="1" applyFill="1" applyBorder="1" applyAlignment="1">
      <alignment horizontal="center"/>
    </xf>
    <xf numFmtId="0" fontId="71" fillId="3" borderId="0" xfId="22" applyFont="1" applyFill="1" applyAlignment="1">
      <alignment horizontal="center"/>
    </xf>
    <xf numFmtId="0" fontId="6" fillId="8" borderId="3" xfId="22" applyFont="1" applyFill="1" applyBorder="1" applyAlignment="1">
      <alignment horizontal="center" vertical="center" wrapText="1"/>
    </xf>
    <xf numFmtId="0" fontId="65" fillId="36" borderId="16" xfId="22" applyFont="1" applyFill="1" applyBorder="1" applyAlignment="1">
      <alignment horizontal="center" vertical="center" wrapText="1"/>
    </xf>
    <xf numFmtId="0" fontId="65" fillId="36" borderId="17" xfId="22" applyFont="1" applyFill="1" applyBorder="1" applyAlignment="1">
      <alignment horizontal="center" vertical="center" wrapText="1"/>
    </xf>
    <xf numFmtId="0" fontId="65" fillId="36" borderId="67" xfId="22" applyFont="1" applyFill="1" applyBorder="1" applyAlignment="1">
      <alignment horizontal="center" vertical="center" wrapText="1"/>
    </xf>
    <xf numFmtId="0" fontId="71" fillId="0" borderId="17" xfId="22" applyFont="1" applyBorder="1" applyAlignment="1">
      <alignment horizontal="center"/>
    </xf>
    <xf numFmtId="0" fontId="71" fillId="0" borderId="18" xfId="22" applyFont="1" applyBorder="1" applyAlignment="1">
      <alignment horizontal="center"/>
    </xf>
    <xf numFmtId="0" fontId="71" fillId="0" borderId="0" xfId="22" applyFont="1" applyBorder="1" applyAlignment="1">
      <alignment horizontal="center"/>
    </xf>
    <xf numFmtId="0" fontId="71" fillId="0" borderId="20" xfId="22" applyFont="1" applyBorder="1" applyAlignment="1">
      <alignment horizontal="center"/>
    </xf>
    <xf numFmtId="0" fontId="71" fillId="0" borderId="22" xfId="22" applyFont="1" applyBorder="1" applyAlignment="1">
      <alignment horizontal="center"/>
    </xf>
    <xf numFmtId="0" fontId="71" fillId="0" borderId="23" xfId="22" applyFont="1" applyBorder="1" applyAlignment="1">
      <alignment horizontal="center"/>
    </xf>
    <xf numFmtId="0" fontId="3" fillId="4" borderId="3" xfId="22" applyFont="1" applyFill="1" applyBorder="1" applyAlignment="1">
      <alignment horizontal="center" vertical="center" wrapText="1"/>
    </xf>
    <xf numFmtId="0" fontId="3" fillId="4" borderId="3" xfId="22" applyFont="1" applyFill="1" applyBorder="1" applyAlignment="1">
      <alignment horizontal="left" vertical="center" wrapText="1" indent="1"/>
    </xf>
    <xf numFmtId="0" fontId="3" fillId="4" borderId="3" xfId="22" applyFont="1" applyFill="1" applyBorder="1" applyAlignment="1">
      <alignment horizontal="left" vertical="center" indent="1"/>
    </xf>
    <xf numFmtId="0" fontId="70" fillId="3" borderId="3" xfId="22" applyFill="1" applyBorder="1" applyAlignment="1">
      <alignment horizontal="center"/>
    </xf>
    <xf numFmtId="0" fontId="70" fillId="0" borderId="3" xfId="22" applyBorder="1" applyAlignment="1">
      <alignment horizontal="center"/>
    </xf>
    <xf numFmtId="0" fontId="3" fillId="43" borderId="14" xfId="22" applyFont="1" applyFill="1" applyBorder="1" applyAlignment="1">
      <alignment horizontal="center" vertical="center" wrapText="1"/>
    </xf>
    <xf numFmtId="0" fontId="3" fillId="43" borderId="13" xfId="22" applyFont="1" applyFill="1" applyBorder="1" applyAlignment="1">
      <alignment horizontal="center" vertical="center" wrapText="1"/>
    </xf>
    <xf numFmtId="0" fontId="3" fillId="43" borderId="15" xfId="22" applyFont="1" applyFill="1" applyBorder="1" applyAlignment="1">
      <alignment horizontal="center" vertical="center" wrapText="1"/>
    </xf>
    <xf numFmtId="0" fontId="3" fillId="4" borderId="25" xfId="22" applyFont="1" applyFill="1" applyBorder="1" applyAlignment="1">
      <alignment horizontal="center" vertical="center"/>
    </xf>
    <xf numFmtId="0" fontId="3" fillId="4" borderId="57" xfId="22" applyFont="1" applyFill="1" applyBorder="1" applyAlignment="1">
      <alignment horizontal="center" vertical="center"/>
    </xf>
    <xf numFmtId="0" fontId="3" fillId="4" borderId="63" xfId="22" applyFont="1" applyFill="1" applyBorder="1" applyAlignment="1">
      <alignment horizontal="center" vertical="center"/>
    </xf>
    <xf numFmtId="0" fontId="3" fillId="4" borderId="61" xfId="22" applyFont="1" applyFill="1" applyBorder="1" applyAlignment="1">
      <alignment horizontal="center" vertical="center"/>
    </xf>
    <xf numFmtId="0" fontId="3" fillId="4" borderId="62" xfId="22" applyFont="1" applyFill="1" applyBorder="1" applyAlignment="1">
      <alignment horizontal="center" vertical="center"/>
    </xf>
    <xf numFmtId="0" fontId="7" fillId="3" borderId="62" xfId="22" applyFont="1" applyFill="1" applyBorder="1" applyAlignment="1">
      <alignment horizontal="center" vertical="center"/>
    </xf>
    <xf numFmtId="0" fontId="7" fillId="3" borderId="66" xfId="22" applyFont="1" applyFill="1" applyBorder="1" applyAlignment="1">
      <alignment horizontal="center" vertical="center"/>
    </xf>
    <xf numFmtId="0" fontId="4" fillId="0" borderId="7" xfId="23" applyFont="1" applyFill="1" applyBorder="1" applyAlignment="1" applyProtection="1">
      <alignment horizontal="left" vertical="center" wrapText="1"/>
      <protection locked="0"/>
    </xf>
    <xf numFmtId="0" fontId="4" fillId="0" borderId="8" xfId="23" applyFont="1" applyFill="1" applyBorder="1" applyAlignment="1" applyProtection="1">
      <alignment horizontal="left" vertical="center" wrapText="1"/>
      <protection locked="0"/>
    </xf>
    <xf numFmtId="0" fontId="4" fillId="0" borderId="5" xfId="23" applyFont="1" applyFill="1" applyBorder="1" applyAlignment="1" applyProtection="1">
      <alignment horizontal="left" vertical="center" wrapText="1"/>
      <protection locked="0"/>
    </xf>
    <xf numFmtId="0" fontId="3" fillId="0" borderId="14" xfId="23" applyFont="1" applyFill="1" applyBorder="1" applyAlignment="1" applyProtection="1">
      <alignment horizontal="center" vertical="center" wrapText="1"/>
      <protection locked="0"/>
    </xf>
    <xf numFmtId="0" fontId="3" fillId="0" borderId="13" xfId="23" applyFont="1" applyFill="1" applyBorder="1" applyAlignment="1" applyProtection="1">
      <alignment horizontal="center" vertical="center" wrapText="1"/>
      <protection locked="0"/>
    </xf>
    <xf numFmtId="0" fontId="3" fillId="0" borderId="15" xfId="23" applyFont="1" applyFill="1" applyBorder="1" applyAlignment="1" applyProtection="1">
      <alignment horizontal="center" vertical="center" wrapText="1"/>
      <protection locked="0"/>
    </xf>
    <xf numFmtId="0" fontId="4" fillId="0" borderId="14" xfId="23" applyFont="1" applyFill="1" applyBorder="1" applyAlignment="1" applyProtection="1">
      <alignment horizontal="justify" vertical="center" wrapText="1"/>
      <protection locked="0"/>
    </xf>
    <xf numFmtId="0" fontId="4" fillId="0" borderId="13" xfId="23" applyFont="1" applyFill="1" applyBorder="1" applyAlignment="1" applyProtection="1">
      <alignment horizontal="justify" vertical="center" wrapText="1"/>
      <protection locked="0"/>
    </xf>
    <xf numFmtId="0" fontId="4" fillId="0" borderId="15" xfId="23" applyFont="1" applyFill="1" applyBorder="1" applyAlignment="1" applyProtection="1">
      <alignment horizontal="justify" vertical="center" wrapText="1"/>
      <protection locked="0"/>
    </xf>
    <xf numFmtId="0" fontId="4" fillId="0" borderId="14" xfId="23" applyFont="1" applyFill="1" applyBorder="1" applyAlignment="1" applyProtection="1">
      <alignment horizontal="left" vertical="center" wrapText="1"/>
      <protection locked="0"/>
    </xf>
    <xf numFmtId="0" fontId="4" fillId="0" borderId="13" xfId="23" applyFont="1" applyFill="1" applyBorder="1" applyAlignment="1" applyProtection="1">
      <alignment horizontal="left" vertical="center" wrapText="1"/>
      <protection locked="0"/>
    </xf>
    <xf numFmtId="0" fontId="4" fillId="0" borderId="15" xfId="23" applyFont="1" applyFill="1" applyBorder="1" applyAlignment="1" applyProtection="1">
      <alignment horizontal="left" vertical="center" wrapText="1"/>
      <protection locked="0"/>
    </xf>
    <xf numFmtId="0" fontId="3" fillId="0" borderId="1" xfId="22" applyFont="1" applyFill="1" applyBorder="1" applyAlignment="1">
      <alignment horizontal="center" vertical="center" wrapText="1"/>
    </xf>
    <xf numFmtId="0" fontId="3" fillId="0" borderId="2" xfId="22" applyFont="1" applyFill="1" applyBorder="1" applyAlignment="1">
      <alignment horizontal="center" vertical="center" wrapText="1"/>
    </xf>
    <xf numFmtId="0" fontId="3" fillId="0" borderId="1" xfId="22" applyFont="1" applyFill="1" applyBorder="1" applyAlignment="1">
      <alignment horizontal="center" vertical="center" textRotation="90" wrapText="1"/>
    </xf>
    <xf numFmtId="0" fontId="3" fillId="0" borderId="2" xfId="22" applyFont="1" applyFill="1" applyBorder="1" applyAlignment="1">
      <alignment horizontal="center" vertical="center" textRotation="90" wrapText="1"/>
    </xf>
    <xf numFmtId="49" fontId="3" fillId="0" borderId="3" xfId="22" applyNumberFormat="1" applyFont="1" applyFill="1" applyBorder="1" applyAlignment="1">
      <alignment horizontal="center" vertical="center" wrapText="1"/>
    </xf>
    <xf numFmtId="0" fontId="3" fillId="14" borderId="7" xfId="23" applyFont="1" applyFill="1" applyBorder="1" applyAlignment="1" applyProtection="1">
      <alignment horizontal="center" vertical="center" wrapText="1"/>
      <protection locked="0"/>
    </xf>
    <xf numFmtId="0" fontId="3" fillId="14" borderId="8" xfId="23" applyFont="1" applyFill="1" applyBorder="1" applyAlignment="1" applyProtection="1">
      <alignment horizontal="center" vertical="center" wrapText="1"/>
      <protection locked="0"/>
    </xf>
    <xf numFmtId="0" fontId="3" fillId="14" borderId="5" xfId="23" applyFont="1" applyFill="1" applyBorder="1" applyAlignment="1" applyProtection="1">
      <alignment horizontal="center" vertical="center" wrapText="1"/>
      <protection locked="0"/>
    </xf>
    <xf numFmtId="0" fontId="4" fillId="14" borderId="7" xfId="23" applyFont="1" applyFill="1" applyBorder="1" applyAlignment="1" applyProtection="1">
      <alignment horizontal="left" vertical="center" wrapText="1"/>
      <protection locked="0"/>
    </xf>
    <xf numFmtId="0" fontId="4" fillId="14" borderId="8" xfId="23" applyFont="1" applyFill="1" applyBorder="1" applyAlignment="1" applyProtection="1">
      <alignment horizontal="left" vertical="center" wrapText="1"/>
      <protection locked="0"/>
    </xf>
    <xf numFmtId="0" fontId="4" fillId="14" borderId="5" xfId="23" applyFont="1" applyFill="1" applyBorder="1" applyAlignment="1" applyProtection="1">
      <alignment horizontal="left" vertical="center" wrapText="1"/>
      <protection locked="0"/>
    </xf>
    <xf numFmtId="0" fontId="4" fillId="14" borderId="3" xfId="23" applyFont="1" applyFill="1" applyBorder="1" applyAlignment="1" applyProtection="1">
      <alignment horizontal="center" vertical="center" wrapText="1"/>
      <protection locked="0"/>
    </xf>
    <xf numFmtId="0" fontId="4" fillId="0" borderId="1" xfId="23" applyFont="1" applyFill="1" applyBorder="1" applyAlignment="1" applyProtection="1">
      <alignment horizontal="center" vertical="center" wrapText="1"/>
      <protection locked="0"/>
    </xf>
    <xf numFmtId="0" fontId="4" fillId="0" borderId="9" xfId="23" applyFont="1" applyFill="1" applyBorder="1" applyAlignment="1" applyProtection="1">
      <alignment horizontal="center" vertical="center" wrapText="1"/>
      <protection locked="0"/>
    </xf>
    <xf numFmtId="0" fontId="4" fillId="0" borderId="1" xfId="9" applyFont="1" applyFill="1" applyBorder="1" applyAlignment="1" applyProtection="1">
      <alignment horizontal="center" vertical="center" textRotation="90" wrapText="1"/>
      <protection locked="0"/>
    </xf>
    <xf numFmtId="0" fontId="4" fillId="0" borderId="9" xfId="9" applyFont="1" applyFill="1" applyBorder="1" applyAlignment="1" applyProtection="1">
      <alignment horizontal="center" vertical="center" textRotation="90" wrapText="1"/>
      <protection locked="0"/>
    </xf>
    <xf numFmtId="0" fontId="3" fillId="0" borderId="14" xfId="9" applyFont="1" applyFill="1" applyBorder="1" applyAlignment="1" applyProtection="1">
      <alignment horizontal="center" vertical="center" wrapText="1"/>
      <protection locked="0"/>
    </xf>
    <xf numFmtId="0" fontId="3" fillId="0" borderId="13" xfId="9" applyFont="1" applyFill="1" applyBorder="1" applyAlignment="1" applyProtection="1">
      <alignment horizontal="center" vertical="center" wrapText="1"/>
      <protection locked="0"/>
    </xf>
    <xf numFmtId="0" fontId="3" fillId="0" borderId="15" xfId="9" applyFont="1" applyFill="1" applyBorder="1" applyAlignment="1" applyProtection="1">
      <alignment horizontal="center" vertical="center" wrapText="1"/>
      <protection locked="0"/>
    </xf>
    <xf numFmtId="0" fontId="3" fillId="0" borderId="10" xfId="9" applyFont="1" applyFill="1" applyBorder="1" applyAlignment="1" applyProtection="1">
      <alignment horizontal="center" vertical="center" wrapText="1"/>
      <protection locked="0"/>
    </xf>
    <xf numFmtId="0" fontId="3" fillId="0" borderId="0" xfId="9" applyFont="1" applyFill="1" applyBorder="1" applyAlignment="1" applyProtection="1">
      <alignment horizontal="center" vertical="center" wrapText="1"/>
      <protection locked="0"/>
    </xf>
    <xf numFmtId="0" fontId="3" fillId="0" borderId="11" xfId="9" applyFont="1" applyFill="1" applyBorder="1" applyAlignment="1" applyProtection="1">
      <alignment horizontal="center" vertical="center" wrapText="1"/>
      <protection locked="0"/>
    </xf>
    <xf numFmtId="0" fontId="4" fillId="0" borderId="14" xfId="23" applyFont="1" applyFill="1" applyBorder="1" applyAlignment="1" applyProtection="1">
      <alignment horizontal="center" vertical="center" textRotation="90" wrapText="1"/>
      <protection locked="0"/>
    </xf>
    <xf numFmtId="0" fontId="4" fillId="0" borderId="10" xfId="23" applyFont="1" applyFill="1" applyBorder="1" applyAlignment="1" applyProtection="1">
      <alignment horizontal="center" vertical="center" textRotation="90" wrapText="1"/>
      <protection locked="0"/>
    </xf>
    <xf numFmtId="0" fontId="4" fillId="0" borderId="14" xfId="9" applyFont="1" applyFill="1" applyBorder="1" applyAlignment="1" applyProtection="1">
      <alignment horizontal="center" vertical="center" wrapText="1"/>
      <protection locked="0"/>
    </xf>
    <xf numFmtId="0" fontId="4" fillId="0" borderId="13" xfId="9" applyFont="1" applyFill="1" applyBorder="1" applyAlignment="1" applyProtection="1">
      <alignment horizontal="center" vertical="center" wrapText="1"/>
      <protection locked="0"/>
    </xf>
    <xf numFmtId="0" fontId="4" fillId="0" borderId="15" xfId="9" applyFont="1" applyFill="1" applyBorder="1" applyAlignment="1" applyProtection="1">
      <alignment horizontal="center" vertical="center" wrapText="1"/>
      <protection locked="0"/>
    </xf>
    <xf numFmtId="0" fontId="4" fillId="0" borderId="10" xfId="9" applyFont="1" applyFill="1" applyBorder="1" applyAlignment="1" applyProtection="1">
      <alignment horizontal="center" vertical="center" wrapText="1"/>
      <protection locked="0"/>
    </xf>
    <xf numFmtId="0" fontId="4" fillId="0" borderId="0" xfId="9" applyFont="1" applyFill="1" applyBorder="1" applyAlignment="1" applyProtection="1">
      <alignment horizontal="center" vertical="center" wrapText="1"/>
      <protection locked="0"/>
    </xf>
    <xf numFmtId="0" fontId="4" fillId="0" borderId="11" xfId="9" applyFont="1" applyFill="1" applyBorder="1" applyAlignment="1" applyProtection="1">
      <alignment horizontal="center" vertical="center" wrapText="1"/>
      <protection locked="0"/>
    </xf>
    <xf numFmtId="0" fontId="4" fillId="0" borderId="12" xfId="9" applyFont="1" applyFill="1" applyBorder="1" applyAlignment="1" applyProtection="1">
      <alignment horizontal="center" vertical="center" wrapText="1"/>
      <protection locked="0"/>
    </xf>
    <xf numFmtId="0" fontId="4" fillId="0" borderId="4" xfId="9" applyFont="1" applyFill="1" applyBorder="1" applyAlignment="1" applyProtection="1">
      <alignment horizontal="center" vertical="center" wrapText="1"/>
      <protection locked="0"/>
    </xf>
    <xf numFmtId="0" fontId="4" fillId="0" borderId="6" xfId="9" applyFont="1" applyFill="1" applyBorder="1" applyAlignment="1" applyProtection="1">
      <alignment horizontal="center" vertical="center" wrapText="1"/>
      <protection locked="0"/>
    </xf>
    <xf numFmtId="0" fontId="3" fillId="0" borderId="7" xfId="23" applyFont="1" applyFill="1" applyBorder="1" applyAlignment="1" applyProtection="1">
      <alignment horizontal="center" vertical="center" wrapText="1"/>
      <protection locked="0"/>
    </xf>
    <xf numFmtId="0" fontId="3" fillId="0" borderId="8" xfId="23" applyFont="1" applyFill="1" applyBorder="1" applyAlignment="1" applyProtection="1">
      <alignment horizontal="center" vertical="center" wrapText="1"/>
      <protection locked="0"/>
    </xf>
    <xf numFmtId="0" fontId="3" fillId="0" borderId="5" xfId="23" applyFont="1" applyFill="1" applyBorder="1" applyAlignment="1" applyProtection="1">
      <alignment horizontal="center" vertical="center" wrapText="1"/>
      <protection locked="0"/>
    </xf>
    <xf numFmtId="0" fontId="4" fillId="0" borderId="3" xfId="23" applyFont="1" applyFill="1" applyBorder="1" applyAlignment="1" applyProtection="1">
      <alignment horizontal="center" vertical="center" wrapText="1"/>
      <protection locked="0"/>
    </xf>
    <xf numFmtId="0" fontId="4" fillId="0" borderId="1" xfId="23" applyFont="1" applyFill="1" applyBorder="1" applyAlignment="1" applyProtection="1">
      <alignment horizontal="center" vertical="center" textRotation="90" wrapText="1"/>
      <protection locked="0"/>
    </xf>
    <xf numFmtId="0" fontId="4" fillId="0" borderId="9" xfId="23" applyFont="1" applyFill="1" applyBorder="1" applyAlignment="1" applyProtection="1">
      <alignment horizontal="center" vertical="center" textRotation="90" wrapText="1"/>
      <protection locked="0"/>
    </xf>
    <xf numFmtId="0" fontId="7" fillId="0" borderId="1" xfId="23" applyFont="1" applyFill="1" applyBorder="1" applyAlignment="1" applyProtection="1">
      <alignment horizontal="center" vertical="center" wrapText="1"/>
      <protection locked="0"/>
    </xf>
    <xf numFmtId="0" fontId="7" fillId="0" borderId="9" xfId="23" applyFont="1" applyFill="1" applyBorder="1" applyAlignment="1" applyProtection="1">
      <alignment horizontal="center" vertical="center" wrapText="1"/>
      <protection locked="0"/>
    </xf>
    <xf numFmtId="0" fontId="4" fillId="0" borderId="1" xfId="22" applyFont="1" applyFill="1" applyBorder="1" applyAlignment="1" applyProtection="1">
      <alignment horizontal="center" vertical="center" wrapText="1"/>
      <protection locked="0"/>
    </xf>
    <xf numFmtId="0" fontId="4" fillId="0" borderId="9" xfId="22" applyFont="1" applyFill="1" applyBorder="1" applyAlignment="1" applyProtection="1">
      <alignment horizontal="center" vertical="center" wrapText="1"/>
      <protection locked="0"/>
    </xf>
    <xf numFmtId="0" fontId="4" fillId="0" borderId="2" xfId="22" applyFont="1" applyFill="1" applyBorder="1" applyAlignment="1" applyProtection="1">
      <alignment horizontal="center" vertical="center" wrapText="1"/>
      <protection locked="0"/>
    </xf>
    <xf numFmtId="0" fontId="4" fillId="0" borderId="2" xfId="23" applyFont="1" applyFill="1" applyBorder="1" applyAlignment="1" applyProtection="1">
      <alignment horizontal="center" vertical="center" wrapText="1"/>
      <protection locked="0"/>
    </xf>
    <xf numFmtId="0" fontId="4" fillId="0" borderId="1" xfId="22" applyFont="1" applyFill="1" applyBorder="1" applyAlignment="1" applyProtection="1">
      <alignment horizontal="left" vertical="center" wrapText="1"/>
      <protection locked="0"/>
    </xf>
    <xf numFmtId="0" fontId="4" fillId="0" borderId="9" xfId="22" applyFont="1" applyFill="1" applyBorder="1" applyAlignment="1" applyProtection="1">
      <alignment horizontal="left" vertical="center" wrapText="1"/>
      <protection locked="0"/>
    </xf>
    <xf numFmtId="0" fontId="4" fillId="0" borderId="2" xfId="22" applyFont="1" applyFill="1" applyBorder="1" applyAlignment="1" applyProtection="1">
      <alignment horizontal="left" vertical="center" wrapText="1"/>
      <protection locked="0"/>
    </xf>
    <xf numFmtId="0" fontId="4" fillId="0" borderId="1" xfId="23" applyFont="1" applyFill="1" applyBorder="1" applyAlignment="1">
      <alignment horizontal="center" vertical="center" wrapText="1"/>
    </xf>
    <xf numFmtId="0" fontId="4" fillId="0" borderId="9" xfId="23" applyFont="1" applyFill="1" applyBorder="1" applyAlignment="1">
      <alignment horizontal="center" vertical="center" wrapText="1"/>
    </xf>
    <xf numFmtId="2" fontId="4" fillId="4" borderId="1" xfId="23" applyNumberFormat="1" applyFont="1" applyFill="1" applyBorder="1" applyAlignment="1" applyProtection="1">
      <alignment horizontal="center" vertical="center" textRotation="90" wrapText="1"/>
      <protection locked="0"/>
    </xf>
    <xf numFmtId="2" fontId="4" fillId="4" borderId="9" xfId="23" applyNumberFormat="1" applyFont="1" applyFill="1" applyBorder="1" applyAlignment="1" applyProtection="1">
      <alignment horizontal="center" vertical="center" textRotation="90" wrapText="1"/>
      <protection locked="0"/>
    </xf>
    <xf numFmtId="0" fontId="3" fillId="0" borderId="14" xfId="23" applyFont="1" applyFill="1" applyBorder="1" applyAlignment="1" applyProtection="1">
      <alignment horizontal="left" vertical="center" wrapText="1"/>
      <protection locked="0"/>
    </xf>
    <xf numFmtId="0" fontId="3" fillId="0" borderId="13" xfId="23" applyFont="1" applyFill="1" applyBorder="1" applyAlignment="1" applyProtection="1">
      <alignment horizontal="left" vertical="center" wrapText="1"/>
      <protection locked="0"/>
    </xf>
    <xf numFmtId="0" fontId="3" fillId="0" borderId="15" xfId="23" applyFont="1" applyFill="1" applyBorder="1" applyAlignment="1" applyProtection="1">
      <alignment horizontal="left" vertical="center" wrapText="1"/>
      <protection locked="0"/>
    </xf>
    <xf numFmtId="0" fontId="3" fillId="0" borderId="10" xfId="23" applyFont="1" applyFill="1" applyBorder="1" applyAlignment="1" applyProtection="1">
      <alignment horizontal="left" vertical="center" wrapText="1"/>
      <protection locked="0"/>
    </xf>
    <xf numFmtId="0" fontId="3" fillId="0" borderId="0" xfId="23" applyFont="1" applyFill="1" applyBorder="1" applyAlignment="1" applyProtection="1">
      <alignment horizontal="left" vertical="center" wrapText="1"/>
      <protection locked="0"/>
    </xf>
    <xf numFmtId="0" fontId="3" fillId="0" borderId="11" xfId="23" applyFont="1" applyFill="1" applyBorder="1" applyAlignment="1" applyProtection="1">
      <alignment horizontal="left" vertical="center" wrapText="1"/>
      <protection locked="0"/>
    </xf>
    <xf numFmtId="0" fontId="4" fillId="0" borderId="7" xfId="23" applyFont="1" applyFill="1" applyBorder="1" applyAlignment="1" applyProtection="1">
      <alignment horizontal="center" vertical="center" wrapText="1"/>
      <protection locked="0"/>
    </xf>
    <xf numFmtId="0" fontId="4" fillId="0" borderId="8" xfId="23" applyFont="1" applyFill="1" applyBorder="1" applyAlignment="1" applyProtection="1">
      <alignment horizontal="center" vertical="center" wrapText="1"/>
      <protection locked="0"/>
    </xf>
    <xf numFmtId="0" fontId="4" fillId="0" borderId="5" xfId="23" applyFont="1" applyFill="1" applyBorder="1" applyAlignment="1" applyProtection="1">
      <alignment horizontal="center" vertical="center" wrapText="1"/>
      <protection locked="0"/>
    </xf>
    <xf numFmtId="0" fontId="4" fillId="0" borderId="14" xfId="23" applyFont="1" applyFill="1" applyBorder="1" applyAlignment="1" applyProtection="1">
      <alignment horizontal="center" vertical="center" wrapText="1"/>
      <protection locked="0"/>
    </xf>
    <xf numFmtId="0" fontId="4" fillId="0" borderId="13" xfId="23" applyFont="1" applyFill="1" applyBorder="1" applyAlignment="1" applyProtection="1">
      <alignment horizontal="center" vertical="center" wrapText="1"/>
      <protection locked="0"/>
    </xf>
    <xf numFmtId="0" fontId="4" fillId="0" borderId="15" xfId="23" applyFont="1" applyFill="1" applyBorder="1" applyAlignment="1" applyProtection="1">
      <alignment horizontal="center" vertical="center" wrapText="1"/>
      <protection locked="0"/>
    </xf>
    <xf numFmtId="0" fontId="4" fillId="0" borderId="10" xfId="23" applyFont="1" applyFill="1" applyBorder="1" applyAlignment="1" applyProtection="1">
      <alignment horizontal="center" vertical="center" wrapText="1"/>
      <protection locked="0"/>
    </xf>
    <xf numFmtId="0" fontId="4" fillId="0" borderId="0" xfId="23" applyFont="1" applyFill="1" applyBorder="1" applyAlignment="1" applyProtection="1">
      <alignment horizontal="center" vertical="center" wrapText="1"/>
      <protection locked="0"/>
    </xf>
    <xf numFmtId="0" fontId="4" fillId="0" borderId="11" xfId="23" applyFont="1" applyFill="1" applyBorder="1" applyAlignment="1" applyProtection="1">
      <alignment horizontal="center" vertical="center" wrapText="1"/>
      <protection locked="0"/>
    </xf>
    <xf numFmtId="0" fontId="27" fillId="0" borderId="1" xfId="23" applyFont="1" applyFill="1" applyBorder="1" applyAlignment="1" applyProtection="1">
      <alignment horizontal="center" vertical="center" textRotation="90" wrapText="1"/>
    </xf>
    <xf numFmtId="0" fontId="27" fillId="0" borderId="9" xfId="23" applyFont="1" applyFill="1" applyBorder="1" applyAlignment="1" applyProtection="1">
      <alignment horizontal="center" vertical="center" textRotation="90" wrapText="1"/>
    </xf>
    <xf numFmtId="9" fontId="4" fillId="0" borderId="1" xfId="22" applyNumberFormat="1" applyFont="1" applyFill="1" applyBorder="1" applyAlignment="1" applyProtection="1">
      <alignment horizontal="center" vertical="center" wrapText="1"/>
      <protection locked="0"/>
    </xf>
    <xf numFmtId="9" fontId="4" fillId="0" borderId="9" xfId="22" applyNumberFormat="1" applyFont="1" applyFill="1" applyBorder="1" applyAlignment="1" applyProtection="1">
      <alignment horizontal="center" vertical="center" wrapText="1"/>
      <protection locked="0"/>
    </xf>
    <xf numFmtId="9" fontId="4" fillId="0" borderId="2" xfId="22" applyNumberFormat="1" applyFont="1" applyFill="1" applyBorder="1" applyAlignment="1" applyProtection="1">
      <alignment horizontal="center" vertical="center" wrapText="1"/>
      <protection locked="0"/>
    </xf>
    <xf numFmtId="0" fontId="4" fillId="0" borderId="3" xfId="23" applyFont="1" applyFill="1" applyBorder="1" applyAlignment="1" applyProtection="1">
      <alignment horizontal="center" vertical="center" textRotation="90" wrapText="1"/>
      <protection locked="0"/>
    </xf>
    <xf numFmtId="0" fontId="4" fillId="0" borderId="15" xfId="24" applyFont="1" applyFill="1" applyBorder="1" applyAlignment="1">
      <alignment horizontal="center" vertical="center" wrapText="1"/>
    </xf>
    <xf numFmtId="0" fontId="4" fillId="0" borderId="11" xfId="24" applyFont="1" applyFill="1" applyBorder="1" applyAlignment="1">
      <alignment horizontal="center" vertical="center" wrapText="1"/>
    </xf>
    <xf numFmtId="0" fontId="4" fillId="0" borderId="6" xfId="24" applyFont="1" applyFill="1" applyBorder="1" applyAlignment="1">
      <alignment horizontal="center" vertical="center" wrapText="1"/>
    </xf>
    <xf numFmtId="0" fontId="4" fillId="0" borderId="14" xfId="23" applyFont="1" applyFill="1" applyBorder="1" applyAlignment="1">
      <alignment horizontal="center" vertical="center" wrapText="1"/>
    </xf>
    <xf numFmtId="0" fontId="4" fillId="0" borderId="13" xfId="23" applyFont="1" applyFill="1" applyBorder="1" applyAlignment="1">
      <alignment horizontal="center" vertical="center" wrapText="1"/>
    </xf>
    <xf numFmtId="0" fontId="4" fillId="0" borderId="15" xfId="23" applyFont="1" applyFill="1" applyBorder="1" applyAlignment="1">
      <alignment horizontal="center" vertical="center" wrapText="1"/>
    </xf>
    <xf numFmtId="0" fontId="4" fillId="0" borderId="12" xfId="23" applyFont="1" applyFill="1" applyBorder="1" applyAlignment="1">
      <alignment horizontal="center" vertical="center" wrapText="1"/>
    </xf>
    <xf numFmtId="0" fontId="4" fillId="0" borderId="4" xfId="23" applyFont="1" applyFill="1" applyBorder="1" applyAlignment="1">
      <alignment horizontal="center" vertical="center" wrapText="1"/>
    </xf>
    <xf numFmtId="0" fontId="4" fillId="0" borderId="6" xfId="23" applyFont="1" applyFill="1" applyBorder="1" applyAlignment="1">
      <alignment horizontal="center" vertical="center" wrapText="1"/>
    </xf>
    <xf numFmtId="2" fontId="4" fillId="4" borderId="3" xfId="23" applyNumberFormat="1" applyFont="1" applyFill="1" applyBorder="1" applyAlignment="1" applyProtection="1">
      <alignment horizontal="center" vertical="center" textRotation="90" wrapText="1"/>
      <protection locked="0"/>
    </xf>
    <xf numFmtId="0" fontId="3" fillId="0" borderId="3" xfId="23" applyFont="1" applyFill="1" applyBorder="1" applyAlignment="1" applyProtection="1">
      <alignment horizontal="center" vertical="center" wrapText="1"/>
      <protection locked="0"/>
    </xf>
    <xf numFmtId="0" fontId="3" fillId="0" borderId="1" xfId="23" applyFont="1" applyFill="1" applyBorder="1" applyAlignment="1" applyProtection="1">
      <alignment horizontal="center" vertical="center" wrapText="1"/>
      <protection locked="0"/>
    </xf>
    <xf numFmtId="0" fontId="4" fillId="0" borderId="7" xfId="23" applyFont="1" applyFill="1" applyBorder="1" applyAlignment="1">
      <alignment horizontal="left" vertical="center" wrapText="1"/>
    </xf>
    <xf numFmtId="0" fontId="4" fillId="0" borderId="8" xfId="23" applyFont="1" applyFill="1" applyBorder="1" applyAlignment="1">
      <alignment horizontal="left" vertical="center" wrapText="1"/>
    </xf>
    <xf numFmtId="0" fontId="4" fillId="0" borderId="5" xfId="23" applyFont="1" applyFill="1" applyBorder="1" applyAlignment="1">
      <alignment horizontal="left" vertical="center" wrapText="1"/>
    </xf>
    <xf numFmtId="0" fontId="4" fillId="0" borderId="7" xfId="23" applyFont="1" applyFill="1" applyBorder="1" applyAlignment="1">
      <alignment horizontal="justify" vertical="center" wrapText="1"/>
    </xf>
    <xf numFmtId="0" fontId="4" fillId="0" borderId="8" xfId="23" applyFont="1" applyFill="1" applyBorder="1" applyAlignment="1">
      <alignment horizontal="justify" vertical="center" wrapText="1"/>
    </xf>
    <xf numFmtId="0" fontId="4" fillId="0" borderId="5" xfId="23" applyFont="1" applyFill="1" applyBorder="1" applyAlignment="1">
      <alignment horizontal="justify" vertical="center" wrapText="1"/>
    </xf>
    <xf numFmtId="15" fontId="70" fillId="0" borderId="1" xfId="22" applyNumberFormat="1" applyFill="1" applyBorder="1" applyAlignment="1" applyProtection="1">
      <alignment horizontal="center" vertical="center"/>
      <protection locked="0"/>
    </xf>
    <xf numFmtId="15" fontId="70" fillId="0" borderId="9" xfId="22" applyNumberFormat="1" applyFill="1" applyBorder="1" applyAlignment="1" applyProtection="1">
      <alignment horizontal="center" vertical="center"/>
      <protection locked="0"/>
    </xf>
    <xf numFmtId="15" fontId="70" fillId="0" borderId="2" xfId="22" applyNumberFormat="1" applyFill="1" applyBorder="1" applyAlignment="1" applyProtection="1">
      <alignment horizontal="center" vertical="center"/>
      <protection locked="0"/>
    </xf>
    <xf numFmtId="0" fontId="4" fillId="0" borderId="3" xfId="24" applyFont="1" applyFill="1" applyBorder="1" applyAlignment="1">
      <alignment horizontal="center" vertical="center" wrapText="1"/>
    </xf>
    <xf numFmtId="0" fontId="4" fillId="0" borderId="1" xfId="24" applyFont="1" applyFill="1" applyBorder="1" applyAlignment="1">
      <alignment horizontal="center" vertical="center" wrapText="1"/>
    </xf>
    <xf numFmtId="0" fontId="4" fillId="0" borderId="3" xfId="22" applyFont="1" applyFill="1" applyBorder="1" applyAlignment="1" applyProtection="1">
      <alignment horizontal="center" vertical="center" wrapText="1"/>
      <protection locked="0"/>
    </xf>
    <xf numFmtId="0" fontId="4" fillId="0" borderId="3" xfId="22" applyFont="1" applyFill="1" applyBorder="1" applyAlignment="1" applyProtection="1">
      <alignment horizontal="left" vertical="center" wrapText="1"/>
      <protection locked="0"/>
    </xf>
    <xf numFmtId="0" fontId="4" fillId="0" borderId="3" xfId="23" applyFont="1" applyFill="1" applyBorder="1" applyAlignment="1" applyProtection="1">
      <alignment horizontal="left" vertical="center" wrapText="1"/>
      <protection locked="0"/>
    </xf>
    <xf numFmtId="0" fontId="27" fillId="0" borderId="3" xfId="23" applyFont="1" applyFill="1" applyBorder="1" applyAlignment="1" applyProtection="1">
      <alignment horizontal="center" vertical="center" textRotation="90" wrapText="1"/>
    </xf>
    <xf numFmtId="0" fontId="4" fillId="0" borderId="3" xfId="23" applyFont="1" applyFill="1" applyBorder="1" applyAlignment="1" applyProtection="1">
      <alignment horizontal="center" vertical="center" textRotation="90" wrapText="1"/>
    </xf>
    <xf numFmtId="9" fontId="4" fillId="0" borderId="3" xfId="22" applyNumberFormat="1" applyFont="1" applyFill="1" applyBorder="1" applyAlignment="1" applyProtection="1">
      <alignment horizontal="center" vertical="center" wrapText="1"/>
      <protection locked="0"/>
    </xf>
    <xf numFmtId="0" fontId="10" fillId="0" borderId="14" xfId="22" applyFont="1" applyBorder="1" applyAlignment="1">
      <alignment horizontal="left" vertical="top" wrapText="1"/>
    </xf>
    <xf numFmtId="0" fontId="10" fillId="0" borderId="13" xfId="22" applyFont="1" applyBorder="1" applyAlignment="1">
      <alignment horizontal="left" vertical="top" wrapText="1"/>
    </xf>
    <xf numFmtId="0" fontId="10" fillId="0" borderId="15" xfId="22" applyFont="1" applyBorder="1" applyAlignment="1">
      <alignment horizontal="left" vertical="top" wrapText="1"/>
    </xf>
    <xf numFmtId="0" fontId="10" fillId="0" borderId="12" xfId="22" applyFont="1" applyBorder="1" applyAlignment="1">
      <alignment horizontal="left" vertical="top" wrapText="1"/>
    </xf>
    <xf numFmtId="0" fontId="10" fillId="0" borderId="4" xfId="22" applyFont="1" applyBorder="1" applyAlignment="1">
      <alignment horizontal="left" vertical="top" wrapText="1"/>
    </xf>
    <xf numFmtId="0" fontId="10" fillId="0" borderId="6" xfId="22" applyFont="1" applyBorder="1" applyAlignment="1">
      <alignment horizontal="left" vertical="top" wrapText="1"/>
    </xf>
    <xf numFmtId="0" fontId="3" fillId="4" borderId="7" xfId="22" applyFont="1" applyFill="1" applyBorder="1" applyAlignment="1">
      <alignment horizontal="center" vertical="center"/>
    </xf>
    <xf numFmtId="0" fontId="3" fillId="4" borderId="8" xfId="22" applyFont="1" applyFill="1" applyBorder="1" applyAlignment="1">
      <alignment horizontal="center" vertical="center"/>
    </xf>
    <xf numFmtId="0" fontId="3" fillId="4" borderId="5" xfId="22" applyFont="1" applyFill="1" applyBorder="1" applyAlignment="1">
      <alignment horizontal="center" vertical="center"/>
    </xf>
    <xf numFmtId="0" fontId="3" fillId="4" borderId="3" xfId="22" applyFont="1" applyFill="1" applyBorder="1" applyAlignment="1">
      <alignment horizontal="center" vertical="center"/>
    </xf>
    <xf numFmtId="0" fontId="4" fillId="0" borderId="7" xfId="22" applyFont="1" applyFill="1" applyBorder="1" applyAlignment="1" applyProtection="1">
      <alignment horizontal="center" vertical="center"/>
      <protection locked="0"/>
    </xf>
    <xf numFmtId="0" fontId="4" fillId="0" borderId="8" xfId="22" applyFont="1" applyFill="1" applyBorder="1" applyAlignment="1" applyProtection="1">
      <alignment horizontal="center" vertical="center"/>
      <protection locked="0"/>
    </xf>
    <xf numFmtId="0" fontId="4" fillId="0" borderId="5" xfId="22" applyFont="1" applyFill="1" applyBorder="1" applyAlignment="1" applyProtection="1">
      <alignment horizontal="center" vertical="center"/>
      <protection locked="0"/>
    </xf>
    <xf numFmtId="0" fontId="4" fillId="0" borderId="7" xfId="22" applyFont="1" applyFill="1" applyBorder="1" applyAlignment="1" applyProtection="1">
      <alignment horizontal="center" vertical="center" wrapText="1"/>
      <protection locked="0"/>
    </xf>
    <xf numFmtId="0" fontId="4" fillId="0" borderId="5" xfId="22" applyFont="1" applyFill="1" applyBorder="1" applyAlignment="1" applyProtection="1">
      <alignment horizontal="center" vertical="center" wrapText="1"/>
      <protection locked="0"/>
    </xf>
    <xf numFmtId="0" fontId="4" fillId="0" borderId="3" xfId="22" applyFont="1" applyFill="1" applyBorder="1" applyAlignment="1" applyProtection="1">
      <alignment horizontal="center" vertical="center"/>
      <protection locked="0"/>
    </xf>
    <xf numFmtId="0" fontId="4" fillId="0" borderId="2" xfId="23" applyFont="1" applyFill="1" applyBorder="1" applyAlignment="1">
      <alignment horizontal="center" vertical="center" wrapText="1"/>
    </xf>
    <xf numFmtId="0" fontId="4" fillId="3" borderId="13" xfId="22" applyFont="1" applyFill="1" applyBorder="1" applyAlignment="1">
      <alignment horizontal="center" vertical="center"/>
    </xf>
    <xf numFmtId="2" fontId="4" fillId="0" borderId="3" xfId="23" applyNumberFormat="1" applyFont="1" applyFill="1" applyBorder="1" applyAlignment="1" applyProtection="1">
      <alignment horizontal="center" vertical="center" textRotation="90" wrapText="1"/>
      <protection locked="0"/>
    </xf>
    <xf numFmtId="0" fontId="4" fillId="0" borderId="0" xfId="23" applyFont="1" applyFill="1" applyBorder="1" applyAlignment="1" applyProtection="1">
      <alignment horizontal="center" vertical="center"/>
      <protection locked="0"/>
    </xf>
    <xf numFmtId="0" fontId="4" fillId="0" borderId="0" xfId="22" applyFont="1" applyFill="1" applyBorder="1" applyAlignment="1" applyProtection="1">
      <alignment horizontal="center" vertical="center"/>
      <protection locked="0"/>
    </xf>
    <xf numFmtId="0" fontId="4" fillId="3" borderId="0" xfId="22" applyFont="1" applyFill="1" applyBorder="1" applyAlignment="1">
      <alignment horizontal="center" vertical="center"/>
    </xf>
    <xf numFmtId="0" fontId="4" fillId="0" borderId="8" xfId="22" applyFont="1" applyFill="1" applyBorder="1" applyAlignment="1" applyProtection="1">
      <alignment horizontal="center" vertical="center" wrapText="1"/>
      <protection locked="0"/>
    </xf>
    <xf numFmtId="0" fontId="4" fillId="0" borderId="7" xfId="23" applyFont="1" applyFill="1" applyBorder="1" applyAlignment="1" applyProtection="1">
      <alignment horizontal="center" vertical="center"/>
      <protection locked="0"/>
    </xf>
    <xf numFmtId="0" fontId="4" fillId="0" borderId="8" xfId="23" applyFont="1" applyFill="1" applyBorder="1" applyAlignment="1" applyProtection="1">
      <alignment horizontal="center" vertical="center"/>
      <protection locked="0"/>
    </xf>
    <xf numFmtId="0" fontId="4" fillId="0" borderId="5" xfId="23" applyFont="1" applyFill="1" applyBorder="1" applyAlignment="1" applyProtection="1">
      <alignment horizontal="center" vertical="center"/>
      <protection locked="0"/>
    </xf>
    <xf numFmtId="0" fontId="3" fillId="4" borderId="7" xfId="22" applyFont="1" applyFill="1" applyBorder="1" applyAlignment="1">
      <alignment horizontal="center" vertical="center" wrapText="1"/>
    </xf>
    <xf numFmtId="0" fontId="3" fillId="4" borderId="8" xfId="22" applyFont="1" applyFill="1" applyBorder="1" applyAlignment="1">
      <alignment horizontal="center" vertical="center" wrapText="1"/>
    </xf>
    <xf numFmtId="0" fontId="3" fillId="4" borderId="5" xfId="22" applyFont="1" applyFill="1" applyBorder="1" applyAlignment="1">
      <alignment horizontal="center" vertical="center" wrapText="1"/>
    </xf>
    <xf numFmtId="0" fontId="4" fillId="0" borderId="10" xfId="22" applyFont="1" applyBorder="1" applyAlignment="1" applyProtection="1">
      <alignment horizontal="left" vertical="top" wrapText="1"/>
      <protection locked="0"/>
    </xf>
    <xf numFmtId="0" fontId="4" fillId="0" borderId="0" xfId="22" applyFont="1" applyBorder="1" applyAlignment="1" applyProtection="1">
      <alignment horizontal="left" vertical="top" wrapText="1"/>
      <protection locked="0"/>
    </xf>
    <xf numFmtId="0" fontId="4" fillId="0" borderId="11" xfId="22" applyFont="1" applyBorder="1" applyAlignment="1" applyProtection="1">
      <alignment horizontal="left" vertical="top" wrapText="1"/>
      <protection locked="0"/>
    </xf>
    <xf numFmtId="0" fontId="10" fillId="0" borderId="10" xfId="22" applyFont="1" applyBorder="1" applyAlignment="1">
      <alignment horizontal="left" vertical="top" wrapText="1"/>
    </xf>
    <xf numFmtId="0" fontId="10" fillId="0" borderId="0" xfId="22" applyFont="1" applyBorder="1" applyAlignment="1">
      <alignment horizontal="left" vertical="top" wrapText="1"/>
    </xf>
    <xf numFmtId="0" fontId="10" fillId="0" borderId="11" xfId="22" applyFont="1" applyBorder="1" applyAlignment="1">
      <alignment horizontal="left" vertical="top" wrapText="1"/>
    </xf>
    <xf numFmtId="0" fontId="4" fillId="0" borderId="7" xfId="23" applyFont="1" applyFill="1" applyBorder="1" applyAlignment="1" applyProtection="1">
      <alignment horizontal="left" vertical="top" wrapText="1"/>
      <protection locked="0"/>
    </xf>
    <xf numFmtId="0" fontId="4" fillId="0" borderId="8" xfId="23" applyFont="1" applyFill="1" applyBorder="1" applyAlignment="1" applyProtection="1">
      <alignment horizontal="left" vertical="top" wrapText="1"/>
      <protection locked="0"/>
    </xf>
    <xf numFmtId="0" fontId="4" fillId="0" borderId="5" xfId="23" applyFont="1" applyFill="1" applyBorder="1" applyAlignment="1" applyProtection="1">
      <alignment horizontal="left" vertical="top" wrapText="1"/>
      <protection locked="0"/>
    </xf>
    <xf numFmtId="0" fontId="3" fillId="3" borderId="7" xfId="23" applyFont="1" applyFill="1" applyBorder="1" applyAlignment="1" applyProtection="1">
      <alignment horizontal="center" vertical="center" wrapText="1"/>
      <protection locked="0"/>
    </xf>
    <xf numFmtId="0" fontId="3" fillId="3" borderId="8" xfId="23" applyFont="1" applyFill="1" applyBorder="1" applyAlignment="1" applyProtection="1">
      <alignment horizontal="center" vertical="center" wrapText="1"/>
      <protection locked="0"/>
    </xf>
    <xf numFmtId="0" fontId="3" fillId="3" borderId="5" xfId="23" applyFont="1" applyFill="1" applyBorder="1" applyAlignment="1" applyProtection="1">
      <alignment horizontal="center" vertical="center" wrapText="1"/>
      <protection locked="0"/>
    </xf>
    <xf numFmtId="0" fontId="4" fillId="0" borderId="3" xfId="23" applyFont="1" applyFill="1" applyBorder="1" applyAlignment="1" applyProtection="1">
      <alignment horizontal="left" vertical="top" wrapText="1"/>
      <protection locked="0"/>
    </xf>
    <xf numFmtId="0" fontId="3" fillId="0" borderId="7" xfId="23" applyFont="1" applyFill="1" applyBorder="1" applyAlignment="1" applyProtection="1">
      <alignment horizontal="left" vertical="center" wrapText="1"/>
      <protection locked="0"/>
    </xf>
    <xf numFmtId="0" fontId="3" fillId="0" borderId="8" xfId="23" applyFont="1" applyFill="1" applyBorder="1" applyAlignment="1" applyProtection="1">
      <alignment horizontal="left" vertical="center" wrapText="1"/>
      <protection locked="0"/>
    </xf>
    <xf numFmtId="0" fontId="3" fillId="0" borderId="5" xfId="23" applyFont="1" applyFill="1" applyBorder="1" applyAlignment="1" applyProtection="1">
      <alignment horizontal="left" vertical="center" wrapText="1"/>
      <protection locked="0"/>
    </xf>
    <xf numFmtId="0" fontId="3" fillId="0" borderId="3" xfId="22" applyFont="1" applyBorder="1" applyAlignment="1">
      <alignment horizontal="center" vertical="center" wrapText="1"/>
    </xf>
    <xf numFmtId="0" fontId="4" fillId="0" borderId="3" xfId="22" applyFont="1" applyBorder="1" applyAlignment="1">
      <alignment horizontal="center" vertical="center" wrapText="1"/>
    </xf>
    <xf numFmtId="0" fontId="7" fillId="0" borderId="62" xfId="22" applyFont="1" applyBorder="1" applyAlignment="1">
      <alignment horizontal="center" vertical="center"/>
    </xf>
    <xf numFmtId="0" fontId="7" fillId="0" borderId="66" xfId="22" applyFont="1" applyBorder="1" applyAlignment="1">
      <alignment horizontal="center" vertical="center"/>
    </xf>
    <xf numFmtId="0" fontId="72" fillId="42" borderId="0" xfId="22" applyFont="1" applyFill="1" applyAlignment="1">
      <alignment horizontal="center" vertical="center" wrapText="1"/>
    </xf>
    <xf numFmtId="14" fontId="70" fillId="3" borderId="14" xfId="22" applyNumberFormat="1" applyFill="1" applyBorder="1" applyAlignment="1">
      <alignment horizontal="center" vertical="center" wrapText="1"/>
    </xf>
    <xf numFmtId="14" fontId="70" fillId="3" borderId="13" xfId="22" applyNumberFormat="1" applyFill="1" applyBorder="1" applyAlignment="1">
      <alignment horizontal="center" vertical="center" wrapText="1"/>
    </xf>
    <xf numFmtId="0" fontId="70" fillId="3" borderId="15" xfId="22" applyFill="1" applyBorder="1" applyAlignment="1">
      <alignment horizontal="center" vertical="center" wrapText="1"/>
    </xf>
    <xf numFmtId="0" fontId="70" fillId="3" borderId="12" xfId="22" applyFill="1" applyBorder="1" applyAlignment="1">
      <alignment horizontal="center" vertical="center" wrapText="1"/>
    </xf>
    <xf numFmtId="0" fontId="70" fillId="3" borderId="4" xfId="22" applyFill="1" applyBorder="1" applyAlignment="1">
      <alignment horizontal="center" vertical="center" wrapText="1"/>
    </xf>
    <xf numFmtId="0" fontId="70" fillId="3" borderId="6" xfId="22" applyFill="1" applyBorder="1" applyAlignment="1">
      <alignment horizontal="center" vertical="center" wrapText="1"/>
    </xf>
    <xf numFmtId="15" fontId="7" fillId="3" borderId="24" xfId="22" applyNumberFormat="1" applyFont="1" applyFill="1" applyBorder="1" applyAlignment="1">
      <alignment horizontal="center" vertical="center"/>
    </xf>
    <xf numFmtId="0" fontId="7" fillId="3" borderId="75" xfId="22" applyFont="1" applyFill="1" applyBorder="1" applyAlignment="1">
      <alignment horizontal="center" vertical="center"/>
    </xf>
    <xf numFmtId="17" fontId="7" fillId="0" borderId="75" xfId="22" applyNumberFormat="1" applyFont="1" applyFill="1" applyBorder="1" applyAlignment="1">
      <alignment horizontal="center" vertical="center"/>
    </xf>
    <xf numFmtId="0" fontId="18" fillId="0" borderId="0" xfId="22" applyFont="1" applyFill="1" applyAlignment="1">
      <alignment horizontal="center" vertical="center" wrapText="1"/>
    </xf>
    <xf numFmtId="15" fontId="13" fillId="0" borderId="24" xfId="22" applyNumberFormat="1" applyFont="1" applyBorder="1" applyAlignment="1">
      <alignment horizontal="center" vertical="center"/>
    </xf>
    <xf numFmtId="0" fontId="13" fillId="0" borderId="75" xfId="22" applyFont="1" applyBorder="1" applyAlignment="1">
      <alignment horizontal="center" vertical="center"/>
    </xf>
    <xf numFmtId="0" fontId="32" fillId="0" borderId="1" xfId="23" applyFont="1" applyFill="1" applyBorder="1" applyAlignment="1" applyProtection="1">
      <alignment horizontal="center" vertical="center" wrapText="1"/>
      <protection locked="0"/>
    </xf>
    <xf numFmtId="0" fontId="32" fillId="0" borderId="2" xfId="23" applyFont="1" applyFill="1" applyBorder="1" applyAlignment="1" applyProtection="1">
      <alignment horizontal="center" vertical="center" wrapText="1"/>
      <protection locked="0"/>
    </xf>
    <xf numFmtId="2" fontId="32" fillId="0" borderId="1" xfId="23" applyNumberFormat="1" applyFont="1" applyFill="1" applyBorder="1" applyAlignment="1" applyProtection="1">
      <alignment horizontal="center" vertical="center" textRotation="90" wrapText="1"/>
      <protection locked="0"/>
    </xf>
    <xf numFmtId="2" fontId="32" fillId="0" borderId="2" xfId="23" applyNumberFormat="1" applyFont="1" applyFill="1" applyBorder="1" applyAlignment="1" applyProtection="1">
      <alignment horizontal="center" vertical="center" textRotation="90" wrapText="1"/>
      <protection locked="0"/>
    </xf>
    <xf numFmtId="0" fontId="32" fillId="0" borderId="14" xfId="23" applyFont="1" applyFill="1" applyBorder="1" applyAlignment="1" applyProtection="1">
      <alignment horizontal="justify" vertical="center" wrapText="1"/>
      <protection locked="0"/>
    </xf>
    <xf numFmtId="0" fontId="32" fillId="0" borderId="13" xfId="23" applyFont="1" applyFill="1" applyBorder="1" applyAlignment="1" applyProtection="1">
      <alignment horizontal="justify" vertical="center" wrapText="1"/>
      <protection locked="0"/>
    </xf>
    <xf numFmtId="0" fontId="32" fillId="0" borderId="15" xfId="23" applyFont="1" applyFill="1" applyBorder="1" applyAlignment="1" applyProtection="1">
      <alignment horizontal="justify" vertical="center" wrapText="1"/>
      <protection locked="0"/>
    </xf>
    <xf numFmtId="0" fontId="32" fillId="0" borderId="12" xfId="23" applyFont="1" applyFill="1" applyBorder="1" applyAlignment="1" applyProtection="1">
      <alignment horizontal="justify" vertical="center" wrapText="1"/>
      <protection locked="0"/>
    </xf>
    <xf numFmtId="0" fontId="32" fillId="0" borderId="4" xfId="23" applyFont="1" applyFill="1" applyBorder="1" applyAlignment="1" applyProtection="1">
      <alignment horizontal="justify" vertical="center" wrapText="1"/>
      <protection locked="0"/>
    </xf>
    <xf numFmtId="0" fontId="32" fillId="0" borderId="6" xfId="23" applyFont="1" applyFill="1" applyBorder="1" applyAlignment="1" applyProtection="1">
      <alignment horizontal="justify" vertical="center" wrapText="1"/>
      <protection locked="0"/>
    </xf>
    <xf numFmtId="0" fontId="32" fillId="0" borderId="10" xfId="23" applyFont="1" applyFill="1" applyBorder="1" applyAlignment="1" applyProtection="1">
      <alignment horizontal="justify" vertical="center" wrapText="1"/>
      <protection locked="0"/>
    </xf>
    <xf numFmtId="0" fontId="32" fillId="0" borderId="0" xfId="23" applyFont="1" applyFill="1" applyBorder="1" applyAlignment="1" applyProtection="1">
      <alignment horizontal="justify" vertical="center" wrapText="1"/>
      <protection locked="0"/>
    </xf>
    <xf numFmtId="0" fontId="32" fillId="0" borderId="11" xfId="23" applyFont="1" applyFill="1" applyBorder="1" applyAlignment="1" applyProtection="1">
      <alignment horizontal="justify" vertical="center" wrapText="1"/>
      <protection locked="0"/>
    </xf>
    <xf numFmtId="0" fontId="32" fillId="0" borderId="1" xfId="23" applyFont="1" applyFill="1" applyBorder="1" applyAlignment="1" applyProtection="1">
      <alignment horizontal="center" vertical="center" textRotation="90" wrapText="1"/>
      <protection locked="0"/>
    </xf>
    <xf numFmtId="0" fontId="32" fillId="0" borderId="2" xfId="23" applyFont="1" applyFill="1" applyBorder="1" applyAlignment="1" applyProtection="1">
      <alignment horizontal="center" vertical="center" textRotation="90" wrapText="1"/>
      <protection locked="0"/>
    </xf>
    <xf numFmtId="0" fontId="32" fillId="0" borderId="1" xfId="23" applyFont="1" applyFill="1" applyBorder="1" applyAlignment="1" applyProtection="1">
      <alignment horizontal="justify" vertical="center" wrapText="1"/>
      <protection locked="0"/>
    </xf>
    <xf numFmtId="0" fontId="32" fillId="0" borderId="2" xfId="23" applyFont="1" applyFill="1" applyBorder="1" applyAlignment="1" applyProtection="1">
      <alignment horizontal="justify" vertical="center" wrapText="1"/>
      <protection locked="0"/>
    </xf>
    <xf numFmtId="15" fontId="116" fillId="0" borderId="1" xfId="22" applyNumberFormat="1" applyFont="1" applyFill="1" applyBorder="1" applyAlignment="1" applyProtection="1">
      <alignment horizontal="center" vertical="center"/>
      <protection locked="0"/>
    </xf>
    <xf numFmtId="15" fontId="116" fillId="0" borderId="2" xfId="22" applyNumberFormat="1" applyFont="1" applyFill="1" applyBorder="1" applyAlignment="1" applyProtection="1">
      <alignment horizontal="center" vertical="center"/>
      <protection locked="0"/>
    </xf>
    <xf numFmtId="0" fontId="32" fillId="0" borderId="1" xfId="22" applyFont="1" applyFill="1" applyBorder="1" applyAlignment="1" applyProtection="1">
      <alignment horizontal="center" vertical="center" wrapText="1"/>
      <protection locked="0"/>
    </xf>
    <xf numFmtId="0" fontId="32" fillId="0" borderId="2" xfId="22" applyFont="1" applyFill="1" applyBorder="1" applyAlignment="1" applyProtection="1">
      <alignment horizontal="center" vertical="center" wrapText="1"/>
      <protection locked="0"/>
    </xf>
    <xf numFmtId="0" fontId="4" fillId="0" borderId="2" xfId="9" applyFont="1" applyFill="1" applyBorder="1" applyAlignment="1" applyProtection="1">
      <alignment horizontal="center" vertical="center" textRotation="90" wrapText="1"/>
      <protection locked="0"/>
    </xf>
    <xf numFmtId="0" fontId="3" fillId="0" borderId="14" xfId="9" applyFont="1" applyFill="1" applyBorder="1" applyAlignment="1" applyProtection="1">
      <alignment horizontal="justify" vertical="center" wrapText="1"/>
      <protection locked="0"/>
    </xf>
    <xf numFmtId="0" fontId="3" fillId="0" borderId="13" xfId="9" applyFont="1" applyFill="1" applyBorder="1" applyAlignment="1" applyProtection="1">
      <alignment horizontal="justify" vertical="center" wrapText="1"/>
      <protection locked="0"/>
    </xf>
    <xf numFmtId="0" fontId="3" fillId="0" borderId="15" xfId="9" applyFont="1" applyFill="1" applyBorder="1" applyAlignment="1" applyProtection="1">
      <alignment horizontal="justify" vertical="center" wrapText="1"/>
      <protection locked="0"/>
    </xf>
    <xf numFmtId="0" fontId="3" fillId="0" borderId="10" xfId="9" applyFont="1" applyFill="1" applyBorder="1" applyAlignment="1" applyProtection="1">
      <alignment horizontal="justify" vertical="center" wrapText="1"/>
      <protection locked="0"/>
    </xf>
    <xf numFmtId="0" fontId="3" fillId="0" borderId="0" xfId="9" applyFont="1" applyFill="1" applyBorder="1" applyAlignment="1" applyProtection="1">
      <alignment horizontal="justify" vertical="center" wrapText="1"/>
      <protection locked="0"/>
    </xf>
    <xf numFmtId="0" fontId="3" fillId="0" borderId="11" xfId="9" applyFont="1" applyFill="1" applyBorder="1" applyAlignment="1" applyProtection="1">
      <alignment horizontal="justify" vertical="center" wrapText="1"/>
      <protection locked="0"/>
    </xf>
    <xf numFmtId="0" fontId="3" fillId="0" borderId="12" xfId="9" applyFont="1" applyFill="1" applyBorder="1" applyAlignment="1" applyProtection="1">
      <alignment horizontal="justify" vertical="center" wrapText="1"/>
      <protection locked="0"/>
    </xf>
    <xf numFmtId="0" fontId="3" fillId="0" borderId="4" xfId="9" applyFont="1" applyFill="1" applyBorder="1" applyAlignment="1" applyProtection="1">
      <alignment horizontal="justify" vertical="center" wrapText="1"/>
      <protection locked="0"/>
    </xf>
    <xf numFmtId="0" fontId="3" fillId="0" borderId="6" xfId="9" applyFont="1" applyFill="1" applyBorder="1" applyAlignment="1" applyProtection="1">
      <alignment horizontal="justify" vertical="center" wrapText="1"/>
      <protection locked="0"/>
    </xf>
    <xf numFmtId="0" fontId="4" fillId="0" borderId="12" xfId="23" applyFont="1" applyFill="1" applyBorder="1" applyAlignment="1" applyProtection="1">
      <alignment horizontal="center" vertical="center" textRotation="90" wrapText="1"/>
      <protection locked="0"/>
    </xf>
    <xf numFmtId="0" fontId="27" fillId="0" borderId="14" xfId="9" applyFont="1" applyFill="1" applyBorder="1" applyAlignment="1" applyProtection="1">
      <alignment horizontal="justify" vertical="center" wrapText="1"/>
      <protection locked="0"/>
    </xf>
    <xf numFmtId="0" fontId="27" fillId="0" borderId="13" xfId="9" applyFont="1" applyFill="1" applyBorder="1" applyAlignment="1" applyProtection="1">
      <alignment horizontal="justify" vertical="center" wrapText="1"/>
      <protection locked="0"/>
    </xf>
    <xf numFmtId="0" fontId="27" fillId="0" borderId="15" xfId="9" applyFont="1" applyFill="1" applyBorder="1" applyAlignment="1" applyProtection="1">
      <alignment horizontal="justify" vertical="center" wrapText="1"/>
      <protection locked="0"/>
    </xf>
    <xf numFmtId="0" fontId="4" fillId="0" borderId="13" xfId="9" applyFont="1" applyFill="1" applyBorder="1" applyAlignment="1" applyProtection="1">
      <alignment horizontal="justify" vertical="center" wrapText="1"/>
      <protection locked="0"/>
    </xf>
    <xf numFmtId="0" fontId="4" fillId="0" borderId="15" xfId="9" applyFont="1" applyFill="1" applyBorder="1" applyAlignment="1" applyProtection="1">
      <alignment horizontal="justify" vertical="center" wrapText="1"/>
      <protection locked="0"/>
    </xf>
    <xf numFmtId="0" fontId="4" fillId="0" borderId="0" xfId="9" applyFont="1" applyFill="1" applyBorder="1" applyAlignment="1" applyProtection="1">
      <alignment horizontal="justify" vertical="center" wrapText="1"/>
      <protection locked="0"/>
    </xf>
    <xf numFmtId="0" fontId="4" fillId="0" borderId="11" xfId="9" applyFont="1" applyFill="1" applyBorder="1" applyAlignment="1" applyProtection="1">
      <alignment horizontal="justify" vertical="center" wrapText="1"/>
      <protection locked="0"/>
    </xf>
    <xf numFmtId="0" fontId="4" fillId="0" borderId="4" xfId="9" applyFont="1" applyFill="1" applyBorder="1" applyAlignment="1" applyProtection="1">
      <alignment horizontal="justify" vertical="center" wrapText="1"/>
      <protection locked="0"/>
    </xf>
    <xf numFmtId="0" fontId="4" fillId="0" borderId="6" xfId="9" applyFont="1" applyFill="1" applyBorder="1" applyAlignment="1" applyProtection="1">
      <alignment horizontal="justify" vertical="center" wrapText="1"/>
      <protection locked="0"/>
    </xf>
    <xf numFmtId="0" fontId="32" fillId="0" borderId="1" xfId="22" applyFont="1" applyFill="1" applyBorder="1" applyAlignment="1" applyProtection="1">
      <alignment horizontal="left" vertical="center" wrapText="1"/>
      <protection locked="0"/>
    </xf>
    <xf numFmtId="0" fontId="32" fillId="0" borderId="2" xfId="22" applyFont="1" applyFill="1" applyBorder="1" applyAlignment="1" applyProtection="1">
      <alignment horizontal="left" vertical="center" wrapText="1"/>
      <protection locked="0"/>
    </xf>
    <xf numFmtId="0" fontId="116" fillId="0" borderId="1" xfId="22" applyFont="1" applyFill="1" applyBorder="1" applyAlignment="1">
      <alignment horizontal="center" wrapText="1"/>
    </xf>
    <xf numFmtId="0" fontId="116" fillId="0" borderId="2" xfId="22" applyFont="1" applyFill="1" applyBorder="1" applyAlignment="1">
      <alignment horizontal="center" wrapText="1"/>
    </xf>
    <xf numFmtId="0" fontId="32" fillId="0" borderId="1" xfId="23" applyFont="1" applyFill="1" applyBorder="1" applyAlignment="1" applyProtection="1">
      <alignment horizontal="center" vertical="center" textRotation="90" wrapText="1"/>
    </xf>
    <xf numFmtId="0" fontId="32" fillId="0" borderId="2" xfId="23" applyFont="1" applyFill="1" applyBorder="1" applyAlignment="1" applyProtection="1">
      <alignment horizontal="center" vertical="center" textRotation="90" wrapText="1"/>
    </xf>
    <xf numFmtId="0" fontId="32" fillId="0" borderId="1" xfId="22" applyFont="1" applyFill="1" applyBorder="1" applyAlignment="1" applyProtection="1">
      <alignment horizontal="justify" vertical="center" wrapText="1"/>
      <protection locked="0"/>
    </xf>
    <xf numFmtId="0" fontId="32" fillId="0" borderId="2" xfId="22" applyFont="1" applyFill="1" applyBorder="1" applyAlignment="1" applyProtection="1">
      <alignment horizontal="justify" vertical="center" wrapText="1"/>
      <protection locked="0"/>
    </xf>
    <xf numFmtId="9" fontId="32" fillId="0" borderId="1" xfId="22" applyNumberFormat="1" applyFont="1" applyFill="1" applyBorder="1" applyAlignment="1" applyProtection="1">
      <alignment horizontal="center" vertical="center" wrapText="1"/>
      <protection locked="0"/>
    </xf>
    <xf numFmtId="9" fontId="32" fillId="0" borderId="2" xfId="22" applyNumberFormat="1" applyFont="1" applyFill="1" applyBorder="1" applyAlignment="1" applyProtection="1">
      <alignment horizontal="center" vertical="center" wrapText="1"/>
      <protection locked="0"/>
    </xf>
    <xf numFmtId="0" fontId="4" fillId="0" borderId="2" xfId="23" applyFont="1" applyFill="1" applyBorder="1" applyAlignment="1" applyProtection="1">
      <alignment horizontal="center" vertical="center" textRotation="90" wrapText="1"/>
    </xf>
    <xf numFmtId="0" fontId="4" fillId="0" borderId="1" xfId="22" applyFont="1" applyFill="1" applyBorder="1" applyAlignment="1" applyProtection="1">
      <alignment horizontal="justify" vertical="center" wrapText="1"/>
      <protection locked="0"/>
    </xf>
    <xf numFmtId="0" fontId="4" fillId="0" borderId="9" xfId="22" applyFont="1" applyFill="1" applyBorder="1" applyAlignment="1" applyProtection="1">
      <alignment horizontal="justify" vertical="center" wrapText="1"/>
      <protection locked="0"/>
    </xf>
    <xf numFmtId="0" fontId="4" fillId="0" borderId="2" xfId="22" applyFont="1" applyFill="1" applyBorder="1" applyAlignment="1" applyProtection="1">
      <alignment horizontal="justify" vertical="center" wrapText="1"/>
      <protection locked="0"/>
    </xf>
    <xf numFmtId="0" fontId="27" fillId="0" borderId="10" xfId="9" applyFont="1" applyFill="1" applyBorder="1" applyAlignment="1" applyProtection="1">
      <alignment horizontal="justify" vertical="center" wrapText="1"/>
      <protection locked="0"/>
    </xf>
    <xf numFmtId="0" fontId="27" fillId="0" borderId="0" xfId="9" applyFont="1" applyFill="1" applyBorder="1" applyAlignment="1" applyProtection="1">
      <alignment horizontal="justify" vertical="center" wrapText="1"/>
      <protection locked="0"/>
    </xf>
    <xf numFmtId="0" fontId="27" fillId="0" borderId="11" xfId="9" applyFont="1" applyFill="1" applyBorder="1" applyAlignment="1" applyProtection="1">
      <alignment horizontal="justify" vertical="center" wrapText="1"/>
      <protection locked="0"/>
    </xf>
    <xf numFmtId="0" fontId="4" fillId="0" borderId="12" xfId="23" applyFont="1" applyFill="1" applyBorder="1" applyAlignment="1" applyProtection="1">
      <alignment horizontal="justify" vertical="center" wrapText="1"/>
      <protection locked="0"/>
    </xf>
    <xf numFmtId="0" fontId="4" fillId="0" borderId="4" xfId="23" applyFont="1" applyFill="1" applyBorder="1" applyAlignment="1" applyProtection="1">
      <alignment horizontal="justify" vertical="center" wrapText="1"/>
      <protection locked="0"/>
    </xf>
    <xf numFmtId="0" fontId="4" fillId="0" borderId="6" xfId="23" applyFont="1" applyFill="1" applyBorder="1" applyAlignment="1" applyProtection="1">
      <alignment horizontal="justify" vertical="center" wrapText="1"/>
      <protection locked="0"/>
    </xf>
    <xf numFmtId="0" fontId="3" fillId="0" borderId="7" xfId="23" applyFont="1" applyFill="1" applyBorder="1" applyAlignment="1" applyProtection="1">
      <alignment horizontal="justify" vertical="center" wrapText="1"/>
      <protection locked="0"/>
    </xf>
    <xf numFmtId="0" fontId="3" fillId="0" borderId="8" xfId="23" applyFont="1" applyFill="1" applyBorder="1" applyAlignment="1" applyProtection="1">
      <alignment horizontal="justify" vertical="center" wrapText="1"/>
      <protection locked="0"/>
    </xf>
    <xf numFmtId="0" fontId="3" fillId="0" borderId="5" xfId="23" applyFont="1" applyFill="1" applyBorder="1" applyAlignment="1" applyProtection="1">
      <alignment horizontal="justify" vertical="center" wrapText="1"/>
      <protection locked="0"/>
    </xf>
    <xf numFmtId="0" fontId="4" fillId="0" borderId="10" xfId="23" applyFont="1" applyFill="1" applyBorder="1" applyAlignment="1" applyProtection="1">
      <alignment horizontal="justify" vertical="center" wrapText="1"/>
      <protection locked="0"/>
    </xf>
    <xf numFmtId="0" fontId="4" fillId="0" borderId="0" xfId="23" applyFont="1" applyFill="1" applyBorder="1" applyAlignment="1" applyProtection="1">
      <alignment horizontal="justify" vertical="center" wrapText="1"/>
      <protection locked="0"/>
    </xf>
    <xf numFmtId="0" fontId="4" fillId="0" borderId="11" xfId="23" applyFont="1" applyFill="1" applyBorder="1" applyAlignment="1" applyProtection="1">
      <alignment horizontal="justify" vertical="center" wrapText="1"/>
      <protection locked="0"/>
    </xf>
    <xf numFmtId="0" fontId="4" fillId="0" borderId="2" xfId="23" applyFont="1" applyFill="1" applyBorder="1" applyAlignment="1" applyProtection="1">
      <alignment horizontal="center" vertical="center" textRotation="90" wrapText="1"/>
      <protection locked="0"/>
    </xf>
    <xf numFmtId="0" fontId="4" fillId="0" borderId="1" xfId="23" applyFont="1" applyFill="1" applyBorder="1" applyAlignment="1" applyProtection="1">
      <alignment horizontal="justify" vertical="center" wrapText="1"/>
      <protection locked="0"/>
    </xf>
    <xf numFmtId="0" fontId="4" fillId="0" borderId="9" xfId="23" applyFont="1" applyFill="1" applyBorder="1" applyAlignment="1" applyProtection="1">
      <alignment horizontal="justify" vertical="center" wrapText="1"/>
      <protection locked="0"/>
    </xf>
    <xf numFmtId="0" fontId="4" fillId="0" borderId="2" xfId="23" applyFont="1" applyFill="1" applyBorder="1" applyAlignment="1" applyProtection="1">
      <alignment horizontal="justify" vertical="center" wrapText="1"/>
      <protection locked="0"/>
    </xf>
    <xf numFmtId="0" fontId="27" fillId="0" borderId="2" xfId="23" applyFont="1" applyFill="1" applyBorder="1" applyAlignment="1" applyProtection="1">
      <alignment horizontal="center" vertical="center" textRotation="90" wrapText="1"/>
    </xf>
    <xf numFmtId="2" fontId="4" fillId="0" borderId="2" xfId="23" applyNumberFormat="1" applyFont="1" applyFill="1" applyBorder="1" applyAlignment="1" applyProtection="1">
      <alignment horizontal="center" vertical="center" textRotation="90" wrapText="1"/>
      <protection locked="0"/>
    </xf>
    <xf numFmtId="0" fontId="4" fillId="3" borderId="33" xfId="9" applyFont="1" applyFill="1" applyBorder="1" applyAlignment="1">
      <alignment horizontal="center" vertical="center" wrapText="1"/>
    </xf>
    <xf numFmtId="0" fontId="4" fillId="3" borderId="34" xfId="9" applyFont="1" applyFill="1" applyBorder="1" applyAlignment="1">
      <alignment horizontal="center" vertical="center" wrapText="1"/>
    </xf>
    <xf numFmtId="0" fontId="4" fillId="3" borderId="35" xfId="9" applyFont="1" applyFill="1" applyBorder="1" applyAlignment="1">
      <alignment horizontal="center" vertical="center" wrapText="1"/>
    </xf>
    <xf numFmtId="0" fontId="4" fillId="4" borderId="1" xfId="9" applyFont="1" applyFill="1" applyBorder="1" applyAlignment="1">
      <alignment horizontal="center" vertical="center" textRotation="90" wrapText="1"/>
    </xf>
    <xf numFmtId="0" fontId="4" fillId="4" borderId="9" xfId="9" applyFont="1" applyFill="1" applyBorder="1" applyAlignment="1">
      <alignment horizontal="center" vertical="center" textRotation="90" wrapText="1"/>
    </xf>
    <xf numFmtId="0" fontId="4" fillId="4" borderId="2" xfId="9" applyFont="1" applyFill="1" applyBorder="1" applyAlignment="1">
      <alignment horizontal="center" vertical="center" textRotation="90" wrapText="1"/>
    </xf>
    <xf numFmtId="0" fontId="3" fillId="0" borderId="14" xfId="9" applyFont="1" applyFill="1" applyBorder="1" applyAlignment="1">
      <alignment horizontal="justify" vertical="center" wrapText="1"/>
    </xf>
    <xf numFmtId="0" fontId="3" fillId="0" borderId="13" xfId="9" applyFont="1" applyFill="1" applyBorder="1" applyAlignment="1">
      <alignment horizontal="justify" vertical="center" wrapText="1"/>
    </xf>
    <xf numFmtId="0" fontId="3" fillId="0" borderId="15" xfId="9" applyFont="1" applyFill="1" applyBorder="1" applyAlignment="1">
      <alignment horizontal="justify" vertical="center" wrapText="1"/>
    </xf>
    <xf numFmtId="0" fontId="3" fillId="0" borderId="10" xfId="9" applyFont="1" applyFill="1" applyBorder="1" applyAlignment="1">
      <alignment horizontal="justify" vertical="center" wrapText="1"/>
    </xf>
    <xf numFmtId="0" fontId="3" fillId="0" borderId="0" xfId="9" applyFont="1" applyFill="1" applyBorder="1" applyAlignment="1">
      <alignment horizontal="justify" vertical="center" wrapText="1"/>
    </xf>
    <xf numFmtId="0" fontId="3" fillId="0" borderId="11" xfId="9" applyFont="1" applyFill="1" applyBorder="1" applyAlignment="1">
      <alignment horizontal="justify" vertical="center" wrapText="1"/>
    </xf>
    <xf numFmtId="0" fontId="3" fillId="0" borderId="12" xfId="9" applyFont="1" applyFill="1" applyBorder="1" applyAlignment="1">
      <alignment horizontal="justify" vertical="center" wrapText="1"/>
    </xf>
    <xf numFmtId="0" fontId="3" fillId="0" borderId="4" xfId="9" applyFont="1" applyFill="1" applyBorder="1" applyAlignment="1">
      <alignment horizontal="justify" vertical="center" wrapText="1"/>
    </xf>
    <xf numFmtId="0" fontId="3" fillId="0" borderId="6" xfId="9" applyFont="1" applyFill="1" applyBorder="1" applyAlignment="1">
      <alignment horizontal="justify" vertical="center" wrapText="1"/>
    </xf>
    <xf numFmtId="0" fontId="4" fillId="0" borderId="14" xfId="9" applyFont="1" applyFill="1" applyBorder="1" applyAlignment="1">
      <alignment horizontal="center" vertical="center" wrapText="1"/>
    </xf>
    <xf numFmtId="0" fontId="4" fillId="0" borderId="10" xfId="9" applyFont="1" applyFill="1" applyBorder="1" applyAlignment="1">
      <alignment horizontal="center" vertical="center" wrapText="1"/>
    </xf>
    <xf numFmtId="0" fontId="4" fillId="0" borderId="12" xfId="9" applyFont="1" applyFill="1" applyBorder="1" applyAlignment="1">
      <alignment horizontal="center" vertical="center" wrapText="1"/>
    </xf>
    <xf numFmtId="0" fontId="4" fillId="0" borderId="14" xfId="9" applyFont="1" applyFill="1" applyBorder="1" applyAlignment="1">
      <alignment horizontal="justify" vertical="center" wrapText="1"/>
    </xf>
    <xf numFmtId="0" fontId="4" fillId="0" borderId="13" xfId="9" applyFont="1" applyFill="1" applyBorder="1" applyAlignment="1">
      <alignment horizontal="justify" vertical="center" wrapText="1"/>
    </xf>
    <xf numFmtId="0" fontId="4" fillId="0" borderId="15" xfId="9" applyFont="1" applyFill="1" applyBorder="1" applyAlignment="1">
      <alignment horizontal="justify" vertical="center" wrapText="1"/>
    </xf>
    <xf numFmtId="0" fontId="4" fillId="0" borderId="10" xfId="9" applyFont="1" applyFill="1" applyBorder="1" applyAlignment="1">
      <alignment horizontal="justify" vertical="center" wrapText="1"/>
    </xf>
    <xf numFmtId="0" fontId="4" fillId="0" borderId="0" xfId="9" applyFont="1" applyFill="1" applyBorder="1" applyAlignment="1">
      <alignment horizontal="justify" vertical="center" wrapText="1"/>
    </xf>
    <xf numFmtId="0" fontId="4" fillId="0" borderId="11" xfId="9" applyFont="1" applyFill="1" applyBorder="1" applyAlignment="1">
      <alignment horizontal="justify" vertical="center" wrapText="1"/>
    </xf>
    <xf numFmtId="0" fontId="4" fillId="0" borderId="3" xfId="23" applyFont="1" applyFill="1" applyBorder="1" applyAlignment="1" applyProtection="1">
      <alignment horizontal="justify" vertical="center" wrapText="1"/>
      <protection locked="0"/>
    </xf>
    <xf numFmtId="0" fontId="4" fillId="0" borderId="7" xfId="23" applyFont="1" applyFill="1" applyBorder="1" applyAlignment="1" applyProtection="1">
      <alignment horizontal="justify" vertical="center" wrapText="1"/>
      <protection locked="0"/>
    </xf>
    <xf numFmtId="0" fontId="4" fillId="0" borderId="8" xfId="23" applyFont="1" applyFill="1" applyBorder="1" applyAlignment="1" applyProtection="1">
      <alignment horizontal="justify" vertical="center" wrapText="1"/>
      <protection locked="0"/>
    </xf>
    <xf numFmtId="0" fontId="4" fillId="0" borderId="5" xfId="23" applyFont="1" applyFill="1" applyBorder="1" applyAlignment="1" applyProtection="1">
      <alignment horizontal="justify" vertical="center" wrapText="1"/>
      <protection locked="0"/>
    </xf>
    <xf numFmtId="0" fontId="115" fillId="0" borderId="7" xfId="23" applyFont="1" applyFill="1" applyBorder="1" applyAlignment="1" applyProtection="1">
      <alignment horizontal="justify" vertical="center" wrapText="1"/>
      <protection locked="0"/>
    </xf>
    <xf numFmtId="0" fontId="115" fillId="0" borderId="8" xfId="23" applyFont="1" applyFill="1" applyBorder="1" applyAlignment="1" applyProtection="1">
      <alignment horizontal="justify" vertical="center" wrapText="1"/>
      <protection locked="0"/>
    </xf>
    <xf numFmtId="0" fontId="115" fillId="0" borderId="5" xfId="23" applyFont="1" applyFill="1" applyBorder="1" applyAlignment="1" applyProtection="1">
      <alignment horizontal="justify" vertical="center" wrapText="1"/>
      <protection locked="0"/>
    </xf>
    <xf numFmtId="0" fontId="32" fillId="0" borderId="7" xfId="23" applyFont="1" applyFill="1" applyBorder="1" applyAlignment="1" applyProtection="1">
      <alignment horizontal="justify" vertical="center" wrapText="1"/>
      <protection locked="0"/>
    </xf>
    <xf numFmtId="0" fontId="32" fillId="0" borderId="8" xfId="23" applyFont="1" applyFill="1" applyBorder="1" applyAlignment="1" applyProtection="1">
      <alignment horizontal="justify" vertical="center" wrapText="1"/>
      <protection locked="0"/>
    </xf>
    <xf numFmtId="0" fontId="32" fillId="0" borderId="5" xfId="23" applyFont="1" applyFill="1" applyBorder="1" applyAlignment="1" applyProtection="1">
      <alignment horizontal="justify" vertical="center" wrapText="1"/>
      <protection locked="0"/>
    </xf>
    <xf numFmtId="0" fontId="32" fillId="0" borderId="3" xfId="23" applyFont="1" applyFill="1" applyBorder="1" applyAlignment="1" applyProtection="1">
      <alignment horizontal="justify" vertical="center" wrapText="1"/>
      <protection locked="0"/>
    </xf>
    <xf numFmtId="0" fontId="4" fillId="0" borderId="12" xfId="9" applyFont="1" applyFill="1" applyBorder="1" applyAlignment="1">
      <alignment horizontal="justify" vertical="center" wrapText="1"/>
    </xf>
    <xf numFmtId="0" fontId="4" fillId="0" borderId="4" xfId="9" applyFont="1" applyFill="1" applyBorder="1" applyAlignment="1">
      <alignment horizontal="justify" vertical="center" wrapText="1"/>
    </xf>
    <xf numFmtId="0" fontId="4" fillId="0" borderId="6" xfId="9" applyFont="1" applyFill="1" applyBorder="1" applyAlignment="1">
      <alignment horizontal="justify" vertical="center" wrapText="1"/>
    </xf>
    <xf numFmtId="0" fontId="8" fillId="0" borderId="1" xfId="9" applyFont="1" applyFill="1" applyBorder="1" applyAlignment="1">
      <alignment horizontal="center" vertical="center" wrapText="1"/>
    </xf>
    <xf numFmtId="0" fontId="8" fillId="0" borderId="9" xfId="9" applyFont="1" applyFill="1" applyBorder="1" applyAlignment="1">
      <alignment horizontal="center" vertical="center" wrapText="1"/>
    </xf>
    <xf numFmtId="0" fontId="4" fillId="0" borderId="1" xfId="9" applyFont="1" applyFill="1" applyBorder="1" applyAlignment="1">
      <alignment horizontal="center" vertical="center" wrapText="1"/>
    </xf>
    <xf numFmtId="0" fontId="4" fillId="0" borderId="9" xfId="9" applyFont="1" applyFill="1" applyBorder="1" applyAlignment="1">
      <alignment horizontal="center" vertical="center" wrapText="1"/>
    </xf>
    <xf numFmtId="0" fontId="4" fillId="0" borderId="2" xfId="9" applyFont="1" applyFill="1" applyBorder="1" applyAlignment="1">
      <alignment horizontal="center" vertical="center" wrapText="1"/>
    </xf>
    <xf numFmtId="0" fontId="4" fillId="0" borderId="1" xfId="9" applyFont="1" applyFill="1" applyBorder="1" applyAlignment="1">
      <alignment horizontal="left" vertical="center" wrapText="1"/>
    </xf>
    <xf numFmtId="0" fontId="4" fillId="0" borderId="9" xfId="9" applyFont="1" applyFill="1" applyBorder="1" applyAlignment="1">
      <alignment horizontal="left" vertical="center" wrapText="1"/>
    </xf>
    <xf numFmtId="0" fontId="4" fillId="0" borderId="2" xfId="9" applyFont="1" applyFill="1" applyBorder="1" applyAlignment="1">
      <alignment horizontal="left" vertical="center" wrapText="1"/>
    </xf>
    <xf numFmtId="0" fontId="4" fillId="0" borderId="14" xfId="9" applyFont="1" applyFill="1" applyBorder="1" applyAlignment="1">
      <alignment horizontal="left" vertical="center" wrapText="1"/>
    </xf>
    <xf numFmtId="0" fontId="4" fillId="0" borderId="10" xfId="9" applyFont="1" applyFill="1" applyBorder="1" applyAlignment="1">
      <alignment horizontal="left" vertical="center" wrapText="1"/>
    </xf>
    <xf numFmtId="0" fontId="4" fillId="0" borderId="12" xfId="9" applyFont="1" applyFill="1" applyBorder="1" applyAlignment="1">
      <alignment horizontal="left" vertical="center" wrapText="1"/>
    </xf>
    <xf numFmtId="0" fontId="4" fillId="0" borderId="1" xfId="9" applyFont="1" applyFill="1" applyBorder="1" applyAlignment="1" applyProtection="1">
      <alignment horizontal="center" vertical="center" wrapText="1"/>
      <protection locked="0"/>
    </xf>
    <xf numFmtId="0" fontId="4" fillId="0" borderId="9" xfId="9" applyFont="1" applyFill="1" applyBorder="1" applyAlignment="1" applyProtection="1">
      <alignment horizontal="center" vertical="center" wrapText="1"/>
      <protection locked="0"/>
    </xf>
    <xf numFmtId="0" fontId="4" fillId="0" borderId="2" xfId="9" applyFont="1" applyFill="1" applyBorder="1" applyAlignment="1" applyProtection="1">
      <alignment horizontal="center" vertical="center" wrapText="1"/>
      <protection locked="0"/>
    </xf>
    <xf numFmtId="0" fontId="4" fillId="3" borderId="36" xfId="9" applyFont="1" applyFill="1" applyBorder="1" applyAlignment="1">
      <alignment horizontal="center" vertical="center" wrapText="1"/>
    </xf>
    <xf numFmtId="0" fontId="4" fillId="3" borderId="37" xfId="9" applyFont="1" applyFill="1" applyBorder="1" applyAlignment="1">
      <alignment horizontal="center" vertical="center" wrapText="1"/>
    </xf>
    <xf numFmtId="0" fontId="4" fillId="3" borderId="38" xfId="9" applyFont="1" applyFill="1" applyBorder="1" applyAlignment="1">
      <alignment horizontal="center" vertical="center" wrapText="1"/>
    </xf>
    <xf numFmtId="0" fontId="4" fillId="4" borderId="14" xfId="9" applyFont="1" applyFill="1" applyBorder="1" applyAlignment="1">
      <alignment horizontal="center" vertical="center" textRotation="90" wrapText="1"/>
    </xf>
    <xf numFmtId="0" fontId="4" fillId="4" borderId="10" xfId="9" applyFont="1" applyFill="1" applyBorder="1" applyAlignment="1">
      <alignment horizontal="center" vertical="center" textRotation="90" wrapText="1"/>
    </xf>
    <xf numFmtId="0" fontId="4" fillId="4" borderId="12" xfId="9" applyFont="1" applyFill="1" applyBorder="1" applyAlignment="1">
      <alignment horizontal="center" vertical="center" textRotation="90" wrapText="1"/>
    </xf>
    <xf numFmtId="0" fontId="4" fillId="4" borderId="1" xfId="9" applyFont="1" applyFill="1" applyBorder="1" applyAlignment="1">
      <alignment horizontal="center" vertical="center" textRotation="90"/>
    </xf>
    <xf numFmtId="0" fontId="4" fillId="4" borderId="9" xfId="9" applyFont="1" applyFill="1" applyBorder="1" applyAlignment="1">
      <alignment horizontal="center" vertical="center" textRotation="90"/>
    </xf>
    <xf numFmtId="0" fontId="4" fillId="4" borderId="2" xfId="9" applyFont="1" applyFill="1" applyBorder="1" applyAlignment="1">
      <alignment horizontal="center" vertical="center" textRotation="90"/>
    </xf>
    <xf numFmtId="0" fontId="4" fillId="0" borderId="12" xfId="22" applyFont="1" applyFill="1" applyBorder="1" applyAlignment="1" applyProtection="1">
      <alignment horizontal="center" vertical="center" wrapText="1"/>
      <protection locked="0"/>
    </xf>
    <xf numFmtId="0" fontId="4" fillId="0" borderId="4" xfId="22" applyFont="1" applyFill="1" applyBorder="1" applyAlignment="1" applyProtection="1">
      <alignment horizontal="center" vertical="center" wrapText="1"/>
      <protection locked="0"/>
    </xf>
    <xf numFmtId="0" fontId="4" fillId="0" borderId="6" xfId="22" applyFont="1" applyFill="1" applyBorder="1" applyAlignment="1" applyProtection="1">
      <alignment horizontal="center" vertical="center" wrapText="1"/>
      <protection locked="0"/>
    </xf>
    <xf numFmtId="0" fontId="117" fillId="0" borderId="14" xfId="22" applyFont="1" applyBorder="1" applyAlignment="1">
      <alignment horizontal="left" vertical="top" wrapText="1"/>
    </xf>
    <xf numFmtId="0" fontId="117" fillId="0" borderId="13" xfId="22" applyFont="1" applyBorder="1" applyAlignment="1">
      <alignment horizontal="left" vertical="top" wrapText="1"/>
    </xf>
    <xf numFmtId="0" fontId="117" fillId="0" borderId="15" xfId="22" applyFont="1" applyBorder="1" applyAlignment="1">
      <alignment horizontal="left" vertical="top" wrapText="1"/>
    </xf>
    <xf numFmtId="0" fontId="117" fillId="0" borderId="10" xfId="22" applyFont="1" applyBorder="1" applyAlignment="1">
      <alignment horizontal="left" vertical="top" wrapText="1"/>
    </xf>
    <xf numFmtId="0" fontId="117" fillId="0" borderId="0" xfId="22" applyFont="1" applyBorder="1" applyAlignment="1">
      <alignment horizontal="left" vertical="top" wrapText="1"/>
    </xf>
    <xf numFmtId="0" fontId="117" fillId="0" borderId="11" xfId="22" applyFont="1" applyBorder="1" applyAlignment="1">
      <alignment horizontal="left" vertical="top" wrapText="1"/>
    </xf>
    <xf numFmtId="0" fontId="110" fillId="0" borderId="7" xfId="22" applyFont="1" applyFill="1" applyBorder="1" applyAlignment="1" applyProtection="1">
      <alignment horizontal="center" vertical="center"/>
      <protection locked="0"/>
    </xf>
    <xf numFmtId="0" fontId="110" fillId="0" borderId="8" xfId="22" applyFont="1" applyFill="1" applyBorder="1" applyAlignment="1" applyProtection="1">
      <alignment horizontal="center" vertical="center"/>
      <protection locked="0"/>
    </xf>
    <xf numFmtId="0" fontId="110" fillId="0" borderId="5" xfId="22" applyFont="1" applyFill="1" applyBorder="1" applyAlignment="1" applyProtection="1">
      <alignment horizontal="center" vertical="center"/>
      <protection locked="0"/>
    </xf>
    <xf numFmtId="0" fontId="113" fillId="0" borderId="14" xfId="22" applyFont="1" applyBorder="1" applyAlignment="1">
      <alignment horizontal="left" vertical="top" wrapText="1"/>
    </xf>
    <xf numFmtId="0" fontId="114" fillId="0" borderId="13" xfId="22" applyFont="1" applyBorder="1" applyAlignment="1">
      <alignment horizontal="left" vertical="top" wrapText="1"/>
    </xf>
    <xf numFmtId="0" fontId="114" fillId="0" borderId="15" xfId="22" applyFont="1" applyBorder="1" applyAlignment="1">
      <alignment horizontal="left" vertical="top" wrapText="1"/>
    </xf>
    <xf numFmtId="0" fontId="114" fillId="0" borderId="10" xfId="22" applyFont="1" applyBorder="1" applyAlignment="1">
      <alignment horizontal="left" vertical="top" wrapText="1"/>
    </xf>
    <xf numFmtId="0" fontId="114" fillId="0" borderId="0" xfId="22" applyFont="1" applyBorder="1" applyAlignment="1">
      <alignment horizontal="left" vertical="top" wrapText="1"/>
    </xf>
    <xf numFmtId="0" fontId="114" fillId="0" borderId="11" xfId="22" applyFont="1" applyBorder="1" applyAlignment="1">
      <alignment horizontal="left" vertical="top" wrapText="1"/>
    </xf>
    <xf numFmtId="0" fontId="112" fillId="4" borderId="7" xfId="22" applyFont="1" applyFill="1" applyBorder="1" applyAlignment="1">
      <alignment horizontal="center" vertical="center"/>
    </xf>
    <xf numFmtId="0" fontId="112" fillId="4" borderId="8" xfId="22" applyFont="1" applyFill="1" applyBorder="1" applyAlignment="1">
      <alignment horizontal="center" vertical="center"/>
    </xf>
    <xf numFmtId="0" fontId="112" fillId="4" borderId="5" xfId="22" applyFont="1" applyFill="1" applyBorder="1" applyAlignment="1">
      <alignment horizontal="center" vertical="center"/>
    </xf>
    <xf numFmtId="0" fontId="110" fillId="0" borderId="3" xfId="22" applyFont="1" applyBorder="1" applyAlignment="1" applyProtection="1">
      <alignment horizontal="left" vertical="top" wrapText="1"/>
      <protection locked="0"/>
    </xf>
    <xf numFmtId="0" fontId="110" fillId="0" borderId="3" xfId="22" applyFont="1" applyBorder="1" applyAlignment="1" applyProtection="1">
      <alignment horizontal="left" vertical="top"/>
      <protection locked="0"/>
    </xf>
    <xf numFmtId="0" fontId="110" fillId="0" borderId="7" xfId="22" applyFont="1" applyFill="1" applyBorder="1" applyAlignment="1" applyProtection="1">
      <alignment horizontal="center" vertical="center" wrapText="1"/>
      <protection locked="0"/>
    </xf>
    <xf numFmtId="0" fontId="110" fillId="0" borderId="5" xfId="22" applyFont="1" applyFill="1" applyBorder="1" applyAlignment="1" applyProtection="1">
      <alignment horizontal="center" vertical="center" wrapText="1"/>
      <protection locked="0"/>
    </xf>
    <xf numFmtId="0" fontId="110" fillId="0" borderId="8" xfId="22" applyFont="1" applyFill="1" applyBorder="1" applyAlignment="1" applyProtection="1">
      <alignment horizontal="center" vertical="center" wrapText="1"/>
      <protection locked="0"/>
    </xf>
    <xf numFmtId="0" fontId="110" fillId="0" borderId="3" xfId="22" applyFont="1" applyFill="1" applyBorder="1" applyAlignment="1" applyProtection="1">
      <alignment horizontal="center" vertical="center" wrapText="1"/>
      <protection locked="0"/>
    </xf>
    <xf numFmtId="0" fontId="112" fillId="0" borderId="7" xfId="23" applyFont="1" applyFill="1" applyBorder="1" applyAlignment="1" applyProtection="1">
      <alignment horizontal="center" vertical="center" wrapText="1"/>
      <protection locked="0"/>
    </xf>
    <xf numFmtId="0" fontId="112" fillId="0" borderId="8" xfId="23" applyFont="1" applyFill="1" applyBorder="1" applyAlignment="1" applyProtection="1">
      <alignment horizontal="center" vertical="center" wrapText="1"/>
      <protection locked="0"/>
    </xf>
    <xf numFmtId="0" fontId="112" fillId="0" borderId="5" xfId="23" applyFont="1" applyFill="1" applyBorder="1" applyAlignment="1" applyProtection="1">
      <alignment horizontal="center" vertical="center" wrapText="1"/>
      <protection locked="0"/>
    </xf>
    <xf numFmtId="0" fontId="110" fillId="0" borderId="7" xfId="23" applyFont="1" applyFill="1" applyBorder="1" applyAlignment="1" applyProtection="1">
      <alignment horizontal="left" vertical="center" wrapText="1"/>
      <protection locked="0"/>
    </xf>
    <xf numFmtId="0" fontId="110" fillId="0" borderId="8" xfId="23" applyFont="1" applyFill="1" applyBorder="1" applyAlignment="1" applyProtection="1">
      <alignment horizontal="left" vertical="center" wrapText="1"/>
      <protection locked="0"/>
    </xf>
    <xf numFmtId="0" fontId="110" fillId="0" borderId="5" xfId="23" applyFont="1" applyFill="1" applyBorder="1" applyAlignment="1" applyProtection="1">
      <alignment horizontal="left" vertical="center" wrapText="1"/>
      <protection locked="0"/>
    </xf>
    <xf numFmtId="0" fontId="110" fillId="0" borderId="3" xfId="23" applyFont="1" applyFill="1" applyBorder="1" applyAlignment="1" applyProtection="1">
      <alignment horizontal="left" vertical="center" wrapText="1"/>
      <protection locked="0"/>
    </xf>
    <xf numFmtId="0" fontId="112" fillId="3" borderId="7" xfId="23" applyFont="1" applyFill="1" applyBorder="1" applyAlignment="1" applyProtection="1">
      <alignment horizontal="center" vertical="center" wrapText="1"/>
      <protection locked="0"/>
    </xf>
    <xf numFmtId="0" fontId="112" fillId="3" borderId="8" xfId="23" applyFont="1" applyFill="1" applyBorder="1" applyAlignment="1" applyProtection="1">
      <alignment horizontal="center" vertical="center" wrapText="1"/>
      <protection locked="0"/>
    </xf>
    <xf numFmtId="0" fontId="112" fillId="3" borderId="5" xfId="23" applyFont="1" applyFill="1" applyBorder="1" applyAlignment="1" applyProtection="1">
      <alignment horizontal="center" vertical="center" wrapText="1"/>
      <protection locked="0"/>
    </xf>
    <xf numFmtId="0" fontId="110" fillId="0" borderId="1" xfId="22" applyFont="1" applyFill="1" applyBorder="1" applyAlignment="1">
      <alignment horizontal="center" vertical="center" textRotation="90" wrapText="1"/>
    </xf>
    <xf numFmtId="0" fontId="110" fillId="0" borderId="9" xfId="22" applyFont="1" applyFill="1" applyBorder="1" applyAlignment="1">
      <alignment horizontal="center" vertical="center" textRotation="90" wrapText="1"/>
    </xf>
    <xf numFmtId="0" fontId="110" fillId="0" borderId="2" xfId="22" applyFont="1" applyFill="1" applyBorder="1" applyAlignment="1">
      <alignment horizontal="center" vertical="center" textRotation="90" wrapText="1"/>
    </xf>
    <xf numFmtId="0" fontId="110" fillId="0" borderId="1" xfId="22" applyFont="1" applyFill="1" applyBorder="1" applyAlignment="1" applyProtection="1">
      <alignment horizontal="center" vertical="center" wrapText="1"/>
      <protection locked="0"/>
    </xf>
    <xf numFmtId="0" fontId="110" fillId="0" borderId="9" xfId="22" applyFont="1" applyFill="1" applyBorder="1" applyAlignment="1" applyProtection="1">
      <alignment horizontal="center" vertical="center" wrapText="1"/>
      <protection locked="0"/>
    </xf>
    <xf numFmtId="0" fontId="110" fillId="0" borderId="2" xfId="22" applyFont="1" applyFill="1" applyBorder="1" applyAlignment="1" applyProtection="1">
      <alignment horizontal="center" vertical="center" wrapText="1"/>
      <protection locked="0"/>
    </xf>
    <xf numFmtId="0" fontId="111" fillId="10" borderId="1" xfId="23" applyFont="1" applyFill="1" applyBorder="1" applyAlignment="1" applyProtection="1">
      <alignment horizontal="center" vertical="center" textRotation="90" wrapText="1"/>
    </xf>
    <xf numFmtId="0" fontId="111" fillId="10" borderId="9" xfId="23" applyFont="1" applyFill="1" applyBorder="1" applyAlignment="1" applyProtection="1">
      <alignment horizontal="center" vertical="center" textRotation="90" wrapText="1"/>
    </xf>
    <xf numFmtId="0" fontId="111" fillId="10" borderId="2" xfId="23" applyFont="1" applyFill="1" applyBorder="1" applyAlignment="1" applyProtection="1">
      <alignment horizontal="center" vertical="center" textRotation="90" wrapText="1"/>
    </xf>
    <xf numFmtId="0" fontId="110" fillId="10" borderId="1" xfId="23" applyFont="1" applyFill="1" applyBorder="1" applyAlignment="1" applyProtection="1">
      <alignment horizontal="center" vertical="center" textRotation="90" wrapText="1"/>
    </xf>
    <xf numFmtId="0" fontId="110" fillId="10" borderId="9" xfId="23" applyFont="1" applyFill="1" applyBorder="1" applyAlignment="1" applyProtection="1">
      <alignment horizontal="center" vertical="center" textRotation="90" wrapText="1"/>
    </xf>
    <xf numFmtId="0" fontId="110" fillId="10" borderId="2" xfId="23" applyFont="1" applyFill="1" applyBorder="1" applyAlignment="1" applyProtection="1">
      <alignment horizontal="center" vertical="center" textRotation="90" wrapText="1"/>
    </xf>
    <xf numFmtId="9" fontId="110" fillId="0" borderId="1" xfId="22" applyNumberFormat="1" applyFont="1" applyFill="1" applyBorder="1" applyAlignment="1" applyProtection="1">
      <alignment horizontal="center" vertical="center" wrapText="1"/>
      <protection locked="0"/>
    </xf>
    <xf numFmtId="9" fontId="110" fillId="0" borderId="9" xfId="22" applyNumberFormat="1" applyFont="1" applyFill="1" applyBorder="1" applyAlignment="1" applyProtection="1">
      <alignment horizontal="center" vertical="center" wrapText="1"/>
      <protection locked="0"/>
    </xf>
    <xf numFmtId="9" fontId="110" fillId="0" borderId="2" xfId="22" applyNumberFormat="1" applyFont="1" applyFill="1" applyBorder="1" applyAlignment="1" applyProtection="1">
      <alignment horizontal="center" vertical="center" wrapText="1"/>
      <protection locked="0"/>
    </xf>
    <xf numFmtId="0" fontId="110" fillId="0" borderId="14" xfId="23" applyFont="1" applyFill="1" applyBorder="1" applyAlignment="1" applyProtection="1">
      <alignment horizontal="center" vertical="center" wrapText="1"/>
      <protection locked="0"/>
    </xf>
    <xf numFmtId="0" fontId="110" fillId="0" borderId="13" xfId="23" applyFont="1" applyFill="1" applyBorder="1" applyAlignment="1" applyProtection="1">
      <alignment horizontal="center" vertical="center" wrapText="1"/>
      <protection locked="0"/>
    </xf>
    <xf numFmtId="0" fontId="110" fillId="0" borderId="15" xfId="23" applyFont="1" applyFill="1" applyBorder="1" applyAlignment="1" applyProtection="1">
      <alignment horizontal="center" vertical="center" wrapText="1"/>
      <protection locked="0"/>
    </xf>
    <xf numFmtId="0" fontId="110" fillId="0" borderId="10" xfId="23" applyFont="1" applyFill="1" applyBorder="1" applyAlignment="1" applyProtection="1">
      <alignment horizontal="center" vertical="center" wrapText="1"/>
      <protection locked="0"/>
    </xf>
    <xf numFmtId="0" fontId="110" fillId="0" borderId="0" xfId="23" applyFont="1" applyFill="1" applyBorder="1" applyAlignment="1" applyProtection="1">
      <alignment horizontal="center" vertical="center" wrapText="1"/>
      <protection locked="0"/>
    </xf>
    <xf numFmtId="0" fontId="110" fillId="0" borderId="11" xfId="23" applyFont="1" applyFill="1" applyBorder="1" applyAlignment="1" applyProtection="1">
      <alignment horizontal="center" vertical="center" wrapText="1"/>
      <protection locked="0"/>
    </xf>
    <xf numFmtId="0" fontId="110" fillId="0" borderId="12" xfId="23" applyFont="1" applyFill="1" applyBorder="1" applyAlignment="1" applyProtection="1">
      <alignment horizontal="center" vertical="center" wrapText="1"/>
      <protection locked="0"/>
    </xf>
    <xf numFmtId="0" fontId="110" fillId="0" borderId="4" xfId="23" applyFont="1" applyFill="1" applyBorder="1" applyAlignment="1" applyProtection="1">
      <alignment horizontal="center" vertical="center" wrapText="1"/>
      <protection locked="0"/>
    </xf>
    <xf numFmtId="0" fontId="110" fillId="0" borderId="6" xfId="23" applyFont="1" applyFill="1" applyBorder="1" applyAlignment="1" applyProtection="1">
      <alignment horizontal="center" vertical="center" wrapText="1"/>
      <protection locked="0"/>
    </xf>
    <xf numFmtId="0" fontId="110" fillId="0" borderId="1" xfId="23" applyFont="1" applyFill="1" applyBorder="1" applyAlignment="1" applyProtection="1">
      <alignment horizontal="center" vertical="center" textRotation="90" wrapText="1"/>
      <protection locked="0"/>
    </xf>
    <xf numFmtId="0" fontId="110" fillId="0" borderId="9" xfId="23" applyFont="1" applyFill="1" applyBorder="1" applyAlignment="1" applyProtection="1">
      <alignment horizontal="center" vertical="center" textRotation="90" wrapText="1"/>
      <protection locked="0"/>
    </xf>
    <xf numFmtId="0" fontId="110" fillId="0" borderId="2" xfId="23" applyFont="1" applyFill="1" applyBorder="1" applyAlignment="1" applyProtection="1">
      <alignment horizontal="center" vertical="center" textRotation="90" wrapText="1"/>
      <protection locked="0"/>
    </xf>
    <xf numFmtId="0" fontId="110" fillId="0" borderId="1" xfId="23" applyFont="1" applyFill="1" applyBorder="1" applyAlignment="1" applyProtection="1">
      <alignment horizontal="center" vertical="center" wrapText="1"/>
      <protection locked="0"/>
    </xf>
    <xf numFmtId="0" fontId="110" fillId="0" borderId="9" xfId="23" applyFont="1" applyFill="1" applyBorder="1" applyAlignment="1" applyProtection="1">
      <alignment horizontal="center" vertical="center" wrapText="1"/>
      <protection locked="0"/>
    </xf>
    <xf numFmtId="0" fontId="110" fillId="0" borderId="2" xfId="23" applyFont="1" applyFill="1" applyBorder="1" applyAlignment="1" applyProtection="1">
      <alignment horizontal="center" vertical="center" wrapText="1"/>
      <protection locked="0"/>
    </xf>
    <xf numFmtId="2" fontId="110" fillId="3" borderId="1" xfId="23" applyNumberFormat="1" applyFont="1" applyFill="1" applyBorder="1" applyAlignment="1" applyProtection="1">
      <alignment horizontal="center" vertical="center" textRotation="90" wrapText="1"/>
      <protection locked="0"/>
    </xf>
    <xf numFmtId="2" fontId="110" fillId="3" borderId="9" xfId="23" applyNumberFormat="1" applyFont="1" applyFill="1" applyBorder="1" applyAlignment="1" applyProtection="1">
      <alignment horizontal="center" vertical="center" textRotation="90" wrapText="1"/>
      <protection locked="0"/>
    </xf>
    <xf numFmtId="2" fontId="110" fillId="3" borderId="2" xfId="23" applyNumberFormat="1" applyFont="1" applyFill="1" applyBorder="1" applyAlignment="1" applyProtection="1">
      <alignment horizontal="center" vertical="center" textRotation="90" wrapText="1"/>
      <protection locked="0"/>
    </xf>
    <xf numFmtId="0" fontId="112" fillId="0" borderId="14" xfId="23" applyFont="1" applyFill="1" applyBorder="1" applyAlignment="1" applyProtection="1">
      <alignment horizontal="center" vertical="center" wrapText="1"/>
      <protection locked="0"/>
    </xf>
    <xf numFmtId="0" fontId="112" fillId="0" borderId="13" xfId="23" applyFont="1" applyFill="1" applyBorder="1" applyAlignment="1" applyProtection="1">
      <alignment horizontal="center" vertical="center" wrapText="1"/>
      <protection locked="0"/>
    </xf>
    <xf numFmtId="0" fontId="112" fillId="0" borderId="15" xfId="23" applyFont="1" applyFill="1" applyBorder="1" applyAlignment="1" applyProtection="1">
      <alignment horizontal="center" vertical="center" wrapText="1"/>
      <protection locked="0"/>
    </xf>
    <xf numFmtId="0" fontId="112" fillId="0" borderId="10" xfId="23" applyFont="1" applyFill="1" applyBorder="1" applyAlignment="1" applyProtection="1">
      <alignment horizontal="center" vertical="center" wrapText="1"/>
      <protection locked="0"/>
    </xf>
    <xf numFmtId="0" fontId="112" fillId="0" borderId="0" xfId="23" applyFont="1" applyFill="1" applyBorder="1" applyAlignment="1" applyProtection="1">
      <alignment horizontal="center" vertical="center" wrapText="1"/>
      <protection locked="0"/>
    </xf>
    <xf numFmtId="0" fontId="112" fillId="0" borderId="11" xfId="23" applyFont="1" applyFill="1" applyBorder="1" applyAlignment="1" applyProtection="1">
      <alignment horizontal="center" vertical="center" wrapText="1"/>
      <protection locked="0"/>
    </xf>
    <xf numFmtId="0" fontId="112" fillId="0" borderId="12" xfId="23" applyFont="1" applyFill="1" applyBorder="1" applyAlignment="1" applyProtection="1">
      <alignment horizontal="center" vertical="center" wrapText="1"/>
      <protection locked="0"/>
    </xf>
    <xf numFmtId="0" fontId="112" fillId="0" borderId="4" xfId="23" applyFont="1" applyFill="1" applyBorder="1" applyAlignment="1" applyProtection="1">
      <alignment horizontal="center" vertical="center" wrapText="1"/>
      <protection locked="0"/>
    </xf>
    <xf numFmtId="0" fontId="112" fillId="0" borderId="6" xfId="23" applyFont="1" applyFill="1" applyBorder="1" applyAlignment="1" applyProtection="1">
      <alignment horizontal="center" vertical="center" wrapText="1"/>
      <protection locked="0"/>
    </xf>
    <xf numFmtId="2" fontId="110" fillId="0" borderId="1" xfId="23" applyNumberFormat="1" applyFont="1" applyFill="1" applyBorder="1" applyAlignment="1" applyProtection="1">
      <alignment horizontal="center" vertical="center" textRotation="90" wrapText="1"/>
      <protection locked="0"/>
    </xf>
    <xf numFmtId="2" fontId="110" fillId="0" borderId="9" xfId="23" applyNumberFormat="1" applyFont="1" applyFill="1" applyBorder="1" applyAlignment="1" applyProtection="1">
      <alignment horizontal="center" vertical="center" textRotation="90" wrapText="1"/>
      <protection locked="0"/>
    </xf>
    <xf numFmtId="2" fontId="110" fillId="0" borderId="2" xfId="23" applyNumberFormat="1" applyFont="1" applyFill="1" applyBorder="1" applyAlignment="1" applyProtection="1">
      <alignment horizontal="center" vertical="center" textRotation="90" wrapText="1"/>
      <protection locked="0"/>
    </xf>
    <xf numFmtId="0" fontId="106" fillId="0" borderId="3" xfId="22" applyFont="1" applyBorder="1" applyAlignment="1">
      <alignment horizontal="center" vertical="center" wrapText="1"/>
    </xf>
    <xf numFmtId="0" fontId="107" fillId="0" borderId="3" xfId="22" applyFont="1" applyBorder="1" applyAlignment="1">
      <alignment horizontal="center" vertical="center" wrapText="1"/>
    </xf>
    <xf numFmtId="0" fontId="106" fillId="0" borderId="15" xfId="22" applyFont="1" applyFill="1" applyBorder="1" applyAlignment="1">
      <alignment horizontal="center" vertical="center" wrapText="1"/>
    </xf>
    <xf numFmtId="0" fontId="106" fillId="0" borderId="6" xfId="22" applyFont="1" applyFill="1" applyBorder="1" applyAlignment="1">
      <alignment horizontal="center" vertical="center" wrapText="1"/>
    </xf>
    <xf numFmtId="0" fontId="106" fillId="0" borderId="1" xfId="22" applyFont="1" applyFill="1" applyBorder="1" applyAlignment="1">
      <alignment horizontal="center" vertical="center" wrapText="1"/>
    </xf>
    <xf numFmtId="0" fontId="106" fillId="0" borderId="2" xfId="22" applyFont="1" applyFill="1" applyBorder="1" applyAlignment="1">
      <alignment horizontal="center" vertical="center" wrapText="1"/>
    </xf>
    <xf numFmtId="0" fontId="106" fillId="0" borderId="1" xfId="22" applyFont="1" applyFill="1" applyBorder="1" applyAlignment="1">
      <alignment horizontal="center" vertical="center" textRotation="90" wrapText="1"/>
    </xf>
    <xf numFmtId="0" fontId="106" fillId="0" borderId="2" xfId="22" applyFont="1" applyFill="1" applyBorder="1" applyAlignment="1">
      <alignment horizontal="center" vertical="center" textRotation="90" wrapText="1"/>
    </xf>
    <xf numFmtId="49" fontId="106" fillId="0" borderId="3" xfId="22" applyNumberFormat="1" applyFont="1" applyFill="1" applyBorder="1" applyAlignment="1">
      <alignment horizontal="center" vertical="center" wrapText="1"/>
    </xf>
    <xf numFmtId="0" fontId="106" fillId="45" borderId="8" xfId="22" applyFont="1" applyFill="1" applyBorder="1" applyAlignment="1">
      <alignment horizontal="center"/>
    </xf>
    <xf numFmtId="0" fontId="106" fillId="45" borderId="5" xfId="22" applyFont="1" applyFill="1" applyBorder="1" applyAlignment="1">
      <alignment horizontal="center"/>
    </xf>
    <xf numFmtId="0" fontId="106" fillId="0" borderId="3" xfId="22" applyFont="1" applyFill="1" applyBorder="1" applyAlignment="1">
      <alignment horizontal="center" vertical="center" wrapText="1"/>
    </xf>
    <xf numFmtId="0" fontId="106" fillId="0" borderId="3" xfId="22" applyFont="1" applyFill="1" applyBorder="1" applyAlignment="1">
      <alignment horizontal="center" vertical="center" textRotation="90" wrapText="1"/>
    </xf>
    <xf numFmtId="0" fontId="106" fillId="0" borderId="14" xfId="22" applyFont="1" applyFill="1" applyBorder="1" applyAlignment="1">
      <alignment horizontal="center" vertical="center" wrapText="1"/>
    </xf>
    <xf numFmtId="0" fontId="106" fillId="0" borderId="13" xfId="22" applyFont="1" applyFill="1" applyBorder="1" applyAlignment="1">
      <alignment horizontal="center" vertical="center" wrapText="1"/>
    </xf>
    <xf numFmtId="0" fontId="106" fillId="0" borderId="12" xfId="22" applyFont="1" applyFill="1" applyBorder="1" applyAlignment="1">
      <alignment horizontal="center" vertical="center" wrapText="1"/>
    </xf>
    <xf numFmtId="0" fontId="106" fillId="0" borderId="4" xfId="22" applyFont="1" applyFill="1" applyBorder="1" applyAlignment="1">
      <alignment horizontal="center" vertical="center" wrapText="1"/>
    </xf>
    <xf numFmtId="0" fontId="106" fillId="0" borderId="7" xfId="22" applyFont="1" applyFill="1" applyBorder="1" applyAlignment="1">
      <alignment horizontal="center" vertical="center" wrapText="1"/>
    </xf>
    <xf numFmtId="0" fontId="106" fillId="0" borderId="8" xfId="22" applyFont="1" applyFill="1" applyBorder="1" applyAlignment="1">
      <alignment horizontal="center" vertical="center" wrapText="1"/>
    </xf>
    <xf numFmtId="49" fontId="106" fillId="0" borderId="12" xfId="22" applyNumberFormat="1" applyFont="1" applyFill="1" applyBorder="1" applyAlignment="1">
      <alignment horizontal="center" vertical="center" wrapText="1"/>
    </xf>
    <xf numFmtId="49" fontId="106" fillId="0" borderId="4" xfId="22" applyNumberFormat="1" applyFont="1" applyFill="1" applyBorder="1" applyAlignment="1">
      <alignment horizontal="center" vertical="center" wrapText="1"/>
    </xf>
    <xf numFmtId="49" fontId="106" fillId="0" borderId="6" xfId="22" applyNumberFormat="1" applyFont="1" applyFill="1" applyBorder="1" applyAlignment="1">
      <alignment horizontal="center" vertical="center" wrapText="1"/>
    </xf>
    <xf numFmtId="0" fontId="106" fillId="24" borderId="7" xfId="22" applyFont="1" applyFill="1" applyBorder="1" applyAlignment="1">
      <alignment horizontal="center" vertical="center"/>
    </xf>
    <xf numFmtId="0" fontId="106" fillId="24" borderId="8" xfId="22" applyFont="1" applyFill="1" applyBorder="1" applyAlignment="1">
      <alignment horizontal="center" vertical="center"/>
    </xf>
    <xf numFmtId="0" fontId="106" fillId="24" borderId="5" xfId="22" applyFont="1" applyFill="1" applyBorder="1" applyAlignment="1">
      <alignment horizontal="center" vertical="center"/>
    </xf>
    <xf numFmtId="49" fontId="106" fillId="29" borderId="7" xfId="22" applyNumberFormat="1" applyFont="1" applyFill="1" applyBorder="1" applyAlignment="1">
      <alignment horizontal="center" vertical="center" wrapText="1"/>
    </xf>
    <xf numFmtId="49" fontId="106" fillId="29" borderId="8" xfId="22" applyNumberFormat="1" applyFont="1" applyFill="1" applyBorder="1" applyAlignment="1">
      <alignment horizontal="center" vertical="center" wrapText="1"/>
    </xf>
    <xf numFmtId="49" fontId="106" fillId="29" borderId="5" xfId="22" applyNumberFormat="1" applyFont="1" applyFill="1" applyBorder="1" applyAlignment="1">
      <alignment horizontal="center" vertical="center" wrapText="1"/>
    </xf>
    <xf numFmtId="0" fontId="106" fillId="43" borderId="14" xfId="22" applyFont="1" applyFill="1" applyBorder="1" applyAlignment="1">
      <alignment horizontal="center" vertical="center" wrapText="1"/>
    </xf>
    <xf numFmtId="0" fontId="106" fillId="43" borderId="13" xfId="22" applyFont="1" applyFill="1" applyBorder="1" applyAlignment="1">
      <alignment horizontal="center" vertical="center" wrapText="1"/>
    </xf>
    <xf numFmtId="0" fontId="106" fillId="43" borderId="15" xfId="22" applyFont="1" applyFill="1" applyBorder="1" applyAlignment="1">
      <alignment horizontal="center" vertical="center" wrapText="1"/>
    </xf>
    <xf numFmtId="0" fontId="104" fillId="3" borderId="0" xfId="22" applyFont="1" applyFill="1" applyAlignment="1">
      <alignment horizontal="center"/>
    </xf>
    <xf numFmtId="0" fontId="104" fillId="3" borderId="68" xfId="22" applyFont="1" applyFill="1" applyBorder="1" applyAlignment="1">
      <alignment horizontal="center" vertical="center" wrapText="1"/>
    </xf>
    <xf numFmtId="0" fontId="104" fillId="3" borderId="39" xfId="22" applyFont="1" applyFill="1" applyBorder="1" applyAlignment="1">
      <alignment horizontal="center" vertical="center" wrapText="1"/>
    </xf>
    <xf numFmtId="0" fontId="104" fillId="3" borderId="69" xfId="22" applyFont="1" applyFill="1" applyBorder="1" applyAlignment="1">
      <alignment horizontal="center" vertical="center" wrapText="1"/>
    </xf>
    <xf numFmtId="0" fontId="106" fillId="4" borderId="61" xfId="22" applyFont="1" applyFill="1" applyBorder="1" applyAlignment="1">
      <alignment horizontal="center" vertical="center"/>
    </xf>
    <xf numFmtId="0" fontId="106" fillId="4" borderId="62" xfId="22" applyFont="1" applyFill="1" applyBorder="1" applyAlignment="1">
      <alignment horizontal="center" vertical="center"/>
    </xf>
    <xf numFmtId="0" fontId="107" fillId="3" borderId="62" xfId="22" applyFont="1" applyFill="1" applyBorder="1" applyAlignment="1">
      <alignment horizontal="center" vertical="center"/>
    </xf>
    <xf numFmtId="0" fontId="107" fillId="3" borderId="66" xfId="22" applyFont="1" applyFill="1" applyBorder="1" applyAlignment="1">
      <alignment horizontal="center" vertical="center"/>
    </xf>
    <xf numFmtId="0" fontId="108" fillId="42" borderId="0" xfId="22" applyFont="1" applyFill="1" applyAlignment="1">
      <alignment horizontal="center" vertical="center" wrapText="1"/>
    </xf>
    <xf numFmtId="0" fontId="105" fillId="36" borderId="19" xfId="22" applyFont="1" applyFill="1" applyBorder="1" applyAlignment="1">
      <alignment horizontal="center" vertical="center" wrapText="1"/>
    </xf>
    <xf numFmtId="0" fontId="105" fillId="36" borderId="0" xfId="22" applyFont="1" applyFill="1" applyBorder="1" applyAlignment="1">
      <alignment horizontal="center" vertical="center" wrapText="1"/>
    </xf>
    <xf numFmtId="0" fontId="105" fillId="36" borderId="29" xfId="22" applyFont="1" applyFill="1" applyBorder="1" applyAlignment="1">
      <alignment horizontal="center" vertical="center" wrapText="1"/>
    </xf>
    <xf numFmtId="0" fontId="105" fillId="36" borderId="74" xfId="22" applyFont="1" applyFill="1" applyBorder="1" applyAlignment="1">
      <alignment horizontal="center" vertical="center" wrapText="1"/>
    </xf>
    <xf numFmtId="0" fontId="104" fillId="3" borderId="14" xfId="22" applyFont="1" applyFill="1" applyBorder="1" applyAlignment="1">
      <alignment horizontal="center" vertical="center" wrapText="1"/>
    </xf>
    <xf numFmtId="0" fontId="104" fillId="3" borderId="13" xfId="22" applyFont="1" applyFill="1" applyBorder="1" applyAlignment="1">
      <alignment horizontal="center" vertical="center" wrapText="1"/>
    </xf>
    <xf numFmtId="0" fontId="104" fillId="3" borderId="15" xfId="22" applyFont="1" applyFill="1" applyBorder="1" applyAlignment="1">
      <alignment horizontal="center" vertical="center" wrapText="1"/>
    </xf>
    <xf numFmtId="0" fontId="104" fillId="3" borderId="12" xfId="22" applyFont="1" applyFill="1" applyBorder="1" applyAlignment="1">
      <alignment horizontal="center" vertical="center" wrapText="1"/>
    </xf>
    <xf numFmtId="0" fontId="104" fillId="3" borderId="4" xfId="22" applyFont="1" applyFill="1" applyBorder="1" applyAlignment="1">
      <alignment horizontal="center" vertical="center" wrapText="1"/>
    </xf>
    <xf numFmtId="0" fontId="104" fillId="3" borderId="6" xfId="22" applyFont="1" applyFill="1" applyBorder="1" applyAlignment="1">
      <alignment horizontal="center" vertical="center" wrapText="1"/>
    </xf>
    <xf numFmtId="0" fontId="106" fillId="4" borderId="3" xfId="22" applyFont="1" applyFill="1" applyBorder="1" applyAlignment="1">
      <alignment horizontal="left" vertical="center" indent="1"/>
    </xf>
    <xf numFmtId="0" fontId="105" fillId="36" borderId="16" xfId="22" applyFont="1" applyFill="1" applyBorder="1" applyAlignment="1">
      <alignment horizontal="center" vertical="center" wrapText="1"/>
    </xf>
    <xf numFmtId="0" fontId="105" fillId="36" borderId="17" xfId="22" applyFont="1" applyFill="1" applyBorder="1" applyAlignment="1">
      <alignment horizontal="center" vertical="center" wrapText="1"/>
    </xf>
    <xf numFmtId="0" fontId="105" fillId="36" borderId="67" xfId="22" applyFont="1" applyFill="1" applyBorder="1" applyAlignment="1">
      <alignment horizontal="center" vertical="center" wrapText="1"/>
    </xf>
    <xf numFmtId="0" fontId="104" fillId="0" borderId="17" xfId="22" applyFont="1" applyBorder="1" applyAlignment="1">
      <alignment horizontal="center"/>
    </xf>
    <xf numFmtId="0" fontId="104" fillId="0" borderId="18" xfId="22" applyFont="1" applyBorder="1" applyAlignment="1">
      <alignment horizontal="center"/>
    </xf>
    <xf numFmtId="0" fontId="104" fillId="0" borderId="0" xfId="22" applyFont="1" applyBorder="1" applyAlignment="1">
      <alignment horizontal="center"/>
    </xf>
    <xf numFmtId="0" fontId="104" fillId="0" borderId="20" xfId="22" applyFont="1" applyBorder="1" applyAlignment="1">
      <alignment horizontal="center"/>
    </xf>
    <xf numFmtId="0" fontId="104" fillId="0" borderId="22" xfId="22" applyFont="1" applyBorder="1" applyAlignment="1">
      <alignment horizontal="center"/>
    </xf>
    <xf numFmtId="0" fontId="104" fillId="0" borderId="23" xfId="22" applyFont="1" applyBorder="1" applyAlignment="1">
      <alignment horizontal="center"/>
    </xf>
    <xf numFmtId="0" fontId="106" fillId="4" borderId="3" xfId="22" applyFont="1" applyFill="1" applyBorder="1" applyAlignment="1">
      <alignment horizontal="center" vertical="center" wrapText="1"/>
    </xf>
    <xf numFmtId="0" fontId="106" fillId="4" borderId="3" xfId="22" applyFont="1" applyFill="1" applyBorder="1" applyAlignment="1">
      <alignment horizontal="left" vertical="center" wrapText="1" indent="1"/>
    </xf>
    <xf numFmtId="0" fontId="106" fillId="3" borderId="14" xfId="22" applyFont="1" applyFill="1" applyBorder="1" applyAlignment="1">
      <alignment horizontal="center" vertical="center"/>
    </xf>
    <xf numFmtId="0" fontId="106" fillId="3" borderId="13" xfId="22" applyFont="1" applyFill="1" applyBorder="1" applyAlignment="1">
      <alignment horizontal="center" vertical="center"/>
    </xf>
    <xf numFmtId="0" fontId="106" fillId="3" borderId="15" xfId="22" applyFont="1" applyFill="1" applyBorder="1" applyAlignment="1">
      <alignment horizontal="center" vertical="center"/>
    </xf>
    <xf numFmtId="0" fontId="106" fillId="3" borderId="12" xfId="22" applyFont="1" applyFill="1" applyBorder="1" applyAlignment="1">
      <alignment horizontal="center" vertical="center"/>
    </xf>
    <xf numFmtId="0" fontId="106" fillId="3" borderId="4" xfId="22" applyFont="1" applyFill="1" applyBorder="1" applyAlignment="1">
      <alignment horizontal="center" vertical="center"/>
    </xf>
    <xf numFmtId="0" fontId="106" fillId="3" borderId="6" xfId="22" applyFont="1" applyFill="1" applyBorder="1" applyAlignment="1">
      <alignment horizontal="center" vertical="center"/>
    </xf>
    <xf numFmtId="0" fontId="106" fillId="8" borderId="3" xfId="22" applyFont="1" applyFill="1" applyBorder="1" applyAlignment="1">
      <alignment horizontal="center" vertical="center" wrapText="1"/>
    </xf>
    <xf numFmtId="0" fontId="104" fillId="0" borderId="14" xfId="22" applyFont="1" applyBorder="1" applyAlignment="1">
      <alignment horizontal="center" vertical="center"/>
    </xf>
    <xf numFmtId="0" fontId="104" fillId="0" borderId="13" xfId="22" applyFont="1" applyBorder="1" applyAlignment="1">
      <alignment horizontal="center" vertical="center"/>
    </xf>
    <xf numFmtId="0" fontId="104" fillId="0" borderId="15" xfId="22" applyFont="1" applyBorder="1" applyAlignment="1">
      <alignment horizontal="center" vertical="center"/>
    </xf>
    <xf numFmtId="0" fontId="104" fillId="0" borderId="12" xfId="22" applyFont="1" applyBorder="1" applyAlignment="1">
      <alignment horizontal="center" vertical="center"/>
    </xf>
    <xf numFmtId="0" fontId="104" fillId="0" borderId="4" xfId="22" applyFont="1" applyBorder="1" applyAlignment="1">
      <alignment horizontal="center" vertical="center"/>
    </xf>
    <xf numFmtId="0" fontId="104" fillId="0" borderId="6" xfId="22" applyFont="1" applyBorder="1" applyAlignment="1">
      <alignment horizontal="center" vertical="center"/>
    </xf>
    <xf numFmtId="0" fontId="106" fillId="4" borderId="25" xfId="22" applyFont="1" applyFill="1" applyBorder="1" applyAlignment="1">
      <alignment horizontal="center" vertical="center"/>
    </xf>
    <xf numFmtId="0" fontId="106" fillId="4" borderId="57" xfId="22" applyFont="1" applyFill="1" applyBorder="1" applyAlignment="1">
      <alignment horizontal="center" vertical="center"/>
    </xf>
    <xf numFmtId="0" fontId="106" fillId="4" borderId="63" xfId="22" applyFont="1" applyFill="1" applyBorder="1" applyAlignment="1">
      <alignment horizontal="center" vertical="center"/>
    </xf>
    <xf numFmtId="0" fontId="104" fillId="0" borderId="21" xfId="22" applyFont="1" applyBorder="1" applyAlignment="1">
      <alignment horizontal="center" vertical="center" wrapText="1"/>
    </xf>
    <xf numFmtId="0" fontId="104" fillId="0" borderId="22" xfId="22" applyFont="1" applyBorder="1" applyAlignment="1">
      <alignment horizontal="center" vertical="center" wrapText="1"/>
    </xf>
    <xf numFmtId="0" fontId="104" fillId="0" borderId="73" xfId="22" applyFont="1" applyBorder="1" applyAlignment="1">
      <alignment horizontal="center" vertical="center" wrapText="1"/>
    </xf>
    <xf numFmtId="0" fontId="104" fillId="0" borderId="72" xfId="22" applyFont="1" applyBorder="1" applyAlignment="1">
      <alignment horizontal="center" vertical="center" wrapText="1"/>
    </xf>
    <xf numFmtId="15" fontId="107" fillId="0" borderId="24" xfId="22" applyNumberFormat="1" applyFont="1" applyBorder="1" applyAlignment="1">
      <alignment horizontal="center" vertical="center"/>
    </xf>
    <xf numFmtId="0" fontId="107" fillId="0" borderId="75" xfId="22" applyFont="1" applyBorder="1" applyAlignment="1">
      <alignment horizontal="center" vertical="center"/>
    </xf>
    <xf numFmtId="0" fontId="107" fillId="0" borderId="75" xfId="22" applyFont="1" applyFill="1" applyBorder="1" applyAlignment="1">
      <alignment horizontal="center" vertical="center"/>
    </xf>
    <xf numFmtId="0" fontId="107" fillId="0" borderId="76" xfId="22" applyFont="1" applyFill="1" applyBorder="1" applyAlignment="1">
      <alignment horizontal="center" vertical="center"/>
    </xf>
    <xf numFmtId="0" fontId="4" fillId="0" borderId="10" xfId="22" applyFont="1" applyFill="1" applyBorder="1" applyAlignment="1">
      <alignment horizontal="right" vertical="center"/>
    </xf>
    <xf numFmtId="0" fontId="4" fillId="0" borderId="0" xfId="22" applyFont="1" applyFill="1" applyBorder="1" applyAlignment="1">
      <alignment horizontal="right" vertical="center"/>
    </xf>
    <xf numFmtId="0" fontId="7" fillId="0" borderId="14" xfId="22" applyFont="1" applyFill="1" applyBorder="1" applyAlignment="1" applyProtection="1">
      <alignment horizontal="left" vertical="top" wrapText="1"/>
      <protection locked="0"/>
    </xf>
    <xf numFmtId="0" fontId="7" fillId="0" borderId="13" xfId="22" applyFont="1" applyFill="1" applyBorder="1" applyAlignment="1" applyProtection="1">
      <alignment horizontal="left" vertical="top"/>
      <protection locked="0"/>
    </xf>
    <xf numFmtId="0" fontId="7" fillId="0" borderId="15" xfId="22" applyFont="1" applyFill="1" applyBorder="1" applyAlignment="1" applyProtection="1">
      <alignment horizontal="left" vertical="top"/>
      <protection locked="0"/>
    </xf>
    <xf numFmtId="0" fontId="7" fillId="0" borderId="12" xfId="22" applyFont="1" applyFill="1" applyBorder="1" applyAlignment="1" applyProtection="1">
      <alignment horizontal="left" vertical="top"/>
      <protection locked="0"/>
    </xf>
    <xf numFmtId="0" fontId="7" fillId="0" borderId="4" xfId="22" applyFont="1" applyFill="1" applyBorder="1" applyAlignment="1" applyProtection="1">
      <alignment horizontal="left" vertical="top"/>
      <protection locked="0"/>
    </xf>
    <xf numFmtId="0" fontId="7" fillId="0" borderId="6" xfId="22" applyFont="1" applyFill="1" applyBorder="1" applyAlignment="1" applyProtection="1">
      <alignment horizontal="left" vertical="top"/>
      <protection locked="0"/>
    </xf>
    <xf numFmtId="0" fontId="7" fillId="0" borderId="7" xfId="22" applyFont="1" applyFill="1" applyBorder="1" applyAlignment="1" applyProtection="1">
      <alignment horizontal="center" vertical="center"/>
      <protection locked="0"/>
    </xf>
    <xf numFmtId="0" fontId="7" fillId="0" borderId="8" xfId="22" applyFont="1" applyFill="1" applyBorder="1" applyAlignment="1" applyProtection="1">
      <alignment horizontal="center" vertical="center"/>
      <protection locked="0"/>
    </xf>
    <xf numFmtId="0" fontId="7" fillId="0" borderId="5" xfId="22" applyFont="1" applyFill="1" applyBorder="1" applyAlignment="1" applyProtection="1">
      <alignment horizontal="center" vertical="center"/>
      <protection locked="0"/>
    </xf>
    <xf numFmtId="0" fontId="7" fillId="0" borderId="3" xfId="23" applyFont="1" applyFill="1" applyBorder="1" applyAlignment="1" applyProtection="1">
      <alignment horizontal="center" vertical="center"/>
      <protection locked="0"/>
    </xf>
    <xf numFmtId="0" fontId="7" fillId="0" borderId="3" xfId="23" applyFont="1" applyFill="1" applyBorder="1" applyAlignment="1" applyProtection="1">
      <alignment horizontal="center" vertical="center" wrapText="1"/>
      <protection locked="0"/>
    </xf>
    <xf numFmtId="0" fontId="4" fillId="0" borderId="3" xfId="23" applyFont="1" applyFill="1" applyBorder="1" applyAlignment="1" applyProtection="1">
      <alignment vertical="center" wrapText="1"/>
      <protection locked="0"/>
    </xf>
    <xf numFmtId="0" fontId="27" fillId="3" borderId="3" xfId="3" applyFont="1" applyFill="1" applyBorder="1" applyAlignment="1" applyProtection="1">
      <alignment horizontal="justify" vertical="center" wrapText="1"/>
      <protection locked="0"/>
    </xf>
    <xf numFmtId="1" fontId="4" fillId="0" borderId="3" xfId="23" applyNumberFormat="1" applyFont="1" applyFill="1" applyBorder="1" applyAlignment="1">
      <alignment horizontal="center" vertical="center" wrapText="1"/>
    </xf>
    <xf numFmtId="0" fontId="9" fillId="0" borderId="3" xfId="23" applyFont="1" applyFill="1" applyBorder="1" applyAlignment="1" applyProtection="1">
      <alignment horizontal="center" vertical="center" textRotation="90" wrapText="1"/>
    </xf>
    <xf numFmtId="0" fontId="4" fillId="0" borderId="3" xfId="23" applyFont="1" applyFill="1" applyBorder="1" applyAlignment="1">
      <alignment horizontal="left" vertical="center" wrapText="1"/>
    </xf>
    <xf numFmtId="0" fontId="4" fillId="0" borderId="3" xfId="23" applyFont="1" applyFill="1" applyBorder="1" applyAlignment="1">
      <alignment horizontal="justify" vertical="center" wrapText="1"/>
    </xf>
    <xf numFmtId="2" fontId="4" fillId="0" borderId="3" xfId="23" applyNumberFormat="1" applyFont="1" applyFill="1" applyBorder="1" applyAlignment="1">
      <alignment horizontal="center" vertical="center" wrapText="1"/>
    </xf>
    <xf numFmtId="0" fontId="4" fillId="0" borderId="3" xfId="23" applyFont="1" applyFill="1" applyBorder="1" applyAlignment="1" applyProtection="1">
      <alignment horizontal="center" vertical="center" wrapText="1"/>
    </xf>
    <xf numFmtId="0" fontId="3" fillId="0" borderId="3" xfId="23" applyFont="1" applyFill="1" applyBorder="1" applyAlignment="1">
      <alignment horizontal="center" vertical="center" wrapText="1"/>
    </xf>
    <xf numFmtId="0" fontId="4" fillId="0" borderId="3" xfId="23" applyFont="1" applyFill="1" applyBorder="1" applyAlignment="1">
      <alignment horizontal="center" vertical="center" wrapText="1"/>
    </xf>
    <xf numFmtId="0" fontId="4" fillId="4" borderId="3" xfId="23" applyFont="1" applyFill="1" applyBorder="1" applyAlignment="1">
      <alignment horizontal="center" vertical="center" textRotation="90" wrapText="1"/>
    </xf>
    <xf numFmtId="0" fontId="2" fillId="0" borderId="3" xfId="23" applyFont="1" applyFill="1" applyBorder="1" applyAlignment="1">
      <alignment horizontal="center" vertical="center" wrapText="1"/>
    </xf>
    <xf numFmtId="0" fontId="4" fillId="0" borderId="3" xfId="3" applyFont="1" applyFill="1" applyBorder="1" applyAlignment="1" applyProtection="1">
      <alignment horizontal="left" vertical="center" wrapText="1"/>
      <protection locked="0"/>
    </xf>
    <xf numFmtId="0" fontId="4" fillId="0" borderId="3" xfId="3" applyFont="1" applyFill="1" applyBorder="1" applyAlignment="1" applyProtection="1">
      <alignment horizontal="justify" vertical="center" wrapText="1"/>
      <protection locked="0"/>
    </xf>
    <xf numFmtId="0" fontId="4" fillId="0" borderId="3" xfId="3" applyFont="1" applyFill="1" applyBorder="1" applyAlignment="1" applyProtection="1">
      <alignment horizontal="center" vertical="center" wrapText="1"/>
      <protection locked="0"/>
    </xf>
    <xf numFmtId="0" fontId="4" fillId="0" borderId="3" xfId="3" applyFont="1" applyFill="1" applyBorder="1" applyAlignment="1" applyProtection="1">
      <alignment horizontal="center" vertical="center" textRotation="90" wrapText="1"/>
      <protection locked="0"/>
    </xf>
    <xf numFmtId="0" fontId="2" fillId="0" borderId="3" xfId="3" applyFont="1" applyFill="1" applyBorder="1" applyAlignment="1" applyProtection="1">
      <alignment horizontal="center" vertical="center" wrapText="1"/>
      <protection locked="0"/>
    </xf>
    <xf numFmtId="0" fontId="4" fillId="0" borderId="1" xfId="3" applyFont="1" applyFill="1" applyBorder="1" applyAlignment="1" applyProtection="1">
      <alignment horizontal="center" vertical="center" wrapText="1"/>
      <protection locked="0"/>
    </xf>
    <xf numFmtId="0" fontId="4" fillId="0" borderId="9" xfId="3" applyFont="1" applyFill="1" applyBorder="1" applyAlignment="1" applyProtection="1">
      <alignment horizontal="center" vertical="center" wrapText="1"/>
      <protection locked="0"/>
    </xf>
    <xf numFmtId="0" fontId="4" fillId="0" borderId="2" xfId="3" applyFont="1" applyFill="1" applyBorder="1" applyAlignment="1" applyProtection="1">
      <alignment horizontal="center" vertical="center" wrapText="1"/>
      <protection locked="0"/>
    </xf>
    <xf numFmtId="0" fontId="4" fillId="0" borderId="7" xfId="3" applyFont="1" applyFill="1" applyBorder="1" applyAlignment="1" applyProtection="1">
      <alignment horizontal="center" vertical="center" wrapText="1"/>
      <protection locked="0"/>
    </xf>
    <xf numFmtId="0" fontId="4" fillId="0" borderId="8" xfId="3" applyFont="1" applyFill="1" applyBorder="1" applyAlignment="1" applyProtection="1">
      <alignment horizontal="center" vertical="center" wrapText="1"/>
      <protection locked="0"/>
    </xf>
    <xf numFmtId="0" fontId="4" fillId="0" borderId="5" xfId="3" applyFont="1" applyFill="1" applyBorder="1" applyAlignment="1" applyProtection="1">
      <alignment horizontal="center" vertical="center" wrapText="1"/>
      <protection locked="0"/>
    </xf>
    <xf numFmtId="0" fontId="4" fillId="0" borderId="7" xfId="3" applyFont="1" applyFill="1" applyBorder="1" applyAlignment="1" applyProtection="1">
      <alignment horizontal="justify" vertical="center" wrapText="1"/>
      <protection locked="0"/>
    </xf>
    <xf numFmtId="0" fontId="4" fillId="0" borderId="8" xfId="3" applyFont="1" applyFill="1" applyBorder="1" applyAlignment="1" applyProtection="1">
      <alignment horizontal="justify" vertical="center" wrapText="1"/>
      <protection locked="0"/>
    </xf>
    <xf numFmtId="0" fontId="4" fillId="0" borderId="5" xfId="3" applyFont="1" applyFill="1" applyBorder="1" applyAlignment="1" applyProtection="1">
      <alignment horizontal="justify" vertical="center" wrapText="1"/>
      <protection locked="0"/>
    </xf>
    <xf numFmtId="0" fontId="4" fillId="0" borderId="3" xfId="3" applyFont="1" applyFill="1" applyBorder="1" applyAlignment="1" applyProtection="1">
      <alignment horizontal="justify" vertical="center"/>
      <protection locked="0"/>
    </xf>
    <xf numFmtId="0" fontId="2" fillId="0" borderId="1" xfId="23" applyFont="1" applyFill="1" applyBorder="1" applyAlignment="1">
      <alignment horizontal="center" vertical="center"/>
    </xf>
    <xf numFmtId="0" fontId="2" fillId="0" borderId="9" xfId="23" applyFont="1" applyFill="1" applyBorder="1" applyAlignment="1">
      <alignment horizontal="center" vertical="center"/>
    </xf>
    <xf numFmtId="0" fontId="2" fillId="0" borderId="2" xfId="23" applyFont="1" applyFill="1" applyBorder="1" applyAlignment="1">
      <alignment horizontal="center" vertical="center"/>
    </xf>
    <xf numFmtId="0" fontId="2" fillId="0" borderId="1" xfId="23" applyFont="1" applyFill="1" applyBorder="1" applyAlignment="1">
      <alignment horizontal="center" vertical="center" wrapText="1"/>
    </xf>
    <xf numFmtId="0" fontId="2" fillId="0" borderId="9" xfId="23" applyFont="1" applyFill="1" applyBorder="1" applyAlignment="1">
      <alignment horizontal="center" vertical="center" wrapText="1"/>
    </xf>
    <xf numFmtId="0" fontId="2" fillId="0" borderId="2" xfId="23" applyFont="1" applyFill="1" applyBorder="1" applyAlignment="1">
      <alignment horizontal="center" vertical="center" wrapText="1"/>
    </xf>
    <xf numFmtId="14" fontId="2" fillId="0" borderId="1" xfId="23" applyNumberFormat="1" applyFont="1" applyFill="1" applyBorder="1" applyAlignment="1">
      <alignment horizontal="center" vertical="center"/>
    </xf>
    <xf numFmtId="0" fontId="4" fillId="0" borderId="1" xfId="3" applyFont="1" applyFill="1" applyBorder="1" applyAlignment="1" applyProtection="1">
      <alignment horizontal="center" vertical="center" textRotation="90" wrapText="1"/>
      <protection locked="0"/>
    </xf>
    <xf numFmtId="0" fontId="4" fillId="0" borderId="9" xfId="3" applyFont="1" applyFill="1" applyBorder="1" applyAlignment="1" applyProtection="1">
      <alignment horizontal="center" vertical="center" textRotation="90" wrapText="1"/>
      <protection locked="0"/>
    </xf>
    <xf numFmtId="0" fontId="4" fillId="0" borderId="2" xfId="3" applyFont="1" applyFill="1" applyBorder="1" applyAlignment="1" applyProtection="1">
      <alignment horizontal="center" vertical="center" textRotation="90" wrapText="1"/>
      <protection locked="0"/>
    </xf>
    <xf numFmtId="0" fontId="3" fillId="0" borderId="14" xfId="23" applyFont="1" applyFill="1" applyBorder="1" applyAlignment="1">
      <alignment horizontal="center" vertical="center" wrapText="1"/>
    </xf>
    <xf numFmtId="0" fontId="3" fillId="0" borderId="13" xfId="23" applyFont="1" applyFill="1" applyBorder="1" applyAlignment="1">
      <alignment horizontal="center" vertical="center" wrapText="1"/>
    </xf>
    <xf numFmtId="0" fontId="3" fillId="0" borderId="15" xfId="23" applyFont="1" applyFill="1" applyBorder="1" applyAlignment="1">
      <alignment horizontal="center" vertical="center" wrapText="1"/>
    </xf>
    <xf numFmtId="0" fontId="3" fillId="0" borderId="10" xfId="23" applyFont="1" applyFill="1" applyBorder="1" applyAlignment="1">
      <alignment horizontal="center" vertical="center" wrapText="1"/>
    </xf>
    <xf numFmtId="0" fontId="3" fillId="0" borderId="0" xfId="23" applyFont="1" applyFill="1" applyBorder="1" applyAlignment="1">
      <alignment horizontal="center" vertical="center" wrapText="1"/>
    </xf>
    <xf numFmtId="0" fontId="3" fillId="0" borderId="11" xfId="23" applyFont="1" applyFill="1" applyBorder="1" applyAlignment="1">
      <alignment horizontal="center" vertical="center" wrapText="1"/>
    </xf>
    <xf numFmtId="0" fontId="3" fillId="0" borderId="12" xfId="23" applyFont="1" applyFill="1" applyBorder="1" applyAlignment="1">
      <alignment horizontal="center" vertical="center" wrapText="1"/>
    </xf>
    <xf numFmtId="0" fontId="3" fillId="0" borderId="4" xfId="23" applyFont="1" applyFill="1" applyBorder="1" applyAlignment="1">
      <alignment horizontal="center" vertical="center" wrapText="1"/>
    </xf>
    <xf numFmtId="0" fontId="3" fillId="0" borderId="6" xfId="23" applyFont="1" applyFill="1" applyBorder="1" applyAlignment="1">
      <alignment horizontal="center" vertical="center" wrapText="1"/>
    </xf>
    <xf numFmtId="0" fontId="2" fillId="3" borderId="1" xfId="23" applyFont="1" applyFill="1" applyBorder="1" applyAlignment="1">
      <alignment horizontal="center" vertical="center"/>
    </xf>
    <xf numFmtId="0" fontId="2" fillId="3" borderId="2" xfId="23" applyFont="1" applyFill="1" applyBorder="1" applyAlignment="1">
      <alignment horizontal="center" vertical="center"/>
    </xf>
    <xf numFmtId="0" fontId="2" fillId="0" borderId="3" xfId="14" applyFont="1" applyFill="1" applyBorder="1" applyAlignment="1" applyProtection="1">
      <alignment horizontal="center" vertical="center" wrapText="1"/>
      <protection locked="0"/>
    </xf>
    <xf numFmtId="0" fontId="4" fillId="0" borderId="3" xfId="14" applyFont="1" applyFill="1" applyBorder="1" applyAlignment="1" applyProtection="1">
      <alignment horizontal="center" vertical="center" textRotation="90" wrapText="1"/>
      <protection locked="0"/>
    </xf>
    <xf numFmtId="0" fontId="6" fillId="0" borderId="3" xfId="14" applyFont="1" applyFill="1" applyBorder="1" applyAlignment="1" applyProtection="1">
      <alignment horizontal="center" vertical="center" wrapText="1"/>
      <protection locked="0"/>
    </xf>
    <xf numFmtId="0" fontId="4" fillId="0" borderId="5" xfId="22" applyFont="1" applyBorder="1" applyAlignment="1">
      <alignment horizontal="center" vertical="center" wrapText="1"/>
    </xf>
    <xf numFmtId="15" fontId="7" fillId="0" borderId="75" xfId="22" applyNumberFormat="1" applyFont="1" applyFill="1" applyBorder="1" applyAlignment="1">
      <alignment horizontal="center" vertical="center"/>
    </xf>
    <xf numFmtId="0" fontId="3" fillId="45" borderId="13" xfId="22" applyFont="1" applyFill="1" applyBorder="1" applyAlignment="1">
      <alignment horizontal="center"/>
    </xf>
    <xf numFmtId="0" fontId="3" fillId="45" borderId="15" xfId="22" applyFont="1" applyFill="1" applyBorder="1" applyAlignment="1">
      <alignment horizontal="center"/>
    </xf>
    <xf numFmtId="0" fontId="3" fillId="24" borderId="14" xfId="22" applyFont="1" applyFill="1" applyBorder="1" applyAlignment="1">
      <alignment horizontal="center" vertical="center"/>
    </xf>
    <xf numFmtId="0" fontId="3" fillId="24" borderId="13" xfId="22" applyFont="1" applyFill="1" applyBorder="1" applyAlignment="1">
      <alignment horizontal="center" vertical="center"/>
    </xf>
    <xf numFmtId="0" fontId="3" fillId="24" borderId="15" xfId="22" applyFont="1" applyFill="1" applyBorder="1" applyAlignment="1">
      <alignment horizontal="center" vertical="center"/>
    </xf>
    <xf numFmtId="49" fontId="3" fillId="29" borderId="14" xfId="22" applyNumberFormat="1" applyFont="1" applyFill="1" applyBorder="1" applyAlignment="1">
      <alignment horizontal="center" vertical="center" wrapText="1"/>
    </xf>
    <xf numFmtId="49" fontId="3" fillId="29" borderId="13" xfId="22" applyNumberFormat="1" applyFont="1" applyFill="1" applyBorder="1" applyAlignment="1">
      <alignment horizontal="center" vertical="center" wrapText="1"/>
    </xf>
    <xf numFmtId="49" fontId="3" fillId="29" borderId="15" xfId="22" applyNumberFormat="1" applyFont="1" applyFill="1" applyBorder="1" applyAlignment="1">
      <alignment horizontal="center" vertical="center" wrapText="1"/>
    </xf>
    <xf numFmtId="14" fontId="6" fillId="3" borderId="14" xfId="22" applyNumberFormat="1" applyFont="1" applyFill="1" applyBorder="1" applyAlignment="1">
      <alignment horizontal="center" vertical="center" wrapText="1"/>
    </xf>
    <xf numFmtId="14" fontId="6" fillId="3" borderId="13" xfId="22" applyNumberFormat="1" applyFont="1" applyFill="1" applyBorder="1" applyAlignment="1">
      <alignment horizontal="center" vertical="center" wrapText="1"/>
    </xf>
    <xf numFmtId="0" fontId="3" fillId="3" borderId="3" xfId="22" applyFont="1" applyFill="1" applyBorder="1" applyAlignment="1">
      <alignment horizontal="left" vertical="center" indent="1"/>
    </xf>
    <xf numFmtId="0" fontId="3" fillId="3" borderId="3" xfId="22" applyFont="1" applyFill="1" applyBorder="1" applyAlignment="1">
      <alignment horizontal="left" vertical="center" wrapText="1" indent="1"/>
    </xf>
    <xf numFmtId="0" fontId="6" fillId="3" borderId="3" xfId="22" applyFont="1" applyFill="1" applyBorder="1" applyAlignment="1">
      <alignment horizontal="center" vertical="center"/>
    </xf>
    <xf numFmtId="0" fontId="6" fillId="0" borderId="3" xfId="22" applyFont="1" applyBorder="1" applyAlignment="1">
      <alignment horizontal="center"/>
    </xf>
    <xf numFmtId="0" fontId="3" fillId="3" borderId="57" xfId="22" applyFont="1" applyFill="1" applyBorder="1" applyAlignment="1">
      <alignment horizontal="center" vertical="center"/>
    </xf>
    <xf numFmtId="0" fontId="3" fillId="3" borderId="63" xfId="22" applyFont="1" applyFill="1" applyBorder="1" applyAlignment="1">
      <alignment horizontal="center" vertical="center"/>
    </xf>
    <xf numFmtId="0" fontId="4" fillId="0" borderId="10" xfId="22" applyFont="1" applyBorder="1" applyAlignment="1" applyProtection="1">
      <alignment horizontal="center" vertical="top"/>
      <protection locked="0"/>
    </xf>
    <xf numFmtId="0" fontId="4" fillId="0" borderId="0" xfId="22" applyFont="1" applyBorder="1" applyAlignment="1" applyProtection="1">
      <alignment horizontal="center" vertical="top"/>
      <protection locked="0"/>
    </xf>
    <xf numFmtId="0" fontId="4" fillId="0" borderId="11" xfId="22" applyFont="1" applyBorder="1" applyAlignment="1" applyProtection="1">
      <alignment horizontal="center" vertical="top"/>
      <protection locked="0"/>
    </xf>
    <xf numFmtId="0" fontId="4" fillId="0" borderId="12" xfId="22" applyFont="1" applyBorder="1" applyAlignment="1" applyProtection="1">
      <alignment horizontal="center" vertical="top"/>
      <protection locked="0"/>
    </xf>
    <xf numFmtId="0" fontId="4" fillId="0" borderId="4" xfId="22" applyFont="1" applyBorder="1" applyAlignment="1" applyProtection="1">
      <alignment horizontal="center" vertical="top"/>
      <protection locked="0"/>
    </xf>
    <xf numFmtId="0" fontId="4" fillId="0" borderId="6" xfId="22" applyFont="1" applyBorder="1" applyAlignment="1" applyProtection="1">
      <alignment horizontal="center" vertical="top"/>
      <protection locked="0"/>
    </xf>
    <xf numFmtId="0" fontId="27" fillId="0" borderId="48" xfId="23" applyFont="1" applyFill="1" applyBorder="1" applyAlignment="1" applyProtection="1">
      <alignment horizontal="center" vertical="center" textRotation="90" wrapText="1"/>
    </xf>
    <xf numFmtId="0" fontId="4" fillId="0" borderId="48" xfId="23" applyFont="1" applyFill="1" applyBorder="1" applyAlignment="1" applyProtection="1">
      <alignment horizontal="center" vertical="center" wrapText="1"/>
      <protection locked="0"/>
    </xf>
    <xf numFmtId="0" fontId="27" fillId="0" borderId="43" xfId="23" applyFont="1" applyFill="1" applyBorder="1" applyAlignment="1" applyProtection="1">
      <alignment horizontal="center" vertical="center" textRotation="90" wrapText="1"/>
    </xf>
    <xf numFmtId="0" fontId="27" fillId="0" borderId="44" xfId="23" applyFont="1" applyFill="1" applyBorder="1" applyAlignment="1" applyProtection="1">
      <alignment horizontal="center" vertical="center" textRotation="90" wrapText="1"/>
    </xf>
    <xf numFmtId="0" fontId="27" fillId="0" borderId="56" xfId="23" applyFont="1" applyFill="1" applyBorder="1" applyAlignment="1" applyProtection="1">
      <alignment horizontal="center" vertical="center" textRotation="90" wrapText="1"/>
    </xf>
    <xf numFmtId="0" fontId="4" fillId="0" borderId="52" xfId="23" applyFont="1" applyFill="1" applyBorder="1" applyAlignment="1">
      <alignment horizontal="left" vertical="center" wrapText="1"/>
    </xf>
    <xf numFmtId="0" fontId="4" fillId="0" borderId="53" xfId="23" applyFont="1" applyFill="1" applyBorder="1" applyAlignment="1">
      <alignment horizontal="left" vertical="center" wrapText="1"/>
    </xf>
    <xf numFmtId="0" fontId="4" fillId="0" borderId="54" xfId="23" applyFont="1" applyFill="1" applyBorder="1" applyAlignment="1">
      <alignment horizontal="left" vertical="center" wrapText="1"/>
    </xf>
    <xf numFmtId="0" fontId="4" fillId="0" borderId="55" xfId="23" applyFont="1" applyFill="1" applyBorder="1" applyAlignment="1">
      <alignment horizontal="justify" vertical="center" wrapText="1"/>
    </xf>
    <xf numFmtId="2" fontId="4" fillId="0" borderId="48" xfId="23" applyNumberFormat="1" applyFont="1" applyFill="1" applyBorder="1" applyAlignment="1" applyProtection="1">
      <alignment horizontal="center" vertical="center" textRotation="90" wrapText="1"/>
      <protection locked="0"/>
    </xf>
    <xf numFmtId="0" fontId="4" fillId="0" borderId="48" xfId="23" applyFont="1" applyFill="1" applyBorder="1" applyAlignment="1" applyProtection="1">
      <alignment horizontal="center" vertical="center" textRotation="90" wrapText="1"/>
    </xf>
    <xf numFmtId="0" fontId="4" fillId="0" borderId="48" xfId="23" applyFont="1" applyFill="1" applyBorder="1" applyAlignment="1" applyProtection="1">
      <alignment horizontal="center" vertical="center" textRotation="90" wrapText="1"/>
      <protection locked="0"/>
    </xf>
    <xf numFmtId="0" fontId="4" fillId="0" borderId="48" xfId="23" applyFont="1" applyFill="1" applyBorder="1" applyAlignment="1">
      <alignment horizontal="center" vertical="center" wrapText="1"/>
    </xf>
    <xf numFmtId="0" fontId="4" fillId="0" borderId="10" xfId="23" applyFont="1" applyFill="1" applyBorder="1" applyAlignment="1">
      <alignment horizontal="center" vertical="center" wrapText="1"/>
    </xf>
    <xf numFmtId="0" fontId="4" fillId="0" borderId="0" xfId="23" applyFont="1" applyFill="1" applyBorder="1" applyAlignment="1">
      <alignment horizontal="center" vertical="center" wrapText="1"/>
    </xf>
    <xf numFmtId="0" fontId="4" fillId="0" borderId="11" xfId="23" applyFont="1" applyFill="1" applyBorder="1" applyAlignment="1">
      <alignment horizontal="center" vertical="center" wrapText="1"/>
    </xf>
    <xf numFmtId="0" fontId="4" fillId="0" borderId="49" xfId="23" applyFont="1" applyFill="1" applyBorder="1" applyAlignment="1">
      <alignment horizontal="center" vertical="center" wrapText="1"/>
    </xf>
    <xf numFmtId="0" fontId="4" fillId="0" borderId="50" xfId="23" applyFont="1" applyFill="1" applyBorder="1" applyAlignment="1">
      <alignment horizontal="center" vertical="center" wrapText="1"/>
    </xf>
    <xf numFmtId="0" fontId="4" fillId="0" borderId="51" xfId="23" applyFont="1" applyFill="1" applyBorder="1" applyAlignment="1">
      <alignment horizontal="center" vertical="center" wrapText="1"/>
    </xf>
    <xf numFmtId="0" fontId="4" fillId="0" borderId="33" xfId="23" applyFont="1" applyFill="1" applyBorder="1" applyAlignment="1" applyProtection="1">
      <alignment horizontal="center" vertical="center" wrapText="1"/>
      <protection locked="0"/>
    </xf>
    <xf numFmtId="0" fontId="4" fillId="0" borderId="34" xfId="23" applyFont="1" applyFill="1" applyBorder="1" applyAlignment="1" applyProtection="1">
      <alignment horizontal="center" vertical="center" wrapText="1"/>
      <protection locked="0"/>
    </xf>
    <xf numFmtId="0" fontId="4" fillId="0" borderId="47" xfId="23" applyFont="1" applyFill="1" applyBorder="1" applyAlignment="1" applyProtection="1">
      <alignment horizontal="center" vertical="center" wrapText="1"/>
      <protection locked="0"/>
    </xf>
    <xf numFmtId="2" fontId="4" fillId="10" borderId="1" xfId="23" applyNumberFormat="1" applyFont="1" applyFill="1" applyBorder="1" applyAlignment="1" applyProtection="1">
      <alignment horizontal="center" vertical="center" textRotation="90" wrapText="1"/>
      <protection locked="0"/>
    </xf>
    <xf numFmtId="2" fontId="4" fillId="10" borderId="9" xfId="23" applyNumberFormat="1" applyFont="1" applyFill="1" applyBorder="1" applyAlignment="1" applyProtection="1">
      <alignment horizontal="center" vertical="center" textRotation="90" wrapText="1"/>
      <protection locked="0"/>
    </xf>
    <xf numFmtId="2" fontId="4" fillId="10" borderId="48" xfId="23" applyNumberFormat="1" applyFont="1" applyFill="1" applyBorder="1" applyAlignment="1" applyProtection="1">
      <alignment horizontal="center" vertical="center" textRotation="90" wrapText="1"/>
      <protection locked="0"/>
    </xf>
    <xf numFmtId="0" fontId="4" fillId="0" borderId="14" xfId="14" applyFont="1" applyFill="1" applyBorder="1" applyAlignment="1">
      <alignment horizontal="center" vertical="center" wrapText="1"/>
    </xf>
    <xf numFmtId="0" fontId="4" fillId="0" borderId="13" xfId="14" applyFont="1" applyFill="1" applyBorder="1" applyAlignment="1">
      <alignment horizontal="center" vertical="center" wrapText="1"/>
    </xf>
    <xf numFmtId="0" fontId="4" fillId="0" borderId="15" xfId="14" applyFont="1" applyFill="1" applyBorder="1" applyAlignment="1">
      <alignment horizontal="center" vertical="center" wrapText="1"/>
    </xf>
    <xf numFmtId="0" fontId="4" fillId="0" borderId="10" xfId="14" applyFont="1" applyFill="1" applyBorder="1" applyAlignment="1">
      <alignment horizontal="center" vertical="center" wrapText="1"/>
    </xf>
    <xf numFmtId="0" fontId="4" fillId="0" borderId="0" xfId="14" applyFont="1" applyFill="1" applyBorder="1" applyAlignment="1">
      <alignment horizontal="center" vertical="center" wrapText="1"/>
    </xf>
    <xf numFmtId="0" fontId="4" fillId="0" borderId="11" xfId="14" applyFont="1" applyFill="1" applyBorder="1" applyAlignment="1">
      <alignment horizontal="center" vertical="center" wrapText="1"/>
    </xf>
    <xf numFmtId="0" fontId="4" fillId="0" borderId="49" xfId="14" applyFont="1" applyFill="1" applyBorder="1" applyAlignment="1">
      <alignment horizontal="center" vertical="center" wrapText="1"/>
    </xf>
    <xf numFmtId="0" fontId="4" fillId="0" borderId="50" xfId="14" applyFont="1" applyFill="1" applyBorder="1" applyAlignment="1">
      <alignment horizontal="center" vertical="center" wrapText="1"/>
    </xf>
    <xf numFmtId="0" fontId="4" fillId="0" borderId="51" xfId="14" applyFont="1" applyFill="1" applyBorder="1" applyAlignment="1">
      <alignment horizontal="center" vertical="center" wrapText="1"/>
    </xf>
    <xf numFmtId="0" fontId="4" fillId="0" borderId="40" xfId="23" applyFont="1" applyFill="1" applyBorder="1" applyAlignment="1" applyProtection="1">
      <alignment horizontal="center" vertical="center" wrapText="1"/>
      <protection locked="0"/>
    </xf>
    <xf numFmtId="0" fontId="4" fillId="0" borderId="46" xfId="23" applyFont="1" applyFill="1" applyBorder="1" applyAlignment="1" applyProtection="1">
      <alignment horizontal="center" vertical="center" wrapText="1"/>
      <protection locked="0"/>
    </xf>
    <xf numFmtId="0" fontId="4" fillId="0" borderId="33" xfId="23" applyFont="1" applyFill="1" applyBorder="1" applyAlignment="1">
      <alignment horizontal="center" vertical="center" wrapText="1"/>
    </xf>
    <xf numFmtId="0" fontId="4" fillId="0" borderId="34" xfId="23" applyFont="1" applyFill="1" applyBorder="1" applyAlignment="1">
      <alignment horizontal="center" vertical="center" wrapText="1"/>
    </xf>
    <xf numFmtId="0" fontId="4" fillId="0" borderId="35" xfId="23" applyFont="1" applyFill="1" applyBorder="1" applyAlignment="1">
      <alignment horizontal="center" vertical="center" wrapText="1"/>
    </xf>
    <xf numFmtId="0" fontId="4" fillId="10" borderId="1" xfId="23" applyFont="1" applyFill="1" applyBorder="1" applyAlignment="1">
      <alignment horizontal="center" vertical="center" textRotation="90" wrapText="1"/>
    </xf>
    <xf numFmtId="0" fontId="4" fillId="10" borderId="9" xfId="23" applyFont="1" applyFill="1" applyBorder="1" applyAlignment="1">
      <alignment horizontal="center" vertical="center" textRotation="90" wrapText="1"/>
    </xf>
    <xf numFmtId="0" fontId="4" fillId="10" borderId="2" xfId="23" applyFont="1" applyFill="1" applyBorder="1" applyAlignment="1">
      <alignment horizontal="center" vertical="center" textRotation="90" wrapText="1"/>
    </xf>
    <xf numFmtId="0" fontId="4" fillId="0" borderId="43" xfId="23" applyFont="1" applyFill="1" applyBorder="1" applyAlignment="1" applyProtection="1">
      <alignment horizontal="center" vertical="center" textRotation="90" wrapText="1"/>
    </xf>
    <xf numFmtId="0" fontId="4" fillId="0" borderId="44" xfId="23" applyFont="1" applyFill="1" applyBorder="1" applyAlignment="1" applyProtection="1">
      <alignment horizontal="center" vertical="center" textRotation="90" wrapText="1"/>
    </xf>
    <xf numFmtId="0" fontId="4" fillId="0" borderId="45" xfId="23" applyFont="1" applyFill="1" applyBorder="1" applyAlignment="1" applyProtection="1">
      <alignment horizontal="center" vertical="center" textRotation="90" wrapText="1"/>
    </xf>
    <xf numFmtId="0" fontId="4" fillId="0" borderId="12" xfId="23" applyFont="1" applyFill="1" applyBorder="1" applyAlignment="1" applyProtection="1">
      <alignment horizontal="center" vertical="center" wrapText="1"/>
      <protection locked="0"/>
    </xf>
    <xf numFmtId="0" fontId="4" fillId="0" borderId="4" xfId="23" applyFont="1" applyFill="1" applyBorder="1" applyAlignment="1" applyProtection="1">
      <alignment horizontal="center" vertical="center" wrapText="1"/>
      <protection locked="0"/>
    </xf>
    <xf numFmtId="0" fontId="4" fillId="0" borderId="6" xfId="23" applyFont="1" applyFill="1" applyBorder="1" applyAlignment="1" applyProtection="1">
      <alignment horizontal="center" vertical="center" wrapText="1"/>
      <protection locked="0"/>
    </xf>
    <xf numFmtId="0" fontId="4" fillId="3" borderId="1" xfId="22" applyFont="1" applyFill="1" applyBorder="1" applyAlignment="1" applyProtection="1">
      <alignment horizontal="center" vertical="center" wrapText="1"/>
      <protection locked="0"/>
    </xf>
    <xf numFmtId="0" fontId="4" fillId="3" borderId="9" xfId="22" applyFont="1" applyFill="1" applyBorder="1" applyAlignment="1" applyProtection="1">
      <alignment horizontal="center" vertical="center" wrapText="1"/>
      <protection locked="0"/>
    </xf>
    <xf numFmtId="0" fontId="4" fillId="3" borderId="2" xfId="22" applyFont="1" applyFill="1" applyBorder="1" applyAlignment="1" applyProtection="1">
      <alignment horizontal="center" vertical="center" wrapText="1"/>
      <protection locked="0"/>
    </xf>
    <xf numFmtId="0" fontId="4" fillId="3" borderId="3" xfId="23" applyFont="1" applyFill="1" applyBorder="1" applyAlignment="1" applyProtection="1">
      <alignment horizontal="center" vertical="center" textRotation="90" wrapText="1"/>
    </xf>
    <xf numFmtId="0" fontId="4" fillId="3" borderId="3" xfId="23" applyFont="1" applyFill="1" applyBorder="1" applyAlignment="1" applyProtection="1">
      <alignment horizontal="center" vertical="center" wrapText="1"/>
      <protection locked="0"/>
    </xf>
    <xf numFmtId="2" fontId="4" fillId="3" borderId="3" xfId="23" applyNumberFormat="1" applyFont="1" applyFill="1" applyBorder="1" applyAlignment="1" applyProtection="1">
      <alignment horizontal="center" vertical="center" textRotation="90" wrapText="1"/>
      <protection locked="0"/>
    </xf>
    <xf numFmtId="0" fontId="4" fillId="3" borderId="1" xfId="23" applyFont="1" applyFill="1" applyBorder="1" applyAlignment="1">
      <alignment horizontal="center" vertical="center" wrapText="1"/>
    </xf>
    <xf numFmtId="0" fontId="4" fillId="3" borderId="9" xfId="23" applyFont="1" applyFill="1" applyBorder="1" applyAlignment="1">
      <alignment horizontal="center" vertical="center" wrapText="1"/>
    </xf>
    <xf numFmtId="0" fontId="4" fillId="3" borderId="2" xfId="23" applyFont="1" applyFill="1" applyBorder="1" applyAlignment="1">
      <alignment horizontal="center" vertical="center" wrapText="1"/>
    </xf>
    <xf numFmtId="0" fontId="4" fillId="3" borderId="3" xfId="23" applyFont="1" applyFill="1" applyBorder="1" applyAlignment="1">
      <alignment horizontal="left" vertical="center" wrapText="1"/>
    </xf>
    <xf numFmtId="0" fontId="4" fillId="3" borderId="3" xfId="23" applyFont="1" applyFill="1" applyBorder="1" applyAlignment="1">
      <alignment horizontal="justify" vertical="center" wrapText="1"/>
    </xf>
    <xf numFmtId="0" fontId="4" fillId="3" borderId="3" xfId="22" applyFont="1" applyFill="1" applyBorder="1" applyAlignment="1" applyProtection="1">
      <alignment horizontal="center" vertical="center" wrapText="1"/>
      <protection locked="0"/>
    </xf>
    <xf numFmtId="0" fontId="4" fillId="3" borderId="3" xfId="22" applyFont="1" applyFill="1" applyBorder="1" applyAlignment="1" applyProtection="1">
      <alignment horizontal="left" vertical="center" wrapText="1"/>
      <protection locked="0"/>
    </xf>
    <xf numFmtId="0" fontId="27" fillId="10" borderId="1" xfId="22" applyFont="1" applyFill="1" applyBorder="1" applyAlignment="1" applyProtection="1">
      <alignment horizontal="center" vertical="center" textRotation="90" wrapText="1"/>
    </xf>
    <xf numFmtId="0" fontId="27" fillId="10" borderId="9" xfId="22" applyFont="1" applyFill="1" applyBorder="1" applyAlignment="1" applyProtection="1">
      <alignment horizontal="center" vertical="center" textRotation="90" wrapText="1"/>
    </xf>
    <xf numFmtId="0" fontId="27" fillId="10" borderId="2" xfId="22" applyFont="1" applyFill="1" applyBorder="1" applyAlignment="1" applyProtection="1">
      <alignment horizontal="center" vertical="center" textRotation="90" wrapText="1"/>
    </xf>
    <xf numFmtId="0" fontId="4" fillId="10" borderId="3" xfId="23" applyFont="1" applyFill="1" applyBorder="1" applyAlignment="1" applyProtection="1">
      <alignment horizontal="center" vertical="center" textRotation="90" wrapText="1"/>
    </xf>
    <xf numFmtId="0" fontId="4" fillId="3" borderId="3" xfId="23" applyFont="1" applyFill="1" applyBorder="1" applyAlignment="1" applyProtection="1">
      <alignment horizontal="center" vertical="center" textRotation="90" wrapText="1"/>
      <protection locked="0"/>
    </xf>
    <xf numFmtId="0" fontId="4" fillId="3" borderId="3" xfId="23" applyFont="1" applyFill="1" applyBorder="1" applyAlignment="1">
      <alignment horizontal="center" vertical="center" wrapText="1"/>
    </xf>
    <xf numFmtId="0" fontId="4" fillId="0" borderId="3" xfId="14" applyFont="1" applyFill="1" applyBorder="1" applyAlignment="1">
      <alignment horizontal="center" vertical="center" wrapText="1"/>
    </xf>
    <xf numFmtId="0" fontId="4" fillId="0" borderId="3" xfId="14" applyFont="1" applyFill="1" applyBorder="1" applyAlignment="1">
      <alignment horizontal="left" vertical="center" wrapText="1"/>
    </xf>
    <xf numFmtId="49" fontId="4" fillId="0" borderId="3" xfId="14" applyNumberFormat="1" applyFont="1" applyFill="1" applyBorder="1" applyAlignment="1">
      <alignment horizontal="left" vertical="center" wrapText="1"/>
    </xf>
    <xf numFmtId="0" fontId="4" fillId="0" borderId="3" xfId="14" applyFont="1" applyFill="1" applyBorder="1" applyAlignment="1">
      <alignment horizontal="justify" vertical="center" wrapText="1"/>
    </xf>
    <xf numFmtId="0" fontId="4" fillId="0" borderId="3" xfId="14" applyFont="1" applyFill="1" applyBorder="1" applyAlignment="1">
      <alignment horizontal="center" vertical="center" textRotation="90" wrapText="1"/>
    </xf>
    <xf numFmtId="0" fontId="3" fillId="3" borderId="3" xfId="14" applyFont="1" applyFill="1" applyBorder="1" applyAlignment="1">
      <alignment horizontal="center" vertical="center" wrapText="1"/>
    </xf>
    <xf numFmtId="0" fontId="4" fillId="0" borderId="1" xfId="14" applyFont="1" applyFill="1" applyBorder="1" applyAlignment="1">
      <alignment horizontal="center" vertical="center" wrapText="1"/>
    </xf>
    <xf numFmtId="0" fontId="4" fillId="0" borderId="2" xfId="14" applyFont="1" applyFill="1" applyBorder="1" applyAlignment="1">
      <alignment horizontal="center" vertical="center" wrapText="1"/>
    </xf>
    <xf numFmtId="0" fontId="4" fillId="3" borderId="15" xfId="22" applyFont="1" applyFill="1" applyBorder="1" applyAlignment="1" applyProtection="1">
      <alignment horizontal="center" vertical="center" wrapText="1"/>
      <protection locked="0"/>
    </xf>
    <xf numFmtId="0" fontId="4" fillId="3" borderId="6" xfId="22" applyFont="1" applyFill="1" applyBorder="1" applyAlignment="1" applyProtection="1">
      <alignment horizontal="center" vertical="center" wrapText="1"/>
      <protection locked="0"/>
    </xf>
    <xf numFmtId="2" fontId="4" fillId="10" borderId="3" xfId="23" applyNumberFormat="1" applyFont="1" applyFill="1" applyBorder="1" applyAlignment="1" applyProtection="1">
      <alignment horizontal="center" vertical="center" textRotation="90" wrapText="1"/>
      <protection locked="0"/>
    </xf>
    <xf numFmtId="0" fontId="4" fillId="0" borderId="9" xfId="14" applyFont="1" applyFill="1" applyBorder="1" applyAlignment="1">
      <alignment horizontal="center" vertical="center" wrapText="1"/>
    </xf>
    <xf numFmtId="0" fontId="4" fillId="0" borderId="15" xfId="22" applyFont="1" applyFill="1" applyBorder="1" applyAlignment="1" applyProtection="1">
      <alignment horizontal="center" vertical="center" wrapText="1"/>
      <protection locked="0"/>
    </xf>
    <xf numFmtId="0" fontId="4" fillId="0" borderId="11" xfId="22" applyFont="1" applyFill="1" applyBorder="1" applyAlignment="1" applyProtection="1">
      <alignment horizontal="center" vertical="center" wrapText="1"/>
      <protection locked="0"/>
    </xf>
    <xf numFmtId="0" fontId="4" fillId="10" borderId="3" xfId="14" applyFont="1" applyFill="1" applyBorder="1" applyAlignment="1">
      <alignment horizontal="center" vertical="center" textRotation="90" wrapText="1"/>
    </xf>
    <xf numFmtId="0" fontId="4" fillId="4" borderId="3" xfId="14" applyFont="1" applyFill="1" applyBorder="1" applyAlignment="1">
      <alignment horizontal="center" vertical="center" textRotation="90" wrapText="1"/>
    </xf>
    <xf numFmtId="0" fontId="3" fillId="0" borderId="3" xfId="14" applyFont="1" applyFill="1" applyBorder="1" applyAlignment="1">
      <alignment horizontal="center" vertical="center" wrapText="1"/>
    </xf>
    <xf numFmtId="0" fontId="4" fillId="3" borderId="3" xfId="14" applyFont="1" applyFill="1" applyBorder="1" applyAlignment="1">
      <alignment horizontal="center" vertical="center" textRotation="90" wrapText="1"/>
    </xf>
    <xf numFmtId="0" fontId="4" fillId="3" borderId="11" xfId="22" applyFont="1" applyFill="1" applyBorder="1" applyAlignment="1" applyProtection="1">
      <alignment horizontal="center" vertical="center" wrapText="1"/>
      <protection locked="0"/>
    </xf>
    <xf numFmtId="0" fontId="4" fillId="0" borderId="3" xfId="14" applyFont="1" applyFill="1" applyBorder="1" applyAlignment="1">
      <alignment vertical="center" wrapText="1"/>
    </xf>
    <xf numFmtId="0" fontId="70" fillId="0" borderId="1" xfId="22" applyFill="1" applyBorder="1" applyAlignment="1">
      <alignment horizontal="center"/>
    </xf>
    <xf numFmtId="0" fontId="70" fillId="0" borderId="9" xfId="22" applyFill="1" applyBorder="1" applyAlignment="1">
      <alignment horizontal="center"/>
    </xf>
    <xf numFmtId="0" fontId="70" fillId="0" borderId="2" xfId="22" applyFill="1" applyBorder="1" applyAlignment="1">
      <alignment horizontal="center"/>
    </xf>
    <xf numFmtId="14" fontId="4" fillId="0" borderId="3" xfId="22" applyNumberFormat="1" applyFont="1" applyFill="1" applyBorder="1" applyAlignment="1" applyProtection="1">
      <alignment horizontal="center" vertical="center" wrapText="1"/>
      <protection locked="0"/>
    </xf>
    <xf numFmtId="0" fontId="4" fillId="0" borderId="3" xfId="14" applyFont="1" applyFill="1" applyBorder="1" applyAlignment="1">
      <alignment vertical="top" wrapText="1"/>
    </xf>
    <xf numFmtId="0" fontId="27" fillId="0" borderId="1" xfId="22" applyFont="1" applyFill="1" applyBorder="1" applyAlignment="1" applyProtection="1">
      <alignment horizontal="center" vertical="center" textRotation="90" wrapText="1"/>
    </xf>
    <xf numFmtId="0" fontId="27" fillId="0" borderId="9" xfId="22" applyFont="1" applyFill="1" applyBorder="1" applyAlignment="1" applyProtection="1">
      <alignment horizontal="center" vertical="center" textRotation="90" wrapText="1"/>
    </xf>
    <xf numFmtId="0" fontId="27" fillId="0" borderId="2" xfId="22" applyFont="1" applyFill="1" applyBorder="1" applyAlignment="1" applyProtection="1">
      <alignment horizontal="center" vertical="center" textRotation="90" wrapText="1"/>
    </xf>
    <xf numFmtId="0" fontId="4" fillId="0" borderId="3" xfId="14" applyFont="1" applyFill="1" applyBorder="1" applyAlignment="1">
      <alignment horizontal="justify" vertical="top" wrapText="1"/>
    </xf>
    <xf numFmtId="0" fontId="4" fillId="0" borderId="3" xfId="22" applyFont="1" applyFill="1" applyBorder="1" applyAlignment="1">
      <alignment horizontal="center" vertical="center" wrapText="1"/>
    </xf>
    <xf numFmtId="49" fontId="3" fillId="0" borderId="5" xfId="22" applyNumberFormat="1" applyFont="1" applyFill="1" applyBorder="1" applyAlignment="1">
      <alignment horizontal="center" vertical="center" wrapText="1"/>
    </xf>
    <xf numFmtId="0" fontId="4" fillId="0" borderId="1" xfId="22" applyFont="1" applyBorder="1" applyAlignment="1">
      <alignment horizontal="center" vertical="center" wrapText="1"/>
    </xf>
    <xf numFmtId="0" fontId="4" fillId="0" borderId="2" xfId="22" applyFont="1" applyBorder="1" applyAlignment="1">
      <alignment horizontal="center" vertical="center" wrapText="1"/>
    </xf>
    <xf numFmtId="0" fontId="57" fillId="0" borderId="3" xfId="22" applyFont="1" applyFill="1" applyBorder="1" applyAlignment="1" applyProtection="1">
      <alignment horizontal="center" vertical="center" wrapText="1"/>
      <protection locked="0"/>
    </xf>
    <xf numFmtId="0" fontId="57" fillId="0" borderId="7" xfId="22" applyFont="1" applyFill="1" applyBorder="1" applyAlignment="1" applyProtection="1">
      <alignment horizontal="center" vertical="center" wrapText="1"/>
      <protection locked="0"/>
    </xf>
    <xf numFmtId="0" fontId="57" fillId="0" borderId="8" xfId="22" applyFont="1" applyFill="1" applyBorder="1" applyAlignment="1" applyProtection="1">
      <alignment horizontal="center" vertical="center" wrapText="1"/>
      <protection locked="0"/>
    </xf>
    <xf numFmtId="0" fontId="57" fillId="0" borderId="5" xfId="22" applyFont="1" applyFill="1" applyBorder="1" applyAlignment="1" applyProtection="1">
      <alignment horizontal="center" vertical="center" wrapText="1"/>
      <protection locked="0"/>
    </xf>
    <xf numFmtId="0" fontId="93" fillId="0" borderId="7" xfId="24" applyFont="1" applyFill="1" applyBorder="1" applyAlignment="1" applyProtection="1">
      <alignment horizontal="left" vertical="center" wrapText="1"/>
      <protection locked="0"/>
    </xf>
    <xf numFmtId="0" fontId="93" fillId="0" borderId="8" xfId="24" applyFont="1" applyFill="1" applyBorder="1" applyAlignment="1" applyProtection="1">
      <alignment horizontal="left" vertical="center" wrapText="1"/>
      <protection locked="0"/>
    </xf>
    <xf numFmtId="0" fontId="93" fillId="0" borderId="5" xfId="24" applyFont="1" applyFill="1" applyBorder="1" applyAlignment="1" applyProtection="1">
      <alignment horizontal="left" vertical="center" wrapText="1"/>
      <protection locked="0"/>
    </xf>
    <xf numFmtId="0" fontId="57" fillId="0" borderId="7" xfId="24" applyFont="1" applyFill="1" applyBorder="1" applyAlignment="1" applyProtection="1">
      <alignment horizontal="left" vertical="center" wrapText="1"/>
      <protection locked="0"/>
    </xf>
    <xf numFmtId="0" fontId="57" fillId="0" borderId="8" xfId="24" applyFont="1" applyFill="1" applyBorder="1" applyAlignment="1" applyProtection="1">
      <alignment horizontal="left" vertical="center" wrapText="1"/>
      <protection locked="0"/>
    </xf>
    <xf numFmtId="0" fontId="57" fillId="0" borderId="5" xfId="24" applyFont="1" applyFill="1" applyBorder="1" applyAlignment="1" applyProtection="1">
      <alignment horizontal="left" vertical="center" wrapText="1"/>
      <protection locked="0"/>
    </xf>
    <xf numFmtId="0" fontId="57" fillId="0" borderId="3" xfId="24" applyFont="1" applyFill="1" applyBorder="1" applyAlignment="1" applyProtection="1">
      <alignment horizontal="left" vertical="center" wrapText="1"/>
      <protection locked="0"/>
    </xf>
    <xf numFmtId="0" fontId="3" fillId="4" borderId="1" xfId="22" applyFont="1" applyFill="1" applyBorder="1" applyAlignment="1">
      <alignment horizontal="center" vertical="center" wrapText="1"/>
    </xf>
    <xf numFmtId="0" fontId="3" fillId="4" borderId="2" xfId="22" applyFont="1" applyFill="1" applyBorder="1" applyAlignment="1">
      <alignment horizontal="center" vertical="center" wrapText="1"/>
    </xf>
    <xf numFmtId="0" fontId="3" fillId="4" borderId="1" xfId="22" applyFont="1" applyFill="1" applyBorder="1" applyAlignment="1">
      <alignment horizontal="center" vertical="center" textRotation="90" wrapText="1"/>
    </xf>
    <xf numFmtId="0" fontId="3" fillId="4" borderId="2" xfId="22" applyFont="1" applyFill="1" applyBorder="1" applyAlignment="1">
      <alignment horizontal="center" vertical="center" textRotation="90" wrapText="1"/>
    </xf>
    <xf numFmtId="0" fontId="57" fillId="3" borderId="7" xfId="24" applyFont="1" applyFill="1" applyBorder="1" applyAlignment="1" applyProtection="1">
      <alignment horizontal="left" vertical="center" wrapText="1"/>
      <protection locked="0"/>
    </xf>
    <xf numFmtId="0" fontId="57" fillId="3" borderId="8" xfId="24" applyFont="1" applyFill="1" applyBorder="1" applyAlignment="1" applyProtection="1">
      <alignment horizontal="left" vertical="center" wrapText="1"/>
      <protection locked="0"/>
    </xf>
    <xf numFmtId="0" fontId="57" fillId="3" borderId="5" xfId="24" applyFont="1" applyFill="1" applyBorder="1" applyAlignment="1" applyProtection="1">
      <alignment horizontal="left" vertical="center" wrapText="1"/>
      <protection locked="0"/>
    </xf>
    <xf numFmtId="0" fontId="4" fillId="54" borderId="3" xfId="22" applyFont="1" applyFill="1" applyBorder="1" applyAlignment="1">
      <alignment horizontal="center" vertical="center" wrapText="1"/>
    </xf>
    <xf numFmtId="0" fontId="3" fillId="54" borderId="3" xfId="22" applyFont="1" applyFill="1" applyBorder="1" applyAlignment="1">
      <alignment horizontal="center" vertical="center" wrapText="1"/>
    </xf>
    <xf numFmtId="49" fontId="3" fillId="4" borderId="3" xfId="22" applyNumberFormat="1" applyFont="1" applyFill="1" applyBorder="1" applyAlignment="1">
      <alignment horizontal="center" vertical="center" wrapText="1"/>
    </xf>
    <xf numFmtId="49" fontId="3" fillId="4" borderId="12" xfId="22" applyNumberFormat="1" applyFont="1" applyFill="1" applyBorder="1" applyAlignment="1">
      <alignment horizontal="center" vertical="center" wrapText="1"/>
    </xf>
    <xf numFmtId="49" fontId="3" fillId="4" borderId="4" xfId="22" applyNumberFormat="1" applyFont="1" applyFill="1" applyBorder="1" applyAlignment="1">
      <alignment horizontal="center" vertical="center" wrapText="1"/>
    </xf>
    <xf numFmtId="49" fontId="3" fillId="4" borderId="6" xfId="22" applyNumberFormat="1" applyFont="1" applyFill="1" applyBorder="1" applyAlignment="1">
      <alignment horizontal="center" vertical="center" wrapText="1"/>
    </xf>
    <xf numFmtId="0" fontId="3" fillId="4" borderId="15" xfId="22" applyFont="1" applyFill="1" applyBorder="1" applyAlignment="1">
      <alignment horizontal="center" vertical="center" wrapText="1"/>
    </xf>
    <xf numFmtId="0" fontId="3" fillId="4" borderId="6" xfId="22" applyFont="1" applyFill="1" applyBorder="1" applyAlignment="1">
      <alignment horizontal="center" vertical="center" wrapText="1"/>
    </xf>
    <xf numFmtId="0" fontId="3" fillId="4" borderId="3" xfId="22" applyFont="1" applyFill="1" applyBorder="1" applyAlignment="1">
      <alignment horizontal="center" vertical="center" textRotation="90" wrapText="1"/>
    </xf>
    <xf numFmtId="0" fontId="3" fillId="4" borderId="14" xfId="22" applyFont="1" applyFill="1" applyBorder="1" applyAlignment="1">
      <alignment horizontal="center" vertical="center" wrapText="1"/>
    </xf>
    <xf numFmtId="0" fontId="3" fillId="4" borderId="13" xfId="22" applyFont="1" applyFill="1" applyBorder="1" applyAlignment="1">
      <alignment horizontal="center" vertical="center" wrapText="1"/>
    </xf>
    <xf numFmtId="0" fontId="3" fillId="4" borderId="12" xfId="22" applyFont="1" applyFill="1" applyBorder="1" applyAlignment="1">
      <alignment horizontal="center" vertical="center" wrapText="1"/>
    </xf>
    <xf numFmtId="0" fontId="3" fillId="4" borderId="4" xfId="22" applyFont="1" applyFill="1" applyBorder="1" applyAlignment="1">
      <alignment horizontal="center" vertical="center" wrapText="1"/>
    </xf>
    <xf numFmtId="0" fontId="57" fillId="0" borderId="3" xfId="22" applyFont="1" applyFill="1" applyBorder="1" applyAlignment="1">
      <alignment horizontal="center" vertical="center"/>
    </xf>
    <xf numFmtId="0" fontId="79" fillId="42" borderId="0" xfId="22" applyFont="1" applyFill="1" applyAlignment="1">
      <alignment horizontal="center" vertical="center" wrapText="1"/>
    </xf>
    <xf numFmtId="166" fontId="57" fillId="0" borderId="14" xfId="22" applyNumberFormat="1" applyFont="1" applyBorder="1" applyAlignment="1">
      <alignment horizontal="center" vertical="center" wrapText="1"/>
    </xf>
    <xf numFmtId="166" fontId="57" fillId="0" borderId="13" xfId="22" applyNumberFormat="1" applyFont="1" applyBorder="1" applyAlignment="1">
      <alignment horizontal="center" vertical="center" wrapText="1"/>
    </xf>
    <xf numFmtId="166" fontId="57" fillId="0" borderId="15" xfId="22" applyNumberFormat="1" applyFont="1" applyBorder="1" applyAlignment="1">
      <alignment horizontal="center" vertical="center" wrapText="1"/>
    </xf>
    <xf numFmtId="166" fontId="57" fillId="0" borderId="12" xfId="22" applyNumberFormat="1" applyFont="1" applyBorder="1" applyAlignment="1">
      <alignment horizontal="center" vertical="center" wrapText="1"/>
    </xf>
    <xf numFmtId="166" fontId="57" fillId="0" borderId="4" xfId="22" applyNumberFormat="1" applyFont="1" applyBorder="1" applyAlignment="1">
      <alignment horizontal="center" vertical="center" wrapText="1"/>
    </xf>
    <xf numFmtId="166" fontId="57" fillId="0" borderId="6" xfId="22" applyNumberFormat="1" applyFont="1" applyBorder="1" applyAlignment="1">
      <alignment horizontal="center" vertical="center" wrapText="1"/>
    </xf>
    <xf numFmtId="0" fontId="93" fillId="0" borderId="3" xfId="22" applyFont="1" applyBorder="1" applyAlignment="1">
      <alignment horizontal="center" vertical="center" wrapText="1"/>
    </xf>
    <xf numFmtId="0" fontId="93" fillId="3" borderId="3" xfId="22" applyFont="1" applyFill="1" applyBorder="1" applyAlignment="1">
      <alignment horizontal="center" vertical="center" wrapText="1"/>
    </xf>
    <xf numFmtId="167" fontId="57" fillId="0" borderId="24" xfId="22" applyNumberFormat="1" applyFont="1" applyBorder="1" applyAlignment="1">
      <alignment horizontal="center" vertical="center"/>
    </xf>
    <xf numFmtId="167" fontId="57" fillId="0" borderId="75" xfId="22" applyNumberFormat="1" applyFont="1" applyBorder="1" applyAlignment="1">
      <alignment horizontal="center" vertical="center"/>
    </xf>
    <xf numFmtId="0" fontId="4" fillId="0" borderId="12" xfId="22" applyFont="1" applyFill="1" applyBorder="1" applyAlignment="1" applyProtection="1">
      <alignment horizontal="center" vertical="center"/>
      <protection locked="0"/>
    </xf>
    <xf numFmtId="0" fontId="4" fillId="0" borderId="4" xfId="22" applyFont="1" applyFill="1" applyBorder="1" applyAlignment="1" applyProtection="1">
      <alignment horizontal="center" vertical="center"/>
      <protection locked="0"/>
    </xf>
    <xf numFmtId="0" fontId="4" fillId="0" borderId="6" xfId="22" applyFont="1" applyFill="1" applyBorder="1" applyAlignment="1" applyProtection="1">
      <alignment horizontal="center" vertical="center"/>
      <protection locked="0"/>
    </xf>
    <xf numFmtId="0" fontId="4" fillId="3" borderId="10" xfId="22" applyFont="1" applyFill="1" applyBorder="1" applyAlignment="1" applyProtection="1">
      <alignment horizontal="left" vertical="top" wrapText="1"/>
      <protection locked="0"/>
    </xf>
    <xf numFmtId="0" fontId="4" fillId="3" borderId="0" xfId="22" applyFont="1" applyFill="1" applyBorder="1" applyAlignment="1" applyProtection="1">
      <alignment horizontal="left" vertical="top" wrapText="1"/>
      <protection locked="0"/>
    </xf>
    <xf numFmtId="0" fontId="4" fillId="3" borderId="11" xfId="22" applyFont="1" applyFill="1" applyBorder="1" applyAlignment="1" applyProtection="1">
      <alignment horizontal="left" vertical="top" wrapText="1"/>
      <protection locked="0"/>
    </xf>
    <xf numFmtId="0" fontId="4" fillId="3" borderId="12" xfId="22" applyFont="1" applyFill="1" applyBorder="1" applyAlignment="1" applyProtection="1">
      <alignment horizontal="left" vertical="top" wrapText="1"/>
      <protection locked="0"/>
    </xf>
    <xf numFmtId="0" fontId="4" fillId="3" borderId="4" xfId="22" applyFont="1" applyFill="1" applyBorder="1" applyAlignment="1" applyProtection="1">
      <alignment horizontal="left" vertical="top" wrapText="1"/>
      <protection locked="0"/>
    </xf>
    <xf numFmtId="0" fontId="4" fillId="3" borderId="6" xfId="22" applyFont="1" applyFill="1" applyBorder="1" applyAlignment="1" applyProtection="1">
      <alignment horizontal="left" vertical="top" wrapText="1"/>
      <protection locked="0"/>
    </xf>
    <xf numFmtId="2" fontId="4" fillId="0" borderId="1" xfId="9" applyNumberFormat="1" applyFont="1" applyFill="1" applyBorder="1" applyAlignment="1" applyProtection="1">
      <alignment horizontal="center" vertical="center" textRotation="90" wrapText="1"/>
      <protection locked="0"/>
    </xf>
    <xf numFmtId="2" fontId="4" fillId="0" borderId="9" xfId="9" applyNumberFormat="1" applyFont="1" applyFill="1" applyBorder="1" applyAlignment="1" applyProtection="1">
      <alignment horizontal="center" vertical="center" textRotation="90" wrapText="1"/>
      <protection locked="0"/>
    </xf>
    <xf numFmtId="2" fontId="4" fillId="0" borderId="2" xfId="9" applyNumberFormat="1" applyFont="1" applyFill="1" applyBorder="1" applyAlignment="1" applyProtection="1">
      <alignment horizontal="center" vertical="center" textRotation="90" wrapText="1"/>
      <protection locked="0"/>
    </xf>
    <xf numFmtId="0" fontId="4" fillId="3" borderId="1" xfId="9" applyFont="1" applyFill="1" applyBorder="1" applyAlignment="1">
      <alignment horizontal="center" vertical="center" wrapText="1"/>
    </xf>
    <xf numFmtId="0" fontId="4" fillId="3" borderId="9" xfId="9" applyFont="1" applyFill="1" applyBorder="1" applyAlignment="1">
      <alignment horizontal="center" vertical="center" wrapText="1"/>
    </xf>
    <xf numFmtId="0" fontId="4" fillId="3" borderId="2" xfId="9" applyFont="1" applyFill="1" applyBorder="1" applyAlignment="1">
      <alignment horizontal="center" vertical="center" wrapText="1"/>
    </xf>
    <xf numFmtId="0" fontId="4" fillId="3" borderId="7" xfId="9" applyFont="1" applyFill="1" applyBorder="1" applyAlignment="1">
      <alignment horizontal="left" vertical="center" wrapText="1"/>
    </xf>
    <xf numFmtId="0" fontId="4" fillId="3" borderId="8" xfId="9" applyFont="1" applyFill="1" applyBorder="1" applyAlignment="1">
      <alignment horizontal="left" vertical="center" wrapText="1"/>
    </xf>
    <xf numFmtId="0" fontId="4" fillId="3" borderId="5" xfId="9" applyFont="1" applyFill="1" applyBorder="1" applyAlignment="1">
      <alignment horizontal="left" vertical="center" wrapText="1"/>
    </xf>
    <xf numFmtId="0" fontId="4" fillId="3" borderId="3" xfId="9" applyFont="1" applyFill="1" applyBorder="1" applyAlignment="1">
      <alignment horizontal="justify" vertical="center" wrapText="1"/>
    </xf>
    <xf numFmtId="9" fontId="4" fillId="0" borderId="1" xfId="29" applyNumberFormat="1" applyFont="1" applyFill="1" applyBorder="1" applyAlignment="1" applyProtection="1">
      <alignment horizontal="center" vertical="center" wrapText="1"/>
      <protection locked="0"/>
    </xf>
    <xf numFmtId="43" fontId="4" fillId="0" borderId="9" xfId="29" applyFont="1" applyFill="1" applyBorder="1" applyAlignment="1" applyProtection="1">
      <alignment horizontal="center" vertical="center" wrapText="1"/>
      <protection locked="0"/>
    </xf>
    <xf numFmtId="43" fontId="4" fillId="0" borderId="2" xfId="29" applyFont="1" applyFill="1" applyBorder="1" applyAlignment="1" applyProtection="1">
      <alignment horizontal="center" vertical="center" wrapText="1"/>
      <protection locked="0"/>
    </xf>
    <xf numFmtId="0" fontId="27" fillId="10" borderId="1" xfId="9" applyFont="1" applyFill="1" applyBorder="1" applyAlignment="1" applyProtection="1">
      <alignment horizontal="center" vertical="center" textRotation="90" wrapText="1"/>
    </xf>
    <xf numFmtId="0" fontId="27" fillId="10" borderId="9" xfId="9" applyFont="1" applyFill="1" applyBorder="1" applyAlignment="1" applyProtection="1">
      <alignment horizontal="center" vertical="center" textRotation="90" wrapText="1"/>
    </xf>
    <xf numFmtId="0" fontId="27" fillId="10" borderId="2" xfId="9" applyFont="1" applyFill="1" applyBorder="1" applyAlignment="1" applyProtection="1">
      <alignment horizontal="center" vertical="center" textRotation="90" wrapText="1"/>
    </xf>
    <xf numFmtId="0" fontId="4" fillId="10" borderId="1" xfId="9" applyFont="1" applyFill="1" applyBorder="1" applyAlignment="1" applyProtection="1">
      <alignment horizontal="center" vertical="center" textRotation="90" wrapText="1"/>
    </xf>
    <xf numFmtId="0" fontId="4" fillId="10" borderId="9" xfId="9" applyFont="1" applyFill="1" applyBorder="1" applyAlignment="1" applyProtection="1">
      <alignment horizontal="center" vertical="center" textRotation="90" wrapText="1"/>
    </xf>
    <xf numFmtId="0" fontId="4" fillId="10" borderId="2" xfId="9" applyFont="1" applyFill="1" applyBorder="1" applyAlignment="1" applyProtection="1">
      <alignment horizontal="center" vertical="center" textRotation="90" wrapText="1"/>
    </xf>
    <xf numFmtId="0" fontId="70" fillId="3" borderId="1" xfId="22" applyFill="1" applyBorder="1" applyAlignment="1">
      <alignment horizontal="center" vertical="center"/>
    </xf>
    <xf numFmtId="0" fontId="70" fillId="3" borderId="9" xfId="22" applyFill="1" applyBorder="1" applyAlignment="1">
      <alignment horizontal="center" vertical="center"/>
    </xf>
    <xf numFmtId="0" fontId="70" fillId="3" borderId="2" xfId="22" applyFill="1" applyBorder="1" applyAlignment="1">
      <alignment horizontal="center" vertical="center"/>
    </xf>
    <xf numFmtId="0" fontId="4" fillId="3" borderId="1" xfId="9" applyFont="1" applyFill="1" applyBorder="1" applyAlignment="1" applyProtection="1">
      <alignment horizontal="center" vertical="center" wrapText="1"/>
      <protection locked="0"/>
    </xf>
    <xf numFmtId="0" fontId="4" fillId="3" borderId="9" xfId="9" applyFont="1" applyFill="1" applyBorder="1" applyAlignment="1" applyProtection="1">
      <alignment horizontal="center" vertical="center" wrapText="1"/>
      <protection locked="0"/>
    </xf>
    <xf numFmtId="0" fontId="4" fillId="3" borderId="2" xfId="9" applyFont="1" applyFill="1" applyBorder="1" applyAlignment="1" applyProtection="1">
      <alignment horizontal="center" vertical="center" wrapText="1"/>
      <protection locked="0"/>
    </xf>
    <xf numFmtId="2" fontId="4" fillId="4" borderId="1" xfId="9" applyNumberFormat="1" applyFont="1" applyFill="1" applyBorder="1" applyAlignment="1" applyProtection="1">
      <alignment horizontal="center" vertical="center" textRotation="90" wrapText="1"/>
      <protection locked="0"/>
    </xf>
    <xf numFmtId="2" fontId="4" fillId="4" borderId="9" xfId="9" applyNumberFormat="1" applyFont="1" applyFill="1" applyBorder="1" applyAlignment="1" applyProtection="1">
      <alignment horizontal="center" vertical="center" textRotation="90" wrapText="1"/>
      <protection locked="0"/>
    </xf>
    <xf numFmtId="2" fontId="4" fillId="4" borderId="2" xfId="9" applyNumberFormat="1" applyFont="1" applyFill="1" applyBorder="1" applyAlignment="1" applyProtection="1">
      <alignment horizontal="center" vertical="center" textRotation="90" wrapText="1"/>
      <protection locked="0"/>
    </xf>
    <xf numFmtId="0" fontId="3" fillId="0" borderId="12" xfId="9" applyFont="1" applyFill="1" applyBorder="1" applyAlignment="1" applyProtection="1">
      <alignment horizontal="center" vertical="center" wrapText="1"/>
      <protection locked="0"/>
    </xf>
    <xf numFmtId="0" fontId="3" fillId="0" borderId="4" xfId="9" applyFont="1" applyFill="1" applyBorder="1" applyAlignment="1" applyProtection="1">
      <alignment horizontal="center" vertical="center" wrapText="1"/>
      <protection locked="0"/>
    </xf>
    <xf numFmtId="0" fontId="3" fillId="0" borderId="6" xfId="9" applyFont="1" applyFill="1" applyBorder="1" applyAlignment="1" applyProtection="1">
      <alignment horizontal="center" vertical="center" wrapText="1"/>
      <protection locked="0"/>
    </xf>
    <xf numFmtId="0" fontId="3" fillId="0" borderId="3" xfId="9" applyFont="1" applyFill="1" applyBorder="1" applyAlignment="1" applyProtection="1">
      <alignment horizontal="center" vertical="center" wrapText="1"/>
      <protection locked="0"/>
    </xf>
    <xf numFmtId="0" fontId="4" fillId="0" borderId="8" xfId="9" applyFont="1" applyFill="1" applyBorder="1" applyAlignment="1" applyProtection="1">
      <alignment horizontal="left" vertical="center" wrapText="1"/>
      <protection locked="0"/>
    </xf>
    <xf numFmtId="0" fontId="4" fillId="0" borderId="5" xfId="9" applyFont="1" applyFill="1" applyBorder="1" applyAlignment="1" applyProtection="1">
      <alignment horizontal="left" vertical="center" wrapText="1"/>
      <protection locked="0"/>
    </xf>
    <xf numFmtId="0" fontId="4" fillId="0" borderId="3" xfId="9" applyFont="1" applyFill="1" applyBorder="1" applyAlignment="1" applyProtection="1">
      <alignment horizontal="left" vertical="center" wrapText="1"/>
      <protection locked="0"/>
    </xf>
    <xf numFmtId="0" fontId="4" fillId="0" borderId="3" xfId="9" applyFont="1" applyFill="1" applyBorder="1" applyAlignment="1" applyProtection="1">
      <alignment horizontal="justify" vertical="center" wrapText="1"/>
      <protection locked="0"/>
    </xf>
    <xf numFmtId="0" fontId="3" fillId="3" borderId="3" xfId="9" applyFont="1" applyFill="1" applyBorder="1" applyAlignment="1" applyProtection="1">
      <alignment horizontal="center" vertical="center" wrapText="1"/>
      <protection locked="0"/>
    </xf>
    <xf numFmtId="0" fontId="4" fillId="3" borderId="8" xfId="9" applyFont="1" applyFill="1" applyBorder="1" applyAlignment="1" applyProtection="1">
      <alignment horizontal="left" vertical="center" wrapText="1"/>
      <protection locked="0"/>
    </xf>
    <xf numFmtId="0" fontId="4" fillId="3" borderId="5" xfId="9" applyFont="1" applyFill="1" applyBorder="1" applyAlignment="1" applyProtection="1">
      <alignment horizontal="left" vertical="center" wrapText="1"/>
      <protection locked="0"/>
    </xf>
    <xf numFmtId="0" fontId="4" fillId="3" borderId="3" xfId="9" applyFont="1" applyFill="1" applyBorder="1" applyAlignment="1" applyProtection="1">
      <alignment horizontal="left" vertical="center" wrapText="1"/>
      <protection locked="0"/>
    </xf>
    <xf numFmtId="0" fontId="4" fillId="3" borderId="3" xfId="9" applyFont="1" applyFill="1" applyBorder="1" applyAlignment="1" applyProtection="1">
      <alignment horizontal="justify" vertical="center" wrapText="1"/>
      <protection locked="0"/>
    </xf>
    <xf numFmtId="0" fontId="4" fillId="0" borderId="7" xfId="9" applyFont="1" applyFill="1" applyBorder="1" applyAlignment="1" applyProtection="1">
      <alignment horizontal="left" vertical="center" wrapText="1"/>
      <protection locked="0"/>
    </xf>
    <xf numFmtId="49" fontId="3" fillId="0" borderId="3" xfId="22" applyNumberFormat="1" applyFont="1" applyFill="1" applyBorder="1" applyAlignment="1">
      <alignment horizontal="center" vertical="top" wrapText="1"/>
    </xf>
    <xf numFmtId="0" fontId="3" fillId="43" borderId="7" xfId="22" applyFont="1" applyFill="1" applyBorder="1" applyAlignment="1">
      <alignment horizontal="center" vertical="center" wrapText="1"/>
    </xf>
    <xf numFmtId="0" fontId="3" fillId="43" borderId="8" xfId="22" applyFont="1" applyFill="1" applyBorder="1" applyAlignment="1">
      <alignment horizontal="center" vertical="center" wrapText="1"/>
    </xf>
    <xf numFmtId="15" fontId="70" fillId="3" borderId="14" xfId="22" applyNumberFormat="1" applyFill="1" applyBorder="1" applyAlignment="1">
      <alignment horizontal="center" vertical="center" wrapText="1"/>
    </xf>
    <xf numFmtId="15" fontId="70" fillId="3" borderId="13" xfId="22" applyNumberFormat="1" applyFill="1" applyBorder="1" applyAlignment="1">
      <alignment horizontal="center" vertical="center" wrapText="1"/>
    </xf>
    <xf numFmtId="0" fontId="70" fillId="3" borderId="3" xfId="22" applyFill="1" applyBorder="1" applyAlignment="1">
      <alignment horizontal="center" vertical="center"/>
    </xf>
    <xf numFmtId="0" fontId="70" fillId="0" borderId="3" xfId="22" applyBorder="1" applyAlignment="1">
      <alignment horizontal="center" vertical="center"/>
    </xf>
    <xf numFmtId="0" fontId="3" fillId="0" borderId="3" xfId="9" applyFont="1" applyFill="1" applyBorder="1" applyAlignment="1" applyProtection="1">
      <alignment horizontal="justify" vertical="center" wrapText="1"/>
      <protection locked="0"/>
    </xf>
    <xf numFmtId="0" fontId="4" fillId="0" borderId="3" xfId="9" applyFont="1" applyFill="1" applyBorder="1" applyAlignment="1">
      <alignment horizontal="justify" vertical="center" wrapText="1"/>
    </xf>
    <xf numFmtId="0" fontId="53" fillId="0" borderId="3" xfId="9" applyFont="1" applyFill="1" applyBorder="1" applyAlignment="1">
      <alignment horizontal="justify" vertical="center" wrapText="1"/>
    </xf>
    <xf numFmtId="0" fontId="10" fillId="0" borderId="14" xfId="22" applyFont="1" applyBorder="1" applyAlignment="1">
      <alignment horizontal="center" vertical="top" wrapText="1"/>
    </xf>
    <xf numFmtId="0" fontId="10" fillId="0" borderId="13" xfId="22" applyFont="1" applyBorder="1" applyAlignment="1">
      <alignment horizontal="center" vertical="top" wrapText="1"/>
    </xf>
    <xf numFmtId="0" fontId="10" fillId="0" borderId="15" xfId="22" applyFont="1" applyBorder="1" applyAlignment="1">
      <alignment horizontal="center" vertical="top" wrapText="1"/>
    </xf>
    <xf numFmtId="0" fontId="10" fillId="0" borderId="10" xfId="22" applyFont="1" applyBorder="1" applyAlignment="1">
      <alignment horizontal="center" vertical="top" wrapText="1"/>
    </xf>
    <xf numFmtId="0" fontId="10" fillId="0" borderId="0" xfId="22" applyFont="1" applyBorder="1" applyAlignment="1">
      <alignment horizontal="center" vertical="top" wrapText="1"/>
    </xf>
    <xf numFmtId="0" fontId="10" fillId="0" borderId="11" xfId="22" applyFont="1" applyBorder="1" applyAlignment="1">
      <alignment horizontal="center" vertical="top" wrapText="1"/>
    </xf>
    <xf numFmtId="0" fontId="10" fillId="0" borderId="12" xfId="22" applyFont="1" applyBorder="1" applyAlignment="1">
      <alignment horizontal="center" vertical="top" wrapText="1"/>
    </xf>
    <xf numFmtId="0" fontId="10" fillId="0" borderId="4" xfId="22" applyFont="1" applyBorder="1" applyAlignment="1">
      <alignment horizontal="center" vertical="top" wrapText="1"/>
    </xf>
    <xf numFmtId="0" fontId="10" fillId="0" borderId="6" xfId="22" applyFont="1" applyBorder="1" applyAlignment="1">
      <alignment horizontal="center" vertical="top" wrapText="1"/>
    </xf>
    <xf numFmtId="0" fontId="4" fillId="0" borderId="3" xfId="9" applyFont="1" applyFill="1" applyBorder="1" applyAlignment="1" applyProtection="1">
      <alignment horizontal="center" vertical="center" textRotation="90" wrapText="1"/>
      <protection locked="0"/>
    </xf>
    <xf numFmtId="2" fontId="4" fillId="0" borderId="3" xfId="9" applyNumberFormat="1" applyFont="1" applyFill="1" applyBorder="1" applyAlignment="1" applyProtection="1">
      <alignment horizontal="center" vertical="center" textRotation="90" wrapText="1"/>
      <protection locked="0"/>
    </xf>
    <xf numFmtId="0" fontId="4" fillId="0" borderId="3" xfId="9" applyFont="1" applyFill="1" applyBorder="1" applyAlignment="1" applyProtection="1">
      <alignment horizontal="center" vertical="center" wrapText="1"/>
      <protection locked="0"/>
    </xf>
    <xf numFmtId="0" fontId="4" fillId="0" borderId="14" xfId="9" applyFont="1" applyFill="1" applyBorder="1" applyAlignment="1" applyProtection="1">
      <alignment horizontal="justify" vertical="center" wrapText="1"/>
      <protection locked="0"/>
    </xf>
    <xf numFmtId="0" fontId="4" fillId="0" borderId="10" xfId="9" applyFont="1" applyFill="1" applyBorder="1" applyAlignment="1" applyProtection="1">
      <alignment horizontal="justify" vertical="center" wrapText="1"/>
      <protection locked="0"/>
    </xf>
    <xf numFmtId="0" fontId="4" fillId="0" borderId="12" xfId="9" applyFont="1" applyFill="1" applyBorder="1" applyAlignment="1" applyProtection="1">
      <alignment horizontal="justify" vertical="center" wrapText="1"/>
      <protection locked="0"/>
    </xf>
    <xf numFmtId="0" fontId="4" fillId="0" borderId="1" xfId="9" applyFont="1" applyFill="1" applyBorder="1" applyAlignment="1" applyProtection="1">
      <alignment horizontal="center" vertical="center" textRotation="90" wrapText="1"/>
    </xf>
    <xf numFmtId="0" fontId="4" fillId="0" borderId="9" xfId="9" applyFont="1" applyFill="1" applyBorder="1" applyAlignment="1" applyProtection="1">
      <alignment horizontal="center" vertical="center" textRotation="90" wrapText="1"/>
    </xf>
    <xf numFmtId="2" fontId="4" fillId="4" borderId="3" xfId="9" applyNumberFormat="1" applyFont="1" applyFill="1" applyBorder="1" applyAlignment="1" applyProtection="1">
      <alignment horizontal="center" vertical="center" textRotation="90" wrapText="1"/>
      <protection locked="0"/>
    </xf>
    <xf numFmtId="0" fontId="4" fillId="0" borderId="3" xfId="9" applyFont="1" applyFill="1" applyBorder="1" applyAlignment="1" applyProtection="1">
      <alignment horizontal="center" vertical="center" textRotation="90" wrapText="1"/>
    </xf>
    <xf numFmtId="0" fontId="4" fillId="0" borderId="3" xfId="22" applyFont="1" applyFill="1" applyBorder="1" applyAlignment="1" applyProtection="1">
      <alignment horizontal="justify" vertical="center" wrapText="1"/>
      <protection locked="0"/>
    </xf>
    <xf numFmtId="0" fontId="53" fillId="0" borderId="7" xfId="9" applyFont="1" applyFill="1" applyBorder="1" applyAlignment="1" applyProtection="1">
      <alignment horizontal="justify" vertical="center" wrapText="1"/>
      <protection locked="0"/>
    </xf>
    <xf numFmtId="0" fontId="53" fillId="0" borderId="8" xfId="9" applyFont="1" applyFill="1" applyBorder="1" applyAlignment="1" applyProtection="1">
      <alignment horizontal="justify" vertical="center" wrapText="1"/>
      <protection locked="0"/>
    </xf>
    <xf numFmtId="0" fontId="53" fillId="0" borderId="5" xfId="9" applyFont="1" applyFill="1" applyBorder="1" applyAlignment="1" applyProtection="1">
      <alignment horizontal="justify" vertical="center" wrapText="1"/>
      <protection locked="0"/>
    </xf>
    <xf numFmtId="0" fontId="53" fillId="0" borderId="3" xfId="9" applyFont="1" applyFill="1" applyBorder="1" applyAlignment="1" applyProtection="1">
      <alignment horizontal="justify" vertical="center" wrapText="1"/>
      <protection locked="0"/>
    </xf>
    <xf numFmtId="0" fontId="53" fillId="0" borderId="2" xfId="9" applyFont="1" applyFill="1" applyBorder="1" applyAlignment="1" applyProtection="1">
      <alignment horizontal="justify" vertical="center" wrapText="1"/>
      <protection locked="0"/>
    </xf>
    <xf numFmtId="0" fontId="4" fillId="0" borderId="2" xfId="9" applyFont="1" applyFill="1" applyBorder="1" applyAlignment="1" applyProtection="1">
      <alignment horizontal="center" vertical="center" textRotation="90" wrapText="1"/>
    </xf>
    <xf numFmtId="0" fontId="53" fillId="0" borderId="1" xfId="9" applyFont="1" applyFill="1" applyBorder="1" applyAlignment="1" applyProtection="1">
      <alignment horizontal="center" vertical="center" wrapText="1"/>
      <protection locked="0"/>
    </xf>
    <xf numFmtId="0" fontId="53" fillId="0" borderId="9" xfId="9" applyFont="1" applyFill="1" applyBorder="1" applyAlignment="1" applyProtection="1">
      <alignment horizontal="center" vertical="center" wrapText="1"/>
      <protection locked="0"/>
    </xf>
    <xf numFmtId="0" fontId="53" fillId="0" borderId="2" xfId="9" applyFont="1" applyFill="1" applyBorder="1" applyAlignment="1" applyProtection="1">
      <alignment horizontal="center" vertical="center" wrapText="1"/>
      <protection locked="0"/>
    </xf>
    <xf numFmtId="0" fontId="3" fillId="24" borderId="7" xfId="22" applyFont="1" applyFill="1" applyBorder="1" applyAlignment="1">
      <alignment horizontal="justify" vertical="center"/>
    </xf>
    <xf numFmtId="0" fontId="3" fillId="24" borderId="8" xfId="22" applyFont="1" applyFill="1" applyBorder="1" applyAlignment="1">
      <alignment horizontal="justify" vertical="center"/>
    </xf>
    <xf numFmtId="0" fontId="3" fillId="24" borderId="5" xfId="22" applyFont="1" applyFill="1" applyBorder="1" applyAlignment="1">
      <alignment horizontal="justify" vertical="center"/>
    </xf>
    <xf numFmtId="0" fontId="7" fillId="0" borderId="62" xfId="22" applyFont="1" applyBorder="1" applyAlignment="1">
      <alignment horizontal="center" vertical="center" wrapText="1"/>
    </xf>
    <xf numFmtId="0" fontId="7" fillId="0" borderId="66" xfId="22" applyFont="1" applyBorder="1" applyAlignment="1">
      <alignment horizontal="center" vertical="center" wrapText="1"/>
    </xf>
    <xf numFmtId="14" fontId="70" fillId="0" borderId="14" xfId="22" applyNumberFormat="1" applyFont="1" applyFill="1" applyBorder="1" applyAlignment="1">
      <alignment horizontal="center" vertical="center" wrapText="1"/>
    </xf>
    <xf numFmtId="14" fontId="70" fillId="0" borderId="13" xfId="22" applyNumberFormat="1" applyFont="1" applyFill="1" applyBorder="1" applyAlignment="1">
      <alignment horizontal="center" vertical="center" wrapText="1"/>
    </xf>
    <xf numFmtId="0" fontId="70" fillId="0" borderId="15" xfId="22" applyFont="1" applyFill="1" applyBorder="1" applyAlignment="1">
      <alignment horizontal="center" vertical="center" wrapText="1"/>
    </xf>
    <xf numFmtId="0" fontId="70" fillId="0" borderId="12" xfId="22" applyFont="1" applyFill="1" applyBorder="1" applyAlignment="1">
      <alignment horizontal="center" vertical="center" wrapText="1"/>
    </xf>
    <xf numFmtId="0" fontId="70" fillId="0" borderId="4" xfId="22" applyFont="1" applyFill="1" applyBorder="1" applyAlignment="1">
      <alignment horizontal="center" vertical="center" wrapText="1"/>
    </xf>
    <xf numFmtId="0" fontId="70" fillId="0" borderId="6" xfId="22" applyFont="1" applyFill="1" applyBorder="1" applyAlignment="1">
      <alignment horizontal="center" vertical="center" wrapText="1"/>
    </xf>
    <xf numFmtId="0" fontId="70" fillId="0" borderId="3" xfId="22" applyFont="1" applyFill="1" applyBorder="1" applyAlignment="1">
      <alignment horizontal="center"/>
    </xf>
    <xf numFmtId="15" fontId="2" fillId="0" borderId="3" xfId="22" applyNumberFormat="1" applyFont="1" applyFill="1" applyBorder="1" applyAlignment="1">
      <alignment horizontal="center" vertical="center"/>
    </xf>
    <xf numFmtId="0" fontId="2" fillId="0" borderId="3" xfId="22" applyFont="1" applyFill="1" applyBorder="1" applyAlignment="1">
      <alignment horizontal="center" vertical="center"/>
    </xf>
    <xf numFmtId="0" fontId="4" fillId="0" borderId="10" xfId="22" applyFont="1" applyBorder="1" applyAlignment="1" applyProtection="1">
      <alignment horizontal="center" vertical="top" wrapText="1"/>
      <protection locked="0"/>
    </xf>
    <xf numFmtId="0" fontId="4" fillId="0" borderId="0" xfId="22" applyFont="1" applyBorder="1" applyAlignment="1" applyProtection="1">
      <alignment horizontal="center" vertical="top" wrapText="1"/>
      <protection locked="0"/>
    </xf>
    <xf numFmtId="0" fontId="4" fillId="0" borderId="11" xfId="22" applyFont="1" applyBorder="1" applyAlignment="1" applyProtection="1">
      <alignment horizontal="center" vertical="top" wrapText="1"/>
      <protection locked="0"/>
    </xf>
    <xf numFmtId="0" fontId="4" fillId="0" borderId="12" xfId="22" applyFont="1" applyBorder="1" applyAlignment="1" applyProtection="1">
      <alignment horizontal="center" vertical="top" wrapText="1"/>
      <protection locked="0"/>
    </xf>
    <xf numFmtId="0" fontId="4" fillId="0" borderId="4" xfId="22" applyFont="1" applyBorder="1" applyAlignment="1" applyProtection="1">
      <alignment horizontal="center" vertical="top" wrapText="1"/>
      <protection locked="0"/>
    </xf>
    <xf numFmtId="0" fontId="4" fillId="0" borderId="6" xfId="22" applyFont="1" applyBorder="1" applyAlignment="1" applyProtection="1">
      <alignment horizontal="center" vertical="top" wrapText="1"/>
      <protection locked="0"/>
    </xf>
    <xf numFmtId="0" fontId="4" fillId="3" borderId="7" xfId="23" applyFont="1" applyFill="1" applyBorder="1" applyAlignment="1">
      <alignment horizontal="left" vertical="center" wrapText="1"/>
    </xf>
    <xf numFmtId="0" fontId="4" fillId="3" borderId="8" xfId="23" applyFont="1" applyFill="1" applyBorder="1" applyAlignment="1">
      <alignment horizontal="left" vertical="center" wrapText="1"/>
    </xf>
    <xf numFmtId="0" fontId="4" fillId="3" borderId="5" xfId="23" applyFont="1" applyFill="1" applyBorder="1" applyAlignment="1">
      <alignment horizontal="left" vertical="center" wrapText="1"/>
    </xf>
    <xf numFmtId="0" fontId="4" fillId="10" borderId="1" xfId="23" applyFont="1" applyFill="1" applyBorder="1" applyAlignment="1" applyProtection="1">
      <alignment horizontal="center" vertical="center" textRotation="90" wrapText="1"/>
    </xf>
    <xf numFmtId="0" fontId="4" fillId="10" borderId="9" xfId="23" applyFont="1" applyFill="1" applyBorder="1" applyAlignment="1" applyProtection="1">
      <alignment horizontal="center" vertical="center" textRotation="90" wrapText="1"/>
    </xf>
    <xf numFmtId="0" fontId="4" fillId="10" borderId="2" xfId="23" applyFont="1" applyFill="1" applyBorder="1" applyAlignment="1" applyProtection="1">
      <alignment horizontal="center" vertical="center" textRotation="90" wrapText="1"/>
    </xf>
    <xf numFmtId="0" fontId="4" fillId="11" borderId="1" xfId="23" applyFont="1" applyFill="1" applyBorder="1" applyAlignment="1" applyProtection="1">
      <alignment horizontal="center" vertical="center" textRotation="90" wrapText="1"/>
    </xf>
    <xf numFmtId="0" fontId="4" fillId="11" borderId="9" xfId="23" applyFont="1" applyFill="1" applyBorder="1" applyAlignment="1" applyProtection="1">
      <alignment horizontal="center" vertical="center" textRotation="90" wrapText="1"/>
    </xf>
    <xf numFmtId="0" fontId="4" fillId="11" borderId="2" xfId="23" applyFont="1" applyFill="1" applyBorder="1" applyAlignment="1" applyProtection="1">
      <alignment horizontal="center" vertical="center" textRotation="90" wrapText="1"/>
    </xf>
    <xf numFmtId="0" fontId="4" fillId="10" borderId="3" xfId="23" applyFont="1" applyFill="1" applyBorder="1" applyAlignment="1">
      <alignment horizontal="center" vertical="center" textRotation="90" wrapText="1"/>
    </xf>
    <xf numFmtId="0" fontId="3" fillId="3" borderId="3" xfId="23" applyFont="1" applyFill="1" applyBorder="1" applyAlignment="1">
      <alignment horizontal="center" vertical="center" wrapText="1"/>
    </xf>
    <xf numFmtId="0" fontId="27" fillId="10" borderId="1" xfId="23" applyFont="1" applyFill="1" applyBorder="1" applyAlignment="1" applyProtection="1">
      <alignment horizontal="center" vertical="center" textRotation="90" wrapText="1"/>
    </xf>
    <xf numFmtId="0" fontId="27" fillId="10" borderId="9" xfId="23" applyFont="1" applyFill="1" applyBorder="1" applyAlignment="1" applyProtection="1">
      <alignment horizontal="center" vertical="center" textRotation="90" wrapText="1"/>
    </xf>
    <xf numFmtId="0" fontId="27" fillId="10" borderId="2" xfId="23" applyFont="1" applyFill="1" applyBorder="1" applyAlignment="1" applyProtection="1">
      <alignment horizontal="center" vertical="center" textRotation="90" wrapText="1"/>
    </xf>
    <xf numFmtId="0" fontId="4" fillId="3" borderId="1" xfId="23" applyFont="1" applyFill="1" applyBorder="1" applyAlignment="1" applyProtection="1">
      <alignment horizontal="center" vertical="center" textRotation="90" wrapText="1"/>
    </xf>
    <xf numFmtId="0" fontId="4" fillId="3" borderId="9" xfId="23" applyFont="1" applyFill="1" applyBorder="1" applyAlignment="1" applyProtection="1">
      <alignment horizontal="center" vertical="center" textRotation="90" wrapText="1"/>
    </xf>
    <xf numFmtId="0" fontId="4" fillId="3" borderId="14" xfId="23" applyFont="1" applyFill="1" applyBorder="1" applyAlignment="1">
      <alignment horizontal="center" vertical="center" wrapText="1"/>
    </xf>
    <xf numFmtId="0" fontId="4" fillId="3" borderId="10" xfId="23" applyFont="1" applyFill="1" applyBorder="1" applyAlignment="1">
      <alignment horizontal="center" vertical="center" wrapText="1"/>
    </xf>
    <xf numFmtId="0" fontId="4" fillId="10" borderId="1" xfId="23" applyFont="1" applyFill="1" applyBorder="1" applyAlignment="1" applyProtection="1">
      <alignment horizontal="center" vertical="center" textRotation="90" wrapText="1"/>
      <protection locked="0"/>
    </xf>
    <xf numFmtId="0" fontId="4" fillId="10" borderId="9" xfId="23" applyFont="1" applyFill="1" applyBorder="1" applyAlignment="1" applyProtection="1">
      <alignment horizontal="center" vertical="center" textRotation="90" wrapText="1"/>
      <protection locked="0"/>
    </xf>
    <xf numFmtId="0" fontId="4" fillId="10" borderId="2" xfId="23" applyFont="1" applyFill="1" applyBorder="1" applyAlignment="1" applyProtection="1">
      <alignment horizontal="center" vertical="center" textRotation="90" wrapText="1"/>
      <protection locked="0"/>
    </xf>
    <xf numFmtId="0" fontId="3" fillId="3" borderId="14" xfId="23" applyFont="1" applyFill="1" applyBorder="1" applyAlignment="1">
      <alignment horizontal="center" vertical="center" wrapText="1"/>
    </xf>
    <xf numFmtId="0" fontId="3" fillId="3" borderId="13" xfId="23" applyFont="1" applyFill="1" applyBorder="1" applyAlignment="1">
      <alignment horizontal="center" vertical="center" wrapText="1"/>
    </xf>
    <xf numFmtId="0" fontId="3" fillId="3" borderId="15" xfId="23" applyFont="1" applyFill="1" applyBorder="1" applyAlignment="1">
      <alignment horizontal="center" vertical="center" wrapText="1"/>
    </xf>
    <xf numFmtId="0" fontId="3" fillId="3" borderId="10" xfId="23" applyFont="1" applyFill="1" applyBorder="1" applyAlignment="1">
      <alignment horizontal="center" vertical="center" wrapText="1"/>
    </xf>
    <xf numFmtId="0" fontId="3" fillId="3" borderId="0" xfId="23" applyFont="1" applyFill="1" applyBorder="1" applyAlignment="1">
      <alignment horizontal="center" vertical="center" wrapText="1"/>
    </xf>
    <xf numFmtId="0" fontId="3" fillId="3" borderId="11" xfId="23" applyFont="1" applyFill="1" applyBorder="1" applyAlignment="1">
      <alignment horizontal="center" vertical="center" wrapText="1"/>
    </xf>
    <xf numFmtId="0" fontId="3" fillId="3" borderId="12" xfId="23" applyFont="1" applyFill="1" applyBorder="1" applyAlignment="1">
      <alignment horizontal="center" vertical="center" wrapText="1"/>
    </xf>
    <xf numFmtId="0" fontId="3" fillId="3" borderId="4" xfId="23" applyFont="1" applyFill="1" applyBorder="1" applyAlignment="1">
      <alignment horizontal="center" vertical="center" wrapText="1"/>
    </xf>
    <xf numFmtId="0" fontId="3" fillId="3" borderId="6" xfId="23" applyFont="1" applyFill="1" applyBorder="1" applyAlignment="1">
      <alignment horizontal="center" vertical="center" wrapText="1"/>
    </xf>
    <xf numFmtId="0" fontId="4" fillId="3" borderId="13" xfId="23" applyFont="1" applyFill="1" applyBorder="1" applyAlignment="1">
      <alignment horizontal="center" vertical="center" wrapText="1"/>
    </xf>
    <xf numFmtId="0" fontId="4" fillId="3" borderId="15" xfId="23" applyFont="1" applyFill="1" applyBorder="1" applyAlignment="1">
      <alignment horizontal="center" vertical="center" wrapText="1"/>
    </xf>
    <xf numFmtId="0" fontId="4" fillId="3" borderId="0" xfId="23" applyFont="1" applyFill="1" applyBorder="1" applyAlignment="1">
      <alignment horizontal="center" vertical="center" wrapText="1"/>
    </xf>
    <xf numFmtId="0" fontId="4" fillId="3" borderId="11" xfId="23" applyFont="1" applyFill="1" applyBorder="1" applyAlignment="1">
      <alignment horizontal="center" vertical="center" wrapText="1"/>
    </xf>
    <xf numFmtId="0" fontId="3" fillId="0" borderId="10" xfId="23" applyFont="1" applyFill="1" applyBorder="1" applyAlignment="1" applyProtection="1">
      <alignment horizontal="center" vertical="center" wrapText="1"/>
      <protection locked="0"/>
    </xf>
    <xf numFmtId="0" fontId="3" fillId="0" borderId="0" xfId="23" applyFont="1" applyFill="1" applyBorder="1" applyAlignment="1" applyProtection="1">
      <alignment horizontal="center" vertical="center" wrapText="1"/>
      <protection locked="0"/>
    </xf>
    <xf numFmtId="0" fontId="3" fillId="0" borderId="11" xfId="23" applyFont="1" applyFill="1" applyBorder="1" applyAlignment="1" applyProtection="1">
      <alignment horizontal="center" vertical="center" wrapText="1"/>
      <protection locked="0"/>
    </xf>
    <xf numFmtId="0" fontId="3" fillId="0" borderId="12" xfId="23" applyFont="1" applyFill="1" applyBorder="1" applyAlignment="1" applyProtection="1">
      <alignment horizontal="center" vertical="center" wrapText="1"/>
      <protection locked="0"/>
    </xf>
    <xf numFmtId="0" fontId="3" fillId="0" borderId="4" xfId="23" applyFont="1" applyFill="1" applyBorder="1" applyAlignment="1" applyProtection="1">
      <alignment horizontal="center" vertical="center" wrapText="1"/>
      <protection locked="0"/>
    </xf>
    <xf numFmtId="0" fontId="3" fillId="0" borderId="6" xfId="23" applyFont="1" applyFill="1" applyBorder="1" applyAlignment="1" applyProtection="1">
      <alignment horizontal="center" vertical="center" wrapText="1"/>
      <protection locked="0"/>
    </xf>
    <xf numFmtId="0" fontId="4" fillId="0" borderId="1" xfId="23" applyFont="1" applyFill="1" applyBorder="1" applyAlignment="1">
      <alignment horizontal="center" vertical="center"/>
    </xf>
    <xf numFmtId="0" fontId="4" fillId="0" borderId="9" xfId="23" applyFont="1" applyFill="1" applyBorder="1" applyAlignment="1">
      <alignment horizontal="center" vertical="center"/>
    </xf>
    <xf numFmtId="0" fontId="4" fillId="0" borderId="2" xfId="23" applyFont="1" applyFill="1" applyBorder="1" applyAlignment="1">
      <alignment horizontal="center" vertical="center"/>
    </xf>
    <xf numFmtId="9" fontId="4" fillId="0" borderId="1" xfId="27" applyFont="1" applyFill="1" applyBorder="1" applyAlignment="1" applyProtection="1">
      <alignment horizontal="center" vertical="center" wrapText="1"/>
      <protection locked="0"/>
    </xf>
    <xf numFmtId="9" fontId="4" fillId="0" borderId="9" xfId="27" applyFont="1" applyFill="1" applyBorder="1" applyAlignment="1" applyProtection="1">
      <alignment horizontal="center" vertical="center" wrapText="1"/>
      <protection locked="0"/>
    </xf>
    <xf numFmtId="9" fontId="4" fillId="0" borderId="2" xfId="27" applyFont="1" applyFill="1" applyBorder="1" applyAlignment="1" applyProtection="1">
      <alignment horizontal="center" vertical="center" wrapText="1"/>
      <protection locked="0"/>
    </xf>
    <xf numFmtId="0" fontId="4" fillId="0" borderId="3" xfId="23" applyFont="1" applyFill="1" applyBorder="1" applyAlignment="1">
      <alignment horizontal="justify" vertical="center"/>
    </xf>
    <xf numFmtId="0" fontId="78" fillId="48" borderId="0" xfId="22" applyFont="1" applyFill="1" applyAlignment="1">
      <alignment horizontal="center" vertical="center" wrapText="1"/>
    </xf>
    <xf numFmtId="0" fontId="65" fillId="57" borderId="16" xfId="22" applyFont="1" applyFill="1" applyBorder="1" applyAlignment="1">
      <alignment horizontal="center" vertical="center" wrapText="1"/>
    </xf>
    <xf numFmtId="0" fontId="65" fillId="57" borderId="17" xfId="22" applyFont="1" applyFill="1" applyBorder="1" applyAlignment="1">
      <alignment horizontal="center" vertical="center" wrapText="1"/>
    </xf>
    <xf numFmtId="0" fontId="65" fillId="57" borderId="67" xfId="22" applyFont="1" applyFill="1" applyBorder="1" applyAlignment="1">
      <alignment horizontal="center" vertical="center" wrapText="1"/>
    </xf>
    <xf numFmtId="0" fontId="3" fillId="0" borderId="7" xfId="22" applyFont="1" applyFill="1" applyBorder="1" applyAlignment="1" applyProtection="1">
      <alignment horizontal="justify" vertical="center" wrapText="1"/>
      <protection locked="0"/>
    </xf>
    <xf numFmtId="0" fontId="3" fillId="0" borderId="8" xfId="22" applyFont="1" applyFill="1" applyBorder="1" applyAlignment="1" applyProtection="1">
      <alignment horizontal="justify" vertical="center" wrapText="1"/>
      <protection locked="0"/>
    </xf>
    <xf numFmtId="0" fontId="3" fillId="0" borderId="5" xfId="22" applyFont="1" applyFill="1" applyBorder="1" applyAlignment="1" applyProtection="1">
      <alignment horizontal="justify" vertical="center" wrapText="1"/>
      <protection locked="0"/>
    </xf>
    <xf numFmtId="0" fontId="4" fillId="0" borderId="7" xfId="22" applyFont="1" applyFill="1" applyBorder="1" applyAlignment="1" applyProtection="1">
      <alignment horizontal="justify" vertical="center" wrapText="1"/>
      <protection locked="0"/>
    </xf>
    <xf numFmtId="0" fontId="4" fillId="0" borderId="8" xfId="22" applyFont="1" applyFill="1" applyBorder="1" applyAlignment="1" applyProtection="1">
      <alignment horizontal="justify" vertical="center" wrapText="1"/>
      <protection locked="0"/>
    </xf>
    <xf numFmtId="0" fontId="4" fillId="0" borderId="5" xfId="22" applyFont="1" applyFill="1" applyBorder="1" applyAlignment="1" applyProtection="1">
      <alignment horizontal="justify" vertical="center" wrapText="1"/>
      <protection locked="0"/>
    </xf>
    <xf numFmtId="0" fontId="70" fillId="0" borderId="14" xfId="22" applyBorder="1" applyAlignment="1">
      <alignment horizontal="center" vertical="center" wrapText="1"/>
    </xf>
    <xf numFmtId="0" fontId="70" fillId="0" borderId="13" xfId="22" applyBorder="1" applyAlignment="1">
      <alignment horizontal="center" vertical="center" wrapText="1"/>
    </xf>
    <xf numFmtId="14" fontId="7" fillId="3" borderId="75" xfId="22" applyNumberFormat="1" applyFont="1" applyFill="1" applyBorder="1" applyAlignment="1">
      <alignment horizontal="center" vertical="center"/>
    </xf>
    <xf numFmtId="0" fontId="7" fillId="3" borderId="76" xfId="22" applyFont="1" applyFill="1" applyBorder="1" applyAlignment="1">
      <alignment horizontal="center" vertical="center"/>
    </xf>
    <xf numFmtId="0" fontId="4" fillId="3" borderId="1" xfId="23" applyFont="1" applyFill="1" applyBorder="1" applyAlignment="1" applyProtection="1">
      <alignment horizontal="center" vertical="center" wrapText="1"/>
      <protection locked="0"/>
    </xf>
    <xf numFmtId="0" fontId="4" fillId="3" borderId="9" xfId="23" applyFont="1" applyFill="1" applyBorder="1" applyAlignment="1" applyProtection="1">
      <alignment horizontal="center" vertical="center" wrapText="1"/>
      <protection locked="0"/>
    </xf>
    <xf numFmtId="0" fontId="4" fillId="3" borderId="2" xfId="23" applyFont="1" applyFill="1" applyBorder="1" applyAlignment="1" applyProtection="1">
      <alignment horizontal="center" vertical="center" wrapText="1"/>
      <protection locked="0"/>
    </xf>
    <xf numFmtId="0" fontId="4" fillId="3" borderId="1" xfId="23" applyFont="1" applyFill="1" applyBorder="1" applyAlignment="1" applyProtection="1">
      <alignment horizontal="center" vertical="center" textRotation="90" wrapText="1"/>
      <protection locked="0"/>
    </xf>
    <xf numFmtId="0" fontId="4" fillId="3" borderId="9" xfId="23" applyFont="1" applyFill="1" applyBorder="1" applyAlignment="1" applyProtection="1">
      <alignment horizontal="center" vertical="center" textRotation="90" wrapText="1"/>
      <protection locked="0"/>
    </xf>
    <xf numFmtId="0" fontId="4" fillId="3" borderId="2" xfId="23" applyFont="1" applyFill="1" applyBorder="1" applyAlignment="1" applyProtection="1">
      <alignment horizontal="center" vertical="center" textRotation="90" wrapText="1"/>
      <protection locked="0"/>
    </xf>
    <xf numFmtId="0" fontId="3" fillId="3" borderId="14" xfId="23" applyFont="1" applyFill="1" applyBorder="1" applyAlignment="1" applyProtection="1">
      <alignment horizontal="center" vertical="center" wrapText="1"/>
      <protection locked="0"/>
    </xf>
    <xf numFmtId="0" fontId="3" fillId="3" borderId="13" xfId="23" applyFont="1" applyFill="1" applyBorder="1" applyAlignment="1" applyProtection="1">
      <alignment horizontal="center" vertical="center" wrapText="1"/>
      <protection locked="0"/>
    </xf>
    <xf numFmtId="0" fontId="3" fillId="3" borderId="15" xfId="23" applyFont="1" applyFill="1" applyBorder="1" applyAlignment="1" applyProtection="1">
      <alignment horizontal="center" vertical="center" wrapText="1"/>
      <protection locked="0"/>
    </xf>
    <xf numFmtId="0" fontId="3" fillId="3" borderId="10" xfId="23" applyFont="1" applyFill="1" applyBorder="1" applyAlignment="1" applyProtection="1">
      <alignment horizontal="center" vertical="center" wrapText="1"/>
      <protection locked="0"/>
    </xf>
    <xf numFmtId="0" fontId="3" fillId="3" borderId="0" xfId="23" applyFont="1" applyFill="1" applyBorder="1" applyAlignment="1" applyProtection="1">
      <alignment horizontal="center" vertical="center" wrapText="1"/>
      <protection locked="0"/>
    </xf>
    <xf numFmtId="0" fontId="3" fillId="3" borderId="11" xfId="23" applyFont="1" applyFill="1" applyBorder="1" applyAlignment="1" applyProtection="1">
      <alignment horizontal="center" vertical="center" wrapText="1"/>
      <protection locked="0"/>
    </xf>
    <xf numFmtId="0" fontId="3" fillId="3" borderId="12" xfId="23" applyFont="1" applyFill="1" applyBorder="1" applyAlignment="1" applyProtection="1">
      <alignment horizontal="center" vertical="center" wrapText="1"/>
      <protection locked="0"/>
    </xf>
    <xf numFmtId="0" fontId="3" fillId="3" borderId="4" xfId="23" applyFont="1" applyFill="1" applyBorder="1" applyAlignment="1" applyProtection="1">
      <alignment horizontal="center" vertical="center" wrapText="1"/>
      <protection locked="0"/>
    </xf>
    <xf numFmtId="0" fontId="3" fillId="3" borderId="6" xfId="23" applyFont="1" applyFill="1" applyBorder="1" applyAlignment="1" applyProtection="1">
      <alignment horizontal="center" vertical="center" wrapText="1"/>
      <protection locked="0"/>
    </xf>
    <xf numFmtId="0" fontId="4" fillId="3" borderId="7" xfId="23" applyFont="1" applyFill="1" applyBorder="1" applyAlignment="1" applyProtection="1">
      <alignment horizontal="left" vertical="center" wrapText="1"/>
      <protection locked="0"/>
    </xf>
    <xf numFmtId="0" fontId="4" fillId="3" borderId="8" xfId="23" applyFont="1" applyFill="1" applyBorder="1" applyAlignment="1" applyProtection="1">
      <alignment horizontal="left" vertical="center" wrapText="1"/>
      <protection locked="0"/>
    </xf>
    <xf numFmtId="0" fontId="4" fillId="3" borderId="5" xfId="23" applyFont="1" applyFill="1" applyBorder="1" applyAlignment="1" applyProtection="1">
      <alignment horizontal="left" vertical="center" wrapText="1"/>
      <protection locked="0"/>
    </xf>
    <xf numFmtId="0" fontId="4" fillId="3" borderId="14" xfId="23" applyFont="1" applyFill="1" applyBorder="1" applyAlignment="1" applyProtection="1">
      <alignment horizontal="center" vertical="center" wrapText="1"/>
      <protection locked="0"/>
    </xf>
    <xf numFmtId="0" fontId="4" fillId="3" borderId="13" xfId="23" applyFont="1" applyFill="1" applyBorder="1" applyAlignment="1" applyProtection="1">
      <alignment horizontal="center" vertical="center" wrapText="1"/>
      <protection locked="0"/>
    </xf>
    <xf numFmtId="0" fontId="4" fillId="3" borderId="15" xfId="23" applyFont="1" applyFill="1" applyBorder="1" applyAlignment="1" applyProtection="1">
      <alignment horizontal="center" vertical="center" wrapText="1"/>
      <protection locked="0"/>
    </xf>
    <xf numFmtId="0" fontId="4" fillId="3" borderId="10" xfId="23" applyFont="1" applyFill="1" applyBorder="1" applyAlignment="1" applyProtection="1">
      <alignment horizontal="center" vertical="center" wrapText="1"/>
      <protection locked="0"/>
    </xf>
    <xf numFmtId="0" fontId="4" fillId="3" borderId="0" xfId="23" applyFont="1" applyFill="1" applyBorder="1" applyAlignment="1" applyProtection="1">
      <alignment horizontal="center" vertical="center" wrapText="1"/>
      <protection locked="0"/>
    </xf>
    <xf numFmtId="0" fontId="4" fillId="3" borderId="11" xfId="23" applyFont="1" applyFill="1" applyBorder="1" applyAlignment="1" applyProtection="1">
      <alignment horizontal="center" vertical="center" wrapText="1"/>
      <protection locked="0"/>
    </xf>
    <xf numFmtId="0" fontId="4" fillId="3" borderId="12" xfId="23" applyFont="1" applyFill="1" applyBorder="1" applyAlignment="1" applyProtection="1">
      <alignment horizontal="center" vertical="center" wrapText="1"/>
      <protection locked="0"/>
    </xf>
    <xf numFmtId="0" fontId="4" fillId="3" borderId="4" xfId="23" applyFont="1" applyFill="1" applyBorder="1" applyAlignment="1" applyProtection="1">
      <alignment horizontal="center" vertical="center" wrapText="1"/>
      <protection locked="0"/>
    </xf>
    <xf numFmtId="0" fontId="4" fillId="3" borderId="6" xfId="23" applyFont="1" applyFill="1" applyBorder="1" applyAlignment="1" applyProtection="1">
      <alignment horizontal="center" vertical="center" wrapText="1"/>
      <protection locked="0"/>
    </xf>
    <xf numFmtId="0" fontId="4" fillId="3" borderId="3" xfId="23" applyFont="1" applyFill="1" applyBorder="1" applyAlignment="1" applyProtection="1">
      <alignment horizontal="justify" vertical="center" wrapText="1"/>
      <protection locked="0"/>
    </xf>
    <xf numFmtId="0" fontId="4" fillId="3" borderId="12" xfId="23" applyFont="1" applyFill="1" applyBorder="1" applyAlignment="1">
      <alignment horizontal="center" vertical="center" wrapText="1"/>
    </xf>
    <xf numFmtId="0" fontId="4" fillId="4" borderId="1" xfId="23" applyFont="1" applyFill="1" applyBorder="1" applyAlignment="1">
      <alignment horizontal="center" vertical="center" textRotation="90" wrapText="1"/>
    </xf>
    <xf numFmtId="0" fontId="4" fillId="4" borderId="9" xfId="23" applyFont="1" applyFill="1" applyBorder="1" applyAlignment="1">
      <alignment horizontal="center" vertical="center" textRotation="90" wrapText="1"/>
    </xf>
    <xf numFmtId="0" fontId="4" fillId="4" borderId="2" xfId="23" applyFont="1" applyFill="1" applyBorder="1" applyAlignment="1">
      <alignment horizontal="center" vertical="center" textRotation="90" wrapText="1"/>
    </xf>
    <xf numFmtId="0" fontId="4" fillId="3" borderId="4" xfId="23" applyFont="1" applyFill="1" applyBorder="1" applyAlignment="1">
      <alignment horizontal="center" vertical="center" wrapText="1"/>
    </xf>
    <xf numFmtId="0" fontId="4" fillId="3" borderId="6" xfId="23" applyFont="1" applyFill="1" applyBorder="1" applyAlignment="1">
      <alignment horizontal="center" vertical="center" wrapText="1"/>
    </xf>
    <xf numFmtId="2" fontId="4" fillId="4" borderId="2" xfId="23" applyNumberFormat="1" applyFont="1" applyFill="1" applyBorder="1" applyAlignment="1" applyProtection="1">
      <alignment horizontal="center" vertical="center" textRotation="90" wrapText="1"/>
      <protection locked="0"/>
    </xf>
    <xf numFmtId="0" fontId="3" fillId="0" borderId="7" xfId="9" applyFont="1" applyFill="1" applyBorder="1" applyAlignment="1" applyProtection="1">
      <alignment horizontal="left" vertical="center" wrapText="1"/>
      <protection locked="0"/>
    </xf>
    <xf numFmtId="0" fontId="3" fillId="0" borderId="8" xfId="9" applyFont="1" applyFill="1" applyBorder="1" applyAlignment="1" applyProtection="1">
      <alignment horizontal="left" vertical="center" wrapText="1"/>
      <protection locked="0"/>
    </xf>
    <xf numFmtId="0" fontId="3" fillId="0" borderId="5" xfId="9" applyFont="1" applyFill="1" applyBorder="1" applyAlignment="1" applyProtection="1">
      <alignment horizontal="left" vertical="center" wrapText="1"/>
      <protection locked="0"/>
    </xf>
    <xf numFmtId="0" fontId="4" fillId="0" borderId="1" xfId="23" applyFont="1" applyFill="1" applyBorder="1" applyAlignment="1" applyProtection="1">
      <alignment horizontal="left" vertical="center" textRotation="90" wrapText="1"/>
      <protection locked="0"/>
    </xf>
    <xf numFmtId="0" fontId="4" fillId="0" borderId="2" xfId="23" applyFont="1" applyFill="1" applyBorder="1" applyAlignment="1" applyProtection="1">
      <alignment horizontal="left" vertical="center" textRotation="90" wrapText="1"/>
      <protection locked="0"/>
    </xf>
    <xf numFmtId="0" fontId="27" fillId="0" borderId="1" xfId="22" applyFont="1" applyFill="1" applyBorder="1" applyAlignment="1" applyProtection="1">
      <alignment horizontal="justify" vertical="center" wrapText="1"/>
      <protection locked="0"/>
    </xf>
    <xf numFmtId="0" fontId="27" fillId="0" borderId="2" xfId="22" applyFont="1" applyFill="1" applyBorder="1" applyAlignment="1" applyProtection="1">
      <alignment horizontal="justify" vertical="center" wrapText="1"/>
      <protection locked="0"/>
    </xf>
    <xf numFmtId="0" fontId="4" fillId="0" borderId="1" xfId="23" applyFont="1" applyFill="1" applyBorder="1" applyAlignment="1" applyProtection="1">
      <alignment horizontal="left" vertical="center" wrapText="1"/>
      <protection locked="0"/>
    </xf>
    <xf numFmtId="0" fontId="4" fillId="0" borderId="2" xfId="23" applyFont="1" applyFill="1" applyBorder="1" applyAlignment="1" applyProtection="1">
      <alignment horizontal="left" vertical="center" wrapText="1"/>
      <protection locked="0"/>
    </xf>
    <xf numFmtId="0" fontId="27" fillId="10" borderId="1" xfId="23" applyFont="1" applyFill="1" applyBorder="1" applyAlignment="1" applyProtection="1">
      <alignment horizontal="left" vertical="center" textRotation="90" wrapText="1"/>
    </xf>
    <xf numFmtId="0" fontId="27" fillId="10" borderId="2" xfId="23" applyFont="1" applyFill="1" applyBorder="1" applyAlignment="1" applyProtection="1">
      <alignment horizontal="left" vertical="center" textRotation="90" wrapText="1"/>
    </xf>
    <xf numFmtId="0" fontId="4" fillId="10" borderId="1" xfId="23" applyFont="1" applyFill="1" applyBorder="1" applyAlignment="1" applyProtection="1">
      <alignment horizontal="left" vertical="center" textRotation="90" wrapText="1"/>
    </xf>
    <xf numFmtId="0" fontId="4" fillId="10" borderId="2" xfId="23" applyFont="1" applyFill="1" applyBorder="1" applyAlignment="1" applyProtection="1">
      <alignment horizontal="left" vertical="center" textRotation="90" wrapText="1"/>
    </xf>
    <xf numFmtId="0" fontId="4" fillId="0" borderId="12" xfId="23" applyFont="1" applyFill="1" applyBorder="1" applyAlignment="1" applyProtection="1">
      <alignment horizontal="left" vertical="center" wrapText="1"/>
      <protection locked="0"/>
    </xf>
    <xf numFmtId="0" fontId="4" fillId="0" borderId="4" xfId="23" applyFont="1" applyFill="1" applyBorder="1" applyAlignment="1" applyProtection="1">
      <alignment horizontal="left" vertical="center" wrapText="1"/>
      <protection locked="0"/>
    </xf>
    <xf numFmtId="0" fontId="4" fillId="0" borderId="6" xfId="23" applyFont="1" applyFill="1" applyBorder="1" applyAlignment="1" applyProtection="1">
      <alignment horizontal="left" vertical="center" wrapText="1"/>
      <protection locked="0"/>
    </xf>
    <xf numFmtId="2" fontId="4" fillId="0" borderId="1" xfId="23" applyNumberFormat="1" applyFont="1" applyFill="1" applyBorder="1" applyAlignment="1" applyProtection="1">
      <alignment horizontal="left" vertical="center" textRotation="90" wrapText="1"/>
      <protection locked="0"/>
    </xf>
    <xf numFmtId="2" fontId="4" fillId="0" borderId="2" xfId="23" applyNumberFormat="1" applyFont="1" applyFill="1" applyBorder="1" applyAlignment="1" applyProtection="1">
      <alignment horizontal="left" vertical="center" textRotation="90" wrapText="1"/>
      <protection locked="0"/>
    </xf>
    <xf numFmtId="0" fontId="3" fillId="0" borderId="12" xfId="23" applyFont="1" applyFill="1" applyBorder="1" applyAlignment="1" applyProtection="1">
      <alignment horizontal="left" vertical="center" wrapText="1"/>
      <protection locked="0"/>
    </xf>
    <xf numFmtId="0" fontId="3" fillId="0" borderId="4" xfId="23" applyFont="1" applyFill="1" applyBorder="1" applyAlignment="1" applyProtection="1">
      <alignment horizontal="left" vertical="center" wrapText="1"/>
      <protection locked="0"/>
    </xf>
    <xf numFmtId="0" fontId="3" fillId="0" borderId="6" xfId="23" applyFont="1" applyFill="1" applyBorder="1" applyAlignment="1" applyProtection="1">
      <alignment horizontal="left" vertical="center" wrapText="1"/>
      <protection locked="0"/>
    </xf>
    <xf numFmtId="0" fontId="6" fillId="3" borderId="15" xfId="22" applyFont="1" applyFill="1" applyBorder="1" applyAlignment="1">
      <alignment horizontal="center" vertical="center" wrapText="1"/>
    </xf>
    <xf numFmtId="0" fontId="6" fillId="3" borderId="12" xfId="22" applyFont="1" applyFill="1" applyBorder="1" applyAlignment="1">
      <alignment horizontal="center" vertical="center" wrapText="1"/>
    </xf>
    <xf numFmtId="0" fontId="6" fillId="3" borderId="4" xfId="22" applyFont="1" applyFill="1" applyBorder="1" applyAlignment="1">
      <alignment horizontal="center" vertical="center" wrapText="1"/>
    </xf>
    <xf numFmtId="0" fontId="6" fillId="3" borderId="6" xfId="22" applyFont="1" applyFill="1" applyBorder="1" applyAlignment="1">
      <alignment horizontal="center" vertical="center" wrapText="1"/>
    </xf>
    <xf numFmtId="0" fontId="6" fillId="3" borderId="3" xfId="22" applyFont="1" applyFill="1" applyBorder="1" applyAlignment="1">
      <alignment horizontal="center"/>
    </xf>
    <xf numFmtId="15" fontId="13" fillId="0" borderId="75" xfId="22" applyNumberFormat="1" applyFont="1" applyFill="1" applyBorder="1" applyAlignment="1">
      <alignment horizontal="center" vertical="center"/>
    </xf>
    <xf numFmtId="0" fontId="13" fillId="0" borderId="76" xfId="22" applyFont="1" applyFill="1" applyBorder="1" applyAlignment="1">
      <alignment horizontal="center" vertical="center"/>
    </xf>
    <xf numFmtId="0" fontId="4" fillId="3" borderId="7" xfId="22" applyFont="1" applyFill="1" applyBorder="1" applyAlignment="1" applyProtection="1">
      <alignment horizontal="center" vertical="center"/>
      <protection locked="0"/>
    </xf>
    <xf numFmtId="0" fontId="4" fillId="3" borderId="8" xfId="22" applyFont="1" applyFill="1" applyBorder="1" applyAlignment="1" applyProtection="1">
      <alignment horizontal="center" vertical="center"/>
      <protection locked="0"/>
    </xf>
    <xf numFmtId="0" fontId="4" fillId="3" borderId="5" xfId="22" applyFont="1" applyFill="1" applyBorder="1" applyAlignment="1" applyProtection="1">
      <alignment horizontal="center" vertical="center"/>
      <protection locked="0"/>
    </xf>
    <xf numFmtId="0" fontId="4" fillId="3" borderId="7" xfId="22" applyFont="1" applyFill="1" applyBorder="1" applyAlignment="1" applyProtection="1">
      <alignment horizontal="center" vertical="center" wrapText="1"/>
      <protection locked="0"/>
    </xf>
    <xf numFmtId="0" fontId="3" fillId="3" borderId="3" xfId="23" applyFont="1" applyFill="1" applyBorder="1" applyAlignment="1" applyProtection="1">
      <alignment horizontal="center" vertical="center" wrapText="1"/>
      <protection locked="0"/>
    </xf>
    <xf numFmtId="0" fontId="4" fillId="10" borderId="3" xfId="22" applyFont="1" applyFill="1" applyBorder="1" applyAlignment="1">
      <alignment horizontal="center" vertical="center" wrapText="1"/>
    </xf>
    <xf numFmtId="0" fontId="28" fillId="3" borderId="3" xfId="23" applyFont="1" applyFill="1" applyBorder="1" applyAlignment="1" applyProtection="1">
      <alignment horizontal="center" vertical="center" wrapText="1"/>
      <protection locked="0"/>
    </xf>
    <xf numFmtId="0" fontId="3" fillId="10" borderId="3" xfId="22" applyFont="1" applyFill="1" applyBorder="1" applyAlignment="1">
      <alignment horizontal="center" vertical="center" wrapText="1"/>
    </xf>
    <xf numFmtId="0" fontId="3" fillId="10" borderId="15" xfId="22" applyFont="1" applyFill="1" applyBorder="1" applyAlignment="1">
      <alignment horizontal="center" vertical="center" wrapText="1"/>
    </xf>
    <xf numFmtId="0" fontId="3" fillId="10" borderId="6" xfId="22" applyFont="1" applyFill="1" applyBorder="1" applyAlignment="1">
      <alignment horizontal="center" vertical="center" wrapText="1"/>
    </xf>
    <xf numFmtId="0" fontId="3" fillId="10" borderId="1" xfId="22" applyFont="1" applyFill="1" applyBorder="1" applyAlignment="1">
      <alignment horizontal="center" vertical="center" wrapText="1"/>
    </xf>
    <xf numFmtId="0" fontId="3" fillId="10" borderId="2" xfId="22" applyFont="1" applyFill="1" applyBorder="1" applyAlignment="1">
      <alignment horizontal="center" vertical="center" wrapText="1"/>
    </xf>
    <xf numFmtId="0" fontId="3" fillId="10" borderId="1" xfId="22" applyFont="1" applyFill="1" applyBorder="1" applyAlignment="1">
      <alignment horizontal="center" vertical="center" textRotation="90" wrapText="1"/>
    </xf>
    <xf numFmtId="0" fontId="3" fillId="10" borderId="2" xfId="22" applyFont="1" applyFill="1" applyBorder="1" applyAlignment="1">
      <alignment horizontal="center" vertical="center" textRotation="90" wrapText="1"/>
    </xf>
    <xf numFmtId="49" fontId="3" fillId="10" borderId="3" xfId="22" applyNumberFormat="1" applyFont="1" applyFill="1" applyBorder="1" applyAlignment="1">
      <alignment horizontal="center" vertical="center" wrapText="1"/>
    </xf>
    <xf numFmtId="0" fontId="3" fillId="10" borderId="3" xfId="22" applyFont="1" applyFill="1" applyBorder="1" applyAlignment="1">
      <alignment horizontal="center" vertical="center" textRotation="90" wrapText="1"/>
    </xf>
    <xf numFmtId="0" fontId="3" fillId="10" borderId="14" xfId="22" applyFont="1" applyFill="1" applyBorder="1" applyAlignment="1">
      <alignment horizontal="center" vertical="center" wrapText="1"/>
    </xf>
    <xf numFmtId="0" fontId="3" fillId="10" borderId="13" xfId="22" applyFont="1" applyFill="1" applyBorder="1" applyAlignment="1">
      <alignment horizontal="center" vertical="center" wrapText="1"/>
    </xf>
    <xf numFmtId="0" fontId="3" fillId="10" borderId="12" xfId="22" applyFont="1" applyFill="1" applyBorder="1" applyAlignment="1">
      <alignment horizontal="center" vertical="center" wrapText="1"/>
    </xf>
    <xf numFmtId="0" fontId="3" fillId="10" borderId="4" xfId="22" applyFont="1" applyFill="1" applyBorder="1" applyAlignment="1">
      <alignment horizontal="center" vertical="center" wrapText="1"/>
    </xf>
    <xf numFmtId="0" fontId="3" fillId="10" borderId="7" xfId="22" applyFont="1" applyFill="1" applyBorder="1" applyAlignment="1">
      <alignment horizontal="center" vertical="center" wrapText="1"/>
    </xf>
    <xf numFmtId="0" fontId="3" fillId="10" borderId="8" xfId="22" applyFont="1" applyFill="1" applyBorder="1" applyAlignment="1">
      <alignment horizontal="center" vertical="center" wrapText="1"/>
    </xf>
    <xf numFmtId="49" fontId="3" fillId="10" borderId="12" xfId="22" applyNumberFormat="1" applyFont="1" applyFill="1" applyBorder="1" applyAlignment="1">
      <alignment horizontal="center" vertical="center" wrapText="1"/>
    </xf>
    <xf numFmtId="49" fontId="3" fillId="10" borderId="4" xfId="22" applyNumberFormat="1" applyFont="1" applyFill="1" applyBorder="1" applyAlignment="1">
      <alignment horizontal="center" vertical="center" wrapText="1"/>
    </xf>
    <xf numFmtId="49" fontId="3" fillId="10" borderId="6" xfId="22" applyNumberFormat="1" applyFont="1" applyFill="1" applyBorder="1" applyAlignment="1">
      <alignment horizontal="center" vertical="center" wrapText="1"/>
    </xf>
    <xf numFmtId="0" fontId="70" fillId="0" borderId="3" xfId="22" applyBorder="1" applyAlignment="1">
      <alignment horizontal="center" wrapText="1"/>
    </xf>
    <xf numFmtId="0" fontId="4" fillId="3" borderId="7" xfId="23" applyFont="1" applyFill="1" applyBorder="1" applyAlignment="1" applyProtection="1">
      <alignment horizontal="center" vertical="center"/>
      <protection locked="0"/>
    </xf>
    <xf numFmtId="0" fontId="4" fillId="3" borderId="8" xfId="23" applyFont="1" applyFill="1" applyBorder="1" applyAlignment="1" applyProtection="1">
      <alignment horizontal="center" vertical="center"/>
      <protection locked="0"/>
    </xf>
    <xf numFmtId="0" fontId="4" fillId="3" borderId="5" xfId="23" applyFont="1" applyFill="1" applyBorder="1" applyAlignment="1" applyProtection="1">
      <alignment horizontal="center" vertical="center"/>
      <protection locked="0"/>
    </xf>
    <xf numFmtId="0" fontId="4" fillId="3" borderId="7" xfId="23" applyFont="1" applyFill="1" applyBorder="1" applyAlignment="1" applyProtection="1">
      <alignment horizontal="center" vertical="center" wrapText="1"/>
      <protection locked="0"/>
    </xf>
    <xf numFmtId="15" fontId="70" fillId="0" borderId="1" xfId="22" applyNumberFormat="1" applyFont="1" applyFill="1" applyBorder="1" applyAlignment="1" applyProtection="1">
      <alignment horizontal="center" vertical="center"/>
      <protection locked="0"/>
    </xf>
    <xf numFmtId="15" fontId="70" fillId="0" borderId="9" xfId="22" applyNumberFormat="1" applyFont="1" applyFill="1" applyBorder="1" applyAlignment="1" applyProtection="1">
      <alignment horizontal="center" vertical="center"/>
      <protection locked="0"/>
    </xf>
    <xf numFmtId="15" fontId="70" fillId="0" borderId="2" xfId="22" applyNumberFormat="1" applyFont="1" applyFill="1" applyBorder="1" applyAlignment="1" applyProtection="1">
      <alignment horizontal="center" vertical="center"/>
      <protection locked="0"/>
    </xf>
    <xf numFmtId="0" fontId="4" fillId="3" borderId="7" xfId="23" applyFont="1" applyFill="1" applyBorder="1" applyAlignment="1">
      <alignment horizontal="justify" vertical="center" wrapText="1"/>
    </xf>
    <xf numFmtId="0" fontId="4" fillId="3" borderId="8" xfId="23" applyFont="1" applyFill="1" applyBorder="1" applyAlignment="1">
      <alignment horizontal="justify" vertical="center" wrapText="1"/>
    </xf>
    <xf numFmtId="0" fontId="4" fillId="3" borderId="5" xfId="23" applyFont="1" applyFill="1" applyBorder="1" applyAlignment="1">
      <alignment horizontal="justify" vertical="center" wrapText="1"/>
    </xf>
    <xf numFmtId="0" fontId="4" fillId="0" borderId="1" xfId="23" applyFont="1" applyFill="1" applyBorder="1" applyAlignment="1" applyProtection="1">
      <alignment vertical="center" wrapText="1"/>
      <protection locked="0"/>
    </xf>
    <xf numFmtId="0" fontId="4" fillId="0" borderId="9" xfId="23" applyFont="1" applyFill="1" applyBorder="1" applyAlignment="1" applyProtection="1">
      <alignment vertical="center" wrapText="1"/>
      <protection locked="0"/>
    </xf>
    <xf numFmtId="0" fontId="4" fillId="0" borderId="2" xfId="23" applyFont="1" applyFill="1" applyBorder="1" applyAlignment="1" applyProtection="1">
      <alignment vertical="center" wrapText="1"/>
      <protection locked="0"/>
    </xf>
    <xf numFmtId="0" fontId="4" fillId="3" borderId="3" xfId="14" applyFont="1" applyFill="1" applyBorder="1" applyAlignment="1">
      <alignment horizontal="left" vertical="center" wrapText="1"/>
    </xf>
    <xf numFmtId="9" fontId="4" fillId="0" borderId="1" xfId="25" applyFont="1" applyFill="1" applyBorder="1" applyAlignment="1" applyProtection="1">
      <alignment horizontal="center" vertical="center" wrapText="1"/>
      <protection locked="0"/>
    </xf>
    <xf numFmtId="9" fontId="4" fillId="0" borderId="9" xfId="25" applyFont="1" applyFill="1" applyBorder="1" applyAlignment="1" applyProtection="1">
      <alignment horizontal="center" vertical="center" wrapText="1"/>
      <protection locked="0"/>
    </xf>
    <xf numFmtId="9" fontId="4" fillId="0" borderId="2" xfId="25" applyFont="1" applyFill="1" applyBorder="1" applyAlignment="1" applyProtection="1">
      <alignment horizontal="center" vertical="center" wrapText="1"/>
      <protection locked="0"/>
    </xf>
    <xf numFmtId="2" fontId="4" fillId="3" borderId="1" xfId="23" applyNumberFormat="1" applyFont="1" applyFill="1" applyBorder="1" applyAlignment="1" applyProtection="1">
      <alignment horizontal="center" vertical="center" textRotation="90" wrapText="1"/>
      <protection locked="0"/>
    </xf>
    <xf numFmtId="2" fontId="4" fillId="3" borderId="9" xfId="23" applyNumberFormat="1" applyFont="1" applyFill="1" applyBorder="1" applyAlignment="1" applyProtection="1">
      <alignment horizontal="center" vertical="center" textRotation="90" wrapText="1"/>
      <protection locked="0"/>
    </xf>
    <xf numFmtId="2" fontId="4" fillId="3" borderId="2" xfId="23" applyNumberFormat="1" applyFont="1" applyFill="1" applyBorder="1" applyAlignment="1" applyProtection="1">
      <alignment horizontal="center" vertical="center" textRotation="90" wrapText="1"/>
      <protection locked="0"/>
    </xf>
    <xf numFmtId="0" fontId="4" fillId="3" borderId="7" xfId="14" applyFont="1" applyFill="1" applyBorder="1" applyAlignment="1">
      <alignment horizontal="justify" vertical="center" wrapText="1"/>
    </xf>
    <xf numFmtId="0" fontId="4" fillId="3" borderId="8" xfId="14" applyFont="1" applyFill="1" applyBorder="1" applyAlignment="1">
      <alignment horizontal="justify" vertical="center" wrapText="1"/>
    </xf>
    <xf numFmtId="0" fontId="4" fillId="3" borderId="5" xfId="14" applyFont="1" applyFill="1" applyBorder="1" applyAlignment="1">
      <alignment horizontal="justify" vertical="center" wrapText="1"/>
    </xf>
    <xf numFmtId="0" fontId="70" fillId="0" borderId="1" xfId="22" applyFont="1" applyFill="1" applyBorder="1" applyAlignment="1">
      <alignment horizontal="center"/>
    </xf>
    <xf numFmtId="0" fontId="70" fillId="0" borderId="9" xfId="22" applyFont="1" applyFill="1" applyBorder="1" applyAlignment="1">
      <alignment horizontal="center"/>
    </xf>
    <xf numFmtId="0" fontId="70" fillId="0" borderId="2" xfId="22" applyFont="1" applyFill="1" applyBorder="1" applyAlignment="1">
      <alignment horizontal="center"/>
    </xf>
    <xf numFmtId="0" fontId="4" fillId="0" borderId="9" xfId="22" applyNumberFormat="1" applyFont="1" applyFill="1" applyBorder="1" applyAlignment="1" applyProtection="1">
      <alignment horizontal="center" vertical="center" wrapText="1"/>
      <protection locked="0"/>
    </xf>
    <xf numFmtId="0" fontId="4" fillId="0" borderId="2" xfId="22" applyNumberFormat="1" applyFont="1" applyFill="1" applyBorder="1" applyAlignment="1" applyProtection="1">
      <alignment horizontal="center" vertical="center" wrapText="1"/>
      <protection locked="0"/>
    </xf>
    <xf numFmtId="0" fontId="3" fillId="0" borderId="1" xfId="22" applyFont="1" applyFill="1" applyBorder="1" applyAlignment="1">
      <alignment horizontal="center" vertical="top" wrapText="1"/>
    </xf>
    <xf numFmtId="0" fontId="3" fillId="0" borderId="2" xfId="22" applyFont="1" applyFill="1" applyBorder="1" applyAlignment="1">
      <alignment horizontal="center" vertical="top" wrapText="1"/>
    </xf>
    <xf numFmtId="0" fontId="18" fillId="4" borderId="0" xfId="22" applyFont="1" applyFill="1" applyAlignment="1">
      <alignment horizontal="center" vertical="center" wrapText="1"/>
    </xf>
    <xf numFmtId="15" fontId="70" fillId="3" borderId="14" xfId="22" applyNumberFormat="1" applyFont="1" applyFill="1" applyBorder="1" applyAlignment="1">
      <alignment horizontal="center" vertical="center" wrapText="1"/>
    </xf>
    <xf numFmtId="15" fontId="70" fillId="3" borderId="13" xfId="22" applyNumberFormat="1" applyFont="1" applyFill="1" applyBorder="1" applyAlignment="1">
      <alignment horizontal="center" vertical="center" wrapText="1"/>
    </xf>
    <xf numFmtId="0" fontId="70" fillId="3" borderId="15" xfId="22" applyFont="1" applyFill="1" applyBorder="1" applyAlignment="1">
      <alignment horizontal="center" vertical="center" wrapText="1"/>
    </xf>
    <xf numFmtId="0" fontId="70" fillId="3" borderId="12" xfId="22" applyFont="1" applyFill="1" applyBorder="1" applyAlignment="1">
      <alignment horizontal="center" vertical="center" wrapText="1"/>
    </xf>
    <xf numFmtId="0" fontId="70" fillId="3" borderId="4" xfId="22" applyFont="1" applyFill="1" applyBorder="1" applyAlignment="1">
      <alignment horizontal="center" vertical="center" wrapText="1"/>
    </xf>
    <xf numFmtId="0" fontId="70" fillId="3" borderId="6" xfId="22" applyFont="1" applyFill="1" applyBorder="1" applyAlignment="1">
      <alignment horizontal="center" vertical="center" wrapText="1"/>
    </xf>
    <xf numFmtId="0" fontId="4" fillId="3" borderId="1" xfId="14" applyFont="1" applyFill="1" applyBorder="1" applyAlignment="1">
      <alignment horizontal="center" vertical="center" wrapText="1"/>
    </xf>
    <xf numFmtId="0" fontId="4" fillId="3" borderId="9" xfId="14" applyFont="1" applyFill="1" applyBorder="1" applyAlignment="1">
      <alignment horizontal="center" vertical="center" wrapText="1"/>
    </xf>
    <xf numFmtId="0" fontId="4" fillId="3" borderId="2" xfId="14" applyFont="1" applyFill="1" applyBorder="1" applyAlignment="1">
      <alignment horizontal="center" vertical="center" wrapText="1"/>
    </xf>
    <xf numFmtId="0" fontId="70" fillId="3" borderId="3" xfId="22" applyFont="1" applyFill="1" applyBorder="1" applyAlignment="1">
      <alignment horizontal="center"/>
    </xf>
    <xf numFmtId="0" fontId="7" fillId="3" borderId="3" xfId="0" applyFont="1" applyFill="1" applyBorder="1" applyAlignment="1">
      <alignment horizontal="center" vertical="center"/>
    </xf>
    <xf numFmtId="0" fontId="4" fillId="0" borderId="0" xfId="22" applyFont="1" applyBorder="1" applyAlignment="1" applyProtection="1">
      <alignment horizontal="left" vertical="top"/>
      <protection locked="0"/>
    </xf>
    <xf numFmtId="0" fontId="4" fillId="0" borderId="11" xfId="22" applyFont="1" applyBorder="1" applyAlignment="1" applyProtection="1">
      <alignment horizontal="left" vertical="top"/>
      <protection locked="0"/>
    </xf>
    <xf numFmtId="0" fontId="4" fillId="0" borderId="10" xfId="22" applyFont="1" applyBorder="1" applyAlignment="1" applyProtection="1">
      <alignment horizontal="left" vertical="top"/>
      <protection locked="0"/>
    </xf>
    <xf numFmtId="0" fontId="4" fillId="0" borderId="12" xfId="22" applyFont="1" applyBorder="1" applyAlignment="1" applyProtection="1">
      <alignment horizontal="left" vertical="top"/>
      <protection locked="0"/>
    </xf>
    <xf numFmtId="0" fontId="4" fillId="0" borderId="4" xfId="22" applyFont="1" applyBorder="1" applyAlignment="1" applyProtection="1">
      <alignment horizontal="left" vertical="top"/>
      <protection locked="0"/>
    </xf>
    <xf numFmtId="0" fontId="4" fillId="0" borderId="6" xfId="22" applyFont="1" applyBorder="1" applyAlignment="1" applyProtection="1">
      <alignment horizontal="left" vertical="top"/>
      <protection locked="0"/>
    </xf>
    <xf numFmtId="0" fontId="4" fillId="0" borderId="3" xfId="23" applyFont="1" applyFill="1" applyBorder="1" applyAlignment="1" applyProtection="1">
      <alignment horizontal="left" vertical="center"/>
      <protection locked="0"/>
    </xf>
    <xf numFmtId="9" fontId="4" fillId="3" borderId="1" xfId="22" applyNumberFormat="1" applyFont="1" applyFill="1" applyBorder="1" applyAlignment="1" applyProtection="1">
      <alignment horizontal="center" vertical="center" wrapText="1"/>
      <protection locked="0"/>
    </xf>
    <xf numFmtId="9" fontId="4" fillId="3" borderId="9" xfId="22" applyNumberFormat="1" applyFont="1" applyFill="1" applyBorder="1" applyAlignment="1" applyProtection="1">
      <alignment horizontal="center" vertical="center" wrapText="1"/>
      <protection locked="0"/>
    </xf>
    <xf numFmtId="9" fontId="4" fillId="3" borderId="2" xfId="22" applyNumberFormat="1" applyFont="1" applyFill="1" applyBorder="1" applyAlignment="1" applyProtection="1">
      <alignment horizontal="center" vertical="center" wrapText="1"/>
      <protection locked="0"/>
    </xf>
    <xf numFmtId="0" fontId="27" fillId="10" borderId="3" xfId="23" applyFont="1" applyFill="1" applyBorder="1" applyAlignment="1" applyProtection="1">
      <alignment horizontal="center" vertical="center" textRotation="90" wrapText="1"/>
    </xf>
    <xf numFmtId="1" fontId="4" fillId="11" borderId="3" xfId="23" applyNumberFormat="1" applyFont="1" applyFill="1" applyBorder="1" applyAlignment="1">
      <alignment horizontal="center" vertical="center" wrapText="1"/>
    </xf>
    <xf numFmtId="12" fontId="4" fillId="0" borderId="1" xfId="22" applyNumberFormat="1" applyFont="1" applyFill="1" applyBorder="1" applyAlignment="1" applyProtection="1">
      <alignment horizontal="center" vertical="center" wrapText="1"/>
      <protection locked="0"/>
    </xf>
    <xf numFmtId="12" fontId="4" fillId="0" borderId="9" xfId="22" applyNumberFormat="1" applyFont="1" applyFill="1" applyBorder="1" applyAlignment="1" applyProtection="1">
      <alignment horizontal="center" vertical="center" wrapText="1"/>
      <protection locked="0"/>
    </xf>
    <xf numFmtId="12" fontId="4" fillId="0" borderId="2" xfId="22" applyNumberFormat="1" applyFont="1" applyFill="1" applyBorder="1" applyAlignment="1" applyProtection="1">
      <alignment horizontal="center" vertical="center" wrapText="1"/>
      <protection locked="0"/>
    </xf>
    <xf numFmtId="0" fontId="4" fillId="11" borderId="3" xfId="23" applyFont="1" applyFill="1" applyBorder="1" applyAlignment="1" applyProtection="1">
      <alignment horizontal="center" vertical="center" wrapText="1"/>
    </xf>
    <xf numFmtId="0" fontId="27" fillId="11" borderId="3" xfId="23" applyFont="1" applyFill="1" applyBorder="1" applyAlignment="1" applyProtection="1">
      <alignment horizontal="center" vertical="center" wrapText="1"/>
    </xf>
    <xf numFmtId="0" fontId="4" fillId="3" borderId="3" xfId="23" applyFont="1" applyFill="1" applyBorder="1" applyAlignment="1" applyProtection="1">
      <alignment horizontal="center" vertical="center" wrapText="1"/>
    </xf>
    <xf numFmtId="0" fontId="32" fillId="0" borderId="3" xfId="23" applyFont="1" applyFill="1" applyBorder="1" applyAlignment="1" applyProtection="1">
      <alignment horizontal="center" vertical="center" wrapText="1"/>
      <protection locked="0"/>
    </xf>
    <xf numFmtId="12" fontId="4" fillId="0" borderId="3" xfId="22" applyNumberFormat="1" applyFont="1" applyFill="1" applyBorder="1" applyAlignment="1" applyProtection="1">
      <alignment horizontal="center" vertical="center" wrapText="1"/>
      <protection locked="0"/>
    </xf>
    <xf numFmtId="0" fontId="4" fillId="3" borderId="3" xfId="23" applyFont="1" applyFill="1" applyBorder="1" applyAlignment="1" applyProtection="1">
      <alignment horizontal="left" vertical="center" wrapText="1"/>
      <protection locked="0"/>
    </xf>
    <xf numFmtId="9" fontId="4" fillId="0" borderId="1" xfId="22" applyNumberFormat="1" applyFont="1" applyFill="1" applyBorder="1" applyAlignment="1" applyProtection="1">
      <alignment horizontal="left" vertical="center" wrapText="1"/>
      <protection locked="0"/>
    </xf>
    <xf numFmtId="9" fontId="4" fillId="0" borderId="9" xfId="22" applyNumberFormat="1" applyFont="1" applyFill="1" applyBorder="1" applyAlignment="1" applyProtection="1">
      <alignment horizontal="left" vertical="center" wrapText="1"/>
      <protection locked="0"/>
    </xf>
    <xf numFmtId="9" fontId="4" fillId="0" borderId="2" xfId="22" applyNumberFormat="1" applyFont="1" applyFill="1" applyBorder="1" applyAlignment="1" applyProtection="1">
      <alignment horizontal="left" vertical="center" wrapText="1"/>
      <protection locked="0"/>
    </xf>
    <xf numFmtId="14" fontId="4" fillId="0" borderId="1" xfId="22" applyNumberFormat="1" applyFont="1" applyFill="1" applyBorder="1" applyAlignment="1" applyProtection="1">
      <alignment horizontal="center" vertical="center" wrapText="1"/>
      <protection locked="0"/>
    </xf>
    <xf numFmtId="12" fontId="4" fillId="3" borderId="1" xfId="22" applyNumberFormat="1" applyFont="1" applyFill="1" applyBorder="1" applyAlignment="1" applyProtection="1">
      <alignment horizontal="center" vertical="center" wrapText="1"/>
      <protection locked="0"/>
    </xf>
    <xf numFmtId="12" fontId="4" fillId="3" borderId="9" xfId="22" applyNumberFormat="1" applyFont="1" applyFill="1" applyBorder="1" applyAlignment="1" applyProtection="1">
      <alignment horizontal="center" vertical="center" wrapText="1"/>
      <protection locked="0"/>
    </xf>
    <xf numFmtId="12" fontId="4" fillId="3" borderId="2" xfId="22" applyNumberFormat="1" applyFont="1" applyFill="1" applyBorder="1" applyAlignment="1" applyProtection="1">
      <alignment horizontal="center" vertical="center" wrapText="1"/>
      <protection locked="0"/>
    </xf>
    <xf numFmtId="12" fontId="4" fillId="0" borderId="1" xfId="29" applyNumberFormat="1" applyFont="1" applyFill="1" applyBorder="1" applyAlignment="1" applyProtection="1">
      <alignment horizontal="center" vertical="center" wrapText="1"/>
      <protection locked="0"/>
    </xf>
    <xf numFmtId="12" fontId="4" fillId="0" borderId="9" xfId="29" applyNumberFormat="1" applyFont="1" applyFill="1" applyBorder="1" applyAlignment="1" applyProtection="1">
      <alignment horizontal="center" vertical="center" wrapText="1"/>
      <protection locked="0"/>
    </xf>
    <xf numFmtId="12" fontId="4" fillId="0" borderId="2" xfId="29" applyNumberFormat="1" applyFont="1" applyFill="1" applyBorder="1" applyAlignment="1" applyProtection="1">
      <alignment horizontal="center" vertical="center" wrapText="1"/>
      <protection locked="0"/>
    </xf>
    <xf numFmtId="0" fontId="4" fillId="3" borderId="3" xfId="22" applyFont="1" applyFill="1" applyBorder="1" applyAlignment="1">
      <alignment horizontal="center" vertical="center" wrapText="1"/>
    </xf>
    <xf numFmtId="14" fontId="7" fillId="0" borderId="75" xfId="22" applyNumberFormat="1" applyFont="1" applyFill="1" applyBorder="1" applyAlignment="1">
      <alignment horizontal="center" vertical="center"/>
    </xf>
    <xf numFmtId="0" fontId="84" fillId="3" borderId="0" xfId="22" applyFont="1" applyFill="1" applyAlignment="1">
      <alignment horizontal="center" vertical="center" wrapText="1"/>
    </xf>
    <xf numFmtId="14" fontId="24" fillId="3" borderId="14" xfId="28" applyNumberFormat="1" applyFont="1" applyFill="1" applyBorder="1" applyAlignment="1">
      <alignment horizontal="center" vertical="center" wrapText="1"/>
    </xf>
    <xf numFmtId="14" fontId="24" fillId="3" borderId="13" xfId="28" applyNumberFormat="1" applyFont="1" applyFill="1" applyBorder="1" applyAlignment="1">
      <alignment horizontal="center" vertical="center" wrapText="1"/>
    </xf>
    <xf numFmtId="0" fontId="24" fillId="3" borderId="15" xfId="28" applyFont="1" applyFill="1" applyBorder="1" applyAlignment="1">
      <alignment horizontal="center" vertical="center" wrapText="1"/>
    </xf>
    <xf numFmtId="0" fontId="24" fillId="3" borderId="12" xfId="28" applyFont="1" applyFill="1" applyBorder="1" applyAlignment="1">
      <alignment horizontal="center" vertical="center" wrapText="1"/>
    </xf>
    <xf numFmtId="0" fontId="24" fillId="3" borderId="4" xfId="28" applyFont="1" applyFill="1" applyBorder="1" applyAlignment="1">
      <alignment horizontal="center" vertical="center" wrapText="1"/>
    </xf>
    <xf numFmtId="0" fontId="24" fillId="3" borderId="6" xfId="28" applyFont="1" applyFill="1" applyBorder="1" applyAlignment="1">
      <alignment horizontal="center" vertical="center" wrapText="1"/>
    </xf>
    <xf numFmtId="0" fontId="4" fillId="0" borderId="1" xfId="35" applyNumberFormat="1" applyFont="1" applyFill="1" applyBorder="1" applyAlignment="1">
      <alignment horizontal="center" vertical="center" wrapText="1"/>
    </xf>
    <xf numFmtId="0" fontId="4" fillId="0" borderId="9" xfId="35" applyNumberFormat="1" applyFont="1" applyFill="1" applyBorder="1" applyAlignment="1">
      <alignment horizontal="center" vertical="center" wrapText="1"/>
    </xf>
    <xf numFmtId="0" fontId="4" fillId="0" borderId="2" xfId="35" applyNumberFormat="1" applyFont="1" applyFill="1" applyBorder="1" applyAlignment="1">
      <alignment horizontal="center" vertical="center" wrapText="1"/>
    </xf>
    <xf numFmtId="0" fontId="4" fillId="0" borderId="3" xfId="18" applyFont="1" applyFill="1" applyBorder="1" applyAlignment="1" applyProtection="1">
      <alignment horizontal="justify" vertical="center" wrapText="1"/>
      <protection locked="0"/>
    </xf>
    <xf numFmtId="0" fontId="9" fillId="0" borderId="3" xfId="18" applyFont="1" applyFill="1" applyBorder="1" applyAlignment="1" applyProtection="1">
      <alignment horizontal="left" vertical="center" wrapText="1"/>
      <protection locked="0"/>
    </xf>
    <xf numFmtId="0" fontId="4" fillId="0" borderId="3" xfId="18" applyFont="1" applyFill="1" applyBorder="1" applyAlignment="1" applyProtection="1">
      <alignment horizontal="center" vertical="center" wrapText="1"/>
      <protection locked="0"/>
    </xf>
    <xf numFmtId="0" fontId="4" fillId="3" borderId="3" xfId="18" applyFont="1" applyFill="1" applyBorder="1" applyAlignment="1" applyProtection="1">
      <alignment horizontal="center" vertical="center" textRotation="90" wrapText="1"/>
      <protection locked="0"/>
    </xf>
    <xf numFmtId="0" fontId="3" fillId="0" borderId="3" xfId="18" applyFont="1" applyFill="1" applyBorder="1" applyAlignment="1" applyProtection="1">
      <alignment horizontal="left" vertical="center" wrapText="1"/>
      <protection locked="0"/>
    </xf>
    <xf numFmtId="0" fontId="27" fillId="0" borderId="3" xfId="18" applyNumberFormat="1" applyFont="1" applyFill="1" applyBorder="1" applyAlignment="1">
      <alignment horizontal="justify" vertical="center" wrapText="1"/>
    </xf>
    <xf numFmtId="0" fontId="4" fillId="0" borderId="3" xfId="18" applyFont="1" applyFill="1" applyBorder="1" applyAlignment="1" applyProtection="1">
      <alignment horizontal="left" vertical="center" wrapText="1"/>
      <protection locked="0"/>
    </xf>
    <xf numFmtId="0" fontId="4" fillId="0" borderId="1" xfId="18" applyFont="1" applyFill="1" applyBorder="1" applyAlignment="1" applyProtection="1">
      <alignment horizontal="center" vertical="center" wrapText="1"/>
      <protection locked="0"/>
    </xf>
    <xf numFmtId="0" fontId="4" fillId="0" borderId="9" xfId="18" applyFont="1" applyFill="1" applyBorder="1" applyAlignment="1" applyProtection="1">
      <alignment horizontal="center" vertical="center" wrapText="1"/>
      <protection locked="0"/>
    </xf>
    <xf numFmtId="0" fontId="4" fillId="0" borderId="2" xfId="18" applyFont="1" applyFill="1" applyBorder="1" applyAlignment="1" applyProtection="1">
      <alignment horizontal="center" vertical="center" wrapText="1"/>
      <protection locked="0"/>
    </xf>
    <xf numFmtId="0" fontId="4" fillId="0" borderId="1" xfId="23" applyFont="1" applyBorder="1" applyAlignment="1">
      <alignment horizontal="center" vertical="center" textRotation="90"/>
    </xf>
    <xf numFmtId="0" fontId="4" fillId="0" borderId="9" xfId="23" applyFont="1" applyBorder="1" applyAlignment="1">
      <alignment horizontal="center" vertical="center" textRotation="90"/>
    </xf>
    <xf numFmtId="0" fontId="4" fillId="0" borderId="2" xfId="23" applyFont="1" applyBorder="1" applyAlignment="1">
      <alignment horizontal="center" vertical="center" textRotation="90"/>
    </xf>
    <xf numFmtId="0" fontId="27" fillId="3" borderId="3" xfId="18" applyNumberFormat="1" applyFont="1" applyFill="1" applyBorder="1" applyAlignment="1">
      <alignment horizontal="justify" vertical="center" wrapText="1"/>
    </xf>
    <xf numFmtId="0" fontId="27" fillId="0" borderId="3" xfId="9" applyFont="1" applyFill="1" applyBorder="1" applyAlignment="1">
      <alignment horizontal="justify" vertical="center" wrapText="1"/>
    </xf>
    <xf numFmtId="0" fontId="4" fillId="3" borderId="1" xfId="22" applyFont="1" applyFill="1" applyBorder="1" applyAlignment="1" applyProtection="1">
      <alignment horizontal="left" vertical="center" wrapText="1"/>
      <protection locked="0"/>
    </xf>
    <xf numFmtId="0" fontId="4" fillId="3" borderId="9" xfId="22" applyFont="1" applyFill="1" applyBorder="1" applyAlignment="1" applyProtection="1">
      <alignment horizontal="left" vertical="center" wrapText="1"/>
      <protection locked="0"/>
    </xf>
    <xf numFmtId="0" fontId="4" fillId="3" borderId="2" xfId="22" applyFont="1" applyFill="1" applyBorder="1" applyAlignment="1" applyProtection="1">
      <alignment horizontal="left" vertical="center" wrapText="1"/>
      <protection locked="0"/>
    </xf>
    <xf numFmtId="0" fontId="4" fillId="0" borderId="1" xfId="18" applyFont="1" applyFill="1" applyBorder="1" applyAlignment="1" applyProtection="1">
      <alignment horizontal="justify" vertical="center" wrapText="1"/>
      <protection locked="0"/>
    </xf>
    <xf numFmtId="0" fontId="4" fillId="0" borderId="9" xfId="18" applyFont="1" applyFill="1" applyBorder="1" applyAlignment="1" applyProtection="1">
      <alignment horizontal="justify" vertical="center" wrapText="1"/>
      <protection locked="0"/>
    </xf>
    <xf numFmtId="0" fontId="4" fillId="0" borderId="2" xfId="18" applyFont="1" applyFill="1" applyBorder="1" applyAlignment="1" applyProtection="1">
      <alignment horizontal="justify" vertical="center" wrapText="1"/>
      <protection locked="0"/>
    </xf>
    <xf numFmtId="0" fontId="4" fillId="0" borderId="1" xfId="18" applyFont="1" applyFill="1" applyBorder="1" applyAlignment="1" applyProtection="1">
      <alignment horizontal="left" vertical="center" wrapText="1"/>
      <protection locked="0"/>
    </xf>
    <xf numFmtId="0" fontId="4" fillId="0" borderId="9" xfId="18" applyFont="1" applyFill="1" applyBorder="1" applyAlignment="1" applyProtection="1">
      <alignment horizontal="left" vertical="center" wrapText="1"/>
      <protection locked="0"/>
    </xf>
    <xf numFmtId="0" fontId="4" fillId="0" borderId="2" xfId="18" applyFont="1" applyFill="1" applyBorder="1" applyAlignment="1" applyProtection="1">
      <alignment horizontal="left" vertical="center" wrapText="1"/>
      <protection locked="0"/>
    </xf>
    <xf numFmtId="1" fontId="4" fillId="0" borderId="1" xfId="29" applyNumberFormat="1" applyFont="1" applyFill="1" applyBorder="1" applyAlignment="1" applyProtection="1">
      <alignment horizontal="center" vertical="center" wrapText="1"/>
      <protection locked="0"/>
    </xf>
    <xf numFmtId="1" fontId="4" fillId="0" borderId="9" xfId="29" applyNumberFormat="1" applyFont="1" applyFill="1" applyBorder="1" applyAlignment="1" applyProtection="1">
      <alignment horizontal="center" vertical="center" wrapText="1"/>
      <protection locked="0"/>
    </xf>
    <xf numFmtId="1" fontId="4" fillId="0" borderId="2" xfId="29" applyNumberFormat="1" applyFont="1" applyFill="1" applyBorder="1" applyAlignment="1" applyProtection="1">
      <alignment horizontal="center" vertical="center" wrapText="1"/>
      <protection locked="0"/>
    </xf>
    <xf numFmtId="1" fontId="4" fillId="0" borderId="1" xfId="22" applyNumberFormat="1" applyFont="1" applyFill="1" applyBorder="1" applyAlignment="1" applyProtection="1">
      <alignment horizontal="center" vertical="center" wrapText="1"/>
      <protection locked="0"/>
    </xf>
    <xf numFmtId="1" fontId="4" fillId="0" borderId="9" xfId="22" applyNumberFormat="1" applyFont="1" applyFill="1" applyBorder="1" applyAlignment="1" applyProtection="1">
      <alignment horizontal="center" vertical="center" wrapText="1"/>
      <protection locked="0"/>
    </xf>
    <xf numFmtId="1" fontId="4" fillId="0" borderId="2" xfId="22" applyNumberFormat="1" applyFont="1" applyFill="1" applyBorder="1" applyAlignment="1" applyProtection="1">
      <alignment horizontal="center" vertical="center" wrapText="1"/>
      <protection locked="0"/>
    </xf>
    <xf numFmtId="0" fontId="4" fillId="0" borderId="3" xfId="18" applyFont="1" applyFill="1" applyBorder="1" applyAlignment="1" applyProtection="1">
      <alignment vertical="center" wrapText="1"/>
      <protection locked="0"/>
    </xf>
    <xf numFmtId="0" fontId="4" fillId="0" borderId="3" xfId="18" applyNumberFormat="1" applyFont="1" applyFill="1" applyBorder="1" applyAlignment="1">
      <alignment horizontal="justify" vertical="center" wrapText="1"/>
    </xf>
    <xf numFmtId="0" fontId="33" fillId="0" borderId="3" xfId="18" applyNumberFormat="1" applyFont="1" applyFill="1" applyBorder="1" applyAlignment="1">
      <alignment horizontal="left" vertical="center" wrapText="1"/>
    </xf>
    <xf numFmtId="0" fontId="4" fillId="3" borderId="3" xfId="18" applyFont="1" applyFill="1" applyBorder="1" applyAlignment="1" applyProtection="1">
      <alignment vertical="center" wrapText="1"/>
      <protection locked="0"/>
    </xf>
    <xf numFmtId="0" fontId="27" fillId="3" borderId="3" xfId="18" applyNumberFormat="1" applyFont="1" applyFill="1" applyBorder="1" applyAlignment="1">
      <alignment horizontal="left" vertical="center" wrapText="1"/>
    </xf>
    <xf numFmtId="0" fontId="27" fillId="0" borderId="3" xfId="18" applyNumberFormat="1" applyFont="1" applyFill="1" applyBorder="1" applyAlignment="1">
      <alignment horizontal="left" vertical="center" wrapText="1"/>
    </xf>
    <xf numFmtId="0" fontId="4" fillId="3" borderId="3" xfId="18" applyFont="1" applyFill="1" applyBorder="1" applyAlignment="1" applyProtection="1">
      <alignment horizontal="center" vertical="center" wrapText="1"/>
      <protection locked="0"/>
    </xf>
    <xf numFmtId="0" fontId="3" fillId="3" borderId="3" xfId="18" applyFont="1" applyFill="1" applyBorder="1" applyAlignment="1" applyProtection="1">
      <alignment horizontal="left" vertical="center" wrapText="1"/>
      <protection locked="0"/>
    </xf>
    <xf numFmtId="0" fontId="27" fillId="3" borderId="3" xfId="14" applyNumberFormat="1" applyFont="1" applyFill="1" applyBorder="1" applyAlignment="1">
      <alignment horizontal="justify" vertical="center" wrapText="1"/>
    </xf>
    <xf numFmtId="0" fontId="27" fillId="3" borderId="3" xfId="23" applyFont="1" applyFill="1" applyBorder="1" applyAlignment="1" applyProtection="1">
      <alignment horizontal="center" vertical="center" textRotation="90" wrapText="1"/>
    </xf>
    <xf numFmtId="0" fontId="4" fillId="3" borderId="3" xfId="18" applyFont="1" applyFill="1" applyBorder="1" applyAlignment="1" applyProtection="1">
      <alignment horizontal="justify" vertical="center" wrapText="1"/>
      <protection locked="0"/>
    </xf>
    <xf numFmtId="3" fontId="4" fillId="3" borderId="1" xfId="25" applyNumberFormat="1" applyFont="1" applyFill="1" applyBorder="1" applyAlignment="1" applyProtection="1">
      <alignment horizontal="center" vertical="center" wrapText="1"/>
      <protection locked="0"/>
    </xf>
    <xf numFmtId="3" fontId="4" fillId="3" borderId="9" xfId="25" applyNumberFormat="1" applyFont="1" applyFill="1" applyBorder="1" applyAlignment="1" applyProtection="1">
      <alignment horizontal="center" vertical="center" wrapText="1"/>
      <protection locked="0"/>
    </xf>
    <xf numFmtId="3" fontId="4" fillId="3" borderId="2" xfId="25" applyNumberFormat="1" applyFont="1" applyFill="1" applyBorder="1" applyAlignment="1" applyProtection="1">
      <alignment horizontal="center" vertical="center" wrapText="1"/>
      <protection locked="0"/>
    </xf>
    <xf numFmtId="0" fontId="9" fillId="3" borderId="3" xfId="18" applyFont="1" applyFill="1" applyBorder="1" applyAlignment="1" applyProtection="1">
      <alignment horizontal="left" vertical="center" wrapText="1"/>
      <protection locked="0"/>
    </xf>
    <xf numFmtId="3" fontId="4" fillId="3" borderId="1" xfId="22" applyNumberFormat="1" applyFont="1" applyFill="1" applyBorder="1" applyAlignment="1" applyProtection="1">
      <alignment horizontal="center" vertical="center" wrapText="1"/>
      <protection locked="0"/>
    </xf>
    <xf numFmtId="3" fontId="4" fillId="3" borderId="9" xfId="22" applyNumberFormat="1" applyFont="1" applyFill="1" applyBorder="1" applyAlignment="1" applyProtection="1">
      <alignment horizontal="center" vertical="center" wrapText="1"/>
      <protection locked="0"/>
    </xf>
    <xf numFmtId="3" fontId="4" fillId="3" borderId="2" xfId="22" applyNumberFormat="1" applyFont="1" applyFill="1" applyBorder="1" applyAlignment="1" applyProtection="1">
      <alignment horizontal="center" vertical="center" wrapText="1"/>
      <protection locked="0"/>
    </xf>
    <xf numFmtId="0" fontId="4" fillId="3" borderId="3" xfId="9" applyFont="1" applyFill="1" applyBorder="1" applyAlignment="1">
      <alignment horizontal="center" vertical="center" wrapText="1"/>
    </xf>
    <xf numFmtId="0" fontId="4" fillId="4" borderId="3" xfId="9" applyFont="1" applyFill="1" applyBorder="1" applyAlignment="1">
      <alignment horizontal="center" vertical="center" textRotation="90" wrapText="1"/>
    </xf>
    <xf numFmtId="0" fontId="3" fillId="3" borderId="3" xfId="9" applyFont="1" applyFill="1" applyBorder="1" applyAlignment="1">
      <alignment horizontal="left" vertical="center" wrapText="1"/>
    </xf>
    <xf numFmtId="0" fontId="4" fillId="3" borderId="3" xfId="18" applyFont="1" applyFill="1" applyBorder="1" applyAlignment="1" applyProtection="1">
      <alignment horizontal="left" vertical="center" wrapText="1"/>
      <protection locked="0"/>
    </xf>
    <xf numFmtId="1" fontId="4" fillId="3" borderId="1" xfId="29" applyNumberFormat="1" applyFont="1" applyFill="1" applyBorder="1" applyAlignment="1" applyProtection="1">
      <alignment horizontal="center" vertical="center" wrapText="1"/>
      <protection locked="0"/>
    </xf>
    <xf numFmtId="1" fontId="4" fillId="3" borderId="9" xfId="29" applyNumberFormat="1" applyFont="1" applyFill="1" applyBorder="1" applyAlignment="1" applyProtection="1">
      <alignment horizontal="center" vertical="center" wrapText="1"/>
      <protection locked="0"/>
    </xf>
    <xf numFmtId="1" fontId="4" fillId="3" borderId="2" xfId="29" applyNumberFormat="1" applyFont="1" applyFill="1" applyBorder="1" applyAlignment="1" applyProtection="1">
      <alignment horizontal="center" vertical="center" wrapText="1"/>
      <protection locked="0"/>
    </xf>
    <xf numFmtId="49" fontId="4" fillId="3" borderId="3" xfId="9" applyNumberFormat="1" applyFont="1" applyFill="1" applyBorder="1" applyAlignment="1">
      <alignment horizontal="left" vertical="center" wrapText="1"/>
    </xf>
    <xf numFmtId="0" fontId="4" fillId="3" borderId="3" xfId="9" applyFont="1" applyFill="1" applyBorder="1" applyAlignment="1">
      <alignment horizontal="left" vertical="center" wrapText="1"/>
    </xf>
    <xf numFmtId="0" fontId="4" fillId="3" borderId="3" xfId="9" applyFont="1" applyFill="1" applyBorder="1" applyAlignment="1">
      <alignment vertical="center" wrapText="1"/>
    </xf>
    <xf numFmtId="1" fontId="4" fillId="3" borderId="1" xfId="22" applyNumberFormat="1" applyFont="1" applyFill="1" applyBorder="1" applyAlignment="1" applyProtection="1">
      <alignment horizontal="center" vertical="center" wrapText="1"/>
      <protection locked="0"/>
    </xf>
    <xf numFmtId="1" fontId="4" fillId="3" borderId="9" xfId="22" applyNumberFormat="1" applyFont="1" applyFill="1" applyBorder="1" applyAlignment="1" applyProtection="1">
      <alignment horizontal="center" vertical="center" wrapText="1"/>
      <protection locked="0"/>
    </xf>
    <xf numFmtId="1" fontId="4" fillId="3" borderId="2" xfId="22" applyNumberFormat="1" applyFont="1" applyFill="1" applyBorder="1" applyAlignment="1" applyProtection="1">
      <alignment horizontal="center" vertical="center" wrapText="1"/>
      <protection locked="0"/>
    </xf>
    <xf numFmtId="2" fontId="4" fillId="3" borderId="1" xfId="23" applyNumberFormat="1" applyFont="1" applyFill="1" applyBorder="1" applyAlignment="1">
      <alignment horizontal="center" vertical="center" textRotation="90" wrapText="1"/>
    </xf>
    <xf numFmtId="2" fontId="4" fillId="3" borderId="9" xfId="23" applyNumberFormat="1" applyFont="1" applyFill="1" applyBorder="1" applyAlignment="1">
      <alignment horizontal="center" vertical="center" textRotation="90" wrapText="1"/>
    </xf>
    <xf numFmtId="2" fontId="4" fillId="3" borderId="2" xfId="23" applyNumberFormat="1" applyFont="1" applyFill="1" applyBorder="1" applyAlignment="1">
      <alignment horizontal="center" vertical="center" textRotation="90" wrapText="1"/>
    </xf>
    <xf numFmtId="0" fontId="4" fillId="0" borderId="3" xfId="9" applyFont="1" applyFill="1" applyBorder="1" applyAlignment="1">
      <alignment horizontal="center" vertical="center" wrapText="1"/>
    </xf>
    <xf numFmtId="0" fontId="4" fillId="10" borderId="3" xfId="9" applyFont="1" applyFill="1" applyBorder="1" applyAlignment="1">
      <alignment horizontal="center" vertical="center" textRotation="90" wrapText="1"/>
    </xf>
    <xf numFmtId="0" fontId="27" fillId="0" borderId="1" xfId="18" applyNumberFormat="1" applyFont="1" applyFill="1" applyBorder="1" applyAlignment="1">
      <alignment horizontal="center" vertical="center" wrapText="1"/>
    </xf>
    <xf numFmtId="0" fontId="27" fillId="0" borderId="9" xfId="18" applyNumberFormat="1" applyFont="1" applyFill="1" applyBorder="1" applyAlignment="1">
      <alignment horizontal="center" vertical="center" wrapText="1"/>
    </xf>
    <xf numFmtId="0" fontId="27" fillId="0" borderId="2" xfId="18" applyNumberFormat="1" applyFont="1" applyFill="1" applyBorder="1" applyAlignment="1">
      <alignment horizontal="center" vertical="center" wrapText="1"/>
    </xf>
    <xf numFmtId="0" fontId="27" fillId="3" borderId="1" xfId="18" applyNumberFormat="1" applyFont="1" applyFill="1" applyBorder="1" applyAlignment="1">
      <alignment horizontal="center" vertical="center" wrapText="1"/>
    </xf>
    <xf numFmtId="0" fontId="27" fillId="3" borderId="2" xfId="18" applyNumberFormat="1" applyFont="1" applyFill="1" applyBorder="1" applyAlignment="1">
      <alignment horizontal="center" vertical="center" wrapText="1"/>
    </xf>
    <xf numFmtId="0" fontId="27" fillId="3" borderId="9" xfId="18" applyNumberFormat="1" applyFont="1" applyFill="1" applyBorder="1" applyAlignment="1">
      <alignment horizontal="center" vertical="center" wrapText="1"/>
    </xf>
    <xf numFmtId="0" fontId="4" fillId="3" borderId="1" xfId="18" applyFont="1" applyFill="1" applyBorder="1" applyAlignment="1" applyProtection="1">
      <alignment horizontal="center" vertical="center" wrapText="1"/>
      <protection locked="0"/>
    </xf>
    <xf numFmtId="0" fontId="4" fillId="3" borderId="9" xfId="18" applyFont="1" applyFill="1" applyBorder="1" applyAlignment="1" applyProtection="1">
      <alignment horizontal="center" vertical="center" wrapText="1"/>
      <protection locked="0"/>
    </xf>
    <xf numFmtId="0" fontId="4" fillId="3" borderId="2" xfId="18" applyFont="1" applyFill="1" applyBorder="1" applyAlignment="1" applyProtection="1">
      <alignment horizontal="center" vertical="center" wrapText="1"/>
      <protection locked="0"/>
    </xf>
    <xf numFmtId="0" fontId="66" fillId="0" borderId="68" xfId="22" applyFont="1" applyBorder="1" applyAlignment="1">
      <alignment horizontal="center" vertical="center" wrapText="1"/>
    </xf>
    <xf numFmtId="0" fontId="66" fillId="0" borderId="39" xfId="22" applyFont="1" applyBorder="1" applyAlignment="1">
      <alignment horizontal="center" vertical="center" wrapText="1"/>
    </xf>
    <xf numFmtId="0" fontId="66" fillId="0" borderId="69" xfId="22" applyFont="1" applyBorder="1" applyAlignment="1">
      <alignment horizontal="center" vertical="center" wrapText="1"/>
    </xf>
    <xf numFmtId="0" fontId="70" fillId="0" borderId="14" xfId="22" applyBorder="1" applyAlignment="1">
      <alignment horizontal="center" wrapText="1"/>
    </xf>
    <xf numFmtId="0" fontId="70" fillId="0" borderId="13" xfId="22" applyBorder="1" applyAlignment="1">
      <alignment horizontal="center" wrapText="1"/>
    </xf>
    <xf numFmtId="0" fontId="70" fillId="0" borderId="15" xfId="22" applyBorder="1" applyAlignment="1">
      <alignment horizontal="center" wrapText="1"/>
    </xf>
    <xf numFmtId="0" fontId="70" fillId="0" borderId="12" xfId="22" applyBorder="1" applyAlignment="1">
      <alignment horizontal="center" wrapText="1"/>
    </xf>
    <xf numFmtId="0" fontId="70" fillId="0" borderId="4" xfId="22" applyBorder="1" applyAlignment="1">
      <alignment horizontal="center" wrapText="1"/>
    </xf>
    <xf numFmtId="0" fontId="70" fillId="0" borderId="6" xfId="22" applyBorder="1" applyAlignment="1">
      <alignment horizontal="center" wrapText="1"/>
    </xf>
    <xf numFmtId="0" fontId="4" fillId="0" borderId="1" xfId="14" applyFont="1" applyFill="1" applyBorder="1" applyAlignment="1" applyProtection="1">
      <alignment horizontal="center" vertical="center" wrapText="1"/>
      <protection locked="0"/>
    </xf>
    <xf numFmtId="0" fontId="4" fillId="0" borderId="9" xfId="14" applyFont="1" applyFill="1" applyBorder="1" applyAlignment="1" applyProtection="1">
      <alignment horizontal="center" vertical="center" wrapText="1"/>
      <protection locked="0"/>
    </xf>
    <xf numFmtId="0" fontId="4" fillId="0" borderId="2" xfId="14" applyFont="1" applyFill="1" applyBorder="1" applyAlignment="1" applyProtection="1">
      <alignment horizontal="center" vertical="center" wrapText="1"/>
      <protection locked="0"/>
    </xf>
    <xf numFmtId="0" fontId="4" fillId="3" borderId="1" xfId="9" applyFont="1" applyFill="1" applyBorder="1" applyAlignment="1" applyProtection="1">
      <alignment horizontal="center" vertical="center" textRotation="90"/>
      <protection locked="0"/>
    </xf>
    <xf numFmtId="0" fontId="4" fillId="3" borderId="9" xfId="9" applyFont="1" applyFill="1" applyBorder="1" applyAlignment="1" applyProtection="1">
      <alignment horizontal="center" vertical="center" textRotation="90"/>
      <protection locked="0"/>
    </xf>
    <xf numFmtId="0" fontId="4" fillId="3" borderId="2" xfId="9" applyFont="1" applyFill="1" applyBorder="1" applyAlignment="1" applyProtection="1">
      <alignment horizontal="center" vertical="center" textRotation="90"/>
      <protection locked="0"/>
    </xf>
    <xf numFmtId="0" fontId="3" fillId="3" borderId="14" xfId="9" applyFont="1" applyFill="1" applyBorder="1" applyAlignment="1" applyProtection="1">
      <alignment horizontal="center" vertical="center" wrapText="1"/>
      <protection locked="0"/>
    </xf>
    <xf numFmtId="0" fontId="3" fillId="3" borderId="13" xfId="9" applyFont="1" applyFill="1" applyBorder="1" applyAlignment="1" applyProtection="1">
      <alignment horizontal="center" vertical="center" wrapText="1"/>
      <protection locked="0"/>
    </xf>
    <xf numFmtId="0" fontId="3" fillId="3" borderId="15" xfId="9" applyFont="1" applyFill="1" applyBorder="1" applyAlignment="1" applyProtection="1">
      <alignment horizontal="center" vertical="center" wrapText="1"/>
      <protection locked="0"/>
    </xf>
    <xf numFmtId="0" fontId="3" fillId="3" borderId="10" xfId="9" applyFont="1" applyFill="1" applyBorder="1" applyAlignment="1" applyProtection="1">
      <alignment horizontal="center" vertical="center" wrapText="1"/>
      <protection locked="0"/>
    </xf>
    <xf numFmtId="0" fontId="3" fillId="3" borderId="0" xfId="9" applyFont="1" applyFill="1" applyBorder="1" applyAlignment="1" applyProtection="1">
      <alignment horizontal="center" vertical="center" wrapText="1"/>
      <protection locked="0"/>
    </xf>
    <xf numFmtId="0" fontId="3" fillId="3" borderId="11" xfId="9" applyFont="1" applyFill="1" applyBorder="1" applyAlignment="1" applyProtection="1">
      <alignment horizontal="center" vertical="center" wrapText="1"/>
      <protection locked="0"/>
    </xf>
    <xf numFmtId="0" fontId="3" fillId="3" borderId="12" xfId="9" applyFont="1" applyFill="1" applyBorder="1" applyAlignment="1" applyProtection="1">
      <alignment horizontal="center" vertical="center" wrapText="1"/>
      <protection locked="0"/>
    </xf>
    <xf numFmtId="0" fontId="3" fillId="3" borderId="4" xfId="9" applyFont="1" applyFill="1" applyBorder="1" applyAlignment="1" applyProtection="1">
      <alignment horizontal="center" vertical="center" wrapText="1"/>
      <protection locked="0"/>
    </xf>
    <xf numFmtId="0" fontId="3" fillId="3" borderId="6" xfId="9" applyFont="1" applyFill="1" applyBorder="1" applyAlignment="1" applyProtection="1">
      <alignment horizontal="center" vertical="center" wrapText="1"/>
      <protection locked="0"/>
    </xf>
    <xf numFmtId="2" fontId="4" fillId="3" borderId="1" xfId="9" applyNumberFormat="1" applyFont="1" applyFill="1" applyBorder="1" applyAlignment="1" applyProtection="1">
      <alignment horizontal="center" vertical="center" textRotation="90" wrapText="1"/>
      <protection locked="0"/>
    </xf>
    <xf numFmtId="2" fontId="4" fillId="3" borderId="9" xfId="9" applyNumberFormat="1" applyFont="1" applyFill="1" applyBorder="1" applyAlignment="1" applyProtection="1">
      <alignment horizontal="center" vertical="center" textRotation="90" wrapText="1"/>
      <protection locked="0"/>
    </xf>
    <xf numFmtId="2" fontId="4" fillId="3" borderId="2" xfId="9" applyNumberFormat="1" applyFont="1" applyFill="1" applyBorder="1" applyAlignment="1" applyProtection="1">
      <alignment horizontal="center" vertical="center" textRotation="90" wrapText="1"/>
      <protection locked="0"/>
    </xf>
    <xf numFmtId="0" fontId="4" fillId="3" borderId="7" xfId="9" applyFont="1" applyFill="1" applyBorder="1" applyAlignment="1" applyProtection="1">
      <alignment horizontal="left" vertical="center" wrapText="1"/>
      <protection locked="0"/>
    </xf>
    <xf numFmtId="0" fontId="4" fillId="3" borderId="14" xfId="9" applyFont="1" applyFill="1" applyBorder="1" applyAlignment="1" applyProtection="1">
      <alignment horizontal="center" vertical="center" wrapText="1"/>
      <protection locked="0"/>
    </xf>
    <xf numFmtId="0" fontId="4" fillId="3" borderId="13" xfId="9" applyFont="1" applyFill="1" applyBorder="1" applyAlignment="1" applyProtection="1">
      <alignment horizontal="center" vertical="center" wrapText="1"/>
      <protection locked="0"/>
    </xf>
    <xf numFmtId="0" fontId="4" fillId="3" borderId="15" xfId="9" applyFont="1" applyFill="1" applyBorder="1" applyAlignment="1" applyProtection="1">
      <alignment horizontal="center" vertical="center" wrapText="1"/>
      <protection locked="0"/>
    </xf>
    <xf numFmtId="0" fontId="4" fillId="3" borderId="10" xfId="9" applyFont="1" applyFill="1" applyBorder="1" applyAlignment="1" applyProtection="1">
      <alignment horizontal="center" vertical="center" wrapText="1"/>
      <protection locked="0"/>
    </xf>
    <xf numFmtId="0" fontId="4" fillId="3" borderId="0" xfId="9" applyFont="1" applyFill="1" applyBorder="1" applyAlignment="1" applyProtection="1">
      <alignment horizontal="center" vertical="center" wrapText="1"/>
      <protection locked="0"/>
    </xf>
    <xf numFmtId="0" fontId="4" fillId="3" borderId="11" xfId="9" applyFont="1" applyFill="1" applyBorder="1" applyAlignment="1" applyProtection="1">
      <alignment horizontal="center" vertical="center" wrapText="1"/>
      <protection locked="0"/>
    </xf>
    <xf numFmtId="0" fontId="4" fillId="3" borderId="12" xfId="9" applyFont="1" applyFill="1" applyBorder="1" applyAlignment="1" applyProtection="1">
      <alignment horizontal="center" vertical="center" wrapText="1"/>
      <protection locked="0"/>
    </xf>
    <xf numFmtId="0" fontId="4" fillId="3" borderId="4" xfId="9" applyFont="1" applyFill="1" applyBorder="1" applyAlignment="1" applyProtection="1">
      <alignment horizontal="center" vertical="center" wrapText="1"/>
      <protection locked="0"/>
    </xf>
    <xf numFmtId="0" fontId="4" fillId="3" borderId="6" xfId="9" applyFont="1" applyFill="1" applyBorder="1" applyAlignment="1" applyProtection="1">
      <alignment horizontal="center" vertical="center" wrapText="1"/>
      <protection locked="0"/>
    </xf>
    <xf numFmtId="0" fontId="4" fillId="3" borderId="1" xfId="9" applyFont="1" applyFill="1" applyBorder="1" applyAlignment="1" applyProtection="1">
      <alignment horizontal="center" vertical="center" textRotation="90" wrapText="1"/>
    </xf>
    <xf numFmtId="0" fontId="4" fillId="3" borderId="9" xfId="9" applyFont="1" applyFill="1" applyBorder="1" applyAlignment="1" applyProtection="1">
      <alignment horizontal="center" vertical="center" textRotation="90" wrapText="1"/>
    </xf>
    <xf numFmtId="0" fontId="4" fillId="3" borderId="2" xfId="9" applyFont="1" applyFill="1" applyBorder="1" applyAlignment="1" applyProtection="1">
      <alignment horizontal="center" vertical="center" textRotation="90" wrapText="1"/>
    </xf>
    <xf numFmtId="0" fontId="134" fillId="3" borderId="1" xfId="9" applyFont="1" applyFill="1" applyBorder="1" applyAlignment="1" applyProtection="1">
      <alignment horizontal="center" vertical="center" wrapText="1"/>
      <protection locked="0"/>
    </xf>
    <xf numFmtId="0" fontId="4" fillId="3" borderId="3" xfId="14" applyFont="1" applyFill="1" applyBorder="1" applyAlignment="1" applyProtection="1">
      <alignment horizontal="left" vertical="center" wrapText="1"/>
      <protection locked="0"/>
    </xf>
    <xf numFmtId="0" fontId="2" fillId="0" borderId="1" xfId="22" applyFont="1" applyFill="1" applyBorder="1" applyAlignment="1">
      <alignment horizontal="center" vertical="center"/>
    </xf>
    <xf numFmtId="0" fontId="2" fillId="0" borderId="9" xfId="22" applyFont="1" applyFill="1" applyBorder="1" applyAlignment="1">
      <alignment horizontal="center" vertical="center"/>
    </xf>
    <xf numFmtId="0" fontId="2" fillId="0" borderId="2" xfId="22" applyFont="1" applyFill="1" applyBorder="1" applyAlignment="1">
      <alignment horizontal="center" vertical="center"/>
    </xf>
    <xf numFmtId="15" fontId="4" fillId="0" borderId="1" xfId="22" applyNumberFormat="1" applyFont="1" applyFill="1" applyBorder="1" applyAlignment="1" applyProtection="1">
      <alignment horizontal="center" vertical="center" wrapText="1"/>
      <protection locked="0"/>
    </xf>
    <xf numFmtId="15" fontId="4" fillId="0" borderId="9" xfId="22" applyNumberFormat="1" applyFont="1" applyFill="1" applyBorder="1" applyAlignment="1" applyProtection="1">
      <alignment horizontal="center" vertical="center" wrapText="1"/>
      <protection locked="0"/>
    </xf>
    <xf numFmtId="15" fontId="4" fillId="0" borderId="2" xfId="22" applyNumberFormat="1" applyFont="1" applyFill="1" applyBorder="1" applyAlignment="1" applyProtection="1">
      <alignment horizontal="center" vertical="center" wrapText="1"/>
      <protection locked="0"/>
    </xf>
    <xf numFmtId="0" fontId="4" fillId="0" borderId="1" xfId="22" applyNumberFormat="1" applyFont="1" applyFill="1" applyBorder="1" applyAlignment="1" applyProtection="1">
      <alignment horizontal="center" vertical="center" wrapText="1"/>
      <protection locked="0"/>
    </xf>
    <xf numFmtId="0" fontId="4" fillId="3" borderId="1" xfId="9" applyFont="1" applyFill="1" applyBorder="1" applyAlignment="1" applyProtection="1">
      <alignment horizontal="center" vertical="center" textRotation="90" wrapText="1"/>
      <protection locked="0"/>
    </xf>
    <xf numFmtId="0" fontId="4" fillId="3" borderId="9" xfId="9" applyFont="1" applyFill="1" applyBorder="1" applyAlignment="1" applyProtection="1">
      <alignment horizontal="center" vertical="center" textRotation="90" wrapText="1"/>
      <protection locked="0"/>
    </xf>
    <xf numFmtId="0" fontId="4" fillId="3" borderId="2" xfId="9" applyFont="1" applyFill="1" applyBorder="1" applyAlignment="1" applyProtection="1">
      <alignment horizontal="center" vertical="center" textRotation="90" wrapText="1"/>
      <protection locked="0"/>
    </xf>
    <xf numFmtId="164" fontId="4" fillId="3" borderId="1" xfId="35" applyFont="1" applyFill="1" applyBorder="1" applyAlignment="1" applyProtection="1">
      <alignment horizontal="center" vertical="center" wrapText="1"/>
      <protection locked="0"/>
    </xf>
    <xf numFmtId="164" fontId="4" fillId="3" borderId="2" xfId="35" applyFont="1" applyFill="1" applyBorder="1" applyAlignment="1" applyProtection="1">
      <alignment horizontal="center" vertical="center" wrapText="1"/>
      <protection locked="0"/>
    </xf>
    <xf numFmtId="0" fontId="2" fillId="3" borderId="1" xfId="22" applyFont="1" applyFill="1" applyBorder="1" applyAlignment="1" applyProtection="1">
      <alignment horizontal="center" vertical="center" wrapText="1"/>
      <protection locked="0"/>
    </xf>
    <xf numFmtId="0" fontId="2" fillId="3" borderId="9" xfId="22" applyFont="1" applyFill="1" applyBorder="1" applyAlignment="1" applyProtection="1">
      <alignment horizontal="center" vertical="center" wrapText="1"/>
      <protection locked="0"/>
    </xf>
    <xf numFmtId="0" fontId="2" fillId="3" borderId="2" xfId="22" applyFont="1" applyFill="1" applyBorder="1" applyAlignment="1" applyProtection="1">
      <alignment horizontal="center" vertical="center" wrapText="1"/>
      <protection locked="0"/>
    </xf>
    <xf numFmtId="15" fontId="2" fillId="3" borderId="1" xfId="22" applyNumberFormat="1" applyFont="1" applyFill="1" applyBorder="1" applyAlignment="1" applyProtection="1">
      <alignment horizontal="center" vertical="center" wrapText="1"/>
      <protection locked="0"/>
    </xf>
    <xf numFmtId="15" fontId="2" fillId="3" borderId="9" xfId="22" applyNumberFormat="1" applyFont="1" applyFill="1" applyBorder="1" applyAlignment="1" applyProtection="1">
      <alignment horizontal="center" vertical="center" wrapText="1"/>
      <protection locked="0"/>
    </xf>
    <xf numFmtId="15" fontId="2" fillId="3" borderId="2" xfId="22" applyNumberFormat="1" applyFont="1" applyFill="1" applyBorder="1" applyAlignment="1" applyProtection="1">
      <alignment horizontal="center" vertical="center" wrapText="1"/>
      <protection locked="0"/>
    </xf>
    <xf numFmtId="0" fontId="4" fillId="3" borderId="14" xfId="14" applyFont="1" applyFill="1" applyBorder="1" applyAlignment="1">
      <alignment horizontal="center" vertical="center" wrapText="1"/>
    </xf>
    <xf numFmtId="0" fontId="4" fillId="3" borderId="13" xfId="14" applyFont="1" applyFill="1" applyBorder="1" applyAlignment="1">
      <alignment horizontal="center" vertical="center" wrapText="1"/>
    </xf>
    <xf numFmtId="0" fontId="4" fillId="3" borderId="15" xfId="14" applyFont="1" applyFill="1" applyBorder="1" applyAlignment="1">
      <alignment horizontal="center" vertical="center" wrapText="1"/>
    </xf>
    <xf numFmtId="0" fontId="4" fillId="3" borderId="10" xfId="14" applyFont="1" applyFill="1" applyBorder="1" applyAlignment="1">
      <alignment horizontal="center" vertical="center" wrapText="1"/>
    </xf>
    <xf numFmtId="0" fontId="4" fillId="3" borderId="0" xfId="14" applyFont="1" applyFill="1" applyBorder="1" applyAlignment="1">
      <alignment horizontal="center" vertical="center" wrapText="1"/>
    </xf>
    <xf numFmtId="0" fontId="4" fillId="3" borderId="11" xfId="14" applyFont="1" applyFill="1" applyBorder="1" applyAlignment="1">
      <alignment horizontal="center" vertical="center" wrapText="1"/>
    </xf>
    <xf numFmtId="0" fontId="4" fillId="3" borderId="3" xfId="9" applyFont="1" applyFill="1" applyBorder="1" applyAlignment="1" applyProtection="1">
      <alignment horizontal="center" vertical="center" wrapText="1"/>
      <protection locked="0"/>
    </xf>
    <xf numFmtId="0" fontId="4" fillId="3" borderId="1" xfId="9" applyFont="1" applyFill="1" applyBorder="1" applyAlignment="1" applyProtection="1">
      <alignment horizontal="left" vertical="center" wrapText="1"/>
      <protection locked="0"/>
    </xf>
    <xf numFmtId="0" fontId="4" fillId="3" borderId="2" xfId="9" applyFont="1" applyFill="1" applyBorder="1" applyAlignment="1" applyProtection="1">
      <alignment horizontal="left" vertical="center" wrapText="1"/>
      <protection locked="0"/>
    </xf>
    <xf numFmtId="15" fontId="2" fillId="0" borderId="1" xfId="22" applyNumberFormat="1" applyFont="1" applyFill="1" applyBorder="1" applyAlignment="1" applyProtection="1">
      <alignment horizontal="center" vertical="center" wrapText="1"/>
      <protection locked="0"/>
    </xf>
    <xf numFmtId="15" fontId="2" fillId="0" borderId="9" xfId="22" applyNumberFormat="1" applyFont="1" applyFill="1" applyBorder="1" applyAlignment="1" applyProtection="1">
      <alignment horizontal="center" vertical="center" wrapText="1"/>
      <protection locked="0"/>
    </xf>
    <xf numFmtId="0" fontId="4" fillId="4" borderId="1" xfId="9" applyFont="1" applyFill="1" applyBorder="1" applyAlignment="1" applyProtection="1">
      <alignment horizontal="center" vertical="center" textRotation="90" wrapText="1"/>
      <protection locked="0"/>
    </xf>
    <xf numFmtId="0" fontId="4" fillId="4" borderId="9" xfId="9" applyFont="1" applyFill="1" applyBorder="1" applyAlignment="1" applyProtection="1">
      <alignment horizontal="center" vertical="center" textRotation="90" wrapText="1"/>
      <protection locked="0"/>
    </xf>
    <xf numFmtId="0" fontId="4" fillId="4" borderId="2" xfId="9" applyFont="1" applyFill="1" applyBorder="1" applyAlignment="1" applyProtection="1">
      <alignment horizontal="center" vertical="center" textRotation="90" wrapText="1"/>
      <protection locked="0"/>
    </xf>
    <xf numFmtId="0" fontId="4" fillId="3" borderId="12" xfId="14" applyFont="1" applyFill="1" applyBorder="1" applyAlignment="1">
      <alignment horizontal="center" vertical="center" wrapText="1"/>
    </xf>
    <xf numFmtId="0" fontId="4" fillId="3" borderId="4" xfId="14" applyFont="1" applyFill="1" applyBorder="1" applyAlignment="1">
      <alignment horizontal="center" vertical="center" wrapText="1"/>
    </xf>
    <xf numFmtId="0" fontId="4" fillId="3" borderId="6" xfId="14" applyFont="1" applyFill="1" applyBorder="1" applyAlignment="1">
      <alignment horizontal="center" vertical="center" wrapText="1"/>
    </xf>
    <xf numFmtId="0" fontId="4" fillId="3" borderId="14" xfId="9" applyFont="1" applyFill="1" applyBorder="1" applyAlignment="1" applyProtection="1">
      <alignment horizontal="justify" vertical="center" wrapText="1"/>
      <protection locked="0"/>
    </xf>
    <xf numFmtId="0" fontId="4" fillId="3" borderId="13" xfId="9" applyFont="1" applyFill="1" applyBorder="1" applyAlignment="1" applyProtection="1">
      <alignment horizontal="justify" vertical="center" wrapText="1"/>
      <protection locked="0"/>
    </xf>
    <xf numFmtId="0" fontId="4" fillId="3" borderId="15" xfId="9" applyFont="1" applyFill="1" applyBorder="1" applyAlignment="1" applyProtection="1">
      <alignment horizontal="justify" vertical="center" wrapText="1"/>
      <protection locked="0"/>
    </xf>
    <xf numFmtId="0" fontId="4" fillId="3" borderId="10" xfId="9" applyFont="1" applyFill="1" applyBorder="1" applyAlignment="1" applyProtection="1">
      <alignment horizontal="justify" vertical="center" wrapText="1"/>
      <protection locked="0"/>
    </xf>
    <xf numFmtId="0" fontId="4" fillId="3" borderId="0" xfId="9" applyFont="1" applyFill="1" applyBorder="1" applyAlignment="1" applyProtection="1">
      <alignment horizontal="justify" vertical="center" wrapText="1"/>
      <protection locked="0"/>
    </xf>
    <xf numFmtId="0" fontId="4" fillId="3" borderId="11" xfId="9" applyFont="1" applyFill="1" applyBorder="1" applyAlignment="1" applyProtection="1">
      <alignment horizontal="justify" vertical="center" wrapText="1"/>
      <protection locked="0"/>
    </xf>
    <xf numFmtId="0" fontId="4" fillId="0" borderId="1" xfId="30" applyNumberFormat="1" applyFont="1" applyFill="1" applyBorder="1" applyAlignment="1" applyProtection="1">
      <alignment horizontal="center" vertical="center" wrapText="1"/>
      <protection locked="0"/>
    </xf>
    <xf numFmtId="0" fontId="4" fillId="0" borderId="9" xfId="30" applyNumberFormat="1" applyFont="1" applyFill="1" applyBorder="1" applyAlignment="1" applyProtection="1">
      <alignment horizontal="center" vertical="center" wrapText="1"/>
      <protection locked="0"/>
    </xf>
    <xf numFmtId="0" fontId="4" fillId="0" borderId="2" xfId="30" applyNumberFormat="1" applyFont="1" applyFill="1" applyBorder="1" applyAlignment="1" applyProtection="1">
      <alignment horizontal="center" vertical="center" wrapText="1"/>
      <protection locked="0"/>
    </xf>
    <xf numFmtId="0" fontId="4" fillId="3" borderId="3" xfId="9" applyFont="1" applyFill="1" applyBorder="1" applyAlignment="1" applyProtection="1">
      <alignment horizontal="center" vertical="center" textRotation="90" wrapText="1"/>
      <protection locked="0"/>
    </xf>
    <xf numFmtId="0" fontId="4" fillId="0" borderId="7" xfId="9" applyFont="1" applyFill="1" applyBorder="1" applyAlignment="1" applyProtection="1">
      <alignment horizontal="center" vertical="center"/>
      <protection locked="0"/>
    </xf>
    <xf numFmtId="0" fontId="4" fillId="0" borderId="8" xfId="9" applyFont="1" applyFill="1" applyBorder="1" applyAlignment="1" applyProtection="1">
      <alignment horizontal="center" vertical="center"/>
      <protection locked="0"/>
    </xf>
    <xf numFmtId="0" fontId="4" fillId="0" borderId="5" xfId="9" applyFont="1" applyFill="1" applyBorder="1" applyAlignment="1" applyProtection="1">
      <alignment horizontal="center" vertical="center"/>
      <protection locked="0"/>
    </xf>
    <xf numFmtId="0" fontId="4" fillId="0" borderId="7" xfId="9" applyFont="1" applyFill="1" applyBorder="1" applyAlignment="1" applyProtection="1">
      <alignment horizontal="center" vertical="center" wrapText="1"/>
      <protection locked="0"/>
    </xf>
    <xf numFmtId="0" fontId="4" fillId="0" borderId="5" xfId="9" applyFont="1" applyFill="1" applyBorder="1" applyAlignment="1" applyProtection="1">
      <alignment horizontal="center" vertical="center" wrapText="1"/>
      <protection locked="0"/>
    </xf>
    <xf numFmtId="0" fontId="4" fillId="0" borderId="3" xfId="23" quotePrefix="1" applyFont="1" applyFill="1" applyBorder="1" applyAlignment="1" applyProtection="1">
      <alignment horizontal="center" vertical="center" wrapText="1"/>
      <protection locked="0"/>
    </xf>
    <xf numFmtId="0" fontId="4" fillId="0" borderId="3" xfId="22" quotePrefix="1" applyFont="1" applyFill="1" applyBorder="1" applyAlignment="1" applyProtection="1">
      <alignment horizontal="justify" vertical="center" wrapText="1"/>
      <protection locked="0"/>
    </xf>
    <xf numFmtId="0" fontId="4" fillId="0" borderId="3" xfId="23" quotePrefix="1" applyFont="1" applyFill="1" applyBorder="1" applyAlignment="1" applyProtection="1">
      <alignment horizontal="justify" vertical="center" wrapText="1"/>
      <protection locked="0"/>
    </xf>
    <xf numFmtId="0" fontId="4" fillId="3" borderId="3" xfId="23" quotePrefix="1" applyFont="1" applyFill="1" applyBorder="1" applyAlignment="1" applyProtection="1">
      <alignment horizontal="center" vertical="center" wrapText="1"/>
      <protection locked="0"/>
    </xf>
    <xf numFmtId="0" fontId="4" fillId="0" borderId="3" xfId="23" applyFont="1" applyFill="1" applyBorder="1" applyAlignment="1" applyProtection="1">
      <alignment horizontal="center" vertical="center"/>
      <protection locked="0"/>
    </xf>
    <xf numFmtId="0" fontId="4" fillId="0" borderId="3" xfId="23" applyFont="1" applyFill="1" applyBorder="1" applyAlignment="1">
      <alignment horizontal="left" vertical="center"/>
    </xf>
    <xf numFmtId="9" fontId="4" fillId="3" borderId="1" xfId="25" applyFont="1" applyFill="1" applyBorder="1" applyAlignment="1" applyProtection="1">
      <alignment horizontal="center" vertical="center" wrapText="1"/>
      <protection locked="0"/>
    </xf>
    <xf numFmtId="9" fontId="4" fillId="3" borderId="9" xfId="25" applyFont="1" applyFill="1" applyBorder="1" applyAlignment="1" applyProtection="1">
      <alignment horizontal="center" vertical="center" wrapText="1"/>
      <protection locked="0"/>
    </xf>
    <xf numFmtId="9" fontId="4" fillId="3" borderId="2" xfId="25" applyFont="1" applyFill="1" applyBorder="1" applyAlignment="1" applyProtection="1">
      <alignment horizontal="center" vertical="center" wrapText="1"/>
      <protection locked="0"/>
    </xf>
    <xf numFmtId="0" fontId="132" fillId="0" borderId="7" xfId="9" applyFont="1" applyFill="1" applyBorder="1" applyAlignment="1" applyProtection="1">
      <alignment horizontal="center" vertical="center"/>
      <protection locked="0"/>
    </xf>
    <xf numFmtId="0" fontId="132" fillId="0" borderId="8" xfId="9" applyFont="1" applyFill="1" applyBorder="1" applyAlignment="1" applyProtection="1">
      <alignment horizontal="center" vertical="center"/>
      <protection locked="0"/>
    </xf>
    <xf numFmtId="0" fontId="132" fillId="0" borderId="5" xfId="9" applyFont="1" applyFill="1" applyBorder="1" applyAlignment="1" applyProtection="1">
      <alignment horizontal="center" vertical="center"/>
      <protection locked="0"/>
    </xf>
    <xf numFmtId="0" fontId="132" fillId="0" borderId="7" xfId="9" applyFont="1" applyFill="1" applyBorder="1" applyAlignment="1" applyProtection="1">
      <alignment horizontal="center" vertical="center" wrapText="1"/>
      <protection locked="0"/>
    </xf>
    <xf numFmtId="0" fontId="132" fillId="0" borderId="5" xfId="9" applyFont="1" applyFill="1" applyBorder="1" applyAlignment="1" applyProtection="1">
      <alignment horizontal="center" vertical="center" wrapText="1"/>
      <protection locked="0"/>
    </xf>
    <xf numFmtId="0" fontId="4" fillId="0" borderId="3" xfId="22" applyFont="1" applyBorder="1" applyAlignment="1" applyProtection="1">
      <alignment horizontal="center" vertical="top"/>
      <protection locked="0"/>
    </xf>
    <xf numFmtId="0" fontId="2" fillId="8" borderId="1" xfId="22" applyFont="1" applyFill="1" applyBorder="1" applyAlignment="1">
      <alignment horizontal="justify" vertical="center" wrapText="1"/>
    </xf>
    <xf numFmtId="0" fontId="2" fillId="8" borderId="9" xfId="22" applyFont="1" applyFill="1" applyBorder="1" applyAlignment="1">
      <alignment horizontal="justify" vertical="center" wrapText="1"/>
    </xf>
    <xf numFmtId="0" fontId="2" fillId="8" borderId="2" xfId="22" applyFont="1" applyFill="1" applyBorder="1" applyAlignment="1">
      <alignment horizontal="justify" vertical="center" wrapText="1"/>
    </xf>
    <xf numFmtId="0" fontId="7" fillId="0" borderId="1" xfId="22" applyFont="1" applyFill="1" applyBorder="1" applyAlignment="1" applyProtection="1">
      <alignment horizontal="justify" vertical="center" wrapText="1"/>
      <protection locked="0"/>
    </xf>
    <xf numFmtId="0" fontId="7" fillId="0" borderId="9" xfId="22" applyFont="1" applyFill="1" applyBorder="1" applyAlignment="1" applyProtection="1">
      <alignment horizontal="justify" vertical="center" wrapText="1"/>
      <protection locked="0"/>
    </xf>
    <xf numFmtId="0" fontId="7" fillId="0" borderId="2" xfId="22" applyFont="1" applyFill="1" applyBorder="1" applyAlignment="1" applyProtection="1">
      <alignment horizontal="justify" vertical="center" wrapText="1"/>
      <protection locked="0"/>
    </xf>
    <xf numFmtId="1" fontId="2" fillId="3" borderId="1" xfId="22" applyNumberFormat="1" applyFont="1" applyFill="1" applyBorder="1" applyAlignment="1" applyProtection="1">
      <alignment horizontal="center" vertical="center" wrapText="1"/>
      <protection locked="0"/>
    </xf>
    <xf numFmtId="1" fontId="2" fillId="3" borderId="9" xfId="22" applyNumberFormat="1" applyFont="1" applyFill="1" applyBorder="1" applyAlignment="1" applyProtection="1">
      <alignment horizontal="center" vertical="center" wrapText="1"/>
      <protection locked="0"/>
    </xf>
    <xf numFmtId="1" fontId="2" fillId="3" borderId="2" xfId="22" applyNumberFormat="1" applyFont="1" applyFill="1" applyBorder="1" applyAlignment="1" applyProtection="1">
      <alignment horizontal="center" vertical="center" wrapText="1"/>
      <protection locked="0"/>
    </xf>
    <xf numFmtId="0" fontId="2" fillId="3" borderId="1" xfId="22" applyFont="1" applyFill="1" applyBorder="1" applyAlignment="1" applyProtection="1">
      <alignment horizontal="justify" vertical="center" wrapText="1"/>
      <protection locked="0"/>
    </xf>
    <xf numFmtId="0" fontId="2" fillId="3" borderId="9" xfId="22" applyFont="1" applyFill="1" applyBorder="1" applyAlignment="1" applyProtection="1">
      <alignment horizontal="justify" vertical="center" wrapText="1"/>
      <protection locked="0"/>
    </xf>
    <xf numFmtId="0" fontId="2" fillId="3" borderId="2" xfId="22" applyFont="1" applyFill="1" applyBorder="1" applyAlignment="1" applyProtection="1">
      <alignment horizontal="justify" vertical="center" wrapText="1"/>
      <protection locked="0"/>
    </xf>
    <xf numFmtId="0" fontId="7" fillId="3" borderId="3" xfId="9" applyFont="1" applyFill="1" applyBorder="1" applyAlignment="1">
      <alignment horizontal="center" vertical="center" wrapText="1"/>
    </xf>
    <xf numFmtId="0" fontId="13" fillId="3" borderId="3" xfId="9" applyFont="1" applyFill="1" applyBorder="1" applyAlignment="1">
      <alignment horizontal="justify" vertical="center" wrapText="1"/>
    </xf>
    <xf numFmtId="0" fontId="4" fillId="3" borderId="14" xfId="9" applyFont="1" applyFill="1" applyBorder="1" applyAlignment="1">
      <alignment horizontal="justify" vertical="center" wrapText="1"/>
    </xf>
    <xf numFmtId="0" fontId="4" fillId="3" borderId="10" xfId="9" applyFont="1" applyFill="1" applyBorder="1" applyAlignment="1">
      <alignment horizontal="justify" vertical="center" wrapText="1"/>
    </xf>
    <xf numFmtId="0" fontId="4" fillId="3" borderId="12" xfId="9" applyFont="1" applyFill="1" applyBorder="1" applyAlignment="1">
      <alignment horizontal="justify" vertical="center" wrapText="1"/>
    </xf>
    <xf numFmtId="0" fontId="7" fillId="3" borderId="14" xfId="9" applyFont="1" applyFill="1" applyBorder="1" applyAlignment="1">
      <alignment horizontal="center" vertical="center" wrapText="1"/>
    </xf>
    <xf numFmtId="0" fontId="7" fillId="3" borderId="10" xfId="9" applyFont="1" applyFill="1" applyBorder="1" applyAlignment="1">
      <alignment horizontal="center" vertical="center" wrapText="1"/>
    </xf>
    <xf numFmtId="0" fontId="7" fillId="3" borderId="12" xfId="9" applyFont="1" applyFill="1" applyBorder="1" applyAlignment="1">
      <alignment horizontal="center" vertical="center" wrapText="1"/>
    </xf>
    <xf numFmtId="0" fontId="13" fillId="3" borderId="14" xfId="9" applyFont="1" applyFill="1" applyBorder="1" applyAlignment="1">
      <alignment horizontal="justify" vertical="center" wrapText="1"/>
    </xf>
    <xf numFmtId="0" fontId="13" fillId="3" borderId="13" xfId="9" applyFont="1" applyFill="1" applyBorder="1" applyAlignment="1">
      <alignment horizontal="justify" vertical="center" wrapText="1"/>
    </xf>
    <xf numFmtId="0" fontId="13" fillId="3" borderId="15" xfId="9" applyFont="1" applyFill="1" applyBorder="1" applyAlignment="1">
      <alignment horizontal="justify" vertical="center" wrapText="1"/>
    </xf>
    <xf numFmtId="0" fontId="13" fillId="3" borderId="10" xfId="9" applyFont="1" applyFill="1" applyBorder="1" applyAlignment="1">
      <alignment horizontal="justify" vertical="center" wrapText="1"/>
    </xf>
    <xf numFmtId="0" fontId="13" fillId="3" borderId="0" xfId="9" applyFont="1" applyFill="1" applyBorder="1" applyAlignment="1">
      <alignment horizontal="justify" vertical="center" wrapText="1"/>
    </xf>
    <xf numFmtId="0" fontId="13" fillId="3" borderId="11" xfId="9" applyFont="1" applyFill="1" applyBorder="1" applyAlignment="1">
      <alignment horizontal="justify" vertical="center" wrapText="1"/>
    </xf>
    <xf numFmtId="0" fontId="13" fillId="3" borderId="12" xfId="9" applyFont="1" applyFill="1" applyBorder="1" applyAlignment="1">
      <alignment horizontal="justify" vertical="center" wrapText="1"/>
    </xf>
    <xf numFmtId="0" fontId="13" fillId="3" borderId="4" xfId="9" applyFont="1" applyFill="1" applyBorder="1" applyAlignment="1">
      <alignment horizontal="justify" vertical="center" wrapText="1"/>
    </xf>
    <xf numFmtId="0" fontId="13" fillId="3" borderId="6" xfId="9" applyFont="1" applyFill="1" applyBorder="1" applyAlignment="1">
      <alignment horizontal="justify" vertical="center" wrapText="1"/>
    </xf>
    <xf numFmtId="0" fontId="4" fillId="3" borderId="13" xfId="9" applyFont="1" applyFill="1" applyBorder="1" applyAlignment="1">
      <alignment horizontal="justify" vertical="center" wrapText="1"/>
    </xf>
    <xf numFmtId="0" fontId="4" fillId="3" borderId="15" xfId="9" applyFont="1" applyFill="1" applyBorder="1" applyAlignment="1">
      <alignment horizontal="justify" vertical="center" wrapText="1"/>
    </xf>
    <xf numFmtId="0" fontId="4" fillId="3" borderId="0" xfId="9" applyFont="1" applyFill="1" applyBorder="1" applyAlignment="1">
      <alignment horizontal="justify" vertical="center" wrapText="1"/>
    </xf>
    <xf numFmtId="0" fontId="4" fillId="3" borderId="11" xfId="9" applyFont="1" applyFill="1" applyBorder="1" applyAlignment="1">
      <alignment horizontal="justify" vertical="center" wrapText="1"/>
    </xf>
    <xf numFmtId="0" fontId="4" fillId="3" borderId="4" xfId="9" applyFont="1" applyFill="1" applyBorder="1" applyAlignment="1">
      <alignment horizontal="justify" vertical="center" wrapText="1"/>
    </xf>
    <xf numFmtId="0" fontId="4" fillId="3" borderId="6" xfId="9" applyFont="1" applyFill="1" applyBorder="1" applyAlignment="1">
      <alignment horizontal="justify" vertical="center" wrapText="1"/>
    </xf>
    <xf numFmtId="0" fontId="4" fillId="3" borderId="7" xfId="9" applyFont="1" applyFill="1" applyBorder="1" applyAlignment="1">
      <alignment horizontal="center" vertical="center" wrapText="1"/>
    </xf>
    <xf numFmtId="0" fontId="4" fillId="3" borderId="8" xfId="9" applyFont="1" applyFill="1" applyBorder="1" applyAlignment="1">
      <alignment horizontal="center" vertical="center" wrapText="1"/>
    </xf>
    <xf numFmtId="0" fontId="4" fillId="3" borderId="5" xfId="9" applyFont="1" applyFill="1" applyBorder="1" applyAlignment="1">
      <alignment horizontal="center" vertical="center" wrapText="1"/>
    </xf>
    <xf numFmtId="0" fontId="7" fillId="3" borderId="1" xfId="9" applyFont="1" applyFill="1" applyBorder="1" applyAlignment="1">
      <alignment horizontal="center" vertical="center" wrapText="1"/>
    </xf>
    <xf numFmtId="0" fontId="7" fillId="3" borderId="9" xfId="9" applyFont="1" applyFill="1" applyBorder="1" applyAlignment="1">
      <alignment horizontal="center" vertical="center" wrapText="1"/>
    </xf>
    <xf numFmtId="0" fontId="7" fillId="3" borderId="2" xfId="9" applyFont="1" applyFill="1" applyBorder="1" applyAlignment="1">
      <alignment horizontal="center" vertical="center" wrapText="1"/>
    </xf>
    <xf numFmtId="0" fontId="2" fillId="19" borderId="1" xfId="22" applyFont="1" applyFill="1" applyBorder="1" applyAlignment="1">
      <alignment horizontal="justify" vertical="center" wrapText="1"/>
    </xf>
    <xf numFmtId="0" fontId="2" fillId="19" borderId="2" xfId="22" applyFont="1" applyFill="1" applyBorder="1" applyAlignment="1">
      <alignment horizontal="justify" vertical="center" wrapText="1"/>
    </xf>
    <xf numFmtId="0" fontId="4" fillId="0" borderId="7" xfId="3" applyFont="1" applyFill="1" applyBorder="1" applyAlignment="1" applyProtection="1">
      <alignment horizontal="left" vertical="center" wrapText="1"/>
      <protection locked="0"/>
    </xf>
    <xf numFmtId="0" fontId="4" fillId="0" borderId="8" xfId="3" applyFont="1" applyFill="1" applyBorder="1" applyAlignment="1" applyProtection="1">
      <alignment horizontal="left" vertical="center" wrapText="1"/>
      <protection locked="0"/>
    </xf>
    <xf numFmtId="0" fontId="4" fillId="0" borderId="5" xfId="3" applyFont="1" applyFill="1" applyBorder="1" applyAlignment="1" applyProtection="1">
      <alignment horizontal="left" vertical="center" wrapText="1"/>
      <protection locked="0"/>
    </xf>
    <xf numFmtId="0" fontId="2" fillId="3" borderId="1" xfId="22" applyFont="1" applyFill="1" applyBorder="1" applyAlignment="1" applyProtection="1">
      <alignment horizontal="left" vertical="top" wrapText="1"/>
      <protection locked="0"/>
    </xf>
    <xf numFmtId="0" fontId="2" fillId="3" borderId="2" xfId="22" applyFont="1" applyFill="1" applyBorder="1" applyAlignment="1" applyProtection="1">
      <alignment horizontal="left" vertical="top" wrapText="1"/>
      <protection locked="0"/>
    </xf>
    <xf numFmtId="0" fontId="7" fillId="0" borderId="1" xfId="3" applyFont="1" applyFill="1" applyBorder="1" applyAlignment="1" applyProtection="1">
      <alignment horizontal="center" vertical="center" wrapText="1"/>
      <protection locked="0"/>
    </xf>
    <xf numFmtId="0" fontId="7" fillId="0" borderId="9" xfId="3" applyFont="1" applyFill="1" applyBorder="1" applyAlignment="1" applyProtection="1">
      <alignment horizontal="center" vertical="center" wrapText="1"/>
      <protection locked="0"/>
    </xf>
    <xf numFmtId="0" fontId="4" fillId="3" borderId="1" xfId="3" applyFont="1" applyFill="1" applyBorder="1" applyAlignment="1" applyProtection="1">
      <alignment horizontal="center" vertical="center" textRotation="90" wrapText="1"/>
      <protection locked="0"/>
    </xf>
    <xf numFmtId="0" fontId="4" fillId="3" borderId="9" xfId="3" applyFont="1" applyFill="1" applyBorder="1" applyAlignment="1" applyProtection="1">
      <alignment horizontal="center" vertical="center" textRotation="90" wrapText="1"/>
      <protection locked="0"/>
    </xf>
    <xf numFmtId="0" fontId="13" fillId="0" borderId="14" xfId="3" applyFont="1" applyFill="1" applyBorder="1" applyAlignment="1" applyProtection="1">
      <alignment horizontal="justify" vertical="center" wrapText="1"/>
      <protection locked="0"/>
    </xf>
    <xf numFmtId="0" fontId="13" fillId="0" borderId="13" xfId="3" applyFont="1" applyFill="1" applyBorder="1" applyAlignment="1" applyProtection="1">
      <alignment horizontal="justify" vertical="center" wrapText="1"/>
      <protection locked="0"/>
    </xf>
    <xf numFmtId="0" fontId="13" fillId="0" borderId="15" xfId="3" applyFont="1" applyFill="1" applyBorder="1" applyAlignment="1" applyProtection="1">
      <alignment horizontal="justify" vertical="center" wrapText="1"/>
      <protection locked="0"/>
    </xf>
    <xf numFmtId="0" fontId="13" fillId="0" borderId="10" xfId="3" applyFont="1" applyFill="1" applyBorder="1" applyAlignment="1" applyProtection="1">
      <alignment horizontal="justify" vertical="center" wrapText="1"/>
      <protection locked="0"/>
    </xf>
    <xf numFmtId="0" fontId="13" fillId="0" borderId="0" xfId="3" applyFont="1" applyFill="1" applyBorder="1" applyAlignment="1" applyProtection="1">
      <alignment horizontal="justify" vertical="center" wrapText="1"/>
      <protection locked="0"/>
    </xf>
    <xf numFmtId="0" fontId="13" fillId="0" borderId="11" xfId="3" applyFont="1" applyFill="1" applyBorder="1" applyAlignment="1" applyProtection="1">
      <alignment horizontal="justify" vertical="center" wrapText="1"/>
      <protection locked="0"/>
    </xf>
    <xf numFmtId="0" fontId="4" fillId="0" borderId="14" xfId="3" applyFont="1" applyFill="1" applyBorder="1" applyAlignment="1" applyProtection="1">
      <alignment horizontal="justify" vertical="center" wrapText="1"/>
      <protection locked="0"/>
    </xf>
    <xf numFmtId="0" fontId="4" fillId="0" borderId="13" xfId="3" applyFont="1" applyFill="1" applyBorder="1" applyAlignment="1" applyProtection="1">
      <alignment horizontal="justify" vertical="center" wrapText="1"/>
      <protection locked="0"/>
    </xf>
    <xf numFmtId="0" fontId="4" fillId="0" borderId="15" xfId="3" applyFont="1" applyFill="1" applyBorder="1" applyAlignment="1" applyProtection="1">
      <alignment horizontal="justify" vertical="center" wrapText="1"/>
      <protection locked="0"/>
    </xf>
    <xf numFmtId="0" fontId="4" fillId="0" borderId="10" xfId="3" applyFont="1" applyFill="1" applyBorder="1" applyAlignment="1" applyProtection="1">
      <alignment horizontal="justify" vertical="center" wrapText="1"/>
      <protection locked="0"/>
    </xf>
    <xf numFmtId="0" fontId="4" fillId="0" borderId="0" xfId="3" applyFont="1" applyFill="1" applyBorder="1" applyAlignment="1" applyProtection="1">
      <alignment horizontal="justify" vertical="center" wrapText="1"/>
      <protection locked="0"/>
    </xf>
    <xf numFmtId="0" fontId="4" fillId="0" borderId="11" xfId="3" applyFont="1" applyFill="1" applyBorder="1" applyAlignment="1" applyProtection="1">
      <alignment horizontal="justify" vertical="center" wrapText="1"/>
      <protection locked="0"/>
    </xf>
    <xf numFmtId="0" fontId="7" fillId="0" borderId="2" xfId="3" applyFont="1" applyFill="1" applyBorder="1" applyAlignment="1" applyProtection="1">
      <alignment horizontal="center" vertical="center" wrapText="1"/>
      <protection locked="0"/>
    </xf>
    <xf numFmtId="0" fontId="4" fillId="3" borderId="2" xfId="3" applyFont="1" applyFill="1" applyBorder="1" applyAlignment="1" applyProtection="1">
      <alignment horizontal="center" vertical="center" textRotation="90" wrapText="1"/>
      <protection locked="0"/>
    </xf>
    <xf numFmtId="0" fontId="13" fillId="0" borderId="12" xfId="3" applyFont="1" applyFill="1" applyBorder="1" applyAlignment="1" applyProtection="1">
      <alignment horizontal="justify" vertical="center" wrapText="1"/>
      <protection locked="0"/>
    </xf>
    <xf numFmtId="0" fontId="13" fillId="0" borderId="4" xfId="3" applyFont="1" applyFill="1" applyBorder="1" applyAlignment="1" applyProtection="1">
      <alignment horizontal="justify" vertical="center" wrapText="1"/>
      <protection locked="0"/>
    </xf>
    <xf numFmtId="0" fontId="13" fillId="0" borderId="6" xfId="3" applyFont="1" applyFill="1" applyBorder="1" applyAlignment="1" applyProtection="1">
      <alignment horizontal="justify" vertical="center" wrapText="1"/>
      <protection locked="0"/>
    </xf>
    <xf numFmtId="0" fontId="4" fillId="0" borderId="12" xfId="3" applyFont="1" applyFill="1" applyBorder="1" applyAlignment="1" applyProtection="1">
      <alignment horizontal="justify" vertical="center" wrapText="1"/>
      <protection locked="0"/>
    </xf>
    <xf numFmtId="0" fontId="4" fillId="0" borderId="4" xfId="3" applyFont="1" applyFill="1" applyBorder="1" applyAlignment="1" applyProtection="1">
      <alignment horizontal="justify" vertical="center" wrapText="1"/>
      <protection locked="0"/>
    </xf>
    <xf numFmtId="0" fontId="4" fillId="0" borderId="6" xfId="3" applyFont="1" applyFill="1" applyBorder="1" applyAlignment="1" applyProtection="1">
      <alignment horizontal="justify" vertical="center" wrapText="1"/>
      <protection locked="0"/>
    </xf>
    <xf numFmtId="1" fontId="13" fillId="3" borderId="1" xfId="22" applyNumberFormat="1" applyFont="1" applyFill="1" applyBorder="1" applyAlignment="1" applyProtection="1">
      <alignment horizontal="center" vertical="center" wrapText="1"/>
      <protection locked="0"/>
    </xf>
    <xf numFmtId="1" fontId="13" fillId="3" borderId="9" xfId="22" applyNumberFormat="1" applyFont="1" applyFill="1" applyBorder="1" applyAlignment="1" applyProtection="1">
      <alignment horizontal="center" vertical="center" wrapText="1"/>
      <protection locked="0"/>
    </xf>
    <xf numFmtId="1" fontId="13" fillId="3" borderId="2" xfId="22" applyNumberFormat="1" applyFont="1" applyFill="1" applyBorder="1" applyAlignment="1" applyProtection="1">
      <alignment horizontal="center" vertical="center" wrapText="1"/>
      <protection locked="0"/>
    </xf>
    <xf numFmtId="0" fontId="4" fillId="3" borderId="7" xfId="3" applyFont="1" applyFill="1" applyBorder="1" applyAlignment="1" applyProtection="1">
      <alignment horizontal="left" vertical="center" wrapText="1"/>
      <protection locked="0"/>
    </xf>
    <xf numFmtId="0" fontId="4" fillId="3" borderId="8" xfId="3" applyFont="1" applyFill="1" applyBorder="1" applyAlignment="1" applyProtection="1">
      <alignment horizontal="left" vertical="center" wrapText="1"/>
      <protection locked="0"/>
    </xf>
    <xf numFmtId="0" fontId="4" fillId="3" borderId="5" xfId="3" applyFont="1" applyFill="1" applyBorder="1" applyAlignment="1" applyProtection="1">
      <alignment horizontal="left" vertical="center" wrapText="1"/>
      <protection locked="0"/>
    </xf>
    <xf numFmtId="0" fontId="4" fillId="3" borderId="3" xfId="3" applyFont="1" applyFill="1" applyBorder="1" applyAlignment="1" applyProtection="1">
      <alignment horizontal="justify" vertical="center" wrapText="1"/>
      <protection locked="0"/>
    </xf>
    <xf numFmtId="0" fontId="2" fillId="3" borderId="1" xfId="22" applyFont="1" applyFill="1" applyBorder="1" applyAlignment="1">
      <alignment horizontal="center" vertical="center" wrapText="1"/>
    </xf>
    <xf numFmtId="0" fontId="2" fillId="3" borderId="9" xfId="22" applyFont="1" applyFill="1" applyBorder="1" applyAlignment="1">
      <alignment horizontal="center" vertical="center" wrapText="1"/>
    </xf>
    <xf numFmtId="0" fontId="2" fillId="3" borderId="2" xfId="22" applyFont="1" applyFill="1" applyBorder="1" applyAlignment="1">
      <alignment horizontal="center" vertical="center" wrapText="1"/>
    </xf>
    <xf numFmtId="0" fontId="4" fillId="3" borderId="1" xfId="3" applyFont="1" applyFill="1" applyBorder="1" applyAlignment="1" applyProtection="1">
      <alignment horizontal="center" vertical="center" wrapText="1"/>
      <protection locked="0"/>
    </xf>
    <xf numFmtId="0" fontId="4" fillId="3" borderId="9" xfId="3" applyFont="1" applyFill="1" applyBorder="1" applyAlignment="1" applyProtection="1">
      <alignment horizontal="center" vertical="center" wrapText="1"/>
      <protection locked="0"/>
    </xf>
    <xf numFmtId="0" fontId="4" fillId="3" borderId="2" xfId="3" applyFont="1" applyFill="1" applyBorder="1" applyAlignment="1" applyProtection="1">
      <alignment horizontal="center" vertical="center" wrapText="1"/>
      <protection locked="0"/>
    </xf>
    <xf numFmtId="0" fontId="3" fillId="8" borderId="3" xfId="22" applyFont="1" applyFill="1" applyBorder="1" applyAlignment="1">
      <alignment horizontal="center" vertical="center" wrapText="1"/>
    </xf>
    <xf numFmtId="0" fontId="3" fillId="8" borderId="3" xfId="22" applyFont="1" applyFill="1" applyBorder="1" applyAlignment="1">
      <alignment horizontal="center" vertical="center"/>
    </xf>
    <xf numFmtId="0" fontId="7" fillId="3" borderId="1" xfId="3" applyFont="1" applyFill="1" applyBorder="1" applyAlignment="1" applyProtection="1">
      <alignment horizontal="center" vertical="center" wrapText="1"/>
      <protection locked="0"/>
    </xf>
    <xf numFmtId="0" fontId="7" fillId="3" borderId="9" xfId="3" applyFont="1" applyFill="1" applyBorder="1" applyAlignment="1" applyProtection="1">
      <alignment horizontal="center" vertical="center" wrapText="1"/>
      <protection locked="0"/>
    </xf>
    <xf numFmtId="0" fontId="7" fillId="3" borderId="2" xfId="3" applyFont="1" applyFill="1" applyBorder="1" applyAlignment="1" applyProtection="1">
      <alignment horizontal="center" vertical="center" wrapText="1"/>
      <protection locked="0"/>
    </xf>
    <xf numFmtId="0" fontId="13" fillId="3" borderId="14" xfId="3" applyFont="1" applyFill="1" applyBorder="1" applyAlignment="1" applyProtection="1">
      <alignment horizontal="justify" vertical="center" wrapText="1"/>
      <protection locked="0"/>
    </xf>
    <xf numFmtId="0" fontId="13" fillId="3" borderId="13" xfId="3" applyFont="1" applyFill="1" applyBorder="1" applyAlignment="1" applyProtection="1">
      <alignment horizontal="justify" vertical="center" wrapText="1"/>
      <protection locked="0"/>
    </xf>
    <xf numFmtId="0" fontId="13" fillId="3" borderId="15" xfId="3" applyFont="1" applyFill="1" applyBorder="1" applyAlignment="1" applyProtection="1">
      <alignment horizontal="justify" vertical="center" wrapText="1"/>
      <protection locked="0"/>
    </xf>
    <xf numFmtId="0" fontId="13" fillId="3" borderId="10" xfId="3" applyFont="1" applyFill="1" applyBorder="1" applyAlignment="1" applyProtection="1">
      <alignment horizontal="justify" vertical="center" wrapText="1"/>
      <protection locked="0"/>
    </xf>
    <xf numFmtId="0" fontId="13" fillId="3" borderId="0" xfId="3" applyFont="1" applyFill="1" applyBorder="1" applyAlignment="1" applyProtection="1">
      <alignment horizontal="justify" vertical="center" wrapText="1"/>
      <protection locked="0"/>
    </xf>
    <xf numFmtId="0" fontId="13" fillId="3" borderId="11" xfId="3" applyFont="1" applyFill="1" applyBorder="1" applyAlignment="1" applyProtection="1">
      <alignment horizontal="justify" vertical="center" wrapText="1"/>
      <protection locked="0"/>
    </xf>
    <xf numFmtId="0" fontId="13" fillId="3" borderId="12" xfId="3" applyFont="1" applyFill="1" applyBorder="1" applyAlignment="1" applyProtection="1">
      <alignment horizontal="justify" vertical="center" wrapText="1"/>
      <protection locked="0"/>
    </xf>
    <xf numFmtId="0" fontId="13" fillId="3" borderId="4" xfId="3" applyFont="1" applyFill="1" applyBorder="1" applyAlignment="1" applyProtection="1">
      <alignment horizontal="justify" vertical="center" wrapText="1"/>
      <protection locked="0"/>
    </xf>
    <xf numFmtId="0" fontId="13" fillId="3" borderId="6" xfId="3" applyFont="1" applyFill="1" applyBorder="1" applyAlignment="1" applyProtection="1">
      <alignment horizontal="justify" vertical="center" wrapText="1"/>
      <protection locked="0"/>
    </xf>
    <xf numFmtId="0" fontId="4" fillId="3" borderId="14" xfId="3" applyFont="1" applyFill="1" applyBorder="1" applyAlignment="1" applyProtection="1">
      <alignment horizontal="justify" vertical="center" wrapText="1"/>
      <protection locked="0"/>
    </xf>
    <xf numFmtId="0" fontId="4" fillId="3" borderId="13" xfId="3" applyFont="1" applyFill="1" applyBorder="1" applyAlignment="1" applyProtection="1">
      <alignment horizontal="justify" vertical="center" wrapText="1"/>
      <protection locked="0"/>
    </xf>
    <xf numFmtId="0" fontId="4" fillId="3" borderId="15" xfId="3" applyFont="1" applyFill="1" applyBorder="1" applyAlignment="1" applyProtection="1">
      <alignment horizontal="justify" vertical="center" wrapText="1"/>
      <protection locked="0"/>
    </xf>
    <xf numFmtId="0" fontId="4" fillId="3" borderId="10" xfId="3" applyFont="1" applyFill="1" applyBorder="1" applyAlignment="1" applyProtection="1">
      <alignment horizontal="justify" vertical="center" wrapText="1"/>
      <protection locked="0"/>
    </xf>
    <xf numFmtId="0" fontId="4" fillId="3" borderId="0" xfId="3" applyFont="1" applyFill="1" applyBorder="1" applyAlignment="1" applyProtection="1">
      <alignment horizontal="justify" vertical="center" wrapText="1"/>
      <protection locked="0"/>
    </xf>
    <xf numFmtId="0" fontId="4" fillId="3" borderId="11" xfId="3" applyFont="1" applyFill="1" applyBorder="1" applyAlignment="1" applyProtection="1">
      <alignment horizontal="justify" vertical="center" wrapText="1"/>
      <protection locked="0"/>
    </xf>
    <xf numFmtId="0" fontId="4" fillId="3" borderId="12" xfId="3" applyFont="1" applyFill="1" applyBorder="1" applyAlignment="1" applyProtection="1">
      <alignment horizontal="justify" vertical="center" wrapText="1"/>
      <protection locked="0"/>
    </xf>
    <xf numFmtId="0" fontId="4" fillId="3" borderId="4" xfId="3" applyFont="1" applyFill="1" applyBorder="1" applyAlignment="1" applyProtection="1">
      <alignment horizontal="justify" vertical="center" wrapText="1"/>
      <protection locked="0"/>
    </xf>
    <xf numFmtId="0" fontId="4" fillId="3" borderId="6" xfId="3" applyFont="1" applyFill="1" applyBorder="1" applyAlignment="1" applyProtection="1">
      <alignment horizontal="justify" vertical="center" wrapText="1"/>
      <protection locked="0"/>
    </xf>
    <xf numFmtId="14" fontId="70" fillId="3" borderId="14" xfId="22" applyNumberFormat="1" applyFont="1" applyFill="1" applyBorder="1" applyAlignment="1">
      <alignment horizontal="center" vertical="center" wrapText="1"/>
    </xf>
    <xf numFmtId="14" fontId="70" fillId="3" borderId="13" xfId="22" applyNumberFormat="1" applyFont="1" applyFill="1" applyBorder="1" applyAlignment="1">
      <alignment horizontal="center" vertical="center" wrapText="1"/>
    </xf>
    <xf numFmtId="0" fontId="70" fillId="0" borderId="3" xfId="22" applyFont="1" applyBorder="1" applyAlignment="1">
      <alignment horizontal="center" vertical="center"/>
    </xf>
    <xf numFmtId="0" fontId="74" fillId="3" borderId="7" xfId="22" applyFont="1" applyFill="1" applyBorder="1" applyAlignment="1">
      <alignment horizontal="justify" vertical="top" wrapText="1"/>
    </xf>
    <xf numFmtId="0" fontId="74" fillId="3" borderId="8" xfId="22" applyFont="1" applyFill="1" applyBorder="1" applyAlignment="1">
      <alignment horizontal="justify" vertical="top" wrapText="1"/>
    </xf>
    <xf numFmtId="0" fontId="74" fillId="3" borderId="5" xfId="22" applyFont="1" applyFill="1" applyBorder="1" applyAlignment="1">
      <alignment horizontal="justify" vertical="top" wrapText="1"/>
    </xf>
    <xf numFmtId="0" fontId="74" fillId="0" borderId="14" xfId="22" applyFont="1" applyBorder="1" applyAlignment="1" applyProtection="1">
      <alignment horizontal="justify" vertical="center" wrapText="1"/>
      <protection locked="0"/>
    </xf>
    <xf numFmtId="0" fontId="74" fillId="0" borderId="13" xfId="22" applyFont="1" applyBorder="1" applyAlignment="1" applyProtection="1">
      <alignment horizontal="justify" vertical="center" wrapText="1"/>
      <protection locked="0"/>
    </xf>
    <xf numFmtId="0" fontId="74" fillId="0" borderId="15" xfId="22" applyFont="1" applyBorder="1" applyAlignment="1" applyProtection="1">
      <alignment horizontal="justify" vertical="center" wrapText="1"/>
      <protection locked="0"/>
    </xf>
    <xf numFmtId="0" fontId="74" fillId="0" borderId="10" xfId="22" applyFont="1" applyBorder="1" applyAlignment="1" applyProtection="1">
      <alignment horizontal="justify" vertical="center" wrapText="1"/>
      <protection locked="0"/>
    </xf>
    <xf numFmtId="0" fontId="74" fillId="0" borderId="0" xfId="22" applyFont="1" applyBorder="1" applyAlignment="1" applyProtection="1">
      <alignment horizontal="justify" vertical="center" wrapText="1"/>
      <protection locked="0"/>
    </xf>
    <xf numFmtId="0" fontId="74" fillId="0" borderId="11" xfId="22" applyFont="1" applyBorder="1" applyAlignment="1" applyProtection="1">
      <alignment horizontal="justify" vertical="center" wrapText="1"/>
      <protection locked="0"/>
    </xf>
    <xf numFmtId="0" fontId="74" fillId="0" borderId="12" xfId="22" applyFont="1" applyBorder="1" applyAlignment="1" applyProtection="1">
      <alignment horizontal="justify" vertical="center" wrapText="1"/>
      <protection locked="0"/>
    </xf>
    <xf numFmtId="0" fontId="74" fillId="0" borderId="4" xfId="22" applyFont="1" applyBorder="1" applyAlignment="1" applyProtection="1">
      <alignment horizontal="justify" vertical="center" wrapText="1"/>
      <protection locked="0"/>
    </xf>
    <xf numFmtId="0" fontId="74" fillId="0" borderId="6" xfId="22" applyFont="1" applyBorder="1" applyAlignment="1" applyProtection="1">
      <alignment horizontal="justify" vertical="center" wrapText="1"/>
      <protection locked="0"/>
    </xf>
    <xf numFmtId="0" fontId="102" fillId="8" borderId="3" xfId="9" applyFont="1" applyFill="1" applyBorder="1" applyAlignment="1">
      <alignment horizontal="justify" vertical="center" wrapText="1"/>
    </xf>
    <xf numFmtId="0" fontId="4" fillId="3" borderId="3" xfId="9" applyFont="1" applyFill="1" applyBorder="1" applyAlignment="1" applyProtection="1">
      <alignment horizontal="center" vertical="center" textRotation="90" wrapText="1"/>
    </xf>
    <xf numFmtId="0" fontId="98" fillId="8" borderId="1" xfId="22" applyFont="1" applyFill="1" applyBorder="1" applyAlignment="1" applyProtection="1">
      <alignment horizontal="justify" vertical="center" wrapText="1"/>
      <protection locked="0"/>
    </xf>
    <xf numFmtId="0" fontId="98" fillId="8" borderId="9" xfId="22" applyFont="1" applyFill="1" applyBorder="1" applyAlignment="1" applyProtection="1">
      <alignment horizontal="justify" vertical="center" wrapText="1"/>
      <protection locked="0"/>
    </xf>
    <xf numFmtId="0" fontId="98" fillId="8" borderId="2" xfId="22" applyFont="1" applyFill="1" applyBorder="1" applyAlignment="1" applyProtection="1">
      <alignment horizontal="justify" vertical="center" wrapText="1"/>
      <protection locked="0"/>
    </xf>
    <xf numFmtId="0" fontId="7" fillId="3" borderId="7" xfId="9" applyFont="1" applyFill="1" applyBorder="1" applyAlignment="1">
      <alignment horizontal="justify" vertical="center" wrapText="1"/>
    </xf>
    <xf numFmtId="0" fontId="7" fillId="3" borderId="8" xfId="9" applyFont="1" applyFill="1" applyBorder="1" applyAlignment="1">
      <alignment horizontal="justify" vertical="center" wrapText="1"/>
    </xf>
    <xf numFmtId="0" fontId="7" fillId="3" borderId="5" xfId="9" applyFont="1" applyFill="1" applyBorder="1" applyAlignment="1">
      <alignment horizontal="justify" vertical="center" wrapText="1"/>
    </xf>
    <xf numFmtId="0" fontId="7" fillId="3" borderId="3" xfId="9" applyFont="1" applyFill="1" applyBorder="1" applyAlignment="1">
      <alignment horizontal="justify" vertical="center" wrapText="1"/>
    </xf>
    <xf numFmtId="15" fontId="2" fillId="3" borderId="1" xfId="22" applyNumberFormat="1" applyFont="1" applyFill="1" applyBorder="1" applyAlignment="1" applyProtection="1">
      <alignment horizontal="center" vertical="center"/>
      <protection locked="0"/>
    </xf>
    <xf numFmtId="15" fontId="2" fillId="3" borderId="9" xfId="22" applyNumberFormat="1" applyFont="1" applyFill="1" applyBorder="1" applyAlignment="1" applyProtection="1">
      <alignment horizontal="center" vertical="center"/>
      <protection locked="0"/>
    </xf>
    <xf numFmtId="15" fontId="2" fillId="3" borderId="2" xfId="22" applyNumberFormat="1" applyFont="1" applyFill="1" applyBorder="1" applyAlignment="1" applyProtection="1">
      <alignment horizontal="center" vertical="center"/>
      <protection locked="0"/>
    </xf>
    <xf numFmtId="0" fontId="4" fillId="10" borderId="3" xfId="9" applyFont="1" applyFill="1" applyBorder="1" applyAlignment="1" applyProtection="1">
      <alignment horizontal="center" vertical="center" textRotation="90" wrapText="1"/>
    </xf>
    <xf numFmtId="0" fontId="7" fillId="0" borderId="1" xfId="22" applyFont="1" applyFill="1" applyBorder="1" applyAlignment="1" applyProtection="1">
      <alignment horizontal="center" vertical="center" wrapText="1"/>
      <protection locked="0"/>
    </xf>
    <xf numFmtId="0" fontId="7" fillId="0" borderId="9" xfId="22" applyFont="1" applyFill="1" applyBorder="1" applyAlignment="1" applyProtection="1">
      <alignment horizontal="center" vertical="center" wrapText="1"/>
      <protection locked="0"/>
    </xf>
    <xf numFmtId="0" fontId="7" fillId="0" borderId="2" xfId="22" applyFont="1" applyFill="1" applyBorder="1" applyAlignment="1" applyProtection="1">
      <alignment horizontal="center" vertical="center" wrapText="1"/>
      <protection locked="0"/>
    </xf>
    <xf numFmtId="0" fontId="3" fillId="3" borderId="3" xfId="9" applyFont="1" applyFill="1" applyBorder="1" applyAlignment="1">
      <alignment horizontal="justify" vertical="center" wrapText="1"/>
    </xf>
    <xf numFmtId="0" fontId="102" fillId="8" borderId="14" xfId="9" applyFont="1" applyFill="1" applyBorder="1" applyAlignment="1">
      <alignment horizontal="justify" vertical="center" wrapText="1"/>
    </xf>
    <xf numFmtId="0" fontId="102" fillId="8" borderId="13" xfId="9" applyFont="1" applyFill="1" applyBorder="1" applyAlignment="1">
      <alignment horizontal="justify" vertical="center" wrapText="1"/>
    </xf>
    <xf numFmtId="0" fontId="102" fillId="8" borderId="15" xfId="9" applyFont="1" applyFill="1" applyBorder="1" applyAlignment="1">
      <alignment horizontal="justify" vertical="center" wrapText="1"/>
    </xf>
    <xf numFmtId="0" fontId="102" fillId="8" borderId="10" xfId="9" applyFont="1" applyFill="1" applyBorder="1" applyAlignment="1">
      <alignment horizontal="justify" vertical="center" wrapText="1"/>
    </xf>
    <xf numFmtId="0" fontId="102" fillId="8" borderId="0" xfId="9" applyFont="1" applyFill="1" applyBorder="1" applyAlignment="1">
      <alignment horizontal="justify" vertical="center" wrapText="1"/>
    </xf>
    <xf numFmtId="0" fontId="102" fillId="8" borderId="11" xfId="9" applyFont="1" applyFill="1" applyBorder="1" applyAlignment="1">
      <alignment horizontal="justify" vertical="center" wrapText="1"/>
    </xf>
    <xf numFmtId="0" fontId="102" fillId="8" borderId="12" xfId="9" applyFont="1" applyFill="1" applyBorder="1" applyAlignment="1">
      <alignment horizontal="justify" vertical="center" wrapText="1"/>
    </xf>
    <xf numFmtId="0" fontId="102" fillId="8" borderId="4" xfId="9" applyFont="1" applyFill="1" applyBorder="1" applyAlignment="1">
      <alignment horizontal="justify" vertical="center" wrapText="1"/>
    </xf>
    <xf numFmtId="0" fontId="102" fillId="8" borderId="6" xfId="9" applyFont="1" applyFill="1" applyBorder="1" applyAlignment="1">
      <alignment horizontal="justify" vertical="center" wrapText="1"/>
    </xf>
    <xf numFmtId="0" fontId="7" fillId="3" borderId="14" xfId="9" applyFont="1" applyFill="1" applyBorder="1" applyAlignment="1">
      <alignment horizontal="justify" vertical="center" wrapText="1"/>
    </xf>
    <xf numFmtId="0" fontId="7" fillId="3" borderId="10" xfId="9" applyFont="1" applyFill="1" applyBorder="1" applyAlignment="1">
      <alignment horizontal="justify" vertical="center" wrapText="1"/>
    </xf>
    <xf numFmtId="0" fontId="7" fillId="3" borderId="12" xfId="9" applyFont="1" applyFill="1" applyBorder="1" applyAlignment="1">
      <alignment horizontal="justify" vertical="center" wrapText="1"/>
    </xf>
    <xf numFmtId="0" fontId="7" fillId="0" borderId="3" xfId="9" applyFont="1" applyFill="1" applyBorder="1" applyAlignment="1">
      <alignment horizontal="justify" vertical="center" wrapText="1"/>
    </xf>
    <xf numFmtId="0" fontId="4" fillId="3" borderId="14" xfId="9" applyFont="1" applyFill="1" applyBorder="1" applyAlignment="1">
      <alignment horizontal="center" vertical="center" wrapText="1"/>
    </xf>
    <xf numFmtId="0" fontId="4" fillId="3" borderId="10" xfId="9" applyFont="1" applyFill="1" applyBorder="1" applyAlignment="1">
      <alignment horizontal="center" vertical="center" wrapText="1"/>
    </xf>
    <xf numFmtId="0" fontId="4" fillId="3" borderId="12" xfId="9" applyFont="1" applyFill="1" applyBorder="1" applyAlignment="1">
      <alignment horizontal="center" vertical="center" wrapText="1"/>
    </xf>
    <xf numFmtId="0" fontId="3" fillId="3" borderId="14" xfId="9" applyFont="1" applyFill="1" applyBorder="1" applyAlignment="1">
      <alignment horizontal="justify" vertical="center" wrapText="1"/>
    </xf>
    <xf numFmtId="0" fontId="3" fillId="3" borderId="13" xfId="9" applyFont="1" applyFill="1" applyBorder="1" applyAlignment="1">
      <alignment horizontal="justify" vertical="center" wrapText="1"/>
    </xf>
    <xf numFmtId="0" fontId="3" fillId="3" borderId="15" xfId="9" applyFont="1" applyFill="1" applyBorder="1" applyAlignment="1">
      <alignment horizontal="justify" vertical="center" wrapText="1"/>
    </xf>
    <xf numFmtId="0" fontId="3" fillId="3" borderId="10" xfId="9" applyFont="1" applyFill="1" applyBorder="1" applyAlignment="1">
      <alignment horizontal="justify" vertical="center" wrapText="1"/>
    </xf>
    <xf numFmtId="0" fontId="3" fillId="3" borderId="0" xfId="9" applyFont="1" applyFill="1" applyBorder="1" applyAlignment="1">
      <alignment horizontal="justify" vertical="center" wrapText="1"/>
    </xf>
    <xf numFmtId="0" fontId="3" fillId="3" borderId="11" xfId="9" applyFont="1" applyFill="1" applyBorder="1" applyAlignment="1">
      <alignment horizontal="justify" vertical="center" wrapText="1"/>
    </xf>
    <xf numFmtId="0" fontId="3" fillId="3" borderId="12" xfId="9" applyFont="1" applyFill="1" applyBorder="1" applyAlignment="1">
      <alignment horizontal="justify" vertical="center" wrapText="1"/>
    </xf>
    <xf numFmtId="0" fontId="3" fillId="3" borderId="4" xfId="9" applyFont="1" applyFill="1" applyBorder="1" applyAlignment="1">
      <alignment horizontal="justify" vertical="center" wrapText="1"/>
    </xf>
    <xf numFmtId="0" fontId="3" fillId="3" borderId="6" xfId="9" applyFont="1" applyFill="1" applyBorder="1" applyAlignment="1">
      <alignment horizontal="justify" vertical="center" wrapText="1"/>
    </xf>
    <xf numFmtId="0" fontId="7" fillId="3" borderId="7" xfId="9" applyFont="1" applyFill="1" applyBorder="1" applyAlignment="1" applyProtection="1">
      <alignment horizontal="justify" vertical="center" wrapText="1"/>
      <protection locked="0"/>
    </xf>
    <xf numFmtId="0" fontId="7" fillId="3" borderId="8" xfId="9" applyFont="1" applyFill="1" applyBorder="1" applyAlignment="1" applyProtection="1">
      <alignment horizontal="justify" vertical="center" wrapText="1"/>
      <protection locked="0"/>
    </xf>
    <xf numFmtId="0" fontId="7" fillId="3" borderId="5" xfId="9" applyFont="1" applyFill="1" applyBorder="1" applyAlignment="1" applyProtection="1">
      <alignment horizontal="justify" vertical="center" wrapText="1"/>
      <protection locked="0"/>
    </xf>
    <xf numFmtId="0" fontId="7" fillId="0" borderId="7" xfId="9" applyFont="1" applyFill="1" applyBorder="1" applyAlignment="1" applyProtection="1">
      <alignment horizontal="justify" vertical="center" wrapText="1"/>
      <protection locked="0"/>
    </xf>
    <xf numFmtId="0" fontId="7" fillId="0" borderId="8" xfId="9" applyFont="1" applyFill="1" applyBorder="1" applyAlignment="1" applyProtection="1">
      <alignment horizontal="justify" vertical="center" wrapText="1"/>
      <protection locked="0"/>
    </xf>
    <xf numFmtId="0" fontId="7" fillId="0" borderId="5" xfId="9" applyFont="1" applyFill="1" applyBorder="1" applyAlignment="1" applyProtection="1">
      <alignment horizontal="justify" vertical="center" wrapText="1"/>
      <protection locked="0"/>
    </xf>
    <xf numFmtId="9" fontId="2" fillId="3" borderId="1" xfId="22" applyNumberFormat="1" applyFont="1" applyFill="1" applyBorder="1" applyAlignment="1" applyProtection="1">
      <alignment horizontal="center" vertical="center" wrapText="1"/>
      <protection locked="0"/>
    </xf>
    <xf numFmtId="9" fontId="2" fillId="3" borderId="9" xfId="22" applyNumberFormat="1" applyFont="1" applyFill="1" applyBorder="1" applyAlignment="1" applyProtection="1">
      <alignment horizontal="center" vertical="center" wrapText="1"/>
      <protection locked="0"/>
    </xf>
    <xf numFmtId="9" fontId="2" fillId="3" borderId="2" xfId="22" applyNumberFormat="1" applyFont="1" applyFill="1" applyBorder="1" applyAlignment="1" applyProtection="1">
      <alignment horizontal="center" vertical="center" wrapText="1"/>
      <protection locked="0"/>
    </xf>
    <xf numFmtId="0" fontId="7" fillId="0" borderId="3" xfId="9" applyFont="1" applyFill="1" applyBorder="1" applyAlignment="1" applyProtection="1">
      <alignment horizontal="justify" vertical="center" wrapText="1"/>
      <protection locked="0"/>
    </xf>
    <xf numFmtId="0" fontId="7" fillId="3" borderId="3" xfId="9" applyFont="1" applyFill="1" applyBorder="1" applyAlignment="1" applyProtection="1">
      <alignment horizontal="justify" vertical="center" wrapText="1"/>
      <protection locked="0"/>
    </xf>
    <xf numFmtId="0" fontId="102" fillId="8" borderId="14" xfId="9" applyFont="1" applyFill="1" applyBorder="1" applyAlignment="1" applyProtection="1">
      <alignment horizontal="justify" vertical="center" wrapText="1"/>
      <protection locked="0"/>
    </xf>
    <xf numFmtId="0" fontId="102" fillId="8" borderId="13" xfId="9" applyFont="1" applyFill="1" applyBorder="1" applyAlignment="1" applyProtection="1">
      <alignment horizontal="justify" vertical="center" wrapText="1"/>
      <protection locked="0"/>
    </xf>
    <xf numFmtId="0" fontId="102" fillId="8" borderId="15" xfId="9" applyFont="1" applyFill="1" applyBorder="1" applyAlignment="1" applyProtection="1">
      <alignment horizontal="justify" vertical="center" wrapText="1"/>
      <protection locked="0"/>
    </xf>
    <xf numFmtId="0" fontId="102" fillId="8" borderId="10" xfId="9" applyFont="1" applyFill="1" applyBorder="1" applyAlignment="1" applyProtection="1">
      <alignment horizontal="justify" vertical="center" wrapText="1"/>
      <protection locked="0"/>
    </xf>
    <xf numFmtId="0" fontId="102" fillId="8" borderId="0" xfId="9" applyFont="1" applyFill="1" applyBorder="1" applyAlignment="1" applyProtection="1">
      <alignment horizontal="justify" vertical="center" wrapText="1"/>
      <protection locked="0"/>
    </xf>
    <xf numFmtId="0" fontId="102" fillId="8" borderId="11" xfId="9" applyFont="1" applyFill="1" applyBorder="1" applyAlignment="1" applyProtection="1">
      <alignment horizontal="justify" vertical="center" wrapText="1"/>
      <protection locked="0"/>
    </xf>
    <xf numFmtId="0" fontId="102" fillId="8" borderId="12" xfId="9" applyFont="1" applyFill="1" applyBorder="1" applyAlignment="1" applyProtection="1">
      <alignment horizontal="justify" vertical="center" wrapText="1"/>
      <protection locked="0"/>
    </xf>
    <xf numFmtId="0" fontId="102" fillId="8" borderId="4" xfId="9" applyFont="1" applyFill="1" applyBorder="1" applyAlignment="1" applyProtection="1">
      <alignment horizontal="justify" vertical="center" wrapText="1"/>
      <protection locked="0"/>
    </xf>
    <xf numFmtId="0" fontId="102" fillId="8" borderId="6" xfId="9" applyFont="1" applyFill="1" applyBorder="1" applyAlignment="1" applyProtection="1">
      <alignment horizontal="justify" vertical="center" wrapText="1"/>
      <protection locked="0"/>
    </xf>
    <xf numFmtId="0" fontId="102" fillId="8" borderId="3" xfId="14" applyFont="1" applyFill="1" applyBorder="1" applyAlignment="1" applyProtection="1">
      <alignment horizontal="justify" vertical="center" wrapText="1"/>
      <protection locked="0"/>
    </xf>
    <xf numFmtId="0" fontId="7" fillId="3" borderId="1" xfId="9" applyFont="1" applyFill="1" applyBorder="1" applyAlignment="1" applyProtection="1">
      <alignment horizontal="center" vertical="center" wrapText="1"/>
      <protection locked="0"/>
    </xf>
    <xf numFmtId="0" fontId="7" fillId="3" borderId="9" xfId="9" applyFont="1" applyFill="1" applyBorder="1" applyAlignment="1" applyProtection="1">
      <alignment horizontal="center" vertical="center" wrapText="1"/>
      <protection locked="0"/>
    </xf>
    <xf numFmtId="0" fontId="7" fillId="3" borderId="2" xfId="9" applyFont="1" applyFill="1" applyBorder="1" applyAlignment="1" applyProtection="1">
      <alignment horizontal="center" vertical="center" wrapText="1"/>
      <protection locked="0"/>
    </xf>
    <xf numFmtId="0" fontId="7" fillId="3" borderId="1" xfId="9" applyFont="1" applyFill="1" applyBorder="1" applyAlignment="1" applyProtection="1">
      <alignment horizontal="center" vertical="center" textRotation="90" wrapText="1"/>
      <protection locked="0"/>
    </xf>
    <xf numFmtId="0" fontId="7" fillId="3" borderId="9" xfId="9" applyFont="1" applyFill="1" applyBorder="1" applyAlignment="1" applyProtection="1">
      <alignment horizontal="center" vertical="center" textRotation="90" wrapText="1"/>
      <protection locked="0"/>
    </xf>
    <xf numFmtId="0" fontId="7" fillId="3" borderId="2" xfId="9" applyFont="1" applyFill="1" applyBorder="1" applyAlignment="1" applyProtection="1">
      <alignment horizontal="center" vertical="center" textRotation="90" wrapText="1"/>
      <protection locked="0"/>
    </xf>
    <xf numFmtId="0" fontId="13" fillId="3" borderId="14" xfId="9" applyFont="1" applyFill="1" applyBorder="1" applyAlignment="1" applyProtection="1">
      <alignment horizontal="justify" vertical="center" wrapText="1"/>
      <protection locked="0"/>
    </xf>
    <xf numFmtId="0" fontId="13" fillId="3" borderId="13" xfId="9" applyFont="1" applyFill="1" applyBorder="1" applyAlignment="1" applyProtection="1">
      <alignment horizontal="justify" vertical="center" wrapText="1"/>
      <protection locked="0"/>
    </xf>
    <xf numFmtId="0" fontId="13" fillId="3" borderId="15" xfId="9" applyFont="1" applyFill="1" applyBorder="1" applyAlignment="1" applyProtection="1">
      <alignment horizontal="justify" vertical="center" wrapText="1"/>
      <protection locked="0"/>
    </xf>
    <xf numFmtId="0" fontId="13" fillId="3" borderId="10" xfId="9" applyFont="1" applyFill="1" applyBorder="1" applyAlignment="1" applyProtection="1">
      <alignment horizontal="justify" vertical="center" wrapText="1"/>
      <protection locked="0"/>
    </xf>
    <xf numFmtId="0" fontId="13" fillId="3" borderId="0" xfId="9" applyFont="1" applyFill="1" applyBorder="1" applyAlignment="1" applyProtection="1">
      <alignment horizontal="justify" vertical="center" wrapText="1"/>
      <protection locked="0"/>
    </xf>
    <xf numFmtId="0" fontId="13" fillId="3" borderId="11" xfId="9" applyFont="1" applyFill="1" applyBorder="1" applyAlignment="1" applyProtection="1">
      <alignment horizontal="justify" vertical="center" wrapText="1"/>
      <protection locked="0"/>
    </xf>
    <xf numFmtId="0" fontId="13" fillId="3" borderId="12" xfId="9" applyFont="1" applyFill="1" applyBorder="1" applyAlignment="1" applyProtection="1">
      <alignment horizontal="justify" vertical="center" wrapText="1"/>
      <protection locked="0"/>
    </xf>
    <xf numFmtId="0" fontId="13" fillId="3" borderId="4" xfId="9" applyFont="1" applyFill="1" applyBorder="1" applyAlignment="1" applyProtection="1">
      <alignment horizontal="justify" vertical="center" wrapText="1"/>
      <protection locked="0"/>
    </xf>
    <xf numFmtId="0" fontId="13" fillId="3" borderId="6" xfId="9" applyFont="1" applyFill="1" applyBorder="1" applyAlignment="1" applyProtection="1">
      <alignment horizontal="justify" vertical="center" wrapText="1"/>
      <protection locked="0"/>
    </xf>
    <xf numFmtId="0" fontId="7" fillId="0" borderId="3" xfId="14" applyFont="1" applyFill="1" applyBorder="1" applyAlignment="1" applyProtection="1">
      <alignment horizontal="justify" vertical="center" wrapText="1"/>
      <protection locked="0"/>
    </xf>
    <xf numFmtId="0" fontId="7" fillId="3" borderId="3" xfId="14" applyFont="1" applyFill="1" applyBorder="1" applyAlignment="1" applyProtection="1">
      <alignment horizontal="justify" vertical="center" wrapText="1"/>
      <protection locked="0"/>
    </xf>
    <xf numFmtId="0" fontId="13" fillId="3" borderId="3" xfId="14" applyFont="1" applyFill="1" applyBorder="1" applyAlignment="1" applyProtection="1">
      <alignment horizontal="justify" vertical="center" wrapText="1"/>
      <protection locked="0"/>
    </xf>
    <xf numFmtId="0" fontId="7" fillId="3" borderId="7" xfId="14" applyFont="1" applyFill="1" applyBorder="1" applyAlignment="1" applyProtection="1">
      <alignment horizontal="justify" vertical="center" wrapText="1"/>
      <protection locked="0"/>
    </xf>
    <xf numFmtId="0" fontId="7" fillId="3" borderId="8" xfId="14" applyFont="1" applyFill="1" applyBorder="1" applyAlignment="1" applyProtection="1">
      <alignment horizontal="justify" vertical="center" wrapText="1"/>
      <protection locked="0"/>
    </xf>
    <xf numFmtId="0" fontId="7" fillId="3" borderId="5" xfId="14" applyFont="1" applyFill="1" applyBorder="1" applyAlignment="1" applyProtection="1">
      <alignment horizontal="justify" vertical="center" wrapText="1"/>
      <protection locked="0"/>
    </xf>
    <xf numFmtId="0" fontId="7" fillId="3" borderId="3" xfId="14" applyFont="1" applyFill="1" applyBorder="1" applyAlignment="1" applyProtection="1">
      <alignment horizontal="center" vertical="center" wrapText="1"/>
      <protection locked="0"/>
    </xf>
    <xf numFmtId="0" fontId="7" fillId="3" borderId="3" xfId="14" applyFont="1" applyFill="1" applyBorder="1" applyAlignment="1" applyProtection="1">
      <alignment horizontal="center" vertical="center" textRotation="90" wrapText="1"/>
      <protection locked="0"/>
    </xf>
    <xf numFmtId="0" fontId="101" fillId="8" borderId="14" xfId="14" applyFont="1" applyFill="1" applyBorder="1" applyAlignment="1" applyProtection="1">
      <alignment horizontal="justify" vertical="center" wrapText="1"/>
      <protection locked="0"/>
    </xf>
    <xf numFmtId="0" fontId="102" fillId="8" borderId="13" xfId="14" applyFont="1" applyFill="1" applyBorder="1" applyAlignment="1" applyProtection="1">
      <alignment horizontal="justify" vertical="center" wrapText="1"/>
      <protection locked="0"/>
    </xf>
    <xf numFmtId="0" fontId="102" fillId="8" borderId="15" xfId="14" applyFont="1" applyFill="1" applyBorder="1" applyAlignment="1" applyProtection="1">
      <alignment horizontal="justify" vertical="center" wrapText="1"/>
      <protection locked="0"/>
    </xf>
    <xf numFmtId="0" fontId="102" fillId="8" borderId="10" xfId="14" applyFont="1" applyFill="1" applyBorder="1" applyAlignment="1" applyProtection="1">
      <alignment horizontal="justify" vertical="center" wrapText="1"/>
      <protection locked="0"/>
    </xf>
    <xf numFmtId="0" fontId="102" fillId="8" borderId="0" xfId="14" applyFont="1" applyFill="1" applyBorder="1" applyAlignment="1" applyProtection="1">
      <alignment horizontal="justify" vertical="center" wrapText="1"/>
      <protection locked="0"/>
    </xf>
    <xf numFmtId="0" fontId="102" fillId="8" borderId="11" xfId="14" applyFont="1" applyFill="1" applyBorder="1" applyAlignment="1" applyProtection="1">
      <alignment horizontal="justify" vertical="center" wrapText="1"/>
      <protection locked="0"/>
    </xf>
    <xf numFmtId="0" fontId="102" fillId="8" borderId="12" xfId="14" applyFont="1" applyFill="1" applyBorder="1" applyAlignment="1" applyProtection="1">
      <alignment horizontal="justify" vertical="center" wrapText="1"/>
      <protection locked="0"/>
    </xf>
    <xf numFmtId="0" fontId="102" fillId="8" borderId="4" xfId="14" applyFont="1" applyFill="1" applyBorder="1" applyAlignment="1" applyProtection="1">
      <alignment horizontal="justify" vertical="center" wrapText="1"/>
      <protection locked="0"/>
    </xf>
    <xf numFmtId="0" fontId="102" fillId="8" borderId="6" xfId="14" applyFont="1" applyFill="1" applyBorder="1" applyAlignment="1" applyProtection="1">
      <alignment horizontal="justify" vertical="center" wrapText="1"/>
      <protection locked="0"/>
    </xf>
    <xf numFmtId="0" fontId="7" fillId="0" borderId="7" xfId="14" applyFont="1" applyFill="1" applyBorder="1" applyAlignment="1" applyProtection="1">
      <alignment horizontal="justify" vertical="center" wrapText="1"/>
      <protection locked="0"/>
    </xf>
    <xf numFmtId="0" fontId="7" fillId="0" borderId="8" xfId="14" applyFont="1" applyFill="1" applyBorder="1" applyAlignment="1" applyProtection="1">
      <alignment horizontal="justify" vertical="center"/>
      <protection locked="0"/>
    </xf>
    <xf numFmtId="0" fontId="7" fillId="0" borderId="5" xfId="14" applyFont="1" applyFill="1" applyBorder="1" applyAlignment="1" applyProtection="1">
      <alignment horizontal="justify" vertical="center"/>
      <protection locked="0"/>
    </xf>
    <xf numFmtId="0" fontId="7" fillId="0" borderId="8" xfId="14" applyFont="1" applyFill="1" applyBorder="1" applyAlignment="1" applyProtection="1">
      <alignment horizontal="justify" vertical="center" wrapText="1"/>
      <protection locked="0"/>
    </xf>
    <xf numFmtId="0" fontId="7" fillId="0" borderId="5" xfId="14" applyFont="1" applyFill="1" applyBorder="1" applyAlignment="1" applyProtection="1">
      <alignment horizontal="justify" vertical="center" wrapText="1"/>
      <protection locked="0"/>
    </xf>
    <xf numFmtId="0" fontId="7" fillId="3" borderId="1" xfId="14" applyFont="1" applyFill="1" applyBorder="1" applyAlignment="1" applyProtection="1">
      <alignment horizontal="center" vertical="center" wrapText="1"/>
      <protection locked="0"/>
    </xf>
    <xf numFmtId="0" fontId="7" fillId="3" borderId="9" xfId="14" applyFont="1" applyFill="1" applyBorder="1" applyAlignment="1" applyProtection="1">
      <alignment horizontal="center" vertical="center" wrapText="1"/>
      <protection locked="0"/>
    </xf>
    <xf numFmtId="0" fontId="7" fillId="3" borderId="2" xfId="14" applyFont="1" applyFill="1" applyBorder="1" applyAlignment="1" applyProtection="1">
      <alignment horizontal="center" vertical="center" wrapText="1"/>
      <protection locked="0"/>
    </xf>
    <xf numFmtId="0" fontId="7" fillId="3" borderId="1" xfId="14" applyFont="1" applyFill="1" applyBorder="1" applyAlignment="1" applyProtection="1">
      <alignment horizontal="center" vertical="center" textRotation="90" wrapText="1"/>
      <protection locked="0"/>
    </xf>
    <xf numFmtId="0" fontId="7" fillId="3" borderId="9" xfId="14" applyFont="1" applyFill="1" applyBorder="1" applyAlignment="1" applyProtection="1">
      <alignment horizontal="center" vertical="center" textRotation="90" wrapText="1"/>
      <protection locked="0"/>
    </xf>
    <xf numFmtId="0" fontId="7" fillId="3" borderId="2" xfId="14" applyFont="1" applyFill="1" applyBorder="1" applyAlignment="1" applyProtection="1">
      <alignment horizontal="center" vertical="center" textRotation="90" wrapText="1"/>
      <protection locked="0"/>
    </xf>
    <xf numFmtId="0" fontId="13" fillId="3" borderId="14" xfId="14" applyFont="1" applyFill="1" applyBorder="1" applyAlignment="1" applyProtection="1">
      <alignment horizontal="justify" vertical="center" wrapText="1"/>
      <protection locked="0"/>
    </xf>
    <xf numFmtId="0" fontId="13" fillId="3" borderId="13" xfId="14" applyFont="1" applyFill="1" applyBorder="1" applyAlignment="1" applyProtection="1">
      <alignment horizontal="justify" vertical="center" wrapText="1"/>
      <protection locked="0"/>
    </xf>
    <xf numFmtId="0" fontId="13" fillId="3" borderId="15" xfId="14" applyFont="1" applyFill="1" applyBorder="1" applyAlignment="1" applyProtection="1">
      <alignment horizontal="justify" vertical="center" wrapText="1"/>
      <protection locked="0"/>
    </xf>
    <xf numFmtId="0" fontId="13" fillId="3" borderId="10" xfId="14" applyFont="1" applyFill="1" applyBorder="1" applyAlignment="1" applyProtection="1">
      <alignment horizontal="justify" vertical="center" wrapText="1"/>
      <protection locked="0"/>
    </xf>
    <xf numFmtId="0" fontId="13" fillId="3" borderId="0" xfId="14" applyFont="1" applyFill="1" applyBorder="1" applyAlignment="1" applyProtection="1">
      <alignment horizontal="justify" vertical="center" wrapText="1"/>
      <protection locked="0"/>
    </xf>
    <xf numFmtId="0" fontId="13" fillId="3" borderId="11" xfId="14" applyFont="1" applyFill="1" applyBorder="1" applyAlignment="1" applyProtection="1">
      <alignment horizontal="justify" vertical="center" wrapText="1"/>
      <protection locked="0"/>
    </xf>
    <xf numFmtId="0" fontId="13" fillId="3" borderId="12" xfId="14" applyFont="1" applyFill="1" applyBorder="1" applyAlignment="1" applyProtection="1">
      <alignment horizontal="justify" vertical="center" wrapText="1"/>
      <protection locked="0"/>
    </xf>
    <xf numFmtId="0" fontId="13" fillId="3" borderId="4" xfId="14" applyFont="1" applyFill="1" applyBorder="1" applyAlignment="1" applyProtection="1">
      <alignment horizontal="justify" vertical="center" wrapText="1"/>
      <protection locked="0"/>
    </xf>
    <xf numFmtId="0" fontId="13" fillId="3" borderId="6" xfId="14" applyFont="1" applyFill="1" applyBorder="1" applyAlignment="1" applyProtection="1">
      <alignment horizontal="justify" vertical="center" wrapText="1"/>
      <protection locked="0"/>
    </xf>
    <xf numFmtId="0" fontId="7" fillId="3" borderId="14" xfId="14" applyFont="1" applyFill="1" applyBorder="1" applyAlignment="1" applyProtection="1">
      <alignment horizontal="justify" vertical="center" wrapText="1"/>
      <protection locked="0"/>
    </xf>
    <xf numFmtId="0" fontId="7" fillId="3" borderId="13" xfId="14" applyFont="1" applyFill="1" applyBorder="1" applyAlignment="1" applyProtection="1">
      <alignment horizontal="justify" vertical="center" wrapText="1"/>
      <protection locked="0"/>
    </xf>
    <xf numFmtId="0" fontId="7" fillId="3" borderId="15" xfId="14" applyFont="1" applyFill="1" applyBorder="1" applyAlignment="1" applyProtection="1">
      <alignment horizontal="justify" vertical="center" wrapText="1"/>
      <protection locked="0"/>
    </xf>
    <xf numFmtId="0" fontId="7" fillId="3" borderId="10" xfId="14" applyFont="1" applyFill="1" applyBorder="1" applyAlignment="1" applyProtection="1">
      <alignment horizontal="justify" vertical="center" wrapText="1"/>
      <protection locked="0"/>
    </xf>
    <xf numFmtId="0" fontId="7" fillId="3" borderId="0" xfId="14" applyFont="1" applyFill="1" applyBorder="1" applyAlignment="1" applyProtection="1">
      <alignment horizontal="justify" vertical="center" wrapText="1"/>
      <protection locked="0"/>
    </xf>
    <xf numFmtId="0" fontId="7" fillId="3" borderId="11" xfId="14" applyFont="1" applyFill="1" applyBorder="1" applyAlignment="1" applyProtection="1">
      <alignment horizontal="justify" vertical="center" wrapText="1"/>
      <protection locked="0"/>
    </xf>
    <xf numFmtId="0" fontId="7" fillId="3" borderId="12" xfId="14" applyFont="1" applyFill="1" applyBorder="1" applyAlignment="1" applyProtection="1">
      <alignment horizontal="justify" vertical="center" wrapText="1"/>
      <protection locked="0"/>
    </xf>
    <xf numFmtId="0" fontId="7" fillId="3" borderId="4" xfId="14" applyFont="1" applyFill="1" applyBorder="1" applyAlignment="1" applyProtection="1">
      <alignment horizontal="justify" vertical="center" wrapText="1"/>
      <protection locked="0"/>
    </xf>
    <xf numFmtId="0" fontId="7" fillId="3" borderId="6" xfId="14" applyFont="1" applyFill="1" applyBorder="1" applyAlignment="1" applyProtection="1">
      <alignment horizontal="justify" vertical="center" wrapText="1"/>
      <protection locked="0"/>
    </xf>
    <xf numFmtId="0" fontId="99" fillId="8" borderId="3" xfId="9" applyFont="1" applyFill="1" applyBorder="1" applyAlignment="1" applyProtection="1">
      <alignment horizontal="justify" vertical="center" wrapText="1"/>
      <protection locked="0"/>
    </xf>
    <xf numFmtId="0" fontId="100" fillId="8" borderId="1" xfId="22" applyFont="1" applyFill="1" applyBorder="1" applyAlignment="1" applyProtection="1">
      <alignment horizontal="justify" vertical="center" wrapText="1"/>
      <protection locked="0"/>
    </xf>
    <xf numFmtId="0" fontId="100" fillId="8" borderId="9" xfId="22" applyFont="1" applyFill="1" applyBorder="1" applyAlignment="1" applyProtection="1">
      <alignment horizontal="justify" vertical="center" wrapText="1"/>
      <protection locked="0"/>
    </xf>
    <xf numFmtId="0" fontId="100" fillId="8" borderId="2" xfId="22" applyFont="1" applyFill="1" applyBorder="1" applyAlignment="1" applyProtection="1">
      <alignment horizontal="justify" vertical="center" wrapText="1"/>
      <protection locked="0"/>
    </xf>
    <xf numFmtId="0" fontId="2" fillId="3" borderId="1" xfId="22" applyFont="1" applyFill="1" applyBorder="1" applyAlignment="1">
      <alignment horizontal="center" vertical="center"/>
    </xf>
    <xf numFmtId="0" fontId="2" fillId="3" borderId="9" xfId="22" applyFont="1" applyFill="1" applyBorder="1" applyAlignment="1">
      <alignment horizontal="center" vertical="center"/>
    </xf>
    <xf numFmtId="0" fontId="2" fillId="3" borderId="2" xfId="22" applyFont="1" applyFill="1" applyBorder="1" applyAlignment="1">
      <alignment horizontal="center" vertical="center"/>
    </xf>
    <xf numFmtId="0" fontId="7" fillId="3" borderId="3" xfId="9" applyFont="1" applyFill="1" applyBorder="1" applyAlignment="1" applyProtection="1">
      <alignment horizontal="center" vertical="center" wrapText="1"/>
      <protection locked="0"/>
    </xf>
    <xf numFmtId="0" fontId="7" fillId="3" borderId="3" xfId="9" applyFont="1" applyFill="1" applyBorder="1" applyAlignment="1" applyProtection="1">
      <alignment horizontal="center" vertical="center" textRotation="90" wrapText="1"/>
      <protection locked="0"/>
    </xf>
    <xf numFmtId="0" fontId="13" fillId="3" borderId="3" xfId="9" applyFont="1" applyFill="1" applyBorder="1" applyAlignment="1" applyProtection="1">
      <alignment horizontal="justify" vertical="center" wrapText="1"/>
      <protection locked="0"/>
    </xf>
    <xf numFmtId="0" fontId="7" fillId="0" borderId="3" xfId="9" quotePrefix="1" applyFont="1" applyFill="1" applyBorder="1" applyAlignment="1" applyProtection="1">
      <alignment horizontal="justify" vertical="center" wrapText="1"/>
      <protection locked="0"/>
    </xf>
    <xf numFmtId="0" fontId="7" fillId="0" borderId="1" xfId="9" applyFont="1" applyFill="1" applyBorder="1" applyAlignment="1" applyProtection="1">
      <alignment horizontal="center" vertical="center" wrapText="1"/>
      <protection locked="0"/>
    </xf>
    <xf numFmtId="0" fontId="7" fillId="0" borderId="9" xfId="9" applyFont="1" applyFill="1" applyBorder="1" applyAlignment="1" applyProtection="1">
      <alignment horizontal="center" vertical="center" wrapText="1"/>
      <protection locked="0"/>
    </xf>
    <xf numFmtId="0" fontId="7" fillId="0" borderId="2" xfId="9" applyFont="1" applyFill="1" applyBorder="1" applyAlignment="1" applyProtection="1">
      <alignment horizontal="center" vertical="center" wrapText="1"/>
      <protection locked="0"/>
    </xf>
    <xf numFmtId="0" fontId="97" fillId="8" borderId="14" xfId="22" applyFont="1" applyFill="1" applyBorder="1" applyAlignment="1">
      <alignment horizontal="center" vertical="center" wrapText="1"/>
    </xf>
    <xf numFmtId="0" fontId="97" fillId="8" borderId="13" xfId="22" applyFont="1" applyFill="1" applyBorder="1" applyAlignment="1">
      <alignment horizontal="center" vertical="center" wrapText="1"/>
    </xf>
    <xf numFmtId="0" fontId="97" fillId="8" borderId="15" xfId="22" applyFont="1" applyFill="1" applyBorder="1" applyAlignment="1">
      <alignment horizontal="center" vertical="center" wrapText="1"/>
    </xf>
    <xf numFmtId="0" fontId="97" fillId="8" borderId="12" xfId="22" applyFont="1" applyFill="1" applyBorder="1" applyAlignment="1">
      <alignment horizontal="center" vertical="center" wrapText="1"/>
    </xf>
    <xf numFmtId="0" fontId="97" fillId="8" borderId="4" xfId="22" applyFont="1" applyFill="1" applyBorder="1" applyAlignment="1">
      <alignment horizontal="center" vertical="center" wrapText="1"/>
    </xf>
    <xf numFmtId="0" fontId="97" fillId="8" borderId="6" xfId="22" applyFont="1" applyFill="1" applyBorder="1" applyAlignment="1">
      <alignment horizontal="center" vertical="center" wrapText="1"/>
    </xf>
    <xf numFmtId="0" fontId="7" fillId="0" borderId="7" xfId="9" quotePrefix="1" applyFont="1" applyFill="1" applyBorder="1" applyAlignment="1" applyProtection="1">
      <alignment horizontal="justify" vertical="center" wrapText="1"/>
      <protection locked="0"/>
    </xf>
    <xf numFmtId="0" fontId="7" fillId="0" borderId="8" xfId="9" quotePrefix="1" applyFont="1" applyFill="1" applyBorder="1" applyAlignment="1" applyProtection="1">
      <alignment horizontal="justify" vertical="center" wrapText="1"/>
      <protection locked="0"/>
    </xf>
    <xf numFmtId="0" fontId="7" fillId="0" borderId="5" xfId="9" quotePrefix="1" applyFont="1" applyFill="1" applyBorder="1" applyAlignment="1" applyProtection="1">
      <alignment horizontal="justify" vertical="center" wrapText="1"/>
      <protection locked="0"/>
    </xf>
    <xf numFmtId="0" fontId="97" fillId="8" borderId="3" xfId="22" applyFont="1" applyFill="1" applyBorder="1" applyAlignment="1">
      <alignment horizontal="center" vertical="center" wrapText="1"/>
    </xf>
    <xf numFmtId="0" fontId="98" fillId="8" borderId="3" xfId="22" applyFont="1" applyFill="1" applyBorder="1" applyAlignment="1">
      <alignment horizontal="center" vertical="center" wrapText="1"/>
    </xf>
    <xf numFmtId="0" fontId="99" fillId="8" borderId="14" xfId="9" applyFont="1" applyFill="1" applyBorder="1" applyAlignment="1" applyProtection="1">
      <alignment horizontal="justify" vertical="center" wrapText="1"/>
      <protection locked="0"/>
    </xf>
    <xf numFmtId="0" fontId="99" fillId="8" borderId="13" xfId="9" applyFont="1" applyFill="1" applyBorder="1" applyAlignment="1" applyProtection="1">
      <alignment horizontal="justify" vertical="center" wrapText="1"/>
      <protection locked="0"/>
    </xf>
    <xf numFmtId="0" fontId="99" fillId="8" borderId="15" xfId="9" applyFont="1" applyFill="1" applyBorder="1" applyAlignment="1" applyProtection="1">
      <alignment horizontal="justify" vertical="center" wrapText="1"/>
      <protection locked="0"/>
    </xf>
    <xf numFmtId="0" fontId="99" fillId="8" borderId="10" xfId="9" applyFont="1" applyFill="1" applyBorder="1" applyAlignment="1" applyProtection="1">
      <alignment horizontal="justify" vertical="center" wrapText="1"/>
      <protection locked="0"/>
    </xf>
    <xf numFmtId="0" fontId="99" fillId="8" borderId="0" xfId="9" applyFont="1" applyFill="1" applyBorder="1" applyAlignment="1" applyProtection="1">
      <alignment horizontal="justify" vertical="center" wrapText="1"/>
      <protection locked="0"/>
    </xf>
    <xf numFmtId="0" fontId="99" fillId="8" borderId="11" xfId="9" applyFont="1" applyFill="1" applyBorder="1" applyAlignment="1" applyProtection="1">
      <alignment horizontal="justify" vertical="center" wrapText="1"/>
      <protection locked="0"/>
    </xf>
    <xf numFmtId="0" fontId="99" fillId="8" borderId="12" xfId="9" applyFont="1" applyFill="1" applyBorder="1" applyAlignment="1" applyProtection="1">
      <alignment horizontal="justify" vertical="center" wrapText="1"/>
      <protection locked="0"/>
    </xf>
    <xf numFmtId="0" fontId="99" fillId="8" borderId="4" xfId="9" applyFont="1" applyFill="1" applyBorder="1" applyAlignment="1" applyProtection="1">
      <alignment horizontal="justify" vertical="center" wrapText="1"/>
      <protection locked="0"/>
    </xf>
    <xf numFmtId="0" fontId="99" fillId="8" borderId="6" xfId="9" applyFont="1" applyFill="1" applyBorder="1" applyAlignment="1" applyProtection="1">
      <alignment horizontal="justify" vertical="center" wrapText="1"/>
      <protection locked="0"/>
    </xf>
    <xf numFmtId="0" fontId="7" fillId="0" borderId="1" xfId="14" applyFont="1" applyFill="1" applyBorder="1" applyAlignment="1" applyProtection="1">
      <alignment horizontal="center" vertical="center" wrapText="1"/>
      <protection locked="0"/>
    </xf>
    <xf numFmtId="0" fontId="7" fillId="0" borderId="2" xfId="14" applyFont="1" applyFill="1" applyBorder="1" applyAlignment="1" applyProtection="1">
      <alignment horizontal="center" vertical="center" wrapText="1"/>
      <protection locked="0"/>
    </xf>
    <xf numFmtId="0" fontId="7" fillId="0" borderId="1" xfId="9" applyFont="1" applyFill="1" applyBorder="1" applyAlignment="1">
      <alignment horizontal="center" vertical="center" wrapText="1"/>
    </xf>
    <xf numFmtId="0" fontId="7" fillId="0" borderId="9" xfId="9" applyFont="1" applyFill="1" applyBorder="1" applyAlignment="1">
      <alignment horizontal="center" vertical="center" wrapText="1"/>
    </xf>
    <xf numFmtId="0" fontId="7" fillId="0" borderId="2" xfId="9" applyFont="1" applyFill="1" applyBorder="1" applyAlignment="1">
      <alignment horizontal="center" vertical="center" wrapText="1"/>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0" fontId="4" fillId="3" borderId="7"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wrapText="1"/>
      <protection locked="0"/>
    </xf>
    <xf numFmtId="0" fontId="4" fillId="3" borderId="5"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center" vertical="center" wrapText="1"/>
      <protection locked="0"/>
    </xf>
    <xf numFmtId="0" fontId="3" fillId="4" borderId="7" xfId="0" applyFont="1" applyFill="1" applyBorder="1" applyAlignment="1" applyProtection="1">
      <alignment horizontal="center" vertical="center"/>
    </xf>
    <xf numFmtId="0" fontId="3" fillId="4" borderId="8" xfId="0" applyFont="1" applyFill="1" applyBorder="1" applyAlignment="1" applyProtection="1">
      <alignment horizontal="center" vertical="center"/>
    </xf>
    <xf numFmtId="0" fontId="3" fillId="4" borderId="5"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27" fillId="0" borderId="7" xfId="0" applyFont="1" applyBorder="1" applyAlignment="1" applyProtection="1">
      <alignment horizontal="center" vertical="center" wrapText="1"/>
      <protection locked="0"/>
    </xf>
    <xf numFmtId="0" fontId="27" fillId="0" borderId="8" xfId="0" applyFont="1" applyBorder="1" applyAlignment="1" applyProtection="1">
      <alignment horizontal="center" vertical="center" wrapText="1"/>
      <protection locked="0"/>
    </xf>
    <xf numFmtId="0" fontId="27" fillId="0" borderId="5" xfId="0" applyFont="1" applyBorder="1" applyAlignment="1" applyProtection="1">
      <alignment horizontal="center" vertical="center" wrapText="1"/>
      <protection locked="0"/>
    </xf>
    <xf numFmtId="0" fontId="28" fillId="0" borderId="7" xfId="0" applyFont="1" applyBorder="1" applyAlignment="1" applyProtection="1">
      <alignment horizontal="center" vertical="center" wrapText="1"/>
      <protection locked="0"/>
    </xf>
    <xf numFmtId="0" fontId="28" fillId="0" borderId="8" xfId="0" applyFont="1" applyBorder="1" applyAlignment="1" applyProtection="1">
      <alignment horizontal="center" vertical="center" wrapText="1"/>
      <protection locked="0"/>
    </xf>
    <xf numFmtId="0" fontId="28" fillId="0" borderId="5" xfId="0" applyFont="1" applyBorder="1" applyAlignment="1" applyProtection="1">
      <alignment horizontal="center" vertical="center" wrapText="1"/>
      <protection locked="0"/>
    </xf>
    <xf numFmtId="0" fontId="27" fillId="3" borderId="4" xfId="0" applyFont="1" applyFill="1" applyBorder="1" applyAlignment="1" applyProtection="1">
      <alignment horizontal="left" vertical="center" wrapText="1" indent="1"/>
      <protection locked="0"/>
    </xf>
    <xf numFmtId="0" fontId="28" fillId="8" borderId="7" xfId="0" applyFont="1" applyFill="1" applyBorder="1" applyAlignment="1" applyProtection="1">
      <alignment horizontal="center" vertical="center" wrapText="1"/>
    </xf>
    <xf numFmtId="0" fontId="28" fillId="8" borderId="8" xfId="0" applyFont="1" applyFill="1" applyBorder="1" applyAlignment="1" applyProtection="1">
      <alignment horizontal="center" vertical="center" wrapText="1"/>
    </xf>
    <xf numFmtId="0" fontId="28" fillId="8" borderId="5" xfId="0" applyFont="1" applyFill="1" applyBorder="1" applyAlignment="1" applyProtection="1">
      <alignment horizontal="center" vertical="center" wrapText="1"/>
    </xf>
    <xf numFmtId="0" fontId="3" fillId="3" borderId="0" xfId="0" applyFont="1" applyFill="1" applyBorder="1" applyAlignment="1">
      <alignment horizontal="center"/>
    </xf>
    <xf numFmtId="0" fontId="28" fillId="5" borderId="7" xfId="0" applyFont="1" applyFill="1" applyBorder="1" applyAlignment="1" applyProtection="1">
      <alignment horizontal="center" vertical="center" wrapText="1"/>
    </xf>
    <xf numFmtId="0" fontId="28" fillId="5" borderId="8" xfId="0" applyFont="1" applyFill="1" applyBorder="1" applyAlignment="1" applyProtection="1">
      <alignment horizontal="center" vertical="center" wrapText="1"/>
    </xf>
    <xf numFmtId="0" fontId="28" fillId="5" borderId="5" xfId="0" applyFont="1" applyFill="1" applyBorder="1" applyAlignment="1" applyProtection="1">
      <alignment horizontal="center" vertical="center" wrapText="1"/>
    </xf>
    <xf numFmtId="0" fontId="28" fillId="9" borderId="7" xfId="0" applyFont="1" applyFill="1" applyBorder="1" applyAlignment="1" applyProtection="1">
      <alignment horizontal="center" vertical="center" wrapText="1"/>
    </xf>
    <xf numFmtId="0" fontId="28" fillId="9" borderId="8" xfId="0" applyFont="1" applyFill="1" applyBorder="1" applyAlignment="1" applyProtection="1">
      <alignment horizontal="center" vertical="center" wrapText="1"/>
    </xf>
    <xf numFmtId="0" fontId="28" fillId="9" borderId="5"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8" xfId="0" applyFont="1" applyFill="1" applyBorder="1" applyAlignment="1" applyProtection="1">
      <alignment horizontal="center" vertical="center" wrapText="1"/>
    </xf>
    <xf numFmtId="0" fontId="28" fillId="39" borderId="7" xfId="0" applyFont="1" applyFill="1" applyBorder="1" applyAlignment="1" applyProtection="1">
      <alignment horizontal="center" vertical="center" wrapText="1"/>
    </xf>
    <xf numFmtId="0" fontId="28" fillId="39" borderId="8" xfId="0" applyFont="1" applyFill="1" applyBorder="1" applyAlignment="1" applyProtection="1">
      <alignment horizontal="center" vertical="center" wrapText="1"/>
    </xf>
    <xf numFmtId="0" fontId="3" fillId="6" borderId="3" xfId="0" applyFont="1" applyFill="1" applyBorder="1" applyAlignment="1">
      <alignment horizontal="center"/>
    </xf>
    <xf numFmtId="0" fontId="33" fillId="0" borderId="7"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3" fillId="4" borderId="7" xfId="0" applyFont="1" applyFill="1" applyBorder="1" applyAlignment="1">
      <alignment horizontal="center" vertical="center"/>
    </xf>
    <xf numFmtId="0" fontId="3" fillId="4" borderId="5" xfId="0" applyFont="1" applyFill="1" applyBorder="1" applyAlignment="1">
      <alignment horizontal="center" vertical="center"/>
    </xf>
    <xf numFmtId="0" fontId="66" fillId="0" borderId="21" xfId="0" applyFont="1" applyBorder="1" applyAlignment="1">
      <alignment horizontal="center" vertical="center" wrapText="1"/>
    </xf>
    <xf numFmtId="0" fontId="66" fillId="0" borderId="22" xfId="0" applyFont="1" applyBorder="1" applyAlignment="1">
      <alignment horizontal="center" vertical="center" wrapText="1"/>
    </xf>
    <xf numFmtId="0" fontId="66" fillId="0" borderId="72" xfId="0" applyFont="1" applyBorder="1" applyAlignment="1">
      <alignment horizontal="center" vertical="center" wrapText="1"/>
    </xf>
    <xf numFmtId="0" fontId="66" fillId="0" borderId="73" xfId="0" applyFont="1" applyBorder="1" applyAlignment="1">
      <alignment horizontal="center" vertical="center" wrapText="1"/>
    </xf>
    <xf numFmtId="15" fontId="7" fillId="0" borderId="3" xfId="0" applyNumberFormat="1" applyFont="1" applyBorder="1" applyAlignment="1">
      <alignment horizontal="center" vertical="center"/>
    </xf>
    <xf numFmtId="0" fontId="7" fillId="0" borderId="3" xfId="0" applyFont="1" applyBorder="1" applyAlignment="1">
      <alignment horizontal="center" vertical="center"/>
    </xf>
    <xf numFmtId="0" fontId="7" fillId="0" borderId="3" xfId="0" applyFont="1" applyFill="1" applyBorder="1" applyAlignment="1">
      <alignment horizontal="center" vertical="center"/>
    </xf>
    <xf numFmtId="0" fontId="28" fillId="4" borderId="7" xfId="0" applyFont="1" applyFill="1" applyBorder="1" applyAlignment="1" applyProtection="1">
      <alignment horizontal="center" vertical="center" wrapText="1"/>
    </xf>
    <xf numFmtId="0" fontId="28" fillId="4" borderId="5" xfId="0" applyFont="1" applyFill="1" applyBorder="1" applyAlignment="1" applyProtection="1">
      <alignment horizontal="center" vertical="center" wrapText="1"/>
    </xf>
    <xf numFmtId="0" fontId="28" fillId="4" borderId="8" xfId="0" applyFont="1" applyFill="1" applyBorder="1" applyAlignment="1" applyProtection="1">
      <alignment horizontal="center" vertical="center" wrapText="1"/>
    </xf>
    <xf numFmtId="0" fontId="27" fillId="3" borderId="7" xfId="0" applyFont="1" applyFill="1" applyBorder="1" applyAlignment="1" applyProtection="1">
      <alignment horizontal="center" vertical="center" wrapText="1"/>
      <protection locked="0"/>
    </xf>
    <xf numFmtId="0" fontId="27" fillId="3" borderId="8"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8" fillId="4" borderId="3" xfId="0" applyFont="1" applyFill="1" applyBorder="1" applyAlignment="1" applyProtection="1">
      <alignment horizontal="center" vertical="center" wrapText="1"/>
    </xf>
    <xf numFmtId="0" fontId="65" fillId="36" borderId="16" xfId="0" applyFont="1" applyFill="1" applyBorder="1" applyAlignment="1">
      <alignment horizontal="center" vertical="center" wrapText="1"/>
    </xf>
    <xf numFmtId="0" fontId="65" fillId="36" borderId="17" xfId="0" applyFont="1" applyFill="1" applyBorder="1" applyAlignment="1">
      <alignment horizontal="center" vertical="center" wrapText="1"/>
    </xf>
    <xf numFmtId="0" fontId="65" fillId="36" borderId="67" xfId="0" applyFont="1" applyFill="1" applyBorder="1" applyAlignment="1">
      <alignment horizontal="center" vertical="center" wrapText="1"/>
    </xf>
    <xf numFmtId="0" fontId="27" fillId="0" borderId="17" xfId="0" applyFont="1" applyBorder="1" applyAlignment="1" applyProtection="1">
      <alignment horizontal="center"/>
      <protection locked="0"/>
    </xf>
    <xf numFmtId="0" fontId="27" fillId="0" borderId="18" xfId="0" applyFont="1" applyBorder="1" applyAlignment="1" applyProtection="1">
      <alignment horizontal="center"/>
      <protection locked="0"/>
    </xf>
    <xf numFmtId="0" fontId="27" fillId="0" borderId="0" xfId="0" applyFont="1" applyBorder="1" applyAlignment="1" applyProtection="1">
      <alignment horizontal="center"/>
      <protection locked="0"/>
    </xf>
    <xf numFmtId="0" fontId="27" fillId="0" borderId="20" xfId="0" applyFont="1" applyBorder="1" applyAlignment="1" applyProtection="1">
      <alignment horizontal="center"/>
      <protection locked="0"/>
    </xf>
    <xf numFmtId="0" fontId="27" fillId="0" borderId="22" xfId="0" applyFont="1" applyBorder="1" applyAlignment="1" applyProtection="1">
      <alignment horizontal="center"/>
      <protection locked="0"/>
    </xf>
    <xf numFmtId="0" fontId="27" fillId="0" borderId="23" xfId="0" applyFont="1" applyBorder="1" applyAlignment="1" applyProtection="1">
      <alignment horizontal="center"/>
      <protection locked="0"/>
    </xf>
    <xf numFmtId="0" fontId="6" fillId="8" borderId="7"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6" fillId="3" borderId="68" xfId="0" applyFont="1" applyFill="1" applyBorder="1" applyAlignment="1">
      <alignment horizontal="center" vertical="center" wrapText="1"/>
    </xf>
    <xf numFmtId="0" fontId="66" fillId="3" borderId="39" xfId="0" applyFont="1" applyFill="1" applyBorder="1" applyAlignment="1">
      <alignment horizontal="center" vertical="center" wrapText="1"/>
    </xf>
    <xf numFmtId="0" fontId="66" fillId="3" borderId="69" xfId="0"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5" xfId="0" applyFont="1" applyFill="1" applyBorder="1" applyAlignment="1">
      <alignment horizontal="center" vertical="center"/>
    </xf>
    <xf numFmtId="0" fontId="68" fillId="36" borderId="70" xfId="0" applyFont="1" applyFill="1" applyBorder="1" applyAlignment="1">
      <alignment horizontal="center" vertical="center" wrapText="1"/>
    </xf>
    <xf numFmtId="0" fontId="68" fillId="36" borderId="27" xfId="0" applyFont="1" applyFill="1" applyBorder="1" applyAlignment="1">
      <alignment horizontal="center" vertical="center" wrapText="1"/>
    </xf>
    <xf numFmtId="0" fontId="68" fillId="36" borderId="71" xfId="0" applyFont="1" applyFill="1" applyBorder="1" applyAlignment="1">
      <alignment horizontal="center" vertical="center" wrapText="1"/>
    </xf>
    <xf numFmtId="0" fontId="68" fillId="36" borderId="28" xfId="0" applyFont="1" applyFill="1" applyBorder="1" applyAlignment="1">
      <alignment horizontal="center" vertical="center" wrapText="1"/>
    </xf>
    <xf numFmtId="0" fontId="4" fillId="0" borderId="0" xfId="0" applyFont="1" applyFill="1" applyBorder="1" applyAlignment="1" applyProtection="1">
      <alignment horizontal="justify" vertical="center" wrapText="1"/>
      <protection locked="0"/>
    </xf>
    <xf numFmtId="0" fontId="4" fillId="0" borderId="7" xfId="0" applyFont="1" applyFill="1" applyBorder="1" applyAlignment="1" applyProtection="1">
      <alignment horizontal="justify" vertical="center" wrapText="1"/>
      <protection locked="0"/>
    </xf>
    <xf numFmtId="0" fontId="4" fillId="0" borderId="8" xfId="0" applyFont="1" applyFill="1" applyBorder="1" applyAlignment="1" applyProtection="1">
      <alignment horizontal="justify" vertical="center" wrapText="1"/>
      <protection locked="0"/>
    </xf>
    <xf numFmtId="0" fontId="4" fillId="0" borderId="5" xfId="0" applyFont="1" applyFill="1" applyBorder="1" applyAlignment="1" applyProtection="1">
      <alignment horizontal="justify" vertical="center" wrapText="1"/>
      <protection locked="0"/>
    </xf>
    <xf numFmtId="0" fontId="3" fillId="0" borderId="7" xfId="0" applyFont="1" applyFill="1" applyBorder="1" applyAlignment="1" applyProtection="1">
      <alignment horizontal="justify" vertical="center" wrapText="1"/>
      <protection locked="0"/>
    </xf>
    <xf numFmtId="0" fontId="3" fillId="0" borderId="8" xfId="0" applyFont="1" applyFill="1" applyBorder="1" applyAlignment="1" applyProtection="1">
      <alignment horizontal="justify" vertical="center" wrapText="1"/>
      <protection locked="0"/>
    </xf>
    <xf numFmtId="0" fontId="3" fillId="0" borderId="5" xfId="0" applyFont="1" applyFill="1" applyBorder="1" applyAlignment="1" applyProtection="1">
      <alignment horizontal="justify" vertical="center" wrapText="1"/>
      <protection locked="0"/>
    </xf>
    <xf numFmtId="0" fontId="27" fillId="0" borderId="7" xfId="0" applyFont="1" applyBorder="1" applyAlignment="1" applyProtection="1">
      <alignment horizontal="justify" vertical="center" wrapText="1"/>
      <protection locked="0"/>
    </xf>
    <xf numFmtId="0" fontId="27" fillId="0" borderId="8" xfId="0" applyFont="1" applyBorder="1" applyAlignment="1" applyProtection="1">
      <alignment horizontal="justify" vertical="center" wrapText="1"/>
      <protection locked="0"/>
    </xf>
    <xf numFmtId="0" fontId="27" fillId="0" borderId="5" xfId="0" applyFont="1" applyBorder="1" applyAlignment="1" applyProtection="1">
      <alignment horizontal="justify" vertical="center" wrapText="1"/>
      <protection locked="0"/>
    </xf>
    <xf numFmtId="15" fontId="7" fillId="0" borderId="3" xfId="0" applyNumberFormat="1" applyFont="1" applyFill="1" applyBorder="1" applyAlignment="1">
      <alignment horizontal="center" vertical="center"/>
    </xf>
    <xf numFmtId="0" fontId="7" fillId="0" borderId="7"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3" fillId="3" borderId="14" xfId="0" applyFont="1" applyFill="1" applyBorder="1" applyAlignment="1" applyProtection="1">
      <alignment horizontal="center" vertical="center" wrapText="1"/>
    </xf>
    <xf numFmtId="0" fontId="3" fillId="3" borderId="13" xfId="0" applyFont="1" applyFill="1" applyBorder="1" applyAlignment="1" applyProtection="1">
      <alignment horizontal="center" vertical="center" wrapText="1"/>
    </xf>
    <xf numFmtId="0" fontId="3" fillId="3" borderId="15" xfId="0" applyFont="1" applyFill="1" applyBorder="1" applyAlignment="1" applyProtection="1">
      <alignment horizontal="center" vertical="center" wrapText="1"/>
    </xf>
    <xf numFmtId="0" fontId="3" fillId="3" borderId="10"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xf>
    <xf numFmtId="0" fontId="3" fillId="3" borderId="11" xfId="0" applyFont="1" applyFill="1" applyBorder="1" applyAlignment="1" applyProtection="1">
      <alignment horizontal="center" vertical="center" wrapText="1"/>
    </xf>
    <xf numFmtId="0" fontId="3" fillId="3" borderId="12" xfId="0" applyFont="1" applyFill="1" applyBorder="1" applyAlignment="1" applyProtection="1">
      <alignment horizontal="center" vertical="center" wrapText="1"/>
    </xf>
    <xf numFmtId="0" fontId="3" fillId="3" borderId="4" xfId="0" applyFont="1" applyFill="1" applyBorder="1" applyAlignment="1" applyProtection="1">
      <alignment horizontal="center" vertical="center" wrapText="1"/>
    </xf>
    <xf numFmtId="0" fontId="3" fillId="3" borderId="6"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3" xfId="0" applyFont="1" applyBorder="1" applyAlignment="1" applyProtection="1">
      <alignment horizontal="justify" vertical="center" wrapText="1"/>
      <protection locked="0"/>
    </xf>
    <xf numFmtId="0" fontId="28" fillId="0" borderId="3" xfId="0" applyFont="1" applyBorder="1" applyAlignment="1" applyProtection="1">
      <alignment horizontal="justify" vertical="center" wrapText="1"/>
      <protection locked="0"/>
    </xf>
    <xf numFmtId="0" fontId="27" fillId="0" borderId="3" xfId="0" applyFont="1" applyBorder="1" applyAlignment="1" applyProtection="1">
      <alignment horizontal="justify" vertical="center" wrapText="1"/>
      <protection locked="0"/>
    </xf>
    <xf numFmtId="0" fontId="3" fillId="0" borderId="7"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3" fillId="0" borderId="5" xfId="0" applyFont="1" applyFill="1" applyBorder="1" applyAlignment="1" applyProtection="1">
      <alignment horizontal="left" vertical="center" wrapText="1"/>
      <protection locked="0"/>
    </xf>
    <xf numFmtId="0" fontId="4" fillId="0" borderId="7" xfId="0" applyFont="1" applyFill="1" applyBorder="1" applyAlignment="1" applyProtection="1">
      <alignment vertical="center" wrapText="1"/>
      <protection locked="0"/>
    </xf>
    <xf numFmtId="0" fontId="4" fillId="0" borderId="8" xfId="0" applyFont="1" applyFill="1" applyBorder="1" applyAlignment="1" applyProtection="1">
      <alignment vertical="center" wrapText="1"/>
      <protection locked="0"/>
    </xf>
    <xf numFmtId="0" fontId="4" fillId="0" borderId="5" xfId="0" applyFont="1" applyFill="1" applyBorder="1" applyAlignment="1" applyProtection="1">
      <alignment vertical="center" wrapText="1"/>
      <protection locked="0"/>
    </xf>
    <xf numFmtId="0" fontId="7" fillId="0" borderId="7" xfId="0" applyFont="1" applyBorder="1" applyAlignment="1">
      <alignment horizontal="center" vertical="center"/>
    </xf>
    <xf numFmtId="0" fontId="7" fillId="0" borderId="5" xfId="0" applyFont="1" applyBorder="1" applyAlignment="1">
      <alignment horizontal="center" vertical="center"/>
    </xf>
    <xf numFmtId="0" fontId="9" fillId="0" borderId="7" xfId="0" applyFont="1" applyFill="1" applyBorder="1" applyAlignment="1" applyProtection="1">
      <alignment horizontal="center" vertical="center" wrapText="1"/>
      <protection locked="0"/>
    </xf>
    <xf numFmtId="0" fontId="9" fillId="0" borderId="8" xfId="0" applyFont="1" applyFill="1" applyBorder="1" applyAlignment="1" applyProtection="1">
      <alignment horizontal="center" vertical="center" wrapText="1"/>
      <protection locked="0"/>
    </xf>
    <xf numFmtId="0" fontId="9" fillId="0" borderId="5" xfId="0" applyFont="1" applyFill="1" applyBorder="1" applyAlignment="1" applyProtection="1">
      <alignment horizontal="center" vertical="center" wrapText="1"/>
      <protection locked="0"/>
    </xf>
    <xf numFmtId="0" fontId="9" fillId="0" borderId="7" xfId="0" applyNumberFormat="1" applyFont="1" applyFill="1" applyBorder="1" applyAlignment="1" applyProtection="1">
      <alignment horizontal="center" vertical="center" wrapText="1"/>
      <protection locked="0"/>
    </xf>
    <xf numFmtId="0" fontId="9" fillId="0" borderId="8" xfId="0" applyNumberFormat="1" applyFont="1" applyFill="1" applyBorder="1" applyAlignment="1" applyProtection="1">
      <alignment horizontal="center" vertical="center" wrapText="1"/>
      <protection locked="0"/>
    </xf>
    <xf numFmtId="0" fontId="9" fillId="0" borderId="5" xfId="0" applyNumberFormat="1" applyFont="1" applyFill="1" applyBorder="1" applyAlignment="1" applyProtection="1">
      <alignment horizontal="center" vertical="center" wrapText="1"/>
      <protection locked="0"/>
    </xf>
    <xf numFmtId="0" fontId="28" fillId="0" borderId="7" xfId="0" applyFont="1" applyFill="1" applyBorder="1" applyAlignment="1" applyProtection="1">
      <alignment horizontal="justify" vertical="center" wrapText="1"/>
      <protection locked="0"/>
    </xf>
    <xf numFmtId="0" fontId="28" fillId="0" borderId="8" xfId="0" applyFont="1" applyFill="1" applyBorder="1" applyAlignment="1" applyProtection="1">
      <alignment horizontal="justify" vertical="center" wrapText="1"/>
      <protection locked="0"/>
    </xf>
    <xf numFmtId="0" fontId="28" fillId="0" borderId="5" xfId="0" applyFont="1" applyFill="1" applyBorder="1" applyAlignment="1" applyProtection="1">
      <alignment horizontal="justify" vertical="center" wrapText="1"/>
      <protection locked="0"/>
    </xf>
    <xf numFmtId="0" fontId="27" fillId="0" borderId="3" xfId="0" applyFont="1" applyBorder="1" applyAlignment="1" applyProtection="1">
      <alignment horizontal="center" vertical="center" wrapText="1"/>
      <protection locked="0"/>
    </xf>
    <xf numFmtId="0" fontId="27" fillId="0" borderId="3" xfId="0" applyFont="1" applyBorder="1" applyAlignment="1" applyProtection="1">
      <alignment horizontal="left" vertical="center" wrapText="1"/>
      <protection locked="0"/>
    </xf>
    <xf numFmtId="15" fontId="7" fillId="3" borderId="3" xfId="0" applyNumberFormat="1" applyFont="1" applyFill="1" applyBorder="1" applyAlignment="1">
      <alignment horizontal="center" vertical="center"/>
    </xf>
    <xf numFmtId="0" fontId="28" fillId="0" borderId="7" xfId="0" applyFont="1" applyBorder="1" applyAlignment="1" applyProtection="1">
      <alignment horizontal="justify" vertical="center" wrapText="1"/>
      <protection locked="0"/>
    </xf>
    <xf numFmtId="0" fontId="28" fillId="0" borderId="8" xfId="0" applyFont="1" applyBorder="1" applyAlignment="1" applyProtection="1">
      <alignment horizontal="justify" vertical="center" wrapText="1"/>
      <protection locked="0"/>
    </xf>
    <xf numFmtId="0" fontId="28" fillId="0" borderId="5" xfId="0" applyFont="1" applyBorder="1" applyAlignment="1" applyProtection="1">
      <alignment horizontal="justify" vertical="center" wrapText="1"/>
      <protection locked="0"/>
    </xf>
    <xf numFmtId="0" fontId="4" fillId="0" borderId="0" xfId="0" applyFont="1" applyFill="1" applyBorder="1" applyAlignment="1" applyProtection="1">
      <alignment horizontal="center" vertical="center"/>
      <protection locked="0"/>
    </xf>
    <xf numFmtId="0" fontId="4" fillId="0" borderId="7" xfId="0" applyFont="1" applyBorder="1" applyAlignment="1" applyProtection="1">
      <alignment horizontal="left" vertical="center" wrapText="1"/>
      <protection locked="0"/>
    </xf>
    <xf numFmtId="0" fontId="4" fillId="0" borderId="8" xfId="0" applyFont="1" applyBorder="1" applyAlignment="1" applyProtection="1">
      <alignment horizontal="left" vertical="center" wrapText="1"/>
      <protection locked="0"/>
    </xf>
    <xf numFmtId="0" fontId="4" fillId="0" borderId="5"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28" fillId="0" borderId="7" xfId="0" applyFont="1" applyBorder="1" applyAlignment="1" applyProtection="1">
      <alignment horizontal="left" vertical="center" wrapText="1"/>
      <protection locked="0"/>
    </xf>
    <xf numFmtId="0" fontId="28" fillId="0" borderId="8" xfId="0" applyFont="1" applyBorder="1" applyAlignment="1" applyProtection="1">
      <alignment horizontal="left" vertical="center" wrapText="1"/>
      <protection locked="0"/>
    </xf>
    <xf numFmtId="0" fontId="28" fillId="0" borderId="5" xfId="0" applyFont="1" applyBorder="1" applyAlignment="1" applyProtection="1">
      <alignment horizontal="left" vertical="center" wrapText="1"/>
      <protection locked="0"/>
    </xf>
    <xf numFmtId="0" fontId="27" fillId="0" borderId="7" xfId="0" applyFont="1" applyBorder="1" applyAlignment="1" applyProtection="1">
      <alignment horizontal="left" vertical="center" wrapText="1"/>
      <protection locked="0"/>
    </xf>
    <xf numFmtId="0" fontId="27" fillId="0" borderId="8"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0" fontId="3" fillId="0" borderId="3" xfId="14" applyFont="1" applyFill="1" applyBorder="1" applyAlignment="1">
      <alignment horizontal="justify" vertical="center" wrapText="1"/>
    </xf>
    <xf numFmtId="0" fontId="27" fillId="0" borderId="3" xfId="14" applyFont="1" applyFill="1" applyBorder="1" applyAlignment="1">
      <alignment horizontal="justify" vertical="center" wrapText="1"/>
    </xf>
    <xf numFmtId="0" fontId="33" fillId="3" borderId="7" xfId="0" applyFont="1" applyFill="1" applyBorder="1" applyAlignment="1" applyProtection="1">
      <alignment horizontal="center" vertical="center" wrapText="1"/>
      <protection locked="0"/>
    </xf>
    <xf numFmtId="0" fontId="33" fillId="3" borderId="8" xfId="0" applyFont="1" applyFill="1" applyBorder="1" applyAlignment="1" applyProtection="1">
      <alignment horizontal="center" vertical="center" wrapText="1"/>
      <protection locked="0"/>
    </xf>
    <xf numFmtId="0" fontId="33" fillId="3" borderId="5" xfId="0" applyFont="1" applyFill="1" applyBorder="1" applyAlignment="1" applyProtection="1">
      <alignment horizontal="center" vertical="center" wrapText="1"/>
      <protection locked="0"/>
    </xf>
    <xf numFmtId="0" fontId="27" fillId="3" borderId="0" xfId="0" applyFont="1" applyFill="1" applyBorder="1" applyAlignment="1" applyProtection="1">
      <alignment horizontal="left" vertical="center" wrapText="1" indent="1"/>
      <protection locked="0"/>
    </xf>
    <xf numFmtId="0" fontId="3" fillId="0" borderId="14" xfId="0" applyFont="1" applyFill="1" applyBorder="1" applyAlignment="1" applyProtection="1">
      <alignment horizontal="left" vertical="top" wrapText="1"/>
    </xf>
    <xf numFmtId="0" fontId="3" fillId="0" borderId="13" xfId="0" applyFont="1" applyFill="1" applyBorder="1" applyAlignment="1" applyProtection="1">
      <alignment horizontal="left" vertical="top" wrapText="1"/>
    </xf>
    <xf numFmtId="0" fontId="3" fillId="0" borderId="15" xfId="0" applyFont="1" applyFill="1" applyBorder="1" applyAlignment="1" applyProtection="1">
      <alignment horizontal="left" vertical="top" wrapText="1"/>
    </xf>
    <xf numFmtId="0" fontId="3" fillId="0" borderId="10"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11" xfId="0" applyFont="1" applyFill="1" applyBorder="1" applyAlignment="1" applyProtection="1">
      <alignment horizontal="left" vertical="top" wrapText="1"/>
    </xf>
    <xf numFmtId="0" fontId="3" fillId="0" borderId="12" xfId="0" applyFont="1" applyFill="1" applyBorder="1" applyAlignment="1" applyProtection="1">
      <alignment horizontal="left" vertical="top" wrapText="1"/>
    </xf>
    <xf numFmtId="0" fontId="3" fillId="0" borderId="4" xfId="0" applyFont="1" applyFill="1" applyBorder="1" applyAlignment="1" applyProtection="1">
      <alignment horizontal="left" vertical="top" wrapText="1"/>
    </xf>
    <xf numFmtId="0" fontId="3" fillId="0" borderId="6" xfId="0" applyFont="1" applyFill="1" applyBorder="1" applyAlignment="1" applyProtection="1">
      <alignment horizontal="left" vertical="top" wrapText="1"/>
    </xf>
    <xf numFmtId="0" fontId="12" fillId="0" borderId="3" xfId="0" applyFont="1" applyFill="1" applyBorder="1" applyAlignment="1" applyProtection="1">
      <alignment horizontal="center" vertical="center" wrapText="1"/>
      <protection locked="0"/>
    </xf>
    <xf numFmtId="0" fontId="12" fillId="0" borderId="7" xfId="0" applyFont="1" applyFill="1" applyBorder="1" applyAlignment="1" applyProtection="1">
      <alignment horizontal="center" vertical="center" wrapText="1"/>
      <protection locked="0"/>
    </xf>
    <xf numFmtId="0" fontId="12" fillId="0" borderId="8" xfId="0" applyFont="1" applyFill="1" applyBorder="1" applyAlignment="1" applyProtection="1">
      <alignment horizontal="center" vertical="center" wrapText="1"/>
      <protection locked="0"/>
    </xf>
    <xf numFmtId="0" fontId="12" fillId="0" borderId="5" xfId="0" applyFont="1" applyFill="1" applyBorder="1" applyAlignment="1" applyProtection="1">
      <alignment horizontal="center" vertical="center" wrapText="1"/>
      <protection locked="0"/>
    </xf>
    <xf numFmtId="0" fontId="55" fillId="3" borderId="3" xfId="0" applyFont="1" applyFill="1" applyBorder="1" applyAlignment="1">
      <alignment horizontal="center" vertical="center" wrapText="1"/>
    </xf>
    <xf numFmtId="0" fontId="56" fillId="3" borderId="7" xfId="0" applyFont="1" applyFill="1" applyBorder="1" applyAlignment="1" applyProtection="1">
      <alignment horizontal="center" vertical="center" wrapText="1"/>
      <protection locked="0"/>
    </xf>
    <xf numFmtId="0" fontId="56" fillId="3" borderId="8" xfId="0" applyFont="1" applyFill="1" applyBorder="1" applyAlignment="1" applyProtection="1">
      <alignment horizontal="center" vertical="center" wrapText="1"/>
      <protection locked="0"/>
    </xf>
    <xf numFmtId="0" fontId="56" fillId="3" borderId="5"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55" fillId="0" borderId="8" xfId="0" applyFont="1" applyBorder="1" applyAlignment="1" applyProtection="1">
      <alignment horizontal="center" vertical="center" wrapText="1"/>
      <protection locked="0"/>
    </xf>
    <xf numFmtId="0" fontId="55" fillId="0" borderId="5" xfId="0" applyFont="1" applyBorder="1" applyAlignment="1" applyProtection="1">
      <alignment horizontal="center" vertical="center" wrapText="1"/>
      <protection locked="0"/>
    </xf>
    <xf numFmtId="0" fontId="55" fillId="3" borderId="7" xfId="0" applyFont="1" applyFill="1" applyBorder="1" applyAlignment="1">
      <alignment horizontal="center" vertical="center" wrapText="1"/>
    </xf>
    <xf numFmtId="0" fontId="55" fillId="3" borderId="8" xfId="0" applyFont="1" applyFill="1" applyBorder="1" applyAlignment="1">
      <alignment horizontal="center" vertical="center" wrapText="1"/>
    </xf>
    <xf numFmtId="0" fontId="55" fillId="3" borderId="5" xfId="0" applyFont="1" applyFill="1" applyBorder="1" applyAlignment="1">
      <alignment horizontal="center" vertical="center" wrapText="1"/>
    </xf>
    <xf numFmtId="0" fontId="55" fillId="3" borderId="14" xfId="0" applyFont="1" applyFill="1" applyBorder="1" applyAlignment="1">
      <alignment horizontal="center" vertical="center" wrapText="1"/>
    </xf>
    <xf numFmtId="0" fontId="55" fillId="3" borderId="13" xfId="0" applyFont="1" applyFill="1" applyBorder="1" applyAlignment="1">
      <alignment horizontal="center" vertical="center" wrapText="1"/>
    </xf>
    <xf numFmtId="0" fontId="55" fillId="3" borderId="15" xfId="0" applyFont="1" applyFill="1" applyBorder="1" applyAlignment="1">
      <alignment horizontal="center" vertical="center" wrapText="1"/>
    </xf>
    <xf numFmtId="0" fontId="56" fillId="3" borderId="14" xfId="0" applyFont="1" applyFill="1" applyBorder="1" applyAlignment="1" applyProtection="1">
      <alignment horizontal="center" vertical="center" wrapText="1"/>
      <protection locked="0"/>
    </xf>
    <xf numFmtId="0" fontId="56" fillId="3" borderId="13" xfId="0" applyFont="1" applyFill="1" applyBorder="1" applyAlignment="1" applyProtection="1">
      <alignment horizontal="center" vertical="center" wrapText="1"/>
      <protection locked="0"/>
    </xf>
    <xf numFmtId="0" fontId="56" fillId="3" borderId="15" xfId="0" applyFont="1" applyFill="1" applyBorder="1" applyAlignment="1" applyProtection="1">
      <alignment horizontal="center" vertical="center" wrapText="1"/>
      <protection locked="0"/>
    </xf>
    <xf numFmtId="0" fontId="55" fillId="0" borderId="14" xfId="0" applyFont="1" applyFill="1" applyBorder="1" applyAlignment="1">
      <alignment horizontal="center" vertical="center" wrapText="1"/>
    </xf>
    <xf numFmtId="0" fontId="55" fillId="0" borderId="13" xfId="0" applyFont="1" applyFill="1" applyBorder="1" applyAlignment="1">
      <alignment horizontal="center" vertical="center" wrapText="1"/>
    </xf>
    <xf numFmtId="0" fontId="55" fillId="0" borderId="15" xfId="0" applyFont="1" applyFill="1" applyBorder="1" applyAlignment="1">
      <alignment horizontal="center" vertical="center" wrapText="1"/>
    </xf>
    <xf numFmtId="0" fontId="55" fillId="0" borderId="14"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15" xfId="0" applyFont="1" applyBorder="1" applyAlignment="1" applyProtection="1">
      <alignment horizontal="center" vertical="center" wrapText="1"/>
      <protection locked="0"/>
    </xf>
    <xf numFmtId="0" fontId="57" fillId="0" borderId="3" xfId="0" applyFont="1" applyFill="1" applyBorder="1" applyAlignment="1">
      <alignment horizontal="center" vertical="center"/>
    </xf>
    <xf numFmtId="0" fontId="59" fillId="0" borderId="7" xfId="0" applyFont="1" applyBorder="1" applyAlignment="1" applyProtection="1">
      <alignment horizontal="center" vertical="center" wrapText="1"/>
      <protection locked="0"/>
    </xf>
    <xf numFmtId="0" fontId="59" fillId="0" borderId="8" xfId="0" applyFont="1" applyBorder="1" applyAlignment="1" applyProtection="1">
      <alignment horizontal="center" vertical="center" wrapText="1"/>
      <protection locked="0"/>
    </xf>
    <xf numFmtId="0" fontId="59" fillId="0" borderId="5" xfId="0" applyFont="1" applyBorder="1" applyAlignment="1" applyProtection="1">
      <alignment horizontal="center" vertical="center" wrapText="1"/>
      <protection locked="0"/>
    </xf>
    <xf numFmtId="0" fontId="59" fillId="3" borderId="7" xfId="0" applyFont="1" applyFill="1" applyBorder="1" applyAlignment="1" applyProtection="1">
      <alignment horizontal="center" vertical="center" wrapText="1"/>
      <protection locked="0"/>
    </xf>
    <xf numFmtId="0" fontId="59" fillId="3" borderId="8" xfId="0" applyFont="1" applyFill="1" applyBorder="1" applyAlignment="1" applyProtection="1">
      <alignment horizontal="center" vertical="center" wrapText="1"/>
      <protection locked="0"/>
    </xf>
    <xf numFmtId="0" fontId="59" fillId="3" borderId="5" xfId="0" applyFont="1" applyFill="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2" fillId="0" borderId="5" xfId="0" applyFont="1" applyBorder="1" applyAlignment="1" applyProtection="1">
      <alignment horizontal="center" vertical="center" wrapText="1"/>
      <protection locked="0"/>
    </xf>
    <xf numFmtId="168" fontId="57" fillId="0" borderId="3" xfId="0" applyNumberFormat="1" applyFont="1" applyBorder="1" applyAlignment="1">
      <alignment horizontal="center" vertical="center"/>
    </xf>
    <xf numFmtId="0" fontId="28" fillId="0" borderId="7" xfId="0" applyFont="1" applyFill="1" applyBorder="1" applyAlignment="1" applyProtection="1">
      <alignment horizontal="center" vertical="center" wrapText="1"/>
      <protection locked="0"/>
    </xf>
    <xf numFmtId="0" fontId="28" fillId="0" borderId="8"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4" fillId="3" borderId="3"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protection locked="0"/>
    </xf>
    <xf numFmtId="0" fontId="32" fillId="0" borderId="8" xfId="0" applyFont="1" applyFill="1" applyBorder="1" applyAlignment="1" applyProtection="1">
      <alignment horizontal="center" vertical="center" wrapText="1"/>
      <protection locked="0"/>
    </xf>
    <xf numFmtId="0" fontId="32" fillId="0" borderId="5" xfId="0" applyFont="1" applyFill="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66" fillId="0" borderId="68" xfId="0" applyFont="1" applyBorder="1" applyAlignment="1">
      <alignment horizontal="center" vertical="center" wrapText="1"/>
    </xf>
    <xf numFmtId="0" fontId="66" fillId="0" borderId="39" xfId="0" applyFont="1" applyBorder="1" applyAlignment="1">
      <alignment horizontal="center" vertical="center" wrapText="1"/>
    </xf>
    <xf numFmtId="0" fontId="66" fillId="0" borderId="69" xfId="0" applyFont="1" applyBorder="1" applyAlignment="1">
      <alignment horizontal="center" vertical="center" wrapText="1"/>
    </xf>
    <xf numFmtId="0" fontId="4" fillId="0" borderId="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27" fillId="0" borderId="1" xfId="0" applyFont="1" applyFill="1" applyBorder="1" applyAlignment="1" applyProtection="1">
      <alignment horizontal="center" vertical="center" wrapText="1"/>
      <protection locked="0"/>
    </xf>
    <xf numFmtId="0" fontId="27" fillId="0" borderId="2"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4" fillId="0" borderId="9" xfId="0" applyFont="1" applyFill="1" applyBorder="1" applyAlignment="1" applyProtection="1">
      <alignment horizontal="center" vertical="center" wrapText="1"/>
      <protection locked="0"/>
    </xf>
    <xf numFmtId="9" fontId="4" fillId="0" borderId="1" xfId="0" applyNumberFormat="1" applyFont="1" applyFill="1" applyBorder="1" applyAlignment="1" applyProtection="1">
      <alignment horizontal="center" vertical="center" wrapText="1"/>
      <protection locked="0"/>
    </xf>
    <xf numFmtId="9" fontId="4" fillId="0" borderId="9" xfId="0" applyNumberFormat="1" applyFont="1" applyFill="1" applyBorder="1" applyAlignment="1" applyProtection="1">
      <alignment horizontal="center" vertical="center" wrapText="1"/>
      <protection locked="0"/>
    </xf>
    <xf numFmtId="9" fontId="4" fillId="0" borderId="2" xfId="0" applyNumberFormat="1" applyFont="1" applyFill="1" applyBorder="1" applyAlignment="1" applyProtection="1">
      <alignment horizontal="center" vertical="center" wrapText="1"/>
      <protection locked="0"/>
    </xf>
    <xf numFmtId="0" fontId="4" fillId="3" borderId="7" xfId="0" applyFont="1" applyFill="1" applyBorder="1" applyAlignment="1">
      <alignment horizontal="center" vertical="center"/>
    </xf>
    <xf numFmtId="0" fontId="4" fillId="3" borderId="5" xfId="0" applyFont="1" applyFill="1" applyBorder="1" applyAlignment="1">
      <alignment horizontal="center" vertical="center"/>
    </xf>
    <xf numFmtId="0" fontId="131" fillId="36" borderId="16" xfId="0" applyFont="1" applyFill="1" applyBorder="1" applyAlignment="1">
      <alignment horizontal="center" vertical="center" wrapText="1"/>
    </xf>
    <xf numFmtId="0" fontId="131" fillId="36" borderId="17" xfId="0" applyFont="1" applyFill="1" applyBorder="1" applyAlignment="1">
      <alignment horizontal="center" vertical="center" wrapText="1"/>
    </xf>
    <xf numFmtId="0" fontId="131" fillId="36" borderId="67" xfId="0" applyFont="1" applyFill="1" applyBorder="1" applyAlignment="1">
      <alignment horizontal="center" vertical="center" wrapText="1"/>
    </xf>
    <xf numFmtId="0" fontId="4" fillId="0" borderId="7" xfId="0" applyFont="1" applyBorder="1" applyAlignment="1">
      <alignment horizontal="center" vertical="center"/>
    </xf>
    <xf numFmtId="0" fontId="4" fillId="0" borderId="5" xfId="0" applyFont="1" applyBorder="1" applyAlignment="1">
      <alignment horizontal="center" vertical="center"/>
    </xf>
    <xf numFmtId="0" fontId="27" fillId="3" borderId="7" xfId="0" applyFont="1" applyFill="1" applyBorder="1" applyAlignment="1" applyProtection="1">
      <alignment horizontal="left" vertical="center" wrapText="1"/>
      <protection locked="0"/>
    </xf>
    <xf numFmtId="0" fontId="27" fillId="3" borderId="8" xfId="0" applyFont="1" applyFill="1" applyBorder="1" applyAlignment="1" applyProtection="1">
      <alignment horizontal="left" vertical="center" wrapText="1"/>
      <protection locked="0"/>
    </xf>
    <xf numFmtId="0" fontId="27" fillId="3" borderId="5" xfId="0" applyFont="1" applyFill="1" applyBorder="1" applyAlignment="1" applyProtection="1">
      <alignment horizontal="left" vertical="center" wrapText="1"/>
      <protection locked="0"/>
    </xf>
    <xf numFmtId="0" fontId="28" fillId="3" borderId="7" xfId="0" applyFont="1" applyFill="1" applyBorder="1" applyAlignment="1" applyProtection="1">
      <alignment horizontal="left" vertical="center" wrapText="1"/>
      <protection locked="0"/>
    </xf>
    <xf numFmtId="0" fontId="28" fillId="3" borderId="8" xfId="0" applyFont="1" applyFill="1" applyBorder="1" applyAlignment="1" applyProtection="1">
      <alignment horizontal="left" vertical="center" wrapText="1"/>
      <protection locked="0"/>
    </xf>
    <xf numFmtId="0" fontId="28" fillId="3" borderId="5" xfId="0" applyFont="1" applyFill="1" applyBorder="1" applyAlignment="1" applyProtection="1">
      <alignment horizontal="left" vertical="center" wrapText="1"/>
      <protection locked="0"/>
    </xf>
    <xf numFmtId="0" fontId="27" fillId="3" borderId="7" xfId="0" applyFont="1" applyFill="1" applyBorder="1" applyAlignment="1" applyProtection="1">
      <alignment horizontal="justify" vertical="center" wrapText="1"/>
      <protection locked="0"/>
    </xf>
    <xf numFmtId="0" fontId="27" fillId="3" borderId="8" xfId="0" applyFont="1" applyFill="1" applyBorder="1" applyAlignment="1" applyProtection="1">
      <alignment horizontal="justify" vertical="center" wrapText="1"/>
      <protection locked="0"/>
    </xf>
    <xf numFmtId="0" fontId="27" fillId="3" borderId="5" xfId="0" applyFont="1" applyFill="1" applyBorder="1" applyAlignment="1" applyProtection="1">
      <alignment horizontal="justify" vertical="center" wrapText="1"/>
      <protection locked="0"/>
    </xf>
    <xf numFmtId="0" fontId="27" fillId="0" borderId="7" xfId="0" applyFont="1" applyFill="1" applyBorder="1" applyAlignment="1" applyProtection="1">
      <alignment horizontal="justify" vertical="top" wrapText="1"/>
      <protection locked="0"/>
    </xf>
    <xf numFmtId="0" fontId="27" fillId="0" borderId="8" xfId="0" applyFont="1" applyFill="1" applyBorder="1" applyAlignment="1" applyProtection="1">
      <alignment horizontal="justify" vertical="top" wrapText="1"/>
      <protection locked="0"/>
    </xf>
    <xf numFmtId="0" fontId="27" fillId="0" borderId="5" xfId="0" applyFont="1" applyFill="1" applyBorder="1" applyAlignment="1" applyProtection="1">
      <alignment horizontal="justify" vertical="top" wrapText="1"/>
      <protection locked="0"/>
    </xf>
    <xf numFmtId="0" fontId="4" fillId="3" borderId="7" xfId="0" applyFont="1" applyFill="1" applyBorder="1" applyAlignment="1" applyProtection="1">
      <alignment horizontal="justify" vertical="center" wrapText="1"/>
      <protection locked="0"/>
    </xf>
    <xf numFmtId="0" fontId="4" fillId="3" borderId="8" xfId="0" applyFont="1" applyFill="1" applyBorder="1" applyAlignment="1" applyProtection="1">
      <alignment horizontal="justify" vertical="center" wrapText="1"/>
      <protection locked="0"/>
    </xf>
    <xf numFmtId="0" fontId="4" fillId="3" borderId="5" xfId="0" applyFont="1" applyFill="1" applyBorder="1" applyAlignment="1" applyProtection="1">
      <alignment horizontal="justify" vertical="center" wrapText="1"/>
      <protection locked="0"/>
    </xf>
    <xf numFmtId="0" fontId="3" fillId="3" borderId="7" xfId="0" applyFont="1" applyFill="1" applyBorder="1" applyAlignment="1" applyProtection="1">
      <alignment horizontal="justify" vertical="center" wrapText="1"/>
      <protection locked="0"/>
    </xf>
    <xf numFmtId="0" fontId="3" fillId="3" borderId="8" xfId="0" applyFont="1" applyFill="1" applyBorder="1" applyAlignment="1" applyProtection="1">
      <alignment horizontal="justify" vertical="center" wrapText="1"/>
      <protection locked="0"/>
    </xf>
    <xf numFmtId="0" fontId="3" fillId="3" borderId="5" xfId="0" applyFont="1" applyFill="1" applyBorder="1" applyAlignment="1" applyProtection="1">
      <alignment horizontal="justify" vertical="center" wrapText="1"/>
      <protection locked="0"/>
    </xf>
    <xf numFmtId="0" fontId="3" fillId="8" borderId="7" xfId="0" applyFont="1" applyFill="1" applyBorder="1" applyAlignment="1" applyProtection="1">
      <alignment horizontal="center" vertical="center" wrapText="1"/>
    </xf>
    <xf numFmtId="0" fontId="3" fillId="8" borderId="8" xfId="0" applyFont="1" applyFill="1" applyBorder="1" applyAlignment="1" applyProtection="1">
      <alignment horizontal="center" vertical="center" wrapText="1"/>
    </xf>
    <xf numFmtId="0" fontId="3" fillId="8" borderId="5" xfId="0" applyFont="1" applyFill="1" applyBorder="1" applyAlignment="1" applyProtection="1">
      <alignment horizontal="center" vertical="center" wrapText="1"/>
    </xf>
    <xf numFmtId="0" fontId="3" fillId="5" borderId="7" xfId="0" applyFont="1" applyFill="1" applyBorder="1" applyAlignment="1" applyProtection="1">
      <alignment horizontal="center" vertical="center" wrapText="1"/>
    </xf>
    <xf numFmtId="0" fontId="3" fillId="5" borderId="8"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0" fontId="3" fillId="9" borderId="7" xfId="0" applyFont="1" applyFill="1" applyBorder="1" applyAlignment="1" applyProtection="1">
      <alignment horizontal="center" vertical="center" wrapText="1"/>
    </xf>
    <xf numFmtId="0" fontId="3" fillId="9" borderId="8" xfId="0" applyFont="1" applyFill="1" applyBorder="1" applyAlignment="1" applyProtection="1">
      <alignment horizontal="center" vertical="center" wrapText="1"/>
    </xf>
    <xf numFmtId="0" fontId="3" fillId="9" borderId="5" xfId="0" applyFont="1" applyFill="1" applyBorder="1" applyAlignment="1" applyProtection="1">
      <alignment horizontal="center" vertical="center" wrapText="1"/>
    </xf>
    <xf numFmtId="0" fontId="3" fillId="6" borderId="7" xfId="0" applyFont="1" applyFill="1" applyBorder="1" applyAlignment="1" applyProtection="1">
      <alignment horizontal="center" vertical="center" wrapText="1"/>
    </xf>
    <xf numFmtId="0" fontId="3" fillId="6" borderId="8" xfId="0" applyFont="1" applyFill="1" applyBorder="1" applyAlignment="1" applyProtection="1">
      <alignment horizontal="center" vertical="center" wrapText="1"/>
    </xf>
    <xf numFmtId="0" fontId="3" fillId="39" borderId="7" xfId="0" applyFont="1" applyFill="1" applyBorder="1" applyAlignment="1" applyProtection="1">
      <alignment horizontal="center" vertical="center" wrapText="1"/>
    </xf>
    <xf numFmtId="0" fontId="3" fillId="39" borderId="8" xfId="0" applyFont="1" applyFill="1" applyBorder="1" applyAlignment="1" applyProtection="1">
      <alignment horizontal="center" vertical="center" wrapText="1"/>
    </xf>
    <xf numFmtId="0" fontId="4" fillId="0" borderId="3" xfId="0" applyFont="1" applyFill="1" applyBorder="1" applyAlignment="1">
      <alignment horizontal="left" vertical="center" wrapText="1"/>
    </xf>
  </cellXfs>
  <cellStyles count="36">
    <cellStyle name="Hipervínculo" xfId="1" builtinId="8"/>
    <cellStyle name="Hipervínculo 2" xfId="16"/>
    <cellStyle name="Incorrecto" xfId="28" builtinId="27"/>
    <cellStyle name="Millares" xfId="29" builtinId="3"/>
    <cellStyle name="Millares [0]" xfId="35" builtinId="6"/>
    <cellStyle name="Millares [0] 2" xfId="30"/>
    <cellStyle name="Millares [0] 3" xfId="34"/>
    <cellStyle name="Millares 2" xfId="26"/>
    <cellStyle name="Normal" xfId="0" builtinId="0"/>
    <cellStyle name="Normal 10" xfId="17"/>
    <cellStyle name="Normal 11" xfId="20"/>
    <cellStyle name="Normal 11 2" xfId="24"/>
    <cellStyle name="Normal 12" xfId="21"/>
    <cellStyle name="Normal 12 2" xfId="23"/>
    <cellStyle name="Normal 13" xfId="22"/>
    <cellStyle name="Normal 2" xfId="2"/>
    <cellStyle name="Normal 2 2" xfId="9"/>
    <cellStyle name="Normal 3" xfId="3"/>
    <cellStyle name="Normal 3 2" xfId="18"/>
    <cellStyle name="Normal 4" xfId="4"/>
    <cellStyle name="Normal 5" xfId="8"/>
    <cellStyle name="Normal 5 2" xfId="31"/>
    <cellStyle name="Normal 6" xfId="10"/>
    <cellStyle name="Normal 6 2" xfId="14"/>
    <cellStyle name="Normal 7" xfId="11"/>
    <cellStyle name="Normal 7 2" xfId="32"/>
    <cellStyle name="Normal 8" xfId="13"/>
    <cellStyle name="Normal 9" xfId="15"/>
    <cellStyle name="Normal 9 2" xfId="19"/>
    <cellStyle name="Porcentaje" xfId="25" builtinId="5"/>
    <cellStyle name="Porcentaje 2" xfId="5"/>
    <cellStyle name="Porcentaje 3" xfId="6"/>
    <cellStyle name="Porcentaje 3 2" xfId="33"/>
    <cellStyle name="Porcentaje 4" xfId="7"/>
    <cellStyle name="Porcentaje 5" xfId="12"/>
    <cellStyle name="Porcentaje 6" xfId="27"/>
  </cellStyles>
  <dxfs count="2">
    <dxf>
      <numFmt numFmtId="165" formatCode="0.0"/>
    </dxf>
    <dxf>
      <numFmt numFmtId="165" formatCode="0.0"/>
    </dxf>
  </dxfs>
  <tableStyles count="0" defaultTableStyle="TableStyleMedium2" defaultPivotStyle="PivotStyleLight16"/>
  <colors>
    <mruColors>
      <color rgb="FF990033"/>
      <color rgb="FF0066FF"/>
      <color rgb="FFCC000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84" Type="http://schemas.openxmlformats.org/officeDocument/2006/relationships/externalLink" Target="externalLinks/externalLink30.xml"/><Relationship Id="rId89" Type="http://schemas.openxmlformats.org/officeDocument/2006/relationships/externalLink" Target="externalLinks/externalLink35.xml"/><Relationship Id="rId112" Type="http://schemas.openxmlformats.org/officeDocument/2006/relationships/externalLink" Target="externalLinks/externalLink58.xml"/><Relationship Id="rId133" Type="http://schemas.openxmlformats.org/officeDocument/2006/relationships/externalLink" Target="externalLinks/externalLink79.xml"/><Relationship Id="rId138" Type="http://schemas.openxmlformats.org/officeDocument/2006/relationships/externalLink" Target="externalLinks/externalLink84.xml"/><Relationship Id="rId154" Type="http://schemas.openxmlformats.org/officeDocument/2006/relationships/externalLink" Target="externalLinks/externalLink100.xml"/><Relationship Id="rId159"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5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4.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102" Type="http://schemas.openxmlformats.org/officeDocument/2006/relationships/externalLink" Target="externalLinks/externalLink48.xml"/><Relationship Id="rId123" Type="http://schemas.openxmlformats.org/officeDocument/2006/relationships/externalLink" Target="externalLinks/externalLink69.xml"/><Relationship Id="rId128" Type="http://schemas.openxmlformats.org/officeDocument/2006/relationships/externalLink" Target="externalLinks/externalLink74.xml"/><Relationship Id="rId144" Type="http://schemas.openxmlformats.org/officeDocument/2006/relationships/externalLink" Target="externalLinks/externalLink90.xml"/><Relationship Id="rId149" Type="http://schemas.openxmlformats.org/officeDocument/2006/relationships/externalLink" Target="externalLinks/externalLink95.xml"/><Relationship Id="rId5" Type="http://schemas.openxmlformats.org/officeDocument/2006/relationships/worksheet" Target="worksheets/sheet5.xml"/><Relationship Id="rId90" Type="http://schemas.openxmlformats.org/officeDocument/2006/relationships/externalLink" Target="externalLinks/externalLink36.xml"/><Relationship Id="rId95" Type="http://schemas.openxmlformats.org/officeDocument/2006/relationships/externalLink" Target="externalLinks/externalLink41.xml"/><Relationship Id="rId160"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113" Type="http://schemas.openxmlformats.org/officeDocument/2006/relationships/externalLink" Target="externalLinks/externalLink59.xml"/><Relationship Id="rId118" Type="http://schemas.openxmlformats.org/officeDocument/2006/relationships/externalLink" Target="externalLinks/externalLink64.xml"/><Relationship Id="rId134" Type="http://schemas.openxmlformats.org/officeDocument/2006/relationships/externalLink" Target="externalLinks/externalLink80.xml"/><Relationship Id="rId139" Type="http://schemas.openxmlformats.org/officeDocument/2006/relationships/externalLink" Target="externalLinks/externalLink85.xml"/><Relationship Id="rId80" Type="http://schemas.openxmlformats.org/officeDocument/2006/relationships/externalLink" Target="externalLinks/externalLink26.xml"/><Relationship Id="rId85" Type="http://schemas.openxmlformats.org/officeDocument/2006/relationships/externalLink" Target="externalLinks/externalLink31.xml"/><Relationship Id="rId150" Type="http://schemas.openxmlformats.org/officeDocument/2006/relationships/externalLink" Target="externalLinks/externalLink96.xml"/><Relationship Id="rId155" Type="http://schemas.openxmlformats.org/officeDocument/2006/relationships/externalLink" Target="externalLinks/externalLink1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5.xml"/><Relationship Id="rId103" Type="http://schemas.openxmlformats.org/officeDocument/2006/relationships/externalLink" Target="externalLinks/externalLink49.xml"/><Relationship Id="rId108" Type="http://schemas.openxmlformats.org/officeDocument/2006/relationships/externalLink" Target="externalLinks/externalLink54.xml"/><Relationship Id="rId124" Type="http://schemas.openxmlformats.org/officeDocument/2006/relationships/externalLink" Target="externalLinks/externalLink70.xml"/><Relationship Id="rId129" Type="http://schemas.openxmlformats.org/officeDocument/2006/relationships/externalLink" Target="externalLinks/externalLink7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83" Type="http://schemas.openxmlformats.org/officeDocument/2006/relationships/externalLink" Target="externalLinks/externalLink29.xml"/><Relationship Id="rId88" Type="http://schemas.openxmlformats.org/officeDocument/2006/relationships/externalLink" Target="externalLinks/externalLink34.xml"/><Relationship Id="rId91" Type="http://schemas.openxmlformats.org/officeDocument/2006/relationships/externalLink" Target="externalLinks/externalLink37.xml"/><Relationship Id="rId96" Type="http://schemas.openxmlformats.org/officeDocument/2006/relationships/externalLink" Target="externalLinks/externalLink42.xml"/><Relationship Id="rId111" Type="http://schemas.openxmlformats.org/officeDocument/2006/relationships/externalLink" Target="externalLinks/externalLink57.xml"/><Relationship Id="rId132" Type="http://schemas.openxmlformats.org/officeDocument/2006/relationships/externalLink" Target="externalLinks/externalLink78.xml"/><Relationship Id="rId140" Type="http://schemas.openxmlformats.org/officeDocument/2006/relationships/externalLink" Target="externalLinks/externalLink86.xml"/><Relationship Id="rId145" Type="http://schemas.openxmlformats.org/officeDocument/2006/relationships/externalLink" Target="externalLinks/externalLink91.xml"/><Relationship Id="rId153" Type="http://schemas.openxmlformats.org/officeDocument/2006/relationships/externalLink" Target="externalLinks/externalLink99.xml"/><Relationship Id="rId16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6" Type="http://schemas.openxmlformats.org/officeDocument/2006/relationships/externalLink" Target="externalLinks/externalLink52.xml"/><Relationship Id="rId114" Type="http://schemas.openxmlformats.org/officeDocument/2006/relationships/externalLink" Target="externalLinks/externalLink60.xml"/><Relationship Id="rId119" Type="http://schemas.openxmlformats.org/officeDocument/2006/relationships/externalLink" Target="externalLinks/externalLink65.xml"/><Relationship Id="rId127" Type="http://schemas.openxmlformats.org/officeDocument/2006/relationships/externalLink" Target="externalLinks/externalLink7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81" Type="http://schemas.openxmlformats.org/officeDocument/2006/relationships/externalLink" Target="externalLinks/externalLink27.xml"/><Relationship Id="rId86" Type="http://schemas.openxmlformats.org/officeDocument/2006/relationships/externalLink" Target="externalLinks/externalLink32.xml"/><Relationship Id="rId94" Type="http://schemas.openxmlformats.org/officeDocument/2006/relationships/externalLink" Target="externalLinks/externalLink40.xml"/><Relationship Id="rId99" Type="http://schemas.openxmlformats.org/officeDocument/2006/relationships/externalLink" Target="externalLinks/externalLink45.xml"/><Relationship Id="rId101" Type="http://schemas.openxmlformats.org/officeDocument/2006/relationships/externalLink" Target="externalLinks/externalLink47.xml"/><Relationship Id="rId122" Type="http://schemas.openxmlformats.org/officeDocument/2006/relationships/externalLink" Target="externalLinks/externalLink68.xml"/><Relationship Id="rId130" Type="http://schemas.openxmlformats.org/officeDocument/2006/relationships/externalLink" Target="externalLinks/externalLink76.xml"/><Relationship Id="rId135" Type="http://schemas.openxmlformats.org/officeDocument/2006/relationships/externalLink" Target="externalLinks/externalLink81.xml"/><Relationship Id="rId143" Type="http://schemas.openxmlformats.org/officeDocument/2006/relationships/externalLink" Target="externalLinks/externalLink89.xml"/><Relationship Id="rId148" Type="http://schemas.openxmlformats.org/officeDocument/2006/relationships/externalLink" Target="externalLinks/externalLink94.xml"/><Relationship Id="rId151" Type="http://schemas.openxmlformats.org/officeDocument/2006/relationships/externalLink" Target="externalLinks/externalLink97.xml"/><Relationship Id="rId156" Type="http://schemas.openxmlformats.org/officeDocument/2006/relationships/externalLink" Target="externalLinks/externalLink10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6" Type="http://schemas.openxmlformats.org/officeDocument/2006/relationships/externalLink" Target="externalLinks/externalLink22.xml"/><Relationship Id="rId97" Type="http://schemas.openxmlformats.org/officeDocument/2006/relationships/externalLink" Target="externalLinks/externalLink43.xml"/><Relationship Id="rId104" Type="http://schemas.openxmlformats.org/officeDocument/2006/relationships/externalLink" Target="externalLinks/externalLink50.xml"/><Relationship Id="rId120" Type="http://schemas.openxmlformats.org/officeDocument/2006/relationships/externalLink" Target="externalLinks/externalLink66.xml"/><Relationship Id="rId125" Type="http://schemas.openxmlformats.org/officeDocument/2006/relationships/externalLink" Target="externalLinks/externalLink71.xml"/><Relationship Id="rId141" Type="http://schemas.openxmlformats.org/officeDocument/2006/relationships/externalLink" Target="externalLinks/externalLink87.xml"/><Relationship Id="rId146" Type="http://schemas.openxmlformats.org/officeDocument/2006/relationships/externalLink" Target="externalLinks/externalLink92.xml"/><Relationship Id="rId7" Type="http://schemas.openxmlformats.org/officeDocument/2006/relationships/worksheet" Target="worksheets/sheet7.xml"/><Relationship Id="rId71" Type="http://schemas.openxmlformats.org/officeDocument/2006/relationships/externalLink" Target="externalLinks/externalLink17.xml"/><Relationship Id="rId92" Type="http://schemas.openxmlformats.org/officeDocument/2006/relationships/externalLink" Target="externalLinks/externalLink38.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2.xml"/><Relationship Id="rId87" Type="http://schemas.openxmlformats.org/officeDocument/2006/relationships/externalLink" Target="externalLinks/externalLink33.xml"/><Relationship Id="rId110" Type="http://schemas.openxmlformats.org/officeDocument/2006/relationships/externalLink" Target="externalLinks/externalLink56.xml"/><Relationship Id="rId115" Type="http://schemas.openxmlformats.org/officeDocument/2006/relationships/externalLink" Target="externalLinks/externalLink61.xml"/><Relationship Id="rId131" Type="http://schemas.openxmlformats.org/officeDocument/2006/relationships/externalLink" Target="externalLinks/externalLink77.xml"/><Relationship Id="rId136" Type="http://schemas.openxmlformats.org/officeDocument/2006/relationships/externalLink" Target="externalLinks/externalLink82.xml"/><Relationship Id="rId157" Type="http://schemas.openxmlformats.org/officeDocument/2006/relationships/pivotCacheDefinition" Target="pivotCache/pivotCacheDefinition1.xml"/><Relationship Id="rId61" Type="http://schemas.openxmlformats.org/officeDocument/2006/relationships/externalLink" Target="externalLinks/externalLink7.xml"/><Relationship Id="rId82" Type="http://schemas.openxmlformats.org/officeDocument/2006/relationships/externalLink" Target="externalLinks/externalLink28.xml"/><Relationship Id="rId152" Type="http://schemas.openxmlformats.org/officeDocument/2006/relationships/externalLink" Target="externalLinks/externalLink9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xml"/><Relationship Id="rId77" Type="http://schemas.openxmlformats.org/officeDocument/2006/relationships/externalLink" Target="externalLinks/externalLink23.xml"/><Relationship Id="rId100" Type="http://schemas.openxmlformats.org/officeDocument/2006/relationships/externalLink" Target="externalLinks/externalLink46.xml"/><Relationship Id="rId105" Type="http://schemas.openxmlformats.org/officeDocument/2006/relationships/externalLink" Target="externalLinks/externalLink51.xml"/><Relationship Id="rId126" Type="http://schemas.openxmlformats.org/officeDocument/2006/relationships/externalLink" Target="externalLinks/externalLink72.xml"/><Relationship Id="rId147" Type="http://schemas.openxmlformats.org/officeDocument/2006/relationships/externalLink" Target="externalLinks/externalLink9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93" Type="http://schemas.openxmlformats.org/officeDocument/2006/relationships/externalLink" Target="externalLinks/externalLink39.xml"/><Relationship Id="rId98" Type="http://schemas.openxmlformats.org/officeDocument/2006/relationships/externalLink" Target="externalLinks/externalLink44.xml"/><Relationship Id="rId121" Type="http://schemas.openxmlformats.org/officeDocument/2006/relationships/externalLink" Target="externalLinks/externalLink67.xml"/><Relationship Id="rId142" Type="http://schemas.openxmlformats.org/officeDocument/2006/relationships/externalLink" Target="externalLinks/externalLink8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3.xml"/><Relationship Id="rId116" Type="http://schemas.openxmlformats.org/officeDocument/2006/relationships/externalLink" Target="externalLinks/externalLink62.xml"/><Relationship Id="rId137" Type="http://schemas.openxmlformats.org/officeDocument/2006/relationships/externalLink" Target="externalLinks/externalLink83.xml"/><Relationship Id="rId158"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95250</xdr:rowOff>
    </xdr:from>
    <xdr:to>
      <xdr:col>19</xdr:col>
      <xdr:colOff>723900</xdr:colOff>
      <xdr:row>4</xdr:row>
      <xdr:rowOff>171450</xdr:rowOff>
    </xdr:to>
    <xdr:sp macro="" textlink="">
      <xdr:nvSpPr>
        <xdr:cNvPr id="2" name="1 Rectángulo redondeado"/>
        <xdr:cNvSpPr/>
      </xdr:nvSpPr>
      <xdr:spPr>
        <a:xfrm>
          <a:off x="257175" y="828675"/>
          <a:ext cx="14982825" cy="390525"/>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b="1">
            <a:solidFill>
              <a:srgbClr val="0000FF"/>
            </a:solidFill>
          </a:endParaRPr>
        </a:p>
      </xdr:txBody>
    </xdr:sp>
    <xdr:clientData/>
  </xdr:twoCellAnchor>
  <xdr:twoCellAnchor>
    <xdr:from>
      <xdr:col>0</xdr:col>
      <xdr:colOff>761999</xdr:colOff>
      <xdr:row>6</xdr:row>
      <xdr:rowOff>19050</xdr:rowOff>
    </xdr:from>
    <xdr:to>
      <xdr:col>3</xdr:col>
      <xdr:colOff>752474</xdr:colOff>
      <xdr:row>10</xdr:row>
      <xdr:rowOff>85725</xdr:rowOff>
    </xdr:to>
    <xdr:sp macro="" textlink="">
      <xdr:nvSpPr>
        <xdr:cNvPr id="3" name="2 Llamada de flecha hacia abajo"/>
        <xdr:cNvSpPr/>
      </xdr:nvSpPr>
      <xdr:spPr>
        <a:xfrm>
          <a:off x="761999" y="1543050"/>
          <a:ext cx="2276475" cy="828675"/>
        </a:xfrm>
        <a:prstGeom prst="downArrowCallout">
          <a:avLst/>
        </a:prstGeom>
        <a:solidFill>
          <a:schemeClr val="tx2">
            <a:lumMod val="60000"/>
            <a:lumOff val="4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ESTRATÉGICOS</a:t>
          </a:r>
        </a:p>
      </xdr:txBody>
    </xdr:sp>
    <xdr:clientData/>
  </xdr:twoCellAnchor>
  <xdr:twoCellAnchor>
    <xdr:from>
      <xdr:col>5</xdr:col>
      <xdr:colOff>19049</xdr:colOff>
      <xdr:row>6</xdr:row>
      <xdr:rowOff>9525</xdr:rowOff>
    </xdr:from>
    <xdr:to>
      <xdr:col>8</xdr:col>
      <xdr:colOff>9524</xdr:colOff>
      <xdr:row>10</xdr:row>
      <xdr:rowOff>76200</xdr:rowOff>
    </xdr:to>
    <xdr:sp macro="" textlink="">
      <xdr:nvSpPr>
        <xdr:cNvPr id="7" name="6 Llamada de flecha hacia abajo"/>
        <xdr:cNvSpPr/>
      </xdr:nvSpPr>
      <xdr:spPr>
        <a:xfrm>
          <a:off x="3829049" y="1533525"/>
          <a:ext cx="2276475" cy="828675"/>
        </a:xfrm>
        <a:prstGeom prst="downArrowCallout">
          <a:avLst/>
        </a:prstGeom>
        <a:solidFill>
          <a:srgbClr val="CC0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a:t>
          </a:r>
          <a:r>
            <a:rPr lang="es-CO" sz="1400" b="1" baseline="0">
              <a:solidFill>
                <a:schemeClr val="bg1"/>
              </a:solidFill>
            </a:rPr>
            <a:t> MISIONALES</a:t>
          </a:r>
          <a:endParaRPr lang="es-CO" sz="1400" b="1">
            <a:solidFill>
              <a:schemeClr val="bg1"/>
            </a:solidFill>
          </a:endParaRPr>
        </a:p>
      </xdr:txBody>
    </xdr:sp>
    <xdr:clientData/>
  </xdr:twoCellAnchor>
  <xdr:twoCellAnchor>
    <xdr:from>
      <xdr:col>9</xdr:col>
      <xdr:colOff>9524</xdr:colOff>
      <xdr:row>6</xdr:row>
      <xdr:rowOff>9525</xdr:rowOff>
    </xdr:from>
    <xdr:to>
      <xdr:col>15</xdr:col>
      <xdr:colOff>752475</xdr:colOff>
      <xdr:row>10</xdr:row>
      <xdr:rowOff>0</xdr:rowOff>
    </xdr:to>
    <xdr:sp macro="" textlink="">
      <xdr:nvSpPr>
        <xdr:cNvPr id="8" name="7 Llamada de flecha hacia abajo"/>
        <xdr:cNvSpPr/>
      </xdr:nvSpPr>
      <xdr:spPr>
        <a:xfrm>
          <a:off x="6063191" y="1311275"/>
          <a:ext cx="5304367" cy="752475"/>
        </a:xfrm>
        <a:prstGeom prst="downArrowCallou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DE APOYO</a:t>
          </a:r>
        </a:p>
      </xdr:txBody>
    </xdr:sp>
    <xdr:clientData/>
  </xdr:twoCellAnchor>
  <xdr:twoCellAnchor>
    <xdr:from>
      <xdr:col>17</xdr:col>
      <xdr:colOff>19049</xdr:colOff>
      <xdr:row>6</xdr:row>
      <xdr:rowOff>9525</xdr:rowOff>
    </xdr:from>
    <xdr:to>
      <xdr:col>20</xdr:col>
      <xdr:colOff>9524</xdr:colOff>
      <xdr:row>10</xdr:row>
      <xdr:rowOff>76200</xdr:rowOff>
    </xdr:to>
    <xdr:sp macro="" textlink="">
      <xdr:nvSpPr>
        <xdr:cNvPr id="9" name="8 Llamada de flecha hacia abajo"/>
        <xdr:cNvSpPr/>
      </xdr:nvSpPr>
      <xdr:spPr>
        <a:xfrm>
          <a:off x="9925049" y="1533525"/>
          <a:ext cx="2276475" cy="828675"/>
        </a:xfrm>
        <a:prstGeom prst="downArrowCallout">
          <a:avLst/>
        </a:prstGeom>
        <a:solidFill>
          <a:schemeClr val="accent6">
            <a:lumMod val="7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chemeClr val="bg1"/>
              </a:solidFill>
            </a:rPr>
            <a:t>PROCESOS DE EVALUACIÓN Y CONTROL</a:t>
          </a:r>
        </a:p>
      </xdr:txBody>
    </xdr:sp>
    <xdr:clientData/>
  </xdr:twoCellAnchor>
  <xdr:twoCellAnchor editAs="oneCell">
    <xdr:from>
      <xdr:col>1</xdr:col>
      <xdr:colOff>133350</xdr:colOff>
      <xdr:row>0</xdr:row>
      <xdr:rowOff>104775</xdr:rowOff>
    </xdr:from>
    <xdr:to>
      <xdr:col>1</xdr:col>
      <xdr:colOff>828675</xdr:colOff>
      <xdr:row>1</xdr:row>
      <xdr:rowOff>447675</xdr:rowOff>
    </xdr:to>
    <xdr:pic>
      <xdr:nvPicPr>
        <xdr:cNvPr id="10" name="Imagen 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90525" y="104775"/>
          <a:ext cx="695325" cy="485775"/>
        </a:xfrm>
        <a:prstGeom prst="rect">
          <a:avLst/>
        </a:prstGeom>
        <a:noFill/>
        <a:ln w="9525" algn="ctr">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303286</xdr:colOff>
      <xdr:row>0</xdr:row>
      <xdr:rowOff>136525</xdr:rowOff>
    </xdr:from>
    <xdr:to>
      <xdr:col>24</xdr:col>
      <xdr:colOff>333373</xdr:colOff>
      <xdr:row>3</xdr:row>
      <xdr:rowOff>134938</xdr:rowOff>
    </xdr:to>
    <xdr:pic>
      <xdr:nvPicPr>
        <xdr:cNvPr id="2" name="Imagen 3"/>
        <xdr:cNvPicPr/>
      </xdr:nvPicPr>
      <xdr:blipFill>
        <a:blip xmlns:r="http://schemas.openxmlformats.org/officeDocument/2006/relationships" r:embed="rId1"/>
        <a:stretch/>
      </xdr:blipFill>
      <xdr:spPr>
        <a:xfrm>
          <a:off x="7913761" y="136525"/>
          <a:ext cx="982587" cy="703263"/>
        </a:xfrm>
        <a:prstGeom prst="rect">
          <a:avLst/>
        </a:prstGeom>
        <a:ln w="9360">
          <a:noFill/>
        </a:ln>
      </xdr:spPr>
    </xdr:pic>
    <xdr:clientData/>
  </xdr:twoCellAnchor>
  <xdr:twoCellAnchor>
    <xdr:from>
      <xdr:col>3</xdr:col>
      <xdr:colOff>0</xdr:colOff>
      <xdr:row>1</xdr:row>
      <xdr:rowOff>0</xdr:rowOff>
    </xdr:from>
    <xdr:to>
      <xdr:col>4</xdr:col>
      <xdr:colOff>33618</xdr:colOff>
      <xdr:row>3</xdr:row>
      <xdr:rowOff>100853</xdr:rowOff>
    </xdr:to>
    <xdr:sp macro="" textlink="">
      <xdr:nvSpPr>
        <xdr:cNvPr id="5" name="1 Botón de acción: Inicio">
          <a:hlinkClick xmlns:r="http://schemas.openxmlformats.org/officeDocument/2006/relationships" r:id="rId2"/>
        </xdr:cNvPr>
        <xdr:cNvSpPr/>
      </xdr:nvSpPr>
      <xdr:spPr>
        <a:xfrm>
          <a:off x="1411941" y="257735"/>
          <a:ext cx="627530" cy="549089"/>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360630</xdr:colOff>
      <xdr:row>2</xdr:row>
      <xdr:rowOff>134321</xdr:rowOff>
    </xdr:to>
    <xdr:pic>
      <xdr:nvPicPr>
        <xdr:cNvPr id="2" name="Imagen 3"/>
        <xdr:cNvPicPr/>
      </xdr:nvPicPr>
      <xdr:blipFill>
        <a:blip xmlns:r="http://schemas.openxmlformats.org/officeDocument/2006/relationships" r:embed="rId1"/>
        <a:stretch/>
      </xdr:blipFill>
      <xdr:spPr>
        <a:xfrm>
          <a:off x="8810700" y="57150"/>
          <a:ext cx="636780" cy="486746"/>
        </a:xfrm>
        <a:prstGeom prst="rect">
          <a:avLst/>
        </a:prstGeom>
        <a:ln w="9360">
          <a:noFill/>
        </a:ln>
      </xdr:spPr>
    </xdr:pic>
    <xdr:clientData/>
  </xdr:twoCellAnchor>
  <xdr:twoCellAnchor editAs="oneCell">
    <xdr:from>
      <xdr:col>48</xdr:col>
      <xdr:colOff>361950</xdr:colOff>
      <xdr:row>0</xdr:row>
      <xdr:rowOff>38100</xdr:rowOff>
    </xdr:from>
    <xdr:to>
      <xdr:col>49</xdr:col>
      <xdr:colOff>379605</xdr:colOff>
      <xdr:row>2</xdr:row>
      <xdr:rowOff>115271</xdr:rowOff>
    </xdr:to>
    <xdr:pic>
      <xdr:nvPicPr>
        <xdr:cNvPr id="3" name="Imagen 3"/>
        <xdr:cNvPicPr/>
      </xdr:nvPicPr>
      <xdr:blipFill>
        <a:blip xmlns:r="http://schemas.openxmlformats.org/officeDocument/2006/relationships" r:embed="rId1"/>
        <a:stretch/>
      </xdr:blipFill>
      <xdr:spPr>
        <a:xfrm>
          <a:off x="27593925" y="38100"/>
          <a:ext cx="636780" cy="486746"/>
        </a:xfrm>
        <a:prstGeom prst="rect">
          <a:avLst/>
        </a:prstGeom>
        <a:ln w="9360">
          <a:noFill/>
        </a:ln>
      </xdr:spPr>
    </xdr:pic>
    <xdr:clientData/>
  </xdr:twoCellAnchor>
  <xdr:twoCellAnchor>
    <xdr:from>
      <xdr:col>3</xdr:col>
      <xdr:colOff>133350</xdr:colOff>
      <xdr:row>0</xdr:row>
      <xdr:rowOff>161926</xdr:rowOff>
    </xdr:from>
    <xdr:to>
      <xdr:col>4</xdr:col>
      <xdr:colOff>266700</xdr:colOff>
      <xdr:row>3</xdr:row>
      <xdr:rowOff>123825</xdr:rowOff>
    </xdr:to>
    <xdr:sp macro="" textlink="">
      <xdr:nvSpPr>
        <xdr:cNvPr id="7" name="1 Botón de acción: Inicio">
          <a:hlinkClick xmlns:r="http://schemas.openxmlformats.org/officeDocument/2006/relationships" r:id="rId2"/>
        </xdr:cNvPr>
        <xdr:cNvSpPr/>
      </xdr:nvSpPr>
      <xdr:spPr>
        <a:xfrm>
          <a:off x="1552575" y="161926"/>
          <a:ext cx="571500" cy="514349"/>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379680</xdr:colOff>
      <xdr:row>2</xdr:row>
      <xdr:rowOff>74790</xdr:rowOff>
    </xdr:to>
    <xdr:pic>
      <xdr:nvPicPr>
        <xdr:cNvPr id="2" name="Imagen 3"/>
        <xdr:cNvPicPr/>
      </xdr:nvPicPr>
      <xdr:blipFill>
        <a:blip xmlns:r="http://schemas.openxmlformats.org/officeDocument/2006/relationships" r:embed="rId1"/>
        <a:stretch/>
      </xdr:blipFill>
      <xdr:spPr>
        <a:xfrm>
          <a:off x="8534475" y="57150"/>
          <a:ext cx="636780" cy="474840"/>
        </a:xfrm>
        <a:prstGeom prst="rect">
          <a:avLst/>
        </a:prstGeom>
        <a:ln w="9360">
          <a:noFill/>
        </a:ln>
      </xdr:spPr>
    </xdr:pic>
    <xdr:clientData/>
  </xdr:twoCellAnchor>
  <xdr:twoCellAnchor editAs="oneCell">
    <xdr:from>
      <xdr:col>48</xdr:col>
      <xdr:colOff>361950</xdr:colOff>
      <xdr:row>0</xdr:row>
      <xdr:rowOff>38100</xdr:rowOff>
    </xdr:from>
    <xdr:to>
      <xdr:col>49</xdr:col>
      <xdr:colOff>379605</xdr:colOff>
      <xdr:row>2</xdr:row>
      <xdr:rowOff>55740</xdr:rowOff>
    </xdr:to>
    <xdr:pic>
      <xdr:nvPicPr>
        <xdr:cNvPr id="3" name="Imagen 3"/>
        <xdr:cNvPicPr/>
      </xdr:nvPicPr>
      <xdr:blipFill>
        <a:blip xmlns:r="http://schemas.openxmlformats.org/officeDocument/2006/relationships" r:embed="rId1"/>
        <a:stretch/>
      </xdr:blipFill>
      <xdr:spPr>
        <a:xfrm>
          <a:off x="26603325" y="38100"/>
          <a:ext cx="636780" cy="474840"/>
        </a:xfrm>
        <a:prstGeom prst="rect">
          <a:avLst/>
        </a:prstGeom>
        <a:ln w="9360">
          <a:noFill/>
        </a:ln>
      </xdr:spPr>
    </xdr:pic>
    <xdr:clientData/>
  </xdr:twoCellAnchor>
  <xdr:twoCellAnchor>
    <xdr:from>
      <xdr:col>3</xdr:col>
      <xdr:colOff>0</xdr:colOff>
      <xdr:row>1</xdr:row>
      <xdr:rowOff>0</xdr:rowOff>
    </xdr:from>
    <xdr:to>
      <xdr:col>4</xdr:col>
      <xdr:colOff>209550</xdr:colOff>
      <xdr:row>3</xdr:row>
      <xdr:rowOff>38100</xdr:rowOff>
    </xdr:to>
    <xdr:sp macro="" textlink="">
      <xdr:nvSpPr>
        <xdr:cNvPr id="6" name="1 Botón de acción: Inicio">
          <a:hlinkClick xmlns:r="http://schemas.openxmlformats.org/officeDocument/2006/relationships" r:id="rId2"/>
        </xdr:cNvPr>
        <xdr:cNvSpPr/>
      </xdr:nvSpPr>
      <xdr:spPr>
        <a:xfrm>
          <a:off x="1543050" y="228600"/>
          <a:ext cx="533400" cy="49530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360630</xdr:colOff>
      <xdr:row>3</xdr:row>
      <xdr:rowOff>74790</xdr:rowOff>
    </xdr:to>
    <xdr:pic>
      <xdr:nvPicPr>
        <xdr:cNvPr id="2" name="Imagen 3"/>
        <xdr:cNvPicPr/>
      </xdr:nvPicPr>
      <xdr:blipFill>
        <a:blip xmlns:r="http://schemas.openxmlformats.org/officeDocument/2006/relationships" r:embed="rId1"/>
        <a:stretch/>
      </xdr:blipFill>
      <xdr:spPr>
        <a:xfrm>
          <a:off x="18202350" y="57150"/>
          <a:ext cx="446280" cy="589140"/>
        </a:xfrm>
        <a:prstGeom prst="rect">
          <a:avLst/>
        </a:prstGeom>
        <a:ln w="9360">
          <a:noFill/>
        </a:ln>
      </xdr:spPr>
    </xdr:pic>
    <xdr:clientData/>
  </xdr:twoCellAnchor>
  <xdr:twoCellAnchor editAs="oneCell">
    <xdr:from>
      <xdr:col>50</xdr:col>
      <xdr:colOff>47625</xdr:colOff>
      <xdr:row>0</xdr:row>
      <xdr:rowOff>38100</xdr:rowOff>
    </xdr:from>
    <xdr:to>
      <xdr:col>51</xdr:col>
      <xdr:colOff>541530</xdr:colOff>
      <xdr:row>3</xdr:row>
      <xdr:rowOff>55740</xdr:rowOff>
    </xdr:to>
    <xdr:pic>
      <xdr:nvPicPr>
        <xdr:cNvPr id="3" name="Imagen 3"/>
        <xdr:cNvPicPr/>
      </xdr:nvPicPr>
      <xdr:blipFill>
        <a:blip xmlns:r="http://schemas.openxmlformats.org/officeDocument/2006/relationships" r:embed="rId1"/>
        <a:stretch/>
      </xdr:blipFill>
      <xdr:spPr>
        <a:xfrm>
          <a:off x="37385625" y="38100"/>
          <a:ext cx="1255905" cy="589140"/>
        </a:xfrm>
        <a:prstGeom prst="rect">
          <a:avLst/>
        </a:prstGeom>
        <a:ln w="9360">
          <a:noFill/>
        </a:ln>
      </xdr:spPr>
    </xdr:pic>
    <xdr:clientData/>
  </xdr:twoCellAnchor>
  <xdr:twoCellAnchor>
    <xdr:from>
      <xdr:col>2</xdr:col>
      <xdr:colOff>369093</xdr:colOff>
      <xdr:row>0</xdr:row>
      <xdr:rowOff>83344</xdr:rowOff>
    </xdr:from>
    <xdr:to>
      <xdr:col>4</xdr:col>
      <xdr:colOff>38100</xdr:colOff>
      <xdr:row>4</xdr:row>
      <xdr:rowOff>23812</xdr:rowOff>
    </xdr:to>
    <xdr:sp macro="" textlink="">
      <xdr:nvSpPr>
        <xdr:cNvPr id="6" name="1 Botón de acción: Inicio">
          <a:hlinkClick xmlns:r="http://schemas.openxmlformats.org/officeDocument/2006/relationships" r:id="rId2"/>
        </xdr:cNvPr>
        <xdr:cNvSpPr/>
      </xdr:nvSpPr>
      <xdr:spPr>
        <a:xfrm>
          <a:off x="1345406" y="83344"/>
          <a:ext cx="550069" cy="583406"/>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469485</xdr:colOff>
      <xdr:row>3</xdr:row>
      <xdr:rowOff>74790</xdr:rowOff>
    </xdr:to>
    <xdr:pic>
      <xdr:nvPicPr>
        <xdr:cNvPr id="2" name="Imagen 3"/>
        <xdr:cNvPicPr/>
      </xdr:nvPicPr>
      <xdr:blipFill>
        <a:blip xmlns:r="http://schemas.openxmlformats.org/officeDocument/2006/relationships" r:embed="rId1"/>
        <a:stretch/>
      </xdr:blipFill>
      <xdr:spPr>
        <a:xfrm>
          <a:off x="6877125" y="57150"/>
          <a:ext cx="640860" cy="484365"/>
        </a:xfrm>
        <a:prstGeom prst="rect">
          <a:avLst/>
        </a:prstGeom>
        <a:ln w="9360">
          <a:noFill/>
        </a:ln>
      </xdr:spPr>
    </xdr:pic>
    <xdr:clientData/>
  </xdr:twoCellAnchor>
  <xdr:twoCellAnchor>
    <xdr:from>
      <xdr:col>2</xdr:col>
      <xdr:colOff>123824</xdr:colOff>
      <xdr:row>0</xdr:row>
      <xdr:rowOff>95250</xdr:rowOff>
    </xdr:from>
    <xdr:to>
      <xdr:col>4</xdr:col>
      <xdr:colOff>209549</xdr:colOff>
      <xdr:row>3</xdr:row>
      <xdr:rowOff>152401</xdr:rowOff>
    </xdr:to>
    <xdr:sp macro="" textlink="">
      <xdr:nvSpPr>
        <xdr:cNvPr id="5" name="1 Botón de acción: Inicio">
          <a:hlinkClick xmlns:r="http://schemas.openxmlformats.org/officeDocument/2006/relationships" r:id="rId2"/>
        </xdr:cNvPr>
        <xdr:cNvSpPr/>
      </xdr:nvSpPr>
      <xdr:spPr>
        <a:xfrm>
          <a:off x="1085849" y="95250"/>
          <a:ext cx="504825" cy="523876"/>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360630</xdr:colOff>
      <xdr:row>3</xdr:row>
      <xdr:rowOff>74790</xdr:rowOff>
    </xdr:to>
    <xdr:pic>
      <xdr:nvPicPr>
        <xdr:cNvPr id="2" name="Imagen 3"/>
        <xdr:cNvPicPr/>
      </xdr:nvPicPr>
      <xdr:blipFill>
        <a:blip xmlns:r="http://schemas.openxmlformats.org/officeDocument/2006/relationships" r:embed="rId1"/>
        <a:stretch/>
      </xdr:blipFill>
      <xdr:spPr>
        <a:xfrm>
          <a:off x="8810700" y="57150"/>
          <a:ext cx="636780" cy="484365"/>
        </a:xfrm>
        <a:prstGeom prst="rect">
          <a:avLst/>
        </a:prstGeom>
        <a:ln w="9360">
          <a:noFill/>
        </a:ln>
      </xdr:spPr>
    </xdr:pic>
    <xdr:clientData/>
  </xdr:twoCellAnchor>
  <xdr:twoCellAnchor editAs="oneCell">
    <xdr:from>
      <xdr:col>48</xdr:col>
      <xdr:colOff>361950</xdr:colOff>
      <xdr:row>0</xdr:row>
      <xdr:rowOff>38100</xdr:rowOff>
    </xdr:from>
    <xdr:to>
      <xdr:col>49</xdr:col>
      <xdr:colOff>379605</xdr:colOff>
      <xdr:row>3</xdr:row>
      <xdr:rowOff>55740</xdr:rowOff>
    </xdr:to>
    <xdr:pic>
      <xdr:nvPicPr>
        <xdr:cNvPr id="3" name="Imagen 3"/>
        <xdr:cNvPicPr/>
      </xdr:nvPicPr>
      <xdr:blipFill>
        <a:blip xmlns:r="http://schemas.openxmlformats.org/officeDocument/2006/relationships" r:embed="rId1"/>
        <a:stretch/>
      </xdr:blipFill>
      <xdr:spPr>
        <a:xfrm>
          <a:off x="29213175" y="38100"/>
          <a:ext cx="636780" cy="484365"/>
        </a:xfrm>
        <a:prstGeom prst="rect">
          <a:avLst/>
        </a:prstGeom>
        <a:ln w="9360">
          <a:noFill/>
        </a:ln>
      </xdr:spPr>
    </xdr:pic>
    <xdr:clientData/>
  </xdr:twoCellAnchor>
  <xdr:twoCellAnchor>
    <xdr:from>
      <xdr:col>2</xdr:col>
      <xdr:colOff>257175</xdr:colOff>
      <xdr:row>0</xdr:row>
      <xdr:rowOff>95250</xdr:rowOff>
    </xdr:from>
    <xdr:to>
      <xdr:col>4</xdr:col>
      <xdr:colOff>0</xdr:colOff>
      <xdr:row>3</xdr:row>
      <xdr:rowOff>152401</xdr:rowOff>
    </xdr:to>
    <xdr:sp macro="" textlink="">
      <xdr:nvSpPr>
        <xdr:cNvPr id="7" name="1 Botón de acción: Inicio">
          <a:hlinkClick xmlns:r="http://schemas.openxmlformats.org/officeDocument/2006/relationships" r:id="rId2"/>
        </xdr:cNvPr>
        <xdr:cNvSpPr/>
      </xdr:nvSpPr>
      <xdr:spPr>
        <a:xfrm>
          <a:off x="1238250" y="95250"/>
          <a:ext cx="619125" cy="523876"/>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360630</xdr:colOff>
      <xdr:row>3</xdr:row>
      <xdr:rowOff>74790</xdr:rowOff>
    </xdr:to>
    <xdr:pic>
      <xdr:nvPicPr>
        <xdr:cNvPr id="2" name="Imagen 3"/>
        <xdr:cNvPicPr/>
      </xdr:nvPicPr>
      <xdr:blipFill>
        <a:blip xmlns:r="http://schemas.openxmlformats.org/officeDocument/2006/relationships" r:embed="rId1"/>
        <a:stretch/>
      </xdr:blipFill>
      <xdr:spPr>
        <a:xfrm>
          <a:off x="8810700" y="57150"/>
          <a:ext cx="636780" cy="484365"/>
        </a:xfrm>
        <a:prstGeom prst="rect">
          <a:avLst/>
        </a:prstGeom>
        <a:ln w="9360">
          <a:noFill/>
        </a:ln>
      </xdr:spPr>
    </xdr:pic>
    <xdr:clientData/>
  </xdr:twoCellAnchor>
  <xdr:twoCellAnchor editAs="oneCell">
    <xdr:from>
      <xdr:col>48</xdr:col>
      <xdr:colOff>361950</xdr:colOff>
      <xdr:row>0</xdr:row>
      <xdr:rowOff>38100</xdr:rowOff>
    </xdr:from>
    <xdr:to>
      <xdr:col>49</xdr:col>
      <xdr:colOff>379605</xdr:colOff>
      <xdr:row>3</xdr:row>
      <xdr:rowOff>55740</xdr:rowOff>
    </xdr:to>
    <xdr:pic>
      <xdr:nvPicPr>
        <xdr:cNvPr id="3" name="Imagen 3"/>
        <xdr:cNvPicPr/>
      </xdr:nvPicPr>
      <xdr:blipFill>
        <a:blip xmlns:r="http://schemas.openxmlformats.org/officeDocument/2006/relationships" r:embed="rId1"/>
        <a:stretch/>
      </xdr:blipFill>
      <xdr:spPr>
        <a:xfrm>
          <a:off x="26765250" y="38100"/>
          <a:ext cx="636780" cy="484365"/>
        </a:xfrm>
        <a:prstGeom prst="rect">
          <a:avLst/>
        </a:prstGeom>
        <a:ln w="9360">
          <a:noFill/>
        </a:ln>
      </xdr:spPr>
    </xdr:pic>
    <xdr:clientData/>
  </xdr:twoCellAnchor>
  <xdr:twoCellAnchor>
    <xdr:from>
      <xdr:col>2</xdr:col>
      <xdr:colOff>276224</xdr:colOff>
      <xdr:row>1</xdr:row>
      <xdr:rowOff>28576</xdr:rowOff>
    </xdr:from>
    <xdr:to>
      <xdr:col>3</xdr:col>
      <xdr:colOff>428625</xdr:colOff>
      <xdr:row>4</xdr:row>
      <xdr:rowOff>19051</xdr:rowOff>
    </xdr:to>
    <xdr:sp macro="" textlink="">
      <xdr:nvSpPr>
        <xdr:cNvPr id="6" name="1 Botón de acción: Inicio">
          <a:hlinkClick xmlns:r="http://schemas.openxmlformats.org/officeDocument/2006/relationships" r:id="rId2"/>
        </xdr:cNvPr>
        <xdr:cNvSpPr/>
      </xdr:nvSpPr>
      <xdr:spPr>
        <a:xfrm>
          <a:off x="1257299" y="171451"/>
          <a:ext cx="590551" cy="49530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24</xdr:col>
      <xdr:colOff>676350</xdr:colOff>
      <xdr:row>0</xdr:row>
      <xdr:rowOff>57150</xdr:rowOff>
    </xdr:from>
    <xdr:to>
      <xdr:col>25</xdr:col>
      <xdr:colOff>360630</xdr:colOff>
      <xdr:row>3</xdr:row>
      <xdr:rowOff>74790</xdr:rowOff>
    </xdr:to>
    <xdr:pic>
      <xdr:nvPicPr>
        <xdr:cNvPr id="2" name="Imagen 3"/>
        <xdr:cNvPicPr/>
      </xdr:nvPicPr>
      <xdr:blipFill>
        <a:blip xmlns:r="http://schemas.openxmlformats.org/officeDocument/2006/relationships" r:embed="rId1"/>
        <a:stretch/>
      </xdr:blipFill>
      <xdr:spPr>
        <a:xfrm>
          <a:off x="8905950" y="57150"/>
          <a:ext cx="636780" cy="484365"/>
        </a:xfrm>
        <a:prstGeom prst="rect">
          <a:avLst/>
        </a:prstGeom>
        <a:ln w="9360">
          <a:noFill/>
        </a:ln>
      </xdr:spPr>
    </xdr:pic>
    <xdr:clientData/>
  </xdr:twoCellAnchor>
  <xdr:twoCellAnchor>
    <xdr:from>
      <xdr:col>4</xdr:col>
      <xdr:colOff>123824</xdr:colOff>
      <xdr:row>1</xdr:row>
      <xdr:rowOff>9525</xdr:rowOff>
    </xdr:from>
    <xdr:to>
      <xdr:col>5</xdr:col>
      <xdr:colOff>266699</xdr:colOff>
      <xdr:row>3</xdr:row>
      <xdr:rowOff>171450</xdr:rowOff>
    </xdr:to>
    <xdr:sp macro="" textlink="">
      <xdr:nvSpPr>
        <xdr:cNvPr id="6" name="1 Botón de acción: Inicio">
          <a:hlinkClick xmlns:r="http://schemas.openxmlformats.org/officeDocument/2006/relationships" r:id="rId2"/>
        </xdr:cNvPr>
        <xdr:cNvSpPr/>
      </xdr:nvSpPr>
      <xdr:spPr>
        <a:xfrm>
          <a:off x="1638299" y="152400"/>
          <a:ext cx="581025" cy="48577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23</xdr:col>
      <xdr:colOff>676350</xdr:colOff>
      <xdr:row>0</xdr:row>
      <xdr:rowOff>57150</xdr:rowOff>
    </xdr:from>
    <xdr:ext cx="636780" cy="484365"/>
    <xdr:pic>
      <xdr:nvPicPr>
        <xdr:cNvPr id="2" name="Imagen 3"/>
        <xdr:cNvPicPr/>
      </xdr:nvPicPr>
      <xdr:blipFill>
        <a:blip xmlns:r="http://schemas.openxmlformats.org/officeDocument/2006/relationships" r:embed="rId1"/>
        <a:stretch/>
      </xdr:blipFill>
      <xdr:spPr>
        <a:xfrm>
          <a:off x="8858325" y="57150"/>
          <a:ext cx="636780" cy="484365"/>
        </a:xfrm>
        <a:prstGeom prst="rect">
          <a:avLst/>
        </a:prstGeom>
        <a:ln w="9360">
          <a:noFill/>
        </a:ln>
      </xdr:spPr>
    </xdr:pic>
    <xdr:clientData/>
  </xdr:oneCellAnchor>
  <xdr:twoCellAnchor>
    <xdr:from>
      <xdr:col>3</xdr:col>
      <xdr:colOff>-1</xdr:colOff>
      <xdr:row>0</xdr:row>
      <xdr:rowOff>56030</xdr:rowOff>
    </xdr:from>
    <xdr:to>
      <xdr:col>4</xdr:col>
      <xdr:colOff>212911</xdr:colOff>
      <xdr:row>4</xdr:row>
      <xdr:rowOff>1</xdr:rowOff>
    </xdr:to>
    <xdr:sp macro="" textlink="">
      <xdr:nvSpPr>
        <xdr:cNvPr id="6" name="1 Botón de acción: Inicio">
          <a:hlinkClick xmlns:r="http://schemas.openxmlformats.org/officeDocument/2006/relationships" r:id="rId2"/>
        </xdr:cNvPr>
        <xdr:cNvSpPr/>
      </xdr:nvSpPr>
      <xdr:spPr>
        <a:xfrm>
          <a:off x="1467970" y="56030"/>
          <a:ext cx="649941" cy="593912"/>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360630</xdr:colOff>
      <xdr:row>3</xdr:row>
      <xdr:rowOff>74790</xdr:rowOff>
    </xdr:to>
    <xdr:pic>
      <xdr:nvPicPr>
        <xdr:cNvPr id="2" name="Imagen 3"/>
        <xdr:cNvPicPr/>
      </xdr:nvPicPr>
      <xdr:blipFill>
        <a:blip xmlns:r="http://schemas.openxmlformats.org/officeDocument/2006/relationships" r:embed="rId1"/>
        <a:stretch/>
      </xdr:blipFill>
      <xdr:spPr>
        <a:xfrm>
          <a:off x="9029775" y="57150"/>
          <a:ext cx="636780" cy="484365"/>
        </a:xfrm>
        <a:prstGeom prst="rect">
          <a:avLst/>
        </a:prstGeom>
        <a:ln w="9360">
          <a:noFill/>
        </a:ln>
      </xdr:spPr>
    </xdr:pic>
    <xdr:clientData/>
  </xdr:twoCellAnchor>
  <xdr:twoCellAnchor>
    <xdr:from>
      <xdr:col>2</xdr:col>
      <xdr:colOff>232833</xdr:colOff>
      <xdr:row>0</xdr:row>
      <xdr:rowOff>95250</xdr:rowOff>
    </xdr:from>
    <xdr:to>
      <xdr:col>4</xdr:col>
      <xdr:colOff>63500</xdr:colOff>
      <xdr:row>3</xdr:row>
      <xdr:rowOff>137583</xdr:rowOff>
    </xdr:to>
    <xdr:sp macro="" textlink="">
      <xdr:nvSpPr>
        <xdr:cNvPr id="4" name="1 Botón de acción: Inicio">
          <a:hlinkClick xmlns:r="http://schemas.openxmlformats.org/officeDocument/2006/relationships" r:id="rId2"/>
        </xdr:cNvPr>
        <xdr:cNvSpPr/>
      </xdr:nvSpPr>
      <xdr:spPr>
        <a:xfrm>
          <a:off x="1217083" y="95250"/>
          <a:ext cx="698500" cy="51858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360630</xdr:colOff>
      <xdr:row>3</xdr:row>
      <xdr:rowOff>74790</xdr:rowOff>
    </xdr:to>
    <xdr:pic>
      <xdr:nvPicPr>
        <xdr:cNvPr id="2" name="Imagen 3"/>
        <xdr:cNvPicPr/>
      </xdr:nvPicPr>
      <xdr:blipFill>
        <a:blip xmlns:r="http://schemas.openxmlformats.org/officeDocument/2006/relationships" r:embed="rId1"/>
        <a:stretch/>
      </xdr:blipFill>
      <xdr:spPr>
        <a:xfrm>
          <a:off x="9715575" y="57150"/>
          <a:ext cx="636780" cy="484365"/>
        </a:xfrm>
        <a:prstGeom prst="rect">
          <a:avLst/>
        </a:prstGeom>
        <a:ln w="9360">
          <a:noFill/>
        </a:ln>
      </xdr:spPr>
    </xdr:pic>
    <xdr:clientData/>
  </xdr:twoCellAnchor>
  <xdr:twoCellAnchor editAs="oneCell">
    <xdr:from>
      <xdr:col>48</xdr:col>
      <xdr:colOff>361950</xdr:colOff>
      <xdr:row>0</xdr:row>
      <xdr:rowOff>38100</xdr:rowOff>
    </xdr:from>
    <xdr:to>
      <xdr:col>49</xdr:col>
      <xdr:colOff>379604</xdr:colOff>
      <xdr:row>3</xdr:row>
      <xdr:rowOff>55740</xdr:rowOff>
    </xdr:to>
    <xdr:pic>
      <xdr:nvPicPr>
        <xdr:cNvPr id="3" name="Imagen 3"/>
        <xdr:cNvPicPr/>
      </xdr:nvPicPr>
      <xdr:blipFill>
        <a:blip xmlns:r="http://schemas.openxmlformats.org/officeDocument/2006/relationships" r:embed="rId1"/>
        <a:stretch/>
      </xdr:blipFill>
      <xdr:spPr>
        <a:xfrm>
          <a:off x="27889200" y="38100"/>
          <a:ext cx="636779" cy="484365"/>
        </a:xfrm>
        <a:prstGeom prst="rect">
          <a:avLst/>
        </a:prstGeom>
        <a:ln w="9360">
          <a:noFill/>
        </a:ln>
      </xdr:spPr>
    </xdr:pic>
    <xdr:clientData/>
  </xdr:twoCellAnchor>
  <xdr:twoCellAnchor>
    <xdr:from>
      <xdr:col>5</xdr:col>
      <xdr:colOff>47626</xdr:colOff>
      <xdr:row>0</xdr:row>
      <xdr:rowOff>85725</xdr:rowOff>
    </xdr:from>
    <xdr:to>
      <xdr:col>5</xdr:col>
      <xdr:colOff>514350</xdr:colOff>
      <xdr:row>3</xdr:row>
      <xdr:rowOff>152399</xdr:rowOff>
    </xdr:to>
    <xdr:sp macro="" textlink="">
      <xdr:nvSpPr>
        <xdr:cNvPr id="6" name="1 Botón de acción: Inicio">
          <a:hlinkClick xmlns:r="http://schemas.openxmlformats.org/officeDocument/2006/relationships" r:id="rId2"/>
        </xdr:cNvPr>
        <xdr:cNvSpPr/>
      </xdr:nvSpPr>
      <xdr:spPr>
        <a:xfrm>
          <a:off x="2295526" y="85725"/>
          <a:ext cx="466724" cy="533399"/>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360630</xdr:colOff>
      <xdr:row>3</xdr:row>
      <xdr:rowOff>74790</xdr:rowOff>
    </xdr:to>
    <xdr:pic>
      <xdr:nvPicPr>
        <xdr:cNvPr id="2" name="Imagen 3">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1"/>
        <a:stretch/>
      </xdr:blipFill>
      <xdr:spPr>
        <a:xfrm>
          <a:off x="8905950" y="57150"/>
          <a:ext cx="636780" cy="484365"/>
        </a:xfrm>
        <a:prstGeom prst="rect">
          <a:avLst/>
        </a:prstGeom>
        <a:ln w="9360">
          <a:noFill/>
        </a:ln>
      </xdr:spPr>
    </xdr:pic>
    <xdr:clientData/>
  </xdr:twoCellAnchor>
  <xdr:twoCellAnchor>
    <xdr:from>
      <xdr:col>3</xdr:col>
      <xdr:colOff>0</xdr:colOff>
      <xdr:row>0</xdr:row>
      <xdr:rowOff>84668</xdr:rowOff>
    </xdr:from>
    <xdr:to>
      <xdr:col>4</xdr:col>
      <xdr:colOff>116417</xdr:colOff>
      <xdr:row>3</xdr:row>
      <xdr:rowOff>148168</xdr:rowOff>
    </xdr:to>
    <xdr:sp macro="" textlink="">
      <xdr:nvSpPr>
        <xdr:cNvPr id="6" name="1 Botón de acción: Inicio">
          <a:hlinkClick xmlns:r="http://schemas.openxmlformats.org/officeDocument/2006/relationships" r:id="rId2"/>
        </xdr:cNvPr>
        <xdr:cNvSpPr/>
      </xdr:nvSpPr>
      <xdr:spPr>
        <a:xfrm>
          <a:off x="1566333" y="84668"/>
          <a:ext cx="550334" cy="53975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360630</xdr:colOff>
      <xdr:row>3</xdr:row>
      <xdr:rowOff>74790</xdr:rowOff>
    </xdr:to>
    <xdr:pic>
      <xdr:nvPicPr>
        <xdr:cNvPr id="2" name="Imagen 3"/>
        <xdr:cNvPicPr/>
      </xdr:nvPicPr>
      <xdr:blipFill>
        <a:blip xmlns:r="http://schemas.openxmlformats.org/officeDocument/2006/relationships" r:embed="rId1"/>
        <a:stretch/>
      </xdr:blipFill>
      <xdr:spPr>
        <a:xfrm>
          <a:off x="8972625" y="57150"/>
          <a:ext cx="636780" cy="484365"/>
        </a:xfrm>
        <a:prstGeom prst="rect">
          <a:avLst/>
        </a:prstGeom>
        <a:ln w="9360">
          <a:noFill/>
        </a:ln>
      </xdr:spPr>
    </xdr:pic>
    <xdr:clientData/>
  </xdr:twoCellAnchor>
  <xdr:twoCellAnchor>
    <xdr:from>
      <xdr:col>2</xdr:col>
      <xdr:colOff>352425</xdr:colOff>
      <xdr:row>1</xdr:row>
      <xdr:rowOff>28576</xdr:rowOff>
    </xdr:from>
    <xdr:to>
      <xdr:col>4</xdr:col>
      <xdr:colOff>161924</xdr:colOff>
      <xdr:row>4</xdr:row>
      <xdr:rowOff>1</xdr:rowOff>
    </xdr:to>
    <xdr:sp macro="" textlink="">
      <xdr:nvSpPr>
        <xdr:cNvPr id="5" name="1 Botón de acción: Inicio">
          <a:hlinkClick xmlns:r="http://schemas.openxmlformats.org/officeDocument/2006/relationships" r:id="rId2"/>
        </xdr:cNvPr>
        <xdr:cNvSpPr/>
      </xdr:nvSpPr>
      <xdr:spPr>
        <a:xfrm>
          <a:off x="1333500" y="171451"/>
          <a:ext cx="685799" cy="47625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360630</xdr:colOff>
      <xdr:row>3</xdr:row>
      <xdr:rowOff>74790</xdr:rowOff>
    </xdr:to>
    <xdr:pic>
      <xdr:nvPicPr>
        <xdr:cNvPr id="2" name="Imagen 3"/>
        <xdr:cNvPicPr/>
      </xdr:nvPicPr>
      <xdr:blipFill>
        <a:blip xmlns:r="http://schemas.openxmlformats.org/officeDocument/2006/relationships" r:embed="rId1"/>
        <a:stretch/>
      </xdr:blipFill>
      <xdr:spPr>
        <a:xfrm>
          <a:off x="8810700" y="57150"/>
          <a:ext cx="636780" cy="484365"/>
        </a:xfrm>
        <a:prstGeom prst="rect">
          <a:avLst/>
        </a:prstGeom>
        <a:ln w="9360">
          <a:noFill/>
        </a:ln>
      </xdr:spPr>
    </xdr:pic>
    <xdr:clientData/>
  </xdr:twoCellAnchor>
  <xdr:twoCellAnchor>
    <xdr:from>
      <xdr:col>2</xdr:col>
      <xdr:colOff>321469</xdr:colOff>
      <xdr:row>0</xdr:row>
      <xdr:rowOff>83345</xdr:rowOff>
    </xdr:from>
    <xdr:to>
      <xdr:col>4</xdr:col>
      <xdr:colOff>166689</xdr:colOff>
      <xdr:row>4</xdr:row>
      <xdr:rowOff>0</xdr:rowOff>
    </xdr:to>
    <xdr:sp macro="" textlink="">
      <xdr:nvSpPr>
        <xdr:cNvPr id="5" name="1 Botón de acción: Inicio">
          <a:hlinkClick xmlns:r="http://schemas.openxmlformats.org/officeDocument/2006/relationships" r:id="rId2"/>
        </xdr:cNvPr>
        <xdr:cNvSpPr/>
      </xdr:nvSpPr>
      <xdr:spPr>
        <a:xfrm>
          <a:off x="1297782" y="83345"/>
          <a:ext cx="726282" cy="55959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360630</xdr:colOff>
      <xdr:row>3</xdr:row>
      <xdr:rowOff>74790</xdr:rowOff>
    </xdr:to>
    <xdr:pic>
      <xdr:nvPicPr>
        <xdr:cNvPr id="2" name="Imagen 3"/>
        <xdr:cNvPicPr/>
      </xdr:nvPicPr>
      <xdr:blipFill>
        <a:blip xmlns:r="http://schemas.openxmlformats.org/officeDocument/2006/relationships" r:embed="rId1" cstate="print"/>
        <a:stretch/>
      </xdr:blipFill>
      <xdr:spPr>
        <a:xfrm>
          <a:off x="8934525" y="57150"/>
          <a:ext cx="636780" cy="484365"/>
        </a:xfrm>
        <a:prstGeom prst="rect">
          <a:avLst/>
        </a:prstGeom>
        <a:ln w="9360">
          <a:noFill/>
        </a:ln>
      </xdr:spPr>
    </xdr:pic>
    <xdr:clientData/>
  </xdr:twoCellAnchor>
  <xdr:twoCellAnchor>
    <xdr:from>
      <xdr:col>2</xdr:col>
      <xdr:colOff>257175</xdr:colOff>
      <xdr:row>0</xdr:row>
      <xdr:rowOff>136071</xdr:rowOff>
    </xdr:from>
    <xdr:to>
      <xdr:col>3</xdr:col>
      <xdr:colOff>390525</xdr:colOff>
      <xdr:row>4</xdr:row>
      <xdr:rowOff>40821</xdr:rowOff>
    </xdr:to>
    <xdr:sp macro="" textlink="">
      <xdr:nvSpPr>
        <xdr:cNvPr id="5" name="1 Botón de acción: Inicio">
          <a:hlinkClick xmlns:r="http://schemas.openxmlformats.org/officeDocument/2006/relationships" r:id="rId2"/>
        </xdr:cNvPr>
        <xdr:cNvSpPr/>
      </xdr:nvSpPr>
      <xdr:spPr>
        <a:xfrm>
          <a:off x="1362075" y="136071"/>
          <a:ext cx="571500" cy="60960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251773</xdr:colOff>
      <xdr:row>2</xdr:row>
      <xdr:rowOff>148873</xdr:rowOff>
    </xdr:to>
    <xdr:pic>
      <xdr:nvPicPr>
        <xdr:cNvPr id="2" name="Imagen 3"/>
        <xdr:cNvPicPr/>
      </xdr:nvPicPr>
      <xdr:blipFill>
        <a:blip xmlns:r="http://schemas.openxmlformats.org/officeDocument/2006/relationships" r:embed="rId1" cstate="print"/>
        <a:stretch/>
      </xdr:blipFill>
      <xdr:spPr>
        <a:xfrm>
          <a:off x="9048825" y="57150"/>
          <a:ext cx="632698" cy="491773"/>
        </a:xfrm>
        <a:prstGeom prst="rect">
          <a:avLst/>
        </a:prstGeom>
        <a:ln w="9360">
          <a:noFill/>
        </a:ln>
      </xdr:spPr>
    </xdr:pic>
    <xdr:clientData/>
  </xdr:twoCellAnchor>
  <xdr:twoCellAnchor>
    <xdr:from>
      <xdr:col>2</xdr:col>
      <xdr:colOff>400050</xdr:colOff>
      <xdr:row>0</xdr:row>
      <xdr:rowOff>127000</xdr:rowOff>
    </xdr:from>
    <xdr:to>
      <xdr:col>4</xdr:col>
      <xdr:colOff>104775</xdr:colOff>
      <xdr:row>3</xdr:row>
      <xdr:rowOff>85725</xdr:rowOff>
    </xdr:to>
    <xdr:sp macro="" textlink="">
      <xdr:nvSpPr>
        <xdr:cNvPr id="6" name="1 Botón de acción: Inicio">
          <a:hlinkClick xmlns:r="http://schemas.openxmlformats.org/officeDocument/2006/relationships" r:id="rId2"/>
        </xdr:cNvPr>
        <xdr:cNvSpPr/>
      </xdr:nvSpPr>
      <xdr:spPr>
        <a:xfrm>
          <a:off x="1381125" y="127000"/>
          <a:ext cx="581025" cy="53022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171450</xdr:colOff>
      <xdr:row>3</xdr:row>
      <xdr:rowOff>123825</xdr:rowOff>
    </xdr:to>
    <xdr:pic>
      <xdr:nvPicPr>
        <xdr:cNvPr id="2" name="Imagen 4"/>
        <xdr:cNvPicPr/>
      </xdr:nvPicPr>
      <xdr:blipFill>
        <a:blip xmlns:r="http://schemas.openxmlformats.org/officeDocument/2006/relationships" r:embed="rId1"/>
        <a:stretch/>
      </xdr:blipFill>
      <xdr:spPr>
        <a:xfrm>
          <a:off x="7210425" y="123750"/>
          <a:ext cx="838200" cy="523950"/>
        </a:xfrm>
        <a:prstGeom prst="rect">
          <a:avLst/>
        </a:prstGeom>
        <a:ln w="9360">
          <a:noFill/>
        </a:ln>
      </xdr:spPr>
    </xdr:pic>
    <xdr:clientData/>
  </xdr:twoCellAnchor>
  <xdr:twoCellAnchor>
    <xdr:from>
      <xdr:col>48</xdr:col>
      <xdr:colOff>0</xdr:colOff>
      <xdr:row>1</xdr:row>
      <xdr:rowOff>0</xdr:rowOff>
    </xdr:from>
    <xdr:to>
      <xdr:col>48</xdr:col>
      <xdr:colOff>666750</xdr:colOff>
      <xdr:row>3</xdr:row>
      <xdr:rowOff>179732</xdr:rowOff>
    </xdr:to>
    <xdr:sp macro="" textlink="">
      <xdr:nvSpPr>
        <xdr:cNvPr id="4" name="1 Botón de acción: Inicio">
          <a:hlinkClick xmlns:r="http://schemas.openxmlformats.org/officeDocument/2006/relationships" r:id="rId2"/>
        </xdr:cNvPr>
        <xdr:cNvSpPr/>
      </xdr:nvSpPr>
      <xdr:spPr>
        <a:xfrm>
          <a:off x="8667750" y="171450"/>
          <a:ext cx="666750" cy="532157"/>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175720</xdr:colOff>
      <xdr:row>3</xdr:row>
      <xdr:rowOff>28575</xdr:rowOff>
    </xdr:to>
    <xdr:pic>
      <xdr:nvPicPr>
        <xdr:cNvPr id="2" name="Imagen 4"/>
        <xdr:cNvPicPr/>
      </xdr:nvPicPr>
      <xdr:blipFill>
        <a:blip xmlns:r="http://schemas.openxmlformats.org/officeDocument/2006/relationships" r:embed="rId1"/>
        <a:stretch/>
      </xdr:blipFill>
      <xdr:spPr>
        <a:xfrm>
          <a:off x="7191375" y="123750"/>
          <a:ext cx="842470" cy="523950"/>
        </a:xfrm>
        <a:prstGeom prst="rect">
          <a:avLst/>
        </a:prstGeom>
        <a:ln w="9360">
          <a:noFill/>
        </a:ln>
      </xdr:spPr>
    </xdr:pic>
    <xdr:clientData/>
  </xdr:twoCellAnchor>
  <xdr:twoCellAnchor>
    <xdr:from>
      <xdr:col>47</xdr:col>
      <xdr:colOff>57150</xdr:colOff>
      <xdr:row>1</xdr:row>
      <xdr:rowOff>0</xdr:rowOff>
    </xdr:from>
    <xdr:to>
      <xdr:col>48</xdr:col>
      <xdr:colOff>371475</xdr:colOff>
      <xdr:row>3</xdr:row>
      <xdr:rowOff>89772</xdr:rowOff>
    </xdr:to>
    <xdr:sp macro="" textlink="">
      <xdr:nvSpPr>
        <xdr:cNvPr id="3" name="1 Botón de acción: Inicio">
          <a:hlinkClick xmlns:r="http://schemas.openxmlformats.org/officeDocument/2006/relationships" r:id="rId2"/>
        </xdr:cNvPr>
        <xdr:cNvSpPr/>
      </xdr:nvSpPr>
      <xdr:spPr>
        <a:xfrm>
          <a:off x="8420100" y="171450"/>
          <a:ext cx="600075" cy="537447"/>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188015</xdr:colOff>
      <xdr:row>3</xdr:row>
      <xdr:rowOff>123825</xdr:rowOff>
    </xdr:to>
    <xdr:pic>
      <xdr:nvPicPr>
        <xdr:cNvPr id="2" name="Imagen 4"/>
        <xdr:cNvPicPr/>
      </xdr:nvPicPr>
      <xdr:blipFill>
        <a:blip xmlns:r="http://schemas.openxmlformats.org/officeDocument/2006/relationships" r:embed="rId1"/>
        <a:stretch/>
      </xdr:blipFill>
      <xdr:spPr>
        <a:xfrm>
          <a:off x="6877050" y="123750"/>
          <a:ext cx="835715" cy="523950"/>
        </a:xfrm>
        <a:prstGeom prst="rect">
          <a:avLst/>
        </a:prstGeom>
        <a:ln w="9360">
          <a:noFill/>
        </a:ln>
      </xdr:spPr>
    </xdr:pic>
    <xdr:clientData/>
  </xdr:twoCellAnchor>
  <xdr:twoCellAnchor>
    <xdr:from>
      <xdr:col>48</xdr:col>
      <xdr:colOff>0</xdr:colOff>
      <xdr:row>1</xdr:row>
      <xdr:rowOff>0</xdr:rowOff>
    </xdr:from>
    <xdr:to>
      <xdr:col>48</xdr:col>
      <xdr:colOff>612914</xdr:colOff>
      <xdr:row>3</xdr:row>
      <xdr:rowOff>170641</xdr:rowOff>
    </xdr:to>
    <xdr:sp macro="" textlink="">
      <xdr:nvSpPr>
        <xdr:cNvPr id="4" name="1 Botón de acción: Inicio">
          <a:hlinkClick xmlns:r="http://schemas.openxmlformats.org/officeDocument/2006/relationships" r:id="rId2"/>
        </xdr:cNvPr>
        <xdr:cNvSpPr/>
      </xdr:nvSpPr>
      <xdr:spPr>
        <a:xfrm>
          <a:off x="8239125" y="171450"/>
          <a:ext cx="612914" cy="523066"/>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48</xdr:col>
      <xdr:colOff>123825</xdr:colOff>
      <xdr:row>0</xdr:row>
      <xdr:rowOff>28575</xdr:rowOff>
    </xdr:from>
    <xdr:to>
      <xdr:col>49</xdr:col>
      <xdr:colOff>276225</xdr:colOff>
      <xdr:row>3</xdr:row>
      <xdr:rowOff>95250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36699825" y="28575"/>
          <a:ext cx="9144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52</xdr:col>
      <xdr:colOff>285750</xdr:colOff>
      <xdr:row>0</xdr:row>
      <xdr:rowOff>95250</xdr:rowOff>
    </xdr:from>
    <xdr:to>
      <xdr:col>52</xdr:col>
      <xdr:colOff>952500</xdr:colOff>
      <xdr:row>4</xdr:row>
      <xdr:rowOff>25695</xdr:rowOff>
    </xdr:to>
    <xdr:sp macro="" textlink="">
      <xdr:nvSpPr>
        <xdr:cNvPr id="4" name="1 Botón de acción: Inicio">
          <a:hlinkClick xmlns:r="http://schemas.openxmlformats.org/officeDocument/2006/relationships" r:id="rId2"/>
        </xdr:cNvPr>
        <xdr:cNvSpPr/>
      </xdr:nvSpPr>
      <xdr:spPr>
        <a:xfrm>
          <a:off x="14973300" y="95250"/>
          <a:ext cx="666750" cy="52099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171450</xdr:colOff>
      <xdr:row>3</xdr:row>
      <xdr:rowOff>123825</xdr:rowOff>
    </xdr:to>
    <xdr:pic>
      <xdr:nvPicPr>
        <xdr:cNvPr id="2" name="Imagen 4"/>
        <xdr:cNvPicPr/>
      </xdr:nvPicPr>
      <xdr:blipFill>
        <a:blip xmlns:r="http://schemas.openxmlformats.org/officeDocument/2006/relationships" r:embed="rId1"/>
        <a:stretch/>
      </xdr:blipFill>
      <xdr:spPr>
        <a:xfrm>
          <a:off x="22879050" y="123750"/>
          <a:ext cx="11582400" cy="571575"/>
        </a:xfrm>
        <a:prstGeom prst="rect">
          <a:avLst/>
        </a:prstGeom>
        <a:ln w="9360">
          <a:noFill/>
        </a:ln>
      </xdr:spPr>
    </xdr:pic>
    <xdr:clientData/>
  </xdr:twoCellAnchor>
  <xdr:twoCellAnchor>
    <xdr:from>
      <xdr:col>47</xdr:col>
      <xdr:colOff>138545</xdr:colOff>
      <xdr:row>0</xdr:row>
      <xdr:rowOff>95250</xdr:rowOff>
    </xdr:from>
    <xdr:to>
      <xdr:col>48</xdr:col>
      <xdr:colOff>277090</xdr:colOff>
      <xdr:row>3</xdr:row>
      <xdr:rowOff>129886</xdr:rowOff>
    </xdr:to>
    <xdr:sp macro="" textlink="">
      <xdr:nvSpPr>
        <xdr:cNvPr id="3" name="1 Botón de acción: Inicio">
          <a:hlinkClick xmlns:r="http://schemas.openxmlformats.org/officeDocument/2006/relationships" r:id="rId2"/>
        </xdr:cNvPr>
        <xdr:cNvSpPr/>
      </xdr:nvSpPr>
      <xdr:spPr>
        <a:xfrm>
          <a:off x="8953500" y="95250"/>
          <a:ext cx="424295" cy="562841"/>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360630</xdr:colOff>
      <xdr:row>3</xdr:row>
      <xdr:rowOff>74790</xdr:rowOff>
    </xdr:to>
    <xdr:pic>
      <xdr:nvPicPr>
        <xdr:cNvPr id="2" name="Imagen 3"/>
        <xdr:cNvPicPr/>
      </xdr:nvPicPr>
      <xdr:blipFill>
        <a:blip xmlns:r="http://schemas.openxmlformats.org/officeDocument/2006/relationships" r:embed="rId1"/>
        <a:stretch/>
      </xdr:blipFill>
      <xdr:spPr>
        <a:xfrm>
          <a:off x="8810700" y="57150"/>
          <a:ext cx="636780" cy="484365"/>
        </a:xfrm>
        <a:prstGeom prst="rect">
          <a:avLst/>
        </a:prstGeom>
        <a:ln w="9360">
          <a:noFill/>
        </a:ln>
      </xdr:spPr>
    </xdr:pic>
    <xdr:clientData/>
  </xdr:twoCellAnchor>
  <xdr:twoCellAnchor editAs="oneCell">
    <xdr:from>
      <xdr:col>48</xdr:col>
      <xdr:colOff>361950</xdr:colOff>
      <xdr:row>0</xdr:row>
      <xdr:rowOff>38100</xdr:rowOff>
    </xdr:from>
    <xdr:to>
      <xdr:col>49</xdr:col>
      <xdr:colOff>379605</xdr:colOff>
      <xdr:row>3</xdr:row>
      <xdr:rowOff>55740</xdr:rowOff>
    </xdr:to>
    <xdr:pic>
      <xdr:nvPicPr>
        <xdr:cNvPr id="3" name="Imagen 3"/>
        <xdr:cNvPicPr/>
      </xdr:nvPicPr>
      <xdr:blipFill>
        <a:blip xmlns:r="http://schemas.openxmlformats.org/officeDocument/2006/relationships" r:embed="rId1"/>
        <a:stretch/>
      </xdr:blipFill>
      <xdr:spPr>
        <a:xfrm>
          <a:off x="28051125" y="38100"/>
          <a:ext cx="636781" cy="484365"/>
        </a:xfrm>
        <a:prstGeom prst="rect">
          <a:avLst/>
        </a:prstGeom>
        <a:ln w="9360">
          <a:noFill/>
        </a:ln>
      </xdr:spPr>
    </xdr:pic>
    <xdr:clientData/>
  </xdr:twoCellAnchor>
  <xdr:twoCellAnchor>
    <xdr:from>
      <xdr:col>3</xdr:col>
      <xdr:colOff>0</xdr:colOff>
      <xdr:row>1</xdr:row>
      <xdr:rowOff>0</xdr:rowOff>
    </xdr:from>
    <xdr:to>
      <xdr:col>4</xdr:col>
      <xdr:colOff>29694</xdr:colOff>
      <xdr:row>4</xdr:row>
      <xdr:rowOff>29134</xdr:rowOff>
    </xdr:to>
    <xdr:sp macro="" textlink="">
      <xdr:nvSpPr>
        <xdr:cNvPr id="6" name="1 Botón de acción: Inicio">
          <a:hlinkClick xmlns:r="http://schemas.openxmlformats.org/officeDocument/2006/relationships" r:id="rId2"/>
        </xdr:cNvPr>
        <xdr:cNvSpPr/>
      </xdr:nvSpPr>
      <xdr:spPr>
        <a:xfrm>
          <a:off x="1411941" y="145676"/>
          <a:ext cx="466724" cy="533399"/>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171450</xdr:colOff>
      <xdr:row>3</xdr:row>
      <xdr:rowOff>123825</xdr:rowOff>
    </xdr:to>
    <xdr:pic>
      <xdr:nvPicPr>
        <xdr:cNvPr id="2" name="Imagen 4"/>
        <xdr:cNvPicPr/>
      </xdr:nvPicPr>
      <xdr:blipFill>
        <a:blip xmlns:r="http://schemas.openxmlformats.org/officeDocument/2006/relationships" r:embed="rId1"/>
        <a:stretch/>
      </xdr:blipFill>
      <xdr:spPr>
        <a:xfrm>
          <a:off x="8782050" y="123750"/>
          <a:ext cx="838200" cy="523950"/>
        </a:xfrm>
        <a:prstGeom prst="rect">
          <a:avLst/>
        </a:prstGeom>
        <a:ln w="9360">
          <a:noFill/>
        </a:ln>
      </xdr:spPr>
    </xdr:pic>
    <xdr:clientData/>
  </xdr:twoCellAnchor>
  <xdr:twoCellAnchor>
    <xdr:from>
      <xdr:col>48</xdr:col>
      <xdr:colOff>0</xdr:colOff>
      <xdr:row>1</xdr:row>
      <xdr:rowOff>0</xdr:rowOff>
    </xdr:from>
    <xdr:to>
      <xdr:col>48</xdr:col>
      <xdr:colOff>571500</xdr:colOff>
      <xdr:row>3</xdr:row>
      <xdr:rowOff>152399</xdr:rowOff>
    </xdr:to>
    <xdr:sp macro="" textlink="">
      <xdr:nvSpPr>
        <xdr:cNvPr id="3" name="1 Botón de acción: Inicio">
          <a:hlinkClick xmlns:r="http://schemas.openxmlformats.org/officeDocument/2006/relationships" r:id="rId2"/>
        </xdr:cNvPr>
        <xdr:cNvSpPr/>
      </xdr:nvSpPr>
      <xdr:spPr>
        <a:xfrm>
          <a:off x="10239375" y="171450"/>
          <a:ext cx="571500" cy="504824"/>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95249</xdr:colOff>
      <xdr:row>3</xdr:row>
      <xdr:rowOff>123825</xdr:rowOff>
    </xdr:to>
    <xdr:pic>
      <xdr:nvPicPr>
        <xdr:cNvPr id="2" name="Imagen 4"/>
        <xdr:cNvPicPr/>
      </xdr:nvPicPr>
      <xdr:blipFill>
        <a:blip xmlns:r="http://schemas.openxmlformats.org/officeDocument/2006/relationships" r:embed="rId1"/>
        <a:stretch/>
      </xdr:blipFill>
      <xdr:spPr>
        <a:xfrm>
          <a:off x="7734300" y="123750"/>
          <a:ext cx="838199" cy="523950"/>
        </a:xfrm>
        <a:prstGeom prst="rect">
          <a:avLst/>
        </a:prstGeom>
        <a:ln w="9360">
          <a:noFill/>
        </a:ln>
      </xdr:spPr>
    </xdr:pic>
    <xdr:clientData/>
  </xdr:twoCellAnchor>
  <xdr:twoCellAnchor>
    <xdr:from>
      <xdr:col>48</xdr:col>
      <xdr:colOff>0</xdr:colOff>
      <xdr:row>0</xdr:row>
      <xdr:rowOff>142876</xdr:rowOff>
    </xdr:from>
    <xdr:to>
      <xdr:col>48</xdr:col>
      <xdr:colOff>595423</xdr:colOff>
      <xdr:row>3</xdr:row>
      <xdr:rowOff>95251</xdr:rowOff>
    </xdr:to>
    <xdr:sp macro="" textlink="">
      <xdr:nvSpPr>
        <xdr:cNvPr id="4" name="1 Botón de acción: Inicio">
          <a:hlinkClick xmlns:r="http://schemas.openxmlformats.org/officeDocument/2006/relationships" r:id="rId2"/>
        </xdr:cNvPr>
        <xdr:cNvSpPr/>
      </xdr:nvSpPr>
      <xdr:spPr>
        <a:xfrm>
          <a:off x="9267825" y="142876"/>
          <a:ext cx="595423" cy="47625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171450</xdr:colOff>
      <xdr:row>3</xdr:row>
      <xdr:rowOff>123825</xdr:rowOff>
    </xdr:to>
    <xdr:pic>
      <xdr:nvPicPr>
        <xdr:cNvPr id="2" name="Imagen 4"/>
        <xdr:cNvPicPr/>
      </xdr:nvPicPr>
      <xdr:blipFill>
        <a:blip xmlns:r="http://schemas.openxmlformats.org/officeDocument/2006/relationships" r:embed="rId1"/>
        <a:stretch/>
      </xdr:blipFill>
      <xdr:spPr>
        <a:xfrm>
          <a:off x="10467975" y="123750"/>
          <a:ext cx="838200" cy="523950"/>
        </a:xfrm>
        <a:prstGeom prst="rect">
          <a:avLst/>
        </a:prstGeom>
        <a:ln w="9360">
          <a:noFill/>
        </a:ln>
      </xdr:spPr>
    </xdr:pic>
    <xdr:clientData/>
  </xdr:twoCellAnchor>
  <xdr:twoCellAnchor>
    <xdr:from>
      <xdr:col>47</xdr:col>
      <xdr:colOff>285749</xdr:colOff>
      <xdr:row>0</xdr:row>
      <xdr:rowOff>76200</xdr:rowOff>
    </xdr:from>
    <xdr:to>
      <xdr:col>48</xdr:col>
      <xdr:colOff>542924</xdr:colOff>
      <xdr:row>3</xdr:row>
      <xdr:rowOff>180975</xdr:rowOff>
    </xdr:to>
    <xdr:sp macro="" textlink="">
      <xdr:nvSpPr>
        <xdr:cNvPr id="3" name="1 Botón de acción: Inicio">
          <a:hlinkClick xmlns:r="http://schemas.openxmlformats.org/officeDocument/2006/relationships" r:id="rId2"/>
        </xdr:cNvPr>
        <xdr:cNvSpPr/>
      </xdr:nvSpPr>
      <xdr:spPr>
        <a:xfrm>
          <a:off x="11925299" y="76200"/>
          <a:ext cx="542925" cy="62865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215900</xdr:colOff>
      <xdr:row>3</xdr:row>
      <xdr:rowOff>123825</xdr:rowOff>
    </xdr:to>
    <xdr:pic>
      <xdr:nvPicPr>
        <xdr:cNvPr id="2" name="Imagen 4">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
        <a:stretch/>
      </xdr:blipFill>
      <xdr:spPr>
        <a:xfrm>
          <a:off x="11753850" y="123750"/>
          <a:ext cx="825500" cy="523950"/>
        </a:xfrm>
        <a:prstGeom prst="rect">
          <a:avLst/>
        </a:prstGeom>
        <a:ln w="9360">
          <a:noFill/>
        </a:ln>
      </xdr:spPr>
    </xdr:pic>
    <xdr:clientData/>
  </xdr:twoCellAnchor>
  <xdr:twoCellAnchor>
    <xdr:from>
      <xdr:col>48</xdr:col>
      <xdr:colOff>0</xdr:colOff>
      <xdr:row>1</xdr:row>
      <xdr:rowOff>0</xdr:rowOff>
    </xdr:from>
    <xdr:to>
      <xdr:col>48</xdr:col>
      <xdr:colOff>561975</xdr:colOff>
      <xdr:row>3</xdr:row>
      <xdr:rowOff>168570</xdr:rowOff>
    </xdr:to>
    <xdr:sp macro="" textlink="">
      <xdr:nvSpPr>
        <xdr:cNvPr id="5" name="1 Botón de acción: Inicio">
          <a:hlinkClick xmlns:r="http://schemas.openxmlformats.org/officeDocument/2006/relationships" r:id="rId2"/>
        </xdr:cNvPr>
        <xdr:cNvSpPr/>
      </xdr:nvSpPr>
      <xdr:spPr>
        <a:xfrm>
          <a:off x="13306425" y="171450"/>
          <a:ext cx="561975" cy="52099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29</xdr:col>
      <xdr:colOff>156883</xdr:colOff>
      <xdr:row>0</xdr:row>
      <xdr:rowOff>100853</xdr:rowOff>
    </xdr:from>
    <xdr:to>
      <xdr:col>45</xdr:col>
      <xdr:colOff>112059</xdr:colOff>
      <xdr:row>3</xdr:row>
      <xdr:rowOff>109332</xdr:rowOff>
    </xdr:to>
    <xdr:pic>
      <xdr:nvPicPr>
        <xdr:cNvPr id="2" name="Imagen 4"/>
        <xdr:cNvPicPr/>
      </xdr:nvPicPr>
      <xdr:blipFill>
        <a:blip xmlns:r="http://schemas.openxmlformats.org/officeDocument/2006/relationships" r:embed="rId1"/>
        <a:stretch/>
      </xdr:blipFill>
      <xdr:spPr>
        <a:xfrm>
          <a:off x="8567458" y="100853"/>
          <a:ext cx="821951" cy="532354"/>
        </a:xfrm>
        <a:prstGeom prst="rect">
          <a:avLst/>
        </a:prstGeom>
        <a:ln w="9360">
          <a:noFill/>
        </a:ln>
      </xdr:spPr>
    </xdr:pic>
    <xdr:clientData/>
  </xdr:twoCellAnchor>
  <xdr:twoCellAnchor>
    <xdr:from>
      <xdr:col>47</xdr:col>
      <xdr:colOff>152400</xdr:colOff>
      <xdr:row>0</xdr:row>
      <xdr:rowOff>95250</xdr:rowOff>
    </xdr:from>
    <xdr:to>
      <xdr:col>48</xdr:col>
      <xdr:colOff>352425</xdr:colOff>
      <xdr:row>3</xdr:row>
      <xdr:rowOff>66675</xdr:rowOff>
    </xdr:to>
    <xdr:sp macro="" textlink="">
      <xdr:nvSpPr>
        <xdr:cNvPr id="7" name="1 Botón de acción: Inicio">
          <a:hlinkClick xmlns:r="http://schemas.openxmlformats.org/officeDocument/2006/relationships" r:id="rId2"/>
        </xdr:cNvPr>
        <xdr:cNvSpPr/>
      </xdr:nvSpPr>
      <xdr:spPr>
        <a:xfrm>
          <a:off x="9934575" y="95250"/>
          <a:ext cx="485775" cy="49530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46</xdr:col>
      <xdr:colOff>3810</xdr:colOff>
      <xdr:row>3</xdr:row>
      <xdr:rowOff>123825</xdr:rowOff>
    </xdr:to>
    <xdr:pic>
      <xdr:nvPicPr>
        <xdr:cNvPr id="2" name="Imagen 4"/>
        <xdr:cNvPicPr/>
      </xdr:nvPicPr>
      <xdr:blipFill>
        <a:blip xmlns:r="http://schemas.openxmlformats.org/officeDocument/2006/relationships" r:embed="rId1"/>
        <a:stretch/>
      </xdr:blipFill>
      <xdr:spPr>
        <a:xfrm>
          <a:off x="11963400" y="123750"/>
          <a:ext cx="832485" cy="523950"/>
        </a:xfrm>
        <a:prstGeom prst="rect">
          <a:avLst/>
        </a:prstGeom>
        <a:ln w="9360">
          <a:noFill/>
        </a:ln>
      </xdr:spPr>
    </xdr:pic>
    <xdr:clientData/>
  </xdr:twoCellAnchor>
  <xdr:twoCellAnchor>
    <xdr:from>
      <xdr:col>48</xdr:col>
      <xdr:colOff>0</xdr:colOff>
      <xdr:row>1</xdr:row>
      <xdr:rowOff>0</xdr:rowOff>
    </xdr:from>
    <xdr:to>
      <xdr:col>48</xdr:col>
      <xdr:colOff>742950</xdr:colOff>
      <xdr:row>3</xdr:row>
      <xdr:rowOff>168570</xdr:rowOff>
    </xdr:to>
    <xdr:sp macro="" textlink="">
      <xdr:nvSpPr>
        <xdr:cNvPr id="3" name="1 Botón de acción: Inicio">
          <a:hlinkClick xmlns:r="http://schemas.openxmlformats.org/officeDocument/2006/relationships" r:id="rId2"/>
        </xdr:cNvPr>
        <xdr:cNvSpPr/>
      </xdr:nvSpPr>
      <xdr:spPr>
        <a:xfrm>
          <a:off x="13363575" y="171450"/>
          <a:ext cx="742950" cy="52099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171450</xdr:colOff>
      <xdr:row>3</xdr:row>
      <xdr:rowOff>123825</xdr:rowOff>
    </xdr:to>
    <xdr:pic>
      <xdr:nvPicPr>
        <xdr:cNvPr id="2" name="Imagen 4"/>
        <xdr:cNvPicPr/>
      </xdr:nvPicPr>
      <xdr:blipFill>
        <a:blip xmlns:r="http://schemas.openxmlformats.org/officeDocument/2006/relationships" r:embed="rId1"/>
        <a:stretch/>
      </xdr:blipFill>
      <xdr:spPr>
        <a:xfrm>
          <a:off x="9191625" y="123750"/>
          <a:ext cx="838200" cy="523950"/>
        </a:xfrm>
        <a:prstGeom prst="rect">
          <a:avLst/>
        </a:prstGeom>
        <a:ln w="9360">
          <a:noFill/>
        </a:ln>
      </xdr:spPr>
    </xdr:pic>
    <xdr:clientData/>
  </xdr:twoCellAnchor>
  <xdr:twoCellAnchor>
    <xdr:from>
      <xdr:col>47</xdr:col>
      <xdr:colOff>142876</xdr:colOff>
      <xdr:row>0</xdr:row>
      <xdr:rowOff>123826</xdr:rowOff>
    </xdr:from>
    <xdr:to>
      <xdr:col>48</xdr:col>
      <xdr:colOff>390526</xdr:colOff>
      <xdr:row>3</xdr:row>
      <xdr:rowOff>133350</xdr:rowOff>
    </xdr:to>
    <xdr:sp macro="" textlink="">
      <xdr:nvSpPr>
        <xdr:cNvPr id="4" name="1 Botón de acción: Inicio">
          <a:hlinkClick xmlns:r="http://schemas.openxmlformats.org/officeDocument/2006/relationships" r:id="rId2"/>
        </xdr:cNvPr>
        <xdr:cNvSpPr/>
      </xdr:nvSpPr>
      <xdr:spPr>
        <a:xfrm>
          <a:off x="10506076" y="123826"/>
          <a:ext cx="533400" cy="533399"/>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171450</xdr:colOff>
      <xdr:row>3</xdr:row>
      <xdr:rowOff>123825</xdr:rowOff>
    </xdr:to>
    <xdr:pic>
      <xdr:nvPicPr>
        <xdr:cNvPr id="2" name="Imagen 4"/>
        <xdr:cNvPicPr/>
      </xdr:nvPicPr>
      <xdr:blipFill>
        <a:blip xmlns:r="http://schemas.openxmlformats.org/officeDocument/2006/relationships" r:embed="rId1"/>
        <a:stretch/>
      </xdr:blipFill>
      <xdr:spPr>
        <a:xfrm>
          <a:off x="11229975" y="123750"/>
          <a:ext cx="838200" cy="523950"/>
        </a:xfrm>
        <a:prstGeom prst="rect">
          <a:avLst/>
        </a:prstGeom>
        <a:ln w="9360">
          <a:noFill/>
        </a:ln>
      </xdr:spPr>
    </xdr:pic>
    <xdr:clientData/>
  </xdr:twoCellAnchor>
  <xdr:twoCellAnchor>
    <xdr:from>
      <xdr:col>48</xdr:col>
      <xdr:colOff>0</xdr:colOff>
      <xdr:row>0</xdr:row>
      <xdr:rowOff>142876</xdr:rowOff>
    </xdr:from>
    <xdr:to>
      <xdr:col>48</xdr:col>
      <xdr:colOff>698500</xdr:colOff>
      <xdr:row>4</xdr:row>
      <xdr:rowOff>19050</xdr:rowOff>
    </xdr:to>
    <xdr:sp macro="" textlink="">
      <xdr:nvSpPr>
        <xdr:cNvPr id="3" name="1 Botón de acción: Inicio">
          <a:hlinkClick xmlns:r="http://schemas.openxmlformats.org/officeDocument/2006/relationships" r:id="rId2"/>
        </xdr:cNvPr>
        <xdr:cNvSpPr/>
      </xdr:nvSpPr>
      <xdr:spPr>
        <a:xfrm>
          <a:off x="12687300" y="142876"/>
          <a:ext cx="698500" cy="600074"/>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48</xdr:col>
      <xdr:colOff>123825</xdr:colOff>
      <xdr:row>0</xdr:row>
      <xdr:rowOff>28575</xdr:rowOff>
    </xdr:from>
    <xdr:to>
      <xdr:col>49</xdr:col>
      <xdr:colOff>276225</xdr:colOff>
      <xdr:row>3</xdr:row>
      <xdr:rowOff>95250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867775" y="28575"/>
          <a:ext cx="10096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52</xdr:col>
      <xdr:colOff>95251</xdr:colOff>
      <xdr:row>0</xdr:row>
      <xdr:rowOff>85725</xdr:rowOff>
    </xdr:from>
    <xdr:to>
      <xdr:col>52</xdr:col>
      <xdr:colOff>571501</xdr:colOff>
      <xdr:row>3</xdr:row>
      <xdr:rowOff>104775</xdr:rowOff>
    </xdr:to>
    <xdr:sp macro="" textlink="">
      <xdr:nvSpPr>
        <xdr:cNvPr id="4" name="1 Botón de acción: Inicio">
          <a:hlinkClick xmlns:r="http://schemas.openxmlformats.org/officeDocument/2006/relationships" r:id="rId2"/>
        </xdr:cNvPr>
        <xdr:cNvSpPr/>
      </xdr:nvSpPr>
      <xdr:spPr>
        <a:xfrm>
          <a:off x="12534901" y="85725"/>
          <a:ext cx="476250" cy="45720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171450</xdr:colOff>
      <xdr:row>3</xdr:row>
      <xdr:rowOff>123825</xdr:rowOff>
    </xdr:to>
    <xdr:pic>
      <xdr:nvPicPr>
        <xdr:cNvPr id="2" name="Imagen 4"/>
        <xdr:cNvPicPr/>
      </xdr:nvPicPr>
      <xdr:blipFill>
        <a:blip xmlns:r="http://schemas.openxmlformats.org/officeDocument/2006/relationships" r:embed="rId1"/>
        <a:stretch/>
      </xdr:blipFill>
      <xdr:spPr>
        <a:xfrm>
          <a:off x="7829550" y="123750"/>
          <a:ext cx="838200" cy="523950"/>
        </a:xfrm>
        <a:prstGeom prst="rect">
          <a:avLst/>
        </a:prstGeom>
        <a:ln w="9360">
          <a:noFill/>
        </a:ln>
      </xdr:spPr>
    </xdr:pic>
    <xdr:clientData/>
  </xdr:twoCellAnchor>
  <xdr:twoCellAnchor>
    <xdr:from>
      <xdr:col>48</xdr:col>
      <xdr:colOff>0</xdr:colOff>
      <xdr:row>0</xdr:row>
      <xdr:rowOff>104776</xdr:rowOff>
    </xdr:from>
    <xdr:to>
      <xdr:col>48</xdr:col>
      <xdr:colOff>466724</xdr:colOff>
      <xdr:row>3</xdr:row>
      <xdr:rowOff>85725</xdr:rowOff>
    </xdr:to>
    <xdr:sp macro="" textlink="">
      <xdr:nvSpPr>
        <xdr:cNvPr id="4" name="1 Botón de acción: Inicio">
          <a:hlinkClick xmlns:r="http://schemas.openxmlformats.org/officeDocument/2006/relationships" r:id="rId2"/>
        </xdr:cNvPr>
        <xdr:cNvSpPr/>
      </xdr:nvSpPr>
      <xdr:spPr>
        <a:xfrm>
          <a:off x="9286875" y="104776"/>
          <a:ext cx="466724" cy="504824"/>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360630</xdr:colOff>
      <xdr:row>3</xdr:row>
      <xdr:rowOff>74790</xdr:rowOff>
    </xdr:to>
    <xdr:pic>
      <xdr:nvPicPr>
        <xdr:cNvPr id="2" name="Imagen 3"/>
        <xdr:cNvPicPr/>
      </xdr:nvPicPr>
      <xdr:blipFill>
        <a:blip xmlns:r="http://schemas.openxmlformats.org/officeDocument/2006/relationships" r:embed="rId1"/>
        <a:stretch/>
      </xdr:blipFill>
      <xdr:spPr>
        <a:xfrm>
          <a:off x="8810700" y="57150"/>
          <a:ext cx="636780" cy="484365"/>
        </a:xfrm>
        <a:prstGeom prst="rect">
          <a:avLst/>
        </a:prstGeom>
        <a:ln w="9360">
          <a:noFill/>
        </a:ln>
      </xdr:spPr>
    </xdr:pic>
    <xdr:clientData/>
  </xdr:twoCellAnchor>
  <xdr:twoCellAnchor editAs="oneCell">
    <xdr:from>
      <xdr:col>48</xdr:col>
      <xdr:colOff>361950</xdr:colOff>
      <xdr:row>0</xdr:row>
      <xdr:rowOff>38100</xdr:rowOff>
    </xdr:from>
    <xdr:to>
      <xdr:col>49</xdr:col>
      <xdr:colOff>60517</xdr:colOff>
      <xdr:row>3</xdr:row>
      <xdr:rowOff>55740</xdr:rowOff>
    </xdr:to>
    <xdr:pic>
      <xdr:nvPicPr>
        <xdr:cNvPr id="3" name="Imagen 3"/>
        <xdr:cNvPicPr/>
      </xdr:nvPicPr>
      <xdr:blipFill>
        <a:blip xmlns:r="http://schemas.openxmlformats.org/officeDocument/2006/relationships" r:embed="rId1"/>
        <a:stretch/>
      </xdr:blipFill>
      <xdr:spPr>
        <a:xfrm>
          <a:off x="30861000" y="38100"/>
          <a:ext cx="641542" cy="484365"/>
        </a:xfrm>
        <a:prstGeom prst="rect">
          <a:avLst/>
        </a:prstGeom>
        <a:ln w="9360">
          <a:noFill/>
        </a:ln>
      </xdr:spPr>
    </xdr:pic>
    <xdr:clientData/>
  </xdr:twoCellAnchor>
  <xdr:twoCellAnchor>
    <xdr:from>
      <xdr:col>3</xdr:col>
      <xdr:colOff>0</xdr:colOff>
      <xdr:row>1</xdr:row>
      <xdr:rowOff>0</xdr:rowOff>
    </xdr:from>
    <xdr:to>
      <xdr:col>4</xdr:col>
      <xdr:colOff>28574</xdr:colOff>
      <xdr:row>4</xdr:row>
      <xdr:rowOff>28574</xdr:rowOff>
    </xdr:to>
    <xdr:sp macro="" textlink="">
      <xdr:nvSpPr>
        <xdr:cNvPr id="5" name="1 Botón de acción: Inicio">
          <a:hlinkClick xmlns:r="http://schemas.openxmlformats.org/officeDocument/2006/relationships" r:id="rId2"/>
        </xdr:cNvPr>
        <xdr:cNvSpPr/>
      </xdr:nvSpPr>
      <xdr:spPr>
        <a:xfrm>
          <a:off x="1419225" y="142875"/>
          <a:ext cx="466724" cy="533399"/>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41</xdr:col>
      <xdr:colOff>103094</xdr:colOff>
      <xdr:row>3</xdr:row>
      <xdr:rowOff>43709</xdr:rowOff>
    </xdr:from>
    <xdr:to>
      <xdr:col>43</xdr:col>
      <xdr:colOff>184097</xdr:colOff>
      <xdr:row>3</xdr:row>
      <xdr:rowOff>256135</xdr:rowOff>
    </xdr:to>
    <xdr:pic>
      <xdr:nvPicPr>
        <xdr:cNvPr id="2" name="Imagen 4">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
        <a:stretch/>
      </xdr:blipFill>
      <xdr:spPr>
        <a:xfrm>
          <a:off x="8694644" y="567584"/>
          <a:ext cx="395328" cy="212426"/>
        </a:xfrm>
        <a:prstGeom prst="rect">
          <a:avLst/>
        </a:prstGeom>
        <a:ln w="9360">
          <a:noFill/>
        </a:ln>
      </xdr:spPr>
    </xdr:pic>
    <xdr:clientData/>
  </xdr:twoCellAnchor>
  <xdr:twoCellAnchor>
    <xdr:from>
      <xdr:col>47</xdr:col>
      <xdr:colOff>66675</xdr:colOff>
      <xdr:row>0</xdr:row>
      <xdr:rowOff>95250</xdr:rowOff>
    </xdr:from>
    <xdr:to>
      <xdr:col>48</xdr:col>
      <xdr:colOff>419100</xdr:colOff>
      <xdr:row>3</xdr:row>
      <xdr:rowOff>57150</xdr:rowOff>
    </xdr:to>
    <xdr:sp macro="" textlink="">
      <xdr:nvSpPr>
        <xdr:cNvPr id="3" name="1 Botón de acción: Inicio">
          <a:hlinkClick xmlns:r="http://schemas.openxmlformats.org/officeDocument/2006/relationships" r:id="rId2"/>
        </xdr:cNvPr>
        <xdr:cNvSpPr/>
      </xdr:nvSpPr>
      <xdr:spPr>
        <a:xfrm>
          <a:off x="9696450" y="95250"/>
          <a:ext cx="638175" cy="48577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171450</xdr:colOff>
      <xdr:row>3</xdr:row>
      <xdr:rowOff>123825</xdr:rowOff>
    </xdr:to>
    <xdr:pic>
      <xdr:nvPicPr>
        <xdr:cNvPr id="2" name="Imagen 4"/>
        <xdr:cNvPicPr/>
      </xdr:nvPicPr>
      <xdr:blipFill>
        <a:blip xmlns:r="http://schemas.openxmlformats.org/officeDocument/2006/relationships" r:embed="rId1"/>
        <a:stretch/>
      </xdr:blipFill>
      <xdr:spPr>
        <a:xfrm>
          <a:off x="7343775" y="123750"/>
          <a:ext cx="838200" cy="523950"/>
        </a:xfrm>
        <a:prstGeom prst="rect">
          <a:avLst/>
        </a:prstGeom>
        <a:ln w="9360">
          <a:noFill/>
        </a:ln>
      </xdr:spPr>
    </xdr:pic>
    <xdr:clientData/>
  </xdr:twoCellAnchor>
  <xdr:twoCellAnchor>
    <xdr:from>
      <xdr:col>48</xdr:col>
      <xdr:colOff>0</xdr:colOff>
      <xdr:row>0</xdr:row>
      <xdr:rowOff>95250</xdr:rowOff>
    </xdr:from>
    <xdr:to>
      <xdr:col>48</xdr:col>
      <xdr:colOff>649432</xdr:colOff>
      <xdr:row>3</xdr:row>
      <xdr:rowOff>114300</xdr:rowOff>
    </xdr:to>
    <xdr:sp macro="" textlink="">
      <xdr:nvSpPr>
        <xdr:cNvPr id="3" name="1 Botón de acción: Inicio">
          <a:hlinkClick xmlns:r="http://schemas.openxmlformats.org/officeDocument/2006/relationships" r:id="rId2"/>
        </xdr:cNvPr>
        <xdr:cNvSpPr/>
      </xdr:nvSpPr>
      <xdr:spPr>
        <a:xfrm>
          <a:off x="8801100" y="95250"/>
          <a:ext cx="649432" cy="54292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171450</xdr:colOff>
      <xdr:row>3</xdr:row>
      <xdr:rowOff>123825</xdr:rowOff>
    </xdr:to>
    <xdr:pic>
      <xdr:nvPicPr>
        <xdr:cNvPr id="2" name="Imagen 4"/>
        <xdr:cNvPicPr/>
      </xdr:nvPicPr>
      <xdr:blipFill>
        <a:blip xmlns:r="http://schemas.openxmlformats.org/officeDocument/2006/relationships" r:embed="rId1"/>
        <a:stretch/>
      </xdr:blipFill>
      <xdr:spPr>
        <a:xfrm>
          <a:off x="7991475" y="123750"/>
          <a:ext cx="838200" cy="523950"/>
        </a:xfrm>
        <a:prstGeom prst="rect">
          <a:avLst/>
        </a:prstGeom>
        <a:ln w="9360">
          <a:noFill/>
        </a:ln>
      </xdr:spPr>
    </xdr:pic>
    <xdr:clientData/>
  </xdr:twoCellAnchor>
  <xdr:twoCellAnchor>
    <xdr:from>
      <xdr:col>47</xdr:col>
      <xdr:colOff>161925</xdr:colOff>
      <xdr:row>0</xdr:row>
      <xdr:rowOff>123826</xdr:rowOff>
    </xdr:from>
    <xdr:to>
      <xdr:col>48</xdr:col>
      <xdr:colOff>323850</xdr:colOff>
      <xdr:row>3</xdr:row>
      <xdr:rowOff>161925</xdr:rowOff>
    </xdr:to>
    <xdr:sp macro="" textlink="">
      <xdr:nvSpPr>
        <xdr:cNvPr id="3" name="1 Botón de acción: Inicio">
          <a:hlinkClick xmlns:r="http://schemas.openxmlformats.org/officeDocument/2006/relationships" r:id="rId2"/>
        </xdr:cNvPr>
        <xdr:cNvSpPr/>
      </xdr:nvSpPr>
      <xdr:spPr>
        <a:xfrm>
          <a:off x="9324975" y="123826"/>
          <a:ext cx="447675" cy="561974"/>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171450</xdr:colOff>
      <xdr:row>3</xdr:row>
      <xdr:rowOff>104775</xdr:rowOff>
    </xdr:to>
    <xdr:pic>
      <xdr:nvPicPr>
        <xdr:cNvPr id="2" name="Imagen 4"/>
        <xdr:cNvPicPr/>
      </xdr:nvPicPr>
      <xdr:blipFill>
        <a:blip xmlns:r="http://schemas.openxmlformats.org/officeDocument/2006/relationships" r:embed="rId1"/>
        <a:stretch/>
      </xdr:blipFill>
      <xdr:spPr>
        <a:xfrm>
          <a:off x="9010650" y="123750"/>
          <a:ext cx="838200" cy="523950"/>
        </a:xfrm>
        <a:prstGeom prst="rect">
          <a:avLst/>
        </a:prstGeom>
        <a:ln w="9360">
          <a:noFill/>
        </a:ln>
      </xdr:spPr>
    </xdr:pic>
    <xdr:clientData/>
  </xdr:twoCellAnchor>
  <xdr:twoCellAnchor>
    <xdr:from>
      <xdr:col>47</xdr:col>
      <xdr:colOff>161926</xdr:colOff>
      <xdr:row>0</xdr:row>
      <xdr:rowOff>161926</xdr:rowOff>
    </xdr:from>
    <xdr:to>
      <xdr:col>48</xdr:col>
      <xdr:colOff>371476</xdr:colOff>
      <xdr:row>3</xdr:row>
      <xdr:rowOff>57150</xdr:rowOff>
    </xdr:to>
    <xdr:sp macro="" textlink="">
      <xdr:nvSpPr>
        <xdr:cNvPr id="3" name="1 Botón de acción: Inicio">
          <a:hlinkClick xmlns:r="http://schemas.openxmlformats.org/officeDocument/2006/relationships" r:id="rId2"/>
        </xdr:cNvPr>
        <xdr:cNvSpPr/>
      </xdr:nvSpPr>
      <xdr:spPr>
        <a:xfrm>
          <a:off x="10344151" y="161926"/>
          <a:ext cx="495300" cy="438149"/>
        </a:xfrm>
        <a:prstGeom prst="actionButtonHome">
          <a:avLst/>
        </a:prstGeom>
        <a:solidFill>
          <a:srgbClr val="F79646">
            <a:lumMod val="40000"/>
            <a:lumOff val="60000"/>
          </a:srgbClr>
        </a:solidFill>
        <a:ln w="2540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CO" sz="1800" b="0" i="0" u="none" strike="noStrike" kern="0" cap="none"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171450</xdr:colOff>
      <xdr:row>3</xdr:row>
      <xdr:rowOff>123825</xdr:rowOff>
    </xdr:to>
    <xdr:pic>
      <xdr:nvPicPr>
        <xdr:cNvPr id="2" name="Imagen 4"/>
        <xdr:cNvPicPr/>
      </xdr:nvPicPr>
      <xdr:blipFill>
        <a:blip xmlns:r="http://schemas.openxmlformats.org/officeDocument/2006/relationships" r:embed="rId1"/>
        <a:stretch/>
      </xdr:blipFill>
      <xdr:spPr>
        <a:xfrm>
          <a:off x="8848725" y="123750"/>
          <a:ext cx="838200" cy="523950"/>
        </a:xfrm>
        <a:prstGeom prst="rect">
          <a:avLst/>
        </a:prstGeom>
        <a:ln w="9360">
          <a:noFill/>
        </a:ln>
      </xdr:spPr>
    </xdr:pic>
    <xdr:clientData/>
  </xdr:twoCellAnchor>
  <xdr:twoCellAnchor>
    <xdr:from>
      <xdr:col>47</xdr:col>
      <xdr:colOff>142876</xdr:colOff>
      <xdr:row>0</xdr:row>
      <xdr:rowOff>76200</xdr:rowOff>
    </xdr:from>
    <xdr:to>
      <xdr:col>48</xdr:col>
      <xdr:colOff>409575</xdr:colOff>
      <xdr:row>3</xdr:row>
      <xdr:rowOff>133350</xdr:rowOff>
    </xdr:to>
    <xdr:sp macro="" textlink="">
      <xdr:nvSpPr>
        <xdr:cNvPr id="3" name="1 Botón de acción: Inicio">
          <a:hlinkClick xmlns:r="http://schemas.openxmlformats.org/officeDocument/2006/relationships" r:id="rId2"/>
        </xdr:cNvPr>
        <xdr:cNvSpPr/>
      </xdr:nvSpPr>
      <xdr:spPr>
        <a:xfrm>
          <a:off x="10163176" y="76200"/>
          <a:ext cx="552449" cy="58102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b="1"/>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171450</xdr:colOff>
      <xdr:row>3</xdr:row>
      <xdr:rowOff>123825</xdr:rowOff>
    </xdr:to>
    <xdr:pic>
      <xdr:nvPicPr>
        <xdr:cNvPr id="2" name="Imagen 4"/>
        <xdr:cNvPicPr/>
      </xdr:nvPicPr>
      <xdr:blipFill>
        <a:blip xmlns:r="http://schemas.openxmlformats.org/officeDocument/2006/relationships" r:embed="rId1"/>
        <a:stretch/>
      </xdr:blipFill>
      <xdr:spPr>
        <a:xfrm>
          <a:off x="8629650" y="123750"/>
          <a:ext cx="838200" cy="523950"/>
        </a:xfrm>
        <a:prstGeom prst="rect">
          <a:avLst/>
        </a:prstGeom>
        <a:ln w="9360">
          <a:noFill/>
        </a:ln>
      </xdr:spPr>
    </xdr:pic>
    <xdr:clientData/>
  </xdr:twoCellAnchor>
  <xdr:twoCellAnchor>
    <xdr:from>
      <xdr:col>47</xdr:col>
      <xdr:colOff>66675</xdr:colOff>
      <xdr:row>0</xdr:row>
      <xdr:rowOff>114300</xdr:rowOff>
    </xdr:from>
    <xdr:to>
      <xdr:col>48</xdr:col>
      <xdr:colOff>361950</xdr:colOff>
      <xdr:row>3</xdr:row>
      <xdr:rowOff>95250</xdr:rowOff>
    </xdr:to>
    <xdr:sp macro="" textlink="">
      <xdr:nvSpPr>
        <xdr:cNvPr id="5" name="1 Botón de acción: Inicio">
          <a:hlinkClick xmlns:r="http://schemas.openxmlformats.org/officeDocument/2006/relationships" r:id="rId2"/>
        </xdr:cNvPr>
        <xdr:cNvSpPr/>
      </xdr:nvSpPr>
      <xdr:spPr>
        <a:xfrm>
          <a:off x="9867900" y="114300"/>
          <a:ext cx="581025" cy="50482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171449</xdr:colOff>
      <xdr:row>3</xdr:row>
      <xdr:rowOff>123825</xdr:rowOff>
    </xdr:to>
    <xdr:pic>
      <xdr:nvPicPr>
        <xdr:cNvPr id="2" name="Imagen 4"/>
        <xdr:cNvPicPr/>
      </xdr:nvPicPr>
      <xdr:blipFill>
        <a:blip xmlns:r="http://schemas.openxmlformats.org/officeDocument/2006/relationships" r:embed="rId1" cstate="print"/>
        <a:stretch/>
      </xdr:blipFill>
      <xdr:spPr>
        <a:xfrm>
          <a:off x="10648950" y="123750"/>
          <a:ext cx="838199" cy="523950"/>
        </a:xfrm>
        <a:prstGeom prst="rect">
          <a:avLst/>
        </a:prstGeom>
        <a:ln w="9360">
          <a:noFill/>
        </a:ln>
      </xdr:spPr>
    </xdr:pic>
    <xdr:clientData/>
  </xdr:twoCellAnchor>
  <xdr:twoCellAnchor>
    <xdr:from>
      <xdr:col>47</xdr:col>
      <xdr:colOff>104776</xdr:colOff>
      <xdr:row>0</xdr:row>
      <xdr:rowOff>104776</xdr:rowOff>
    </xdr:from>
    <xdr:to>
      <xdr:col>48</xdr:col>
      <xdr:colOff>295276</xdr:colOff>
      <xdr:row>3</xdr:row>
      <xdr:rowOff>114300</xdr:rowOff>
    </xdr:to>
    <xdr:sp macro="" textlink="">
      <xdr:nvSpPr>
        <xdr:cNvPr id="6" name="1 Botón de acción: Inicio">
          <a:hlinkClick xmlns:r="http://schemas.openxmlformats.org/officeDocument/2006/relationships" r:id="rId2"/>
        </xdr:cNvPr>
        <xdr:cNvSpPr/>
      </xdr:nvSpPr>
      <xdr:spPr>
        <a:xfrm>
          <a:off x="11925301" y="104776"/>
          <a:ext cx="476250" cy="533399"/>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30</xdr:col>
      <xdr:colOff>19050</xdr:colOff>
      <xdr:row>0</xdr:row>
      <xdr:rowOff>123750</xdr:rowOff>
    </xdr:from>
    <xdr:to>
      <xdr:col>45</xdr:col>
      <xdr:colOff>171450</xdr:colOff>
      <xdr:row>3</xdr:row>
      <xdr:rowOff>9067</xdr:rowOff>
    </xdr:to>
    <xdr:pic>
      <xdr:nvPicPr>
        <xdr:cNvPr id="2" name="Imagen 4"/>
        <xdr:cNvPicPr/>
      </xdr:nvPicPr>
      <xdr:blipFill>
        <a:blip xmlns:r="http://schemas.openxmlformats.org/officeDocument/2006/relationships" r:embed="rId1" cstate="print"/>
        <a:stretch/>
      </xdr:blipFill>
      <xdr:spPr>
        <a:xfrm>
          <a:off x="10239375" y="123750"/>
          <a:ext cx="838200" cy="523492"/>
        </a:xfrm>
        <a:prstGeom prst="rect">
          <a:avLst/>
        </a:prstGeom>
        <a:ln w="9360">
          <a:noFill/>
        </a:ln>
      </xdr:spPr>
    </xdr:pic>
    <xdr:clientData/>
  </xdr:twoCellAnchor>
  <xdr:twoCellAnchor>
    <xdr:from>
      <xdr:col>48</xdr:col>
      <xdr:colOff>0</xdr:colOff>
      <xdr:row>0</xdr:row>
      <xdr:rowOff>123825</xdr:rowOff>
    </xdr:from>
    <xdr:to>
      <xdr:col>48</xdr:col>
      <xdr:colOff>542925</xdr:colOff>
      <xdr:row>3</xdr:row>
      <xdr:rowOff>9525</xdr:rowOff>
    </xdr:to>
    <xdr:sp macro="" textlink="">
      <xdr:nvSpPr>
        <xdr:cNvPr id="4" name="1 Botón de acción: Inicio">
          <a:hlinkClick xmlns:r="http://schemas.openxmlformats.org/officeDocument/2006/relationships" r:id="rId2"/>
        </xdr:cNvPr>
        <xdr:cNvSpPr/>
      </xdr:nvSpPr>
      <xdr:spPr>
        <a:xfrm>
          <a:off x="11696700" y="123825"/>
          <a:ext cx="542925" cy="52387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360630</xdr:colOff>
      <xdr:row>1</xdr:row>
      <xdr:rowOff>74790</xdr:rowOff>
    </xdr:to>
    <xdr:pic>
      <xdr:nvPicPr>
        <xdr:cNvPr id="2" name="Imagen 3">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1"/>
        <a:stretch/>
      </xdr:blipFill>
      <xdr:spPr>
        <a:xfrm>
          <a:off x="14592375" y="57150"/>
          <a:ext cx="636780" cy="484365"/>
        </a:xfrm>
        <a:prstGeom prst="rect">
          <a:avLst/>
        </a:prstGeom>
        <a:ln w="9360">
          <a:noFill/>
        </a:ln>
      </xdr:spPr>
    </xdr:pic>
    <xdr:clientData/>
  </xdr:twoCellAnchor>
  <xdr:twoCellAnchor editAs="oneCell">
    <xdr:from>
      <xdr:col>48</xdr:col>
      <xdr:colOff>361950</xdr:colOff>
      <xdr:row>0</xdr:row>
      <xdr:rowOff>38100</xdr:rowOff>
    </xdr:from>
    <xdr:to>
      <xdr:col>49</xdr:col>
      <xdr:colOff>227204</xdr:colOff>
      <xdr:row>1</xdr:row>
      <xdr:rowOff>55740</xdr:rowOff>
    </xdr:to>
    <xdr:pic>
      <xdr:nvPicPr>
        <xdr:cNvPr id="3" name="Imagen 3">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
        <a:stretch/>
      </xdr:blipFill>
      <xdr:spPr>
        <a:xfrm>
          <a:off x="37309425" y="38100"/>
          <a:ext cx="636780" cy="484365"/>
        </a:xfrm>
        <a:prstGeom prst="rect">
          <a:avLst/>
        </a:prstGeom>
        <a:ln w="9360">
          <a:noFill/>
        </a:ln>
      </xdr:spPr>
    </xdr:pic>
    <xdr:clientData/>
  </xdr:twoCellAnchor>
  <xdr:twoCellAnchor>
    <xdr:from>
      <xdr:col>3</xdr:col>
      <xdr:colOff>261938</xdr:colOff>
      <xdr:row>1</xdr:row>
      <xdr:rowOff>0</xdr:rowOff>
    </xdr:from>
    <xdr:to>
      <xdr:col>5</xdr:col>
      <xdr:colOff>523874</xdr:colOff>
      <xdr:row>3</xdr:row>
      <xdr:rowOff>333375</xdr:rowOff>
    </xdr:to>
    <xdr:sp macro="" textlink="">
      <xdr:nvSpPr>
        <xdr:cNvPr id="6" name="1 Botón de acción: Inicio">
          <a:hlinkClick xmlns:r="http://schemas.openxmlformats.org/officeDocument/2006/relationships" r:id="rId2"/>
        </xdr:cNvPr>
        <xdr:cNvSpPr/>
      </xdr:nvSpPr>
      <xdr:spPr>
        <a:xfrm>
          <a:off x="3452813" y="476250"/>
          <a:ext cx="1071561" cy="116681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46</xdr:col>
      <xdr:colOff>361950</xdr:colOff>
      <xdr:row>0</xdr:row>
      <xdr:rowOff>38100</xdr:rowOff>
    </xdr:from>
    <xdr:to>
      <xdr:col>47</xdr:col>
      <xdr:colOff>67876</xdr:colOff>
      <xdr:row>3</xdr:row>
      <xdr:rowOff>101509</xdr:rowOff>
    </xdr:to>
    <xdr:pic>
      <xdr:nvPicPr>
        <xdr:cNvPr id="2" name="Imagen 3"/>
        <xdr:cNvPicPr/>
      </xdr:nvPicPr>
      <xdr:blipFill>
        <a:blip xmlns:r="http://schemas.openxmlformats.org/officeDocument/2006/relationships" r:embed="rId1"/>
        <a:stretch/>
      </xdr:blipFill>
      <xdr:spPr>
        <a:xfrm>
          <a:off x="25412700" y="38100"/>
          <a:ext cx="639377" cy="530134"/>
        </a:xfrm>
        <a:prstGeom prst="rect">
          <a:avLst/>
        </a:prstGeom>
        <a:ln w="9360">
          <a:noFill/>
        </a:ln>
      </xdr:spPr>
    </xdr:pic>
    <xdr:clientData/>
  </xdr:twoCellAnchor>
  <xdr:twoCellAnchor>
    <xdr:from>
      <xdr:col>2</xdr:col>
      <xdr:colOff>130968</xdr:colOff>
      <xdr:row>1</xdr:row>
      <xdr:rowOff>0</xdr:rowOff>
    </xdr:from>
    <xdr:to>
      <xdr:col>5</xdr:col>
      <xdr:colOff>59531</xdr:colOff>
      <xdr:row>4</xdr:row>
      <xdr:rowOff>33336</xdr:rowOff>
    </xdr:to>
    <xdr:sp macro="" textlink="">
      <xdr:nvSpPr>
        <xdr:cNvPr id="5" name="1 Botón de acción: Inicio">
          <a:hlinkClick xmlns:r="http://schemas.openxmlformats.org/officeDocument/2006/relationships" r:id="rId2"/>
        </xdr:cNvPr>
        <xdr:cNvSpPr/>
      </xdr:nvSpPr>
      <xdr:spPr>
        <a:xfrm>
          <a:off x="1345406" y="142875"/>
          <a:ext cx="595313" cy="533399"/>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676350</xdr:colOff>
      <xdr:row>0</xdr:row>
      <xdr:rowOff>57150</xdr:rowOff>
    </xdr:from>
    <xdr:to>
      <xdr:col>24</xdr:col>
      <xdr:colOff>360630</xdr:colOff>
      <xdr:row>3</xdr:row>
      <xdr:rowOff>74790</xdr:rowOff>
    </xdr:to>
    <xdr:pic>
      <xdr:nvPicPr>
        <xdr:cNvPr id="2" name="Imagen 3"/>
        <xdr:cNvPicPr/>
      </xdr:nvPicPr>
      <xdr:blipFill>
        <a:blip xmlns:r="http://schemas.openxmlformats.org/officeDocument/2006/relationships" r:embed="rId1"/>
        <a:stretch/>
      </xdr:blipFill>
      <xdr:spPr>
        <a:xfrm>
          <a:off x="7286700" y="57150"/>
          <a:ext cx="636780" cy="484365"/>
        </a:xfrm>
        <a:prstGeom prst="rect">
          <a:avLst/>
        </a:prstGeom>
        <a:ln w="9360">
          <a:noFill/>
        </a:ln>
      </xdr:spPr>
    </xdr:pic>
    <xdr:clientData/>
  </xdr:twoCellAnchor>
  <xdr:twoCellAnchor>
    <xdr:from>
      <xdr:col>2</xdr:col>
      <xdr:colOff>26958</xdr:colOff>
      <xdr:row>0</xdr:row>
      <xdr:rowOff>62901</xdr:rowOff>
    </xdr:from>
    <xdr:to>
      <xdr:col>4</xdr:col>
      <xdr:colOff>53917</xdr:colOff>
      <xdr:row>3</xdr:row>
      <xdr:rowOff>125802</xdr:rowOff>
    </xdr:to>
    <xdr:sp macro="" textlink="">
      <xdr:nvSpPr>
        <xdr:cNvPr id="6" name="1 Botón de acción: Inicio">
          <a:hlinkClick xmlns:r="http://schemas.openxmlformats.org/officeDocument/2006/relationships" r:id="rId2"/>
        </xdr:cNvPr>
        <xdr:cNvSpPr/>
      </xdr:nvSpPr>
      <xdr:spPr>
        <a:xfrm>
          <a:off x="943515" y="62901"/>
          <a:ext cx="512194" cy="53016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542999</xdr:colOff>
      <xdr:row>0</xdr:row>
      <xdr:rowOff>57150</xdr:rowOff>
    </xdr:from>
    <xdr:to>
      <xdr:col>24</xdr:col>
      <xdr:colOff>523874</xdr:colOff>
      <xdr:row>3</xdr:row>
      <xdr:rowOff>200025</xdr:rowOff>
    </xdr:to>
    <xdr:pic>
      <xdr:nvPicPr>
        <xdr:cNvPr id="2" name="Imagen 3"/>
        <xdr:cNvPicPr/>
      </xdr:nvPicPr>
      <xdr:blipFill>
        <a:blip xmlns:r="http://schemas.openxmlformats.org/officeDocument/2006/relationships" r:embed="rId1"/>
        <a:stretch/>
      </xdr:blipFill>
      <xdr:spPr>
        <a:xfrm>
          <a:off x="10725224" y="57150"/>
          <a:ext cx="933375" cy="609600"/>
        </a:xfrm>
        <a:prstGeom prst="rect">
          <a:avLst/>
        </a:prstGeom>
        <a:ln w="9360">
          <a:noFill/>
        </a:ln>
      </xdr:spPr>
    </xdr:pic>
    <xdr:clientData/>
  </xdr:twoCellAnchor>
  <xdr:twoCellAnchor>
    <xdr:from>
      <xdr:col>2</xdr:col>
      <xdr:colOff>616403</xdr:colOff>
      <xdr:row>0</xdr:row>
      <xdr:rowOff>68036</xdr:rowOff>
    </xdr:from>
    <xdr:to>
      <xdr:col>4</xdr:col>
      <xdr:colOff>217714</xdr:colOff>
      <xdr:row>4</xdr:row>
      <xdr:rowOff>27214</xdr:rowOff>
    </xdr:to>
    <xdr:sp macro="" textlink="">
      <xdr:nvSpPr>
        <xdr:cNvPr id="6" name="1 Botón de acción: Inicio">
          <a:hlinkClick xmlns:r="http://schemas.openxmlformats.org/officeDocument/2006/relationships" r:id="rId2"/>
        </xdr:cNvPr>
        <xdr:cNvSpPr/>
      </xdr:nvSpPr>
      <xdr:spPr>
        <a:xfrm>
          <a:off x="1691367" y="68036"/>
          <a:ext cx="853168" cy="666749"/>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24</xdr:col>
      <xdr:colOff>676350</xdr:colOff>
      <xdr:row>0</xdr:row>
      <xdr:rowOff>57150</xdr:rowOff>
    </xdr:from>
    <xdr:to>
      <xdr:col>25</xdr:col>
      <xdr:colOff>360630</xdr:colOff>
      <xdr:row>3</xdr:row>
      <xdr:rowOff>74790</xdr:rowOff>
    </xdr:to>
    <xdr:pic>
      <xdr:nvPicPr>
        <xdr:cNvPr id="2" name="Imagen 3"/>
        <xdr:cNvPicPr/>
      </xdr:nvPicPr>
      <xdr:blipFill>
        <a:blip xmlns:r="http://schemas.openxmlformats.org/officeDocument/2006/relationships" r:embed="rId1"/>
        <a:stretch/>
      </xdr:blipFill>
      <xdr:spPr>
        <a:xfrm>
          <a:off x="8029650" y="57150"/>
          <a:ext cx="636780" cy="484365"/>
        </a:xfrm>
        <a:prstGeom prst="rect">
          <a:avLst/>
        </a:prstGeom>
        <a:ln w="9360">
          <a:noFill/>
        </a:ln>
      </xdr:spPr>
    </xdr:pic>
    <xdr:clientData/>
  </xdr:twoCellAnchor>
  <xdr:twoCellAnchor>
    <xdr:from>
      <xdr:col>3</xdr:col>
      <xdr:colOff>314325</xdr:colOff>
      <xdr:row>0</xdr:row>
      <xdr:rowOff>76201</xdr:rowOff>
    </xdr:from>
    <xdr:to>
      <xdr:col>5</xdr:col>
      <xdr:colOff>66674</xdr:colOff>
      <xdr:row>4</xdr:row>
      <xdr:rowOff>9525</xdr:rowOff>
    </xdr:to>
    <xdr:sp macro="" textlink="">
      <xdr:nvSpPr>
        <xdr:cNvPr id="5" name="1 Botón de acción: Inicio">
          <a:hlinkClick xmlns:r="http://schemas.openxmlformats.org/officeDocument/2006/relationships" r:id="rId2"/>
        </xdr:cNvPr>
        <xdr:cNvSpPr/>
      </xdr:nvSpPr>
      <xdr:spPr>
        <a:xfrm>
          <a:off x="1371600" y="76201"/>
          <a:ext cx="419099" cy="581024"/>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hmejiar1/Documents/IDU/02-GESTION/03-PLANES%20DE%20ACCION/01-MATRIZ%20CORRUPCION/2016/Primer%20reporte/FOPE05_MATRIZ_RIESGOS_DE_CORRUPCION_EJECUCION_OBRAS_2016042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jquirog2/Documents/01%20RIESGOS/CORRUPCION/3%20-%20RIESGOS%20DE%20CORRUPCION%20AGOSTO%202019/GESTION%20CONTRACTUAL%20%20OK/Matriz_RC_Gestion_Contractual_31ago2019_(OK)_.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csjimene1.DOMIDU/Downloads/Matriz_2019_RC_Valorizacion%2003-05%20(6).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Users/csjimene1.DOMIDU/Downloads/MATRIZ%20CORRUPCION%202019%20(2).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cocortes2/Documents/IDU/OCD/2018/Riesgos/Seguimiento%20diciembre/Matricez%20OCD%20insumo/V0%20Matriz_2019_RCorrupcion_Evaluacion_y_Control_30nov201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jquirog2/Documents/01%20RIESGOS/CORRUPCION/3%20-%20RIESGOS%20DE%20CORRUPCION%20AGOSTO%202019/DISE&#209;O_DE_PROYECTOS%20%20OK/Matriz_RC_Dise&#241;o_de_Proyectos_06sep2019_OK.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jmatall1/Downloads/Matriz_2019_RC_Gestion_Documental_12dic2018_(Ok).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jquirog2/Documents/01%20RIESGOS/CORRUPCION/3%20-%20RIESGOS%20DE%20CORRUPCION%20AGOSTO%202019/CONSERVACION%20DE%20INFRAESTRUCTURA%20%20OK/Matriz_(DTAI)_RC_Conservacion_de_Infraestructura_31ago2019_(OK).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jquirog2/Documents/01%20RIESGOS/CORRUPCION/3%20-%20RIESGOS%20DE%20CORRUPCION%20AGOSTO%202019/CONSERVACION%20DE%20INFRAESTRUCTURA%20%20OK/Matriz_(DTM)_RC_Conservacion_de_Infraestructura_11sep2019_(OK).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jquirog2/Downloads/EVALUACION%20Y%20CONTROL/Matriz_RCorrupcion_Evaluacion_y_Control_19dic2018_20181350317683_(O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cjquirog2/Documents/01%20RIESGOS/CORRUPCION/3%20-%20RIESGOS%20DE%20CORRUPCION%20AGOSTO%202019/FACTIBILIDAD%20DE%20PROYECTOS%20%20OK/Matriz_RC_Factibilidad_de_Proyectos_06sep2019_OK.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jquirog2/Downloads/GESTION%20FINANCIERA/Matriz_2019_RCorrupcion_Gestion_Financiera_19dic2018(OK).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cjmatall1/Downloads/Matriz_2019_RC_Recursos_Fisicos_12dic2018_(Ok).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cjquirog2/Documents/01%20RIESGOS/CORRUPCION/3%20-%20RIESGOS%20DE%20CORRUPCION%20AGOSTO%202019/GESTION%20SOCIAL%20PARTICIPACION%20CIUDADANA%20%20OK/Matriz_RCorrupcion_Gestion%20Social%20y%20Participacion_3sep2019_(OK)_.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jquirog1\Documents\02%20RIESGOS\02%20CORRUPCION\01%20MATRICES\2014\R%20CORUPCION_AGO%202014\DTAF\MATRIZ%20DE%20RIESGO%20DE%20CORRUPCION%20%20DTAF%20AGOSTO%20201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cjquirog2/Downloads/GESTION%20INTEGRAL%20DE%20PROYECTOS/Matriz_2019_RC_Gestion_Integral_de_Proyectos_19dic2018_(Ok)_.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jquirog2/Documents/01%20RIESGOS/CORRUPCION/3%20-%20RIESGOS%20DE%20CORRUPCION%20AGOSTO%202019/INNOVACION%20Y%20GESTION%20DEL%20CONOCIMIENTO%20%20OK/Matriz_RC_Innovacion_y_Gestion_del_Conocimiento_06sep2019_(OK)_.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jquirog2/Documents/01%20RIESGOS/CORRUPCION/3%20-%20RIESGOS%20DE%20CORRUPCION%20AGOSTO%202019/GESTION%20INTERINSTITUCIONAL%20%20OK/Matriz_RC_Gestion_Interinstitucional_21ago2019_(OK)_.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cjquirog2/Documents/01%20RIESGOS/CORRUPCION/3%20-%20RIESGOS%20DE%20CORRUPCION%20AGOSTO%202019/GESTION%20LEGAL%20%20OK/Matriz_RC_Gestion_Legal_04sep2019_(OK)_.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cjquirog2/Downloads/MEJORAMIENTO%20CONTINUO/Matriz_2019_RCorrup_Mejoramiento_Continuo_14dic2018(Ok).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pruebas\Downloads\EJECUCION%20DE%20OBRAS\Matriz_R_Corrupcion_Ejecucion_de_Obras_%206may2019_(OK).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cjquirog2/Downloads/PLANEACION%20ESTRATEGICA/Matriz_RCorrupcion_Planeacion_Estrategica%202019_dic2018(Ok).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crlievan1/Downloads/GESTION%20PREDIAL/Matriz_RCorrupcion_Gestion_Predial_02may2019_(Ok)_.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cjquirog2/Documents/01%20RIESGOS/CORRUPCION/3%20-%20RIESGOS%20DE%20CORRUPCION%20AGOSTO%202019/GESTION%20TALENTO%20HUMANO%20OK/Matriz_RC_Talento_Humano_28ago2019_(OK).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cjquirog2/Documents/01%20RIESGOS/CORRUPCION/3%20-%20RIESGOS%20DE%20CORRUPCION%20AGOSTO%202019/TECNOLOGICOS%20TIC%20%20%20(OK)/Matriz_RCorrupcion_Tecnologicos_5sep2019_(OK)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jquirog1/Documents/02%20RIESGOS/02%20CORRUPCION/01%20MATRICES/2014/R%20CORUPCION_AGO%202014/DTAF/MATRIZ%20DE%20RIESGO%20DE%20CORRUPCION%20%20DTAF%20AGOSTO%2020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cjquirog2/Documents/01%20RIESGOS/CORRUPCION/3%20-%20RIESGOS%20DE%20CORRUPCION%20AGOSTO%202019/VALORIZACION%20Y%20FINANCIACION%20%20OK/Matriz_RC_Valorizacion%20y%20Financiacion_06sep2019_(OK)_.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cjquirog2/Documents/RIESGOS/RIESGOS_DE_GESTION_NOVIEMBRE_2018/GESTION%20AMBIENTAL%20CALIDAD%20Y%20SST/Matriz_2019_RG_Gestion_Ambiental_Calidad_y_SST_19dic2018_(Ok).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pjquirog1/Downloads/GESTION%20CONTRACTUAL/Matriz_RG_Gestion_Contractual_31ago2019.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cjquirog2/Documents/RIESGOS/RIESGOS_DE_GESTION_NOVIEMBRE_2018/GESTION%20DOCUMENTAL/Matriz_2019_RG_Gestion_Documental_12dic2018_(Ok).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cjquirog2/Documents/RIESGOS/RIESGOS_DE_GESTION_NOVIEMBRE_2018/GESTION%20FINANCIERA/Matriz_2019_RG_Gestion_Financiera_19dis2018_(Ok).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pjquirog1/Downloads/GESTION%20LEGAL/Matriz_RG_Gestion_Legal_04sep2019_(OK)_.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cjquirog2/Documents/RIESGOS/RIESGOS_DE_GESTION_NOVIEMBRE_2018/GESTION%20DE%20RECURSOS%20FISICOS/Matriz_2019_RG_Recursos_Fisicos_12dic2018_(ok).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pjquirog1/Downloads/TALENTO%20HUMANO%20%20OK/Matriz_RGestion_Talento_Humano_28ago2019_(OK).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clcortes2/Downloads/TECNOLOGICOS%20TIC%20%20%20OK/Matriz_RGestion_Tecnologicos_5sep2019_(OK)_.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cocortes2/Downloads/COMUNICACIONES/Matriz_R_Gestion_Comunicaciones_06may2019_(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raleman1\Documents\RIESGOS\OPERATIVOS\2014\MATRIZ\MATRIZ%20RIESGOS%20FACTIBILIDAD%20PROYECTOS%2020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pjquirog1/Downloads/GESTION%20SOCIAL%20PARTICIPACION%20CIUDADANA/Matriz_RG_Gestion%20Social%20y%20Participacion_3sep2019_(OK)_.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cjquirog2/Documents/RIESGOS/RIESGOS_DE_GESTION_NOVIEMBRE_2018/GESTION%20INTEGRAL%20DE%20PROYECTOS/Matriz_RG_Gestion_Integral_de_Proyectos_19dic2018(Ok).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pjquirog1/Downloads/INNOVACION%20Y%20GESTION%20DEL%20CONOCIMIENTO/Matriz_RG_Innovacion_y_Gestion_del_Conocimiento_06sep2019_(OK)_.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pjquirog1/Downloads/GESTION%20INTERINSTITUCIONAL%20OK/Matriz_RGestion_Gestion_Institucional_SGDU-SGI_30ago2019_(OK)_.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cjquirog2/Documents/RIESGOS/RIESGOS_DE_GESTION_NOVIEMBRE_2018/PLANEACION%20ESTRATEGICA/Matriz_RGestion_Planeacion_Estrategica_14dic2018(ok).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cjquirog2/Documents/RIESGOS/RIESGOS_DE_GESTION_NOVIEMBRE_2018/EVALUACION%20Y%20CONTROL/Matriz_2019_RGestion_Evaluacion_y_Control_12dic2018(Ok).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cjquirog2/Documents/RIESGOS/RIESGOS_DE_GESTION_NOVIEMBRE_2018/MEJORAMIENTO%20CONTINUO/Matriz_2019_RGestion_Mejoramiento_Continuo_12dic2018_(Ok).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pjquirog1/Downloads/CONSERVACION%20DE%20INFRAESTRUCTURA%20%20(hay%201%20de%20dos)/Matriz_(DTAI)_RGestion_Conservacion_de_Infraestructura_31ago2019_(OK)_.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clcortes2/Downloads/CONSERVACION%20DE%20INFRAESTRUCTURA%20%20(hay%201%20de%20dos)/Matriz_(DTM)_RGestion_Conservacion_de_Infraestructura_11sep2019_(OK)_.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pjquirog1/Downloads/DISE&#209;O_DE_PROYECTOS/Matriz_RG_Dise&#241;o_de_Proyectos_06sep2019_OK_.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raleman1/Documents/RIESGOS/OPERATIVOS/2014/MATRIZ/MATRIZ%20RIESGOS%20FACTIBILIDAD%20PROYECTOS%2020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pruebas\Downloads\EJECUCION%20DE%20OBRAS\Matriz_2019_RG_Ejecucion_de_Obras_06%20de%20mayo%202019(OK)%2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pgareval1/Downloads/FACTIBILIDAD%20DE%20PROYECTOS/Matriz_R_Gestion_Factibilidad%20de%20proyectos_06may2019_(OK).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crlievan1/Downloads/GESTION%20PREDIAL/Matriz_RGestion_Gestion_Predial_06may2019_(Ok)_.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pjquirog1/Downloads/VALORIZACION%20Y%20FIANCIACION%20%20OK/Matriz_RG_Valorizacion%20y%20Financiacion_06sep2019_(OK)_.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cjisazas1/Documents/OAP/Riesgos_IDU_2016/3_Riesgos_Corrupci&#243;n/MATRICES_PUBLICADAS/1.%20PLANEACION_ESTRATEGIC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csespino1/Documents/DOCUMENTOS/2019/SIG/RIESGOS/RIESGOS%20DE%20CORRUPCI&#211;N/DTE_Matriz_2019_RCorrupcion_Innovacion_y_Gestion_OBSERV%20SGDU%20DIC-14-18_FINAL.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cpperezm1/Documents/Riesgos%20de%20Corrupci&#243;n/2019/3.%20MATRIZ_RIESGOS_DE_CORRUPCION_DTAI%202019_%201&#176;%20Seg.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cjisazas1\Documents\OAP\Riesgos_IDU_2016\3_Riesgos_Corrupci&#243;n\MATRICES_PUBLICADAS\1.%20PLANEACION_ESTRATEGIC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cppintoa1\AppData\Local\Microsoft\Windows\Temporary%20Internet%20Files\Content.Outlook\ICQAW94A\Copia%20de%20MR%20CORRUPCION%20OTC%202013%20V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cppintoa1/AppData/Local/Microsoft/Windows/Temporary%20Internet%20Files/Content.Outlook/ICQAW94A/Copia%20de%20MR%20CORRUPCION%20OTC%202013%20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raleman1\Documents\RIESGOS\OPERATIVOS\2014\MATRIZ\MATRIZ%20RIESGOS%20VALORIZACION%20201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cjisazas1\Downloads\MATRIZ_RIESGOS_GESTI&#211;N_PROCESO_APOYO_VALORIZACI&#211;N_FINANCIACION_PROYECTOS_2015072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cjisazas1/Downloads/MATRIZ_RIESGOS_GESTI&#211;N_PROCESO_APOYO_VALORIZACI&#211;N_FINANCIACION_PROYECTOS_2015072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cjquirog2\Downloads\COMUNICACIONES\MATRIZ_Excel_RG_COMUNICACIONES_12Julio2017_Definitiv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cjquirog2/Downloads/COMUNICACIONES/MATRIZ_Excel_RG_COMUNICACIONES_12Julio2017_Definitiv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OPE06_MATRIZ_DE_RIESGOS_V_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FOPE06_MATRIZ_DE_RIESGOS_V_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pjquirog1\Downloads\RIESGOS%20DE%20CORRUPCION%20AGOSTO%202018\GESTION%20LEGAL\Matriz_Excel_RC_Gestion_Legal_23Ago2018(o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pjquirog1/Downloads/RIESGOS%20DE%20CORRUPCION%20AGOSTO%202018/GESTION%20LEGAL/Matriz_Excel_RC_Gestion_Legal_23Ago2018(ok).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DISE&#209;O%20DE%20PROYECTOS/Matriz_RG_y_%20RSI_Dise&#241;o_de_Proyectos_27Jun2018_(O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FACTIBILIDAD%20DE%20PROYECTOS/Matriz_RG_y_RSI_Factibilidad_de_Proyectos_27Jun2018_(O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raleman1/Documents/RIESGOS/OPERATIVOS/2014/MATRIZ/MATRIZ%20RIESGOS%20VALORIZACION%2020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VALORIZACION%20Y%20FINANCIACION/Matriz_Excel_RG_y_RSI_Valorizacion_18Jun2018_(Ok).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cjquirog2/Downloads/FOPE06_MATRIZ_DE_RIESGOS_V_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pjquirog1/Downloads/DISE&#209;O%20DE%20PROYECTOS/Matriz_Excel_R_SEG_INF_DISE&#209;O_DE_PROYECTOS_23Nov2017_20172250299663(OK).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GESTION%20PREDIAL/Matriz_Excel_RG_y_RSI_Gestion_Predial_29Jun2018_(O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sers\cjquirog2\Documents\RIESGOS\RIESGOS_DE_GESTION_JUNIO_2018\EJECUCION%20DE%20OBRAS\Matriz_Excel_RG_y_RSI_Ejecucion_de_Obras_26Jun2018_(OK).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cjquirog2\Downloads\FOPE06_MATRIZ_DE_RIESGOS_V_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CONSERVACI&#211;N%20DE%20INFRAESTRUCTURA/Matriz_(DTM)_Excel_RG_y_RSI_Conservacion_29Jun2018_(O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pjquirog1/Downloads/FOPE06_MATRIZ_DE_RIESGOS_V_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cpperezm1/Downloads/FOPE06_MATRIZ_DE_RIESGOS_V_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PLANEACION%20ESTRATEGICA/Matriz_Excel_RG_y%20RSI_Planeacion_Estrategica_29Jun2018_(O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jquirog2/Downloads/GESTION%20AMBIENTAL%20CALIDAD%20Y%20SST/Matriz_2019_RCorrup_Ambiental_Calidad_y_SST_11dic2018_(OK)_.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INNOVACION%20Y%20GESTION%20DEL%20CONOCIMIENTO/Matriz_Excel_RG_y_RSI_Gestion_del_Conocimiento_28Jun2018_(OK).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PARTICIPACION%20CIUDADANA/Matriz_RG_Part._Ciudadana_26Jun2018_20181250156053_y_2018125017334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Users/plaguila2/Documents/RIESGOS/2017/SEG%20INFORMACION/Matriz_Excel_R_SEG_INF_GESTION_SOCIAL_Y_PARTICIPACION_CIUDADANA_xxNov2017(Borrador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Users/cbpenuel1.DOMIDU/Downloads/FOPE06_MATRIZ_DE_RIESGOS_V_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COMUNICACIONES/Matriz_Excel_RG_y_RSI_Comunicaciones_25Jun2018(Ok).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GESTION%20INTEGRAL%20DE%20PROYECTOS/Matriz_Excel_RG_y_RSI_Gestion_Integral_de_Proyectos_26Jun2018_(Ok).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GESTION%20CONTRACTUAL/Matriz_Excel_RG_y_RSI_Gestion_Contractual_19Jun2018_(Ok).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GESTION%20LEGAL/Matriz_Excel_RG_y_RSI_Gestion_Legal_20Jun2018_(OK).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GESTION%20AMBIENTAL/Matriz_Excel_RG_y%20RSI_Gestion%20Ambiental_29Jun2018_(OK).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RECURSOS%20FISICOS/Matriz_Excel_RG_y_RSI_Recursos_Fisicos_29Jun2018_(O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ocortes2/Downloads/COMUNICACIONES/Matriz_RC_Comunicaciones_06may2019_(Ok).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GESTION%20FINANCIERA/Matriz_Excel_RG_RSI_Gestion_Financiera_18Jun2018_(OK).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psmoreno1/Downloads/FOPE06_MATRIZ_DE_RIESGOS_V_4.0%2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TALENTO%20HUMANO/Matriz_Excel_RG_y_RSI_Talento_Humano_STRH_22Jun2018_(Ok).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TECNOLOGIAS%20DE%20LA%20INFORMACION/Matriz_Excel_RG_y_RSI_Tecnologias_STRT_18Jun2018_(Ok).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cggarcia8/Downloads/FOPE06_MATRIZ_DE_RIESGOS_V_4.0%2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CJQUIR~1/AppData/Local/Temp/FOPE06_MATRIZ_DE_RIESGOS_V_4.0%202018061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GESTION%20DOCUMENTAL/Matriz_Excel_RG_y_RSI_Gestion_Documental_29Jun2018_(OK).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MEJORAMIENTO%20CONTINUO/Matriz_Excel_RG_y_RSI_Mejoramiento_Continuo_18Jul2018_(OK).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Riesgos%20Evaluaci&#243;n%20y%20Control/Act.%20Riesgos%20Evaluaci&#243;n%20JULIO-2018/Riesgos%20Evaluaci&#243;n%20y%20Control%20JULIO%2016-2018.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Users/cjquirog2/Documents/RIESGOS/RIESGOS_DE_GESTION_JUNIO_2018/EVALUACION%20Y%20CONTROL/Matriz_Excel_RG_y_RSI_Evaluacion_y_Control_18Jul2018(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Hoja1"/>
      <sheetName val="Listas"/>
      <sheetName val="FOPE05_MATRIZ_RIESGOS_DE_CORRUP"/>
    </sheetNames>
    <sheetDataSet>
      <sheetData sheetId="0" refreshError="1"/>
      <sheetData sheetId="1" refreshError="1"/>
      <sheetData sheetId="2" refreshError="1">
        <row r="2">
          <cell r="A2" t="str">
            <v>Rara vez</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sheetData>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CONTRACTUAL7"/>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VALORIZACION2"/>
      <sheetName val="Instructivo"/>
      <sheetName val="Control"/>
      <sheetName val="Escalas"/>
      <sheetName val="Listas"/>
    </sheetNames>
    <sheetDataSet>
      <sheetData sheetId="0"/>
      <sheetData sheetId="1"/>
      <sheetData sheetId="2"/>
      <sheetData sheetId="3"/>
      <sheetData sheetId="4">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VALORIZACION2"/>
      <sheetName val="Instructivo"/>
      <sheetName val="Control"/>
      <sheetName val="Escalas"/>
      <sheetName val="Listas"/>
    </sheetNames>
    <sheetDataSet>
      <sheetData sheetId="0"/>
      <sheetData sheetId="1"/>
      <sheetData sheetId="2"/>
      <sheetData sheetId="3"/>
      <sheetData sheetId="4">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Escalas"/>
      <sheetName val="Listas"/>
    </sheetNames>
    <sheetDataSet>
      <sheetData sheetId="0" refreshError="1"/>
      <sheetData sheetId="1" refreshError="1"/>
      <sheetData sheetId="2" refreshError="1"/>
      <sheetData sheetId="3" refreshError="1"/>
      <sheetData sheetId="4">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DISEÑO7"/>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Documental1"/>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DTAI7"/>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t="str">
            <v>5.0</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DTM7"/>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EVALUACION9"/>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FACTIBILIDAD7"/>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FINANCIERA7"/>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FISICOS1"/>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GESTION SOCIAL7"/>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sheetData sheetId="1"/>
      <sheetData sheetId="2"/>
      <sheetData sheetId="3">
        <row r="2">
          <cell r="A2" t="str">
            <v>Posible</v>
          </cell>
        </row>
        <row r="3">
          <cell r="A3" t="str">
            <v>Casi Seguro</v>
          </cell>
        </row>
        <row r="9">
          <cell r="C9" t="str">
            <v>Preventivo</v>
          </cell>
        </row>
        <row r="10">
          <cell r="C10" t="str">
            <v>Correctivo</v>
          </cell>
        </row>
        <row r="13">
          <cell r="D13" t="str">
            <v>SI</v>
          </cell>
        </row>
        <row r="14">
          <cell r="D14" t="str">
            <v>NO</v>
          </cell>
        </row>
        <row r="17">
          <cell r="E17" t="str">
            <v>Reducir</v>
          </cell>
        </row>
        <row r="18">
          <cell r="E18" t="str">
            <v>Evitar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GI PROYECTOS9"/>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INNOVACION7"/>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INTERISTITUCIONAL7"/>
      <sheetName val="Instructivo"/>
      <sheetName val="Escalas"/>
      <sheetName val="Control"/>
      <sheetName val="Instrucciones"/>
      <sheetName val="Control (2)"/>
      <sheetName val="Listas"/>
    </sheetNames>
    <sheetDataSet>
      <sheetData sheetId="0"/>
      <sheetData sheetId="1"/>
      <sheetData sheetId="2"/>
      <sheetData sheetId="3"/>
      <sheetData sheetId="4"/>
      <sheetData sheetId="5"/>
      <sheetData sheetId="6">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LEGAL8"/>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MEJORAMIENTO7"/>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OBRAS7"/>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PLANEACION7"/>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PREDIAL7"/>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THUMANO7"/>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TICs7"/>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sheetData sheetId="1"/>
      <sheetData sheetId="2"/>
      <sheetData sheetId="3">
        <row r="2">
          <cell r="A2" t="str">
            <v>Posible</v>
          </cell>
        </row>
        <row r="3">
          <cell r="A3" t="str">
            <v>Casi Seguro</v>
          </cell>
        </row>
        <row r="9">
          <cell r="C9" t="str">
            <v>Preventivo</v>
          </cell>
        </row>
        <row r="10">
          <cell r="C10" t="str">
            <v>Correctivo</v>
          </cell>
        </row>
        <row r="13">
          <cell r="D13" t="str">
            <v>SI</v>
          </cell>
        </row>
        <row r="14">
          <cell r="D14" t="str">
            <v>NO</v>
          </cell>
        </row>
        <row r="17">
          <cell r="E17" t="str">
            <v>Reducir</v>
          </cell>
        </row>
        <row r="18">
          <cell r="E18" t="str">
            <v>Evitar</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VALORIZACION7"/>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ALIDAD"/>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NTRACTUAL7"/>
      <sheetName val="paramentros"/>
      <sheetName val="Instrucciones (opcional)"/>
      <sheetName val="Control"/>
      <sheetName val="Listas"/>
    </sheetNames>
    <sheetDataSet>
      <sheetData sheetId="0"/>
      <sheetData sheetId="1" refreshError="1"/>
      <sheetData sheetId="2" refreshError="1"/>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DOCUMENTAL"/>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FINANCIERA1"/>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LEGAL7"/>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RFISICOS1"/>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THUMANOS7"/>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TIC7"/>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COMUNICACIONES7"/>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R3" t="str">
            <v>Previo</v>
          </cell>
          <cell r="S3" t="str">
            <v>Limitado</v>
          </cell>
          <cell r="T3" t="str">
            <v>Ninguno</v>
          </cell>
        </row>
        <row r="4">
          <cell r="R4" t="str">
            <v>Posterior</v>
          </cell>
          <cell r="S4" t="str">
            <v>Medio</v>
          </cell>
          <cell r="T4" t="str">
            <v>Probabilidad</v>
          </cell>
        </row>
        <row r="5">
          <cell r="R5" t="str">
            <v>Pre. y Post.</v>
          </cell>
          <cell r="S5" t="str">
            <v>Fuerte</v>
          </cell>
          <cell r="T5" t="str">
            <v>Impacto</v>
          </cell>
        </row>
        <row r="6">
          <cell r="T6" t="str">
            <v>Ambos</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GESTION SOCIAL1"/>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GPROYECTOS9"/>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INNOVACION8"/>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INTERINSTITUCIONAL7"/>
      <sheetName val="paramentros"/>
      <sheetName val="Instrucciones (opcional)"/>
      <sheetName val="Control"/>
      <sheetName val="RIESGO G 01"/>
      <sheetName val="RIESGO G 02"/>
      <sheetName val="RIESGO G 03"/>
      <sheetName val="RIESGO I 01"/>
      <sheetName val="RIESGO I 02"/>
      <sheetName val="RIESGO I 03"/>
      <sheetName val="Instrucciones"/>
      <sheetName val="Control (2)"/>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sheetData sheetId="5"/>
      <sheetData sheetId="6"/>
      <sheetData sheetId="7"/>
      <sheetData sheetId="8"/>
      <sheetData sheetId="9"/>
      <sheetData sheetId="10"/>
      <sheetData sheetId="11"/>
      <sheetData sheetId="12">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PLANEACION7"/>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 EVALUACION"/>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 MEJORAMIENTO1"/>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CONSERVACION-DTAI7"/>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t="str">
            <v>5.0</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CONSERVACION-DTM7"/>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DISEÑO P.1"/>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R3" t="str">
            <v>Previo</v>
          </cell>
          <cell r="S3" t="str">
            <v>Limitado</v>
          </cell>
          <cell r="T3" t="str">
            <v>Ninguno</v>
          </cell>
        </row>
        <row r="4">
          <cell r="R4" t="str">
            <v>Posterior</v>
          </cell>
          <cell r="S4" t="str">
            <v>Medio</v>
          </cell>
          <cell r="T4" t="str">
            <v>Probabilidad</v>
          </cell>
        </row>
        <row r="5">
          <cell r="R5" t="str">
            <v>Pre. y Post.</v>
          </cell>
          <cell r="S5" t="str">
            <v>Fuerte</v>
          </cell>
          <cell r="T5" t="str">
            <v>Impacto</v>
          </cell>
        </row>
        <row r="6">
          <cell r="T6" t="str">
            <v>Ambos</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ntros"/>
      <sheetName val="M EJECUCION O.7"/>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FACTIBILIDAD7"/>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PREDIAL7"/>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VALORIZACION7"/>
      <sheetName val="paramentros"/>
      <sheetName val="Instrucciones (opcional)"/>
      <sheetName val="Control"/>
      <sheetName val="Listas"/>
    </sheetNames>
    <sheetDataSet>
      <sheetData sheetId="0"/>
      <sheetData sheetId="1"/>
      <sheetData sheetId="2"/>
      <sheetData sheetId="3">
        <row r="2">
          <cell r="A2" t="str">
            <v xml:space="preserve">Matriz de Riesgos </v>
          </cell>
        </row>
        <row r="4">
          <cell r="A4" t="str">
            <v>FO-PE-06</v>
          </cell>
          <cell r="C4" t="str">
            <v>Planeación Estratégica</v>
          </cell>
          <cell r="H4">
            <v>5</v>
          </cell>
        </row>
      </sheetData>
      <sheetData sheetId="4">
        <row r="43">
          <cell r="O43" t="str">
            <v>Casi Seguro</v>
          </cell>
        </row>
        <row r="44">
          <cell r="O44" t="str">
            <v>Alta</v>
          </cell>
        </row>
        <row r="45">
          <cell r="O45" t="str">
            <v>Posible</v>
          </cell>
        </row>
        <row r="46">
          <cell r="O46" t="str">
            <v>Baja</v>
          </cell>
        </row>
        <row r="47">
          <cell r="O47" t="str">
            <v>Remota</v>
          </cell>
        </row>
        <row r="50">
          <cell r="Q50" t="str">
            <v>Catastrófico</v>
          </cell>
        </row>
        <row r="51">
          <cell r="Q51" t="str">
            <v>Mayor</v>
          </cell>
        </row>
        <row r="52">
          <cell r="Q52" t="str">
            <v>Moderado</v>
          </cell>
        </row>
        <row r="53">
          <cell r="Q53" t="str">
            <v>Menor</v>
          </cell>
        </row>
        <row r="54">
          <cell r="Q54" t="str">
            <v>Insignificante</v>
          </cell>
        </row>
        <row r="63">
          <cell r="Y63" t="str">
            <v>Ninguno</v>
          </cell>
        </row>
        <row r="64">
          <cell r="Y64" t="str">
            <v>Probabilidad</v>
          </cell>
        </row>
        <row r="65">
          <cell r="Y65" t="str">
            <v>Impacto</v>
          </cell>
        </row>
        <row r="66">
          <cell r="Y66" t="str">
            <v>Ambos</v>
          </cell>
        </row>
        <row r="97">
          <cell r="AD97" t="str">
            <v>SI</v>
          </cell>
        </row>
        <row r="98">
          <cell r="AD98" t="str">
            <v>NO</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PLANEACION"/>
      <sheetName val="Listas"/>
    </sheetNames>
    <sheetDataSet>
      <sheetData sheetId="0"/>
      <sheetData sheetId="1">
        <row r="9">
          <cell r="B9" t="str">
            <v>Moderado</v>
          </cell>
        </row>
        <row r="10">
          <cell r="B10" t="str">
            <v>Mayor</v>
          </cell>
        </row>
        <row r="11">
          <cell r="B11" t="str">
            <v>Catastrófico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evisada"/>
      <sheetName val="C.IC.02"/>
      <sheetName val="C.IC.03"/>
      <sheetName val="Instructivo"/>
      <sheetName val="Control"/>
      <sheetName val="Escalas"/>
      <sheetName val="Listas"/>
    </sheetNames>
    <sheetDataSet>
      <sheetData sheetId="0"/>
      <sheetData sheetId="1"/>
      <sheetData sheetId="2"/>
      <sheetData sheetId="3"/>
      <sheetData sheetId="4"/>
      <sheetData sheetId="5"/>
      <sheetData sheetId="6">
        <row r="37">
          <cell r="G37" t="str">
            <v>01 de Enero - 30 de Abril</v>
          </cell>
        </row>
        <row r="38">
          <cell r="G38" t="str">
            <v>01 de Mayo - 30 de Agosto</v>
          </cell>
        </row>
        <row r="39">
          <cell r="G39" t="str">
            <v>01 de Septiembre - 30 de Diciembre</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Escalas"/>
      <sheetName val="Listas"/>
    </sheetNames>
    <sheetDataSet>
      <sheetData sheetId="0"/>
      <sheetData sheetId="1"/>
      <sheetData sheetId="2"/>
      <sheetData sheetId="3"/>
      <sheetData sheetId="4">
        <row r="37">
          <cell r="G37" t="str">
            <v>01 de Enero - 30 de Abril</v>
          </cell>
        </row>
        <row r="38">
          <cell r="G38" t="str">
            <v>01 de Mayo - 30 de Agosto</v>
          </cell>
        </row>
        <row r="39">
          <cell r="G39" t="str">
            <v>01 de Septiembre - 30 de Diciembre</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PLANEACION"/>
      <sheetName val="Listas"/>
    </sheetNames>
    <sheetDataSet>
      <sheetData sheetId="0"/>
      <sheetData sheetId="1">
        <row r="9">
          <cell r="B9" t="str">
            <v>Moderado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refreshError="1"/>
      <sheetData sheetId="1" refreshError="1"/>
      <sheetData sheetId="2" refreshError="1"/>
      <sheetData sheetId="3">
        <row r="17">
          <cell r="E17" t="str">
            <v>Reducir</v>
          </cell>
        </row>
        <row r="18">
          <cell r="E18" t="str">
            <v>Evitar</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refreshError="1"/>
      <sheetData sheetId="1" refreshError="1"/>
      <sheetData sheetId="2" refreshError="1"/>
      <sheetData sheetId="3">
        <row r="17">
          <cell r="E17" t="str">
            <v>Reducir</v>
          </cell>
        </row>
        <row r="18">
          <cell r="E18" t="str">
            <v>Evitar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row>
        <row r="4">
          <cell r="Q4" t="str">
            <v>R. Humano</v>
          </cell>
        </row>
        <row r="5">
          <cell r="Q5" t="str">
            <v>Financiero</v>
          </cell>
        </row>
        <row r="6">
          <cell r="Q6" t="str">
            <v>Tecnológico</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refreshError="1"/>
      <sheetData sheetId="1" refreshError="1"/>
      <sheetData sheetId="2" refreshError="1"/>
      <sheetData sheetId="3">
        <row r="3">
          <cell r="R3" t="str">
            <v>Previo</v>
          </cell>
        </row>
        <row r="4">
          <cell r="R4" t="str">
            <v>Posterior</v>
          </cell>
        </row>
        <row r="5">
          <cell r="R5" t="str">
            <v>Pre. y Post.</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refreshError="1"/>
      <sheetData sheetId="1" refreshError="1"/>
      <sheetData sheetId="2" refreshError="1"/>
      <sheetData sheetId="3">
        <row r="3">
          <cell r="R3" t="str">
            <v>Previo</v>
          </cell>
        </row>
        <row r="4">
          <cell r="R4" t="str">
            <v>Posterior</v>
          </cell>
        </row>
        <row r="5">
          <cell r="R5" t="str">
            <v>Pre. y Post.</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UNICACIONES"/>
      <sheetName val="INSTRUCTIVO"/>
      <sheetName val="Control"/>
      <sheetName val="Listas"/>
      <sheetName val="Hoja1"/>
    </sheetNames>
    <sheetDataSet>
      <sheetData sheetId="0"/>
      <sheetData sheetId="1"/>
      <sheetData sheetId="2"/>
      <sheetData sheetId="3">
        <row r="3">
          <cell r="F3">
            <v>1</v>
          </cell>
        </row>
        <row r="14">
          <cell r="O14" t="str">
            <v>Remota</v>
          </cell>
        </row>
        <row r="15">
          <cell r="O15" t="str">
            <v>Baja</v>
          </cell>
        </row>
        <row r="16">
          <cell r="O16" t="str">
            <v>Posible</v>
          </cell>
        </row>
        <row r="17">
          <cell r="O17" t="str">
            <v>Alta</v>
          </cell>
        </row>
        <row r="18">
          <cell r="O18" t="str">
            <v>Casi Seguro</v>
          </cell>
        </row>
      </sheetData>
      <sheetData sheetId="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UNICACIONES"/>
      <sheetName val="INSTRUCTIVO"/>
      <sheetName val="Control"/>
      <sheetName val="Listas"/>
      <sheetName val="Hoja1"/>
    </sheetNames>
    <sheetDataSet>
      <sheetData sheetId="0"/>
      <sheetData sheetId="1"/>
      <sheetData sheetId="2"/>
      <sheetData sheetId="3">
        <row r="3">
          <cell r="F3">
            <v>1</v>
          </cell>
        </row>
        <row r="14">
          <cell r="O14" t="str">
            <v>Remota</v>
          </cell>
        </row>
        <row r="15">
          <cell r="O15" t="str">
            <v>Baja</v>
          </cell>
        </row>
        <row r="16">
          <cell r="O16" t="str">
            <v>Posible</v>
          </cell>
        </row>
        <row r="17">
          <cell r="O17" t="str">
            <v>Alta</v>
          </cell>
        </row>
        <row r="18">
          <cell r="O18" t="str">
            <v>Casi Seguro</v>
          </cell>
        </row>
      </sheetData>
      <sheetData sheetId="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97">
          <cell r="AD97" t="str">
            <v>SI</v>
          </cell>
        </row>
        <row r="98">
          <cell r="AD98" t="str">
            <v>NO</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97">
          <cell r="AD97" t="str">
            <v>SI</v>
          </cell>
        </row>
        <row r="98">
          <cell r="AD98" t="str">
            <v>NO</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LEGAL"/>
      <sheetName val="Instructivo"/>
      <sheetName val="Escalas"/>
      <sheetName val="Control"/>
      <sheetName val="Listas"/>
    </sheetNames>
    <sheetDataSet>
      <sheetData sheetId="0"/>
      <sheetData sheetId="1"/>
      <sheetData sheetId="2"/>
      <sheetData sheetId="3"/>
      <sheetData sheetId="4">
        <row r="2">
          <cell r="A2" t="str">
            <v>Rara vez</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LEGAL"/>
      <sheetName val="Instructivo"/>
      <sheetName val="Escalas"/>
      <sheetName val="Control"/>
      <sheetName val="Listas"/>
    </sheetNames>
    <sheetDataSet>
      <sheetData sheetId="0"/>
      <sheetData sheetId="1"/>
      <sheetData sheetId="2"/>
      <sheetData sheetId="3"/>
      <sheetData sheetId="4">
        <row r="2">
          <cell r="A2" t="str">
            <v>Rara vez</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DISEÑO P."/>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FACTIBILIDAD"/>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row>
        <row r="4">
          <cell r="Q4" t="str">
            <v>R. Humano</v>
          </cell>
        </row>
        <row r="5">
          <cell r="Q5" t="str">
            <v>Financiero</v>
          </cell>
        </row>
        <row r="6">
          <cell r="Q6" t="str">
            <v>Tecnológico</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VALORIZACION"/>
      <sheetName val="Hoja2"/>
      <sheetName val="Hoja1"/>
      <sheetName val="INSTRUCTIVO"/>
      <sheetName val="Control"/>
      <sheetName val="Listas"/>
    </sheetNames>
    <sheetDataSet>
      <sheetData sheetId="0"/>
      <sheetData sheetId="1"/>
      <sheetData sheetId="2"/>
      <sheetData sheetId="3"/>
      <sheetData sheetId="4"/>
      <sheetData sheetId="5">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PORTADA"/>
      <sheetName val="comunicaciones"/>
      <sheetName val="conser-ifraes"/>
      <sheetName val="dire-tec-mantenimiento"/>
      <sheetName val="diseño-proyectos"/>
      <sheetName val="ejecucion-obras"/>
      <sheetName val="eval-control"/>
      <sheetName val="fracti-proyectos"/>
      <sheetName val="GA,C Y SST"/>
      <sheetName val="ges-contractual"/>
      <sheetName val="ges-valo-financiacion"/>
      <sheetName val="ges-recur-fisicos"/>
      <sheetName val="ges-tec-inf-comunicacion"/>
      <sheetName val="talento-humano"/>
      <sheetName val="ges-documental"/>
      <sheetName val="gestion-financiera"/>
      <sheetName val="ges-inte-proyectos"/>
      <sheetName val="ges-interinstitucional"/>
      <sheetName val="gestion-legal"/>
      <sheetName val="gestion-predial"/>
      <sheetName val="ges-so-parti-ciudadana"/>
      <sheetName val="innova-ges-conocimiento"/>
      <sheetName val="mejoramiento-continuo"/>
      <sheetName val="planeacion-estrategica"/>
      <sheetName val="Instructivo"/>
      <sheetName val="Control"/>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F3">
            <v>1</v>
          </cell>
        </row>
        <row r="4">
          <cell r="F4" t="str">
            <v>Posible hecho</v>
          </cell>
          <cell r="G4">
            <v>0</v>
          </cell>
          <cell r="H4">
            <v>0</v>
          </cell>
          <cell r="I4">
            <v>0</v>
          </cell>
          <cell r="J4">
            <v>0</v>
          </cell>
        </row>
        <row r="5">
          <cell r="F5" t="str">
            <v>Acto materializado</v>
          </cell>
          <cell r="G5">
            <v>0</v>
          </cell>
          <cell r="H5">
            <v>0</v>
          </cell>
          <cell r="I5">
            <v>0</v>
          </cell>
          <cell r="J5">
            <v>0</v>
          </cell>
        </row>
        <row r="6">
          <cell r="C6" t="str">
            <v>Procesos</v>
          </cell>
          <cell r="D6">
            <v>0</v>
          </cell>
          <cell r="E6">
            <v>0</v>
          </cell>
        </row>
        <row r="7">
          <cell r="C7" t="str">
            <v>Estructura organizacional</v>
          </cell>
          <cell r="D7">
            <v>0</v>
          </cell>
          <cell r="E7">
            <v>0</v>
          </cell>
        </row>
        <row r="8">
          <cell r="C8" t="str">
            <v>Objetivos y estrategias</v>
          </cell>
          <cell r="D8">
            <v>0</v>
          </cell>
          <cell r="E8">
            <v>0</v>
          </cell>
        </row>
        <row r="9">
          <cell r="C9" t="str">
            <v>Funciones y responsabilidades</v>
          </cell>
          <cell r="D9">
            <v>0</v>
          </cell>
          <cell r="E9">
            <v>0</v>
          </cell>
        </row>
        <row r="10">
          <cell r="C10" t="str">
            <v>Sistemas de información</v>
          </cell>
          <cell r="D10">
            <v>0</v>
          </cell>
          <cell r="E10">
            <v>0</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PREDIAL"/>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EJECUCION O."/>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CONSERVACION-DTM"/>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6">
          <cell r="C6">
            <v>5</v>
          </cell>
          <cell r="D6" t="str">
            <v>Casi seguro</v>
          </cell>
          <cell r="F6" t="str">
            <v>5
MODERADO</v>
          </cell>
          <cell r="G6" t="str">
            <v>10
ALTO</v>
          </cell>
          <cell r="H6" t="str">
            <v>15
ALTO</v>
          </cell>
          <cell r="I6" t="str">
            <v>20
EXTREMO</v>
          </cell>
          <cell r="J6" t="str">
            <v>25
EXTREMO</v>
          </cell>
        </row>
        <row r="7">
          <cell r="C7">
            <v>4</v>
          </cell>
          <cell r="D7" t="str">
            <v>Alta</v>
          </cell>
          <cell r="F7" t="str">
            <v>4
MODERADO</v>
          </cell>
          <cell r="G7" t="str">
            <v>8
MODERADO</v>
          </cell>
          <cell r="H7" t="str">
            <v>12
ALTO</v>
          </cell>
          <cell r="I7" t="str">
            <v>16
EXTREMO</v>
          </cell>
          <cell r="J7" t="str">
            <v>20
EXTREMO</v>
          </cell>
        </row>
        <row r="8">
          <cell r="C8">
            <v>3</v>
          </cell>
          <cell r="D8" t="str">
            <v>Posible</v>
          </cell>
          <cell r="F8" t="str">
            <v>3
INFERIOR</v>
          </cell>
          <cell r="G8" t="str">
            <v>6
MODERADO</v>
          </cell>
          <cell r="H8" t="str">
            <v>9
MODERADO</v>
          </cell>
          <cell r="I8" t="str">
            <v>12
ALTO</v>
          </cell>
          <cell r="J8" t="str">
            <v>15
ALTO</v>
          </cell>
        </row>
        <row r="9">
          <cell r="C9">
            <v>2</v>
          </cell>
          <cell r="D9" t="str">
            <v>Baja</v>
          </cell>
          <cell r="F9" t="str">
            <v>2
INFERIOR</v>
          </cell>
          <cell r="G9" t="str">
            <v>4
INFERIOR</v>
          </cell>
          <cell r="H9" t="str">
            <v>6
MODERADO</v>
          </cell>
          <cell r="I9" t="str">
            <v>8
MODERADO</v>
          </cell>
          <cell r="J9" t="str">
            <v>10
ALTO</v>
          </cell>
        </row>
        <row r="10">
          <cell r="C10">
            <v>1</v>
          </cell>
          <cell r="D10" t="str">
            <v>Remota</v>
          </cell>
          <cell r="F10" t="str">
            <v>1
INFERIOR</v>
          </cell>
          <cell r="G10" t="str">
            <v>2
INFERIOR</v>
          </cell>
          <cell r="H10" t="str">
            <v>3
INFERIOR</v>
          </cell>
          <cell r="I10" t="str">
            <v>4
MODERADO</v>
          </cell>
          <cell r="J10" t="str">
            <v>5
MODERADO</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ON09"/>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CALIDAD9"/>
      <sheetName val="Instructivo"/>
      <sheetName val="Control"/>
      <sheetName val="Escalas"/>
      <sheetName val="Listas"/>
    </sheetNames>
    <sheetDataSet>
      <sheetData sheetId="0"/>
      <sheetData sheetId="1"/>
      <sheetData sheetId="2">
        <row r="2">
          <cell r="A2" t="str">
            <v>Matriz riesgos de corrupción</v>
          </cell>
        </row>
        <row r="4">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OVACIÓN Y GESTIÓN"/>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GESTION SOCIAL"/>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6">
          <cell r="C6">
            <v>5</v>
          </cell>
          <cell r="D6" t="str">
            <v>Casi seguro</v>
          </cell>
          <cell r="F6" t="str">
            <v>5
MODERADO</v>
          </cell>
          <cell r="G6" t="str">
            <v>10
ALTO</v>
          </cell>
          <cell r="H6" t="str">
            <v>15
ALTO</v>
          </cell>
          <cell r="I6" t="str">
            <v>20
EXTREMO</v>
          </cell>
          <cell r="J6" t="str">
            <v>25
EXTREMO</v>
          </cell>
        </row>
        <row r="7">
          <cell r="C7">
            <v>4</v>
          </cell>
          <cell r="D7" t="str">
            <v>Alta</v>
          </cell>
          <cell r="F7" t="str">
            <v>4
MODERADO</v>
          </cell>
          <cell r="G7" t="str">
            <v>8
MODERADO</v>
          </cell>
          <cell r="H7" t="str">
            <v>12
ALTO</v>
          </cell>
          <cell r="I7" t="str">
            <v>16
EXTREMO</v>
          </cell>
          <cell r="J7" t="str">
            <v>20
EXTREMO</v>
          </cell>
        </row>
        <row r="8">
          <cell r="C8">
            <v>3</v>
          </cell>
          <cell r="D8" t="str">
            <v>Posible</v>
          </cell>
          <cell r="F8" t="str">
            <v>3
INFERIOR</v>
          </cell>
          <cell r="G8" t="str">
            <v>6
MODERADO</v>
          </cell>
          <cell r="H8" t="str">
            <v>9
MODERADO</v>
          </cell>
          <cell r="I8" t="str">
            <v>12
ALTO</v>
          </cell>
          <cell r="J8" t="str">
            <v>15
ALTO</v>
          </cell>
        </row>
        <row r="9">
          <cell r="C9">
            <v>2</v>
          </cell>
          <cell r="D9" t="str">
            <v>Baja</v>
          </cell>
          <cell r="F9" t="str">
            <v>2
INFERIOR</v>
          </cell>
          <cell r="G9" t="str">
            <v>4
INFERIOR</v>
          </cell>
          <cell r="H9" t="str">
            <v>6
MODERADO</v>
          </cell>
          <cell r="I9" t="str">
            <v>8
MODERADO</v>
          </cell>
          <cell r="J9" t="str">
            <v>10
ALTO</v>
          </cell>
        </row>
        <row r="10">
          <cell r="C10">
            <v>1</v>
          </cell>
          <cell r="D10" t="str">
            <v>Remota</v>
          </cell>
          <cell r="F10" t="str">
            <v>1
INFERIOR</v>
          </cell>
          <cell r="G10" t="str">
            <v>2
INFERIOR</v>
          </cell>
          <cell r="H10" t="str">
            <v>3
INFERIOR</v>
          </cell>
          <cell r="I10" t="str">
            <v>4
MODERADO</v>
          </cell>
          <cell r="J10" t="str">
            <v>5
MODERADO</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COMUNICACIONES"/>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GPROYECTOS"/>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NTRACTUAL"/>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LEGAL"/>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ALIDAD"/>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RFISICOS"/>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COMUNICACIONES7"/>
      <sheetName val="Instructivo"/>
      <sheetName val="Control"/>
      <sheetName val="Escalas"/>
      <sheetName val="Listas"/>
    </sheetNames>
    <sheetDataSet>
      <sheetData sheetId="0"/>
      <sheetData sheetId="1"/>
      <sheetData sheetId="2">
        <row r="2">
          <cell r="A2" t="str">
            <v>Matriz riesgos de corrupción</v>
          </cell>
        </row>
        <row r="4">
          <cell r="A4" t="str">
            <v>FO-PE-05</v>
          </cell>
          <cell r="C4" t="str">
            <v>Planeación Estratégica</v>
          </cell>
          <cell r="H4">
            <v>5</v>
          </cell>
        </row>
      </sheetData>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FINANCIERA"/>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THUMANOS"/>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TIC"/>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DOCUMENTAL"/>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 MEJORAMIENTO"/>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 EVALUACION"/>
      <sheetName val="INSTRUCTIVO"/>
      <sheetName val="Control"/>
      <sheetName val="Listas"/>
    </sheetNames>
    <sheetDataSet>
      <sheetData sheetId="0" refreshError="1"/>
      <sheetData sheetId="1" refreshError="1"/>
      <sheetData sheetId="2" refreshError="1"/>
      <sheetData sheetId="3" refreshError="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ohn Alexander Quiroga Fuquene" refreshedDate="43430.597881365742" createdVersion="5" refreshedVersion="5" minRefreshableVersion="3" recordCount="330">
  <cacheSource type="worksheet">
    <worksheetSource ref="C3:AJ333" sheet="INVENTARIO"/>
  </cacheSource>
  <cacheFields count="33">
    <cacheField name="PROCESO" numFmtId="0">
      <sharedItems count="22">
        <s v="1. PLANEACIÓN ESTRATÉGICA "/>
        <s v="2. GESTIÓN AMBIENTAL, CALIDAD Y SST"/>
        <s v="3. GESTIÓN INTEGRAL DE PROYECTOS"/>
        <s v="4. MEJORAMIENTO CONTINUO"/>
        <s v="5. GESTIÓN SOCIAL Y PARTICIPACIÓN CIUDADANA"/>
        <s v="6. COMUNICACIONES"/>
        <s v="7. EVALUACIÓN Y CONTROL / control interno (OCI)  y disciplinario (OCD)"/>
        <s v="8. GESTIÓN INTERINSTITUCIONAL   (SGDU y SGI)"/>
        <s v="9. INNOVACIÓN Y GESTIÓN DEL CONOCIMIENTO"/>
        <s v="10. FACTIBILIDAD DE PROYECTOS"/>
        <s v="11. GESTIÓN PREDIAL _x000a_       (DTP - SGI)"/>
        <s v="12. DISEÑO DE PROYECTOS"/>
        <s v="13. EJECUCIÓN DE OBRAS"/>
        <s v="14. CONSERVACIÓN DE INFRAESTRUCTURA / MTTO - ADMIN INFRA (DTAI)"/>
        <s v="15. GESTIÓN CONTRACTUAL "/>
        <s v="16. GESTIÓN LEGAL"/>
        <s v="17. GESTIÓN FINANCIERA"/>
        <s v="18. GESTIÓN DEL TALENTO HUMANO"/>
        <s v="19. GESTIÓN DE RECURSOS FÍSICOS"/>
        <s v="20. GESTIÓN DOCUMENTAL"/>
        <s v="21. GESTIÓN DE RECURSOS TECNOLÓGICOS_x000a_Gestión de Tecnologías de la Información y Comunicación (TIC)"/>
        <s v="22. GESTIÓN DE LA VALORIZACIÓN Y FINANCIACIÓN"/>
      </sharedItems>
    </cacheField>
    <cacheField name="HOJA" numFmtId="0">
      <sharedItems/>
    </cacheField>
    <cacheField name="TIPO" numFmtId="0">
      <sharedItems count="2">
        <s v="GESTIÓN"/>
        <s v="GESTION" u="1"/>
      </sharedItems>
    </cacheField>
    <cacheField name="RIESGO" numFmtId="0">
      <sharedItems containsBlank="1" count="150">
        <s v="G.PE.01"/>
        <s v="G.PE.02"/>
        <s v="G.PE.03"/>
        <s v="G.PE.04"/>
        <s v="G.PE.05"/>
        <s v="G.PE.06"/>
        <s v="G.PE.07"/>
        <s v="G.PE.08"/>
        <s v="G.PE.09"/>
        <m/>
        <s v="G.AC.01"/>
        <s v="G.AC.02"/>
        <s v="G.AC.03"/>
        <s v="G.GI.01"/>
        <s v="G.GI.02"/>
        <s v="G.MC.01"/>
        <s v="G.MC.02"/>
        <s v="G.MC.03"/>
        <s v="G.MC.04"/>
        <s v="G.MC.05"/>
        <s v="G.SC.01"/>
        <s v="G.SC.02"/>
        <s v="G.SC.03"/>
        <s v="G.CO.01"/>
        <s v="G.CO.02"/>
        <s v="G.CO.03"/>
        <s v="G.EC.01"/>
        <s v="G.EC.02"/>
        <s v="G.EC.03"/>
        <s v="G.EC.04"/>
        <s v="G.EC.05"/>
        <s v="G.EC.06"/>
        <s v="G.EC.07"/>
        <s v="G.EC.08"/>
        <s v="G.EC.09"/>
        <s v="G.EC.10"/>
        <s v="G.IN.01"/>
        <s v="G.IN.02"/>
        <s v="G.IN.03"/>
        <s v="G.FP.01"/>
        <s v="G.FP.02"/>
        <s v="G.GP.01"/>
        <s v="G.GP.02"/>
        <s v="G.GP.03"/>
        <s v="G.GP.04"/>
        <s v="G.GP.05"/>
        <s v="G.GP.06"/>
        <s v="G.GP.07"/>
        <s v="G.GP.08"/>
        <s v="G.DP.01"/>
        <s v="G.DP.02"/>
        <s v="G.DP.03"/>
        <s v="G.DP.04"/>
        <s v="G.DP.05"/>
        <s v="G.EO.01"/>
        <s v="G.EO.02"/>
        <s v="G.EO.03"/>
        <s v="G.EO.04"/>
        <s v="G.EO.05"/>
        <s v="G.EO.06"/>
        <s v="G.EO.07"/>
        <s v="G.EO.08"/>
        <s v="G.EO.09"/>
        <s v="G.CI.01"/>
        <s v="G.CI.02"/>
        <s v="G.CI.03"/>
        <s v="G.CI.04"/>
        <s v="G.CI.05"/>
        <s v="G.CI.06"/>
        <s v="G.CI.07"/>
        <s v="G.CI.08"/>
        <s v="G.CI.09"/>
        <s v="G.CI.10"/>
        <s v="G.CI.11"/>
        <s v="G.CI.12"/>
        <s v="G.CI.13"/>
        <s v="G.CI.14"/>
        <s v="G.GC.01"/>
        <s v="G.GC.02"/>
        <s v="G.GC.03"/>
        <s v="G.GC.04"/>
        <s v="G.GC.05"/>
        <s v="G.GL.01"/>
        <s v="G.GL.02"/>
        <s v="G.GL.03"/>
        <s v="G.GL.04"/>
        <s v="G.GL.05"/>
        <s v="G.GL.06"/>
        <s v="G.GL.07"/>
        <s v="G.GF.01"/>
        <s v="G.GF.02"/>
        <s v="G.GF.03"/>
        <s v="G.GF.04"/>
        <s v="G.GF.05"/>
        <s v="G.GF.06"/>
        <s v="G.GF.07"/>
        <s v="G.GF.08"/>
        <s v="G.GF.09"/>
        <s v="G.GF.10"/>
        <s v="G.GF.11"/>
        <s v="G.GF.12"/>
        <s v="G.TH.01"/>
        <s v="G.TH.02"/>
        <s v="G.TH.03"/>
        <s v="G.TH.04"/>
        <s v="G.TH.05"/>
        <s v="G.TH.06"/>
        <s v="G.TH.07"/>
        <s v="G.TH.08"/>
        <s v="G.RF.01"/>
        <s v="G.RF.02"/>
        <s v="G.RF.03"/>
        <s v="G.RF.04"/>
        <s v="G.RF.05"/>
        <s v="G.RF.06"/>
        <s v="G.RF.07"/>
        <s v="G.RF.08"/>
        <s v="G.RF.09"/>
        <s v="G.RF.10"/>
        <s v="G.DO.01"/>
        <s v="G.DO.02"/>
        <s v="G.DO.03"/>
        <s v="G.DO.04"/>
        <s v="G.TI.01"/>
        <s v="G.TI.02"/>
        <s v="G.TI.03"/>
        <s v="G.TI.04"/>
        <s v="G.TI.05"/>
        <s v="G.TI.06"/>
        <s v="G.TI.07"/>
        <s v="G.TI.08"/>
        <s v="G.TI.09"/>
        <s v="G.TI.10"/>
        <s v="G.TI.11"/>
        <s v="G.TI.12"/>
        <s v="G.VF.01"/>
        <s v="G.VF.02"/>
        <s v="G.VF.03"/>
        <s v="G.VF.04"/>
        <s v="G.VF.05"/>
        <s v="G.VF.06"/>
        <s v="G.VF.07"/>
        <s v="G.VF.08"/>
        <s v="G.VF.09"/>
        <s v="G.VF.10"/>
        <s v="G.VF.11"/>
        <s v="G.VF.12"/>
        <s v="G.VF.13"/>
        <s v="G.VF.14"/>
        <s v="G.VF.15"/>
      </sharedItems>
    </cacheField>
    <cacheField name="ESTADO" numFmtId="0">
      <sharedItems containsBlank="1" count="3">
        <s v="VIGENTE"/>
        <s v="ELIMINADO"/>
        <m/>
      </sharedItems>
    </cacheField>
    <cacheField name="CREACION" numFmtId="0">
      <sharedItems containsNonDate="0" containsString="0" containsBlank="1"/>
    </cacheField>
    <cacheField name="ELIMINACION" numFmtId="0">
      <sharedItems containsNonDate="0" containsString="0" containsBlank="1"/>
    </cacheField>
    <cacheField name="1" numFmtId="0">
      <sharedItems containsBlank="1"/>
    </cacheField>
    <cacheField name="2" numFmtId="0">
      <sharedItems containsBlank="1"/>
    </cacheField>
    <cacheField name="3" numFmtId="0">
      <sharedItems containsBlank="1"/>
    </cacheField>
    <cacheField name="4" numFmtId="0">
      <sharedItems containsBlank="1"/>
    </cacheField>
    <cacheField name="5" numFmtId="0">
      <sharedItems containsBlank="1"/>
    </cacheField>
    <cacheField name="6" numFmtId="0">
      <sharedItems containsBlank="1"/>
    </cacheField>
    <cacheField name="FIJ" numFmtId="0">
      <sharedItems containsBlank="1"/>
    </cacheField>
    <cacheField name="FILA" numFmtId="0">
      <sharedItems containsString="0" containsBlank="1" containsNumber="1" containsInteger="1" minValue="4" maxValue="319"/>
    </cacheField>
    <cacheField name="construccion_for" numFmtId="0">
      <sharedItems containsBlank="1"/>
    </cacheField>
    <cacheField name="copiavalores" numFmtId="0">
      <sharedItems containsBlank="1"/>
    </cacheField>
    <cacheField name="construccion_for_2" numFmtId="0">
      <sharedItems containsBlank="1"/>
    </cacheField>
    <cacheField name="Difer" numFmtId="0">
      <sharedItems containsNonDate="0" containsString="0" containsBlank="1"/>
    </cacheField>
    <cacheField name="Pi" numFmtId="0">
      <sharedItems containsBlank="1"/>
    </cacheField>
    <cacheField name="Num_Pi" numFmtId="0">
      <sharedItems containsMixedTypes="1" containsNumber="1" containsInteger="1" minValue="1" maxValue="5"/>
    </cacheField>
    <cacheField name="Num_Pi_val" numFmtId="0">
      <sharedItems containsMixedTypes="1" containsNumber="1" containsInteger="1" minValue="1" maxValue="5"/>
    </cacheField>
    <cacheField name="Ii" numFmtId="0">
      <sharedItems containsBlank="1"/>
    </cacheField>
    <cacheField name="Num_Ii" numFmtId="0">
      <sharedItems containsMixedTypes="1" containsNumber="1" containsInteger="1" minValue="1" maxValue="4"/>
    </cacheField>
    <cacheField name="Num_Ii_Val" numFmtId="0">
      <sharedItems containsMixedTypes="1" containsNumber="1" containsInteger="1" minValue="1" maxValue="4"/>
    </cacheField>
    <cacheField name="R_INHERENTE" numFmtId="0">
      <sharedItems containsBlank="1"/>
    </cacheField>
    <cacheField name="Pr" numFmtId="0">
      <sharedItems containsBlank="1" containsMixedTypes="1" containsNumber="1" containsInteger="1" minValue="0" maxValue="3"/>
    </cacheField>
    <cacheField name="Num_Pr" numFmtId="0">
      <sharedItems containsMixedTypes="1" containsNumber="1" containsInteger="1" minValue="1" maxValue="4"/>
    </cacheField>
    <cacheField name="Num_Pr_Val" numFmtId="0">
      <sharedItems containsMixedTypes="1" containsNumber="1" containsInteger="1" minValue="1" maxValue="4"/>
    </cacheField>
    <cacheField name="Ir" numFmtId="0">
      <sharedItems containsBlank="1" containsMixedTypes="1" containsNumber="1" containsInteger="1" minValue="1" maxValue="3"/>
    </cacheField>
    <cacheField name="Num_Ir" numFmtId="0">
      <sharedItems containsMixedTypes="1" containsNumber="1" containsInteger="1" minValue="1" maxValue="4"/>
    </cacheField>
    <cacheField name="Num_Ir_Val" numFmtId="0">
      <sharedItems containsMixedTypes="1" containsNumber="1" containsInteger="1" minValue="1" maxValue="4"/>
    </cacheField>
    <cacheField name="R_RESIDUAL" numFmtId="0">
      <sharedItems containsBlank="1" containsMixedTypes="1" containsNumber="1" containsInteger="1" minValue="0" maxValue="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hn Alexander Quiroga Fuquene" refreshedDate="43430.608826851851" createdVersion="5" refreshedVersion="5" minRefreshableVersion="3" recordCount="321">
  <cacheSource type="worksheet">
    <worksheetSource ref="C336:AJ657" sheet="INVENTARIO"/>
  </cacheSource>
  <cacheFields count="33">
    <cacheField name="PROCESO" numFmtId="0">
      <sharedItems count="23">
        <s v="1. PLANEACIÓN ESTRATÉGICA "/>
        <s v="9. INNOVACIÓN Y GESTIÓN DEL CONOCIMIENTO"/>
        <s v="5. GESTIÓN SOCIAL Y PARTICIPACIÓN CIUDADANA"/>
        <s v="8. GESTIÓN INTERINSTITUCIONAL   (SGDU y SGI)"/>
        <s v="6. COMUNICACIONES"/>
        <s v="10. FACTIBILIDAD DE PROYECTOS"/>
        <s v="22. GESTIÓN DE LA VALORIZACIÓN Y FINANCIACIÓN"/>
        <s v="12. DISEÑO DE PROYECTOS"/>
        <s v="11. GESTIÓN PREDIAL _x000a_       (DTP - SGI)"/>
        <s v="13. EJECUCIÓN DE OBRAS"/>
        <s v="14. CONSERVACIÓN DE INFRAESTRUCTURA / MTTO - ADMIN INFRA (DTM)"/>
        <s v="14. CONSERVACIÓN DE INFRAESTRUCTURA / MTTO - ADMIN INFRA (DTAI)"/>
        <s v="15. GESTIÓN CONTRACTUAL "/>
        <s v="16. GESTIÓN LEGAL"/>
        <s v="2. GESTIÓN AMBIENTAL, CALIDAD Y SST"/>
        <s v="18. GESTIÓN DEL TALENTO HUMANO"/>
        <s v="21. GESTIÓN DE RECURSOS TECNOLÓGICOS_x000a_Gestión de Tecnologías de la Información y Comunicación (TIC)"/>
        <s v="19. GESTIÓN DE RECURSOS FÍSICOS"/>
        <s v="20. GESTIÓN DOCUMENTAL"/>
        <s v="17. GESTIÓN FINANCIERA"/>
        <s v="3. GESTIÓN INTEGRAL DE PROYECTOS"/>
        <s v="7. EVALUACIÓN Y CONTROL / control interno (OCI)  y disciplinario (OCD)"/>
        <s v="4. MEJORAMIENTO CONTINUO"/>
      </sharedItems>
    </cacheField>
    <cacheField name="HOJA" numFmtId="0">
      <sharedItems containsBlank="1"/>
    </cacheField>
    <cacheField name="TIPO" numFmtId="0">
      <sharedItems count="1">
        <s v="CORRUPCIÓN"/>
      </sharedItems>
    </cacheField>
    <cacheField name="RIESGO" numFmtId="0">
      <sharedItems containsBlank="1" count="87">
        <s v="C.PE.01"/>
        <s v="C.PE.02"/>
        <m/>
        <s v="C.IC.02"/>
        <s v="C.IC.03"/>
        <s v="C.SC.01"/>
        <s v="C.SC.02"/>
        <s v="C.IN.01"/>
        <s v="C.CO.01"/>
        <s v="C.FP.01"/>
        <s v="C.FP.02"/>
        <s v="C.FP.03"/>
        <s v="C.FP.04"/>
        <s v="C.FP.05"/>
        <s v="C.FP.06"/>
        <s v="C.VF.01"/>
        <s v="C.VF.03"/>
        <s v="C.VF.04"/>
        <s v="C.VF.05"/>
        <s v="C.VF.06"/>
        <s v="C.VF.07"/>
        <s v="C.VF.08"/>
        <s v="C.DP.01"/>
        <s v="C.DP.02"/>
        <s v="C.DP.03"/>
        <s v="C.DP.04"/>
        <s v="C.DP.05"/>
        <s v="C.GP.01"/>
        <s v="C.GP.02"/>
        <s v="C.GP.03"/>
        <s v="C.EO.01"/>
        <s v="C.EO.02"/>
        <s v="C.EO.03"/>
        <s v="C.EO.04"/>
        <s v="C.EO.05"/>
        <s v="C.CI.01"/>
        <s v="C.CI.02"/>
        <s v="C.CI.03"/>
        <s v="C.CI.04"/>
        <s v="C.CI.05"/>
        <s v="C.CI.06"/>
        <s v="C.CI.07"/>
        <s v="C.CI.08"/>
        <s v="C.CI.09"/>
        <s v="C.CI.10"/>
        <s v="C.CI.11"/>
        <s v="C.GC.01"/>
        <s v="C.GC.03"/>
        <s v="C.GC.04"/>
        <s v="C.GC.05"/>
        <s v="C.GC.06"/>
        <s v="C.GC.07"/>
        <s v="C.GC.08"/>
        <s v="C.GL.01"/>
        <s v="C.AC.01"/>
        <s v="C.TH.01"/>
        <s v="C.TH.03"/>
        <s v="C.TI.01"/>
        <s v="C.TI.02"/>
        <s v="C.TI.03"/>
        <s v="C.TI.04"/>
        <s v="C.RF.01"/>
        <s v="C.RF.02"/>
        <s v="C.RF.03"/>
        <s v="C.RF.04"/>
        <s v="C.RF.05"/>
        <s v="C.RF.06"/>
        <s v="C.RF.07"/>
        <s v="C.DO.01"/>
        <s v="C.DO.02"/>
        <s v="C.GF.01"/>
        <s v="C.GF.02"/>
        <s v="C.GF.03"/>
        <s v="C.GF.04"/>
        <s v="C.GI.01"/>
        <s v="C.GI.02"/>
        <s v="C.EC-01"/>
        <s v="C.EC-02"/>
        <s v="C.EC-03"/>
        <s v="C.EC-04"/>
        <s v="C.EC-05"/>
        <s v="C.EC-06"/>
        <s v="C.EC-07"/>
        <s v="C.EC-08"/>
        <s v="C.EC-09"/>
        <s v="C.MC.01"/>
        <s v="C.MC.02"/>
      </sharedItems>
    </cacheField>
    <cacheField name="ESTADO" numFmtId="0">
      <sharedItems containsBlank="1" count="2">
        <s v="VIGENTE"/>
        <m/>
      </sharedItems>
    </cacheField>
    <cacheField name="CREACION" numFmtId="0">
      <sharedItems containsNonDate="0" containsString="0" containsBlank="1"/>
    </cacheField>
    <cacheField name="ELIMINACION" numFmtId="0">
      <sharedItems containsNonDate="0" containsString="0" containsBlank="1"/>
    </cacheField>
    <cacheField name="1" numFmtId="0">
      <sharedItems containsNonDate="0" containsString="0" containsBlank="1"/>
    </cacheField>
    <cacheField name="2" numFmtId="0">
      <sharedItems containsNonDate="0" containsString="0" containsBlank="1"/>
    </cacheField>
    <cacheField name="3" numFmtId="0">
      <sharedItems containsNonDate="0" containsString="0" containsBlank="1"/>
    </cacheField>
    <cacheField name="4" numFmtId="0">
      <sharedItems containsNonDate="0" containsString="0" containsBlank="1"/>
    </cacheField>
    <cacheField name="5" numFmtId="0">
      <sharedItems containsNonDate="0" containsString="0" containsBlank="1"/>
    </cacheField>
    <cacheField name="6" numFmtId="0">
      <sharedItems containsNonDate="0" containsString="0" containsBlank="1"/>
    </cacheField>
    <cacheField name="FIJ" numFmtId="0">
      <sharedItems/>
    </cacheField>
    <cacheField name="FILA" numFmtId="0">
      <sharedItems containsSemiMixedTypes="0" containsString="0" containsNumber="1" containsInteger="1" minValue="337" maxValue="657"/>
    </cacheField>
    <cacheField name="construccion_for" numFmtId="0">
      <sharedItems/>
    </cacheField>
    <cacheField name="copiavalores" numFmtId="0">
      <sharedItems/>
    </cacheField>
    <cacheField name="construccion_for_2" numFmtId="0">
      <sharedItems/>
    </cacheField>
    <cacheField name="Difer" numFmtId="0">
      <sharedItems containsBlank="1"/>
    </cacheField>
    <cacheField name="Pi" numFmtId="0">
      <sharedItems/>
    </cacheField>
    <cacheField name="Num_Pi" numFmtId="0">
      <sharedItems containsMixedTypes="1" containsNumber="1" containsInteger="1" minValue="1" maxValue="4"/>
    </cacheField>
    <cacheField name="Num_Pi_val" numFmtId="0">
      <sharedItems containsMixedTypes="1" containsNumber="1" containsInteger="1" minValue="1" maxValue="4"/>
    </cacheField>
    <cacheField name="Ii" numFmtId="0">
      <sharedItems/>
    </cacheField>
    <cacheField name="Num_Ii" numFmtId="0">
      <sharedItems containsBlank="1" containsMixedTypes="1" containsNumber="1" containsInteger="1" minValue="5" maxValue="20"/>
    </cacheField>
    <cacheField name="Num_Ii_Val" numFmtId="0">
      <sharedItems containsBlank="1" containsMixedTypes="1" containsNumber="1" containsInteger="1" minValue="5" maxValue="20"/>
    </cacheField>
    <cacheField name="R_INHERENTE" numFmtId="0">
      <sharedItems/>
    </cacheField>
    <cacheField name="Pr" numFmtId="0">
      <sharedItems/>
    </cacheField>
    <cacheField name="Num_Pr" numFmtId="0">
      <sharedItems containsMixedTypes="1" containsNumber="1" containsInteger="1" minValue="1" maxValue="2"/>
    </cacheField>
    <cacheField name="Num_Pr_Val" numFmtId="0">
      <sharedItems containsMixedTypes="1" containsNumber="1" containsInteger="1" minValue="1" maxValue="2"/>
    </cacheField>
    <cacheField name="Ir" numFmtId="0">
      <sharedItems/>
    </cacheField>
    <cacheField name="Num_Ir" numFmtId="0">
      <sharedItems containsMixedTypes="1" containsNumber="1" containsInteger="1" minValue="5" maxValue="20"/>
    </cacheField>
    <cacheField name="Num_Ir_Val" numFmtId="0">
      <sharedItems containsMixedTypes="1" containsNumber="1" containsInteger="1" minValue="5" maxValue="20"/>
    </cacheField>
    <cacheField name="R_RESIDUA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0">
  <r>
    <x v="0"/>
    <s v="E PLANEACION"/>
    <x v="0"/>
    <x v="0"/>
    <x v="0"/>
    <m/>
    <m/>
    <s v="x"/>
    <m/>
    <m/>
    <m/>
    <m/>
    <m/>
    <s v="$E"/>
    <n v="4"/>
    <s v=";'E PLANEACION'!$B$9:$AL$89;21;1)"/>
    <s v=";'E PLANEACION'!$B$9:$AL$89;21;1)"/>
    <s v="=BUSCARV($E4;'E PLANEACION'!$B$9:$AL$89;21;1)"/>
    <m/>
    <s v="Alta"/>
    <n v="4"/>
    <n v="4"/>
    <s v="Moderado"/>
    <n v="3"/>
    <n v="3"/>
    <s v="12_x000a_ALTO"/>
    <s v="Posible"/>
    <n v="3"/>
    <n v="3"/>
    <s v="Moderado"/>
    <n v="3"/>
    <n v="3"/>
    <s v="9_x000a_MODERADO"/>
  </r>
  <r>
    <x v="0"/>
    <s v="E PLANEACION"/>
    <x v="0"/>
    <x v="1"/>
    <x v="0"/>
    <m/>
    <m/>
    <s v="x"/>
    <m/>
    <m/>
    <m/>
    <m/>
    <m/>
    <m/>
    <m/>
    <m/>
    <m/>
    <m/>
    <m/>
    <s v="Posible"/>
    <n v="3"/>
    <n v="3"/>
    <s v="Mayor"/>
    <n v="4"/>
    <n v="4"/>
    <s v="12_x000a_ALTO"/>
    <s v="Remota"/>
    <n v="1"/>
    <n v="1"/>
    <s v="Mayor"/>
    <n v="4"/>
    <n v="4"/>
    <s v="4_x000a_MODERADO"/>
  </r>
  <r>
    <x v="0"/>
    <s v="E PLANEACION"/>
    <x v="0"/>
    <x v="2"/>
    <x v="0"/>
    <m/>
    <m/>
    <s v="x"/>
    <m/>
    <m/>
    <m/>
    <m/>
    <m/>
    <m/>
    <m/>
    <m/>
    <m/>
    <m/>
    <m/>
    <s v="Remota"/>
    <n v="1"/>
    <n v="1"/>
    <s v="Menor"/>
    <n v="2"/>
    <n v="2"/>
    <s v="2_x000a_INFERIOR"/>
    <s v="Remota"/>
    <n v="1"/>
    <n v="1"/>
    <s v="Insignificante"/>
    <n v="1"/>
    <n v="1"/>
    <s v="1_x000a_INFERIOR"/>
  </r>
  <r>
    <x v="0"/>
    <s v="E PLANEACION"/>
    <x v="0"/>
    <x v="3"/>
    <x v="1"/>
    <m/>
    <m/>
    <m/>
    <m/>
    <m/>
    <m/>
    <m/>
    <m/>
    <m/>
    <m/>
    <m/>
    <m/>
    <m/>
    <m/>
    <m/>
    <n v="1"/>
    <n v="1"/>
    <s v="Catastrofico"/>
    <n v="1"/>
    <n v="1"/>
    <m/>
    <m/>
    <n v="1"/>
    <n v="1"/>
    <m/>
    <n v="1"/>
    <n v="1"/>
    <m/>
  </r>
  <r>
    <x v="0"/>
    <s v="E PLANEACION"/>
    <x v="0"/>
    <x v="4"/>
    <x v="0"/>
    <m/>
    <m/>
    <m/>
    <m/>
    <m/>
    <m/>
    <m/>
    <m/>
    <m/>
    <m/>
    <m/>
    <m/>
    <m/>
    <m/>
    <s v="Posible"/>
    <n v="3"/>
    <n v="3"/>
    <s v="Insignificante"/>
    <n v="1"/>
    <n v="1"/>
    <s v="3_x000a_INFERIOR"/>
    <s v="Remota"/>
    <n v="1"/>
    <n v="1"/>
    <s v="Insignificante"/>
    <n v="1"/>
    <n v="1"/>
    <s v="1_x000a_INFERIOR"/>
  </r>
  <r>
    <x v="0"/>
    <s v="E PLANEACION"/>
    <x v="0"/>
    <x v="5"/>
    <x v="0"/>
    <m/>
    <m/>
    <m/>
    <m/>
    <m/>
    <m/>
    <m/>
    <m/>
    <m/>
    <m/>
    <m/>
    <m/>
    <m/>
    <m/>
    <s v="Baja"/>
    <n v="2"/>
    <n v="2"/>
    <s v="Moderado"/>
    <n v="3"/>
    <n v="3"/>
    <s v="6_x000a_MODERADO"/>
    <s v="Remota"/>
    <n v="1"/>
    <n v="1"/>
    <s v="Moderado"/>
    <n v="3"/>
    <n v="3"/>
    <s v="3_x000a_INFERIOR"/>
  </r>
  <r>
    <x v="0"/>
    <s v="E PLANEACION"/>
    <x v="0"/>
    <x v="6"/>
    <x v="0"/>
    <m/>
    <m/>
    <m/>
    <m/>
    <m/>
    <m/>
    <m/>
    <m/>
    <m/>
    <m/>
    <m/>
    <m/>
    <m/>
    <m/>
    <s v="Alta"/>
    <n v="4"/>
    <n v="4"/>
    <s v="Insignificante"/>
    <n v="1"/>
    <n v="1"/>
    <s v="4_x000a_MODERADO"/>
    <s v="Baja"/>
    <n v="2"/>
    <n v="2"/>
    <s v="Insignificante"/>
    <n v="1"/>
    <n v="1"/>
    <s v="2_x000a_INFERIOR"/>
  </r>
  <r>
    <x v="0"/>
    <s v="E PLANEACION"/>
    <x v="0"/>
    <x v="7"/>
    <x v="0"/>
    <m/>
    <m/>
    <m/>
    <m/>
    <m/>
    <m/>
    <m/>
    <s v="x"/>
    <m/>
    <m/>
    <m/>
    <m/>
    <m/>
    <m/>
    <s v="Baja"/>
    <n v="2"/>
    <n v="2"/>
    <s v="Menor"/>
    <n v="2"/>
    <n v="2"/>
    <s v="4_x000a_INFERIOR"/>
    <s v="Remota"/>
    <n v="1"/>
    <n v="1"/>
    <s v="Menor"/>
    <n v="2"/>
    <n v="2"/>
    <s v="2_x000a_INFERIOR"/>
  </r>
  <r>
    <x v="0"/>
    <s v="E PLANEACION"/>
    <x v="0"/>
    <x v="8"/>
    <x v="0"/>
    <m/>
    <m/>
    <m/>
    <m/>
    <m/>
    <m/>
    <m/>
    <s v="x"/>
    <m/>
    <m/>
    <m/>
    <m/>
    <m/>
    <m/>
    <s v="Baja"/>
    <n v="2"/>
    <n v="2"/>
    <s v="Moderado"/>
    <n v="3"/>
    <n v="3"/>
    <s v="6_x000a_MODERADO"/>
    <s v="Remota"/>
    <n v="1"/>
    <n v="1"/>
    <s v="Insignificante"/>
    <n v="1"/>
    <n v="1"/>
    <s v="1_x000a_INFERIOR"/>
  </r>
  <r>
    <x v="0"/>
    <s v="E PLANEACION"/>
    <x v="0"/>
    <x v="9"/>
    <x v="2"/>
    <m/>
    <m/>
    <m/>
    <m/>
    <m/>
    <m/>
    <m/>
    <m/>
    <m/>
    <m/>
    <m/>
    <m/>
    <m/>
    <m/>
    <e v="#N/A"/>
    <e v="#N/A"/>
    <e v="#N/A"/>
    <e v="#N/A"/>
    <e v="#N/A"/>
    <e v="#N/A"/>
    <e v="#N/A"/>
    <e v="#N/A"/>
    <e v="#N/A"/>
    <e v="#N/A"/>
    <e v="#N/A"/>
    <e v="#N/A"/>
    <e v="#N/A"/>
    <e v="#N/A"/>
  </r>
  <r>
    <x v="0"/>
    <s v="E PLANEACION"/>
    <x v="0"/>
    <x v="9"/>
    <x v="2"/>
    <m/>
    <m/>
    <m/>
    <m/>
    <m/>
    <m/>
    <m/>
    <m/>
    <m/>
    <m/>
    <m/>
    <m/>
    <m/>
    <m/>
    <e v="#N/A"/>
    <e v="#N/A"/>
    <e v="#N/A"/>
    <e v="#N/A"/>
    <e v="#N/A"/>
    <e v="#N/A"/>
    <e v="#N/A"/>
    <e v="#N/A"/>
    <e v="#N/A"/>
    <e v="#N/A"/>
    <e v="#N/A"/>
    <e v="#N/A"/>
    <e v="#N/A"/>
    <e v="#N/A"/>
  </r>
  <r>
    <x v="0"/>
    <s v="E PLANEACION"/>
    <x v="0"/>
    <x v="9"/>
    <x v="2"/>
    <m/>
    <m/>
    <m/>
    <m/>
    <m/>
    <m/>
    <m/>
    <m/>
    <m/>
    <m/>
    <m/>
    <m/>
    <m/>
    <m/>
    <e v="#N/A"/>
    <e v="#N/A"/>
    <e v="#N/A"/>
    <e v="#N/A"/>
    <e v="#N/A"/>
    <e v="#N/A"/>
    <e v="#N/A"/>
    <e v="#N/A"/>
    <e v="#N/A"/>
    <e v="#N/A"/>
    <e v="#N/A"/>
    <e v="#N/A"/>
    <e v="#N/A"/>
    <e v="#N/A"/>
  </r>
  <r>
    <x v="0"/>
    <s v="E PLANEACION"/>
    <x v="0"/>
    <x v="9"/>
    <x v="2"/>
    <m/>
    <m/>
    <m/>
    <m/>
    <m/>
    <m/>
    <m/>
    <m/>
    <m/>
    <m/>
    <m/>
    <m/>
    <m/>
    <m/>
    <e v="#N/A"/>
    <e v="#N/A"/>
    <e v="#N/A"/>
    <e v="#N/A"/>
    <e v="#N/A"/>
    <e v="#N/A"/>
    <e v="#N/A"/>
    <e v="#N/A"/>
    <e v="#N/A"/>
    <e v="#N/A"/>
    <e v="#N/A"/>
    <e v="#N/A"/>
    <e v="#N/A"/>
    <e v="#N/A"/>
  </r>
  <r>
    <x v="0"/>
    <s v="E PLANEACION"/>
    <x v="0"/>
    <x v="9"/>
    <x v="2"/>
    <m/>
    <m/>
    <m/>
    <m/>
    <m/>
    <m/>
    <m/>
    <m/>
    <m/>
    <m/>
    <m/>
    <m/>
    <m/>
    <m/>
    <e v="#N/A"/>
    <e v="#N/A"/>
    <e v="#N/A"/>
    <e v="#N/A"/>
    <e v="#N/A"/>
    <e v="#N/A"/>
    <e v="#N/A"/>
    <e v="#N/A"/>
    <e v="#N/A"/>
    <e v="#N/A"/>
    <e v="#N/A"/>
    <e v="#N/A"/>
    <e v="#N/A"/>
    <e v="#N/A"/>
  </r>
  <r>
    <x v="0"/>
    <s v="E PLANEACION"/>
    <x v="0"/>
    <x v="9"/>
    <x v="2"/>
    <m/>
    <m/>
    <m/>
    <m/>
    <m/>
    <m/>
    <m/>
    <m/>
    <m/>
    <m/>
    <m/>
    <m/>
    <m/>
    <m/>
    <e v="#N/A"/>
    <e v="#N/A"/>
    <e v="#N/A"/>
    <e v="#N/A"/>
    <e v="#N/A"/>
    <e v="#N/A"/>
    <e v="#N/A"/>
    <e v="#N/A"/>
    <e v="#N/A"/>
    <e v="#N/A"/>
    <e v="#N/A"/>
    <e v="#N/A"/>
    <e v="#N/A"/>
    <e v="#N/A"/>
  </r>
  <r>
    <x v="1"/>
    <s v="A CALIDAD"/>
    <x v="0"/>
    <x v="10"/>
    <x v="0"/>
    <m/>
    <m/>
    <m/>
    <m/>
    <m/>
    <m/>
    <s v="x"/>
    <s v="x"/>
    <s v="$E"/>
    <n v="19"/>
    <s v=";'A CALIDAD'!$B$9:$AL$89;21;1)"/>
    <s v=";'A CALIDAD'!$B$9:$AL$89;21;1)"/>
    <s v="=BUSCARV($E19;'A CALIDAD'!$B$9:$AL$89;21;1)"/>
    <m/>
    <s v="Remota"/>
    <n v="1"/>
    <n v="1"/>
    <s v="Moderado"/>
    <n v="3"/>
    <n v="3"/>
    <s v="3_x000a_INFERIOR"/>
    <s v="Remota"/>
    <n v="1"/>
    <n v="1"/>
    <s v="Menor"/>
    <n v="2"/>
    <n v="2"/>
    <s v="2_x000a_INFERIOR"/>
  </r>
  <r>
    <x v="1"/>
    <s v="A CALIDAD"/>
    <x v="0"/>
    <x v="11"/>
    <x v="0"/>
    <m/>
    <m/>
    <m/>
    <m/>
    <m/>
    <m/>
    <m/>
    <s v="x"/>
    <m/>
    <m/>
    <m/>
    <m/>
    <m/>
    <m/>
    <s v="Alta"/>
    <n v="4"/>
    <n v="4"/>
    <s v="Menor"/>
    <n v="2"/>
    <n v="2"/>
    <s v="8_x000a_MODERADO"/>
    <s v="Baja"/>
    <n v="2"/>
    <n v="2"/>
    <s v="Menor"/>
    <n v="2"/>
    <n v="2"/>
    <s v="4_x000a_INFERIOR"/>
  </r>
  <r>
    <x v="1"/>
    <s v="A CALIDAD"/>
    <x v="0"/>
    <x v="12"/>
    <x v="0"/>
    <m/>
    <m/>
    <m/>
    <m/>
    <m/>
    <m/>
    <m/>
    <s v="x"/>
    <m/>
    <m/>
    <m/>
    <m/>
    <m/>
    <m/>
    <s v="Alta"/>
    <n v="4"/>
    <n v="4"/>
    <s v="Moderado"/>
    <n v="3"/>
    <n v="3"/>
    <s v="12_x000a_ALTO"/>
    <s v="Baja"/>
    <n v="2"/>
    <n v="2"/>
    <s v="Insignificante"/>
    <n v="1"/>
    <n v="1"/>
    <s v="2_x000a_INFERIOR"/>
  </r>
  <r>
    <x v="1"/>
    <s v="A CALIDAD"/>
    <x v="0"/>
    <x v="9"/>
    <x v="2"/>
    <m/>
    <m/>
    <m/>
    <m/>
    <m/>
    <m/>
    <m/>
    <m/>
    <m/>
    <m/>
    <m/>
    <m/>
    <m/>
    <m/>
    <e v="#N/A"/>
    <e v="#N/A"/>
    <e v="#N/A"/>
    <e v="#N/A"/>
    <e v="#N/A"/>
    <e v="#N/A"/>
    <e v="#N/A"/>
    <e v="#N/A"/>
    <e v="#N/A"/>
    <e v="#N/A"/>
    <e v="#N/A"/>
    <e v="#N/A"/>
    <e v="#N/A"/>
    <e v="#N/A"/>
  </r>
  <r>
    <x v="1"/>
    <s v="A CALIDAD"/>
    <x v="0"/>
    <x v="9"/>
    <x v="2"/>
    <m/>
    <m/>
    <m/>
    <m/>
    <m/>
    <m/>
    <m/>
    <m/>
    <m/>
    <m/>
    <m/>
    <m/>
    <m/>
    <m/>
    <e v="#N/A"/>
    <e v="#N/A"/>
    <e v="#N/A"/>
    <e v="#N/A"/>
    <e v="#N/A"/>
    <e v="#N/A"/>
    <e v="#N/A"/>
    <e v="#N/A"/>
    <e v="#N/A"/>
    <e v="#N/A"/>
    <e v="#N/A"/>
    <e v="#N/A"/>
    <e v="#N/A"/>
    <e v="#N/A"/>
  </r>
  <r>
    <x v="1"/>
    <s v="A CALIDAD"/>
    <x v="0"/>
    <x v="9"/>
    <x v="2"/>
    <m/>
    <m/>
    <m/>
    <m/>
    <m/>
    <m/>
    <m/>
    <m/>
    <m/>
    <m/>
    <m/>
    <m/>
    <m/>
    <m/>
    <e v="#N/A"/>
    <e v="#N/A"/>
    <e v="#N/A"/>
    <e v="#N/A"/>
    <e v="#N/A"/>
    <e v="#N/A"/>
    <e v="#N/A"/>
    <e v="#N/A"/>
    <e v="#N/A"/>
    <e v="#N/A"/>
    <e v="#N/A"/>
    <e v="#N/A"/>
    <e v="#N/A"/>
    <e v="#N/A"/>
  </r>
  <r>
    <x v="1"/>
    <s v="A CALIDAD"/>
    <x v="0"/>
    <x v="9"/>
    <x v="2"/>
    <m/>
    <m/>
    <m/>
    <m/>
    <m/>
    <m/>
    <m/>
    <m/>
    <m/>
    <m/>
    <m/>
    <m/>
    <m/>
    <m/>
    <e v="#N/A"/>
    <e v="#N/A"/>
    <e v="#N/A"/>
    <e v="#N/A"/>
    <e v="#N/A"/>
    <e v="#N/A"/>
    <e v="#N/A"/>
    <e v="#N/A"/>
    <e v="#N/A"/>
    <e v="#N/A"/>
    <e v="#N/A"/>
    <e v="#N/A"/>
    <e v="#N/A"/>
    <e v="#N/A"/>
  </r>
  <r>
    <x v="1"/>
    <s v="A CALIDAD"/>
    <x v="0"/>
    <x v="9"/>
    <x v="2"/>
    <m/>
    <m/>
    <m/>
    <m/>
    <m/>
    <m/>
    <m/>
    <m/>
    <m/>
    <m/>
    <m/>
    <m/>
    <m/>
    <m/>
    <e v="#N/A"/>
    <e v="#N/A"/>
    <e v="#N/A"/>
    <e v="#N/A"/>
    <e v="#N/A"/>
    <e v="#N/A"/>
    <e v="#N/A"/>
    <e v="#N/A"/>
    <e v="#N/A"/>
    <e v="#N/A"/>
    <e v="#N/A"/>
    <e v="#N/A"/>
    <e v="#N/A"/>
    <e v="#N/A"/>
  </r>
  <r>
    <x v="1"/>
    <s v="A CALIDAD"/>
    <x v="0"/>
    <x v="9"/>
    <x v="2"/>
    <m/>
    <m/>
    <m/>
    <m/>
    <m/>
    <m/>
    <m/>
    <m/>
    <m/>
    <m/>
    <m/>
    <m/>
    <m/>
    <m/>
    <e v="#N/A"/>
    <e v="#N/A"/>
    <e v="#N/A"/>
    <e v="#N/A"/>
    <e v="#N/A"/>
    <e v="#N/A"/>
    <e v="#N/A"/>
    <e v="#N/A"/>
    <e v="#N/A"/>
    <e v="#N/A"/>
    <e v="#N/A"/>
    <e v="#N/A"/>
    <e v="#N/A"/>
    <e v="#N/A"/>
  </r>
  <r>
    <x v="1"/>
    <s v="A CALIDAD"/>
    <x v="0"/>
    <x v="9"/>
    <x v="2"/>
    <m/>
    <m/>
    <m/>
    <m/>
    <m/>
    <m/>
    <m/>
    <m/>
    <m/>
    <m/>
    <m/>
    <m/>
    <m/>
    <m/>
    <e v="#N/A"/>
    <e v="#N/A"/>
    <e v="#N/A"/>
    <e v="#N/A"/>
    <e v="#N/A"/>
    <e v="#N/A"/>
    <e v="#N/A"/>
    <e v="#N/A"/>
    <e v="#N/A"/>
    <e v="#N/A"/>
    <e v="#N/A"/>
    <e v="#N/A"/>
    <e v="#N/A"/>
    <e v="#N/A"/>
  </r>
  <r>
    <x v="1"/>
    <s v="A CALIDAD"/>
    <x v="0"/>
    <x v="9"/>
    <x v="2"/>
    <m/>
    <m/>
    <m/>
    <m/>
    <m/>
    <m/>
    <m/>
    <m/>
    <m/>
    <m/>
    <m/>
    <m/>
    <m/>
    <m/>
    <e v="#N/A"/>
    <e v="#N/A"/>
    <e v="#N/A"/>
    <e v="#N/A"/>
    <e v="#N/A"/>
    <e v="#N/A"/>
    <e v="#N/A"/>
    <e v="#N/A"/>
    <e v="#N/A"/>
    <e v="#N/A"/>
    <e v="#N/A"/>
    <e v="#N/A"/>
    <e v="#N/A"/>
    <e v="#N/A"/>
  </r>
  <r>
    <x v="1"/>
    <s v="A CALIDAD"/>
    <x v="0"/>
    <x v="9"/>
    <x v="2"/>
    <m/>
    <m/>
    <m/>
    <m/>
    <m/>
    <m/>
    <m/>
    <m/>
    <m/>
    <m/>
    <m/>
    <m/>
    <m/>
    <m/>
    <e v="#N/A"/>
    <e v="#N/A"/>
    <e v="#N/A"/>
    <e v="#N/A"/>
    <e v="#N/A"/>
    <e v="#N/A"/>
    <e v="#N/A"/>
    <e v="#N/A"/>
    <e v="#N/A"/>
    <e v="#N/A"/>
    <e v="#N/A"/>
    <e v="#N/A"/>
    <e v="#N/A"/>
    <e v="#N/A"/>
  </r>
  <r>
    <x v="1"/>
    <s v="A CALIDAD"/>
    <x v="0"/>
    <x v="9"/>
    <x v="2"/>
    <m/>
    <m/>
    <m/>
    <m/>
    <m/>
    <m/>
    <m/>
    <m/>
    <m/>
    <m/>
    <m/>
    <m/>
    <m/>
    <m/>
    <e v="#N/A"/>
    <e v="#N/A"/>
    <e v="#N/A"/>
    <e v="#N/A"/>
    <e v="#N/A"/>
    <e v="#N/A"/>
    <e v="#N/A"/>
    <e v="#N/A"/>
    <e v="#N/A"/>
    <e v="#N/A"/>
    <e v="#N/A"/>
    <e v="#N/A"/>
    <e v="#N/A"/>
    <e v="#N/A"/>
  </r>
  <r>
    <x v="1"/>
    <s v="A CALIDAD"/>
    <x v="0"/>
    <x v="9"/>
    <x v="2"/>
    <m/>
    <m/>
    <m/>
    <m/>
    <m/>
    <m/>
    <m/>
    <m/>
    <m/>
    <m/>
    <m/>
    <m/>
    <m/>
    <m/>
    <e v="#N/A"/>
    <e v="#N/A"/>
    <e v="#N/A"/>
    <e v="#N/A"/>
    <e v="#N/A"/>
    <e v="#N/A"/>
    <e v="#N/A"/>
    <e v="#N/A"/>
    <e v="#N/A"/>
    <e v="#N/A"/>
    <e v="#N/A"/>
    <e v="#N/A"/>
    <e v="#N/A"/>
    <e v="#N/A"/>
  </r>
  <r>
    <x v="1"/>
    <s v="A CALIDAD"/>
    <x v="0"/>
    <x v="9"/>
    <x v="2"/>
    <m/>
    <m/>
    <m/>
    <m/>
    <m/>
    <m/>
    <m/>
    <m/>
    <m/>
    <m/>
    <m/>
    <m/>
    <m/>
    <m/>
    <e v="#N/A"/>
    <e v="#N/A"/>
    <e v="#N/A"/>
    <e v="#N/A"/>
    <e v="#N/A"/>
    <e v="#N/A"/>
    <e v="#N/A"/>
    <e v="#N/A"/>
    <e v="#N/A"/>
    <e v="#N/A"/>
    <e v="#N/A"/>
    <e v="#N/A"/>
    <e v="#N/A"/>
    <e v="#N/A"/>
  </r>
  <r>
    <x v="2"/>
    <s v="E GPROYECTOS"/>
    <x v="0"/>
    <x v="13"/>
    <x v="0"/>
    <m/>
    <m/>
    <m/>
    <s v="X"/>
    <m/>
    <m/>
    <m/>
    <m/>
    <s v="$E"/>
    <n v="34"/>
    <s v=";'E GPROYECTOS'!$B$9:$AL$89;21;1)"/>
    <s v=";'E GPROYECTOS'!$B$9:$AL$89;21;1)"/>
    <s v="=BUSCARV($E34;'E GPROYECTOS'!$B$9:$AL$89;21;1)"/>
    <m/>
    <s v="Posible"/>
    <n v="3"/>
    <n v="3"/>
    <s v="Mayor"/>
    <n v="4"/>
    <n v="4"/>
    <s v="12_x000a_ALTO"/>
    <s v="Baja"/>
    <n v="2"/>
    <n v="2"/>
    <s v="Moderado"/>
    <n v="3"/>
    <n v="3"/>
    <s v="6_x000a_MODERADO"/>
  </r>
  <r>
    <x v="2"/>
    <s v="E GPROYECTOS"/>
    <x v="0"/>
    <x v="14"/>
    <x v="0"/>
    <m/>
    <m/>
    <m/>
    <s v="X"/>
    <m/>
    <m/>
    <m/>
    <m/>
    <m/>
    <m/>
    <m/>
    <m/>
    <m/>
    <m/>
    <s v="Baja"/>
    <n v="2"/>
    <n v="2"/>
    <s v="Menor"/>
    <n v="2"/>
    <n v="2"/>
    <s v="4_x000a_INFERIOR"/>
    <s v="Baja"/>
    <n v="2"/>
    <n v="2"/>
    <s v="Insignificante"/>
    <n v="1"/>
    <n v="1"/>
    <s v="2_x000a_INFERIOR"/>
  </r>
  <r>
    <x v="2"/>
    <s v="E GPROYECTOS"/>
    <x v="0"/>
    <x v="9"/>
    <x v="2"/>
    <m/>
    <m/>
    <m/>
    <m/>
    <m/>
    <m/>
    <m/>
    <m/>
    <m/>
    <m/>
    <m/>
    <m/>
    <m/>
    <m/>
    <e v="#N/A"/>
    <e v="#N/A"/>
    <e v="#N/A"/>
    <e v="#N/A"/>
    <e v="#N/A"/>
    <e v="#N/A"/>
    <e v="#N/A"/>
    <e v="#N/A"/>
    <e v="#N/A"/>
    <e v="#N/A"/>
    <e v="#N/A"/>
    <e v="#N/A"/>
    <e v="#N/A"/>
    <e v="#N/A"/>
  </r>
  <r>
    <x v="2"/>
    <s v="E GPROYECTOS"/>
    <x v="0"/>
    <x v="9"/>
    <x v="2"/>
    <m/>
    <m/>
    <m/>
    <m/>
    <m/>
    <m/>
    <m/>
    <m/>
    <m/>
    <m/>
    <m/>
    <m/>
    <m/>
    <m/>
    <e v="#N/A"/>
    <e v="#N/A"/>
    <e v="#N/A"/>
    <e v="#N/A"/>
    <e v="#N/A"/>
    <e v="#N/A"/>
    <e v="#N/A"/>
    <e v="#N/A"/>
    <e v="#N/A"/>
    <e v="#N/A"/>
    <e v="#N/A"/>
    <e v="#N/A"/>
    <e v="#N/A"/>
    <e v="#N/A"/>
  </r>
  <r>
    <x v="2"/>
    <s v="E GPROYECTOS"/>
    <x v="0"/>
    <x v="9"/>
    <x v="2"/>
    <m/>
    <m/>
    <m/>
    <m/>
    <m/>
    <m/>
    <m/>
    <m/>
    <m/>
    <m/>
    <m/>
    <m/>
    <m/>
    <m/>
    <e v="#N/A"/>
    <e v="#N/A"/>
    <e v="#N/A"/>
    <e v="#N/A"/>
    <e v="#N/A"/>
    <e v="#N/A"/>
    <e v="#N/A"/>
    <e v="#N/A"/>
    <e v="#N/A"/>
    <e v="#N/A"/>
    <e v="#N/A"/>
    <e v="#N/A"/>
    <e v="#N/A"/>
    <e v="#N/A"/>
  </r>
  <r>
    <x v="2"/>
    <s v="E GPROYECTOS"/>
    <x v="0"/>
    <x v="9"/>
    <x v="2"/>
    <m/>
    <m/>
    <m/>
    <m/>
    <m/>
    <m/>
    <m/>
    <m/>
    <m/>
    <m/>
    <m/>
    <m/>
    <m/>
    <m/>
    <e v="#N/A"/>
    <e v="#N/A"/>
    <e v="#N/A"/>
    <e v="#N/A"/>
    <e v="#N/A"/>
    <e v="#N/A"/>
    <e v="#N/A"/>
    <e v="#N/A"/>
    <e v="#N/A"/>
    <e v="#N/A"/>
    <e v="#N/A"/>
    <e v="#N/A"/>
    <e v="#N/A"/>
    <e v="#N/A"/>
  </r>
  <r>
    <x v="2"/>
    <s v="E GPROYECTOS"/>
    <x v="0"/>
    <x v="9"/>
    <x v="2"/>
    <m/>
    <m/>
    <m/>
    <m/>
    <m/>
    <m/>
    <m/>
    <m/>
    <m/>
    <m/>
    <m/>
    <m/>
    <m/>
    <m/>
    <e v="#N/A"/>
    <e v="#N/A"/>
    <e v="#N/A"/>
    <e v="#N/A"/>
    <e v="#N/A"/>
    <e v="#N/A"/>
    <e v="#N/A"/>
    <e v="#N/A"/>
    <e v="#N/A"/>
    <e v="#N/A"/>
    <e v="#N/A"/>
    <e v="#N/A"/>
    <e v="#N/A"/>
    <e v="#N/A"/>
  </r>
  <r>
    <x v="2"/>
    <s v="E GPROYECTOS"/>
    <x v="0"/>
    <x v="9"/>
    <x v="2"/>
    <m/>
    <m/>
    <m/>
    <m/>
    <m/>
    <m/>
    <m/>
    <m/>
    <m/>
    <m/>
    <m/>
    <m/>
    <m/>
    <m/>
    <e v="#N/A"/>
    <e v="#N/A"/>
    <e v="#N/A"/>
    <e v="#N/A"/>
    <e v="#N/A"/>
    <e v="#N/A"/>
    <e v="#N/A"/>
    <e v="#N/A"/>
    <e v="#N/A"/>
    <e v="#N/A"/>
    <e v="#N/A"/>
    <e v="#N/A"/>
    <e v="#N/A"/>
    <e v="#N/A"/>
  </r>
  <r>
    <x v="2"/>
    <s v="E GPROYECTOS"/>
    <x v="0"/>
    <x v="9"/>
    <x v="2"/>
    <m/>
    <m/>
    <m/>
    <m/>
    <m/>
    <m/>
    <m/>
    <m/>
    <m/>
    <m/>
    <m/>
    <m/>
    <m/>
    <m/>
    <e v="#N/A"/>
    <e v="#N/A"/>
    <e v="#N/A"/>
    <e v="#N/A"/>
    <e v="#N/A"/>
    <e v="#N/A"/>
    <e v="#N/A"/>
    <e v="#N/A"/>
    <e v="#N/A"/>
    <e v="#N/A"/>
    <e v="#N/A"/>
    <e v="#N/A"/>
    <e v="#N/A"/>
    <e v="#N/A"/>
  </r>
  <r>
    <x v="2"/>
    <s v="E GPROYECTOS"/>
    <x v="0"/>
    <x v="9"/>
    <x v="2"/>
    <m/>
    <m/>
    <m/>
    <m/>
    <m/>
    <m/>
    <m/>
    <m/>
    <m/>
    <m/>
    <m/>
    <m/>
    <m/>
    <m/>
    <e v="#N/A"/>
    <e v="#N/A"/>
    <e v="#N/A"/>
    <e v="#N/A"/>
    <e v="#N/A"/>
    <e v="#N/A"/>
    <e v="#N/A"/>
    <e v="#N/A"/>
    <e v="#N/A"/>
    <e v="#N/A"/>
    <e v="#N/A"/>
    <e v="#N/A"/>
    <e v="#N/A"/>
    <e v="#N/A"/>
  </r>
  <r>
    <x v="2"/>
    <s v="E GPROYECTOS"/>
    <x v="0"/>
    <x v="9"/>
    <x v="2"/>
    <m/>
    <m/>
    <m/>
    <m/>
    <m/>
    <m/>
    <m/>
    <m/>
    <m/>
    <m/>
    <m/>
    <m/>
    <m/>
    <m/>
    <e v="#N/A"/>
    <e v="#N/A"/>
    <e v="#N/A"/>
    <e v="#N/A"/>
    <e v="#N/A"/>
    <e v="#N/A"/>
    <e v="#N/A"/>
    <e v="#N/A"/>
    <e v="#N/A"/>
    <e v="#N/A"/>
    <e v="#N/A"/>
    <e v="#N/A"/>
    <e v="#N/A"/>
    <e v="#N/A"/>
  </r>
  <r>
    <x v="2"/>
    <s v="E GPROYECTOS"/>
    <x v="0"/>
    <x v="9"/>
    <x v="2"/>
    <m/>
    <m/>
    <m/>
    <m/>
    <m/>
    <m/>
    <m/>
    <m/>
    <m/>
    <m/>
    <m/>
    <m/>
    <m/>
    <m/>
    <e v="#N/A"/>
    <e v="#N/A"/>
    <e v="#N/A"/>
    <e v="#N/A"/>
    <e v="#N/A"/>
    <e v="#N/A"/>
    <e v="#N/A"/>
    <e v="#N/A"/>
    <e v="#N/A"/>
    <e v="#N/A"/>
    <e v="#N/A"/>
    <e v="#N/A"/>
    <e v="#N/A"/>
    <e v="#N/A"/>
  </r>
  <r>
    <x v="2"/>
    <s v="E GPROYECTOS"/>
    <x v="0"/>
    <x v="9"/>
    <x v="2"/>
    <m/>
    <m/>
    <m/>
    <m/>
    <m/>
    <m/>
    <m/>
    <m/>
    <m/>
    <m/>
    <m/>
    <m/>
    <m/>
    <m/>
    <e v="#N/A"/>
    <e v="#N/A"/>
    <e v="#N/A"/>
    <e v="#N/A"/>
    <e v="#N/A"/>
    <e v="#N/A"/>
    <e v="#N/A"/>
    <e v="#N/A"/>
    <e v="#N/A"/>
    <e v="#N/A"/>
    <e v="#N/A"/>
    <e v="#N/A"/>
    <e v="#N/A"/>
    <e v="#N/A"/>
  </r>
  <r>
    <x v="2"/>
    <s v="E GPROYECTOS"/>
    <x v="0"/>
    <x v="9"/>
    <x v="2"/>
    <m/>
    <m/>
    <m/>
    <m/>
    <m/>
    <m/>
    <m/>
    <m/>
    <m/>
    <m/>
    <m/>
    <m/>
    <m/>
    <m/>
    <e v="#N/A"/>
    <e v="#N/A"/>
    <e v="#N/A"/>
    <e v="#N/A"/>
    <e v="#N/A"/>
    <e v="#N/A"/>
    <e v="#N/A"/>
    <e v="#N/A"/>
    <e v="#N/A"/>
    <e v="#N/A"/>
    <e v="#N/A"/>
    <e v="#N/A"/>
    <e v="#N/A"/>
    <e v="#N/A"/>
  </r>
  <r>
    <x v="2"/>
    <s v="E GPROYECTOS"/>
    <x v="0"/>
    <x v="9"/>
    <x v="2"/>
    <m/>
    <m/>
    <m/>
    <m/>
    <m/>
    <m/>
    <m/>
    <m/>
    <m/>
    <m/>
    <m/>
    <m/>
    <m/>
    <m/>
    <e v="#N/A"/>
    <e v="#N/A"/>
    <e v="#N/A"/>
    <e v="#N/A"/>
    <e v="#N/A"/>
    <e v="#N/A"/>
    <e v="#N/A"/>
    <e v="#N/A"/>
    <e v="#N/A"/>
    <e v="#N/A"/>
    <e v="#N/A"/>
    <e v="#N/A"/>
    <e v="#N/A"/>
    <e v="#N/A"/>
  </r>
  <r>
    <x v="3"/>
    <s v="EC MEJORAMIENTO"/>
    <x v="0"/>
    <x v="15"/>
    <x v="0"/>
    <m/>
    <m/>
    <m/>
    <m/>
    <m/>
    <m/>
    <m/>
    <m/>
    <s v="$E"/>
    <n v="49"/>
    <s v=";'EC MEJORAMIENTO'!$B$9:$AL$89;21;1)"/>
    <s v=";'EC MEJORAMIENTO'!$B$9:$AL$89;21;1)"/>
    <s v="=BUSCARV($E49;'EC MEJORAMIENTO'!$B$9:$AL$89;21;1)"/>
    <m/>
    <s v="Baja"/>
    <n v="2"/>
    <n v="2"/>
    <s v="Menor"/>
    <n v="2"/>
    <n v="2"/>
    <s v="4_x000a_INFERIOR"/>
    <s v="Remota"/>
    <n v="1"/>
    <n v="1"/>
    <s v="Menor"/>
    <n v="2"/>
    <n v="2"/>
    <s v="2_x000a_INFERIOR"/>
  </r>
  <r>
    <x v="3"/>
    <s v="EC MEJORAMIENTO"/>
    <x v="0"/>
    <x v="16"/>
    <x v="0"/>
    <m/>
    <m/>
    <m/>
    <m/>
    <m/>
    <m/>
    <m/>
    <m/>
    <m/>
    <m/>
    <m/>
    <m/>
    <m/>
    <m/>
    <s v="Casi Seguro"/>
    <n v="5"/>
    <n v="5"/>
    <s v="Menor"/>
    <n v="2"/>
    <n v="2"/>
    <s v="10_x000a_ALTO"/>
    <s v="Alta"/>
    <n v="4"/>
    <n v="4"/>
    <s v="Insignificante"/>
    <n v="1"/>
    <n v="1"/>
    <s v="4_x000a_MODERADO"/>
  </r>
  <r>
    <x v="3"/>
    <s v="EC MEJORAMIENTO"/>
    <x v="0"/>
    <x v="17"/>
    <x v="0"/>
    <m/>
    <m/>
    <m/>
    <m/>
    <m/>
    <m/>
    <m/>
    <m/>
    <m/>
    <m/>
    <m/>
    <m/>
    <m/>
    <m/>
    <s v="Casi Seguro"/>
    <n v="5"/>
    <n v="5"/>
    <s v="Moderado"/>
    <n v="3"/>
    <n v="3"/>
    <s v="15_x000a_ALTO"/>
    <s v="Posible"/>
    <n v="3"/>
    <n v="3"/>
    <s v="Insignificante"/>
    <n v="1"/>
    <n v="1"/>
    <s v="3_x000a_INFERIOR"/>
  </r>
  <r>
    <x v="3"/>
    <s v="EC MEJORAMIENTO"/>
    <x v="0"/>
    <x v="18"/>
    <x v="0"/>
    <m/>
    <m/>
    <m/>
    <m/>
    <m/>
    <m/>
    <m/>
    <m/>
    <m/>
    <m/>
    <m/>
    <m/>
    <m/>
    <m/>
    <s v="Alta"/>
    <n v="4"/>
    <n v="4"/>
    <s v="Insignificante"/>
    <n v="1"/>
    <n v="1"/>
    <s v="4_x000a_MODERADO"/>
    <s v="Posible"/>
    <n v="3"/>
    <n v="3"/>
    <s v="Insignificante"/>
    <n v="1"/>
    <n v="1"/>
    <s v="3_x000a_INFERIOR"/>
  </r>
  <r>
    <x v="3"/>
    <s v="EC MEJORAMIENTO"/>
    <x v="0"/>
    <x v="19"/>
    <x v="0"/>
    <m/>
    <m/>
    <m/>
    <m/>
    <m/>
    <m/>
    <m/>
    <m/>
    <m/>
    <m/>
    <m/>
    <m/>
    <m/>
    <m/>
    <s v="Posible"/>
    <n v="3"/>
    <n v="3"/>
    <s v="Menor"/>
    <n v="2"/>
    <n v="2"/>
    <s v="6_x000a_MODERADO"/>
    <s v="Baja"/>
    <n v="2"/>
    <n v="2"/>
    <s v="Insignificante"/>
    <n v="1"/>
    <n v="1"/>
    <s v="2_x000a_INFERIOR"/>
  </r>
  <r>
    <x v="3"/>
    <s v="EC MEJORAMIENTO"/>
    <x v="0"/>
    <x v="9"/>
    <x v="2"/>
    <m/>
    <m/>
    <m/>
    <m/>
    <m/>
    <m/>
    <m/>
    <m/>
    <m/>
    <m/>
    <m/>
    <m/>
    <m/>
    <m/>
    <e v="#N/A"/>
    <e v="#N/A"/>
    <e v="#N/A"/>
    <e v="#N/A"/>
    <e v="#N/A"/>
    <e v="#N/A"/>
    <e v="#N/A"/>
    <e v="#N/A"/>
    <e v="#N/A"/>
    <e v="#N/A"/>
    <e v="#N/A"/>
    <e v="#N/A"/>
    <e v="#N/A"/>
    <e v="#N/A"/>
  </r>
  <r>
    <x v="3"/>
    <s v="EC MEJORAMIENTO"/>
    <x v="0"/>
    <x v="9"/>
    <x v="2"/>
    <m/>
    <m/>
    <m/>
    <m/>
    <m/>
    <m/>
    <m/>
    <m/>
    <m/>
    <m/>
    <m/>
    <m/>
    <m/>
    <m/>
    <e v="#N/A"/>
    <e v="#N/A"/>
    <e v="#N/A"/>
    <e v="#N/A"/>
    <e v="#N/A"/>
    <e v="#N/A"/>
    <e v="#N/A"/>
    <e v="#N/A"/>
    <e v="#N/A"/>
    <e v="#N/A"/>
    <e v="#N/A"/>
    <e v="#N/A"/>
    <e v="#N/A"/>
    <e v="#N/A"/>
  </r>
  <r>
    <x v="3"/>
    <s v="EC MEJORAMIENTO"/>
    <x v="0"/>
    <x v="9"/>
    <x v="2"/>
    <m/>
    <m/>
    <m/>
    <m/>
    <m/>
    <m/>
    <m/>
    <m/>
    <m/>
    <m/>
    <m/>
    <m/>
    <m/>
    <m/>
    <e v="#N/A"/>
    <e v="#N/A"/>
    <e v="#N/A"/>
    <e v="#N/A"/>
    <e v="#N/A"/>
    <e v="#N/A"/>
    <e v="#N/A"/>
    <e v="#N/A"/>
    <e v="#N/A"/>
    <e v="#N/A"/>
    <e v="#N/A"/>
    <e v="#N/A"/>
    <e v="#N/A"/>
    <e v="#N/A"/>
  </r>
  <r>
    <x v="3"/>
    <s v="EC MEJORAMIENTO"/>
    <x v="0"/>
    <x v="9"/>
    <x v="2"/>
    <m/>
    <m/>
    <m/>
    <m/>
    <m/>
    <m/>
    <m/>
    <m/>
    <m/>
    <m/>
    <m/>
    <m/>
    <m/>
    <m/>
    <e v="#N/A"/>
    <e v="#N/A"/>
    <e v="#N/A"/>
    <e v="#N/A"/>
    <e v="#N/A"/>
    <e v="#N/A"/>
    <e v="#N/A"/>
    <e v="#N/A"/>
    <e v="#N/A"/>
    <e v="#N/A"/>
    <e v="#N/A"/>
    <e v="#N/A"/>
    <e v="#N/A"/>
    <e v="#N/A"/>
  </r>
  <r>
    <x v="3"/>
    <s v="EC MEJORAMIENTO"/>
    <x v="0"/>
    <x v="9"/>
    <x v="2"/>
    <m/>
    <m/>
    <m/>
    <m/>
    <m/>
    <m/>
    <m/>
    <m/>
    <m/>
    <m/>
    <m/>
    <m/>
    <m/>
    <m/>
    <e v="#N/A"/>
    <e v="#N/A"/>
    <e v="#N/A"/>
    <e v="#N/A"/>
    <e v="#N/A"/>
    <e v="#N/A"/>
    <e v="#N/A"/>
    <e v="#N/A"/>
    <e v="#N/A"/>
    <e v="#N/A"/>
    <e v="#N/A"/>
    <e v="#N/A"/>
    <e v="#N/A"/>
    <e v="#N/A"/>
  </r>
  <r>
    <x v="3"/>
    <s v="EC MEJORAMIENTO"/>
    <x v="0"/>
    <x v="9"/>
    <x v="2"/>
    <m/>
    <m/>
    <m/>
    <m/>
    <m/>
    <m/>
    <m/>
    <m/>
    <m/>
    <m/>
    <m/>
    <m/>
    <m/>
    <m/>
    <e v="#N/A"/>
    <e v="#N/A"/>
    <e v="#N/A"/>
    <e v="#N/A"/>
    <e v="#N/A"/>
    <e v="#N/A"/>
    <e v="#N/A"/>
    <e v="#N/A"/>
    <e v="#N/A"/>
    <e v="#N/A"/>
    <e v="#N/A"/>
    <e v="#N/A"/>
    <e v="#N/A"/>
    <e v="#N/A"/>
  </r>
  <r>
    <x v="3"/>
    <s v="EC MEJORAMIENTO"/>
    <x v="0"/>
    <x v="9"/>
    <x v="2"/>
    <m/>
    <m/>
    <m/>
    <m/>
    <m/>
    <m/>
    <m/>
    <m/>
    <m/>
    <m/>
    <m/>
    <m/>
    <m/>
    <m/>
    <e v="#N/A"/>
    <e v="#N/A"/>
    <e v="#N/A"/>
    <e v="#N/A"/>
    <e v="#N/A"/>
    <e v="#N/A"/>
    <e v="#N/A"/>
    <e v="#N/A"/>
    <e v="#N/A"/>
    <e v="#N/A"/>
    <e v="#N/A"/>
    <e v="#N/A"/>
    <e v="#N/A"/>
    <e v="#N/A"/>
  </r>
  <r>
    <x v="3"/>
    <s v="EC MEJORAMIENTO"/>
    <x v="0"/>
    <x v="9"/>
    <x v="2"/>
    <m/>
    <m/>
    <m/>
    <m/>
    <m/>
    <m/>
    <m/>
    <m/>
    <m/>
    <m/>
    <m/>
    <m/>
    <m/>
    <m/>
    <e v="#N/A"/>
    <e v="#N/A"/>
    <e v="#N/A"/>
    <e v="#N/A"/>
    <e v="#N/A"/>
    <e v="#N/A"/>
    <e v="#N/A"/>
    <e v="#N/A"/>
    <e v="#N/A"/>
    <e v="#N/A"/>
    <e v="#N/A"/>
    <e v="#N/A"/>
    <e v="#N/A"/>
    <e v="#N/A"/>
  </r>
  <r>
    <x v="3"/>
    <s v="EC MEJORAMIENTO"/>
    <x v="0"/>
    <x v="9"/>
    <x v="2"/>
    <m/>
    <m/>
    <m/>
    <m/>
    <m/>
    <m/>
    <m/>
    <m/>
    <m/>
    <m/>
    <m/>
    <m/>
    <m/>
    <m/>
    <e v="#N/A"/>
    <e v="#N/A"/>
    <e v="#N/A"/>
    <e v="#N/A"/>
    <e v="#N/A"/>
    <e v="#N/A"/>
    <e v="#N/A"/>
    <e v="#N/A"/>
    <e v="#N/A"/>
    <e v="#N/A"/>
    <e v="#N/A"/>
    <e v="#N/A"/>
    <e v="#N/A"/>
    <e v="#N/A"/>
  </r>
  <r>
    <x v="3"/>
    <s v="EC MEJORAMIENTO"/>
    <x v="0"/>
    <x v="9"/>
    <x v="2"/>
    <m/>
    <m/>
    <m/>
    <m/>
    <m/>
    <m/>
    <m/>
    <m/>
    <m/>
    <m/>
    <m/>
    <m/>
    <m/>
    <m/>
    <e v="#N/A"/>
    <e v="#N/A"/>
    <e v="#N/A"/>
    <e v="#N/A"/>
    <e v="#N/A"/>
    <e v="#N/A"/>
    <e v="#N/A"/>
    <e v="#N/A"/>
    <e v="#N/A"/>
    <e v="#N/A"/>
    <e v="#N/A"/>
    <e v="#N/A"/>
    <e v="#N/A"/>
    <e v="#N/A"/>
  </r>
  <r>
    <x v="4"/>
    <s v="E GESTION SOCIAL"/>
    <x v="0"/>
    <x v="20"/>
    <x v="0"/>
    <m/>
    <m/>
    <m/>
    <m/>
    <m/>
    <m/>
    <m/>
    <m/>
    <s v="$E"/>
    <n v="64"/>
    <s v=";'E GESTION SOCIAL'!$B$9:$AL$89;21;1)"/>
    <s v=";'E GESTION SOCIAL'!$B$9:$AL$89;21;1)"/>
    <s v="=BUSCARV($E64;'E GESTION SOCIAL'!$B$9:$AL$89;21;1)"/>
    <m/>
    <s v="Posible"/>
    <n v="3"/>
    <n v="3"/>
    <s v="Moderado"/>
    <n v="3"/>
    <n v="3"/>
    <s v="9_x000a_MODERADO"/>
    <s v="Baja"/>
    <n v="2"/>
    <n v="2"/>
    <s v="Moderado"/>
    <n v="3"/>
    <n v="3"/>
    <s v="6_x000a_MODERADO"/>
  </r>
  <r>
    <x v="4"/>
    <s v="E GESTION SOCIAL"/>
    <x v="0"/>
    <x v="21"/>
    <x v="0"/>
    <m/>
    <m/>
    <m/>
    <m/>
    <m/>
    <m/>
    <m/>
    <m/>
    <m/>
    <m/>
    <m/>
    <m/>
    <m/>
    <m/>
    <s v="Posible"/>
    <n v="3"/>
    <n v="3"/>
    <s v="Moderado"/>
    <n v="3"/>
    <n v="3"/>
    <s v="9_x000a_MODERADO"/>
    <s v="Remota"/>
    <n v="1"/>
    <n v="1"/>
    <s v="Insignificante"/>
    <n v="1"/>
    <n v="1"/>
    <s v="1_x000a_INFERIOR"/>
  </r>
  <r>
    <x v="4"/>
    <s v="E GESTION SOCIAL"/>
    <x v="0"/>
    <x v="22"/>
    <x v="0"/>
    <m/>
    <m/>
    <m/>
    <m/>
    <m/>
    <s v="X"/>
    <m/>
    <m/>
    <m/>
    <m/>
    <m/>
    <m/>
    <m/>
    <m/>
    <s v="Alta"/>
    <n v="4"/>
    <n v="4"/>
    <s v="Moderado"/>
    <n v="3"/>
    <n v="3"/>
    <s v="9_x000a_MODERADO"/>
    <s v="Baja"/>
    <n v="2"/>
    <n v="2"/>
    <s v="Moderado"/>
    <n v="3"/>
    <n v="3"/>
    <s v="1_x000a_INFERIOR"/>
  </r>
  <r>
    <x v="4"/>
    <s v="E GESTION SOCIAL"/>
    <x v="0"/>
    <x v="9"/>
    <x v="2"/>
    <m/>
    <m/>
    <m/>
    <m/>
    <m/>
    <m/>
    <m/>
    <m/>
    <m/>
    <m/>
    <m/>
    <m/>
    <m/>
    <m/>
    <e v="#N/A"/>
    <e v="#N/A"/>
    <e v="#N/A"/>
    <e v="#N/A"/>
    <e v="#N/A"/>
    <e v="#N/A"/>
    <e v="#N/A"/>
    <e v="#N/A"/>
    <e v="#N/A"/>
    <e v="#N/A"/>
    <e v="#N/A"/>
    <e v="#N/A"/>
    <e v="#N/A"/>
    <e v="#N/A"/>
  </r>
  <r>
    <x v="4"/>
    <s v="E GESTION SOCIAL"/>
    <x v="0"/>
    <x v="9"/>
    <x v="2"/>
    <m/>
    <m/>
    <m/>
    <m/>
    <m/>
    <m/>
    <m/>
    <m/>
    <m/>
    <m/>
    <m/>
    <m/>
    <m/>
    <m/>
    <e v="#N/A"/>
    <e v="#N/A"/>
    <e v="#N/A"/>
    <e v="#N/A"/>
    <e v="#N/A"/>
    <e v="#N/A"/>
    <e v="#N/A"/>
    <e v="#N/A"/>
    <e v="#N/A"/>
    <e v="#N/A"/>
    <e v="#N/A"/>
    <e v="#N/A"/>
    <e v="#N/A"/>
    <e v="#N/A"/>
  </r>
  <r>
    <x v="4"/>
    <s v="E GESTION SOCIAL"/>
    <x v="0"/>
    <x v="9"/>
    <x v="2"/>
    <m/>
    <m/>
    <m/>
    <m/>
    <m/>
    <m/>
    <m/>
    <m/>
    <m/>
    <m/>
    <m/>
    <m/>
    <m/>
    <m/>
    <e v="#N/A"/>
    <e v="#N/A"/>
    <e v="#N/A"/>
    <e v="#N/A"/>
    <e v="#N/A"/>
    <e v="#N/A"/>
    <e v="#N/A"/>
    <e v="#N/A"/>
    <e v="#N/A"/>
    <e v="#N/A"/>
    <e v="#N/A"/>
    <e v="#N/A"/>
    <e v="#N/A"/>
    <e v="#N/A"/>
  </r>
  <r>
    <x v="4"/>
    <s v="E GESTION SOCIAL"/>
    <x v="0"/>
    <x v="9"/>
    <x v="2"/>
    <m/>
    <m/>
    <m/>
    <m/>
    <m/>
    <m/>
    <m/>
    <m/>
    <m/>
    <m/>
    <m/>
    <m/>
    <m/>
    <m/>
    <e v="#N/A"/>
    <e v="#N/A"/>
    <e v="#N/A"/>
    <e v="#N/A"/>
    <e v="#N/A"/>
    <e v="#N/A"/>
    <e v="#N/A"/>
    <e v="#N/A"/>
    <e v="#N/A"/>
    <e v="#N/A"/>
    <e v="#N/A"/>
    <e v="#N/A"/>
    <e v="#N/A"/>
    <e v="#N/A"/>
  </r>
  <r>
    <x v="4"/>
    <s v="E GESTION SOCIAL"/>
    <x v="0"/>
    <x v="9"/>
    <x v="2"/>
    <m/>
    <m/>
    <m/>
    <m/>
    <m/>
    <m/>
    <m/>
    <m/>
    <m/>
    <m/>
    <m/>
    <m/>
    <m/>
    <m/>
    <e v="#N/A"/>
    <e v="#N/A"/>
    <e v="#N/A"/>
    <e v="#N/A"/>
    <e v="#N/A"/>
    <e v="#N/A"/>
    <e v="#N/A"/>
    <e v="#N/A"/>
    <e v="#N/A"/>
    <e v="#N/A"/>
    <e v="#N/A"/>
    <e v="#N/A"/>
    <e v="#N/A"/>
    <e v="#N/A"/>
  </r>
  <r>
    <x v="4"/>
    <s v="E GESTION SOCIAL"/>
    <x v="0"/>
    <x v="9"/>
    <x v="2"/>
    <m/>
    <m/>
    <m/>
    <m/>
    <m/>
    <m/>
    <m/>
    <m/>
    <m/>
    <m/>
    <m/>
    <m/>
    <m/>
    <m/>
    <e v="#N/A"/>
    <e v="#N/A"/>
    <e v="#N/A"/>
    <e v="#N/A"/>
    <e v="#N/A"/>
    <e v="#N/A"/>
    <e v="#N/A"/>
    <e v="#N/A"/>
    <e v="#N/A"/>
    <e v="#N/A"/>
    <e v="#N/A"/>
    <e v="#N/A"/>
    <e v="#N/A"/>
    <e v="#N/A"/>
  </r>
  <r>
    <x v="4"/>
    <s v="E GESTION SOCIAL"/>
    <x v="0"/>
    <x v="9"/>
    <x v="2"/>
    <m/>
    <m/>
    <m/>
    <m/>
    <m/>
    <m/>
    <m/>
    <m/>
    <m/>
    <m/>
    <m/>
    <m/>
    <m/>
    <m/>
    <e v="#N/A"/>
    <e v="#N/A"/>
    <e v="#N/A"/>
    <e v="#N/A"/>
    <e v="#N/A"/>
    <e v="#N/A"/>
    <e v="#N/A"/>
    <e v="#N/A"/>
    <e v="#N/A"/>
    <e v="#N/A"/>
    <e v="#N/A"/>
    <e v="#N/A"/>
    <e v="#N/A"/>
    <e v="#N/A"/>
  </r>
  <r>
    <x v="4"/>
    <s v="E GESTION SOCIAL"/>
    <x v="0"/>
    <x v="9"/>
    <x v="2"/>
    <m/>
    <m/>
    <m/>
    <m/>
    <m/>
    <m/>
    <m/>
    <m/>
    <m/>
    <m/>
    <m/>
    <m/>
    <m/>
    <m/>
    <e v="#N/A"/>
    <e v="#N/A"/>
    <e v="#N/A"/>
    <e v="#N/A"/>
    <e v="#N/A"/>
    <e v="#N/A"/>
    <e v="#N/A"/>
    <e v="#N/A"/>
    <e v="#N/A"/>
    <e v="#N/A"/>
    <e v="#N/A"/>
    <e v="#N/A"/>
    <e v="#N/A"/>
    <e v="#N/A"/>
  </r>
  <r>
    <x v="4"/>
    <s v="E GESTION SOCIAL"/>
    <x v="0"/>
    <x v="9"/>
    <x v="2"/>
    <m/>
    <m/>
    <m/>
    <m/>
    <m/>
    <m/>
    <m/>
    <m/>
    <m/>
    <m/>
    <m/>
    <m/>
    <m/>
    <m/>
    <e v="#N/A"/>
    <e v="#N/A"/>
    <e v="#N/A"/>
    <e v="#N/A"/>
    <e v="#N/A"/>
    <e v="#N/A"/>
    <e v="#N/A"/>
    <e v="#N/A"/>
    <e v="#N/A"/>
    <e v="#N/A"/>
    <e v="#N/A"/>
    <e v="#N/A"/>
    <e v="#N/A"/>
    <e v="#N/A"/>
  </r>
  <r>
    <x v="4"/>
    <s v="E GESTION SOCIAL"/>
    <x v="0"/>
    <x v="9"/>
    <x v="2"/>
    <m/>
    <m/>
    <m/>
    <m/>
    <m/>
    <m/>
    <m/>
    <m/>
    <m/>
    <m/>
    <m/>
    <m/>
    <m/>
    <m/>
    <e v="#N/A"/>
    <e v="#N/A"/>
    <e v="#N/A"/>
    <e v="#N/A"/>
    <e v="#N/A"/>
    <e v="#N/A"/>
    <e v="#N/A"/>
    <e v="#N/A"/>
    <e v="#N/A"/>
    <e v="#N/A"/>
    <e v="#N/A"/>
    <e v="#N/A"/>
    <e v="#N/A"/>
    <e v="#N/A"/>
  </r>
  <r>
    <x v="4"/>
    <s v="E GESTION SOCIAL"/>
    <x v="0"/>
    <x v="9"/>
    <x v="2"/>
    <m/>
    <m/>
    <m/>
    <m/>
    <m/>
    <m/>
    <m/>
    <m/>
    <m/>
    <m/>
    <m/>
    <m/>
    <m/>
    <m/>
    <e v="#N/A"/>
    <e v="#N/A"/>
    <e v="#N/A"/>
    <e v="#N/A"/>
    <e v="#N/A"/>
    <e v="#N/A"/>
    <e v="#N/A"/>
    <e v="#N/A"/>
    <e v="#N/A"/>
    <e v="#N/A"/>
    <e v="#N/A"/>
    <e v="#N/A"/>
    <e v="#N/A"/>
    <e v="#N/A"/>
  </r>
  <r>
    <x v="4"/>
    <s v="E GESTION SOCIAL"/>
    <x v="0"/>
    <x v="9"/>
    <x v="2"/>
    <m/>
    <m/>
    <m/>
    <m/>
    <m/>
    <m/>
    <m/>
    <m/>
    <m/>
    <m/>
    <m/>
    <m/>
    <m/>
    <m/>
    <e v="#N/A"/>
    <e v="#N/A"/>
    <e v="#N/A"/>
    <e v="#N/A"/>
    <e v="#N/A"/>
    <e v="#N/A"/>
    <e v="#N/A"/>
    <e v="#N/A"/>
    <e v="#N/A"/>
    <e v="#N/A"/>
    <e v="#N/A"/>
    <e v="#N/A"/>
    <e v="#N/A"/>
    <e v="#N/A"/>
  </r>
  <r>
    <x v="5"/>
    <s v="E COMUNICACIONES"/>
    <x v="0"/>
    <x v="23"/>
    <x v="0"/>
    <m/>
    <m/>
    <m/>
    <m/>
    <m/>
    <m/>
    <m/>
    <m/>
    <s v="$E"/>
    <n v="79"/>
    <s v=";'E COMUNICACIONES'!$B$9:$AL$89;21;1)"/>
    <s v=";'E COMUNICACIONES'!$B$9:$AL$89;21;1)"/>
    <s v="=BUSCARV($E79;'E COMUNICACIONES'!$B$9:$AL$89;21;1)"/>
    <m/>
    <s v="Posible"/>
    <n v="3"/>
    <n v="3"/>
    <s v="Menor"/>
    <n v="2"/>
    <n v="2"/>
    <s v="6_x000a_MODERADO"/>
    <s v="Baja"/>
    <n v="2"/>
    <n v="2"/>
    <s v="Menor"/>
    <n v="2"/>
    <n v="2"/>
    <s v="4_x000a_INFERIOR"/>
  </r>
  <r>
    <x v="5"/>
    <s v="E COMUNICACIONES"/>
    <x v="0"/>
    <x v="24"/>
    <x v="0"/>
    <m/>
    <m/>
    <m/>
    <m/>
    <m/>
    <m/>
    <m/>
    <m/>
    <m/>
    <m/>
    <m/>
    <m/>
    <m/>
    <m/>
    <s v="Posible"/>
    <n v="3"/>
    <n v="3"/>
    <s v="Menor"/>
    <n v="2"/>
    <n v="2"/>
    <s v="6_x000a_MODERADO"/>
    <s v="Baja"/>
    <n v="2"/>
    <n v="2"/>
    <s v="Menor"/>
    <n v="2"/>
    <n v="2"/>
    <s v="4_x000a_INFERIOR"/>
  </r>
  <r>
    <x v="5"/>
    <s v="E COMUNICACIONES"/>
    <x v="0"/>
    <x v="25"/>
    <x v="0"/>
    <m/>
    <m/>
    <m/>
    <m/>
    <m/>
    <m/>
    <m/>
    <m/>
    <m/>
    <m/>
    <m/>
    <m/>
    <m/>
    <m/>
    <s v="Baja"/>
    <n v="2"/>
    <n v="2"/>
    <s v="Moderado"/>
    <n v="3"/>
    <n v="3"/>
    <s v="6_x000a_MODERADO"/>
    <s v="Remota"/>
    <n v="1"/>
    <n v="1"/>
    <s v="Moderado"/>
    <n v="3"/>
    <n v="3"/>
    <s v="3_x000a_INFERIOR"/>
  </r>
  <r>
    <x v="5"/>
    <s v="E COMUNICACIONES"/>
    <x v="0"/>
    <x v="9"/>
    <x v="2"/>
    <m/>
    <m/>
    <m/>
    <m/>
    <m/>
    <m/>
    <m/>
    <m/>
    <m/>
    <m/>
    <m/>
    <m/>
    <m/>
    <m/>
    <e v="#N/A"/>
    <e v="#N/A"/>
    <e v="#N/A"/>
    <e v="#N/A"/>
    <e v="#N/A"/>
    <e v="#N/A"/>
    <e v="#N/A"/>
    <e v="#N/A"/>
    <e v="#N/A"/>
    <e v="#N/A"/>
    <e v="#N/A"/>
    <e v="#N/A"/>
    <e v="#N/A"/>
    <e v="#N/A"/>
  </r>
  <r>
    <x v="5"/>
    <s v="E COMUNICACIONES"/>
    <x v="0"/>
    <x v="9"/>
    <x v="2"/>
    <m/>
    <m/>
    <m/>
    <m/>
    <m/>
    <m/>
    <m/>
    <m/>
    <m/>
    <m/>
    <m/>
    <m/>
    <m/>
    <m/>
    <e v="#N/A"/>
    <e v="#N/A"/>
    <e v="#N/A"/>
    <e v="#N/A"/>
    <e v="#N/A"/>
    <e v="#N/A"/>
    <e v="#N/A"/>
    <e v="#N/A"/>
    <e v="#N/A"/>
    <e v="#N/A"/>
    <e v="#N/A"/>
    <e v="#N/A"/>
    <e v="#N/A"/>
    <e v="#N/A"/>
  </r>
  <r>
    <x v="5"/>
    <s v="E COMUNICACIONES"/>
    <x v="0"/>
    <x v="9"/>
    <x v="2"/>
    <m/>
    <m/>
    <m/>
    <m/>
    <m/>
    <m/>
    <m/>
    <m/>
    <m/>
    <m/>
    <m/>
    <m/>
    <m/>
    <m/>
    <e v="#N/A"/>
    <e v="#N/A"/>
    <e v="#N/A"/>
    <e v="#N/A"/>
    <e v="#N/A"/>
    <e v="#N/A"/>
    <e v="#N/A"/>
    <e v="#N/A"/>
    <e v="#N/A"/>
    <e v="#N/A"/>
    <e v="#N/A"/>
    <e v="#N/A"/>
    <e v="#N/A"/>
    <e v="#N/A"/>
  </r>
  <r>
    <x v="5"/>
    <s v="E COMUNICACIONES"/>
    <x v="0"/>
    <x v="9"/>
    <x v="2"/>
    <m/>
    <m/>
    <m/>
    <m/>
    <m/>
    <m/>
    <m/>
    <m/>
    <m/>
    <m/>
    <m/>
    <m/>
    <m/>
    <m/>
    <e v="#N/A"/>
    <e v="#N/A"/>
    <e v="#N/A"/>
    <e v="#N/A"/>
    <e v="#N/A"/>
    <e v="#N/A"/>
    <e v="#N/A"/>
    <e v="#N/A"/>
    <e v="#N/A"/>
    <e v="#N/A"/>
    <e v="#N/A"/>
    <e v="#N/A"/>
    <e v="#N/A"/>
    <e v="#N/A"/>
  </r>
  <r>
    <x v="5"/>
    <s v="E COMUNICACIONES"/>
    <x v="0"/>
    <x v="9"/>
    <x v="2"/>
    <m/>
    <m/>
    <m/>
    <m/>
    <m/>
    <m/>
    <m/>
    <m/>
    <m/>
    <m/>
    <m/>
    <m/>
    <m/>
    <m/>
    <e v="#N/A"/>
    <e v="#N/A"/>
    <e v="#N/A"/>
    <e v="#N/A"/>
    <e v="#N/A"/>
    <e v="#N/A"/>
    <e v="#N/A"/>
    <e v="#N/A"/>
    <e v="#N/A"/>
    <e v="#N/A"/>
    <e v="#N/A"/>
    <e v="#N/A"/>
    <e v="#N/A"/>
    <e v="#N/A"/>
  </r>
  <r>
    <x v="5"/>
    <s v="E COMUNICACIONES"/>
    <x v="0"/>
    <x v="9"/>
    <x v="2"/>
    <m/>
    <m/>
    <m/>
    <m/>
    <m/>
    <m/>
    <m/>
    <m/>
    <m/>
    <m/>
    <m/>
    <m/>
    <m/>
    <m/>
    <e v="#N/A"/>
    <e v="#N/A"/>
    <e v="#N/A"/>
    <e v="#N/A"/>
    <e v="#N/A"/>
    <e v="#N/A"/>
    <e v="#N/A"/>
    <e v="#N/A"/>
    <e v="#N/A"/>
    <e v="#N/A"/>
    <e v="#N/A"/>
    <e v="#N/A"/>
    <e v="#N/A"/>
    <e v="#N/A"/>
  </r>
  <r>
    <x v="5"/>
    <s v="E COMUNICACIONES"/>
    <x v="0"/>
    <x v="9"/>
    <x v="2"/>
    <m/>
    <m/>
    <m/>
    <m/>
    <m/>
    <m/>
    <m/>
    <m/>
    <m/>
    <m/>
    <m/>
    <m/>
    <m/>
    <m/>
    <e v="#N/A"/>
    <e v="#N/A"/>
    <e v="#N/A"/>
    <e v="#N/A"/>
    <e v="#N/A"/>
    <e v="#N/A"/>
    <e v="#N/A"/>
    <e v="#N/A"/>
    <e v="#N/A"/>
    <e v="#N/A"/>
    <e v="#N/A"/>
    <e v="#N/A"/>
    <e v="#N/A"/>
    <e v="#N/A"/>
  </r>
  <r>
    <x v="5"/>
    <s v="E COMUNICACIONES"/>
    <x v="0"/>
    <x v="9"/>
    <x v="2"/>
    <m/>
    <m/>
    <m/>
    <m/>
    <m/>
    <m/>
    <m/>
    <m/>
    <m/>
    <m/>
    <m/>
    <m/>
    <m/>
    <m/>
    <e v="#N/A"/>
    <e v="#N/A"/>
    <e v="#N/A"/>
    <e v="#N/A"/>
    <e v="#N/A"/>
    <e v="#N/A"/>
    <e v="#N/A"/>
    <e v="#N/A"/>
    <e v="#N/A"/>
    <e v="#N/A"/>
    <e v="#N/A"/>
    <e v="#N/A"/>
    <e v="#N/A"/>
    <e v="#N/A"/>
  </r>
  <r>
    <x v="5"/>
    <s v="E COMUNICACIONES"/>
    <x v="0"/>
    <x v="9"/>
    <x v="2"/>
    <m/>
    <m/>
    <m/>
    <m/>
    <m/>
    <m/>
    <m/>
    <m/>
    <m/>
    <m/>
    <m/>
    <m/>
    <m/>
    <m/>
    <e v="#N/A"/>
    <e v="#N/A"/>
    <e v="#N/A"/>
    <e v="#N/A"/>
    <e v="#N/A"/>
    <e v="#N/A"/>
    <e v="#N/A"/>
    <e v="#N/A"/>
    <e v="#N/A"/>
    <e v="#N/A"/>
    <e v="#N/A"/>
    <e v="#N/A"/>
    <e v="#N/A"/>
    <e v="#N/A"/>
  </r>
  <r>
    <x v="5"/>
    <s v="E COMUNICACIONES"/>
    <x v="0"/>
    <x v="9"/>
    <x v="2"/>
    <m/>
    <m/>
    <m/>
    <m/>
    <m/>
    <m/>
    <m/>
    <m/>
    <m/>
    <m/>
    <m/>
    <m/>
    <m/>
    <m/>
    <e v="#N/A"/>
    <e v="#N/A"/>
    <e v="#N/A"/>
    <e v="#N/A"/>
    <e v="#N/A"/>
    <e v="#N/A"/>
    <e v="#N/A"/>
    <e v="#N/A"/>
    <e v="#N/A"/>
    <e v="#N/A"/>
    <e v="#N/A"/>
    <e v="#N/A"/>
    <e v="#N/A"/>
    <e v="#N/A"/>
  </r>
  <r>
    <x v="5"/>
    <s v="E COMUNICACIONES"/>
    <x v="0"/>
    <x v="9"/>
    <x v="2"/>
    <m/>
    <m/>
    <m/>
    <m/>
    <m/>
    <m/>
    <m/>
    <m/>
    <m/>
    <m/>
    <m/>
    <m/>
    <m/>
    <m/>
    <e v="#N/A"/>
    <e v="#N/A"/>
    <e v="#N/A"/>
    <e v="#N/A"/>
    <e v="#N/A"/>
    <e v="#N/A"/>
    <e v="#N/A"/>
    <e v="#N/A"/>
    <e v="#N/A"/>
    <e v="#N/A"/>
    <e v="#N/A"/>
    <e v="#N/A"/>
    <e v="#N/A"/>
    <e v="#N/A"/>
  </r>
  <r>
    <x v="5"/>
    <s v="E COMUNICACIONES"/>
    <x v="0"/>
    <x v="9"/>
    <x v="2"/>
    <m/>
    <m/>
    <m/>
    <m/>
    <m/>
    <m/>
    <m/>
    <m/>
    <m/>
    <m/>
    <m/>
    <m/>
    <m/>
    <m/>
    <e v="#N/A"/>
    <e v="#N/A"/>
    <e v="#N/A"/>
    <e v="#N/A"/>
    <e v="#N/A"/>
    <e v="#N/A"/>
    <e v="#N/A"/>
    <e v="#N/A"/>
    <e v="#N/A"/>
    <e v="#N/A"/>
    <e v="#N/A"/>
    <e v="#N/A"/>
    <e v="#N/A"/>
    <e v="#N/A"/>
  </r>
  <r>
    <x v="6"/>
    <s v="EC EVALUACION"/>
    <x v="0"/>
    <x v="26"/>
    <x v="0"/>
    <m/>
    <m/>
    <m/>
    <m/>
    <m/>
    <m/>
    <m/>
    <s v="x"/>
    <s v="$E"/>
    <n v="94"/>
    <s v=";'EC EVALUACION'!$B$9:$AL$89;21;1)"/>
    <s v=";'EC EVALUACION'!$B$9:$AL$89;21;1)"/>
    <s v="=BUSCARV($E94;'EC EVALUACION'!$B$9:$AL$89;21;1)"/>
    <m/>
    <s v="Posible"/>
    <n v="3"/>
    <n v="3"/>
    <s v="Menor"/>
    <n v="2"/>
    <n v="2"/>
    <s v="6_x000a_MODERADO"/>
    <s v="Baja"/>
    <n v="2"/>
    <n v="2"/>
    <s v="Insignificante"/>
    <n v="1"/>
    <n v="1"/>
    <s v="2_x000a_INFERIOR"/>
  </r>
  <r>
    <x v="6"/>
    <s v="EC EVALUACION"/>
    <x v="0"/>
    <x v="27"/>
    <x v="0"/>
    <m/>
    <m/>
    <m/>
    <m/>
    <m/>
    <m/>
    <m/>
    <m/>
    <m/>
    <m/>
    <m/>
    <m/>
    <m/>
    <m/>
    <s v="Baja"/>
    <n v="2"/>
    <n v="2"/>
    <s v="Moderado"/>
    <n v="3"/>
    <n v="3"/>
    <s v="6_x000a_MODERADO"/>
    <s v="Remota"/>
    <n v="1"/>
    <n v="1"/>
    <s v="Insignificante"/>
    <n v="1"/>
    <n v="1"/>
    <s v="1_x000a_INFERIOR"/>
  </r>
  <r>
    <x v="6"/>
    <s v="EC EVALUACION"/>
    <x v="0"/>
    <x v="28"/>
    <x v="0"/>
    <m/>
    <m/>
    <m/>
    <m/>
    <m/>
    <m/>
    <m/>
    <s v="x"/>
    <m/>
    <m/>
    <m/>
    <m/>
    <m/>
    <m/>
    <s v="Alta"/>
    <n v="4"/>
    <n v="4"/>
    <s v="Menor"/>
    <n v="2"/>
    <n v="2"/>
    <s v="8_x000a_MODERADO"/>
    <s v="Posible"/>
    <n v="3"/>
    <n v="3"/>
    <s v="Insignificante"/>
    <n v="1"/>
    <n v="1"/>
    <s v="3_x000a_INFERIOR"/>
  </r>
  <r>
    <x v="6"/>
    <s v="EC EVALUACION"/>
    <x v="0"/>
    <x v="29"/>
    <x v="0"/>
    <m/>
    <m/>
    <m/>
    <m/>
    <m/>
    <m/>
    <m/>
    <s v="x"/>
    <m/>
    <m/>
    <m/>
    <m/>
    <m/>
    <m/>
    <s v="Posible"/>
    <n v="3"/>
    <n v="3"/>
    <s v="Menor"/>
    <n v="2"/>
    <n v="2"/>
    <s v="6_x000a_MODERADO"/>
    <s v="Baja"/>
    <n v="2"/>
    <n v="2"/>
    <s v="Menor"/>
    <n v="2"/>
    <n v="2"/>
    <s v="4_x000a_INFERIOR"/>
  </r>
  <r>
    <x v="6"/>
    <s v="EC EVALUACION"/>
    <x v="0"/>
    <x v="30"/>
    <x v="0"/>
    <m/>
    <m/>
    <m/>
    <m/>
    <m/>
    <m/>
    <m/>
    <m/>
    <m/>
    <m/>
    <m/>
    <m/>
    <m/>
    <m/>
    <s v="Baja"/>
    <n v="2"/>
    <n v="2"/>
    <s v="Insignificante"/>
    <n v="1"/>
    <n v="1"/>
    <s v="2_x000a_INFERIOR"/>
    <s v="Remota"/>
    <n v="1"/>
    <n v="1"/>
    <s v="Insignificante"/>
    <n v="1"/>
    <n v="1"/>
    <s v="1_x000a_INFERIOR"/>
  </r>
  <r>
    <x v="6"/>
    <s v="EC EVALUACION"/>
    <x v="0"/>
    <x v="31"/>
    <x v="1"/>
    <m/>
    <m/>
    <m/>
    <m/>
    <m/>
    <m/>
    <m/>
    <m/>
    <m/>
    <m/>
    <m/>
    <m/>
    <m/>
    <m/>
    <m/>
    <n v="1"/>
    <n v="1"/>
    <m/>
    <n v="1"/>
    <n v="1"/>
    <m/>
    <m/>
    <n v="1"/>
    <n v="1"/>
    <m/>
    <n v="1"/>
    <n v="1"/>
    <m/>
  </r>
  <r>
    <x v="6"/>
    <s v="EC EVALUACION"/>
    <x v="0"/>
    <x v="32"/>
    <x v="0"/>
    <m/>
    <m/>
    <m/>
    <m/>
    <m/>
    <m/>
    <m/>
    <m/>
    <m/>
    <m/>
    <m/>
    <m/>
    <m/>
    <m/>
    <s v="Baja"/>
    <n v="2"/>
    <n v="2"/>
    <s v="Menor"/>
    <n v="2"/>
    <n v="2"/>
    <s v="4_x000a_INFERIOR"/>
    <s v="Remota"/>
    <n v="1"/>
    <n v="1"/>
    <s v="Insignificante"/>
    <n v="1"/>
    <n v="1"/>
    <s v="1_x000a_INFERIOR"/>
  </r>
  <r>
    <x v="6"/>
    <s v="EC EVALUACION"/>
    <x v="0"/>
    <x v="33"/>
    <x v="0"/>
    <m/>
    <m/>
    <m/>
    <m/>
    <m/>
    <m/>
    <m/>
    <m/>
    <m/>
    <m/>
    <m/>
    <m/>
    <m/>
    <m/>
    <s v="Baja"/>
    <n v="2"/>
    <n v="2"/>
    <s v="Menor"/>
    <n v="2"/>
    <n v="2"/>
    <s v="4_x000a_INFERIOR"/>
    <s v="Remota"/>
    <n v="1"/>
    <n v="1"/>
    <s v="Menor"/>
    <n v="2"/>
    <n v="2"/>
    <s v="2_x000a_INFERIOR"/>
  </r>
  <r>
    <x v="6"/>
    <s v="EC EVALUACION"/>
    <x v="0"/>
    <x v="34"/>
    <x v="0"/>
    <m/>
    <m/>
    <m/>
    <m/>
    <m/>
    <m/>
    <m/>
    <m/>
    <m/>
    <m/>
    <m/>
    <m/>
    <m/>
    <m/>
    <s v="Baja"/>
    <n v="2"/>
    <n v="2"/>
    <s v="Menor"/>
    <n v="2"/>
    <n v="2"/>
    <s v="4_x000a_INFERIOR"/>
    <s v="Remota"/>
    <n v="1"/>
    <n v="1"/>
    <s v="Insignificante"/>
    <n v="1"/>
    <n v="1"/>
    <s v="1_x000a_INFERIOR"/>
  </r>
  <r>
    <x v="6"/>
    <s v="EC EVALUACION"/>
    <x v="0"/>
    <x v="35"/>
    <x v="0"/>
    <m/>
    <m/>
    <m/>
    <m/>
    <m/>
    <m/>
    <m/>
    <m/>
    <m/>
    <m/>
    <m/>
    <m/>
    <m/>
    <m/>
    <s v="Posible"/>
    <n v="3"/>
    <n v="3"/>
    <s v="Menor"/>
    <n v="2"/>
    <n v="2"/>
    <s v="6_x000a_MODERADO"/>
    <s v="Baja"/>
    <n v="2"/>
    <n v="2"/>
    <s v="Menor"/>
    <n v="2"/>
    <n v="2"/>
    <s v="4_x000a_INFERIOR"/>
  </r>
  <r>
    <x v="6"/>
    <s v="EC EVALUACION"/>
    <x v="0"/>
    <x v="9"/>
    <x v="2"/>
    <m/>
    <m/>
    <m/>
    <m/>
    <m/>
    <m/>
    <m/>
    <m/>
    <m/>
    <m/>
    <m/>
    <m/>
    <m/>
    <m/>
    <e v="#N/A"/>
    <e v="#N/A"/>
    <e v="#N/A"/>
    <e v="#N/A"/>
    <e v="#N/A"/>
    <e v="#N/A"/>
    <e v="#N/A"/>
    <e v="#N/A"/>
    <e v="#N/A"/>
    <e v="#N/A"/>
    <e v="#N/A"/>
    <e v="#N/A"/>
    <e v="#N/A"/>
    <e v="#N/A"/>
  </r>
  <r>
    <x v="6"/>
    <s v="EC EVALUACION"/>
    <x v="0"/>
    <x v="9"/>
    <x v="2"/>
    <m/>
    <m/>
    <m/>
    <m/>
    <m/>
    <m/>
    <m/>
    <m/>
    <m/>
    <m/>
    <m/>
    <m/>
    <m/>
    <m/>
    <e v="#N/A"/>
    <e v="#N/A"/>
    <e v="#N/A"/>
    <e v="#N/A"/>
    <e v="#N/A"/>
    <e v="#N/A"/>
    <e v="#N/A"/>
    <e v="#N/A"/>
    <e v="#N/A"/>
    <e v="#N/A"/>
    <e v="#N/A"/>
    <e v="#N/A"/>
    <e v="#N/A"/>
    <e v="#N/A"/>
  </r>
  <r>
    <x v="6"/>
    <s v="EC EVALUACION"/>
    <x v="0"/>
    <x v="9"/>
    <x v="2"/>
    <m/>
    <m/>
    <m/>
    <m/>
    <m/>
    <m/>
    <m/>
    <m/>
    <m/>
    <m/>
    <m/>
    <m/>
    <m/>
    <m/>
    <e v="#N/A"/>
    <e v="#N/A"/>
    <e v="#N/A"/>
    <e v="#N/A"/>
    <e v="#N/A"/>
    <e v="#N/A"/>
    <e v="#N/A"/>
    <e v="#N/A"/>
    <e v="#N/A"/>
    <e v="#N/A"/>
    <e v="#N/A"/>
    <e v="#N/A"/>
    <e v="#N/A"/>
    <e v="#N/A"/>
  </r>
  <r>
    <x v="6"/>
    <s v="EC EVALUACION"/>
    <x v="0"/>
    <x v="9"/>
    <x v="2"/>
    <m/>
    <m/>
    <m/>
    <m/>
    <m/>
    <m/>
    <m/>
    <m/>
    <m/>
    <m/>
    <m/>
    <m/>
    <m/>
    <m/>
    <e v="#N/A"/>
    <e v="#N/A"/>
    <e v="#N/A"/>
    <e v="#N/A"/>
    <e v="#N/A"/>
    <e v="#N/A"/>
    <e v="#N/A"/>
    <e v="#N/A"/>
    <e v="#N/A"/>
    <e v="#N/A"/>
    <e v="#N/A"/>
    <e v="#N/A"/>
    <e v="#N/A"/>
    <e v="#N/A"/>
  </r>
  <r>
    <x v="6"/>
    <s v="EC EVALUACION"/>
    <x v="0"/>
    <x v="9"/>
    <x v="2"/>
    <m/>
    <m/>
    <m/>
    <m/>
    <m/>
    <m/>
    <m/>
    <m/>
    <m/>
    <m/>
    <m/>
    <m/>
    <m/>
    <m/>
    <e v="#N/A"/>
    <e v="#N/A"/>
    <e v="#N/A"/>
    <e v="#N/A"/>
    <e v="#N/A"/>
    <e v="#N/A"/>
    <e v="#N/A"/>
    <e v="#N/A"/>
    <e v="#N/A"/>
    <e v="#N/A"/>
    <e v="#N/A"/>
    <e v="#N/A"/>
    <e v="#N/A"/>
    <e v="#N/A"/>
  </r>
  <r>
    <x v="7"/>
    <s v="E INTERINSTITUCIONAL"/>
    <x v="0"/>
    <x v="36"/>
    <x v="0"/>
    <m/>
    <m/>
    <s v="x"/>
    <m/>
    <s v="X"/>
    <m/>
    <m/>
    <m/>
    <s v="$E"/>
    <n v="109"/>
    <s v=";'E INTERINSTITUCIONAL'!$B$9:$AL$89;21;1)"/>
    <s v=";'E INTERINSTITUCIONAL'!$B$9:$AL$89;21;1)"/>
    <s v="=BUSCARV($E109;'E INTERINSTITUCIONAL'!$B$9:$AL$89;21;1)"/>
    <m/>
    <s v="Posible"/>
    <n v="3"/>
    <n v="3"/>
    <s v="Moderado"/>
    <n v="3"/>
    <n v="3"/>
    <s v="9_x000a_MODERADO"/>
    <s v="Baja"/>
    <n v="2"/>
    <n v="2"/>
    <s v="Menor"/>
    <n v="2"/>
    <n v="2"/>
    <s v="4_x000a_INFERIOR"/>
  </r>
  <r>
    <x v="7"/>
    <s v="E INTERINSTITUCIONAL"/>
    <x v="0"/>
    <x v="37"/>
    <x v="0"/>
    <m/>
    <m/>
    <s v="x"/>
    <m/>
    <m/>
    <m/>
    <m/>
    <m/>
    <m/>
    <m/>
    <m/>
    <m/>
    <m/>
    <m/>
    <s v="Posible"/>
    <n v="3"/>
    <n v="3"/>
    <s v="Menor"/>
    <n v="2"/>
    <n v="2"/>
    <s v="6_x000a_MODERADO"/>
    <s v="Baja"/>
    <n v="2"/>
    <n v="2"/>
    <s v="Insignificante"/>
    <n v="1"/>
    <n v="1"/>
    <s v="2_x000a_INFERIOR"/>
  </r>
  <r>
    <x v="7"/>
    <s v="E INTERINSTITUCIONAL"/>
    <x v="0"/>
    <x v="38"/>
    <x v="0"/>
    <m/>
    <m/>
    <s v="x"/>
    <m/>
    <s v="X"/>
    <m/>
    <m/>
    <m/>
    <m/>
    <m/>
    <m/>
    <m/>
    <m/>
    <m/>
    <s v="Alta"/>
    <n v="4"/>
    <n v="4"/>
    <s v="Menor"/>
    <n v="2"/>
    <n v="2"/>
    <s v="8_x000a_MODERADO"/>
    <s v="Posible"/>
    <n v="3"/>
    <n v="3"/>
    <s v="Insignificante"/>
    <n v="1"/>
    <n v="1"/>
    <s v="3_x000a_INFERIOR"/>
  </r>
  <r>
    <x v="7"/>
    <s v="E INTERINSTITUCIONAL"/>
    <x v="0"/>
    <x v="9"/>
    <x v="2"/>
    <m/>
    <m/>
    <m/>
    <m/>
    <m/>
    <m/>
    <m/>
    <m/>
    <m/>
    <m/>
    <m/>
    <m/>
    <m/>
    <m/>
    <e v="#N/A"/>
    <e v="#N/A"/>
    <e v="#N/A"/>
    <e v="#N/A"/>
    <e v="#N/A"/>
    <e v="#N/A"/>
    <e v="#N/A"/>
    <e v="#N/A"/>
    <e v="#N/A"/>
    <e v="#N/A"/>
    <e v="#N/A"/>
    <e v="#N/A"/>
    <e v="#N/A"/>
    <e v="#N/A"/>
  </r>
  <r>
    <x v="7"/>
    <s v="E INTERINSTITUCIONAL"/>
    <x v="0"/>
    <x v="9"/>
    <x v="2"/>
    <m/>
    <m/>
    <m/>
    <m/>
    <m/>
    <m/>
    <m/>
    <m/>
    <m/>
    <m/>
    <m/>
    <m/>
    <m/>
    <m/>
    <e v="#N/A"/>
    <e v="#N/A"/>
    <e v="#N/A"/>
    <e v="#N/A"/>
    <e v="#N/A"/>
    <e v="#N/A"/>
    <e v="#N/A"/>
    <e v="#N/A"/>
    <e v="#N/A"/>
    <e v="#N/A"/>
    <e v="#N/A"/>
    <e v="#N/A"/>
    <e v="#N/A"/>
    <e v="#N/A"/>
  </r>
  <r>
    <x v="7"/>
    <s v="E INTERINSTITUCIONAL"/>
    <x v="0"/>
    <x v="9"/>
    <x v="2"/>
    <m/>
    <m/>
    <m/>
    <m/>
    <m/>
    <m/>
    <m/>
    <m/>
    <m/>
    <m/>
    <m/>
    <m/>
    <m/>
    <m/>
    <e v="#N/A"/>
    <e v="#N/A"/>
    <e v="#N/A"/>
    <e v="#N/A"/>
    <e v="#N/A"/>
    <e v="#N/A"/>
    <e v="#N/A"/>
    <e v="#N/A"/>
    <e v="#N/A"/>
    <e v="#N/A"/>
    <e v="#N/A"/>
    <e v="#N/A"/>
    <e v="#N/A"/>
    <e v="#N/A"/>
  </r>
  <r>
    <x v="7"/>
    <s v="E INTERINSTITUCIONAL"/>
    <x v="0"/>
    <x v="9"/>
    <x v="2"/>
    <m/>
    <m/>
    <m/>
    <m/>
    <m/>
    <m/>
    <m/>
    <m/>
    <m/>
    <m/>
    <m/>
    <m/>
    <m/>
    <m/>
    <e v="#N/A"/>
    <e v="#N/A"/>
    <e v="#N/A"/>
    <e v="#N/A"/>
    <e v="#N/A"/>
    <e v="#N/A"/>
    <e v="#N/A"/>
    <e v="#N/A"/>
    <e v="#N/A"/>
    <e v="#N/A"/>
    <e v="#N/A"/>
    <e v="#N/A"/>
    <e v="#N/A"/>
    <e v="#N/A"/>
  </r>
  <r>
    <x v="7"/>
    <s v="E INTERINSTITUCIONAL"/>
    <x v="0"/>
    <x v="9"/>
    <x v="2"/>
    <m/>
    <m/>
    <m/>
    <m/>
    <m/>
    <m/>
    <m/>
    <m/>
    <m/>
    <m/>
    <m/>
    <m/>
    <m/>
    <m/>
    <e v="#N/A"/>
    <e v="#N/A"/>
    <e v="#N/A"/>
    <e v="#N/A"/>
    <e v="#N/A"/>
    <e v="#N/A"/>
    <e v="#N/A"/>
    <e v="#N/A"/>
    <e v="#N/A"/>
    <e v="#N/A"/>
    <e v="#N/A"/>
    <e v="#N/A"/>
    <e v="#N/A"/>
    <e v="#N/A"/>
  </r>
  <r>
    <x v="7"/>
    <s v="E INTERINSTITUCIONAL"/>
    <x v="0"/>
    <x v="9"/>
    <x v="2"/>
    <m/>
    <m/>
    <m/>
    <m/>
    <m/>
    <m/>
    <m/>
    <m/>
    <m/>
    <m/>
    <m/>
    <m/>
    <m/>
    <m/>
    <e v="#N/A"/>
    <e v="#N/A"/>
    <e v="#N/A"/>
    <e v="#N/A"/>
    <e v="#N/A"/>
    <e v="#N/A"/>
    <e v="#N/A"/>
    <e v="#N/A"/>
    <e v="#N/A"/>
    <e v="#N/A"/>
    <e v="#N/A"/>
    <e v="#N/A"/>
    <e v="#N/A"/>
    <e v="#N/A"/>
  </r>
  <r>
    <x v="7"/>
    <s v="E INTERINSTITUCIONAL"/>
    <x v="0"/>
    <x v="9"/>
    <x v="2"/>
    <m/>
    <m/>
    <m/>
    <m/>
    <m/>
    <m/>
    <m/>
    <m/>
    <m/>
    <m/>
    <m/>
    <m/>
    <m/>
    <m/>
    <e v="#N/A"/>
    <e v="#N/A"/>
    <e v="#N/A"/>
    <e v="#N/A"/>
    <e v="#N/A"/>
    <e v="#N/A"/>
    <e v="#N/A"/>
    <e v="#N/A"/>
    <e v="#N/A"/>
    <e v="#N/A"/>
    <e v="#N/A"/>
    <e v="#N/A"/>
    <e v="#N/A"/>
    <e v="#N/A"/>
  </r>
  <r>
    <x v="7"/>
    <s v="E INTERINSTITUCIONAL"/>
    <x v="0"/>
    <x v="9"/>
    <x v="2"/>
    <m/>
    <m/>
    <m/>
    <m/>
    <m/>
    <m/>
    <m/>
    <m/>
    <m/>
    <m/>
    <m/>
    <m/>
    <m/>
    <m/>
    <e v="#N/A"/>
    <e v="#N/A"/>
    <e v="#N/A"/>
    <e v="#N/A"/>
    <e v="#N/A"/>
    <e v="#N/A"/>
    <e v="#N/A"/>
    <e v="#N/A"/>
    <e v="#N/A"/>
    <e v="#N/A"/>
    <e v="#N/A"/>
    <e v="#N/A"/>
    <e v="#N/A"/>
    <e v="#N/A"/>
  </r>
  <r>
    <x v="7"/>
    <s v="E INTERINSTITUCIONAL"/>
    <x v="0"/>
    <x v="9"/>
    <x v="2"/>
    <m/>
    <m/>
    <m/>
    <m/>
    <m/>
    <m/>
    <m/>
    <m/>
    <m/>
    <m/>
    <m/>
    <m/>
    <m/>
    <m/>
    <e v="#N/A"/>
    <e v="#N/A"/>
    <e v="#N/A"/>
    <e v="#N/A"/>
    <e v="#N/A"/>
    <e v="#N/A"/>
    <e v="#N/A"/>
    <e v="#N/A"/>
    <e v="#N/A"/>
    <e v="#N/A"/>
    <e v="#N/A"/>
    <e v="#N/A"/>
    <e v="#N/A"/>
    <e v="#N/A"/>
  </r>
  <r>
    <x v="7"/>
    <s v="E INTERINSTITUCIONAL"/>
    <x v="0"/>
    <x v="9"/>
    <x v="2"/>
    <m/>
    <m/>
    <m/>
    <m/>
    <m/>
    <m/>
    <m/>
    <m/>
    <m/>
    <m/>
    <m/>
    <m/>
    <m/>
    <m/>
    <e v="#N/A"/>
    <e v="#N/A"/>
    <e v="#N/A"/>
    <e v="#N/A"/>
    <e v="#N/A"/>
    <e v="#N/A"/>
    <e v="#N/A"/>
    <e v="#N/A"/>
    <e v="#N/A"/>
    <e v="#N/A"/>
    <e v="#N/A"/>
    <e v="#N/A"/>
    <e v="#N/A"/>
    <e v="#N/A"/>
  </r>
  <r>
    <x v="7"/>
    <s v="E INTERINSTITUCIONAL"/>
    <x v="0"/>
    <x v="9"/>
    <x v="2"/>
    <m/>
    <m/>
    <m/>
    <m/>
    <m/>
    <m/>
    <m/>
    <m/>
    <m/>
    <m/>
    <m/>
    <m/>
    <m/>
    <m/>
    <e v="#N/A"/>
    <e v="#N/A"/>
    <e v="#N/A"/>
    <e v="#N/A"/>
    <e v="#N/A"/>
    <e v="#N/A"/>
    <e v="#N/A"/>
    <e v="#N/A"/>
    <e v="#N/A"/>
    <e v="#N/A"/>
    <e v="#N/A"/>
    <e v="#N/A"/>
    <e v="#N/A"/>
    <e v="#N/A"/>
  </r>
  <r>
    <x v="7"/>
    <s v="E INTERINSTITUCIONAL"/>
    <x v="0"/>
    <x v="9"/>
    <x v="2"/>
    <m/>
    <m/>
    <m/>
    <m/>
    <m/>
    <m/>
    <m/>
    <m/>
    <m/>
    <m/>
    <m/>
    <m/>
    <m/>
    <m/>
    <e v="#N/A"/>
    <e v="#N/A"/>
    <e v="#N/A"/>
    <e v="#N/A"/>
    <e v="#N/A"/>
    <e v="#N/A"/>
    <e v="#N/A"/>
    <e v="#N/A"/>
    <e v="#N/A"/>
    <e v="#N/A"/>
    <e v="#N/A"/>
    <e v="#N/A"/>
    <e v="#N/A"/>
    <e v="#N/A"/>
  </r>
  <r>
    <x v="8"/>
    <s v="E INNOVACION"/>
    <x v="0"/>
    <x v="36"/>
    <x v="0"/>
    <m/>
    <m/>
    <m/>
    <m/>
    <m/>
    <m/>
    <s v="x"/>
    <m/>
    <s v="$E"/>
    <n v="124"/>
    <s v=";'E INNOVACION'!$B$9:$AL$89;21;1)"/>
    <s v=";'E INNOVACION'!$B$9:$AL$89;21;1)"/>
    <s v="=BUSCARV($E124;'E INNOVACION'!$B$9:$AL$89;21;1)"/>
    <m/>
    <s v="Posible"/>
    <n v="3"/>
    <n v="3"/>
    <s v="Menor"/>
    <n v="2"/>
    <n v="2"/>
    <s v="6_x000a_MODERADO"/>
    <s v="Remota"/>
    <n v="1"/>
    <n v="1"/>
    <s v="Menor"/>
    <n v="2"/>
    <n v="2"/>
    <s v="2_x000a_INFERIOR"/>
  </r>
  <r>
    <x v="8"/>
    <s v="E INNOVACION"/>
    <x v="0"/>
    <x v="9"/>
    <x v="2"/>
    <m/>
    <m/>
    <m/>
    <m/>
    <m/>
    <m/>
    <m/>
    <m/>
    <m/>
    <m/>
    <m/>
    <m/>
    <m/>
    <m/>
    <e v="#N/A"/>
    <e v="#N/A"/>
    <e v="#N/A"/>
    <e v="#N/A"/>
    <e v="#N/A"/>
    <e v="#N/A"/>
    <e v="#N/A"/>
    <e v="#N/A"/>
    <e v="#N/A"/>
    <e v="#N/A"/>
    <e v="#N/A"/>
    <e v="#N/A"/>
    <e v="#N/A"/>
    <e v="#N/A"/>
  </r>
  <r>
    <x v="8"/>
    <s v="E INNOVACION"/>
    <x v="0"/>
    <x v="9"/>
    <x v="2"/>
    <m/>
    <m/>
    <m/>
    <m/>
    <m/>
    <m/>
    <m/>
    <m/>
    <m/>
    <m/>
    <m/>
    <m/>
    <m/>
    <m/>
    <e v="#N/A"/>
    <e v="#N/A"/>
    <e v="#N/A"/>
    <e v="#N/A"/>
    <e v="#N/A"/>
    <e v="#N/A"/>
    <e v="#N/A"/>
    <e v="#N/A"/>
    <e v="#N/A"/>
    <e v="#N/A"/>
    <e v="#N/A"/>
    <e v="#N/A"/>
    <e v="#N/A"/>
    <e v="#N/A"/>
  </r>
  <r>
    <x v="8"/>
    <s v="E INNOVACION"/>
    <x v="0"/>
    <x v="9"/>
    <x v="2"/>
    <m/>
    <m/>
    <m/>
    <m/>
    <m/>
    <m/>
    <m/>
    <m/>
    <m/>
    <m/>
    <m/>
    <m/>
    <m/>
    <m/>
    <e v="#N/A"/>
    <e v="#N/A"/>
    <e v="#N/A"/>
    <e v="#N/A"/>
    <e v="#N/A"/>
    <e v="#N/A"/>
    <e v="#N/A"/>
    <e v="#N/A"/>
    <e v="#N/A"/>
    <e v="#N/A"/>
    <e v="#N/A"/>
    <e v="#N/A"/>
    <e v="#N/A"/>
    <e v="#N/A"/>
  </r>
  <r>
    <x v="8"/>
    <s v="E INNOVACION"/>
    <x v="0"/>
    <x v="9"/>
    <x v="2"/>
    <m/>
    <m/>
    <m/>
    <m/>
    <m/>
    <m/>
    <m/>
    <m/>
    <m/>
    <m/>
    <m/>
    <m/>
    <m/>
    <m/>
    <e v="#N/A"/>
    <e v="#N/A"/>
    <e v="#N/A"/>
    <e v="#N/A"/>
    <e v="#N/A"/>
    <e v="#N/A"/>
    <e v="#N/A"/>
    <e v="#N/A"/>
    <e v="#N/A"/>
    <e v="#N/A"/>
    <e v="#N/A"/>
    <e v="#N/A"/>
    <e v="#N/A"/>
    <e v="#N/A"/>
  </r>
  <r>
    <x v="8"/>
    <s v="E INNOVACION"/>
    <x v="0"/>
    <x v="9"/>
    <x v="2"/>
    <m/>
    <m/>
    <m/>
    <m/>
    <m/>
    <m/>
    <m/>
    <m/>
    <m/>
    <m/>
    <m/>
    <m/>
    <m/>
    <m/>
    <e v="#N/A"/>
    <e v="#N/A"/>
    <e v="#N/A"/>
    <e v="#N/A"/>
    <e v="#N/A"/>
    <e v="#N/A"/>
    <e v="#N/A"/>
    <e v="#N/A"/>
    <e v="#N/A"/>
    <e v="#N/A"/>
    <e v="#N/A"/>
    <e v="#N/A"/>
    <e v="#N/A"/>
    <e v="#N/A"/>
  </r>
  <r>
    <x v="8"/>
    <s v="E INNOVACION"/>
    <x v="0"/>
    <x v="9"/>
    <x v="2"/>
    <m/>
    <m/>
    <m/>
    <m/>
    <m/>
    <m/>
    <m/>
    <m/>
    <m/>
    <m/>
    <m/>
    <m/>
    <m/>
    <m/>
    <e v="#N/A"/>
    <e v="#N/A"/>
    <e v="#N/A"/>
    <e v="#N/A"/>
    <e v="#N/A"/>
    <e v="#N/A"/>
    <e v="#N/A"/>
    <e v="#N/A"/>
    <e v="#N/A"/>
    <e v="#N/A"/>
    <e v="#N/A"/>
    <e v="#N/A"/>
    <e v="#N/A"/>
    <e v="#N/A"/>
  </r>
  <r>
    <x v="8"/>
    <s v="E INNOVACION"/>
    <x v="0"/>
    <x v="9"/>
    <x v="2"/>
    <m/>
    <m/>
    <m/>
    <m/>
    <m/>
    <m/>
    <m/>
    <m/>
    <m/>
    <m/>
    <m/>
    <m/>
    <m/>
    <m/>
    <e v="#N/A"/>
    <e v="#N/A"/>
    <e v="#N/A"/>
    <e v="#N/A"/>
    <e v="#N/A"/>
    <e v="#N/A"/>
    <e v="#N/A"/>
    <e v="#N/A"/>
    <e v="#N/A"/>
    <e v="#N/A"/>
    <e v="#N/A"/>
    <e v="#N/A"/>
    <e v="#N/A"/>
    <e v="#N/A"/>
  </r>
  <r>
    <x v="8"/>
    <s v="E INNOVACION"/>
    <x v="0"/>
    <x v="9"/>
    <x v="2"/>
    <m/>
    <m/>
    <m/>
    <m/>
    <m/>
    <m/>
    <m/>
    <m/>
    <m/>
    <m/>
    <m/>
    <m/>
    <m/>
    <m/>
    <e v="#N/A"/>
    <e v="#N/A"/>
    <e v="#N/A"/>
    <e v="#N/A"/>
    <e v="#N/A"/>
    <e v="#N/A"/>
    <e v="#N/A"/>
    <e v="#N/A"/>
    <e v="#N/A"/>
    <e v="#N/A"/>
    <e v="#N/A"/>
    <e v="#N/A"/>
    <e v="#N/A"/>
    <e v="#N/A"/>
  </r>
  <r>
    <x v="8"/>
    <s v="E INNOVACION"/>
    <x v="0"/>
    <x v="9"/>
    <x v="2"/>
    <m/>
    <m/>
    <m/>
    <m/>
    <m/>
    <m/>
    <m/>
    <m/>
    <m/>
    <m/>
    <m/>
    <m/>
    <m/>
    <m/>
    <e v="#N/A"/>
    <e v="#N/A"/>
    <e v="#N/A"/>
    <e v="#N/A"/>
    <e v="#N/A"/>
    <e v="#N/A"/>
    <e v="#N/A"/>
    <e v="#N/A"/>
    <e v="#N/A"/>
    <e v="#N/A"/>
    <e v="#N/A"/>
    <e v="#N/A"/>
    <e v="#N/A"/>
    <e v="#N/A"/>
  </r>
  <r>
    <x v="8"/>
    <s v="E INNOVACION"/>
    <x v="0"/>
    <x v="9"/>
    <x v="2"/>
    <m/>
    <m/>
    <m/>
    <m/>
    <m/>
    <m/>
    <m/>
    <m/>
    <m/>
    <m/>
    <m/>
    <m/>
    <m/>
    <m/>
    <e v="#N/A"/>
    <e v="#N/A"/>
    <e v="#N/A"/>
    <e v="#N/A"/>
    <e v="#N/A"/>
    <e v="#N/A"/>
    <e v="#N/A"/>
    <e v="#N/A"/>
    <e v="#N/A"/>
    <e v="#N/A"/>
    <e v="#N/A"/>
    <e v="#N/A"/>
    <e v="#N/A"/>
    <e v="#N/A"/>
  </r>
  <r>
    <x v="8"/>
    <s v="E INNOVACION"/>
    <x v="0"/>
    <x v="9"/>
    <x v="2"/>
    <m/>
    <m/>
    <m/>
    <m/>
    <m/>
    <m/>
    <m/>
    <m/>
    <m/>
    <m/>
    <m/>
    <m/>
    <m/>
    <m/>
    <e v="#N/A"/>
    <e v="#N/A"/>
    <e v="#N/A"/>
    <e v="#N/A"/>
    <e v="#N/A"/>
    <e v="#N/A"/>
    <e v="#N/A"/>
    <e v="#N/A"/>
    <e v="#N/A"/>
    <e v="#N/A"/>
    <e v="#N/A"/>
    <e v="#N/A"/>
    <e v="#N/A"/>
    <e v="#N/A"/>
  </r>
  <r>
    <x v="8"/>
    <s v="E INNOVACION"/>
    <x v="0"/>
    <x v="9"/>
    <x v="2"/>
    <m/>
    <m/>
    <m/>
    <m/>
    <m/>
    <m/>
    <m/>
    <m/>
    <m/>
    <m/>
    <m/>
    <m/>
    <m/>
    <m/>
    <e v="#N/A"/>
    <e v="#N/A"/>
    <e v="#N/A"/>
    <e v="#N/A"/>
    <e v="#N/A"/>
    <e v="#N/A"/>
    <e v="#N/A"/>
    <e v="#N/A"/>
    <e v="#N/A"/>
    <e v="#N/A"/>
    <e v="#N/A"/>
    <e v="#N/A"/>
    <e v="#N/A"/>
    <e v="#N/A"/>
  </r>
  <r>
    <x v="8"/>
    <s v="E INNOVACION"/>
    <x v="0"/>
    <x v="9"/>
    <x v="2"/>
    <m/>
    <m/>
    <m/>
    <m/>
    <m/>
    <m/>
    <m/>
    <m/>
    <m/>
    <m/>
    <m/>
    <m/>
    <m/>
    <m/>
    <e v="#N/A"/>
    <e v="#N/A"/>
    <e v="#N/A"/>
    <e v="#N/A"/>
    <e v="#N/A"/>
    <e v="#N/A"/>
    <e v="#N/A"/>
    <e v="#N/A"/>
    <e v="#N/A"/>
    <e v="#N/A"/>
    <e v="#N/A"/>
    <e v="#N/A"/>
    <e v="#N/A"/>
    <e v="#N/A"/>
  </r>
  <r>
    <x v="8"/>
    <s v="E INNOVACION"/>
    <x v="0"/>
    <x v="9"/>
    <x v="2"/>
    <m/>
    <m/>
    <m/>
    <m/>
    <m/>
    <m/>
    <m/>
    <m/>
    <m/>
    <m/>
    <m/>
    <m/>
    <m/>
    <m/>
    <e v="#N/A"/>
    <e v="#N/A"/>
    <e v="#N/A"/>
    <e v="#N/A"/>
    <e v="#N/A"/>
    <e v="#N/A"/>
    <e v="#N/A"/>
    <e v="#N/A"/>
    <e v="#N/A"/>
    <e v="#N/A"/>
    <e v="#N/A"/>
    <e v="#N/A"/>
    <e v="#N/A"/>
    <e v="#N/A"/>
  </r>
  <r>
    <x v="9"/>
    <s v="M FACTIBILIDAD"/>
    <x v="0"/>
    <x v="39"/>
    <x v="0"/>
    <m/>
    <m/>
    <m/>
    <s v="X"/>
    <s v="X"/>
    <m/>
    <m/>
    <m/>
    <s v="$E"/>
    <n v="139"/>
    <s v=";'M FACTIBILIDAD'!$B$9:$AL$89;21;1)"/>
    <s v=";'M FACTIBILIDAD'!$B$9:$AL$89;21;1)"/>
    <s v="=BUSCARV($E139;'M FACTIBILIDAD'!$B$9:$AL$89;21;1)"/>
    <m/>
    <s v="Alta"/>
    <n v="4"/>
    <n v="4"/>
    <s v="Moderado"/>
    <n v="3"/>
    <n v="3"/>
    <s v="12_x000a_ALTO"/>
    <s v="Posible"/>
    <n v="3"/>
    <n v="3"/>
    <s v="Menor"/>
    <n v="2"/>
    <n v="2"/>
    <s v="6_x000a_MODERADO"/>
  </r>
  <r>
    <x v="9"/>
    <s v="M FACTIBILIDAD"/>
    <x v="0"/>
    <x v="40"/>
    <x v="0"/>
    <m/>
    <m/>
    <m/>
    <s v="X"/>
    <m/>
    <m/>
    <m/>
    <m/>
    <m/>
    <m/>
    <m/>
    <m/>
    <m/>
    <m/>
    <s v="Posible"/>
    <n v="3"/>
    <n v="3"/>
    <s v="Moderado"/>
    <n v="3"/>
    <n v="3"/>
    <s v="9_x000a_MODERADO"/>
    <s v="Baja"/>
    <n v="2"/>
    <n v="2"/>
    <s v="Menor"/>
    <n v="2"/>
    <n v="2"/>
    <s v="4_x000a_INFERIOR"/>
  </r>
  <r>
    <x v="9"/>
    <s v="M FACTIBILIDAD"/>
    <x v="0"/>
    <x v="9"/>
    <x v="2"/>
    <m/>
    <m/>
    <m/>
    <m/>
    <m/>
    <m/>
    <m/>
    <m/>
    <m/>
    <m/>
    <m/>
    <m/>
    <m/>
    <m/>
    <e v="#N/A"/>
    <e v="#N/A"/>
    <e v="#N/A"/>
    <e v="#N/A"/>
    <e v="#N/A"/>
    <e v="#N/A"/>
    <e v="#N/A"/>
    <e v="#N/A"/>
    <e v="#N/A"/>
    <e v="#N/A"/>
    <e v="#N/A"/>
    <e v="#N/A"/>
    <e v="#N/A"/>
    <e v="#N/A"/>
  </r>
  <r>
    <x v="9"/>
    <s v="M FACTIBILIDAD"/>
    <x v="0"/>
    <x v="9"/>
    <x v="2"/>
    <m/>
    <m/>
    <m/>
    <m/>
    <m/>
    <m/>
    <m/>
    <m/>
    <m/>
    <m/>
    <m/>
    <m/>
    <m/>
    <m/>
    <e v="#N/A"/>
    <e v="#N/A"/>
    <e v="#N/A"/>
    <e v="#N/A"/>
    <e v="#N/A"/>
    <e v="#N/A"/>
    <e v="#N/A"/>
    <e v="#N/A"/>
    <e v="#N/A"/>
    <e v="#N/A"/>
    <e v="#N/A"/>
    <e v="#N/A"/>
    <e v="#N/A"/>
    <e v="#N/A"/>
  </r>
  <r>
    <x v="9"/>
    <s v="M FACTIBILIDAD"/>
    <x v="0"/>
    <x v="9"/>
    <x v="2"/>
    <m/>
    <m/>
    <m/>
    <m/>
    <m/>
    <m/>
    <m/>
    <m/>
    <m/>
    <m/>
    <m/>
    <m/>
    <m/>
    <m/>
    <e v="#N/A"/>
    <e v="#N/A"/>
    <e v="#N/A"/>
    <e v="#N/A"/>
    <e v="#N/A"/>
    <e v="#N/A"/>
    <e v="#N/A"/>
    <e v="#N/A"/>
    <e v="#N/A"/>
    <e v="#N/A"/>
    <e v="#N/A"/>
    <e v="#N/A"/>
    <e v="#N/A"/>
    <e v="#N/A"/>
  </r>
  <r>
    <x v="9"/>
    <s v="M FACTIBILIDAD"/>
    <x v="0"/>
    <x v="9"/>
    <x v="2"/>
    <m/>
    <m/>
    <m/>
    <m/>
    <m/>
    <m/>
    <m/>
    <m/>
    <m/>
    <m/>
    <m/>
    <m/>
    <m/>
    <m/>
    <e v="#N/A"/>
    <e v="#N/A"/>
    <e v="#N/A"/>
    <e v="#N/A"/>
    <e v="#N/A"/>
    <e v="#N/A"/>
    <e v="#N/A"/>
    <e v="#N/A"/>
    <e v="#N/A"/>
    <e v="#N/A"/>
    <e v="#N/A"/>
    <e v="#N/A"/>
    <e v="#N/A"/>
    <e v="#N/A"/>
  </r>
  <r>
    <x v="9"/>
    <s v="M FACTIBILIDAD"/>
    <x v="0"/>
    <x v="9"/>
    <x v="2"/>
    <m/>
    <m/>
    <m/>
    <m/>
    <m/>
    <m/>
    <m/>
    <m/>
    <m/>
    <m/>
    <m/>
    <m/>
    <m/>
    <m/>
    <e v="#N/A"/>
    <e v="#N/A"/>
    <e v="#N/A"/>
    <e v="#N/A"/>
    <e v="#N/A"/>
    <e v="#N/A"/>
    <e v="#N/A"/>
    <e v="#N/A"/>
    <e v="#N/A"/>
    <e v="#N/A"/>
    <e v="#N/A"/>
    <e v="#N/A"/>
    <e v="#N/A"/>
    <e v="#N/A"/>
  </r>
  <r>
    <x v="9"/>
    <s v="M FACTIBILIDAD"/>
    <x v="0"/>
    <x v="9"/>
    <x v="2"/>
    <m/>
    <m/>
    <m/>
    <m/>
    <m/>
    <m/>
    <m/>
    <m/>
    <m/>
    <m/>
    <m/>
    <m/>
    <m/>
    <m/>
    <e v="#N/A"/>
    <e v="#N/A"/>
    <e v="#N/A"/>
    <e v="#N/A"/>
    <e v="#N/A"/>
    <e v="#N/A"/>
    <e v="#N/A"/>
    <e v="#N/A"/>
    <e v="#N/A"/>
    <e v="#N/A"/>
    <e v="#N/A"/>
    <e v="#N/A"/>
    <e v="#N/A"/>
    <e v="#N/A"/>
  </r>
  <r>
    <x v="9"/>
    <s v="M FACTIBILIDAD"/>
    <x v="0"/>
    <x v="9"/>
    <x v="2"/>
    <m/>
    <m/>
    <m/>
    <m/>
    <m/>
    <m/>
    <m/>
    <m/>
    <m/>
    <m/>
    <m/>
    <m/>
    <m/>
    <m/>
    <e v="#N/A"/>
    <e v="#N/A"/>
    <e v="#N/A"/>
    <e v="#N/A"/>
    <e v="#N/A"/>
    <e v="#N/A"/>
    <e v="#N/A"/>
    <e v="#N/A"/>
    <e v="#N/A"/>
    <e v="#N/A"/>
    <e v="#N/A"/>
    <e v="#N/A"/>
    <e v="#N/A"/>
    <e v="#N/A"/>
  </r>
  <r>
    <x v="9"/>
    <s v="M FACTIBILIDAD"/>
    <x v="0"/>
    <x v="9"/>
    <x v="2"/>
    <m/>
    <m/>
    <m/>
    <m/>
    <m/>
    <m/>
    <m/>
    <m/>
    <m/>
    <m/>
    <m/>
    <m/>
    <m/>
    <m/>
    <e v="#N/A"/>
    <e v="#N/A"/>
    <e v="#N/A"/>
    <e v="#N/A"/>
    <e v="#N/A"/>
    <e v="#N/A"/>
    <e v="#N/A"/>
    <e v="#N/A"/>
    <e v="#N/A"/>
    <e v="#N/A"/>
    <e v="#N/A"/>
    <e v="#N/A"/>
    <e v="#N/A"/>
    <e v="#N/A"/>
  </r>
  <r>
    <x v="9"/>
    <s v="M FACTIBILIDAD"/>
    <x v="0"/>
    <x v="9"/>
    <x v="2"/>
    <m/>
    <m/>
    <m/>
    <m/>
    <m/>
    <m/>
    <m/>
    <m/>
    <m/>
    <m/>
    <m/>
    <m/>
    <m/>
    <m/>
    <e v="#N/A"/>
    <e v="#N/A"/>
    <e v="#N/A"/>
    <e v="#N/A"/>
    <e v="#N/A"/>
    <e v="#N/A"/>
    <e v="#N/A"/>
    <e v="#N/A"/>
    <e v="#N/A"/>
    <e v="#N/A"/>
    <e v="#N/A"/>
    <e v="#N/A"/>
    <e v="#N/A"/>
    <e v="#N/A"/>
  </r>
  <r>
    <x v="9"/>
    <s v="M FACTIBILIDAD"/>
    <x v="0"/>
    <x v="9"/>
    <x v="2"/>
    <m/>
    <m/>
    <m/>
    <m/>
    <m/>
    <m/>
    <m/>
    <m/>
    <m/>
    <m/>
    <m/>
    <m/>
    <m/>
    <m/>
    <e v="#N/A"/>
    <e v="#N/A"/>
    <e v="#N/A"/>
    <e v="#N/A"/>
    <e v="#N/A"/>
    <e v="#N/A"/>
    <e v="#N/A"/>
    <e v="#N/A"/>
    <e v="#N/A"/>
    <e v="#N/A"/>
    <e v="#N/A"/>
    <e v="#N/A"/>
    <e v="#N/A"/>
    <e v="#N/A"/>
  </r>
  <r>
    <x v="9"/>
    <s v="M FACTIBILIDAD"/>
    <x v="0"/>
    <x v="9"/>
    <x v="2"/>
    <m/>
    <m/>
    <m/>
    <m/>
    <m/>
    <m/>
    <m/>
    <m/>
    <m/>
    <m/>
    <m/>
    <m/>
    <m/>
    <m/>
    <e v="#N/A"/>
    <e v="#N/A"/>
    <e v="#N/A"/>
    <e v="#N/A"/>
    <e v="#N/A"/>
    <e v="#N/A"/>
    <e v="#N/A"/>
    <e v="#N/A"/>
    <e v="#N/A"/>
    <e v="#N/A"/>
    <e v="#N/A"/>
    <e v="#N/A"/>
    <e v="#N/A"/>
    <e v="#N/A"/>
  </r>
  <r>
    <x v="9"/>
    <s v="M FACTIBILIDAD"/>
    <x v="0"/>
    <x v="9"/>
    <x v="2"/>
    <m/>
    <m/>
    <m/>
    <m/>
    <m/>
    <m/>
    <m/>
    <m/>
    <m/>
    <m/>
    <m/>
    <m/>
    <m/>
    <m/>
    <e v="#N/A"/>
    <e v="#N/A"/>
    <e v="#N/A"/>
    <e v="#N/A"/>
    <e v="#N/A"/>
    <e v="#N/A"/>
    <e v="#N/A"/>
    <e v="#N/A"/>
    <e v="#N/A"/>
    <e v="#N/A"/>
    <e v="#N/A"/>
    <e v="#N/A"/>
    <e v="#N/A"/>
    <e v="#N/A"/>
  </r>
  <r>
    <x v="9"/>
    <s v="M FACTIBILIDAD"/>
    <x v="0"/>
    <x v="9"/>
    <x v="2"/>
    <m/>
    <m/>
    <m/>
    <m/>
    <m/>
    <m/>
    <m/>
    <m/>
    <m/>
    <m/>
    <m/>
    <m/>
    <m/>
    <m/>
    <e v="#N/A"/>
    <e v="#N/A"/>
    <e v="#N/A"/>
    <e v="#N/A"/>
    <e v="#N/A"/>
    <e v="#N/A"/>
    <e v="#N/A"/>
    <e v="#N/A"/>
    <e v="#N/A"/>
    <e v="#N/A"/>
    <e v="#N/A"/>
    <e v="#N/A"/>
    <e v="#N/A"/>
    <e v="#N/A"/>
  </r>
  <r>
    <x v="10"/>
    <s v="M PREDIAL"/>
    <x v="0"/>
    <x v="41"/>
    <x v="0"/>
    <m/>
    <m/>
    <s v="x"/>
    <m/>
    <s v="X"/>
    <m/>
    <m/>
    <m/>
    <s v="$E"/>
    <n v="154"/>
    <s v=";'M PREDIAL'!$B$9:$AL$89;21;1)"/>
    <s v=";'M PREDIAL'!$B$9:$AL$89;21;1)"/>
    <s v="=BUSCARV($E154;'M PREDIAL'!$B$9:$AL$89;21;1)"/>
    <m/>
    <s v="Baja"/>
    <n v="2"/>
    <n v="2"/>
    <s v="Moderado"/>
    <n v="3"/>
    <n v="3"/>
    <s v="6_x000a_MODERADO"/>
    <s v="Remota"/>
    <n v="1"/>
    <n v="1"/>
    <s v="Moderado"/>
    <n v="3"/>
    <n v="3"/>
    <s v="3_x000a_INFERIOR"/>
  </r>
  <r>
    <x v="10"/>
    <s v="M PREDIAL"/>
    <x v="0"/>
    <x v="42"/>
    <x v="1"/>
    <m/>
    <m/>
    <m/>
    <m/>
    <m/>
    <m/>
    <m/>
    <m/>
    <m/>
    <m/>
    <m/>
    <m/>
    <m/>
    <m/>
    <m/>
    <n v="1"/>
    <n v="1"/>
    <m/>
    <n v="1"/>
    <n v="1"/>
    <m/>
    <m/>
    <n v="1"/>
    <n v="1"/>
    <m/>
    <n v="1"/>
    <n v="1"/>
    <m/>
  </r>
  <r>
    <x v="10"/>
    <s v="M PREDIAL"/>
    <x v="0"/>
    <x v="43"/>
    <x v="0"/>
    <m/>
    <m/>
    <s v="x"/>
    <m/>
    <m/>
    <m/>
    <m/>
    <m/>
    <m/>
    <m/>
    <m/>
    <m/>
    <m/>
    <m/>
    <s v="Posible"/>
    <n v="3"/>
    <n v="3"/>
    <s v="Moderado"/>
    <n v="3"/>
    <n v="3"/>
    <s v="9_x000a_MODERADO"/>
    <s v="Remota"/>
    <n v="1"/>
    <n v="1"/>
    <s v="Insignificante"/>
    <n v="1"/>
    <n v="1"/>
    <s v="1_x000a_INFERIOR"/>
  </r>
  <r>
    <x v="10"/>
    <s v="M PREDIAL"/>
    <x v="0"/>
    <x v="44"/>
    <x v="0"/>
    <m/>
    <m/>
    <s v="x"/>
    <m/>
    <s v="X"/>
    <m/>
    <m/>
    <m/>
    <m/>
    <m/>
    <m/>
    <m/>
    <m/>
    <m/>
    <s v="Posible"/>
    <n v="3"/>
    <n v="3"/>
    <s v="Mayor"/>
    <n v="4"/>
    <n v="4"/>
    <s v="12_x000a_ALTO"/>
    <s v="Remota"/>
    <n v="1"/>
    <n v="1"/>
    <s v="Menor"/>
    <n v="2"/>
    <n v="2"/>
    <s v="2_x000a_INFERIOR"/>
  </r>
  <r>
    <x v="10"/>
    <s v="M PREDIAL"/>
    <x v="0"/>
    <x v="45"/>
    <x v="0"/>
    <m/>
    <m/>
    <s v="x"/>
    <m/>
    <m/>
    <m/>
    <m/>
    <m/>
    <m/>
    <m/>
    <m/>
    <m/>
    <m/>
    <m/>
    <s v="Posible"/>
    <n v="3"/>
    <n v="3"/>
    <s v="Mayor"/>
    <n v="4"/>
    <n v="4"/>
    <s v="12_x000a_ALTO"/>
    <s v="Remota"/>
    <n v="1"/>
    <n v="1"/>
    <s v="Mayor"/>
    <n v="4"/>
    <n v="4"/>
    <s v="4_x000a_MODERADO"/>
  </r>
  <r>
    <x v="10"/>
    <s v="M PREDIAL"/>
    <x v="0"/>
    <x v="46"/>
    <x v="1"/>
    <m/>
    <m/>
    <m/>
    <m/>
    <m/>
    <m/>
    <m/>
    <m/>
    <m/>
    <m/>
    <m/>
    <m/>
    <m/>
    <m/>
    <m/>
    <n v="1"/>
    <n v="1"/>
    <m/>
    <n v="1"/>
    <n v="1"/>
    <m/>
    <m/>
    <n v="1"/>
    <n v="1"/>
    <m/>
    <n v="1"/>
    <n v="1"/>
    <m/>
  </r>
  <r>
    <x v="10"/>
    <s v="M PREDIAL"/>
    <x v="0"/>
    <x v="47"/>
    <x v="0"/>
    <m/>
    <m/>
    <s v="x"/>
    <m/>
    <m/>
    <m/>
    <m/>
    <m/>
    <m/>
    <m/>
    <m/>
    <m/>
    <m/>
    <m/>
    <s v="Posible"/>
    <n v="3"/>
    <n v="3"/>
    <s v="Mayor"/>
    <n v="4"/>
    <n v="4"/>
    <s v="12_x000a_ALTO"/>
    <s v="Remota"/>
    <n v="1"/>
    <n v="1"/>
    <s v="Menor"/>
    <n v="2"/>
    <n v="2"/>
    <s v="2_x000a_INFERIOR"/>
  </r>
  <r>
    <x v="10"/>
    <s v="M PREDIAL"/>
    <x v="0"/>
    <x v="48"/>
    <x v="0"/>
    <m/>
    <m/>
    <m/>
    <m/>
    <m/>
    <m/>
    <s v="x"/>
    <m/>
    <m/>
    <m/>
    <m/>
    <m/>
    <m/>
    <m/>
    <s v="Posible"/>
    <n v="3"/>
    <n v="3"/>
    <s v="Moderado"/>
    <n v="3"/>
    <n v="3"/>
    <s v="9_x000a_MODERADO"/>
    <s v="Remota"/>
    <n v="1"/>
    <n v="1"/>
    <s v="Moderado"/>
    <n v="3"/>
    <n v="3"/>
    <s v="3_x000a_INFERIOR"/>
  </r>
  <r>
    <x v="10"/>
    <s v="M PREDIAL"/>
    <x v="0"/>
    <x v="9"/>
    <x v="2"/>
    <m/>
    <m/>
    <m/>
    <m/>
    <m/>
    <m/>
    <m/>
    <m/>
    <m/>
    <m/>
    <m/>
    <m/>
    <m/>
    <m/>
    <e v="#N/A"/>
    <e v="#N/A"/>
    <e v="#N/A"/>
    <e v="#N/A"/>
    <e v="#N/A"/>
    <e v="#N/A"/>
    <e v="#N/A"/>
    <e v="#N/A"/>
    <e v="#N/A"/>
    <e v="#N/A"/>
    <e v="#N/A"/>
    <e v="#N/A"/>
    <e v="#N/A"/>
    <e v="#N/A"/>
  </r>
  <r>
    <x v="10"/>
    <s v="M PREDIAL"/>
    <x v="0"/>
    <x v="9"/>
    <x v="2"/>
    <m/>
    <m/>
    <m/>
    <m/>
    <m/>
    <m/>
    <m/>
    <m/>
    <m/>
    <m/>
    <m/>
    <m/>
    <m/>
    <m/>
    <e v="#N/A"/>
    <e v="#N/A"/>
    <e v="#N/A"/>
    <e v="#N/A"/>
    <e v="#N/A"/>
    <e v="#N/A"/>
    <e v="#N/A"/>
    <e v="#N/A"/>
    <e v="#N/A"/>
    <e v="#N/A"/>
    <e v="#N/A"/>
    <e v="#N/A"/>
    <e v="#N/A"/>
    <e v="#N/A"/>
  </r>
  <r>
    <x v="10"/>
    <s v="M PREDIAL"/>
    <x v="0"/>
    <x v="9"/>
    <x v="2"/>
    <m/>
    <m/>
    <m/>
    <m/>
    <m/>
    <m/>
    <m/>
    <m/>
    <m/>
    <m/>
    <m/>
    <m/>
    <m/>
    <m/>
    <e v="#N/A"/>
    <e v="#N/A"/>
    <e v="#N/A"/>
    <e v="#N/A"/>
    <e v="#N/A"/>
    <e v="#N/A"/>
    <e v="#N/A"/>
    <e v="#N/A"/>
    <e v="#N/A"/>
    <e v="#N/A"/>
    <e v="#N/A"/>
    <e v="#N/A"/>
    <e v="#N/A"/>
    <e v="#N/A"/>
  </r>
  <r>
    <x v="10"/>
    <s v="M PREDIAL"/>
    <x v="0"/>
    <x v="9"/>
    <x v="2"/>
    <m/>
    <m/>
    <m/>
    <m/>
    <m/>
    <m/>
    <m/>
    <m/>
    <m/>
    <m/>
    <m/>
    <m/>
    <m/>
    <m/>
    <e v="#N/A"/>
    <e v="#N/A"/>
    <e v="#N/A"/>
    <e v="#N/A"/>
    <e v="#N/A"/>
    <e v="#N/A"/>
    <e v="#N/A"/>
    <e v="#N/A"/>
    <e v="#N/A"/>
    <e v="#N/A"/>
    <e v="#N/A"/>
    <e v="#N/A"/>
    <e v="#N/A"/>
    <e v="#N/A"/>
  </r>
  <r>
    <x v="10"/>
    <s v="M PREDIAL"/>
    <x v="0"/>
    <x v="9"/>
    <x v="2"/>
    <m/>
    <m/>
    <m/>
    <m/>
    <m/>
    <m/>
    <m/>
    <m/>
    <m/>
    <m/>
    <m/>
    <m/>
    <m/>
    <m/>
    <e v="#N/A"/>
    <e v="#N/A"/>
    <e v="#N/A"/>
    <e v="#N/A"/>
    <e v="#N/A"/>
    <e v="#N/A"/>
    <e v="#N/A"/>
    <e v="#N/A"/>
    <e v="#N/A"/>
    <e v="#N/A"/>
    <e v="#N/A"/>
    <e v="#N/A"/>
    <e v="#N/A"/>
    <e v="#N/A"/>
  </r>
  <r>
    <x v="10"/>
    <s v="M PREDIAL"/>
    <x v="0"/>
    <x v="9"/>
    <x v="2"/>
    <m/>
    <m/>
    <m/>
    <m/>
    <m/>
    <m/>
    <m/>
    <m/>
    <m/>
    <m/>
    <m/>
    <m/>
    <m/>
    <m/>
    <e v="#N/A"/>
    <e v="#N/A"/>
    <e v="#N/A"/>
    <e v="#N/A"/>
    <e v="#N/A"/>
    <e v="#N/A"/>
    <e v="#N/A"/>
    <e v="#N/A"/>
    <e v="#N/A"/>
    <e v="#N/A"/>
    <e v="#N/A"/>
    <e v="#N/A"/>
    <e v="#N/A"/>
    <e v="#N/A"/>
  </r>
  <r>
    <x v="10"/>
    <s v="M PREDIAL"/>
    <x v="0"/>
    <x v="9"/>
    <x v="2"/>
    <m/>
    <m/>
    <m/>
    <m/>
    <m/>
    <m/>
    <m/>
    <m/>
    <m/>
    <m/>
    <m/>
    <m/>
    <m/>
    <m/>
    <e v="#N/A"/>
    <e v="#N/A"/>
    <e v="#N/A"/>
    <e v="#N/A"/>
    <e v="#N/A"/>
    <e v="#N/A"/>
    <e v="#N/A"/>
    <e v="#N/A"/>
    <e v="#N/A"/>
    <e v="#N/A"/>
    <e v="#N/A"/>
    <e v="#N/A"/>
    <e v="#N/A"/>
    <e v="#N/A"/>
  </r>
  <r>
    <x v="11"/>
    <s v="M DISEÑO P."/>
    <x v="0"/>
    <x v="49"/>
    <x v="1"/>
    <m/>
    <m/>
    <m/>
    <m/>
    <m/>
    <m/>
    <m/>
    <m/>
    <s v="$E"/>
    <n v="169"/>
    <m/>
    <m/>
    <m/>
    <m/>
    <m/>
    <n v="1"/>
    <n v="1"/>
    <m/>
    <n v="1"/>
    <n v="1"/>
    <m/>
    <m/>
    <n v="1"/>
    <n v="1"/>
    <m/>
    <n v="1"/>
    <n v="1"/>
    <m/>
  </r>
  <r>
    <x v="11"/>
    <s v="M DISEÑO P."/>
    <x v="0"/>
    <x v="50"/>
    <x v="0"/>
    <m/>
    <m/>
    <s v="x"/>
    <s v="X"/>
    <m/>
    <m/>
    <m/>
    <m/>
    <s v="$E"/>
    <n v="170"/>
    <s v=";'M DISEÑO P.'!$B$9:$AL$89;21;1)"/>
    <s v=";'M DISEÑO P.'!$B$9:$AL$89;21;1)"/>
    <s v="=BUSCARV($E170;'M DISEÑO P.'!$B$9:$AL$89;21;1)"/>
    <m/>
    <s v="Alta"/>
    <n v="4"/>
    <n v="4"/>
    <s v="Moderado"/>
    <n v="3"/>
    <n v="3"/>
    <s v="12_x000a_ALTO"/>
    <s v="Posible"/>
    <n v="3"/>
    <n v="3"/>
    <s v="Menor"/>
    <n v="2"/>
    <n v="2"/>
    <s v="6_x000a_MODERADO"/>
  </r>
  <r>
    <x v="11"/>
    <s v="M DISEÑO P."/>
    <x v="0"/>
    <x v="51"/>
    <x v="1"/>
    <m/>
    <m/>
    <m/>
    <m/>
    <m/>
    <m/>
    <m/>
    <m/>
    <m/>
    <m/>
    <m/>
    <m/>
    <m/>
    <m/>
    <m/>
    <n v="1"/>
    <n v="1"/>
    <m/>
    <n v="1"/>
    <n v="1"/>
    <m/>
    <m/>
    <n v="1"/>
    <n v="1"/>
    <m/>
    <n v="1"/>
    <n v="1"/>
    <m/>
  </r>
  <r>
    <x v="11"/>
    <s v="M DISEÑO P."/>
    <x v="0"/>
    <x v="52"/>
    <x v="0"/>
    <m/>
    <m/>
    <s v="x"/>
    <s v="X"/>
    <m/>
    <m/>
    <m/>
    <m/>
    <m/>
    <m/>
    <m/>
    <m/>
    <m/>
    <m/>
    <s v="Alta"/>
    <n v="4"/>
    <n v="4"/>
    <s v="Mayor"/>
    <n v="4"/>
    <n v="4"/>
    <s v="16_x000a_EXTREMO"/>
    <s v="Posible"/>
    <n v="3"/>
    <n v="3"/>
    <s v="Moderado"/>
    <n v="3"/>
    <n v="3"/>
    <s v="9_x000a_MODERADO"/>
  </r>
  <r>
    <x v="11"/>
    <s v="M DISEÑO P."/>
    <x v="0"/>
    <x v="53"/>
    <x v="0"/>
    <m/>
    <m/>
    <s v="x"/>
    <m/>
    <m/>
    <m/>
    <m/>
    <m/>
    <m/>
    <m/>
    <m/>
    <m/>
    <m/>
    <m/>
    <s v="Casi Seguro"/>
    <n v="5"/>
    <n v="5"/>
    <s v="Menor"/>
    <n v="2"/>
    <n v="2"/>
    <s v="10_x000a_ALTO"/>
    <s v="Alta"/>
    <n v="4"/>
    <n v="4"/>
    <s v="Insignificante"/>
    <n v="1"/>
    <n v="1"/>
    <s v="4_x000a_MODERADO"/>
  </r>
  <r>
    <x v="11"/>
    <s v="M DISEÑO P."/>
    <x v="0"/>
    <x v="9"/>
    <x v="2"/>
    <m/>
    <m/>
    <m/>
    <m/>
    <m/>
    <m/>
    <m/>
    <m/>
    <m/>
    <m/>
    <m/>
    <m/>
    <m/>
    <m/>
    <e v="#N/A"/>
    <e v="#N/A"/>
    <e v="#N/A"/>
    <e v="#N/A"/>
    <e v="#N/A"/>
    <e v="#N/A"/>
    <e v="#N/A"/>
    <e v="#N/A"/>
    <e v="#N/A"/>
    <e v="#N/A"/>
    <e v="#N/A"/>
    <e v="#N/A"/>
    <e v="#N/A"/>
    <e v="#N/A"/>
  </r>
  <r>
    <x v="11"/>
    <s v="M DISEÑO P."/>
    <x v="0"/>
    <x v="9"/>
    <x v="2"/>
    <m/>
    <m/>
    <m/>
    <m/>
    <m/>
    <m/>
    <m/>
    <m/>
    <m/>
    <m/>
    <m/>
    <m/>
    <m/>
    <m/>
    <e v="#N/A"/>
    <e v="#N/A"/>
    <e v="#N/A"/>
    <e v="#N/A"/>
    <e v="#N/A"/>
    <e v="#N/A"/>
    <e v="#N/A"/>
    <e v="#N/A"/>
    <e v="#N/A"/>
    <e v="#N/A"/>
    <e v="#N/A"/>
    <e v="#N/A"/>
    <e v="#N/A"/>
    <e v="#N/A"/>
  </r>
  <r>
    <x v="11"/>
    <s v="M DISEÑO P."/>
    <x v="0"/>
    <x v="9"/>
    <x v="2"/>
    <m/>
    <m/>
    <m/>
    <m/>
    <m/>
    <m/>
    <m/>
    <m/>
    <m/>
    <m/>
    <m/>
    <m/>
    <m/>
    <m/>
    <e v="#N/A"/>
    <e v="#N/A"/>
    <e v="#N/A"/>
    <e v="#N/A"/>
    <e v="#N/A"/>
    <e v="#N/A"/>
    <e v="#N/A"/>
    <e v="#N/A"/>
    <e v="#N/A"/>
    <e v="#N/A"/>
    <e v="#N/A"/>
    <e v="#N/A"/>
    <e v="#N/A"/>
    <e v="#N/A"/>
  </r>
  <r>
    <x v="11"/>
    <s v="M DISEÑO P."/>
    <x v="0"/>
    <x v="9"/>
    <x v="2"/>
    <m/>
    <m/>
    <m/>
    <m/>
    <m/>
    <m/>
    <m/>
    <m/>
    <m/>
    <m/>
    <m/>
    <m/>
    <m/>
    <m/>
    <e v="#N/A"/>
    <e v="#N/A"/>
    <e v="#N/A"/>
    <e v="#N/A"/>
    <e v="#N/A"/>
    <e v="#N/A"/>
    <e v="#N/A"/>
    <e v="#N/A"/>
    <e v="#N/A"/>
    <e v="#N/A"/>
    <e v="#N/A"/>
    <e v="#N/A"/>
    <e v="#N/A"/>
    <e v="#N/A"/>
  </r>
  <r>
    <x v="11"/>
    <s v="M DISEÑO P."/>
    <x v="0"/>
    <x v="9"/>
    <x v="2"/>
    <m/>
    <m/>
    <m/>
    <m/>
    <m/>
    <m/>
    <m/>
    <m/>
    <m/>
    <m/>
    <m/>
    <m/>
    <m/>
    <m/>
    <e v="#N/A"/>
    <e v="#N/A"/>
    <e v="#N/A"/>
    <e v="#N/A"/>
    <e v="#N/A"/>
    <e v="#N/A"/>
    <e v="#N/A"/>
    <e v="#N/A"/>
    <e v="#N/A"/>
    <e v="#N/A"/>
    <e v="#N/A"/>
    <e v="#N/A"/>
    <e v="#N/A"/>
    <e v="#N/A"/>
  </r>
  <r>
    <x v="11"/>
    <s v="M DISEÑO P."/>
    <x v="0"/>
    <x v="9"/>
    <x v="2"/>
    <m/>
    <m/>
    <m/>
    <m/>
    <m/>
    <m/>
    <m/>
    <m/>
    <m/>
    <m/>
    <m/>
    <m/>
    <m/>
    <m/>
    <e v="#N/A"/>
    <e v="#N/A"/>
    <e v="#N/A"/>
    <e v="#N/A"/>
    <e v="#N/A"/>
    <e v="#N/A"/>
    <e v="#N/A"/>
    <e v="#N/A"/>
    <e v="#N/A"/>
    <e v="#N/A"/>
    <e v="#N/A"/>
    <e v="#N/A"/>
    <e v="#N/A"/>
    <e v="#N/A"/>
  </r>
  <r>
    <x v="11"/>
    <s v="M DISEÑO P."/>
    <x v="0"/>
    <x v="9"/>
    <x v="2"/>
    <m/>
    <m/>
    <m/>
    <m/>
    <m/>
    <m/>
    <m/>
    <m/>
    <m/>
    <m/>
    <m/>
    <m/>
    <m/>
    <m/>
    <e v="#N/A"/>
    <e v="#N/A"/>
    <e v="#N/A"/>
    <e v="#N/A"/>
    <e v="#N/A"/>
    <e v="#N/A"/>
    <e v="#N/A"/>
    <e v="#N/A"/>
    <e v="#N/A"/>
    <e v="#N/A"/>
    <e v="#N/A"/>
    <e v="#N/A"/>
    <e v="#N/A"/>
    <e v="#N/A"/>
  </r>
  <r>
    <x v="11"/>
    <s v="M DISEÑO P."/>
    <x v="0"/>
    <x v="9"/>
    <x v="2"/>
    <m/>
    <m/>
    <m/>
    <m/>
    <m/>
    <m/>
    <m/>
    <m/>
    <m/>
    <m/>
    <m/>
    <m/>
    <m/>
    <m/>
    <e v="#N/A"/>
    <e v="#N/A"/>
    <e v="#N/A"/>
    <e v="#N/A"/>
    <e v="#N/A"/>
    <e v="#N/A"/>
    <e v="#N/A"/>
    <e v="#N/A"/>
    <e v="#N/A"/>
    <e v="#N/A"/>
    <e v="#N/A"/>
    <e v="#N/A"/>
    <e v="#N/A"/>
    <e v="#N/A"/>
  </r>
  <r>
    <x v="11"/>
    <s v="M DISEÑO P."/>
    <x v="0"/>
    <x v="9"/>
    <x v="2"/>
    <m/>
    <m/>
    <m/>
    <m/>
    <m/>
    <m/>
    <m/>
    <m/>
    <m/>
    <m/>
    <m/>
    <m/>
    <m/>
    <m/>
    <e v="#N/A"/>
    <e v="#N/A"/>
    <e v="#N/A"/>
    <e v="#N/A"/>
    <e v="#N/A"/>
    <e v="#N/A"/>
    <e v="#N/A"/>
    <e v="#N/A"/>
    <e v="#N/A"/>
    <e v="#N/A"/>
    <e v="#N/A"/>
    <e v="#N/A"/>
    <e v="#N/A"/>
    <e v="#N/A"/>
  </r>
  <r>
    <x v="11"/>
    <s v="M DISEÑO P."/>
    <x v="0"/>
    <x v="9"/>
    <x v="2"/>
    <m/>
    <m/>
    <m/>
    <m/>
    <m/>
    <m/>
    <m/>
    <m/>
    <m/>
    <m/>
    <m/>
    <m/>
    <m/>
    <m/>
    <e v="#N/A"/>
    <e v="#N/A"/>
    <e v="#N/A"/>
    <e v="#N/A"/>
    <e v="#N/A"/>
    <e v="#N/A"/>
    <e v="#N/A"/>
    <e v="#N/A"/>
    <e v="#N/A"/>
    <e v="#N/A"/>
    <e v="#N/A"/>
    <e v="#N/A"/>
    <e v="#N/A"/>
    <e v="#N/A"/>
  </r>
  <r>
    <x v="12"/>
    <s v="M EJECUCION O."/>
    <x v="0"/>
    <x v="54"/>
    <x v="0"/>
    <m/>
    <m/>
    <s v="x"/>
    <m/>
    <m/>
    <m/>
    <m/>
    <m/>
    <s v="$E"/>
    <n v="184"/>
    <s v=";'M EJECUCION O.'!$B$9:$AL$89;21;1)"/>
    <s v=";'M EJECUCION O.'!$B$9:$AL$89;21;1)"/>
    <s v="=BUSCARV($E184;'M EJECUCION O.'!$B$9:$AL$89;21;1)"/>
    <m/>
    <s v="Alta"/>
    <n v="4"/>
    <n v="4"/>
    <s v="Moderado"/>
    <n v="3"/>
    <n v="3"/>
    <s v="12_x000a_ALTO"/>
    <s v="Posible"/>
    <n v="3"/>
    <n v="3"/>
    <s v="Menor"/>
    <n v="2"/>
    <n v="2"/>
    <s v="6_x000a_MODERADO"/>
  </r>
  <r>
    <x v="12"/>
    <s v="M EJECUCION O."/>
    <x v="0"/>
    <x v="55"/>
    <x v="1"/>
    <m/>
    <m/>
    <m/>
    <m/>
    <m/>
    <m/>
    <m/>
    <m/>
    <m/>
    <m/>
    <m/>
    <m/>
    <m/>
    <m/>
    <m/>
    <n v="1"/>
    <n v="1"/>
    <m/>
    <n v="1"/>
    <n v="1"/>
    <m/>
    <m/>
    <n v="1"/>
    <n v="1"/>
    <m/>
    <n v="1"/>
    <n v="1"/>
    <m/>
  </r>
  <r>
    <x v="12"/>
    <s v="M EJECUCION O."/>
    <x v="0"/>
    <x v="56"/>
    <x v="0"/>
    <m/>
    <m/>
    <m/>
    <s v="X"/>
    <m/>
    <m/>
    <m/>
    <m/>
    <m/>
    <m/>
    <m/>
    <m/>
    <m/>
    <m/>
    <s v="Alta"/>
    <n v="4"/>
    <n v="4"/>
    <s v="Moderado"/>
    <n v="3"/>
    <n v="3"/>
    <s v="12_x000a_ALTO"/>
    <s v="Posible"/>
    <n v="3"/>
    <n v="3"/>
    <s v="Menor"/>
    <n v="2"/>
    <n v="2"/>
    <s v="6_x000a_MODERADO"/>
  </r>
  <r>
    <x v="12"/>
    <s v="M EJECUCION O."/>
    <x v="0"/>
    <x v="57"/>
    <x v="0"/>
    <m/>
    <m/>
    <s v="x"/>
    <m/>
    <m/>
    <m/>
    <m/>
    <m/>
    <m/>
    <m/>
    <m/>
    <m/>
    <m/>
    <m/>
    <s v="Alta"/>
    <n v="4"/>
    <n v="4"/>
    <s v="Moderado"/>
    <n v="3"/>
    <n v="3"/>
    <s v="12_x000a_ALTO"/>
    <s v="Posible"/>
    <n v="3"/>
    <n v="3"/>
    <s v="Menor"/>
    <n v="2"/>
    <n v="2"/>
    <s v="6_x000a_MODERADO"/>
  </r>
  <r>
    <x v="12"/>
    <s v="M EJECUCION O."/>
    <x v="0"/>
    <x v="58"/>
    <x v="0"/>
    <m/>
    <m/>
    <m/>
    <s v="X"/>
    <m/>
    <m/>
    <m/>
    <m/>
    <m/>
    <m/>
    <m/>
    <m/>
    <m/>
    <m/>
    <s v="Alta"/>
    <n v="4"/>
    <n v="4"/>
    <s v="Menor"/>
    <n v="2"/>
    <n v="2"/>
    <s v="8_x000a_MODERADO"/>
    <s v="Posible"/>
    <n v="3"/>
    <n v="3"/>
    <s v="Insignificante"/>
    <n v="1"/>
    <n v="1"/>
    <s v="3_x000a_INFERIOR"/>
  </r>
  <r>
    <x v="12"/>
    <s v="M EJECUCION O."/>
    <x v="0"/>
    <x v="59"/>
    <x v="1"/>
    <m/>
    <m/>
    <m/>
    <m/>
    <m/>
    <m/>
    <m/>
    <m/>
    <m/>
    <m/>
    <m/>
    <m/>
    <m/>
    <m/>
    <m/>
    <n v="1"/>
    <n v="1"/>
    <m/>
    <n v="1"/>
    <n v="1"/>
    <m/>
    <m/>
    <n v="1"/>
    <n v="1"/>
    <m/>
    <n v="1"/>
    <n v="1"/>
    <m/>
  </r>
  <r>
    <x v="12"/>
    <s v="M EJECUCION O."/>
    <x v="0"/>
    <x v="60"/>
    <x v="1"/>
    <m/>
    <m/>
    <m/>
    <m/>
    <m/>
    <m/>
    <m/>
    <m/>
    <m/>
    <m/>
    <m/>
    <m/>
    <m/>
    <m/>
    <m/>
    <n v="1"/>
    <n v="1"/>
    <m/>
    <n v="1"/>
    <n v="1"/>
    <m/>
    <m/>
    <n v="1"/>
    <n v="1"/>
    <m/>
    <n v="1"/>
    <n v="1"/>
    <m/>
  </r>
  <r>
    <x v="12"/>
    <s v="M EJECUCION O."/>
    <x v="0"/>
    <x v="61"/>
    <x v="0"/>
    <m/>
    <m/>
    <m/>
    <m/>
    <m/>
    <m/>
    <s v="x"/>
    <m/>
    <m/>
    <m/>
    <m/>
    <m/>
    <m/>
    <m/>
    <s v="Posible"/>
    <n v="3"/>
    <n v="3"/>
    <s v="Menor"/>
    <n v="2"/>
    <n v="2"/>
    <s v="6_x000a_MODERADO"/>
    <s v="Baja"/>
    <n v="2"/>
    <n v="2"/>
    <s v="Insignificante"/>
    <n v="1"/>
    <n v="1"/>
    <s v="2_x000a_INFERIOR"/>
  </r>
  <r>
    <x v="12"/>
    <s v="M EJECUCION O."/>
    <x v="0"/>
    <x v="62"/>
    <x v="0"/>
    <m/>
    <m/>
    <s v="x"/>
    <m/>
    <m/>
    <m/>
    <m/>
    <m/>
    <m/>
    <m/>
    <m/>
    <m/>
    <m/>
    <m/>
    <s v="Remota"/>
    <n v="1"/>
    <n v="1"/>
    <s v="Menor"/>
    <n v="2"/>
    <n v="2"/>
    <s v="2_x000a_INFERIOR"/>
    <s v="Remota"/>
    <n v="1"/>
    <n v="1"/>
    <s v="Insignificante"/>
    <n v="1"/>
    <n v="1"/>
    <s v="1_x000a_INFERIOR"/>
  </r>
  <r>
    <x v="12"/>
    <s v="M EJECUCION O."/>
    <x v="0"/>
    <x v="9"/>
    <x v="2"/>
    <m/>
    <m/>
    <m/>
    <m/>
    <m/>
    <m/>
    <m/>
    <m/>
    <m/>
    <m/>
    <m/>
    <m/>
    <m/>
    <m/>
    <e v="#N/A"/>
    <e v="#N/A"/>
    <e v="#N/A"/>
    <e v="#N/A"/>
    <e v="#N/A"/>
    <e v="#N/A"/>
    <e v="#N/A"/>
    <e v="#N/A"/>
    <e v="#N/A"/>
    <e v="#N/A"/>
    <e v="#N/A"/>
    <e v="#N/A"/>
    <e v="#N/A"/>
    <e v="#N/A"/>
  </r>
  <r>
    <x v="12"/>
    <s v="M EJECUCION O."/>
    <x v="0"/>
    <x v="9"/>
    <x v="2"/>
    <m/>
    <m/>
    <m/>
    <m/>
    <m/>
    <m/>
    <m/>
    <m/>
    <m/>
    <m/>
    <m/>
    <m/>
    <m/>
    <m/>
    <e v="#N/A"/>
    <e v="#N/A"/>
    <e v="#N/A"/>
    <e v="#N/A"/>
    <e v="#N/A"/>
    <e v="#N/A"/>
    <e v="#N/A"/>
    <e v="#N/A"/>
    <e v="#N/A"/>
    <e v="#N/A"/>
    <e v="#N/A"/>
    <e v="#N/A"/>
    <e v="#N/A"/>
    <e v="#N/A"/>
  </r>
  <r>
    <x v="12"/>
    <s v="M EJECUCION O."/>
    <x v="0"/>
    <x v="9"/>
    <x v="2"/>
    <m/>
    <m/>
    <m/>
    <m/>
    <m/>
    <m/>
    <m/>
    <m/>
    <m/>
    <m/>
    <m/>
    <m/>
    <m/>
    <m/>
    <e v="#N/A"/>
    <e v="#N/A"/>
    <e v="#N/A"/>
    <e v="#N/A"/>
    <e v="#N/A"/>
    <e v="#N/A"/>
    <e v="#N/A"/>
    <e v="#N/A"/>
    <e v="#N/A"/>
    <e v="#N/A"/>
    <e v="#N/A"/>
    <e v="#N/A"/>
    <e v="#N/A"/>
    <e v="#N/A"/>
  </r>
  <r>
    <x v="12"/>
    <s v="M EJECUCION O."/>
    <x v="0"/>
    <x v="9"/>
    <x v="2"/>
    <m/>
    <m/>
    <m/>
    <m/>
    <m/>
    <m/>
    <m/>
    <m/>
    <m/>
    <m/>
    <m/>
    <m/>
    <m/>
    <m/>
    <e v="#N/A"/>
    <e v="#N/A"/>
    <e v="#N/A"/>
    <e v="#N/A"/>
    <e v="#N/A"/>
    <e v="#N/A"/>
    <e v="#N/A"/>
    <e v="#N/A"/>
    <e v="#N/A"/>
    <e v="#N/A"/>
    <e v="#N/A"/>
    <e v="#N/A"/>
    <e v="#N/A"/>
    <e v="#N/A"/>
  </r>
  <r>
    <x v="12"/>
    <s v="M EJECUCION O."/>
    <x v="0"/>
    <x v="9"/>
    <x v="2"/>
    <m/>
    <m/>
    <m/>
    <m/>
    <m/>
    <m/>
    <m/>
    <m/>
    <m/>
    <m/>
    <m/>
    <m/>
    <m/>
    <m/>
    <e v="#N/A"/>
    <e v="#N/A"/>
    <e v="#N/A"/>
    <e v="#N/A"/>
    <e v="#N/A"/>
    <e v="#N/A"/>
    <e v="#N/A"/>
    <e v="#N/A"/>
    <e v="#N/A"/>
    <e v="#N/A"/>
    <e v="#N/A"/>
    <e v="#N/A"/>
    <e v="#N/A"/>
    <e v="#N/A"/>
  </r>
  <r>
    <x v="12"/>
    <s v="M EJECUCION O."/>
    <x v="0"/>
    <x v="9"/>
    <x v="2"/>
    <m/>
    <m/>
    <m/>
    <m/>
    <m/>
    <m/>
    <m/>
    <m/>
    <m/>
    <m/>
    <m/>
    <m/>
    <m/>
    <m/>
    <e v="#N/A"/>
    <e v="#N/A"/>
    <e v="#N/A"/>
    <e v="#N/A"/>
    <e v="#N/A"/>
    <e v="#N/A"/>
    <e v="#N/A"/>
    <e v="#N/A"/>
    <e v="#N/A"/>
    <e v="#N/A"/>
    <e v="#N/A"/>
    <e v="#N/A"/>
    <e v="#N/A"/>
    <e v="#N/A"/>
  </r>
  <r>
    <x v="13"/>
    <s v="M CONSERVACION-DTAI"/>
    <x v="0"/>
    <x v="63"/>
    <x v="0"/>
    <m/>
    <m/>
    <m/>
    <m/>
    <m/>
    <m/>
    <m/>
    <m/>
    <s v="$E"/>
    <n v="199"/>
    <s v=";'M CONSERVACION-DTAI'!$B$9:$AL$89;21;1)"/>
    <s v=";'M CONSERVACION-DTAI'!$B$9:$AL$89;21;1)"/>
    <s v="=BUSCARV($E199;'M CONSERVACION-DTAI'!$B$9:$AL$89;21;1)"/>
    <m/>
    <s v="Baja"/>
    <n v="2"/>
    <n v="2"/>
    <s v="Moderado"/>
    <n v="3"/>
    <n v="3"/>
    <s v="6_x000a_MODERADO"/>
    <n v="0"/>
    <n v="1"/>
    <n v="1"/>
    <n v="1"/>
    <n v="1"/>
    <n v="1"/>
    <n v="0"/>
  </r>
  <r>
    <x v="13"/>
    <s v="M CONSERVACION-DTAI"/>
    <x v="0"/>
    <x v="64"/>
    <x v="0"/>
    <m/>
    <m/>
    <m/>
    <m/>
    <m/>
    <m/>
    <m/>
    <m/>
    <m/>
    <m/>
    <m/>
    <m/>
    <m/>
    <m/>
    <s v="Remota"/>
    <n v="1"/>
    <n v="1"/>
    <s v="Menor"/>
    <n v="2"/>
    <n v="2"/>
    <s v="2_x000a_INFERIOR"/>
    <n v="0"/>
    <n v="1"/>
    <n v="1"/>
    <n v="2"/>
    <n v="1"/>
    <n v="1"/>
    <n v="0"/>
  </r>
  <r>
    <x v="13"/>
    <s v="M CONSERVACION-DTAI"/>
    <x v="0"/>
    <x v="65"/>
    <x v="0"/>
    <m/>
    <m/>
    <m/>
    <m/>
    <m/>
    <m/>
    <m/>
    <m/>
    <m/>
    <m/>
    <m/>
    <m/>
    <m/>
    <m/>
    <s v="Baja"/>
    <n v="2"/>
    <n v="2"/>
    <s v="Moderado"/>
    <n v="3"/>
    <n v="3"/>
    <s v="6_x000a_MODERADO"/>
    <n v="0"/>
    <n v="1"/>
    <n v="1"/>
    <n v="1"/>
    <n v="1"/>
    <n v="1"/>
    <n v="0"/>
  </r>
  <r>
    <x v="13"/>
    <s v="M CONSERVACION-DTAI"/>
    <x v="0"/>
    <x v="66"/>
    <x v="0"/>
    <m/>
    <m/>
    <m/>
    <m/>
    <m/>
    <m/>
    <m/>
    <m/>
    <m/>
    <m/>
    <m/>
    <m/>
    <m/>
    <m/>
    <s v="Baja"/>
    <n v="2"/>
    <n v="2"/>
    <s v="Moderado"/>
    <n v="3"/>
    <n v="3"/>
    <s v="6_x000a_MODERADO"/>
    <n v="1"/>
    <n v="1"/>
    <n v="1"/>
    <n v="2"/>
    <n v="1"/>
    <n v="1"/>
    <n v="2"/>
  </r>
  <r>
    <x v="13"/>
    <s v="M CONSERVACION-DTAI"/>
    <x v="0"/>
    <x v="67"/>
    <x v="0"/>
    <m/>
    <m/>
    <m/>
    <m/>
    <m/>
    <m/>
    <m/>
    <m/>
    <m/>
    <m/>
    <m/>
    <m/>
    <m/>
    <m/>
    <s v="Posible"/>
    <n v="3"/>
    <n v="3"/>
    <s v="Moderado"/>
    <n v="3"/>
    <n v="3"/>
    <s v="9_x000a_MODERADO"/>
    <n v="1"/>
    <n v="1"/>
    <n v="1"/>
    <n v="1"/>
    <n v="1"/>
    <n v="1"/>
    <n v="1"/>
  </r>
  <r>
    <x v="13"/>
    <s v="M CONSERVACION-DTAI"/>
    <x v="0"/>
    <x v="68"/>
    <x v="0"/>
    <m/>
    <m/>
    <m/>
    <m/>
    <m/>
    <m/>
    <m/>
    <m/>
    <m/>
    <m/>
    <m/>
    <m/>
    <m/>
    <m/>
    <s v="Alta"/>
    <n v="4"/>
    <n v="4"/>
    <s v="Moderado"/>
    <n v="3"/>
    <n v="3"/>
    <s v="12_x000a_ALTO"/>
    <n v="3"/>
    <n v="1"/>
    <n v="1"/>
    <n v="3"/>
    <n v="1"/>
    <n v="1"/>
    <n v="9"/>
  </r>
  <r>
    <x v="13"/>
    <s v="M CONSERVACION-DTM"/>
    <x v="0"/>
    <x v="69"/>
    <x v="0"/>
    <m/>
    <m/>
    <s v="x"/>
    <m/>
    <m/>
    <m/>
    <m/>
    <m/>
    <s v="$E"/>
    <n v="205"/>
    <s v=";'M CONSERVACION-DTM'!$B$9:$AL$89;21;1)"/>
    <s v=";'M CONSERVACION-DTM'!$B$9:$AL$89;21;1)"/>
    <s v="=BUSCARV($E205;'M CONSERVACION-DTM'!$B$9:$AL$89;21;1)"/>
    <m/>
    <s v="Posible"/>
    <n v="3"/>
    <n v="3"/>
    <s v="Moderado"/>
    <n v="3"/>
    <n v="3"/>
    <s v="9_x000a_MODERADO"/>
    <s v="Baja"/>
    <n v="2"/>
    <n v="2"/>
    <s v="Menor"/>
    <n v="2"/>
    <n v="2"/>
    <s v="4_x000a_INFERIOR"/>
  </r>
  <r>
    <x v="13"/>
    <s v="M CONSERVACION-DTM"/>
    <x v="0"/>
    <x v="70"/>
    <x v="0"/>
    <m/>
    <m/>
    <s v="x"/>
    <m/>
    <m/>
    <m/>
    <m/>
    <m/>
    <m/>
    <m/>
    <m/>
    <m/>
    <m/>
    <m/>
    <s v="Baja"/>
    <n v="2"/>
    <n v="2"/>
    <s v="Moderado"/>
    <n v="3"/>
    <n v="3"/>
    <s v="6_x000a_MODERADO"/>
    <s v="Remota"/>
    <n v="1"/>
    <n v="1"/>
    <s v="Insignificante"/>
    <n v="1"/>
    <n v="1"/>
    <s v="1_x000a_INFERIOR"/>
  </r>
  <r>
    <x v="13"/>
    <s v="M CONSERVACION-DTM"/>
    <x v="0"/>
    <x v="71"/>
    <x v="0"/>
    <m/>
    <m/>
    <m/>
    <s v="X"/>
    <m/>
    <m/>
    <m/>
    <m/>
    <m/>
    <m/>
    <m/>
    <m/>
    <m/>
    <m/>
    <s v="Posible"/>
    <n v="3"/>
    <n v="3"/>
    <s v="Menor"/>
    <n v="2"/>
    <n v="2"/>
    <s v="6_x000a_MODERADO"/>
    <s v="Remota"/>
    <n v="1"/>
    <n v="1"/>
    <s v="Menor"/>
    <n v="2"/>
    <n v="2"/>
    <s v="2_x000a_INFERIOR"/>
  </r>
  <r>
    <x v="13"/>
    <s v="M CONSERVACION-DTM"/>
    <x v="0"/>
    <x v="72"/>
    <x v="0"/>
    <m/>
    <m/>
    <m/>
    <s v="X"/>
    <m/>
    <m/>
    <m/>
    <m/>
    <m/>
    <m/>
    <m/>
    <m/>
    <m/>
    <m/>
    <s v="Baja"/>
    <n v="2"/>
    <n v="2"/>
    <s v="Menor"/>
    <n v="2"/>
    <n v="2"/>
    <s v="4_x000a_INFERIOR"/>
    <s v="Remota"/>
    <n v="1"/>
    <n v="1"/>
    <s v="Menor"/>
    <n v="2"/>
    <n v="2"/>
    <s v="2_x000a_INFERIOR"/>
  </r>
  <r>
    <x v="13"/>
    <s v="M CONSERVACION-DTM"/>
    <x v="0"/>
    <x v="73"/>
    <x v="0"/>
    <m/>
    <m/>
    <m/>
    <s v="X"/>
    <m/>
    <m/>
    <m/>
    <m/>
    <m/>
    <m/>
    <m/>
    <m/>
    <m/>
    <m/>
    <s v="Posible"/>
    <n v="3"/>
    <n v="3"/>
    <s v="Menor"/>
    <n v="2"/>
    <n v="2"/>
    <s v="6_x000a_MODERADO"/>
    <s v="Remota"/>
    <n v="1"/>
    <n v="1"/>
    <s v="Menor"/>
    <n v="2"/>
    <n v="2"/>
    <s v="2_x000a_INFERIOR"/>
  </r>
  <r>
    <x v="13"/>
    <s v="M CONSERVACION-DTM"/>
    <x v="0"/>
    <x v="74"/>
    <x v="0"/>
    <m/>
    <m/>
    <m/>
    <s v="X"/>
    <m/>
    <m/>
    <m/>
    <m/>
    <m/>
    <m/>
    <m/>
    <m/>
    <m/>
    <m/>
    <s v="Posible"/>
    <n v="3"/>
    <n v="3"/>
    <s v="Moderado"/>
    <n v="3"/>
    <n v="3"/>
    <s v="9_x000a_MODERADO"/>
    <s v="Remota"/>
    <n v="1"/>
    <n v="1"/>
    <s v="Insignificante"/>
    <n v="1"/>
    <n v="1"/>
    <s v="1_x000a_INFERIOR"/>
  </r>
  <r>
    <x v="13"/>
    <s v="M CONSERVACION-DTM"/>
    <x v="0"/>
    <x v="75"/>
    <x v="0"/>
    <m/>
    <m/>
    <m/>
    <m/>
    <m/>
    <m/>
    <s v="x"/>
    <m/>
    <m/>
    <m/>
    <m/>
    <m/>
    <m/>
    <m/>
    <s v="Baja"/>
    <n v="2"/>
    <n v="2"/>
    <s v="Moderado"/>
    <n v="3"/>
    <n v="3"/>
    <s v="6_x000a_MODERADO"/>
    <s v="Remota"/>
    <n v="1"/>
    <n v="1"/>
    <s v="Insignificante"/>
    <n v="1"/>
    <n v="1"/>
    <s v="1_x000a_INFERIOR"/>
  </r>
  <r>
    <x v="13"/>
    <s v="M CONSERVACION-DTM"/>
    <x v="0"/>
    <x v="76"/>
    <x v="0"/>
    <m/>
    <m/>
    <s v="x"/>
    <m/>
    <m/>
    <m/>
    <m/>
    <m/>
    <m/>
    <m/>
    <m/>
    <m/>
    <m/>
    <m/>
    <s v="Baja"/>
    <n v="2"/>
    <n v="2"/>
    <s v="Moderado"/>
    <n v="3"/>
    <n v="3"/>
    <s v="6_x000a_MODERADO"/>
    <s v="Remota"/>
    <n v="1"/>
    <n v="1"/>
    <s v="Menor"/>
    <n v="2"/>
    <n v="2"/>
    <s v="2_x000a_INFERIOR"/>
  </r>
  <r>
    <x v="13"/>
    <s v="M CONSERVACION-DTM"/>
    <x v="0"/>
    <x v="9"/>
    <x v="2"/>
    <m/>
    <m/>
    <m/>
    <m/>
    <m/>
    <m/>
    <m/>
    <m/>
    <m/>
    <m/>
    <m/>
    <m/>
    <m/>
    <m/>
    <e v="#N/A"/>
    <e v="#N/A"/>
    <e v="#N/A"/>
    <e v="#N/A"/>
    <e v="#N/A"/>
    <e v="#N/A"/>
    <e v="#N/A"/>
    <e v="#N/A"/>
    <e v="#N/A"/>
    <e v="#N/A"/>
    <e v="#N/A"/>
    <e v="#N/A"/>
    <e v="#N/A"/>
    <e v="#N/A"/>
  </r>
  <r>
    <x v="14"/>
    <s v="A CONTRACTUAL"/>
    <x v="0"/>
    <x v="77"/>
    <x v="0"/>
    <m/>
    <m/>
    <s v="x"/>
    <m/>
    <s v="X"/>
    <m/>
    <m/>
    <m/>
    <s v="$E"/>
    <n v="214"/>
    <s v=";'A CONTRACTUAL'!$B$9:$AL$89;21;1)"/>
    <s v=";'A CONTRACTUAL'!$B$9:$AL$89;21;1)"/>
    <s v="=BUSCARV($E214;'A CONTRACTUAL'!$B$9:$AL$89;21;1)"/>
    <m/>
    <s v="Posible"/>
    <n v="3"/>
    <n v="3"/>
    <s v="Moderado"/>
    <n v="3"/>
    <n v="3"/>
    <s v="9_x000a_MODERADO"/>
    <s v="Baja"/>
    <n v="2"/>
    <n v="2"/>
    <s v="Moderado"/>
    <n v="3"/>
    <n v="3"/>
    <e v="#N/A"/>
  </r>
  <r>
    <x v="14"/>
    <s v="A CONTRACTUAL"/>
    <x v="0"/>
    <x v="78"/>
    <x v="0"/>
    <m/>
    <m/>
    <s v="x"/>
    <m/>
    <m/>
    <m/>
    <m/>
    <m/>
    <m/>
    <m/>
    <m/>
    <m/>
    <m/>
    <m/>
    <s v="Posible"/>
    <n v="3"/>
    <n v="3"/>
    <s v="Moderado"/>
    <n v="3"/>
    <n v="3"/>
    <s v="9_x000a_MODERADO"/>
    <s v="Baja"/>
    <n v="2"/>
    <n v="2"/>
    <s v="Moderado"/>
    <n v="3"/>
    <n v="3"/>
    <e v="#REF!"/>
  </r>
  <r>
    <x v="14"/>
    <s v="A CONTRACTUAL"/>
    <x v="0"/>
    <x v="79"/>
    <x v="0"/>
    <m/>
    <m/>
    <s v="x"/>
    <m/>
    <m/>
    <m/>
    <m/>
    <m/>
    <m/>
    <m/>
    <m/>
    <m/>
    <m/>
    <m/>
    <s v="Posible"/>
    <n v="3"/>
    <n v="3"/>
    <s v="Mayor"/>
    <n v="4"/>
    <n v="4"/>
    <s v="12_x000a_ALTO"/>
    <s v="Baja"/>
    <n v="2"/>
    <n v="2"/>
    <s v="Moderado"/>
    <n v="3"/>
    <n v="3"/>
    <e v="#REF!"/>
  </r>
  <r>
    <x v="14"/>
    <s v="A CONTRACTUAL"/>
    <x v="0"/>
    <x v="80"/>
    <x v="0"/>
    <m/>
    <m/>
    <s v="x"/>
    <m/>
    <s v="X"/>
    <m/>
    <m/>
    <m/>
    <m/>
    <m/>
    <m/>
    <m/>
    <m/>
    <m/>
    <s v="Posible"/>
    <n v="3"/>
    <n v="3"/>
    <s v="Moderado"/>
    <n v="3"/>
    <n v="3"/>
    <s v="9_x000a_MODERADO"/>
    <s v="Baja"/>
    <n v="2"/>
    <n v="2"/>
    <s v="Menor"/>
    <n v="2"/>
    <n v="2"/>
    <e v="#REF!"/>
  </r>
  <r>
    <x v="14"/>
    <s v="A CONTRACTUAL"/>
    <x v="0"/>
    <x v="81"/>
    <x v="0"/>
    <m/>
    <m/>
    <s v="x"/>
    <m/>
    <m/>
    <m/>
    <m/>
    <m/>
    <m/>
    <m/>
    <m/>
    <m/>
    <m/>
    <m/>
    <s v="Posible"/>
    <n v="3"/>
    <n v="3"/>
    <s v="Moderado"/>
    <n v="3"/>
    <n v="3"/>
    <s v="9_x000a_MODERADO"/>
    <s v="Baja"/>
    <n v="2"/>
    <n v="2"/>
    <s v="Moderado"/>
    <n v="3"/>
    <n v="3"/>
    <e v="#REF!"/>
  </r>
  <r>
    <x v="14"/>
    <s v="A CONTRACTUAL"/>
    <x v="0"/>
    <x v="9"/>
    <x v="2"/>
    <m/>
    <m/>
    <m/>
    <m/>
    <m/>
    <m/>
    <m/>
    <m/>
    <m/>
    <m/>
    <m/>
    <m/>
    <m/>
    <m/>
    <e v="#N/A"/>
    <e v="#N/A"/>
    <e v="#N/A"/>
    <e v="#N/A"/>
    <e v="#N/A"/>
    <e v="#N/A"/>
    <e v="#N/A"/>
    <e v="#N/A"/>
    <e v="#N/A"/>
    <e v="#N/A"/>
    <e v="#N/A"/>
    <e v="#N/A"/>
    <e v="#N/A"/>
    <e v="#REF!"/>
  </r>
  <r>
    <x v="14"/>
    <s v="A CONTRACTUAL"/>
    <x v="0"/>
    <x v="9"/>
    <x v="2"/>
    <m/>
    <m/>
    <m/>
    <m/>
    <m/>
    <m/>
    <m/>
    <m/>
    <m/>
    <m/>
    <m/>
    <m/>
    <m/>
    <m/>
    <e v="#N/A"/>
    <e v="#N/A"/>
    <e v="#N/A"/>
    <e v="#N/A"/>
    <e v="#N/A"/>
    <e v="#N/A"/>
    <e v="#N/A"/>
    <e v="#N/A"/>
    <e v="#N/A"/>
    <e v="#N/A"/>
    <e v="#N/A"/>
    <e v="#N/A"/>
    <e v="#N/A"/>
    <e v="#N/A"/>
  </r>
  <r>
    <x v="14"/>
    <s v="A CONTRACTUAL"/>
    <x v="0"/>
    <x v="9"/>
    <x v="2"/>
    <m/>
    <m/>
    <m/>
    <m/>
    <m/>
    <m/>
    <m/>
    <m/>
    <m/>
    <m/>
    <m/>
    <m/>
    <m/>
    <m/>
    <e v="#N/A"/>
    <e v="#N/A"/>
    <e v="#N/A"/>
    <e v="#N/A"/>
    <e v="#N/A"/>
    <e v="#N/A"/>
    <e v="#N/A"/>
    <e v="#N/A"/>
    <e v="#N/A"/>
    <e v="#N/A"/>
    <e v="#N/A"/>
    <e v="#N/A"/>
    <e v="#N/A"/>
    <e v="#N/A"/>
  </r>
  <r>
    <x v="14"/>
    <s v="A CONTRACTUAL"/>
    <x v="0"/>
    <x v="9"/>
    <x v="2"/>
    <m/>
    <m/>
    <m/>
    <m/>
    <m/>
    <m/>
    <m/>
    <m/>
    <m/>
    <m/>
    <m/>
    <m/>
    <m/>
    <m/>
    <e v="#N/A"/>
    <e v="#N/A"/>
    <e v="#N/A"/>
    <e v="#N/A"/>
    <e v="#N/A"/>
    <e v="#N/A"/>
    <e v="#N/A"/>
    <e v="#N/A"/>
    <e v="#N/A"/>
    <e v="#N/A"/>
    <e v="#N/A"/>
    <e v="#N/A"/>
    <e v="#N/A"/>
    <e v="#N/A"/>
  </r>
  <r>
    <x v="14"/>
    <s v="A CONTRACTUAL"/>
    <x v="0"/>
    <x v="9"/>
    <x v="2"/>
    <m/>
    <m/>
    <m/>
    <m/>
    <m/>
    <m/>
    <m/>
    <m/>
    <m/>
    <m/>
    <m/>
    <m/>
    <m/>
    <m/>
    <e v="#N/A"/>
    <e v="#N/A"/>
    <e v="#N/A"/>
    <e v="#N/A"/>
    <e v="#N/A"/>
    <e v="#N/A"/>
    <e v="#N/A"/>
    <e v="#N/A"/>
    <e v="#N/A"/>
    <e v="#N/A"/>
    <e v="#N/A"/>
    <e v="#N/A"/>
    <e v="#N/A"/>
    <e v="#N/A"/>
  </r>
  <r>
    <x v="14"/>
    <s v="A CONTRACTUAL"/>
    <x v="0"/>
    <x v="9"/>
    <x v="2"/>
    <m/>
    <m/>
    <m/>
    <m/>
    <m/>
    <m/>
    <m/>
    <m/>
    <m/>
    <m/>
    <m/>
    <m/>
    <m/>
    <m/>
    <e v="#N/A"/>
    <e v="#N/A"/>
    <e v="#N/A"/>
    <e v="#N/A"/>
    <e v="#N/A"/>
    <e v="#N/A"/>
    <e v="#N/A"/>
    <e v="#N/A"/>
    <e v="#N/A"/>
    <e v="#N/A"/>
    <e v="#N/A"/>
    <e v="#N/A"/>
    <e v="#N/A"/>
    <e v="#N/A"/>
  </r>
  <r>
    <x v="14"/>
    <s v="A CONTRACTUAL"/>
    <x v="0"/>
    <x v="9"/>
    <x v="2"/>
    <m/>
    <m/>
    <m/>
    <m/>
    <m/>
    <m/>
    <m/>
    <m/>
    <m/>
    <m/>
    <m/>
    <m/>
    <m/>
    <m/>
    <e v="#N/A"/>
    <e v="#N/A"/>
    <e v="#N/A"/>
    <e v="#N/A"/>
    <e v="#N/A"/>
    <e v="#N/A"/>
    <e v="#N/A"/>
    <e v="#N/A"/>
    <e v="#N/A"/>
    <e v="#N/A"/>
    <e v="#N/A"/>
    <e v="#N/A"/>
    <e v="#N/A"/>
    <e v="#N/A"/>
  </r>
  <r>
    <x v="14"/>
    <s v="A CONTRACTUAL"/>
    <x v="0"/>
    <x v="9"/>
    <x v="2"/>
    <m/>
    <m/>
    <m/>
    <m/>
    <m/>
    <m/>
    <m/>
    <m/>
    <m/>
    <m/>
    <m/>
    <m/>
    <m/>
    <m/>
    <e v="#N/A"/>
    <e v="#N/A"/>
    <e v="#N/A"/>
    <e v="#N/A"/>
    <e v="#N/A"/>
    <e v="#N/A"/>
    <e v="#N/A"/>
    <e v="#N/A"/>
    <e v="#N/A"/>
    <e v="#N/A"/>
    <e v="#N/A"/>
    <e v="#N/A"/>
    <e v="#N/A"/>
    <e v="#N/A"/>
  </r>
  <r>
    <x v="14"/>
    <s v="A CONTRACTUAL"/>
    <x v="0"/>
    <x v="9"/>
    <x v="2"/>
    <m/>
    <m/>
    <m/>
    <m/>
    <m/>
    <m/>
    <m/>
    <m/>
    <m/>
    <m/>
    <m/>
    <m/>
    <m/>
    <m/>
    <e v="#N/A"/>
    <e v="#N/A"/>
    <e v="#N/A"/>
    <e v="#N/A"/>
    <e v="#N/A"/>
    <e v="#N/A"/>
    <e v="#N/A"/>
    <e v="#N/A"/>
    <e v="#N/A"/>
    <e v="#N/A"/>
    <e v="#N/A"/>
    <e v="#N/A"/>
    <e v="#N/A"/>
    <e v="#N/A"/>
  </r>
  <r>
    <x v="14"/>
    <s v="A CONTRACTUAL"/>
    <x v="0"/>
    <x v="9"/>
    <x v="2"/>
    <m/>
    <m/>
    <m/>
    <m/>
    <m/>
    <m/>
    <m/>
    <m/>
    <m/>
    <m/>
    <m/>
    <m/>
    <m/>
    <m/>
    <e v="#N/A"/>
    <e v="#N/A"/>
    <e v="#N/A"/>
    <e v="#N/A"/>
    <e v="#N/A"/>
    <e v="#N/A"/>
    <e v="#N/A"/>
    <e v="#N/A"/>
    <e v="#N/A"/>
    <e v="#N/A"/>
    <e v="#N/A"/>
    <e v="#N/A"/>
    <e v="#N/A"/>
    <e v="#N/A"/>
  </r>
  <r>
    <x v="15"/>
    <s v="A LEGAL"/>
    <x v="0"/>
    <x v="82"/>
    <x v="0"/>
    <m/>
    <m/>
    <m/>
    <m/>
    <m/>
    <m/>
    <s v="x"/>
    <m/>
    <s v="$E"/>
    <n v="229"/>
    <s v=";'A LEGAL'!$B$9:$AL$89;21;1)"/>
    <s v=";'A LEGAL'!$B$9:$AL$89;21;1)"/>
    <s v="=BUSCARV($E229;'A LEGAL'!$B$9:$AL$89;21;1)"/>
    <m/>
    <s v="Posible"/>
    <n v="3"/>
    <n v="3"/>
    <s v="Menor"/>
    <n v="2"/>
    <n v="2"/>
    <s v="6_x000a_MODERADO"/>
    <s v="Baja"/>
    <n v="2"/>
    <n v="2"/>
    <s v="Menor"/>
    <n v="2"/>
    <n v="2"/>
    <s v="4_x000a_INFERIOR"/>
  </r>
  <r>
    <x v="15"/>
    <s v="A LEGAL"/>
    <x v="0"/>
    <x v="83"/>
    <x v="0"/>
    <m/>
    <m/>
    <m/>
    <m/>
    <m/>
    <m/>
    <s v="x"/>
    <m/>
    <m/>
    <m/>
    <m/>
    <m/>
    <m/>
    <m/>
    <s v="Alta"/>
    <n v="4"/>
    <n v="4"/>
    <s v="Menor"/>
    <n v="2"/>
    <n v="2"/>
    <s v="8_x000a_MODERADO"/>
    <s v="Posible"/>
    <n v="3"/>
    <n v="3"/>
    <s v="Menor"/>
    <n v="2"/>
    <n v="2"/>
    <s v="6_x000a_MODERADO"/>
  </r>
  <r>
    <x v="15"/>
    <s v="A LEGAL"/>
    <x v="0"/>
    <x v="84"/>
    <x v="0"/>
    <m/>
    <m/>
    <m/>
    <m/>
    <m/>
    <m/>
    <s v="x"/>
    <m/>
    <m/>
    <m/>
    <m/>
    <m/>
    <m/>
    <m/>
    <s v="Posible"/>
    <n v="3"/>
    <n v="3"/>
    <s v="Moderado"/>
    <n v="3"/>
    <n v="3"/>
    <s v="9_x000a_MODERADO"/>
    <s v="Baja"/>
    <n v="2"/>
    <n v="2"/>
    <s v="Menor"/>
    <n v="2"/>
    <n v="2"/>
    <s v="4_x000a_INFERIOR"/>
  </r>
  <r>
    <x v="15"/>
    <s v="A LEGAL"/>
    <x v="0"/>
    <x v="85"/>
    <x v="0"/>
    <m/>
    <m/>
    <m/>
    <m/>
    <m/>
    <m/>
    <s v="x"/>
    <m/>
    <m/>
    <m/>
    <m/>
    <m/>
    <m/>
    <m/>
    <s v="Posible"/>
    <n v="3"/>
    <n v="3"/>
    <s v="Menor"/>
    <n v="2"/>
    <n v="2"/>
    <s v="6_x000a_MODERADO"/>
    <s v="Baja"/>
    <n v="2"/>
    <n v="2"/>
    <s v="Menor"/>
    <n v="2"/>
    <n v="2"/>
    <s v="4_x000a_INFERIOR"/>
  </r>
  <r>
    <x v="15"/>
    <s v="A LEGAL"/>
    <x v="0"/>
    <x v="86"/>
    <x v="0"/>
    <m/>
    <m/>
    <m/>
    <m/>
    <m/>
    <m/>
    <s v="x"/>
    <m/>
    <m/>
    <m/>
    <m/>
    <m/>
    <m/>
    <m/>
    <s v="Posible"/>
    <n v="3"/>
    <n v="3"/>
    <s v="Menor"/>
    <n v="2"/>
    <n v="2"/>
    <s v="6_x000a_MODERADO"/>
    <s v="Remota"/>
    <n v="1"/>
    <n v="1"/>
    <s v="Menor"/>
    <n v="2"/>
    <n v="2"/>
    <s v="2_x000a_INFERIOR"/>
  </r>
  <r>
    <x v="15"/>
    <s v="A LEGAL"/>
    <x v="0"/>
    <x v="87"/>
    <x v="0"/>
    <m/>
    <m/>
    <m/>
    <m/>
    <m/>
    <m/>
    <s v="x"/>
    <m/>
    <m/>
    <m/>
    <m/>
    <m/>
    <m/>
    <m/>
    <s v="Alta"/>
    <n v="4"/>
    <n v="4"/>
    <s v="Menor"/>
    <n v="2"/>
    <n v="2"/>
    <s v="8_x000a_MODERADO"/>
    <s v="Posible"/>
    <n v="3"/>
    <n v="3"/>
    <s v="Menor"/>
    <n v="2"/>
    <n v="2"/>
    <s v="6_x000a_MODERADO"/>
  </r>
  <r>
    <x v="15"/>
    <s v="A LEGAL"/>
    <x v="0"/>
    <x v="88"/>
    <x v="0"/>
    <m/>
    <m/>
    <m/>
    <m/>
    <m/>
    <m/>
    <s v="x"/>
    <m/>
    <m/>
    <m/>
    <m/>
    <m/>
    <m/>
    <m/>
    <s v="Posible"/>
    <n v="3"/>
    <n v="3"/>
    <s v="Moderado"/>
    <n v="3"/>
    <n v="3"/>
    <s v="9_x000a_MODERADO"/>
    <s v="Baja"/>
    <n v="2"/>
    <n v="2"/>
    <s v="Moderado"/>
    <n v="3"/>
    <n v="3"/>
    <s v="6_x000a_MODERADO"/>
  </r>
  <r>
    <x v="15"/>
    <s v="A LEGAL"/>
    <x v="0"/>
    <x v="9"/>
    <x v="2"/>
    <m/>
    <m/>
    <m/>
    <m/>
    <m/>
    <m/>
    <m/>
    <m/>
    <m/>
    <m/>
    <m/>
    <m/>
    <m/>
    <m/>
    <e v="#N/A"/>
    <e v="#N/A"/>
    <e v="#N/A"/>
    <e v="#N/A"/>
    <e v="#N/A"/>
    <e v="#N/A"/>
    <e v="#N/A"/>
    <e v="#N/A"/>
    <e v="#N/A"/>
    <e v="#N/A"/>
    <e v="#N/A"/>
    <e v="#N/A"/>
    <e v="#N/A"/>
    <e v="#N/A"/>
  </r>
  <r>
    <x v="15"/>
    <s v="A LEGAL"/>
    <x v="0"/>
    <x v="9"/>
    <x v="2"/>
    <m/>
    <m/>
    <m/>
    <m/>
    <m/>
    <m/>
    <m/>
    <m/>
    <m/>
    <m/>
    <m/>
    <m/>
    <m/>
    <m/>
    <e v="#N/A"/>
    <e v="#N/A"/>
    <e v="#N/A"/>
    <e v="#N/A"/>
    <e v="#N/A"/>
    <e v="#N/A"/>
    <e v="#N/A"/>
    <e v="#N/A"/>
    <e v="#N/A"/>
    <e v="#N/A"/>
    <e v="#N/A"/>
    <e v="#N/A"/>
    <e v="#N/A"/>
    <e v="#N/A"/>
  </r>
  <r>
    <x v="15"/>
    <s v="A LEGAL"/>
    <x v="0"/>
    <x v="9"/>
    <x v="2"/>
    <m/>
    <m/>
    <m/>
    <m/>
    <m/>
    <m/>
    <m/>
    <m/>
    <m/>
    <m/>
    <m/>
    <m/>
    <m/>
    <m/>
    <e v="#N/A"/>
    <e v="#N/A"/>
    <e v="#N/A"/>
    <e v="#N/A"/>
    <e v="#N/A"/>
    <e v="#N/A"/>
    <e v="#N/A"/>
    <e v="#N/A"/>
    <e v="#N/A"/>
    <e v="#N/A"/>
    <e v="#N/A"/>
    <e v="#N/A"/>
    <e v="#N/A"/>
    <e v="#N/A"/>
  </r>
  <r>
    <x v="15"/>
    <s v="A LEGAL"/>
    <x v="0"/>
    <x v="9"/>
    <x v="2"/>
    <m/>
    <m/>
    <m/>
    <m/>
    <m/>
    <m/>
    <m/>
    <m/>
    <m/>
    <m/>
    <m/>
    <m/>
    <m/>
    <m/>
    <e v="#N/A"/>
    <e v="#N/A"/>
    <e v="#N/A"/>
    <e v="#N/A"/>
    <e v="#N/A"/>
    <e v="#N/A"/>
    <e v="#N/A"/>
    <e v="#N/A"/>
    <e v="#N/A"/>
    <e v="#N/A"/>
    <e v="#N/A"/>
    <e v="#N/A"/>
    <e v="#N/A"/>
    <e v="#N/A"/>
  </r>
  <r>
    <x v="15"/>
    <s v="A LEGAL"/>
    <x v="0"/>
    <x v="9"/>
    <x v="2"/>
    <m/>
    <m/>
    <m/>
    <m/>
    <m/>
    <m/>
    <m/>
    <m/>
    <m/>
    <m/>
    <m/>
    <m/>
    <m/>
    <m/>
    <e v="#N/A"/>
    <e v="#N/A"/>
    <e v="#N/A"/>
    <e v="#N/A"/>
    <e v="#N/A"/>
    <e v="#N/A"/>
    <e v="#N/A"/>
    <e v="#N/A"/>
    <e v="#N/A"/>
    <e v="#N/A"/>
    <e v="#N/A"/>
    <e v="#N/A"/>
    <e v="#N/A"/>
    <e v="#N/A"/>
  </r>
  <r>
    <x v="15"/>
    <s v="A LEGAL"/>
    <x v="0"/>
    <x v="9"/>
    <x v="2"/>
    <m/>
    <m/>
    <m/>
    <m/>
    <m/>
    <m/>
    <m/>
    <m/>
    <m/>
    <m/>
    <m/>
    <m/>
    <m/>
    <m/>
    <e v="#N/A"/>
    <e v="#N/A"/>
    <e v="#N/A"/>
    <e v="#N/A"/>
    <e v="#N/A"/>
    <e v="#N/A"/>
    <e v="#N/A"/>
    <e v="#N/A"/>
    <e v="#N/A"/>
    <e v="#N/A"/>
    <e v="#N/A"/>
    <e v="#N/A"/>
    <e v="#N/A"/>
    <e v="#N/A"/>
  </r>
  <r>
    <x v="15"/>
    <s v="A LEGAL"/>
    <x v="0"/>
    <x v="9"/>
    <x v="2"/>
    <m/>
    <m/>
    <m/>
    <m/>
    <m/>
    <m/>
    <m/>
    <m/>
    <m/>
    <m/>
    <m/>
    <m/>
    <m/>
    <m/>
    <e v="#N/A"/>
    <e v="#N/A"/>
    <e v="#N/A"/>
    <e v="#N/A"/>
    <e v="#N/A"/>
    <e v="#N/A"/>
    <e v="#N/A"/>
    <e v="#N/A"/>
    <e v="#N/A"/>
    <e v="#N/A"/>
    <e v="#N/A"/>
    <e v="#N/A"/>
    <e v="#N/A"/>
    <e v="#N/A"/>
  </r>
  <r>
    <x v="15"/>
    <s v="A LEGAL"/>
    <x v="0"/>
    <x v="9"/>
    <x v="2"/>
    <m/>
    <m/>
    <m/>
    <m/>
    <m/>
    <m/>
    <m/>
    <m/>
    <m/>
    <m/>
    <m/>
    <m/>
    <m/>
    <m/>
    <e v="#N/A"/>
    <e v="#N/A"/>
    <e v="#N/A"/>
    <e v="#N/A"/>
    <e v="#N/A"/>
    <e v="#N/A"/>
    <e v="#N/A"/>
    <e v="#N/A"/>
    <e v="#N/A"/>
    <e v="#N/A"/>
    <e v="#N/A"/>
    <e v="#N/A"/>
    <e v="#N/A"/>
    <e v="#N/A"/>
  </r>
  <r>
    <x v="16"/>
    <s v="A FINANCIERA"/>
    <x v="0"/>
    <x v="89"/>
    <x v="0"/>
    <m/>
    <m/>
    <m/>
    <m/>
    <m/>
    <m/>
    <m/>
    <m/>
    <s v="$E"/>
    <n v="244"/>
    <s v=";'A FINANCIERA'!$B$9:$AL$89;21;1)"/>
    <s v=";'A FINANCIERA'!$B$9:$AL$89;21;1)"/>
    <s v="=BUSCARV($E244;'A FINANCIERA'!$B$9:$AL$89;21;1)"/>
    <m/>
    <s v="Baja"/>
    <n v="2"/>
    <n v="2"/>
    <s v="Menor"/>
    <n v="2"/>
    <n v="2"/>
    <s v="4_x000a_INFERIOR"/>
    <s v="Remota"/>
    <n v="1"/>
    <n v="1"/>
    <s v="Insignificante"/>
    <n v="1"/>
    <n v="1"/>
    <s v="1_x000a_INFERIOR"/>
  </r>
  <r>
    <x v="16"/>
    <s v="A FINANCIERA"/>
    <x v="0"/>
    <x v="90"/>
    <x v="0"/>
    <m/>
    <m/>
    <m/>
    <m/>
    <m/>
    <m/>
    <m/>
    <m/>
    <m/>
    <m/>
    <m/>
    <m/>
    <m/>
    <m/>
    <s v="Baja"/>
    <n v="2"/>
    <n v="2"/>
    <s v="Menor"/>
    <n v="2"/>
    <n v="2"/>
    <s v="4_x000a_INFERIOR"/>
    <s v="Remota"/>
    <n v="1"/>
    <n v="1"/>
    <s v="Insignificante"/>
    <n v="1"/>
    <n v="1"/>
    <s v="1_x000a_INFERIOR"/>
  </r>
  <r>
    <x v="16"/>
    <s v="A FINANCIERA"/>
    <x v="0"/>
    <x v="91"/>
    <x v="0"/>
    <m/>
    <m/>
    <m/>
    <m/>
    <m/>
    <m/>
    <s v="x"/>
    <m/>
    <m/>
    <m/>
    <m/>
    <m/>
    <m/>
    <m/>
    <s v="Baja"/>
    <n v="2"/>
    <n v="2"/>
    <s v="Moderado"/>
    <n v="3"/>
    <n v="3"/>
    <s v="6_x000a_MODERADO"/>
    <s v="Remota"/>
    <n v="1"/>
    <n v="1"/>
    <s v="Insignificante"/>
    <n v="1"/>
    <n v="1"/>
    <s v="1_x000a_INFERIOR"/>
  </r>
  <r>
    <x v="16"/>
    <s v="A FINANCIERA"/>
    <x v="0"/>
    <x v="92"/>
    <x v="0"/>
    <m/>
    <m/>
    <m/>
    <m/>
    <m/>
    <m/>
    <m/>
    <m/>
    <m/>
    <m/>
    <m/>
    <m/>
    <m/>
    <m/>
    <s v="Baja"/>
    <n v="2"/>
    <n v="2"/>
    <s v="Moderado"/>
    <n v="3"/>
    <n v="3"/>
    <s v="6_x000a_MODERADO"/>
    <s v="Remota"/>
    <n v="1"/>
    <n v="1"/>
    <s v="Insignificante"/>
    <n v="1"/>
    <n v="1"/>
    <s v="1_x000a_INFERIOR"/>
  </r>
  <r>
    <x v="16"/>
    <s v="A FINANCIERA"/>
    <x v="0"/>
    <x v="93"/>
    <x v="0"/>
    <m/>
    <m/>
    <m/>
    <m/>
    <m/>
    <m/>
    <m/>
    <s v="x"/>
    <m/>
    <m/>
    <m/>
    <m/>
    <m/>
    <m/>
    <s v="Remota"/>
    <n v="1"/>
    <n v="1"/>
    <s v="Menor"/>
    <n v="2"/>
    <n v="2"/>
    <s v="2_x000a_INFERIOR"/>
    <s v="Remota"/>
    <n v="1"/>
    <n v="1"/>
    <s v="Insignificante"/>
    <n v="1"/>
    <n v="1"/>
    <s v="1_x000a_INFERIOR"/>
  </r>
  <r>
    <x v="16"/>
    <s v="A FINANCIERA"/>
    <x v="0"/>
    <x v="94"/>
    <x v="0"/>
    <m/>
    <m/>
    <m/>
    <m/>
    <m/>
    <m/>
    <m/>
    <m/>
    <m/>
    <m/>
    <m/>
    <m/>
    <m/>
    <m/>
    <s v="Remota"/>
    <n v="1"/>
    <n v="1"/>
    <s v="Moderado"/>
    <n v="3"/>
    <n v="3"/>
    <s v="3_x000a_INFERIOR"/>
    <s v="Remota"/>
    <n v="1"/>
    <n v="1"/>
    <s v="Insignificante"/>
    <n v="1"/>
    <n v="1"/>
    <s v="1_x000a_INFERIOR"/>
  </r>
  <r>
    <x v="16"/>
    <s v="A FINANCIERA"/>
    <x v="0"/>
    <x v="95"/>
    <x v="0"/>
    <m/>
    <m/>
    <m/>
    <m/>
    <m/>
    <m/>
    <m/>
    <m/>
    <m/>
    <m/>
    <m/>
    <m/>
    <m/>
    <m/>
    <s v="Baja"/>
    <n v="2"/>
    <n v="2"/>
    <s v="Moderado"/>
    <n v="3"/>
    <n v="3"/>
    <s v="6_x000a_MODERADO"/>
    <s v="Remota"/>
    <n v="1"/>
    <n v="1"/>
    <s v="Insignificante"/>
    <n v="1"/>
    <n v="1"/>
    <s v="1_x000a_INFERIOR"/>
  </r>
  <r>
    <x v="16"/>
    <s v="A FINANCIERA"/>
    <x v="0"/>
    <x v="96"/>
    <x v="0"/>
    <m/>
    <m/>
    <m/>
    <m/>
    <m/>
    <m/>
    <m/>
    <m/>
    <m/>
    <m/>
    <m/>
    <m/>
    <m/>
    <m/>
    <s v="Posible"/>
    <n v="3"/>
    <n v="3"/>
    <s v="Moderado"/>
    <n v="3"/>
    <n v="3"/>
    <s v="9_x000a_MODERADO"/>
    <s v="Remota"/>
    <n v="1"/>
    <n v="1"/>
    <s v="Insignificante"/>
    <n v="1"/>
    <n v="1"/>
    <s v="1_x000a_INFERIOR"/>
  </r>
  <r>
    <x v="16"/>
    <s v="A FINANCIERA"/>
    <x v="0"/>
    <x v="97"/>
    <x v="0"/>
    <m/>
    <m/>
    <m/>
    <m/>
    <m/>
    <m/>
    <m/>
    <s v="x"/>
    <m/>
    <m/>
    <m/>
    <m/>
    <m/>
    <m/>
    <s v="Posible"/>
    <n v="3"/>
    <n v="3"/>
    <s v="Menor"/>
    <n v="2"/>
    <n v="2"/>
    <s v="6_x000a_MODERADO"/>
    <s v="Baja"/>
    <n v="2"/>
    <n v="2"/>
    <s v="Insignificante"/>
    <n v="1"/>
    <n v="1"/>
    <s v="2_x000a_INFERIOR"/>
  </r>
  <r>
    <x v="16"/>
    <s v="A FINANCIERA"/>
    <x v="0"/>
    <x v="98"/>
    <x v="0"/>
    <m/>
    <m/>
    <m/>
    <m/>
    <m/>
    <m/>
    <m/>
    <s v="x"/>
    <m/>
    <m/>
    <m/>
    <m/>
    <m/>
    <m/>
    <s v="Posible"/>
    <n v="3"/>
    <n v="3"/>
    <s v="Menor"/>
    <n v="2"/>
    <n v="2"/>
    <s v="6_x000a_MODERADO"/>
    <s v="Baja"/>
    <n v="2"/>
    <n v="2"/>
    <s v="Insignificante"/>
    <n v="1"/>
    <n v="1"/>
    <s v="2_x000a_INFERIOR"/>
  </r>
  <r>
    <x v="16"/>
    <s v="A FINANCIERA"/>
    <x v="0"/>
    <x v="99"/>
    <x v="1"/>
    <m/>
    <m/>
    <m/>
    <m/>
    <m/>
    <m/>
    <m/>
    <m/>
    <m/>
    <m/>
    <m/>
    <m/>
    <m/>
    <m/>
    <m/>
    <n v="1"/>
    <n v="1"/>
    <m/>
    <n v="1"/>
    <n v="1"/>
    <m/>
    <m/>
    <n v="1"/>
    <n v="1"/>
    <m/>
    <n v="1"/>
    <n v="1"/>
    <m/>
  </r>
  <r>
    <x v="16"/>
    <s v="A FINANCIERA"/>
    <x v="0"/>
    <x v="100"/>
    <x v="0"/>
    <m/>
    <m/>
    <m/>
    <m/>
    <m/>
    <m/>
    <m/>
    <s v="x"/>
    <m/>
    <m/>
    <m/>
    <m/>
    <m/>
    <m/>
    <s v="Posible"/>
    <n v="3"/>
    <n v="3"/>
    <s v="Insignificante"/>
    <n v="1"/>
    <n v="1"/>
    <s v="3_x000a_INFERIOR"/>
    <s v="Baja"/>
    <n v="2"/>
    <n v="2"/>
    <s v="Insignificante"/>
    <n v="1"/>
    <n v="1"/>
    <s v="2_x000a_INFERIOR"/>
  </r>
  <r>
    <x v="16"/>
    <s v="A FINANCIERA"/>
    <x v="0"/>
    <x v="9"/>
    <x v="2"/>
    <m/>
    <m/>
    <m/>
    <m/>
    <m/>
    <m/>
    <m/>
    <m/>
    <m/>
    <m/>
    <m/>
    <m/>
    <m/>
    <m/>
    <e v="#N/A"/>
    <e v="#N/A"/>
    <e v="#N/A"/>
    <e v="#N/A"/>
    <e v="#N/A"/>
    <e v="#N/A"/>
    <e v="#N/A"/>
    <e v="#N/A"/>
    <e v="#N/A"/>
    <e v="#N/A"/>
    <e v="#N/A"/>
    <e v="#N/A"/>
    <e v="#N/A"/>
    <e v="#N/A"/>
  </r>
  <r>
    <x v="16"/>
    <s v="A FINANCIERA"/>
    <x v="0"/>
    <x v="9"/>
    <x v="2"/>
    <m/>
    <m/>
    <m/>
    <m/>
    <m/>
    <m/>
    <m/>
    <m/>
    <m/>
    <m/>
    <m/>
    <m/>
    <m/>
    <m/>
    <e v="#N/A"/>
    <e v="#N/A"/>
    <e v="#N/A"/>
    <e v="#N/A"/>
    <e v="#N/A"/>
    <e v="#N/A"/>
    <e v="#N/A"/>
    <e v="#N/A"/>
    <e v="#N/A"/>
    <e v="#N/A"/>
    <e v="#N/A"/>
    <e v="#N/A"/>
    <e v="#N/A"/>
    <e v="#N/A"/>
  </r>
  <r>
    <x v="16"/>
    <s v="A FINANCIERA"/>
    <x v="0"/>
    <x v="9"/>
    <x v="2"/>
    <m/>
    <m/>
    <m/>
    <m/>
    <m/>
    <m/>
    <m/>
    <m/>
    <m/>
    <m/>
    <m/>
    <m/>
    <m/>
    <m/>
    <e v="#N/A"/>
    <e v="#N/A"/>
    <e v="#N/A"/>
    <e v="#N/A"/>
    <e v="#N/A"/>
    <e v="#N/A"/>
    <e v="#N/A"/>
    <e v="#N/A"/>
    <e v="#N/A"/>
    <e v="#N/A"/>
    <e v="#N/A"/>
    <e v="#N/A"/>
    <e v="#N/A"/>
    <e v="#N/A"/>
  </r>
  <r>
    <x v="17"/>
    <s v="A THUMANOS"/>
    <x v="0"/>
    <x v="101"/>
    <x v="0"/>
    <m/>
    <m/>
    <m/>
    <m/>
    <m/>
    <m/>
    <m/>
    <s v="x"/>
    <s v="$E"/>
    <n v="259"/>
    <s v=";'A THUMANOS'!$B$9:$AL$89;21;1)"/>
    <s v=";'A THUMANOS'!$B$9:$AL$89;21;1)"/>
    <s v="=BUSCARV($E259;'A THUMANOS'!$B$9:$AL$89;21;1)"/>
    <m/>
    <s v="Posible"/>
    <n v="3"/>
    <n v="3"/>
    <s v="Menor"/>
    <n v="2"/>
    <n v="2"/>
    <s v="6_x000a_MODERADO"/>
    <s v="Baja"/>
    <n v="2"/>
    <n v="2"/>
    <s v="Insignificante"/>
    <n v="1"/>
    <n v="1"/>
    <s v="2_x000a_INFERIOR"/>
  </r>
  <r>
    <x v="17"/>
    <s v="A THUMANOS"/>
    <x v="0"/>
    <x v="102"/>
    <x v="0"/>
    <m/>
    <m/>
    <m/>
    <m/>
    <m/>
    <m/>
    <m/>
    <s v="x"/>
    <m/>
    <m/>
    <m/>
    <m/>
    <m/>
    <m/>
    <s v="Baja"/>
    <n v="2"/>
    <n v="2"/>
    <s v="Menor"/>
    <n v="2"/>
    <n v="2"/>
    <s v="4_x000a_INFERIOR"/>
    <s v="Remota"/>
    <n v="1"/>
    <n v="1"/>
    <s v="Menor"/>
    <n v="2"/>
    <n v="2"/>
    <s v="2_x000a_INFERIOR"/>
  </r>
  <r>
    <x v="17"/>
    <s v="A THUMANOS"/>
    <x v="0"/>
    <x v="103"/>
    <x v="0"/>
    <m/>
    <m/>
    <m/>
    <m/>
    <m/>
    <m/>
    <m/>
    <s v="x"/>
    <m/>
    <m/>
    <m/>
    <m/>
    <m/>
    <m/>
    <s v="Posible"/>
    <n v="3"/>
    <n v="3"/>
    <s v="Menor"/>
    <n v="2"/>
    <n v="2"/>
    <s v="6_x000a_MODERADO"/>
    <s v="Baja"/>
    <n v="2"/>
    <n v="2"/>
    <s v="Insignificante"/>
    <n v="1"/>
    <n v="1"/>
    <s v="2_x000a_INFERIOR"/>
  </r>
  <r>
    <x v="17"/>
    <s v="A THUMANOS"/>
    <x v="0"/>
    <x v="104"/>
    <x v="1"/>
    <m/>
    <m/>
    <m/>
    <m/>
    <m/>
    <m/>
    <m/>
    <m/>
    <m/>
    <m/>
    <m/>
    <m/>
    <m/>
    <m/>
    <m/>
    <n v="1"/>
    <n v="1"/>
    <m/>
    <n v="1"/>
    <n v="1"/>
    <m/>
    <m/>
    <n v="1"/>
    <n v="1"/>
    <m/>
    <n v="1"/>
    <n v="1"/>
    <m/>
  </r>
  <r>
    <x v="17"/>
    <s v="A THUMANOS"/>
    <x v="0"/>
    <x v="105"/>
    <x v="0"/>
    <m/>
    <m/>
    <m/>
    <m/>
    <m/>
    <m/>
    <m/>
    <s v="x"/>
    <m/>
    <m/>
    <m/>
    <m/>
    <m/>
    <m/>
    <s v="Baja"/>
    <n v="2"/>
    <n v="2"/>
    <s v="Menor"/>
    <n v="2"/>
    <n v="2"/>
    <s v="4_x000a_INFERIOR"/>
    <s v="Remota"/>
    <n v="1"/>
    <n v="1"/>
    <s v="Insignificante"/>
    <n v="1"/>
    <n v="1"/>
    <s v="1_x000a_INFERIOR"/>
  </r>
  <r>
    <x v="17"/>
    <s v="A THUMANOS"/>
    <x v="0"/>
    <x v="106"/>
    <x v="0"/>
    <m/>
    <m/>
    <m/>
    <m/>
    <m/>
    <m/>
    <m/>
    <s v="x"/>
    <m/>
    <m/>
    <m/>
    <m/>
    <m/>
    <m/>
    <s v="Posible"/>
    <n v="3"/>
    <n v="3"/>
    <s v="Menor"/>
    <n v="2"/>
    <n v="2"/>
    <s v="6_x000a_MODERADO"/>
    <s v="Baja"/>
    <n v="2"/>
    <n v="2"/>
    <s v="Insignificante"/>
    <n v="1"/>
    <n v="1"/>
    <s v="2_x000a_INFERIOR"/>
  </r>
  <r>
    <x v="17"/>
    <s v="A THUMANOS"/>
    <x v="0"/>
    <x v="107"/>
    <x v="0"/>
    <m/>
    <m/>
    <m/>
    <m/>
    <m/>
    <m/>
    <m/>
    <s v="x"/>
    <m/>
    <m/>
    <m/>
    <m/>
    <m/>
    <m/>
    <s v="Baja"/>
    <n v="2"/>
    <n v="2"/>
    <s v="Menor"/>
    <n v="2"/>
    <n v="2"/>
    <s v="4_x000a_INFERIOR"/>
    <s v="Remota"/>
    <n v="1"/>
    <n v="1"/>
    <s v="Insignificante"/>
    <n v="1"/>
    <n v="1"/>
    <s v="1_x000a_INFERIOR"/>
  </r>
  <r>
    <x v="17"/>
    <s v="A THUMANOS"/>
    <x v="0"/>
    <x v="108"/>
    <x v="0"/>
    <m/>
    <m/>
    <m/>
    <m/>
    <m/>
    <m/>
    <m/>
    <s v="x"/>
    <m/>
    <m/>
    <m/>
    <m/>
    <m/>
    <m/>
    <s v="Baja"/>
    <n v="2"/>
    <n v="2"/>
    <s v="Moderado"/>
    <n v="3"/>
    <n v="3"/>
    <s v="6_x000a_MODERADO"/>
    <s v="Remota"/>
    <n v="1"/>
    <n v="1"/>
    <s v="Moderado"/>
    <n v="3"/>
    <n v="3"/>
    <s v="3_x000a_INFERIOR"/>
  </r>
  <r>
    <x v="17"/>
    <s v="A THUMANOS"/>
    <x v="0"/>
    <x v="9"/>
    <x v="2"/>
    <m/>
    <m/>
    <m/>
    <m/>
    <m/>
    <m/>
    <m/>
    <m/>
    <m/>
    <m/>
    <m/>
    <m/>
    <m/>
    <m/>
    <e v="#N/A"/>
    <e v="#N/A"/>
    <e v="#N/A"/>
    <e v="#N/A"/>
    <e v="#N/A"/>
    <e v="#N/A"/>
    <e v="#N/A"/>
    <e v="#N/A"/>
    <e v="#N/A"/>
    <e v="#N/A"/>
    <e v="#N/A"/>
    <e v="#N/A"/>
    <e v="#N/A"/>
    <e v="#N/A"/>
  </r>
  <r>
    <x v="17"/>
    <s v="A THUMANOS"/>
    <x v="0"/>
    <x v="9"/>
    <x v="2"/>
    <m/>
    <m/>
    <m/>
    <m/>
    <m/>
    <m/>
    <m/>
    <m/>
    <m/>
    <m/>
    <m/>
    <m/>
    <m/>
    <m/>
    <e v="#N/A"/>
    <e v="#N/A"/>
    <e v="#N/A"/>
    <e v="#N/A"/>
    <e v="#N/A"/>
    <e v="#N/A"/>
    <e v="#N/A"/>
    <e v="#N/A"/>
    <e v="#N/A"/>
    <e v="#N/A"/>
    <e v="#N/A"/>
    <e v="#N/A"/>
    <e v="#N/A"/>
    <e v="#N/A"/>
  </r>
  <r>
    <x v="17"/>
    <s v="A THUMANOS"/>
    <x v="0"/>
    <x v="9"/>
    <x v="2"/>
    <m/>
    <m/>
    <m/>
    <m/>
    <m/>
    <m/>
    <m/>
    <m/>
    <m/>
    <m/>
    <m/>
    <m/>
    <m/>
    <m/>
    <e v="#N/A"/>
    <e v="#N/A"/>
    <e v="#N/A"/>
    <e v="#N/A"/>
    <e v="#N/A"/>
    <e v="#N/A"/>
    <e v="#N/A"/>
    <e v="#N/A"/>
    <e v="#N/A"/>
    <e v="#N/A"/>
    <e v="#N/A"/>
    <e v="#N/A"/>
    <e v="#N/A"/>
    <e v="#N/A"/>
  </r>
  <r>
    <x v="17"/>
    <s v="A THUMANOS"/>
    <x v="0"/>
    <x v="9"/>
    <x v="2"/>
    <m/>
    <m/>
    <m/>
    <m/>
    <m/>
    <m/>
    <m/>
    <m/>
    <m/>
    <m/>
    <m/>
    <m/>
    <m/>
    <m/>
    <e v="#N/A"/>
    <e v="#N/A"/>
    <e v="#N/A"/>
    <e v="#N/A"/>
    <e v="#N/A"/>
    <e v="#N/A"/>
    <e v="#N/A"/>
    <e v="#N/A"/>
    <e v="#N/A"/>
    <e v="#N/A"/>
    <e v="#N/A"/>
    <e v="#N/A"/>
    <e v="#N/A"/>
    <e v="#N/A"/>
  </r>
  <r>
    <x v="17"/>
    <s v="A THUMANOS"/>
    <x v="0"/>
    <x v="9"/>
    <x v="2"/>
    <m/>
    <m/>
    <m/>
    <m/>
    <m/>
    <m/>
    <m/>
    <m/>
    <m/>
    <m/>
    <m/>
    <m/>
    <m/>
    <m/>
    <e v="#N/A"/>
    <e v="#N/A"/>
    <e v="#N/A"/>
    <e v="#N/A"/>
    <e v="#N/A"/>
    <e v="#N/A"/>
    <e v="#N/A"/>
    <e v="#N/A"/>
    <e v="#N/A"/>
    <e v="#N/A"/>
    <e v="#N/A"/>
    <e v="#N/A"/>
    <e v="#N/A"/>
    <e v="#N/A"/>
  </r>
  <r>
    <x v="17"/>
    <s v="A THUMANOS"/>
    <x v="0"/>
    <x v="9"/>
    <x v="2"/>
    <m/>
    <m/>
    <m/>
    <m/>
    <m/>
    <m/>
    <m/>
    <m/>
    <m/>
    <m/>
    <m/>
    <m/>
    <m/>
    <m/>
    <e v="#N/A"/>
    <e v="#N/A"/>
    <e v="#N/A"/>
    <e v="#N/A"/>
    <e v="#N/A"/>
    <e v="#N/A"/>
    <e v="#N/A"/>
    <e v="#N/A"/>
    <e v="#N/A"/>
    <e v="#N/A"/>
    <e v="#N/A"/>
    <e v="#N/A"/>
    <e v="#N/A"/>
    <e v="#N/A"/>
  </r>
  <r>
    <x v="17"/>
    <s v="A THUMANOS"/>
    <x v="0"/>
    <x v="9"/>
    <x v="2"/>
    <m/>
    <m/>
    <m/>
    <m/>
    <m/>
    <m/>
    <m/>
    <m/>
    <m/>
    <m/>
    <m/>
    <m/>
    <m/>
    <m/>
    <e v="#N/A"/>
    <e v="#N/A"/>
    <e v="#N/A"/>
    <e v="#N/A"/>
    <e v="#N/A"/>
    <e v="#N/A"/>
    <e v="#N/A"/>
    <e v="#N/A"/>
    <e v="#N/A"/>
    <e v="#N/A"/>
    <e v="#N/A"/>
    <e v="#N/A"/>
    <e v="#N/A"/>
    <e v="#N/A"/>
  </r>
  <r>
    <x v="18"/>
    <s v="A RFISICOS"/>
    <x v="0"/>
    <x v="109"/>
    <x v="0"/>
    <m/>
    <m/>
    <m/>
    <m/>
    <m/>
    <m/>
    <m/>
    <m/>
    <s v="$E"/>
    <n v="274"/>
    <s v=";'A RFISICOS'!$B$9:$AL$89;21;1)"/>
    <s v=";'A RFISICOS'!$B$9:$AL$89;21;1)"/>
    <s v="=BUSCARV($E274;'A RFISICOS'!$B$9:$AL$89;21;1)"/>
    <m/>
    <s v="Posible"/>
    <n v="3"/>
    <n v="3"/>
    <s v="Moderado"/>
    <n v="3"/>
    <n v="3"/>
    <s v="9_x000a_MODERADO"/>
    <s v="Baja"/>
    <n v="2"/>
    <n v="2"/>
    <s v="Moderado"/>
    <n v="3"/>
    <n v="3"/>
    <s v="6_x000a_MODERADO"/>
  </r>
  <r>
    <x v="18"/>
    <s v="A RFISICOS"/>
    <x v="0"/>
    <x v="110"/>
    <x v="0"/>
    <m/>
    <m/>
    <m/>
    <m/>
    <m/>
    <m/>
    <m/>
    <m/>
    <m/>
    <m/>
    <m/>
    <m/>
    <m/>
    <m/>
    <s v="Posible"/>
    <n v="3"/>
    <n v="3"/>
    <s v="Moderado"/>
    <n v="3"/>
    <n v="3"/>
    <s v="9_x000a_MODERADO"/>
    <s v="Remota"/>
    <n v="1"/>
    <n v="1"/>
    <s v="Insignificante"/>
    <n v="1"/>
    <n v="1"/>
    <s v="1_x000a_INFERIOR"/>
  </r>
  <r>
    <x v="18"/>
    <s v="A RFISICOS"/>
    <x v="0"/>
    <x v="111"/>
    <x v="0"/>
    <m/>
    <m/>
    <m/>
    <m/>
    <m/>
    <m/>
    <m/>
    <m/>
    <m/>
    <m/>
    <m/>
    <m/>
    <m/>
    <m/>
    <s v="Alta"/>
    <n v="4"/>
    <n v="4"/>
    <s v="Moderado"/>
    <n v="3"/>
    <n v="3"/>
    <s v="12_x000a_ALTO"/>
    <s v="Posible"/>
    <n v="3"/>
    <n v="3"/>
    <s v="Moderado"/>
    <n v="3"/>
    <n v="3"/>
    <s v="9_x000a_MODERADO"/>
  </r>
  <r>
    <x v="18"/>
    <s v="A RFISICOS"/>
    <x v="0"/>
    <x v="112"/>
    <x v="0"/>
    <m/>
    <m/>
    <m/>
    <m/>
    <m/>
    <m/>
    <m/>
    <m/>
    <m/>
    <m/>
    <m/>
    <m/>
    <m/>
    <m/>
    <s v="Posible"/>
    <n v="3"/>
    <n v="3"/>
    <s v="Moderado"/>
    <n v="3"/>
    <n v="3"/>
    <s v="9_x000a_MODERADO"/>
    <s v="Baja"/>
    <n v="2"/>
    <n v="2"/>
    <s v="Menor"/>
    <n v="2"/>
    <n v="2"/>
    <s v="4_x000a_INFERIOR"/>
  </r>
  <r>
    <x v="18"/>
    <s v="A RFISICOS"/>
    <x v="0"/>
    <x v="113"/>
    <x v="0"/>
    <m/>
    <m/>
    <m/>
    <m/>
    <m/>
    <m/>
    <m/>
    <m/>
    <m/>
    <m/>
    <m/>
    <m/>
    <m/>
    <m/>
    <s v="Baja"/>
    <n v="2"/>
    <n v="2"/>
    <s v="Mayor"/>
    <n v="4"/>
    <n v="4"/>
    <s v="8_x000a_MODERADO"/>
    <s v="Remota"/>
    <n v="1"/>
    <n v="1"/>
    <s v="Mayor"/>
    <n v="4"/>
    <n v="4"/>
    <s v="4_x000a_MODERADO"/>
  </r>
  <r>
    <x v="18"/>
    <s v="A RFISICOS"/>
    <x v="0"/>
    <x v="114"/>
    <x v="0"/>
    <m/>
    <m/>
    <m/>
    <m/>
    <m/>
    <m/>
    <m/>
    <m/>
    <m/>
    <m/>
    <m/>
    <m/>
    <m/>
    <m/>
    <s v="Alta"/>
    <n v="4"/>
    <n v="4"/>
    <s v="Menor"/>
    <n v="2"/>
    <n v="2"/>
    <s v="8_x000a_MODERADO"/>
    <s v="Posible"/>
    <n v="3"/>
    <n v="3"/>
    <s v="Menor"/>
    <n v="2"/>
    <n v="2"/>
    <s v="6_x000a_MODERADO"/>
  </r>
  <r>
    <x v="18"/>
    <s v="A RFISICOS"/>
    <x v="0"/>
    <x v="115"/>
    <x v="0"/>
    <m/>
    <m/>
    <m/>
    <m/>
    <m/>
    <m/>
    <m/>
    <m/>
    <m/>
    <m/>
    <m/>
    <m/>
    <m/>
    <m/>
    <s v="Alta"/>
    <n v="4"/>
    <n v="4"/>
    <s v="Menor"/>
    <n v="2"/>
    <n v="2"/>
    <s v="8_x000a_MODERADO"/>
    <s v="Posible"/>
    <n v="3"/>
    <n v="3"/>
    <s v="Insignificante"/>
    <n v="1"/>
    <n v="1"/>
    <s v="3_x000a_INFERIOR"/>
  </r>
  <r>
    <x v="18"/>
    <s v="A RFISICOS"/>
    <x v="0"/>
    <x v="116"/>
    <x v="0"/>
    <m/>
    <m/>
    <m/>
    <m/>
    <m/>
    <m/>
    <m/>
    <m/>
    <m/>
    <m/>
    <m/>
    <m/>
    <m/>
    <m/>
    <s v="Alta"/>
    <n v="4"/>
    <n v="4"/>
    <s v="Menor"/>
    <n v="2"/>
    <n v="2"/>
    <s v="8_x000a_MODERADO"/>
    <s v="Baja"/>
    <n v="2"/>
    <n v="2"/>
    <s v="Insignificante"/>
    <n v="1"/>
    <n v="1"/>
    <s v="2_x000a_INFERIOR"/>
  </r>
  <r>
    <x v="18"/>
    <s v="A RFISICOS"/>
    <x v="0"/>
    <x v="117"/>
    <x v="0"/>
    <m/>
    <m/>
    <m/>
    <m/>
    <m/>
    <m/>
    <m/>
    <m/>
    <m/>
    <m/>
    <m/>
    <m/>
    <m/>
    <m/>
    <s v="Baja"/>
    <n v="2"/>
    <n v="2"/>
    <s v="Menor"/>
    <n v="2"/>
    <n v="2"/>
    <s v="4_x000a_INFERIOR"/>
    <s v="Remota"/>
    <n v="1"/>
    <n v="1"/>
    <s v="Menor"/>
    <n v="2"/>
    <n v="2"/>
    <s v="2_x000a_INFERIOR"/>
  </r>
  <r>
    <x v="18"/>
    <s v="A RFISICOS"/>
    <x v="0"/>
    <x v="118"/>
    <x v="0"/>
    <m/>
    <m/>
    <m/>
    <m/>
    <m/>
    <m/>
    <m/>
    <m/>
    <m/>
    <m/>
    <m/>
    <m/>
    <m/>
    <m/>
    <s v="Alta"/>
    <n v="4"/>
    <n v="4"/>
    <s v="Menor"/>
    <n v="2"/>
    <n v="2"/>
    <s v="8_x000a_MODERADO"/>
    <s v="Posible"/>
    <n v="3"/>
    <n v="3"/>
    <s v="Menor"/>
    <n v="2"/>
    <n v="2"/>
    <s v="6_x000a_MODERADO"/>
  </r>
  <r>
    <x v="18"/>
    <s v="A RFISICOS"/>
    <x v="0"/>
    <x v="9"/>
    <x v="2"/>
    <m/>
    <m/>
    <m/>
    <m/>
    <m/>
    <m/>
    <m/>
    <m/>
    <m/>
    <m/>
    <m/>
    <m/>
    <m/>
    <m/>
    <e v="#N/A"/>
    <e v="#N/A"/>
    <e v="#N/A"/>
    <e v="#N/A"/>
    <e v="#N/A"/>
    <e v="#N/A"/>
    <e v="#N/A"/>
    <e v="#N/A"/>
    <e v="#N/A"/>
    <e v="#N/A"/>
    <e v="#N/A"/>
    <e v="#N/A"/>
    <e v="#N/A"/>
    <e v="#N/A"/>
  </r>
  <r>
    <x v="18"/>
    <s v="A RFISICOS"/>
    <x v="0"/>
    <x v="9"/>
    <x v="2"/>
    <m/>
    <m/>
    <m/>
    <m/>
    <m/>
    <m/>
    <m/>
    <m/>
    <m/>
    <m/>
    <m/>
    <m/>
    <m/>
    <m/>
    <e v="#N/A"/>
    <e v="#N/A"/>
    <e v="#N/A"/>
    <e v="#N/A"/>
    <e v="#N/A"/>
    <e v="#N/A"/>
    <e v="#N/A"/>
    <e v="#N/A"/>
    <e v="#N/A"/>
    <e v="#N/A"/>
    <e v="#N/A"/>
    <e v="#N/A"/>
    <e v="#N/A"/>
    <e v="#N/A"/>
  </r>
  <r>
    <x v="18"/>
    <s v="A RFISICOS"/>
    <x v="0"/>
    <x v="9"/>
    <x v="2"/>
    <m/>
    <m/>
    <m/>
    <m/>
    <m/>
    <m/>
    <m/>
    <m/>
    <m/>
    <m/>
    <m/>
    <m/>
    <m/>
    <m/>
    <e v="#N/A"/>
    <e v="#N/A"/>
    <e v="#N/A"/>
    <e v="#N/A"/>
    <e v="#N/A"/>
    <e v="#N/A"/>
    <e v="#N/A"/>
    <e v="#N/A"/>
    <e v="#N/A"/>
    <e v="#N/A"/>
    <e v="#N/A"/>
    <e v="#N/A"/>
    <e v="#N/A"/>
    <e v="#N/A"/>
  </r>
  <r>
    <x v="18"/>
    <s v="A RFISICOS"/>
    <x v="0"/>
    <x v="9"/>
    <x v="2"/>
    <m/>
    <m/>
    <m/>
    <m/>
    <m/>
    <m/>
    <m/>
    <m/>
    <m/>
    <m/>
    <m/>
    <m/>
    <m/>
    <m/>
    <e v="#N/A"/>
    <e v="#N/A"/>
    <e v="#N/A"/>
    <e v="#N/A"/>
    <e v="#N/A"/>
    <e v="#N/A"/>
    <e v="#N/A"/>
    <e v="#N/A"/>
    <e v="#N/A"/>
    <e v="#N/A"/>
    <e v="#N/A"/>
    <e v="#N/A"/>
    <e v="#N/A"/>
    <e v="#N/A"/>
  </r>
  <r>
    <x v="18"/>
    <s v="A RFISICOS"/>
    <x v="0"/>
    <x v="9"/>
    <x v="2"/>
    <m/>
    <m/>
    <m/>
    <m/>
    <m/>
    <m/>
    <m/>
    <m/>
    <m/>
    <m/>
    <m/>
    <m/>
    <m/>
    <m/>
    <e v="#N/A"/>
    <e v="#N/A"/>
    <e v="#N/A"/>
    <e v="#N/A"/>
    <e v="#N/A"/>
    <e v="#N/A"/>
    <e v="#N/A"/>
    <e v="#N/A"/>
    <e v="#N/A"/>
    <e v="#N/A"/>
    <e v="#N/A"/>
    <e v="#N/A"/>
    <e v="#N/A"/>
    <e v="#N/A"/>
  </r>
  <r>
    <x v="19"/>
    <s v="A DOCUMENTAL"/>
    <x v="0"/>
    <x v="119"/>
    <x v="0"/>
    <m/>
    <m/>
    <m/>
    <m/>
    <m/>
    <m/>
    <m/>
    <m/>
    <s v="$E"/>
    <n v="289"/>
    <s v=";'A DOCUMENTAL'!$B$9:$AL$89;21;1)"/>
    <s v=";'A DOCUMENTAL'!$B$9:$AL$89;21;1)"/>
    <s v="=BUSCARV($E289;'A DOCUMENTAL'!$B$9:$AL$89;21;1)"/>
    <m/>
    <s v="Alta"/>
    <n v="4"/>
    <n v="4"/>
    <s v="Moderado"/>
    <n v="3"/>
    <n v="3"/>
    <s v="12_x000a_ALTO"/>
    <s v="Posible"/>
    <n v="3"/>
    <n v="3"/>
    <s v="Menor"/>
    <n v="2"/>
    <n v="2"/>
    <s v="6_x000a_MODERADO"/>
  </r>
  <r>
    <x v="19"/>
    <s v="A DOCUMENTAL"/>
    <x v="0"/>
    <x v="120"/>
    <x v="0"/>
    <m/>
    <m/>
    <m/>
    <m/>
    <m/>
    <m/>
    <m/>
    <m/>
    <m/>
    <m/>
    <m/>
    <m/>
    <m/>
    <m/>
    <s v="Alta"/>
    <n v="4"/>
    <n v="4"/>
    <s v="Moderado"/>
    <n v="3"/>
    <n v="3"/>
    <s v="12_x000a_ALTO"/>
    <s v="Posible"/>
    <n v="3"/>
    <n v="3"/>
    <s v="Menor"/>
    <n v="2"/>
    <n v="2"/>
    <s v="6_x000a_MODERADO"/>
  </r>
  <r>
    <x v="19"/>
    <s v="A DOCUMENTAL"/>
    <x v="0"/>
    <x v="121"/>
    <x v="0"/>
    <m/>
    <m/>
    <m/>
    <m/>
    <m/>
    <m/>
    <m/>
    <m/>
    <m/>
    <m/>
    <m/>
    <m/>
    <m/>
    <m/>
    <s v="Posible"/>
    <n v="3"/>
    <n v="3"/>
    <s v="Moderado"/>
    <n v="3"/>
    <n v="3"/>
    <s v="9_x000a_MODERADO"/>
    <s v="Baja"/>
    <n v="2"/>
    <n v="2"/>
    <s v="Menor"/>
    <n v="2"/>
    <n v="2"/>
    <s v="4_x000a_INFERIOR"/>
  </r>
  <r>
    <x v="19"/>
    <s v="A DOCUMENTAL"/>
    <x v="0"/>
    <x v="122"/>
    <x v="0"/>
    <m/>
    <m/>
    <m/>
    <m/>
    <m/>
    <m/>
    <m/>
    <m/>
    <m/>
    <m/>
    <m/>
    <m/>
    <m/>
    <m/>
    <s v="Posible"/>
    <n v="3"/>
    <n v="3"/>
    <s v="Moderado"/>
    <n v="3"/>
    <n v="3"/>
    <s v="9_x000a_MODERADO"/>
    <s v="Baja"/>
    <n v="2"/>
    <n v="2"/>
    <s v="Moderado"/>
    <n v="3"/>
    <n v="3"/>
    <s v="6_x000a_MODERADO"/>
  </r>
  <r>
    <x v="19"/>
    <s v="A DOCUMENTAL"/>
    <x v="0"/>
    <x v="9"/>
    <x v="2"/>
    <m/>
    <m/>
    <m/>
    <m/>
    <m/>
    <m/>
    <m/>
    <m/>
    <m/>
    <m/>
    <m/>
    <m/>
    <m/>
    <m/>
    <e v="#N/A"/>
    <e v="#N/A"/>
    <e v="#N/A"/>
    <e v="#N/A"/>
    <e v="#N/A"/>
    <e v="#N/A"/>
    <e v="#N/A"/>
    <e v="#N/A"/>
    <e v="#N/A"/>
    <e v="#N/A"/>
    <e v="#N/A"/>
    <e v="#N/A"/>
    <e v="#N/A"/>
    <e v="#N/A"/>
  </r>
  <r>
    <x v="19"/>
    <s v="A DOCUMENTAL"/>
    <x v="0"/>
    <x v="9"/>
    <x v="2"/>
    <m/>
    <m/>
    <m/>
    <m/>
    <m/>
    <m/>
    <m/>
    <m/>
    <m/>
    <m/>
    <m/>
    <m/>
    <m/>
    <m/>
    <e v="#N/A"/>
    <e v="#N/A"/>
    <e v="#N/A"/>
    <e v="#N/A"/>
    <e v="#N/A"/>
    <e v="#N/A"/>
    <e v="#N/A"/>
    <e v="#N/A"/>
    <e v="#N/A"/>
    <e v="#N/A"/>
    <e v="#N/A"/>
    <e v="#N/A"/>
    <e v="#N/A"/>
    <e v="#N/A"/>
  </r>
  <r>
    <x v="19"/>
    <s v="A DOCUMENTAL"/>
    <x v="0"/>
    <x v="9"/>
    <x v="2"/>
    <m/>
    <m/>
    <m/>
    <m/>
    <m/>
    <m/>
    <m/>
    <m/>
    <m/>
    <m/>
    <m/>
    <m/>
    <m/>
    <m/>
    <e v="#N/A"/>
    <e v="#N/A"/>
    <e v="#N/A"/>
    <e v="#N/A"/>
    <e v="#N/A"/>
    <e v="#N/A"/>
    <e v="#N/A"/>
    <e v="#N/A"/>
    <e v="#N/A"/>
    <e v="#N/A"/>
    <e v="#N/A"/>
    <e v="#N/A"/>
    <e v="#N/A"/>
    <e v="#N/A"/>
  </r>
  <r>
    <x v="19"/>
    <s v="A DOCUMENTAL"/>
    <x v="0"/>
    <x v="9"/>
    <x v="2"/>
    <m/>
    <m/>
    <m/>
    <m/>
    <m/>
    <m/>
    <m/>
    <m/>
    <m/>
    <m/>
    <m/>
    <m/>
    <m/>
    <m/>
    <e v="#N/A"/>
    <e v="#N/A"/>
    <e v="#N/A"/>
    <e v="#N/A"/>
    <e v="#N/A"/>
    <e v="#N/A"/>
    <e v="#N/A"/>
    <e v="#N/A"/>
    <e v="#N/A"/>
    <e v="#N/A"/>
    <e v="#N/A"/>
    <e v="#N/A"/>
    <e v="#N/A"/>
    <e v="#N/A"/>
  </r>
  <r>
    <x v="19"/>
    <s v="A DOCUMENTAL"/>
    <x v="0"/>
    <x v="9"/>
    <x v="2"/>
    <m/>
    <m/>
    <m/>
    <m/>
    <m/>
    <m/>
    <m/>
    <m/>
    <m/>
    <m/>
    <m/>
    <m/>
    <m/>
    <m/>
    <e v="#N/A"/>
    <e v="#N/A"/>
    <e v="#N/A"/>
    <e v="#N/A"/>
    <e v="#N/A"/>
    <e v="#N/A"/>
    <e v="#N/A"/>
    <e v="#N/A"/>
    <e v="#N/A"/>
    <e v="#N/A"/>
    <e v="#N/A"/>
    <e v="#N/A"/>
    <e v="#N/A"/>
    <e v="#N/A"/>
  </r>
  <r>
    <x v="19"/>
    <s v="A DOCUMENTAL"/>
    <x v="0"/>
    <x v="9"/>
    <x v="2"/>
    <m/>
    <m/>
    <m/>
    <m/>
    <m/>
    <m/>
    <m/>
    <m/>
    <m/>
    <m/>
    <m/>
    <m/>
    <m/>
    <m/>
    <e v="#N/A"/>
    <e v="#N/A"/>
    <e v="#N/A"/>
    <e v="#N/A"/>
    <e v="#N/A"/>
    <e v="#N/A"/>
    <e v="#N/A"/>
    <e v="#N/A"/>
    <e v="#N/A"/>
    <e v="#N/A"/>
    <e v="#N/A"/>
    <e v="#N/A"/>
    <e v="#N/A"/>
    <e v="#N/A"/>
  </r>
  <r>
    <x v="19"/>
    <s v="A DOCUMENTAL"/>
    <x v="0"/>
    <x v="9"/>
    <x v="2"/>
    <m/>
    <m/>
    <m/>
    <m/>
    <m/>
    <m/>
    <m/>
    <m/>
    <m/>
    <m/>
    <m/>
    <m/>
    <m/>
    <m/>
    <e v="#N/A"/>
    <e v="#N/A"/>
    <e v="#N/A"/>
    <e v="#N/A"/>
    <e v="#N/A"/>
    <e v="#N/A"/>
    <e v="#N/A"/>
    <e v="#N/A"/>
    <e v="#N/A"/>
    <e v="#N/A"/>
    <e v="#N/A"/>
    <e v="#N/A"/>
    <e v="#N/A"/>
    <e v="#N/A"/>
  </r>
  <r>
    <x v="19"/>
    <s v="A DOCUMENTAL"/>
    <x v="0"/>
    <x v="9"/>
    <x v="2"/>
    <m/>
    <m/>
    <m/>
    <m/>
    <m/>
    <m/>
    <m/>
    <m/>
    <m/>
    <m/>
    <m/>
    <m/>
    <m/>
    <m/>
    <e v="#N/A"/>
    <e v="#N/A"/>
    <e v="#N/A"/>
    <e v="#N/A"/>
    <e v="#N/A"/>
    <e v="#N/A"/>
    <e v="#N/A"/>
    <e v="#N/A"/>
    <e v="#N/A"/>
    <e v="#N/A"/>
    <e v="#N/A"/>
    <e v="#N/A"/>
    <e v="#N/A"/>
    <e v="#N/A"/>
  </r>
  <r>
    <x v="19"/>
    <s v="A DOCUMENTAL"/>
    <x v="0"/>
    <x v="9"/>
    <x v="2"/>
    <m/>
    <m/>
    <m/>
    <m/>
    <m/>
    <m/>
    <m/>
    <m/>
    <m/>
    <m/>
    <m/>
    <m/>
    <m/>
    <m/>
    <e v="#N/A"/>
    <e v="#N/A"/>
    <e v="#N/A"/>
    <e v="#N/A"/>
    <e v="#N/A"/>
    <e v="#N/A"/>
    <e v="#N/A"/>
    <e v="#N/A"/>
    <e v="#N/A"/>
    <e v="#N/A"/>
    <e v="#N/A"/>
    <e v="#N/A"/>
    <e v="#N/A"/>
    <e v="#N/A"/>
  </r>
  <r>
    <x v="19"/>
    <s v="A DOCUMENTAL"/>
    <x v="0"/>
    <x v="9"/>
    <x v="2"/>
    <m/>
    <m/>
    <m/>
    <m/>
    <m/>
    <m/>
    <m/>
    <m/>
    <m/>
    <m/>
    <m/>
    <m/>
    <m/>
    <m/>
    <e v="#N/A"/>
    <e v="#N/A"/>
    <e v="#N/A"/>
    <e v="#N/A"/>
    <e v="#N/A"/>
    <e v="#N/A"/>
    <e v="#N/A"/>
    <e v="#N/A"/>
    <e v="#N/A"/>
    <e v="#N/A"/>
    <e v="#N/A"/>
    <e v="#N/A"/>
    <e v="#N/A"/>
    <e v="#N/A"/>
  </r>
  <r>
    <x v="19"/>
    <s v="A DOCUMENTAL"/>
    <x v="0"/>
    <x v="9"/>
    <x v="2"/>
    <m/>
    <m/>
    <m/>
    <m/>
    <m/>
    <m/>
    <m/>
    <m/>
    <m/>
    <m/>
    <m/>
    <m/>
    <m/>
    <m/>
    <e v="#N/A"/>
    <e v="#N/A"/>
    <e v="#N/A"/>
    <e v="#N/A"/>
    <e v="#N/A"/>
    <e v="#N/A"/>
    <e v="#N/A"/>
    <e v="#N/A"/>
    <e v="#N/A"/>
    <e v="#N/A"/>
    <e v="#N/A"/>
    <e v="#N/A"/>
    <e v="#N/A"/>
    <e v="#N/A"/>
  </r>
  <r>
    <x v="20"/>
    <s v="A TIC"/>
    <x v="0"/>
    <x v="123"/>
    <x v="0"/>
    <m/>
    <m/>
    <m/>
    <m/>
    <m/>
    <m/>
    <m/>
    <s v="x"/>
    <s v="$E"/>
    <n v="304"/>
    <s v=";'A TIC'!$B$9:$AL$89;21;1)"/>
    <s v=";'A TIC'!$B$9:$AL$89;21;1)"/>
    <s v="=BUSCARV($E304;'A TIC'!$B$9:$AL$89;21;1)"/>
    <m/>
    <s v="Posible"/>
    <n v="3"/>
    <n v="3"/>
    <s v="Moderado"/>
    <n v="3"/>
    <n v="3"/>
    <s v="9_x000a_MODERADO"/>
    <s v="Baja"/>
    <n v="2"/>
    <n v="2"/>
    <s v="Moderado"/>
    <n v="3"/>
    <n v="3"/>
    <s v="6_x000a_MODERADO"/>
  </r>
  <r>
    <x v="20"/>
    <s v="A TIC"/>
    <x v="0"/>
    <x v="124"/>
    <x v="0"/>
    <m/>
    <m/>
    <s v="x"/>
    <m/>
    <m/>
    <m/>
    <m/>
    <s v="x"/>
    <m/>
    <m/>
    <m/>
    <m/>
    <m/>
    <m/>
    <s v="Alta"/>
    <n v="4"/>
    <n v="4"/>
    <s v="Moderado"/>
    <n v="3"/>
    <n v="3"/>
    <s v="12_x000a_ALTO"/>
    <s v="Posible"/>
    <n v="3"/>
    <n v="3"/>
    <s v="Moderado"/>
    <n v="3"/>
    <n v="3"/>
    <s v="9_x000a_MODERADO"/>
  </r>
  <r>
    <x v="20"/>
    <s v="A TIC"/>
    <x v="0"/>
    <x v="125"/>
    <x v="0"/>
    <m/>
    <m/>
    <m/>
    <m/>
    <m/>
    <m/>
    <m/>
    <s v="x"/>
    <m/>
    <m/>
    <m/>
    <m/>
    <m/>
    <m/>
    <s v="Baja"/>
    <n v="2"/>
    <n v="2"/>
    <s v="Mayor"/>
    <n v="4"/>
    <n v="4"/>
    <s v="8_x000a_MODERADO"/>
    <s v="Remota"/>
    <n v="1"/>
    <n v="1"/>
    <s v="Menor"/>
    <n v="2"/>
    <n v="2"/>
    <s v="2_x000a_INFERIOR"/>
  </r>
  <r>
    <x v="20"/>
    <s v="A TIC"/>
    <x v="0"/>
    <x v="126"/>
    <x v="0"/>
    <m/>
    <m/>
    <m/>
    <m/>
    <m/>
    <m/>
    <m/>
    <m/>
    <m/>
    <m/>
    <m/>
    <m/>
    <m/>
    <m/>
    <s v="Remota"/>
    <n v="1"/>
    <n v="1"/>
    <s v="Insignificante"/>
    <n v="1"/>
    <n v="1"/>
    <s v="1_x000a_INFERIOR"/>
    <s v="Remota"/>
    <n v="1"/>
    <n v="1"/>
    <s v="Insignificante"/>
    <n v="1"/>
    <n v="1"/>
    <s v="1_x000a_INFERIOR"/>
  </r>
  <r>
    <x v="20"/>
    <s v="A TIC"/>
    <x v="0"/>
    <x v="127"/>
    <x v="0"/>
    <m/>
    <m/>
    <m/>
    <m/>
    <m/>
    <m/>
    <m/>
    <s v="x"/>
    <m/>
    <m/>
    <m/>
    <m/>
    <m/>
    <m/>
    <s v="Remota"/>
    <n v="1"/>
    <n v="1"/>
    <s v="Insignificante"/>
    <n v="1"/>
    <n v="1"/>
    <s v="1_x000a_INFERIOR"/>
    <s v="Remota"/>
    <n v="1"/>
    <n v="1"/>
    <s v="Insignificante"/>
    <n v="1"/>
    <n v="1"/>
    <s v="1_x000a_INFERIOR"/>
  </r>
  <r>
    <x v="20"/>
    <s v="A TIC"/>
    <x v="0"/>
    <x v="128"/>
    <x v="0"/>
    <m/>
    <m/>
    <m/>
    <m/>
    <m/>
    <m/>
    <m/>
    <s v="x"/>
    <m/>
    <m/>
    <m/>
    <m/>
    <m/>
    <m/>
    <s v="Remota"/>
    <n v="1"/>
    <n v="1"/>
    <s v="Insignificante"/>
    <n v="1"/>
    <n v="1"/>
    <s v="1_x000a_INFERIOR"/>
    <s v="Remota"/>
    <n v="1"/>
    <n v="1"/>
    <s v="Insignificante"/>
    <n v="1"/>
    <n v="1"/>
    <s v="1_x000a_INFERIOR"/>
  </r>
  <r>
    <x v="20"/>
    <s v="A TIC"/>
    <x v="0"/>
    <x v="129"/>
    <x v="0"/>
    <m/>
    <m/>
    <m/>
    <m/>
    <m/>
    <m/>
    <m/>
    <s v="x"/>
    <m/>
    <m/>
    <m/>
    <m/>
    <m/>
    <m/>
    <s v="Remota"/>
    <n v="1"/>
    <n v="1"/>
    <s v="Insignificante"/>
    <n v="1"/>
    <n v="1"/>
    <s v="1_x000a_INFERIOR"/>
    <s v="Remota"/>
    <n v="1"/>
    <n v="1"/>
    <s v="Insignificante"/>
    <n v="1"/>
    <n v="1"/>
    <s v="1_x000a_INFERIOR"/>
  </r>
  <r>
    <x v="20"/>
    <s v="A TIC"/>
    <x v="0"/>
    <x v="130"/>
    <x v="0"/>
    <m/>
    <m/>
    <m/>
    <m/>
    <m/>
    <m/>
    <m/>
    <s v="x"/>
    <m/>
    <m/>
    <m/>
    <m/>
    <m/>
    <m/>
    <s v="Remota"/>
    <n v="1"/>
    <n v="1"/>
    <s v="Insignificante"/>
    <n v="1"/>
    <n v="1"/>
    <s v="1_x000a_INFERIOR"/>
    <s v="Remota"/>
    <n v="1"/>
    <n v="1"/>
    <s v="Insignificante"/>
    <n v="1"/>
    <n v="1"/>
    <s v="1_x000a_INFERIOR"/>
  </r>
  <r>
    <x v="20"/>
    <s v="A TIC"/>
    <x v="0"/>
    <x v="131"/>
    <x v="0"/>
    <m/>
    <m/>
    <m/>
    <m/>
    <m/>
    <m/>
    <m/>
    <s v="x"/>
    <m/>
    <m/>
    <m/>
    <m/>
    <m/>
    <m/>
    <s v="Remota"/>
    <n v="1"/>
    <n v="1"/>
    <s v="Insignificante"/>
    <n v="1"/>
    <n v="1"/>
    <s v="1_x000a_INFERIOR"/>
    <s v="Remota"/>
    <n v="1"/>
    <n v="1"/>
    <s v="Insignificante"/>
    <n v="1"/>
    <n v="1"/>
    <s v="1_x000a_INFERIOR"/>
  </r>
  <r>
    <x v="20"/>
    <s v="A TIC"/>
    <x v="0"/>
    <x v="132"/>
    <x v="0"/>
    <m/>
    <m/>
    <m/>
    <m/>
    <m/>
    <m/>
    <m/>
    <s v="x"/>
    <m/>
    <m/>
    <m/>
    <m/>
    <m/>
    <m/>
    <s v="Remota"/>
    <n v="1"/>
    <n v="1"/>
    <s v="Insignificante"/>
    <n v="1"/>
    <n v="1"/>
    <s v="1_x000a_INFERIOR"/>
    <s v="Remota"/>
    <n v="1"/>
    <n v="1"/>
    <s v="Insignificante"/>
    <n v="1"/>
    <n v="1"/>
    <s v="1_x000a_INFERIOR"/>
  </r>
  <r>
    <x v="20"/>
    <s v="A TIC"/>
    <x v="0"/>
    <x v="133"/>
    <x v="0"/>
    <m/>
    <m/>
    <m/>
    <m/>
    <m/>
    <m/>
    <m/>
    <s v="x"/>
    <m/>
    <m/>
    <m/>
    <m/>
    <m/>
    <m/>
    <s v="Remota"/>
    <n v="1"/>
    <n v="1"/>
    <s v="Insignificante"/>
    <n v="1"/>
    <n v="1"/>
    <s v="1_x000a_INFERIOR"/>
    <s v="Remota"/>
    <n v="1"/>
    <n v="1"/>
    <s v="Insignificante"/>
    <n v="1"/>
    <n v="1"/>
    <s v="1_x000a_INFERIOR"/>
  </r>
  <r>
    <x v="20"/>
    <s v="A TIC"/>
    <x v="0"/>
    <x v="134"/>
    <x v="0"/>
    <m/>
    <m/>
    <m/>
    <m/>
    <m/>
    <m/>
    <m/>
    <s v="x"/>
    <m/>
    <m/>
    <m/>
    <m/>
    <m/>
    <m/>
    <s v="Remota"/>
    <n v="1"/>
    <n v="1"/>
    <s v="Insignificante"/>
    <n v="1"/>
    <n v="1"/>
    <s v="1_x000a_INFERIOR"/>
    <s v="Remota"/>
    <n v="1"/>
    <n v="1"/>
    <s v="Insignificante"/>
    <n v="1"/>
    <n v="1"/>
    <s v="1_x000a_INFERIOR"/>
  </r>
  <r>
    <x v="20"/>
    <s v="A TIC"/>
    <x v="0"/>
    <x v="9"/>
    <x v="2"/>
    <m/>
    <m/>
    <m/>
    <m/>
    <m/>
    <m/>
    <m/>
    <m/>
    <m/>
    <m/>
    <m/>
    <m/>
    <m/>
    <m/>
    <e v="#N/A"/>
    <e v="#N/A"/>
    <e v="#N/A"/>
    <e v="#N/A"/>
    <e v="#N/A"/>
    <e v="#N/A"/>
    <e v="#N/A"/>
    <e v="#N/A"/>
    <e v="#N/A"/>
    <e v="#N/A"/>
    <e v="#N/A"/>
    <e v="#N/A"/>
    <e v="#N/A"/>
    <e v="#N/A"/>
  </r>
  <r>
    <x v="20"/>
    <s v="A TIC"/>
    <x v="0"/>
    <x v="9"/>
    <x v="2"/>
    <m/>
    <m/>
    <m/>
    <m/>
    <m/>
    <m/>
    <m/>
    <m/>
    <m/>
    <m/>
    <m/>
    <m/>
    <m/>
    <m/>
    <e v="#N/A"/>
    <e v="#N/A"/>
    <e v="#N/A"/>
    <e v="#N/A"/>
    <e v="#N/A"/>
    <e v="#N/A"/>
    <e v="#N/A"/>
    <e v="#N/A"/>
    <e v="#N/A"/>
    <e v="#N/A"/>
    <e v="#N/A"/>
    <e v="#N/A"/>
    <e v="#N/A"/>
    <e v="#N/A"/>
  </r>
  <r>
    <x v="20"/>
    <s v="A TIC"/>
    <x v="0"/>
    <x v="9"/>
    <x v="2"/>
    <m/>
    <m/>
    <m/>
    <m/>
    <m/>
    <m/>
    <m/>
    <m/>
    <m/>
    <m/>
    <m/>
    <m/>
    <m/>
    <m/>
    <e v="#N/A"/>
    <e v="#N/A"/>
    <e v="#N/A"/>
    <e v="#N/A"/>
    <e v="#N/A"/>
    <e v="#N/A"/>
    <e v="#N/A"/>
    <e v="#N/A"/>
    <e v="#N/A"/>
    <e v="#N/A"/>
    <e v="#N/A"/>
    <e v="#N/A"/>
    <e v="#N/A"/>
    <e v="#N/A"/>
  </r>
  <r>
    <x v="21"/>
    <s v="M VALORIZACION"/>
    <x v="0"/>
    <x v="135"/>
    <x v="0"/>
    <m/>
    <m/>
    <s v="x"/>
    <m/>
    <m/>
    <m/>
    <m/>
    <m/>
    <s v="$E"/>
    <n v="319"/>
    <s v=";'M VALORIZACION'!$B$9:$AL$89;21;1)"/>
    <s v=";'M VALORIZACION'!$B$9:$AL$89;21;1)"/>
    <s v="=BUSCARV($E319;'M VALORIZACION'!$B$9:$AL$89;21;1)"/>
    <m/>
    <s v="Baja"/>
    <n v="2"/>
    <n v="2"/>
    <s v="Mayor"/>
    <n v="4"/>
    <n v="4"/>
    <s v="8_x000a_MODERADO"/>
    <s v="Remota"/>
    <n v="1"/>
    <n v="1"/>
    <s v="Menor"/>
    <n v="2"/>
    <n v="2"/>
    <s v="2_x000a_INFERIOR"/>
  </r>
  <r>
    <x v="21"/>
    <s v="M VALORIZACION"/>
    <x v="0"/>
    <x v="136"/>
    <x v="0"/>
    <m/>
    <m/>
    <m/>
    <m/>
    <m/>
    <s v="X"/>
    <m/>
    <m/>
    <m/>
    <m/>
    <m/>
    <m/>
    <m/>
    <m/>
    <s v="Remota"/>
    <n v="1"/>
    <n v="1"/>
    <s v="Mayor"/>
    <n v="4"/>
    <n v="4"/>
    <s v="4_x000a_MODERADO"/>
    <s v="Remota"/>
    <n v="1"/>
    <n v="1"/>
    <s v="Insignificante"/>
    <n v="1"/>
    <n v="1"/>
    <s v="1_x000a_INFERIOR"/>
  </r>
  <r>
    <x v="21"/>
    <s v="M VALORIZACION"/>
    <x v="0"/>
    <x v="137"/>
    <x v="1"/>
    <m/>
    <m/>
    <m/>
    <m/>
    <m/>
    <m/>
    <m/>
    <m/>
    <m/>
    <m/>
    <m/>
    <m/>
    <m/>
    <m/>
    <m/>
    <n v="1"/>
    <n v="1"/>
    <m/>
    <n v="1"/>
    <n v="1"/>
    <m/>
    <m/>
    <n v="1"/>
    <n v="1"/>
    <m/>
    <n v="1"/>
    <n v="1"/>
    <m/>
  </r>
  <r>
    <x v="21"/>
    <s v="M VALORIZACION"/>
    <x v="0"/>
    <x v="138"/>
    <x v="0"/>
    <m/>
    <m/>
    <s v="x"/>
    <m/>
    <m/>
    <m/>
    <m/>
    <m/>
    <m/>
    <m/>
    <m/>
    <m/>
    <m/>
    <m/>
    <s v="Posible"/>
    <n v="3"/>
    <n v="3"/>
    <s v="Mayor"/>
    <n v="4"/>
    <n v="4"/>
    <s v="12_x000a_ALTO"/>
    <s v="Remota"/>
    <n v="1"/>
    <n v="1"/>
    <s v="Insignificante"/>
    <n v="1"/>
    <n v="1"/>
    <s v="1_x000a_INFERIOR"/>
  </r>
  <r>
    <x v="21"/>
    <s v="M VALORIZACION"/>
    <x v="0"/>
    <x v="139"/>
    <x v="1"/>
    <m/>
    <m/>
    <m/>
    <m/>
    <m/>
    <m/>
    <m/>
    <m/>
    <m/>
    <m/>
    <m/>
    <m/>
    <m/>
    <m/>
    <m/>
    <n v="1"/>
    <n v="1"/>
    <m/>
    <n v="1"/>
    <n v="1"/>
    <m/>
    <m/>
    <n v="1"/>
    <n v="1"/>
    <m/>
    <n v="1"/>
    <n v="1"/>
    <m/>
  </r>
  <r>
    <x v="21"/>
    <s v="M VALORIZACION"/>
    <x v="0"/>
    <x v="140"/>
    <x v="1"/>
    <m/>
    <m/>
    <m/>
    <m/>
    <m/>
    <m/>
    <m/>
    <m/>
    <m/>
    <m/>
    <m/>
    <m/>
    <m/>
    <m/>
    <m/>
    <n v="1"/>
    <n v="1"/>
    <m/>
    <n v="1"/>
    <n v="1"/>
    <m/>
    <m/>
    <n v="1"/>
    <n v="1"/>
    <m/>
    <n v="1"/>
    <n v="1"/>
    <m/>
  </r>
  <r>
    <x v="21"/>
    <s v="M VALORIZACION"/>
    <x v="0"/>
    <x v="141"/>
    <x v="1"/>
    <m/>
    <m/>
    <m/>
    <m/>
    <m/>
    <m/>
    <m/>
    <m/>
    <m/>
    <m/>
    <m/>
    <m/>
    <m/>
    <m/>
    <m/>
    <n v="1"/>
    <n v="1"/>
    <m/>
    <n v="1"/>
    <n v="1"/>
    <m/>
    <m/>
    <n v="1"/>
    <n v="1"/>
    <m/>
    <n v="1"/>
    <n v="1"/>
    <m/>
  </r>
  <r>
    <x v="21"/>
    <s v="M VALORIZACION"/>
    <x v="0"/>
    <x v="142"/>
    <x v="0"/>
    <m/>
    <m/>
    <s v="x"/>
    <m/>
    <m/>
    <m/>
    <m/>
    <m/>
    <m/>
    <m/>
    <m/>
    <m/>
    <m/>
    <m/>
    <s v="Posible"/>
    <n v="3"/>
    <n v="3"/>
    <s v="Moderado"/>
    <n v="3"/>
    <n v="3"/>
    <s v="9_x000a_MODERADO"/>
    <s v="Remota"/>
    <n v="1"/>
    <n v="1"/>
    <s v="Insignificante"/>
    <n v="1"/>
    <n v="1"/>
    <s v="1_x000a_INFERIOR"/>
  </r>
  <r>
    <x v="21"/>
    <s v="M VALORIZACION"/>
    <x v="0"/>
    <x v="143"/>
    <x v="0"/>
    <m/>
    <m/>
    <s v="x"/>
    <m/>
    <m/>
    <m/>
    <m/>
    <m/>
    <m/>
    <m/>
    <m/>
    <m/>
    <m/>
    <m/>
    <s v="Baja"/>
    <n v="2"/>
    <n v="2"/>
    <s v="Moderado"/>
    <n v="3"/>
    <n v="3"/>
    <s v="6_x000a_MODERADO"/>
    <s v="Remota"/>
    <n v="1"/>
    <n v="1"/>
    <s v="Insignificante"/>
    <n v="1"/>
    <n v="1"/>
    <s v="1_x000a_INFERIOR"/>
  </r>
  <r>
    <x v="21"/>
    <s v="M VALORIZACION"/>
    <x v="0"/>
    <x v="144"/>
    <x v="1"/>
    <m/>
    <m/>
    <m/>
    <m/>
    <m/>
    <m/>
    <m/>
    <m/>
    <m/>
    <m/>
    <m/>
    <m/>
    <m/>
    <m/>
    <m/>
    <n v="1"/>
    <n v="1"/>
    <m/>
    <n v="1"/>
    <n v="1"/>
    <m/>
    <m/>
    <n v="1"/>
    <n v="1"/>
    <m/>
    <n v="1"/>
    <n v="1"/>
    <m/>
  </r>
  <r>
    <x v="21"/>
    <s v="M VALORIZACION"/>
    <x v="0"/>
    <x v="145"/>
    <x v="0"/>
    <m/>
    <m/>
    <s v="x"/>
    <m/>
    <m/>
    <m/>
    <m/>
    <m/>
    <m/>
    <m/>
    <m/>
    <m/>
    <m/>
    <m/>
    <s v="Baja"/>
    <n v="2"/>
    <n v="2"/>
    <s v="Moderado"/>
    <n v="3"/>
    <n v="3"/>
    <s v="6_x000a_MODERADO"/>
    <s v="Remota"/>
    <n v="1"/>
    <n v="1"/>
    <s v="Insignificante"/>
    <n v="1"/>
    <n v="1"/>
    <s v="1_x000a_INFERIOR"/>
  </r>
  <r>
    <x v="21"/>
    <s v="M VALORIZACION"/>
    <x v="0"/>
    <x v="146"/>
    <x v="1"/>
    <m/>
    <m/>
    <m/>
    <m/>
    <m/>
    <m/>
    <m/>
    <m/>
    <m/>
    <m/>
    <m/>
    <m/>
    <m/>
    <m/>
    <m/>
    <n v="1"/>
    <n v="1"/>
    <m/>
    <n v="1"/>
    <n v="1"/>
    <m/>
    <m/>
    <n v="1"/>
    <n v="1"/>
    <m/>
    <n v="1"/>
    <n v="1"/>
    <m/>
  </r>
  <r>
    <x v="21"/>
    <s v="M VALORIZACION"/>
    <x v="0"/>
    <x v="147"/>
    <x v="1"/>
    <m/>
    <m/>
    <m/>
    <m/>
    <m/>
    <m/>
    <m/>
    <m/>
    <m/>
    <m/>
    <m/>
    <m/>
    <m/>
    <m/>
    <m/>
    <n v="1"/>
    <n v="1"/>
    <m/>
    <n v="1"/>
    <n v="1"/>
    <m/>
    <m/>
    <n v="1"/>
    <n v="1"/>
    <m/>
    <n v="1"/>
    <n v="1"/>
    <m/>
  </r>
  <r>
    <x v="21"/>
    <s v="M VALORIZACION"/>
    <x v="0"/>
    <x v="148"/>
    <x v="1"/>
    <m/>
    <m/>
    <m/>
    <m/>
    <m/>
    <m/>
    <m/>
    <m/>
    <m/>
    <m/>
    <m/>
    <m/>
    <m/>
    <m/>
    <m/>
    <n v="1"/>
    <n v="1"/>
    <m/>
    <n v="1"/>
    <n v="1"/>
    <m/>
    <m/>
    <n v="1"/>
    <n v="1"/>
    <m/>
    <n v="1"/>
    <n v="1"/>
    <m/>
  </r>
  <r>
    <x v="21"/>
    <s v="M VALORIZACION"/>
    <x v="0"/>
    <x v="149"/>
    <x v="0"/>
    <m/>
    <m/>
    <s v="x"/>
    <m/>
    <m/>
    <m/>
    <m/>
    <m/>
    <m/>
    <m/>
    <m/>
    <m/>
    <m/>
    <m/>
    <s v="Posible"/>
    <n v="3"/>
    <n v="3"/>
    <s v="Moderado"/>
    <n v="3"/>
    <n v="3"/>
    <s v="9_x000a_MODERADO"/>
    <s v="Remota"/>
    <n v="1"/>
    <n v="1"/>
    <s v="Moderado"/>
    <n v="3"/>
    <n v="3"/>
    <s v="3_x000a_INFERIOR"/>
  </r>
</pivotCacheRecords>
</file>

<file path=xl/pivotCache/pivotCacheRecords2.xml><?xml version="1.0" encoding="utf-8"?>
<pivotCacheRecords xmlns="http://schemas.openxmlformats.org/spreadsheetml/2006/main" xmlns:r="http://schemas.openxmlformats.org/officeDocument/2006/relationships" count="321">
  <r>
    <x v="0"/>
    <s v="C PLANEACION"/>
    <x v="0"/>
    <x v="0"/>
    <x v="0"/>
    <m/>
    <m/>
    <m/>
    <m/>
    <m/>
    <m/>
    <m/>
    <m/>
    <s v="$E"/>
    <n v="337"/>
    <s v=";'C PLANEACION'!$E$10:$BD$100;14;1)"/>
    <s v=";'C PLANEACION'!$E$10:$BD$100;14;1)"/>
    <s v="=BUSCARV($E337;'C PLANEACION'!$E$10:$BD$100;14;1)"/>
    <m/>
    <s v="Posible"/>
    <n v="3"/>
    <n v="3"/>
    <s v="Mayor"/>
    <n v="10"/>
    <n v="10"/>
    <s v="30_x000a_ALTA"/>
    <s v="Improbable"/>
    <n v="2"/>
    <n v="2"/>
    <s v="Mayor"/>
    <n v="10"/>
    <n v="10"/>
    <s v="20_x000a_MODERADA"/>
  </r>
  <r>
    <x v="0"/>
    <s v="C PLANEACION"/>
    <x v="0"/>
    <x v="1"/>
    <x v="0"/>
    <m/>
    <m/>
    <m/>
    <m/>
    <m/>
    <m/>
    <m/>
    <m/>
    <s v="$E"/>
    <n v="338"/>
    <s v=";'C PLANEACION'!$E$10:$BD$100;14;1)"/>
    <s v=";'C PLANEACION'!$E$10:$BD$100;14;1)"/>
    <s v="=BUSCARV($E338;'C PLANEACION'!$E$10:$BD$100;14;1)"/>
    <m/>
    <s v="Rara vez"/>
    <n v="1"/>
    <n v="1"/>
    <s v="Mayor"/>
    <n v="10"/>
    <n v="10"/>
    <s v="10_x000a_BAJA"/>
    <s v="Rara vez"/>
    <n v="1"/>
    <n v="1"/>
    <s v="Mayor"/>
    <n v="10"/>
    <n v="10"/>
    <s v="10_x000a_BAJA"/>
  </r>
  <r>
    <x v="0"/>
    <s v="C PLANEACION"/>
    <x v="0"/>
    <x v="2"/>
    <x v="1"/>
    <m/>
    <m/>
    <m/>
    <m/>
    <m/>
    <m/>
    <m/>
    <m/>
    <s v="$E"/>
    <n v="339"/>
    <s v=";'C PLANEACION'!$E$10:$BD$100;14;1)"/>
    <s v=";'C PLANEACION'!$E$10:$BD$100;14;1)"/>
    <s v="=BUSCARV($E339;'C PLANEACION'!$E$10:$BD$100;14;1)"/>
    <m/>
    <e v="#N/A"/>
    <e v="#N/A"/>
    <e v="#N/A"/>
    <e v="#N/A"/>
    <m/>
    <m/>
    <e v="#N/A"/>
    <e v="#N/A"/>
    <e v="#N/A"/>
    <e v="#N/A"/>
    <e v="#N/A"/>
    <e v="#N/A"/>
    <e v="#N/A"/>
    <e v="#N/A"/>
  </r>
  <r>
    <x v="0"/>
    <s v="C PLANEACION"/>
    <x v="0"/>
    <x v="2"/>
    <x v="1"/>
    <m/>
    <m/>
    <m/>
    <m/>
    <m/>
    <m/>
    <m/>
    <m/>
    <s v="$E"/>
    <n v="340"/>
    <s v=";'C PLANEACION'!$E$10:$BD$100;14;1)"/>
    <s v=";'C PLANEACION'!$E$10:$BD$100;14;1)"/>
    <s v="=BUSCARV($E340;'C PLANEACION'!$E$10:$BD$100;14;1)"/>
    <m/>
    <e v="#N/A"/>
    <e v="#N/A"/>
    <e v="#N/A"/>
    <e v="#N/A"/>
    <m/>
    <m/>
    <e v="#N/A"/>
    <e v="#N/A"/>
    <e v="#N/A"/>
    <e v="#N/A"/>
    <e v="#N/A"/>
    <e v="#N/A"/>
    <e v="#N/A"/>
    <e v="#N/A"/>
  </r>
  <r>
    <x v="0"/>
    <s v="C PLANEACION"/>
    <x v="0"/>
    <x v="2"/>
    <x v="1"/>
    <m/>
    <m/>
    <m/>
    <m/>
    <m/>
    <m/>
    <m/>
    <m/>
    <s v="$E"/>
    <n v="341"/>
    <s v=";'C PLANEACION'!$E$10:$BD$100;14;1)"/>
    <s v=";'C PLANEACION'!$E$10:$BD$100;14;1)"/>
    <s v="=BUSCARV($E341;'C PLANEACION'!$E$10:$BD$100;14;1)"/>
    <m/>
    <e v="#N/A"/>
    <e v="#N/A"/>
    <e v="#N/A"/>
    <e v="#N/A"/>
    <m/>
    <m/>
    <e v="#N/A"/>
    <e v="#N/A"/>
    <e v="#N/A"/>
    <e v="#N/A"/>
    <e v="#N/A"/>
    <e v="#N/A"/>
    <e v="#N/A"/>
    <e v="#N/A"/>
  </r>
  <r>
    <x v="0"/>
    <s v="C PLANEACION"/>
    <x v="0"/>
    <x v="2"/>
    <x v="1"/>
    <m/>
    <m/>
    <m/>
    <m/>
    <m/>
    <m/>
    <m/>
    <m/>
    <s v="$E"/>
    <n v="342"/>
    <s v=";'C PLANEACION'!$E$10:$BD$100;14;1)"/>
    <s v=";'C PLANEACION'!$E$10:$BD$100;14;1)"/>
    <s v="=BUSCARV($E342;'C PLANEACION'!$E$10:$BD$100;14;1)"/>
    <m/>
    <e v="#N/A"/>
    <e v="#N/A"/>
    <e v="#N/A"/>
    <e v="#N/A"/>
    <m/>
    <m/>
    <e v="#N/A"/>
    <e v="#N/A"/>
    <e v="#N/A"/>
    <e v="#N/A"/>
    <e v="#N/A"/>
    <e v="#N/A"/>
    <e v="#N/A"/>
    <e v="#N/A"/>
  </r>
  <r>
    <x v="0"/>
    <s v="C PLANEACION"/>
    <x v="0"/>
    <x v="2"/>
    <x v="1"/>
    <m/>
    <m/>
    <m/>
    <m/>
    <m/>
    <m/>
    <m/>
    <m/>
    <s v="$E"/>
    <n v="343"/>
    <s v=";'C PLANEACION'!$E$10:$BD$100;14;1)"/>
    <s v=";'C PLANEACION'!$E$10:$BD$100;14;1)"/>
    <s v="=BUSCARV($E343;'C PLANEACION'!$E$10:$BD$100;14;1)"/>
    <m/>
    <e v="#N/A"/>
    <e v="#N/A"/>
    <e v="#N/A"/>
    <e v="#N/A"/>
    <m/>
    <m/>
    <e v="#N/A"/>
    <e v="#N/A"/>
    <e v="#N/A"/>
    <e v="#N/A"/>
    <e v="#N/A"/>
    <e v="#N/A"/>
    <e v="#N/A"/>
    <e v="#N/A"/>
  </r>
  <r>
    <x v="0"/>
    <s v="C PLANEACION"/>
    <x v="0"/>
    <x v="2"/>
    <x v="1"/>
    <m/>
    <m/>
    <m/>
    <m/>
    <m/>
    <m/>
    <m/>
    <m/>
    <s v="$E"/>
    <n v="344"/>
    <s v=";'C PLANEACION'!$E$10:$BD$100;14;1)"/>
    <s v=";'C PLANEACION'!$E$10:$BD$100;14;1)"/>
    <s v="=BUSCARV($E344;'C PLANEACION'!$E$10:$BD$100;14;1)"/>
    <m/>
    <e v="#N/A"/>
    <e v="#N/A"/>
    <e v="#N/A"/>
    <e v="#N/A"/>
    <m/>
    <m/>
    <e v="#N/A"/>
    <e v="#N/A"/>
    <e v="#N/A"/>
    <e v="#N/A"/>
    <e v="#N/A"/>
    <e v="#N/A"/>
    <e v="#N/A"/>
    <e v="#N/A"/>
  </r>
  <r>
    <x v="0"/>
    <s v="C PLANEACION"/>
    <x v="0"/>
    <x v="2"/>
    <x v="1"/>
    <m/>
    <m/>
    <m/>
    <m/>
    <m/>
    <m/>
    <m/>
    <m/>
    <s v="$E"/>
    <n v="345"/>
    <s v=";'C PLANEACION'!$E$10:$BD$100;14;1)"/>
    <s v=";'C PLANEACION'!$E$10:$BD$100;14;1)"/>
    <s v="=BUSCARV($E345;'C PLANEACION'!$E$10:$BD$100;14;1)"/>
    <m/>
    <e v="#N/A"/>
    <e v="#N/A"/>
    <e v="#N/A"/>
    <e v="#N/A"/>
    <m/>
    <m/>
    <e v="#N/A"/>
    <e v="#N/A"/>
    <e v="#N/A"/>
    <e v="#N/A"/>
    <e v="#N/A"/>
    <e v="#N/A"/>
    <e v="#N/A"/>
    <e v="#N/A"/>
  </r>
  <r>
    <x v="0"/>
    <s v="C PLANEACION"/>
    <x v="0"/>
    <x v="2"/>
    <x v="1"/>
    <m/>
    <m/>
    <m/>
    <m/>
    <m/>
    <m/>
    <m/>
    <m/>
    <s v="$E"/>
    <n v="346"/>
    <s v=";'C PLANEACION'!$E$10:$BD$100;14;1)"/>
    <s v=";'C PLANEACION'!$E$10:$BD$100;14;1)"/>
    <s v="=BUSCARV($E346;'C PLANEACION'!$E$10:$BD$100;14;1)"/>
    <m/>
    <e v="#N/A"/>
    <e v="#N/A"/>
    <e v="#N/A"/>
    <e v="#N/A"/>
    <m/>
    <m/>
    <e v="#N/A"/>
    <e v="#N/A"/>
    <e v="#N/A"/>
    <e v="#N/A"/>
    <e v="#N/A"/>
    <e v="#N/A"/>
    <e v="#N/A"/>
    <e v="#N/A"/>
  </r>
  <r>
    <x v="0"/>
    <s v="C PLANEACION"/>
    <x v="0"/>
    <x v="2"/>
    <x v="1"/>
    <m/>
    <m/>
    <m/>
    <m/>
    <m/>
    <m/>
    <m/>
    <m/>
    <s v="$E"/>
    <n v="347"/>
    <s v=";'C PLANEACION'!$E$10:$BD$100;14;1)"/>
    <s v=";'C PLANEACION'!$E$10:$BD$100;14;1)"/>
    <s v="=BUSCARV($E347;'C PLANEACION'!$E$10:$BD$100;14;1)"/>
    <m/>
    <e v="#N/A"/>
    <e v="#N/A"/>
    <e v="#N/A"/>
    <e v="#N/A"/>
    <m/>
    <m/>
    <e v="#N/A"/>
    <e v="#N/A"/>
    <e v="#N/A"/>
    <e v="#N/A"/>
    <e v="#N/A"/>
    <e v="#N/A"/>
    <e v="#N/A"/>
    <e v="#N/A"/>
  </r>
  <r>
    <x v="0"/>
    <s v="C PLANEACION"/>
    <x v="0"/>
    <x v="2"/>
    <x v="1"/>
    <m/>
    <m/>
    <m/>
    <m/>
    <m/>
    <m/>
    <m/>
    <m/>
    <s v="$E"/>
    <n v="348"/>
    <s v=";'C PLANEACION'!$E$10:$BD$100;14;1)"/>
    <s v=";'C PLANEACION'!$E$10:$BD$100;14;1)"/>
    <s v="=BUSCARV($E348;'C PLANEACION'!$E$10:$BD$100;14;1)"/>
    <m/>
    <e v="#N/A"/>
    <e v="#N/A"/>
    <e v="#N/A"/>
    <e v="#N/A"/>
    <m/>
    <m/>
    <e v="#N/A"/>
    <e v="#N/A"/>
    <e v="#N/A"/>
    <e v="#N/A"/>
    <e v="#N/A"/>
    <e v="#N/A"/>
    <e v="#N/A"/>
    <e v="#N/A"/>
  </r>
  <r>
    <x v="0"/>
    <s v="C PLANEACION"/>
    <x v="0"/>
    <x v="2"/>
    <x v="1"/>
    <m/>
    <m/>
    <m/>
    <m/>
    <m/>
    <m/>
    <m/>
    <m/>
    <s v="$E"/>
    <n v="349"/>
    <s v=";'C PLANEACION'!$E$10:$BD$100;14;1)"/>
    <s v=";'C PLANEACION'!$E$10:$BD$100;14;1)"/>
    <s v="=BUSCARV($E349;'C PLANEACION'!$E$10:$BD$100;14;1)"/>
    <m/>
    <e v="#N/A"/>
    <e v="#N/A"/>
    <e v="#N/A"/>
    <e v="#N/A"/>
    <m/>
    <m/>
    <e v="#N/A"/>
    <e v="#N/A"/>
    <e v="#N/A"/>
    <e v="#N/A"/>
    <e v="#N/A"/>
    <e v="#N/A"/>
    <e v="#N/A"/>
    <e v="#N/A"/>
  </r>
  <r>
    <x v="1"/>
    <s v="C INNOVACION"/>
    <x v="0"/>
    <x v="3"/>
    <x v="0"/>
    <m/>
    <m/>
    <m/>
    <m/>
    <m/>
    <m/>
    <m/>
    <m/>
    <s v="$E"/>
    <n v="350"/>
    <s v=";'C INNOVACION'!$E$10:$BD$100;14;1)"/>
    <s v=";'C INNOVACION'!$E$10:$BD$100;14;1)"/>
    <s v="=BUSCARV($E350;'C INNOVACION'!$E$10:$BD$100;14;1)"/>
    <m/>
    <s v="Rara vez"/>
    <n v="1"/>
    <n v="1"/>
    <s v="Mayor"/>
    <n v="10"/>
    <n v="10"/>
    <s v="10_x000a_BAJA"/>
    <s v="Rara vez"/>
    <n v="1"/>
    <n v="1"/>
    <s v="Mayor"/>
    <n v="10"/>
    <n v="10"/>
    <s v="10_x000a_BAJA"/>
  </r>
  <r>
    <x v="1"/>
    <s v="C INNOVACION"/>
    <x v="0"/>
    <x v="4"/>
    <x v="0"/>
    <m/>
    <m/>
    <m/>
    <m/>
    <m/>
    <m/>
    <m/>
    <m/>
    <s v="$E"/>
    <n v="351"/>
    <s v=";'C INNOVACION'!$E$10:$BD$100;14;1)"/>
    <s v=";'C INNOVACION'!$E$10:$BD$100;14;1)"/>
    <s v="=BUSCARV($E351;'C INNOVACION'!$E$10:$BD$100;14;1)"/>
    <m/>
    <s v="Rara vez"/>
    <n v="1"/>
    <n v="1"/>
    <s v="Catastrófico"/>
    <n v="20"/>
    <n v="20"/>
    <s v="20_x000a_MODERADA"/>
    <s v="Rara vez"/>
    <n v="1"/>
    <n v="1"/>
    <s v="Catastrófico"/>
    <n v="20"/>
    <n v="20"/>
    <s v="20_x000a_MODERADA"/>
  </r>
  <r>
    <x v="1"/>
    <s v="C INNOVACION"/>
    <x v="0"/>
    <x v="2"/>
    <x v="1"/>
    <m/>
    <m/>
    <m/>
    <m/>
    <m/>
    <m/>
    <m/>
    <m/>
    <s v="$E"/>
    <n v="352"/>
    <s v=";'C INNOVACION'!$E$10:$BD$100;14;1)"/>
    <s v=";'C INNOVACION'!$E$10:$BD$100;14;1)"/>
    <s v="=BUSCARV($E352;'C INNOVACION'!$E$10:$BD$100;14;1)"/>
    <m/>
    <e v="#N/A"/>
    <e v="#N/A"/>
    <e v="#N/A"/>
    <e v="#N/A"/>
    <m/>
    <m/>
    <e v="#N/A"/>
    <e v="#N/A"/>
    <e v="#N/A"/>
    <e v="#N/A"/>
    <e v="#N/A"/>
    <e v="#N/A"/>
    <e v="#N/A"/>
    <e v="#N/A"/>
  </r>
  <r>
    <x v="1"/>
    <s v="C INNOVACION"/>
    <x v="0"/>
    <x v="2"/>
    <x v="1"/>
    <m/>
    <m/>
    <m/>
    <m/>
    <m/>
    <m/>
    <m/>
    <m/>
    <s v="$E"/>
    <n v="353"/>
    <s v=";'C INNOVACION'!$E$10:$BD$100;14;1)"/>
    <s v=";'C INNOVACION'!$E$10:$BD$100;14;1)"/>
    <s v="=BUSCARV($E353;'C INNOVACION'!$E$10:$BD$100;14;1)"/>
    <m/>
    <e v="#N/A"/>
    <e v="#N/A"/>
    <e v="#N/A"/>
    <e v="#N/A"/>
    <m/>
    <m/>
    <e v="#N/A"/>
    <e v="#N/A"/>
    <e v="#N/A"/>
    <e v="#N/A"/>
    <e v="#N/A"/>
    <e v="#N/A"/>
    <e v="#N/A"/>
    <e v="#N/A"/>
  </r>
  <r>
    <x v="1"/>
    <s v="C INNOVACION"/>
    <x v="0"/>
    <x v="2"/>
    <x v="1"/>
    <m/>
    <m/>
    <m/>
    <m/>
    <m/>
    <m/>
    <m/>
    <m/>
    <s v="$E"/>
    <n v="354"/>
    <s v=";'C INNOVACION'!$E$10:$BD$100;14;1)"/>
    <s v=";'C INNOVACION'!$E$10:$BD$100;14;1)"/>
    <s v="=BUSCARV($E354;'C INNOVACION'!$E$10:$BD$100;14;1)"/>
    <m/>
    <e v="#N/A"/>
    <e v="#N/A"/>
    <e v="#N/A"/>
    <e v="#N/A"/>
    <m/>
    <m/>
    <e v="#N/A"/>
    <e v="#N/A"/>
    <e v="#N/A"/>
    <e v="#N/A"/>
    <e v="#N/A"/>
    <e v="#N/A"/>
    <e v="#N/A"/>
    <e v="#N/A"/>
  </r>
  <r>
    <x v="1"/>
    <s v="C INNOVACION"/>
    <x v="0"/>
    <x v="2"/>
    <x v="1"/>
    <m/>
    <m/>
    <m/>
    <m/>
    <m/>
    <m/>
    <m/>
    <m/>
    <s v="$E"/>
    <n v="355"/>
    <s v=";'C INNOVACION'!$E$10:$BD$100;14;1)"/>
    <s v=";'C INNOVACION'!$E$10:$BD$100;14;1)"/>
    <s v="=BUSCARV($E355;'C INNOVACION'!$E$10:$BD$100;14;1)"/>
    <m/>
    <e v="#N/A"/>
    <e v="#N/A"/>
    <e v="#N/A"/>
    <e v="#N/A"/>
    <m/>
    <m/>
    <e v="#N/A"/>
    <e v="#N/A"/>
    <e v="#N/A"/>
    <e v="#N/A"/>
    <e v="#N/A"/>
    <e v="#N/A"/>
    <e v="#N/A"/>
    <e v="#N/A"/>
  </r>
  <r>
    <x v="1"/>
    <s v="C INNOVACION"/>
    <x v="0"/>
    <x v="2"/>
    <x v="1"/>
    <m/>
    <m/>
    <m/>
    <m/>
    <m/>
    <m/>
    <m/>
    <m/>
    <s v="$E"/>
    <n v="356"/>
    <s v=";'C INNOVACION'!$E$10:$BD$100;14;1)"/>
    <s v=";'C INNOVACION'!$E$10:$BD$100;14;1)"/>
    <s v="=BUSCARV($E356;'C INNOVACION'!$E$10:$BD$100;14;1)"/>
    <m/>
    <e v="#N/A"/>
    <e v="#N/A"/>
    <e v="#N/A"/>
    <e v="#N/A"/>
    <m/>
    <m/>
    <e v="#N/A"/>
    <e v="#N/A"/>
    <e v="#N/A"/>
    <e v="#N/A"/>
    <e v="#N/A"/>
    <e v="#N/A"/>
    <e v="#N/A"/>
    <e v="#N/A"/>
  </r>
  <r>
    <x v="1"/>
    <s v="C INNOVACION"/>
    <x v="0"/>
    <x v="2"/>
    <x v="1"/>
    <m/>
    <m/>
    <m/>
    <m/>
    <m/>
    <m/>
    <m/>
    <m/>
    <s v="$E"/>
    <n v="357"/>
    <s v=";'C INNOVACION'!$E$10:$BD$100;14;1)"/>
    <s v=";'C INNOVACION'!$E$10:$BD$100;14;1)"/>
    <s v="=BUSCARV($E357;'C INNOVACION'!$E$10:$BD$100;14;1)"/>
    <m/>
    <e v="#N/A"/>
    <e v="#N/A"/>
    <e v="#N/A"/>
    <e v="#N/A"/>
    <m/>
    <m/>
    <e v="#N/A"/>
    <e v="#N/A"/>
    <e v="#N/A"/>
    <e v="#N/A"/>
    <e v="#N/A"/>
    <e v="#N/A"/>
    <e v="#N/A"/>
    <e v="#N/A"/>
  </r>
  <r>
    <x v="1"/>
    <s v="C INNOVACION"/>
    <x v="0"/>
    <x v="2"/>
    <x v="1"/>
    <m/>
    <m/>
    <m/>
    <m/>
    <m/>
    <m/>
    <m/>
    <m/>
    <s v="$E"/>
    <n v="358"/>
    <s v=";'C INNOVACION'!$E$10:$BD$100;14;1)"/>
    <s v=";'C INNOVACION'!$E$10:$BD$100;14;1)"/>
    <s v="=BUSCARV($E358;'C INNOVACION'!$E$10:$BD$100;14;1)"/>
    <m/>
    <e v="#N/A"/>
    <e v="#N/A"/>
    <e v="#N/A"/>
    <e v="#N/A"/>
    <m/>
    <m/>
    <e v="#N/A"/>
    <e v="#N/A"/>
    <e v="#N/A"/>
    <e v="#N/A"/>
    <e v="#N/A"/>
    <e v="#N/A"/>
    <e v="#N/A"/>
    <e v="#N/A"/>
  </r>
  <r>
    <x v="1"/>
    <s v="C INNOVACION"/>
    <x v="0"/>
    <x v="2"/>
    <x v="1"/>
    <m/>
    <m/>
    <m/>
    <m/>
    <m/>
    <m/>
    <m/>
    <m/>
    <s v="$E"/>
    <n v="359"/>
    <s v=";'C INNOVACION'!$E$10:$BD$100;14;1)"/>
    <s v=";'C INNOVACION'!$E$10:$BD$100;14;1)"/>
    <s v="=BUSCARV($E359;'C INNOVACION'!$E$10:$BD$100;14;1)"/>
    <m/>
    <e v="#N/A"/>
    <e v="#N/A"/>
    <e v="#N/A"/>
    <e v="#N/A"/>
    <m/>
    <m/>
    <e v="#N/A"/>
    <e v="#N/A"/>
    <e v="#N/A"/>
    <e v="#N/A"/>
    <e v="#N/A"/>
    <e v="#N/A"/>
    <e v="#N/A"/>
    <e v="#N/A"/>
  </r>
  <r>
    <x v="1"/>
    <s v="C INNOVACION"/>
    <x v="0"/>
    <x v="2"/>
    <x v="1"/>
    <m/>
    <m/>
    <m/>
    <m/>
    <m/>
    <m/>
    <m/>
    <m/>
    <s v="$E"/>
    <n v="360"/>
    <s v=";'C INNOVACION'!$E$10:$BD$100;14;1)"/>
    <s v=";'C INNOVACION'!$E$10:$BD$100;14;1)"/>
    <s v="=BUSCARV($E360;'C INNOVACION'!$E$10:$BD$100;14;1)"/>
    <m/>
    <e v="#N/A"/>
    <e v="#N/A"/>
    <e v="#N/A"/>
    <e v="#N/A"/>
    <m/>
    <m/>
    <e v="#N/A"/>
    <e v="#N/A"/>
    <e v="#N/A"/>
    <e v="#N/A"/>
    <e v="#N/A"/>
    <e v="#N/A"/>
    <e v="#N/A"/>
    <e v="#N/A"/>
  </r>
  <r>
    <x v="2"/>
    <s v="C GESTION SOCIAL"/>
    <x v="0"/>
    <x v="5"/>
    <x v="0"/>
    <m/>
    <m/>
    <m/>
    <m/>
    <m/>
    <m/>
    <m/>
    <m/>
    <s v="$E"/>
    <n v="361"/>
    <s v=";'C GESTION SOCIAL'!$E$10:$BD$100;14;1)"/>
    <s v=";'C GESTION SOCIAL'!$E$10:$BD$100;14;1)"/>
    <s v="=BUSCARV($E361;'C GESTION SOCIAL'!$E$10:$BD$100;14;1)"/>
    <s v="difer"/>
    <s v="Rara vez"/>
    <n v="1"/>
    <n v="1"/>
    <s v="Moderado"/>
    <n v="5"/>
    <n v="5"/>
    <s v="5_x000a_BAJA"/>
    <s v="Rara vez"/>
    <n v="1"/>
    <n v="1"/>
    <s v="Moderado"/>
    <n v="5"/>
    <n v="5"/>
    <s v="5_x000a_BAJA"/>
  </r>
  <r>
    <x v="2"/>
    <s v="C GESTION SOCIAL"/>
    <x v="0"/>
    <x v="6"/>
    <x v="0"/>
    <m/>
    <m/>
    <m/>
    <m/>
    <m/>
    <m/>
    <m/>
    <m/>
    <s v="$E"/>
    <n v="362"/>
    <s v=";'C GESTION SOCIAL'!$E$10:$BD$100;14;1)"/>
    <s v=";'C GESTION SOCIAL'!$E$10:$BD$100;14;1)"/>
    <s v="=BUSCARV($E362;'C GESTION SOCIAL'!$E$10:$BD$100;14;1)"/>
    <s v="difer"/>
    <s v="Posible"/>
    <n v="3"/>
    <n v="3"/>
    <s v="Mayor"/>
    <n v="10"/>
    <n v="10"/>
    <s v="30_x000a_ALTA"/>
    <s v="Rara vez"/>
    <n v="1"/>
    <n v="1"/>
    <s v="Mayor"/>
    <n v="10"/>
    <n v="10"/>
    <s v="10_x000a_BAJA"/>
  </r>
  <r>
    <x v="2"/>
    <s v="C GESTION SOCIAL"/>
    <x v="0"/>
    <x v="2"/>
    <x v="1"/>
    <m/>
    <m/>
    <m/>
    <m/>
    <m/>
    <m/>
    <m/>
    <m/>
    <s v="$E"/>
    <n v="363"/>
    <s v=";'C GESTION SOCIAL'!$E$10:$BD$100;14;1)"/>
    <s v=";'C GESTION SOCIAL'!$E$10:$BD$100;14;1)"/>
    <s v="=BUSCARV($E363;'C GESTION SOCIAL'!$E$10:$BD$100;14;1)"/>
    <s v="difer"/>
    <e v="#N/A"/>
    <e v="#N/A"/>
    <e v="#N/A"/>
    <e v="#N/A"/>
    <e v="#N/A"/>
    <e v="#N/A"/>
    <e v="#N/A"/>
    <e v="#N/A"/>
    <e v="#N/A"/>
    <e v="#N/A"/>
    <e v="#N/A"/>
    <e v="#N/A"/>
    <e v="#N/A"/>
    <e v="#N/A"/>
  </r>
  <r>
    <x v="2"/>
    <s v="C GESTION SOCIAL"/>
    <x v="0"/>
    <x v="2"/>
    <x v="1"/>
    <m/>
    <m/>
    <m/>
    <m/>
    <m/>
    <m/>
    <m/>
    <m/>
    <s v="$E"/>
    <n v="364"/>
    <s v=";'C GESTION SOCIAL'!$E$10:$BD$100;14;1)"/>
    <s v=";'C GESTION SOCIAL'!$E$10:$BD$100;14;1)"/>
    <s v="=BUSCARV($E364;'C GESTION SOCIAL'!$E$10:$BD$100;14;1)"/>
    <s v="difer"/>
    <e v="#N/A"/>
    <e v="#N/A"/>
    <e v="#N/A"/>
    <e v="#N/A"/>
    <e v="#N/A"/>
    <e v="#N/A"/>
    <e v="#N/A"/>
    <e v="#N/A"/>
    <e v="#N/A"/>
    <e v="#N/A"/>
    <e v="#N/A"/>
    <e v="#N/A"/>
    <e v="#N/A"/>
    <e v="#N/A"/>
  </r>
  <r>
    <x v="2"/>
    <s v="C GESTION SOCIAL"/>
    <x v="0"/>
    <x v="2"/>
    <x v="1"/>
    <m/>
    <m/>
    <m/>
    <m/>
    <m/>
    <m/>
    <m/>
    <m/>
    <s v="$E"/>
    <n v="365"/>
    <s v=";'C GESTION SOCIAL'!$E$10:$BD$100;14;1)"/>
    <s v=";'C GESTION SOCIAL'!$E$10:$BD$100;14;1)"/>
    <s v="=BUSCARV($E365;'C GESTION SOCIAL'!$E$10:$BD$100;14;1)"/>
    <s v="difer"/>
    <e v="#N/A"/>
    <e v="#N/A"/>
    <e v="#N/A"/>
    <e v="#N/A"/>
    <e v="#N/A"/>
    <e v="#N/A"/>
    <e v="#N/A"/>
    <e v="#N/A"/>
    <e v="#N/A"/>
    <e v="#N/A"/>
    <e v="#N/A"/>
    <e v="#N/A"/>
    <e v="#N/A"/>
    <e v="#N/A"/>
  </r>
  <r>
    <x v="2"/>
    <s v="C GESTION SOCIAL"/>
    <x v="0"/>
    <x v="2"/>
    <x v="1"/>
    <m/>
    <m/>
    <m/>
    <m/>
    <m/>
    <m/>
    <m/>
    <m/>
    <s v="$E"/>
    <n v="366"/>
    <s v=";'C GESTION SOCIAL'!$E$10:$BD$100;14;1)"/>
    <s v=";'C GESTION SOCIAL'!$E$10:$BD$100;14;1)"/>
    <s v="=BUSCARV($E366;'C GESTION SOCIAL'!$E$10:$BD$100;14;1)"/>
    <s v="difer"/>
    <e v="#N/A"/>
    <e v="#N/A"/>
    <e v="#N/A"/>
    <e v="#N/A"/>
    <e v="#N/A"/>
    <e v="#N/A"/>
    <e v="#N/A"/>
    <e v="#N/A"/>
    <e v="#N/A"/>
    <e v="#N/A"/>
    <e v="#N/A"/>
    <e v="#N/A"/>
    <e v="#N/A"/>
    <e v="#N/A"/>
  </r>
  <r>
    <x v="2"/>
    <s v="C GESTION SOCIAL"/>
    <x v="0"/>
    <x v="2"/>
    <x v="1"/>
    <m/>
    <m/>
    <m/>
    <m/>
    <m/>
    <m/>
    <m/>
    <m/>
    <s v="$E"/>
    <n v="367"/>
    <s v=";'C GESTION SOCIAL'!$E$10:$BD$100;14;1)"/>
    <s v=";'C GESTION SOCIAL'!$E$10:$BD$100;14;1)"/>
    <s v="=BUSCARV($E367;'C GESTION SOCIAL'!$E$10:$BD$100;14;1)"/>
    <s v="difer"/>
    <e v="#N/A"/>
    <e v="#N/A"/>
    <e v="#N/A"/>
    <e v="#N/A"/>
    <e v="#N/A"/>
    <e v="#N/A"/>
    <e v="#N/A"/>
    <e v="#N/A"/>
    <e v="#N/A"/>
    <e v="#N/A"/>
    <e v="#N/A"/>
    <e v="#N/A"/>
    <e v="#N/A"/>
    <e v="#N/A"/>
  </r>
  <r>
    <x v="2"/>
    <s v="C GESTION SOCIAL"/>
    <x v="0"/>
    <x v="2"/>
    <x v="1"/>
    <m/>
    <m/>
    <m/>
    <m/>
    <m/>
    <m/>
    <m/>
    <m/>
    <s v="$E"/>
    <n v="368"/>
    <s v=";'C GESTION SOCIAL'!$E$10:$BD$100;14;1)"/>
    <s v=";'C GESTION SOCIAL'!$E$10:$BD$100;14;1)"/>
    <s v="=BUSCARV($E368;'C GESTION SOCIAL'!$E$10:$BD$100;14;1)"/>
    <s v="difer"/>
    <e v="#N/A"/>
    <e v="#N/A"/>
    <e v="#N/A"/>
    <e v="#N/A"/>
    <e v="#N/A"/>
    <e v="#N/A"/>
    <e v="#N/A"/>
    <e v="#N/A"/>
    <e v="#N/A"/>
    <e v="#N/A"/>
    <e v="#N/A"/>
    <e v="#N/A"/>
    <e v="#N/A"/>
    <e v="#N/A"/>
  </r>
  <r>
    <x v="2"/>
    <s v="C GESTION SOCIAL"/>
    <x v="0"/>
    <x v="2"/>
    <x v="1"/>
    <m/>
    <m/>
    <m/>
    <m/>
    <m/>
    <m/>
    <m/>
    <m/>
    <s v="$E"/>
    <n v="369"/>
    <s v=";'C GESTION SOCIAL'!$E$10:$BD$100;14;1)"/>
    <s v=";'C GESTION SOCIAL'!$E$10:$BD$100;14;1)"/>
    <s v="=BUSCARV($E369;'C GESTION SOCIAL'!$E$10:$BD$100;14;1)"/>
    <s v="difer"/>
    <e v="#N/A"/>
    <e v="#N/A"/>
    <e v="#N/A"/>
    <e v="#N/A"/>
    <e v="#N/A"/>
    <e v="#N/A"/>
    <e v="#N/A"/>
    <e v="#N/A"/>
    <e v="#N/A"/>
    <e v="#N/A"/>
    <e v="#N/A"/>
    <e v="#N/A"/>
    <e v="#N/A"/>
    <e v="#N/A"/>
  </r>
  <r>
    <x v="2"/>
    <s v="C GESTION SOCIAL"/>
    <x v="0"/>
    <x v="2"/>
    <x v="1"/>
    <m/>
    <m/>
    <m/>
    <m/>
    <m/>
    <m/>
    <m/>
    <m/>
    <s v="$E"/>
    <n v="370"/>
    <s v=";'C GESTION SOCIAL'!$E$10:$BD$100;14;1)"/>
    <s v=";'C GESTION SOCIAL'!$E$10:$BD$100;14;1)"/>
    <s v="=BUSCARV($E370;'C GESTION SOCIAL'!$E$10:$BD$100;14;1)"/>
    <s v="difer"/>
    <e v="#N/A"/>
    <e v="#N/A"/>
    <e v="#N/A"/>
    <e v="#N/A"/>
    <e v="#N/A"/>
    <e v="#N/A"/>
    <e v="#N/A"/>
    <e v="#N/A"/>
    <e v="#N/A"/>
    <e v="#N/A"/>
    <e v="#N/A"/>
    <e v="#N/A"/>
    <e v="#N/A"/>
    <e v="#N/A"/>
  </r>
  <r>
    <x v="2"/>
    <s v="C GESTION SOCIAL"/>
    <x v="0"/>
    <x v="2"/>
    <x v="1"/>
    <m/>
    <m/>
    <m/>
    <m/>
    <m/>
    <m/>
    <m/>
    <m/>
    <s v="$E"/>
    <n v="371"/>
    <s v=";'C GESTION SOCIAL'!$E$10:$BD$100;14;1)"/>
    <s v=";'C GESTION SOCIAL'!$E$10:$BD$100;14;1)"/>
    <s v="=BUSCARV($E371;'C GESTION SOCIAL'!$E$10:$BD$100;14;1)"/>
    <s v="difer"/>
    <e v="#N/A"/>
    <e v="#N/A"/>
    <e v="#N/A"/>
    <e v="#N/A"/>
    <e v="#N/A"/>
    <e v="#N/A"/>
    <e v="#N/A"/>
    <e v="#N/A"/>
    <e v="#N/A"/>
    <e v="#N/A"/>
    <e v="#N/A"/>
    <e v="#N/A"/>
    <e v="#N/A"/>
    <e v="#N/A"/>
  </r>
  <r>
    <x v="2"/>
    <s v="C GESTION SOCIAL"/>
    <x v="0"/>
    <x v="2"/>
    <x v="1"/>
    <m/>
    <m/>
    <m/>
    <m/>
    <m/>
    <m/>
    <m/>
    <m/>
    <s v="$E"/>
    <n v="372"/>
    <s v=";'C GESTION SOCIAL'!$E$10:$BD$100;14;1)"/>
    <s v=";'C GESTION SOCIAL'!$E$10:$BD$100;14;1)"/>
    <s v="=BUSCARV($E372;'C GESTION SOCIAL'!$E$10:$BD$100;14;1)"/>
    <s v="difer"/>
    <e v="#N/A"/>
    <e v="#N/A"/>
    <e v="#N/A"/>
    <e v="#N/A"/>
    <e v="#N/A"/>
    <e v="#N/A"/>
    <e v="#N/A"/>
    <e v="#N/A"/>
    <e v="#N/A"/>
    <e v="#N/A"/>
    <e v="#N/A"/>
    <e v="#N/A"/>
    <e v="#N/A"/>
    <e v="#N/A"/>
  </r>
  <r>
    <x v="2"/>
    <s v="C GESTION SOCIAL"/>
    <x v="0"/>
    <x v="2"/>
    <x v="1"/>
    <m/>
    <m/>
    <m/>
    <m/>
    <m/>
    <m/>
    <m/>
    <m/>
    <s v="$E"/>
    <n v="373"/>
    <s v=";'C GESTION SOCIAL'!$E$10:$BD$100;14;1)"/>
    <s v=";'C GESTION SOCIAL'!$E$10:$BD$100;14;1)"/>
    <s v="=BUSCARV($E373;'C GESTION SOCIAL'!$E$10:$BD$100;14;1)"/>
    <s v="difer"/>
    <e v="#N/A"/>
    <e v="#N/A"/>
    <e v="#N/A"/>
    <e v="#N/A"/>
    <e v="#N/A"/>
    <e v="#N/A"/>
    <e v="#N/A"/>
    <e v="#N/A"/>
    <e v="#N/A"/>
    <e v="#N/A"/>
    <e v="#N/A"/>
    <e v="#N/A"/>
    <e v="#N/A"/>
    <e v="#N/A"/>
  </r>
  <r>
    <x v="3"/>
    <s v="C INTERISTITUCIONAL"/>
    <x v="0"/>
    <x v="7"/>
    <x v="0"/>
    <m/>
    <m/>
    <m/>
    <m/>
    <m/>
    <m/>
    <m/>
    <m/>
    <s v="$E"/>
    <n v="374"/>
    <s v=";'C INTERISTITUCIONAL'!$E$10:$BD$100;14;1)"/>
    <s v=";'C INTERISTITUCIONAL'!$E$10:$BD$100;14;1)"/>
    <s v="=BUSCARV($E374;'C INTERISTITUCIONAL'!$E$10:$BD$100;14;1)"/>
    <m/>
    <s v="Improbable"/>
    <n v="2"/>
    <n v="2"/>
    <s v="Catastrófico"/>
    <n v="20"/>
    <n v="20"/>
    <s v="40_x000a_ALTA"/>
    <s v="Rara vez"/>
    <n v="1"/>
    <n v="1"/>
    <s v="Moderado"/>
    <n v="5"/>
    <n v="5"/>
    <s v="5_x000a_BAJA"/>
  </r>
  <r>
    <x v="3"/>
    <s v="C INTERISTITUCIONAL"/>
    <x v="0"/>
    <x v="2"/>
    <x v="1"/>
    <m/>
    <m/>
    <m/>
    <m/>
    <m/>
    <m/>
    <m/>
    <m/>
    <s v="$E"/>
    <n v="375"/>
    <s v=";'C INTERISTITUCIONAL'!$E$10:$BD$100;14;1)"/>
    <s v=";'C INTERISTITUCIONAL'!$E$10:$BD$100;14;1)"/>
    <s v="=BUSCARV($E375;'C INTERISTITUCIONAL'!$E$10:$BD$100;14;1)"/>
    <m/>
    <e v="#N/A"/>
    <e v="#N/A"/>
    <e v="#N/A"/>
    <e v="#N/A"/>
    <e v="#N/A"/>
    <e v="#N/A"/>
    <e v="#N/A"/>
    <e v="#N/A"/>
    <e v="#N/A"/>
    <e v="#N/A"/>
    <e v="#N/A"/>
    <e v="#N/A"/>
    <e v="#N/A"/>
    <e v="#N/A"/>
  </r>
  <r>
    <x v="3"/>
    <s v="C INTERISTITUCIONAL"/>
    <x v="0"/>
    <x v="2"/>
    <x v="1"/>
    <m/>
    <m/>
    <m/>
    <m/>
    <m/>
    <m/>
    <m/>
    <m/>
    <s v="$E"/>
    <n v="376"/>
    <s v=";'C INTERISTITUCIONAL'!$E$10:$BD$100;14;1)"/>
    <s v=";'C INTERISTITUCIONAL'!$E$10:$BD$100;14;1)"/>
    <s v="=BUSCARV($E376;'C INTERISTITUCIONAL'!$E$10:$BD$100;14;1)"/>
    <m/>
    <e v="#N/A"/>
    <e v="#N/A"/>
    <e v="#N/A"/>
    <e v="#N/A"/>
    <e v="#N/A"/>
    <e v="#N/A"/>
    <e v="#N/A"/>
    <e v="#N/A"/>
    <e v="#N/A"/>
    <e v="#N/A"/>
    <e v="#N/A"/>
    <e v="#N/A"/>
    <e v="#N/A"/>
    <e v="#N/A"/>
  </r>
  <r>
    <x v="3"/>
    <s v="C INTERISTITUCIONAL"/>
    <x v="0"/>
    <x v="2"/>
    <x v="1"/>
    <m/>
    <m/>
    <m/>
    <m/>
    <m/>
    <m/>
    <m/>
    <m/>
    <s v="$E"/>
    <n v="377"/>
    <s v=";'C INTERISTITUCIONAL'!$E$10:$BD$100;14;1)"/>
    <s v=";'C INTERISTITUCIONAL'!$E$10:$BD$100;14;1)"/>
    <s v="=BUSCARV($E377;'C INTERISTITUCIONAL'!$E$10:$BD$100;14;1)"/>
    <m/>
    <e v="#N/A"/>
    <e v="#N/A"/>
    <e v="#N/A"/>
    <e v="#N/A"/>
    <e v="#N/A"/>
    <e v="#N/A"/>
    <e v="#N/A"/>
    <e v="#N/A"/>
    <e v="#N/A"/>
    <e v="#N/A"/>
    <e v="#N/A"/>
    <e v="#N/A"/>
    <e v="#N/A"/>
    <e v="#N/A"/>
  </r>
  <r>
    <x v="3"/>
    <s v="C INTERISTITUCIONAL"/>
    <x v="0"/>
    <x v="2"/>
    <x v="1"/>
    <m/>
    <m/>
    <m/>
    <m/>
    <m/>
    <m/>
    <m/>
    <m/>
    <s v="$E"/>
    <n v="378"/>
    <s v=";'C INTERISTITUCIONAL'!$E$10:$BD$100;14;1)"/>
    <s v=";'C INTERISTITUCIONAL'!$E$10:$BD$100;14;1)"/>
    <s v="=BUSCARV($E378;'C INTERISTITUCIONAL'!$E$10:$BD$100;14;1)"/>
    <m/>
    <e v="#N/A"/>
    <e v="#N/A"/>
    <e v="#N/A"/>
    <e v="#N/A"/>
    <e v="#N/A"/>
    <e v="#N/A"/>
    <e v="#N/A"/>
    <e v="#N/A"/>
    <e v="#N/A"/>
    <e v="#N/A"/>
    <e v="#N/A"/>
    <e v="#N/A"/>
    <e v="#N/A"/>
    <e v="#N/A"/>
  </r>
  <r>
    <x v="3"/>
    <s v="C INTERISTITUCIONAL"/>
    <x v="0"/>
    <x v="2"/>
    <x v="1"/>
    <m/>
    <m/>
    <m/>
    <m/>
    <m/>
    <m/>
    <m/>
    <m/>
    <s v="$E"/>
    <n v="379"/>
    <s v=";'C INTERISTITUCIONAL'!$E$10:$BD$100;14;1)"/>
    <s v=";'C INTERISTITUCIONAL'!$E$10:$BD$100;14;1)"/>
    <s v="=BUSCARV($E379;'C INTERISTITUCIONAL'!$E$10:$BD$100;14;1)"/>
    <m/>
    <e v="#N/A"/>
    <e v="#N/A"/>
    <e v="#N/A"/>
    <e v="#N/A"/>
    <e v="#N/A"/>
    <e v="#N/A"/>
    <e v="#N/A"/>
    <e v="#N/A"/>
    <e v="#N/A"/>
    <e v="#N/A"/>
    <e v="#N/A"/>
    <e v="#N/A"/>
    <e v="#N/A"/>
    <e v="#N/A"/>
  </r>
  <r>
    <x v="3"/>
    <s v="C INTERISTITUCIONAL"/>
    <x v="0"/>
    <x v="2"/>
    <x v="1"/>
    <m/>
    <m/>
    <m/>
    <m/>
    <m/>
    <m/>
    <m/>
    <m/>
    <s v="$E"/>
    <n v="380"/>
    <s v=";'C INTERISTITUCIONAL'!$E$10:$BD$100;14;1)"/>
    <s v=";'C INTERISTITUCIONAL'!$E$10:$BD$100;14;1)"/>
    <s v="=BUSCARV($E380;'C INTERISTITUCIONAL'!$E$10:$BD$100;14;1)"/>
    <m/>
    <e v="#N/A"/>
    <e v="#N/A"/>
    <e v="#N/A"/>
    <e v="#N/A"/>
    <e v="#N/A"/>
    <e v="#N/A"/>
    <e v="#N/A"/>
    <e v="#N/A"/>
    <e v="#N/A"/>
    <e v="#N/A"/>
    <e v="#N/A"/>
    <e v="#N/A"/>
    <e v="#N/A"/>
    <e v="#N/A"/>
  </r>
  <r>
    <x v="3"/>
    <s v="C INTERISTITUCIONAL"/>
    <x v="0"/>
    <x v="2"/>
    <x v="1"/>
    <m/>
    <m/>
    <m/>
    <m/>
    <m/>
    <m/>
    <m/>
    <m/>
    <s v="$E"/>
    <n v="381"/>
    <s v=";'C INTERISTITUCIONAL'!$E$10:$BD$100;14;1)"/>
    <s v=";'C INTERISTITUCIONAL'!$E$10:$BD$100;14;1)"/>
    <s v="=BUSCARV($E381;'C INTERISTITUCIONAL'!$E$10:$BD$100;14;1)"/>
    <m/>
    <e v="#N/A"/>
    <e v="#N/A"/>
    <e v="#N/A"/>
    <e v="#N/A"/>
    <e v="#N/A"/>
    <e v="#N/A"/>
    <e v="#N/A"/>
    <e v="#N/A"/>
    <e v="#N/A"/>
    <e v="#N/A"/>
    <e v="#N/A"/>
    <e v="#N/A"/>
    <e v="#N/A"/>
    <e v="#N/A"/>
  </r>
  <r>
    <x v="3"/>
    <s v="C INTERISTITUCIONAL"/>
    <x v="0"/>
    <x v="2"/>
    <x v="1"/>
    <m/>
    <m/>
    <m/>
    <m/>
    <m/>
    <m/>
    <m/>
    <m/>
    <s v="$E"/>
    <n v="382"/>
    <s v=";'C INTERISTITUCIONAL'!$E$10:$BD$100;14;1)"/>
    <s v=";'C INTERISTITUCIONAL'!$E$10:$BD$100;14;1)"/>
    <s v="=BUSCARV($E382;'C INTERISTITUCIONAL'!$E$10:$BD$100;14;1)"/>
    <m/>
    <e v="#N/A"/>
    <e v="#N/A"/>
    <e v="#N/A"/>
    <e v="#N/A"/>
    <e v="#N/A"/>
    <e v="#N/A"/>
    <e v="#N/A"/>
    <e v="#N/A"/>
    <e v="#N/A"/>
    <e v="#N/A"/>
    <e v="#N/A"/>
    <e v="#N/A"/>
    <e v="#N/A"/>
    <e v="#N/A"/>
  </r>
  <r>
    <x v="3"/>
    <s v="C INTERISTITUCIONAL"/>
    <x v="0"/>
    <x v="2"/>
    <x v="1"/>
    <m/>
    <m/>
    <m/>
    <m/>
    <m/>
    <m/>
    <m/>
    <m/>
    <s v="$E"/>
    <n v="383"/>
    <s v=";'C INTERISTITUCIONAL'!$E$10:$BD$100;14;1)"/>
    <s v=";'C INTERISTITUCIONAL'!$E$10:$BD$100;14;1)"/>
    <s v="=BUSCARV($E383;'C INTERISTITUCIONAL'!$E$10:$BD$100;14;1)"/>
    <m/>
    <e v="#N/A"/>
    <e v="#N/A"/>
    <e v="#N/A"/>
    <e v="#N/A"/>
    <e v="#N/A"/>
    <e v="#N/A"/>
    <e v="#N/A"/>
    <e v="#N/A"/>
    <e v="#N/A"/>
    <e v="#N/A"/>
    <e v="#N/A"/>
    <e v="#N/A"/>
    <e v="#N/A"/>
    <e v="#N/A"/>
  </r>
  <r>
    <x v="3"/>
    <s v="C INTERISTITUCIONAL"/>
    <x v="0"/>
    <x v="2"/>
    <x v="1"/>
    <m/>
    <m/>
    <m/>
    <m/>
    <m/>
    <m/>
    <m/>
    <m/>
    <s v="$E"/>
    <n v="384"/>
    <s v=";'C INTERISTITUCIONAL'!$E$10:$BD$100;14;1)"/>
    <s v=";'C INTERISTITUCIONAL'!$E$10:$BD$100;14;1)"/>
    <s v="=BUSCARV($E384;'C INTERISTITUCIONAL'!$E$10:$BD$100;14;1)"/>
    <m/>
    <e v="#N/A"/>
    <e v="#N/A"/>
    <e v="#N/A"/>
    <e v="#N/A"/>
    <e v="#N/A"/>
    <e v="#N/A"/>
    <e v="#N/A"/>
    <e v="#N/A"/>
    <e v="#N/A"/>
    <e v="#N/A"/>
    <e v="#N/A"/>
    <e v="#N/A"/>
    <e v="#N/A"/>
    <e v="#N/A"/>
  </r>
  <r>
    <x v="3"/>
    <s v="C INTERISTITUCIONAL"/>
    <x v="0"/>
    <x v="2"/>
    <x v="1"/>
    <m/>
    <m/>
    <m/>
    <m/>
    <m/>
    <m/>
    <m/>
    <m/>
    <s v="$E"/>
    <n v="385"/>
    <s v=";'C INTERISTITUCIONAL'!$E$10:$BD$100;14;1)"/>
    <s v=";'C INTERISTITUCIONAL'!$E$10:$BD$100;14;1)"/>
    <s v="=BUSCARV($E385;'C INTERISTITUCIONAL'!$E$10:$BD$100;14;1)"/>
    <m/>
    <e v="#N/A"/>
    <e v="#N/A"/>
    <e v="#N/A"/>
    <e v="#N/A"/>
    <e v="#N/A"/>
    <e v="#N/A"/>
    <e v="#N/A"/>
    <e v="#N/A"/>
    <e v="#N/A"/>
    <e v="#N/A"/>
    <e v="#N/A"/>
    <e v="#N/A"/>
    <e v="#N/A"/>
    <e v="#N/A"/>
  </r>
  <r>
    <x v="3"/>
    <s v="C INTERISTITUCIONAL"/>
    <x v="0"/>
    <x v="2"/>
    <x v="1"/>
    <m/>
    <m/>
    <m/>
    <m/>
    <m/>
    <m/>
    <m/>
    <m/>
    <s v="$E"/>
    <n v="386"/>
    <s v=";'C INTERISTITUCIONAL'!$E$10:$BD$100;14;1)"/>
    <s v=";'C INTERISTITUCIONAL'!$E$10:$BD$100;14;1)"/>
    <s v="=BUSCARV($E386;'C INTERISTITUCIONAL'!$E$10:$BD$100;14;1)"/>
    <m/>
    <e v="#N/A"/>
    <e v="#N/A"/>
    <e v="#N/A"/>
    <e v="#N/A"/>
    <e v="#N/A"/>
    <e v="#N/A"/>
    <e v="#N/A"/>
    <e v="#N/A"/>
    <e v="#N/A"/>
    <e v="#N/A"/>
    <e v="#N/A"/>
    <e v="#N/A"/>
    <e v="#N/A"/>
    <e v="#N/A"/>
  </r>
  <r>
    <x v="3"/>
    <s v="C INTERISTITUCIONAL"/>
    <x v="0"/>
    <x v="2"/>
    <x v="1"/>
    <m/>
    <m/>
    <m/>
    <m/>
    <m/>
    <m/>
    <m/>
    <m/>
    <s v="$E"/>
    <n v="387"/>
    <s v=";'C INTERISTITUCIONAL'!$E$10:$BD$100;14;1)"/>
    <s v=";'C INTERISTITUCIONAL'!$E$10:$BD$100;14;1)"/>
    <s v="=BUSCARV($E387;'C INTERISTITUCIONAL'!$E$10:$BD$100;14;1)"/>
    <m/>
    <e v="#N/A"/>
    <e v="#N/A"/>
    <e v="#N/A"/>
    <e v="#N/A"/>
    <e v="#N/A"/>
    <e v="#N/A"/>
    <e v="#N/A"/>
    <e v="#N/A"/>
    <e v="#N/A"/>
    <e v="#N/A"/>
    <e v="#N/A"/>
    <e v="#N/A"/>
    <e v="#N/A"/>
    <e v="#N/A"/>
  </r>
  <r>
    <x v="4"/>
    <s v="C COMUNICACIONES"/>
    <x v="0"/>
    <x v="8"/>
    <x v="0"/>
    <m/>
    <m/>
    <m/>
    <m/>
    <m/>
    <m/>
    <m/>
    <m/>
    <s v="$E"/>
    <n v="388"/>
    <s v=";'C COMUNICACIONES'!$E$10:$BD$100;14;1)"/>
    <s v=";'C COMUNICACIONES'!$E$10:$BD$100;14;1)"/>
    <s v="=BUSCARV($E388;'C COMUNICACIONES'!$E$10:$BD$100;14;1)"/>
    <m/>
    <s v="Rara vez"/>
    <n v="1"/>
    <n v="1"/>
    <s v="Mayor"/>
    <n v="10"/>
    <n v="10"/>
    <s v="10_x000a_BAJA"/>
    <s v="Rara vez"/>
    <n v="1"/>
    <n v="1"/>
    <s v="Mayor"/>
    <n v="10"/>
    <n v="10"/>
    <s v="10_x000a_BAJA"/>
  </r>
  <r>
    <x v="4"/>
    <s v="C COMUNICACIONES"/>
    <x v="0"/>
    <x v="2"/>
    <x v="1"/>
    <m/>
    <m/>
    <m/>
    <m/>
    <m/>
    <m/>
    <m/>
    <m/>
    <s v="$E"/>
    <n v="389"/>
    <s v=";'C COMUNICACIONES'!$E$10:$BD$100;14;1)"/>
    <s v=";'C COMUNICACIONES'!$E$10:$BD$100;14;1)"/>
    <s v="=BUSCARV($E389;'C COMUNICACIONES'!$E$10:$BD$100;14;1)"/>
    <m/>
    <e v="#N/A"/>
    <e v="#N/A"/>
    <e v="#N/A"/>
    <e v="#N/A"/>
    <e v="#N/A"/>
    <e v="#N/A"/>
    <e v="#N/A"/>
    <e v="#N/A"/>
    <e v="#N/A"/>
    <e v="#N/A"/>
    <e v="#N/A"/>
    <e v="#N/A"/>
    <e v="#N/A"/>
    <e v="#N/A"/>
  </r>
  <r>
    <x v="4"/>
    <s v="C COMUNICACIONES"/>
    <x v="0"/>
    <x v="2"/>
    <x v="1"/>
    <m/>
    <m/>
    <m/>
    <m/>
    <m/>
    <m/>
    <m/>
    <m/>
    <s v="$E"/>
    <n v="390"/>
    <s v=";'C COMUNICACIONES'!$E$10:$BD$100;14;1)"/>
    <s v=";'C COMUNICACIONES'!$E$10:$BD$100;14;1)"/>
    <s v="=BUSCARV($E390;'C COMUNICACIONES'!$E$10:$BD$100;14;1)"/>
    <m/>
    <e v="#N/A"/>
    <e v="#N/A"/>
    <e v="#N/A"/>
    <e v="#N/A"/>
    <e v="#N/A"/>
    <e v="#N/A"/>
    <e v="#N/A"/>
    <e v="#N/A"/>
    <e v="#N/A"/>
    <e v="#N/A"/>
    <e v="#N/A"/>
    <e v="#N/A"/>
    <e v="#N/A"/>
    <e v="#N/A"/>
  </r>
  <r>
    <x v="4"/>
    <s v="C COMUNICACIONES"/>
    <x v="0"/>
    <x v="2"/>
    <x v="1"/>
    <m/>
    <m/>
    <m/>
    <m/>
    <m/>
    <m/>
    <m/>
    <m/>
    <s v="$E"/>
    <n v="391"/>
    <s v=";'C COMUNICACIONES'!$E$10:$BD$100;14;1)"/>
    <s v=";'C COMUNICACIONES'!$E$10:$BD$100;14;1)"/>
    <s v="=BUSCARV($E391;'C COMUNICACIONES'!$E$10:$BD$100;14;1)"/>
    <m/>
    <e v="#N/A"/>
    <e v="#N/A"/>
    <e v="#N/A"/>
    <e v="#N/A"/>
    <e v="#N/A"/>
    <e v="#N/A"/>
    <e v="#N/A"/>
    <e v="#N/A"/>
    <e v="#N/A"/>
    <e v="#N/A"/>
    <e v="#N/A"/>
    <e v="#N/A"/>
    <e v="#N/A"/>
    <e v="#N/A"/>
  </r>
  <r>
    <x v="4"/>
    <s v="C COMUNICACIONES"/>
    <x v="0"/>
    <x v="2"/>
    <x v="1"/>
    <m/>
    <m/>
    <m/>
    <m/>
    <m/>
    <m/>
    <m/>
    <m/>
    <s v="$E"/>
    <n v="392"/>
    <s v=";'C COMUNICACIONES'!$E$10:$BD$100;14;1)"/>
    <s v=";'C COMUNICACIONES'!$E$10:$BD$100;14;1)"/>
    <s v="=BUSCARV($E392;'C COMUNICACIONES'!$E$10:$BD$100;14;1)"/>
    <m/>
    <e v="#N/A"/>
    <e v="#N/A"/>
    <e v="#N/A"/>
    <e v="#N/A"/>
    <e v="#N/A"/>
    <e v="#N/A"/>
    <e v="#N/A"/>
    <e v="#N/A"/>
    <e v="#N/A"/>
    <e v="#N/A"/>
    <e v="#N/A"/>
    <e v="#N/A"/>
    <e v="#N/A"/>
    <e v="#N/A"/>
  </r>
  <r>
    <x v="4"/>
    <s v="C COMUNICACIONES"/>
    <x v="0"/>
    <x v="2"/>
    <x v="1"/>
    <m/>
    <m/>
    <m/>
    <m/>
    <m/>
    <m/>
    <m/>
    <m/>
    <s v="$E"/>
    <n v="393"/>
    <s v=";'C COMUNICACIONES'!$E$10:$BD$100;14;1)"/>
    <s v=";'C COMUNICACIONES'!$E$10:$BD$100;14;1)"/>
    <s v="=BUSCARV($E393;'C COMUNICACIONES'!$E$10:$BD$100;14;1)"/>
    <m/>
    <e v="#N/A"/>
    <e v="#N/A"/>
    <e v="#N/A"/>
    <e v="#N/A"/>
    <e v="#N/A"/>
    <e v="#N/A"/>
    <e v="#N/A"/>
    <e v="#N/A"/>
    <e v="#N/A"/>
    <e v="#N/A"/>
    <e v="#N/A"/>
    <e v="#N/A"/>
    <e v="#N/A"/>
    <e v="#N/A"/>
  </r>
  <r>
    <x v="4"/>
    <s v="C COMUNICACIONES"/>
    <x v="0"/>
    <x v="2"/>
    <x v="1"/>
    <m/>
    <m/>
    <m/>
    <m/>
    <m/>
    <m/>
    <m/>
    <m/>
    <s v="$E"/>
    <n v="394"/>
    <s v=";'C COMUNICACIONES'!$E$10:$BD$100;14;1)"/>
    <s v=";'C COMUNICACIONES'!$E$10:$BD$100;14;1)"/>
    <s v="=BUSCARV($E394;'C COMUNICACIONES'!$E$10:$BD$100;14;1)"/>
    <m/>
    <e v="#N/A"/>
    <e v="#N/A"/>
    <e v="#N/A"/>
    <e v="#N/A"/>
    <e v="#N/A"/>
    <e v="#N/A"/>
    <e v="#N/A"/>
    <e v="#N/A"/>
    <e v="#N/A"/>
    <e v="#N/A"/>
    <e v="#N/A"/>
    <e v="#N/A"/>
    <e v="#N/A"/>
    <e v="#N/A"/>
  </r>
  <r>
    <x v="4"/>
    <s v="C COMUNICACIONES"/>
    <x v="0"/>
    <x v="2"/>
    <x v="1"/>
    <m/>
    <m/>
    <m/>
    <m/>
    <m/>
    <m/>
    <m/>
    <m/>
    <s v="$E"/>
    <n v="395"/>
    <s v=";'C COMUNICACIONES'!$E$10:$BD$100;14;1)"/>
    <s v=";'C COMUNICACIONES'!$E$10:$BD$100;14;1)"/>
    <s v="=BUSCARV($E395;'C COMUNICACIONES'!$E$10:$BD$100;14;1)"/>
    <m/>
    <e v="#N/A"/>
    <e v="#N/A"/>
    <e v="#N/A"/>
    <e v="#N/A"/>
    <e v="#N/A"/>
    <e v="#N/A"/>
    <e v="#N/A"/>
    <e v="#N/A"/>
    <e v="#N/A"/>
    <e v="#N/A"/>
    <e v="#N/A"/>
    <e v="#N/A"/>
    <e v="#N/A"/>
    <e v="#N/A"/>
  </r>
  <r>
    <x v="4"/>
    <s v="C COMUNICACIONES"/>
    <x v="0"/>
    <x v="2"/>
    <x v="1"/>
    <m/>
    <m/>
    <m/>
    <m/>
    <m/>
    <m/>
    <m/>
    <m/>
    <s v="$E"/>
    <n v="396"/>
    <s v=";'C COMUNICACIONES'!$E$10:$BD$100;14;1)"/>
    <s v=";'C COMUNICACIONES'!$E$10:$BD$100;14;1)"/>
    <s v="=BUSCARV($E396;'C COMUNICACIONES'!$E$10:$BD$100;14;1)"/>
    <m/>
    <e v="#N/A"/>
    <e v="#N/A"/>
    <e v="#N/A"/>
    <e v="#N/A"/>
    <e v="#N/A"/>
    <e v="#N/A"/>
    <e v="#N/A"/>
    <e v="#N/A"/>
    <e v="#N/A"/>
    <e v="#N/A"/>
    <e v="#N/A"/>
    <e v="#N/A"/>
    <e v="#N/A"/>
    <e v="#N/A"/>
  </r>
  <r>
    <x v="4"/>
    <s v="C COMUNICACIONES"/>
    <x v="0"/>
    <x v="2"/>
    <x v="1"/>
    <m/>
    <m/>
    <m/>
    <m/>
    <m/>
    <m/>
    <m/>
    <m/>
    <s v="$E"/>
    <n v="397"/>
    <s v=";'C COMUNICACIONES'!$E$10:$BD$100;14;1)"/>
    <s v=";'C COMUNICACIONES'!$E$10:$BD$100;14;1)"/>
    <s v="=BUSCARV($E397;'C COMUNICACIONES'!$E$10:$BD$100;14;1)"/>
    <m/>
    <e v="#N/A"/>
    <e v="#N/A"/>
    <e v="#N/A"/>
    <e v="#N/A"/>
    <e v="#N/A"/>
    <e v="#N/A"/>
    <e v="#N/A"/>
    <e v="#N/A"/>
    <e v="#N/A"/>
    <e v="#N/A"/>
    <e v="#N/A"/>
    <e v="#N/A"/>
    <e v="#N/A"/>
    <e v="#N/A"/>
  </r>
  <r>
    <x v="4"/>
    <s v="C COMUNICACIONES"/>
    <x v="0"/>
    <x v="2"/>
    <x v="1"/>
    <m/>
    <m/>
    <m/>
    <m/>
    <m/>
    <m/>
    <m/>
    <m/>
    <s v="$E"/>
    <n v="398"/>
    <s v=";'C COMUNICACIONES'!$E$10:$BD$100;14;1)"/>
    <s v=";'C COMUNICACIONES'!$E$10:$BD$100;14;1)"/>
    <s v="=BUSCARV($E398;'C COMUNICACIONES'!$E$10:$BD$100;14;1)"/>
    <m/>
    <e v="#N/A"/>
    <e v="#N/A"/>
    <e v="#N/A"/>
    <e v="#N/A"/>
    <e v="#N/A"/>
    <e v="#N/A"/>
    <e v="#N/A"/>
    <e v="#N/A"/>
    <e v="#N/A"/>
    <e v="#N/A"/>
    <e v="#N/A"/>
    <e v="#N/A"/>
    <e v="#N/A"/>
    <e v="#N/A"/>
  </r>
  <r>
    <x v="4"/>
    <s v="C COMUNICACIONES"/>
    <x v="0"/>
    <x v="2"/>
    <x v="1"/>
    <m/>
    <m/>
    <m/>
    <m/>
    <m/>
    <m/>
    <m/>
    <m/>
    <s v="$E"/>
    <n v="399"/>
    <s v=";'C COMUNICACIONES'!$E$10:$BD$100;14;1)"/>
    <s v=";'C COMUNICACIONES'!$E$10:$BD$100;14;1)"/>
    <s v="=BUSCARV($E399;'C COMUNICACIONES'!$E$10:$BD$100;14;1)"/>
    <m/>
    <e v="#N/A"/>
    <e v="#N/A"/>
    <e v="#N/A"/>
    <e v="#N/A"/>
    <e v="#N/A"/>
    <e v="#N/A"/>
    <e v="#N/A"/>
    <e v="#N/A"/>
    <e v="#N/A"/>
    <e v="#N/A"/>
    <e v="#N/A"/>
    <e v="#N/A"/>
    <e v="#N/A"/>
    <e v="#N/A"/>
  </r>
  <r>
    <x v="4"/>
    <s v="C COMUNICACIONES"/>
    <x v="0"/>
    <x v="2"/>
    <x v="1"/>
    <m/>
    <m/>
    <m/>
    <m/>
    <m/>
    <m/>
    <m/>
    <m/>
    <s v="$E"/>
    <n v="400"/>
    <s v=";'C COMUNICACIONES'!$E$10:$BD$100;14;1)"/>
    <s v=";'C COMUNICACIONES'!$E$10:$BD$100;14;1)"/>
    <s v="=BUSCARV($E400;'C COMUNICACIONES'!$E$10:$BD$100;14;1)"/>
    <m/>
    <e v="#N/A"/>
    <e v="#N/A"/>
    <e v="#N/A"/>
    <e v="#N/A"/>
    <e v="#N/A"/>
    <e v="#N/A"/>
    <e v="#N/A"/>
    <e v="#N/A"/>
    <e v="#N/A"/>
    <e v="#N/A"/>
    <e v="#N/A"/>
    <e v="#N/A"/>
    <e v="#N/A"/>
    <e v="#N/A"/>
  </r>
  <r>
    <x v="4"/>
    <s v="C COMUNICACIONES"/>
    <x v="0"/>
    <x v="2"/>
    <x v="1"/>
    <m/>
    <m/>
    <m/>
    <m/>
    <m/>
    <m/>
    <m/>
    <m/>
    <s v="$E"/>
    <n v="401"/>
    <s v=";'C COMUNICACIONES'!$E$10:$BD$100;14;1)"/>
    <s v=";'C COMUNICACIONES'!$E$10:$BD$100;14;1)"/>
    <s v="=BUSCARV($E401;'C COMUNICACIONES'!$E$10:$BD$100;14;1)"/>
    <m/>
    <e v="#N/A"/>
    <e v="#N/A"/>
    <e v="#N/A"/>
    <e v="#N/A"/>
    <e v="#N/A"/>
    <e v="#N/A"/>
    <e v="#N/A"/>
    <e v="#N/A"/>
    <e v="#N/A"/>
    <e v="#N/A"/>
    <e v="#N/A"/>
    <e v="#N/A"/>
    <e v="#N/A"/>
    <e v="#N/A"/>
  </r>
  <r>
    <x v="5"/>
    <s v="C FACTIBILIDAD"/>
    <x v="0"/>
    <x v="9"/>
    <x v="0"/>
    <m/>
    <m/>
    <m/>
    <m/>
    <m/>
    <m/>
    <m/>
    <m/>
    <s v="$E"/>
    <n v="402"/>
    <s v=";'C FACTIBILIDAD'!$E$10:$BD$100;14;1)"/>
    <s v=";'C FACTIBILIDAD'!$E$10:$BD$100;14;1)"/>
    <s v="=BUSCARV($E402;'C FACTIBILIDAD'!$E$10:$BD$100;14;1)"/>
    <m/>
    <s v="Rara vez"/>
    <n v="1"/>
    <n v="1"/>
    <s v="Mayor"/>
    <n v="10"/>
    <n v="10"/>
    <s v="10_x000a_BAJA"/>
    <s v="Rara vez"/>
    <n v="1"/>
    <n v="1"/>
    <s v="Mayor"/>
    <n v="10"/>
    <n v="10"/>
    <s v="10_x000a_BAJA"/>
  </r>
  <r>
    <x v="5"/>
    <s v="C FACTIBILIDAD"/>
    <x v="0"/>
    <x v="10"/>
    <x v="0"/>
    <m/>
    <m/>
    <m/>
    <m/>
    <m/>
    <m/>
    <m/>
    <m/>
    <s v="$E"/>
    <n v="403"/>
    <s v=";'C FACTIBILIDAD'!$E$10:$BD$100;14;1)"/>
    <s v=";'C FACTIBILIDAD'!$E$10:$BD$100;14;1)"/>
    <s v="=BUSCARV($E403;'C FACTIBILIDAD'!$E$10:$BD$100;14;1)"/>
    <m/>
    <s v="Rara vez"/>
    <n v="1"/>
    <n v="1"/>
    <s v="Mayor"/>
    <n v="10"/>
    <n v="10"/>
    <s v="10_x000a_BAJA"/>
    <s v="Rara vez"/>
    <n v="1"/>
    <n v="1"/>
    <s v="Mayor"/>
    <n v="10"/>
    <n v="10"/>
    <s v="10_x000a_BAJA"/>
  </r>
  <r>
    <x v="5"/>
    <s v="C FACTIBILIDAD"/>
    <x v="0"/>
    <x v="11"/>
    <x v="0"/>
    <m/>
    <m/>
    <m/>
    <m/>
    <m/>
    <m/>
    <m/>
    <m/>
    <s v="$E"/>
    <n v="404"/>
    <s v=";'C FACTIBILIDAD'!$E$10:$BD$100;14;1)"/>
    <s v=";'C FACTIBILIDAD'!$E$10:$BD$100;14;1)"/>
    <s v="=BUSCARV($E404;'C FACTIBILIDAD'!$E$10:$BD$100;14;1)"/>
    <m/>
    <s v="Rara vez"/>
    <n v="1"/>
    <n v="1"/>
    <s v="Moderado"/>
    <n v="5"/>
    <n v="5"/>
    <s v="5_x000a_BAJA"/>
    <s v="Rara vez"/>
    <n v="1"/>
    <n v="1"/>
    <s v="Moderado"/>
    <n v="5"/>
    <n v="5"/>
    <s v="5_x000a_BAJA"/>
  </r>
  <r>
    <x v="5"/>
    <s v="C FACTIBILIDAD"/>
    <x v="0"/>
    <x v="12"/>
    <x v="0"/>
    <m/>
    <m/>
    <m/>
    <m/>
    <m/>
    <m/>
    <m/>
    <m/>
    <s v="$E"/>
    <n v="405"/>
    <s v=";'C FACTIBILIDAD'!$E$10:$BD$100;14;1)"/>
    <s v=";'C FACTIBILIDAD'!$E$10:$BD$100;14;1)"/>
    <s v="=BUSCARV($E405;'C FACTIBILIDAD'!$E$10:$BD$100;14;1)"/>
    <m/>
    <s v="Rara vez"/>
    <n v="1"/>
    <n v="1"/>
    <s v="Mayor"/>
    <n v="10"/>
    <n v="10"/>
    <s v="10_x000a_BAJA"/>
    <s v="Rara vez"/>
    <n v="1"/>
    <n v="1"/>
    <s v="Mayor"/>
    <n v="10"/>
    <n v="10"/>
    <s v="10_x000a_BAJA"/>
  </r>
  <r>
    <x v="5"/>
    <s v="C FACTIBILIDAD"/>
    <x v="0"/>
    <x v="13"/>
    <x v="0"/>
    <m/>
    <m/>
    <m/>
    <m/>
    <m/>
    <m/>
    <m/>
    <m/>
    <s v="$E"/>
    <n v="406"/>
    <s v=";'C FACTIBILIDAD'!$E$10:$BD$100;14;1)"/>
    <s v=";'C FACTIBILIDAD'!$E$10:$BD$100;14;1)"/>
    <s v="=BUSCARV($E406;'C FACTIBILIDAD'!$E$10:$BD$100;14;1)"/>
    <m/>
    <s v="Rara vez"/>
    <n v="1"/>
    <n v="1"/>
    <s v="Mayor"/>
    <n v="10"/>
    <n v="10"/>
    <s v="10_x000a_BAJA"/>
    <s v="Rara vez"/>
    <n v="1"/>
    <n v="1"/>
    <s v="Mayor"/>
    <n v="10"/>
    <n v="10"/>
    <s v="10_x000a_BAJA"/>
  </r>
  <r>
    <x v="5"/>
    <s v="C FACTIBILIDAD"/>
    <x v="0"/>
    <x v="14"/>
    <x v="0"/>
    <m/>
    <m/>
    <m/>
    <m/>
    <m/>
    <m/>
    <m/>
    <m/>
    <s v="$E"/>
    <n v="407"/>
    <s v=";'C FACTIBILIDAD'!$E$10:$BD$100;14;1)"/>
    <s v=";'C FACTIBILIDAD'!$E$10:$BD$100;14;1)"/>
    <s v="=BUSCARV($E407;'C FACTIBILIDAD'!$E$10:$BD$100;14;1)"/>
    <m/>
    <s v="Rara vez"/>
    <n v="1"/>
    <n v="1"/>
    <s v="Mayor"/>
    <n v="10"/>
    <n v="10"/>
    <s v="10_x000a_BAJA"/>
    <s v="Rara vez"/>
    <n v="1"/>
    <n v="1"/>
    <s v="Mayor"/>
    <n v="10"/>
    <n v="10"/>
    <s v="10_x000a_BAJA"/>
  </r>
  <r>
    <x v="5"/>
    <s v="C FACTIBILIDAD"/>
    <x v="0"/>
    <x v="2"/>
    <x v="1"/>
    <m/>
    <m/>
    <m/>
    <m/>
    <m/>
    <m/>
    <m/>
    <m/>
    <s v="$E"/>
    <n v="408"/>
    <s v=";'C FACTIBILIDAD'!$E$10:$BD$100;14;1)"/>
    <s v=";'C FACTIBILIDAD'!$E$10:$BD$100;14;1)"/>
    <s v="=BUSCARV($E408;'C FACTIBILIDAD'!$E$10:$BD$100;14;1)"/>
    <m/>
    <e v="#N/A"/>
    <e v="#N/A"/>
    <e v="#N/A"/>
    <e v="#N/A"/>
    <e v="#N/A"/>
    <e v="#N/A"/>
    <e v="#N/A"/>
    <e v="#N/A"/>
    <e v="#N/A"/>
    <e v="#N/A"/>
    <e v="#N/A"/>
    <e v="#N/A"/>
    <e v="#N/A"/>
    <e v="#N/A"/>
  </r>
  <r>
    <x v="5"/>
    <s v="C FACTIBILIDAD"/>
    <x v="0"/>
    <x v="2"/>
    <x v="1"/>
    <m/>
    <m/>
    <m/>
    <m/>
    <m/>
    <m/>
    <m/>
    <m/>
    <s v="$E"/>
    <n v="409"/>
    <s v=";'C FACTIBILIDAD'!$E$10:$BD$100;14;1)"/>
    <s v=";'C FACTIBILIDAD'!$E$10:$BD$100;14;1)"/>
    <s v="=BUSCARV($E409;'C FACTIBILIDAD'!$E$10:$BD$100;14;1)"/>
    <m/>
    <e v="#N/A"/>
    <e v="#N/A"/>
    <e v="#N/A"/>
    <e v="#N/A"/>
    <e v="#N/A"/>
    <e v="#N/A"/>
    <e v="#N/A"/>
    <e v="#N/A"/>
    <e v="#N/A"/>
    <e v="#N/A"/>
    <e v="#N/A"/>
    <e v="#N/A"/>
    <e v="#N/A"/>
    <e v="#N/A"/>
  </r>
  <r>
    <x v="5"/>
    <s v="C FACTIBILIDAD"/>
    <x v="0"/>
    <x v="2"/>
    <x v="1"/>
    <m/>
    <m/>
    <m/>
    <m/>
    <m/>
    <m/>
    <m/>
    <m/>
    <s v="$E"/>
    <n v="410"/>
    <s v=";'C FACTIBILIDAD'!$E$10:$BD$100;14;1)"/>
    <s v=";'C FACTIBILIDAD'!$E$10:$BD$100;14;1)"/>
    <s v="=BUSCARV($E410;'C FACTIBILIDAD'!$E$10:$BD$100;14;1)"/>
    <m/>
    <e v="#N/A"/>
    <e v="#N/A"/>
    <e v="#N/A"/>
    <e v="#N/A"/>
    <e v="#N/A"/>
    <e v="#N/A"/>
    <e v="#N/A"/>
    <e v="#N/A"/>
    <e v="#N/A"/>
    <e v="#N/A"/>
    <e v="#N/A"/>
    <e v="#N/A"/>
    <e v="#N/A"/>
    <e v="#N/A"/>
  </r>
  <r>
    <x v="5"/>
    <s v="C FACTIBILIDAD"/>
    <x v="0"/>
    <x v="2"/>
    <x v="1"/>
    <m/>
    <m/>
    <m/>
    <m/>
    <m/>
    <m/>
    <m/>
    <m/>
    <s v="$E"/>
    <n v="411"/>
    <s v=";'C FACTIBILIDAD'!$E$10:$BD$100;14;1)"/>
    <s v=";'C FACTIBILIDAD'!$E$10:$BD$100;14;1)"/>
    <s v="=BUSCARV($E411;'C FACTIBILIDAD'!$E$10:$BD$100;14;1)"/>
    <m/>
    <e v="#N/A"/>
    <e v="#N/A"/>
    <e v="#N/A"/>
    <e v="#N/A"/>
    <e v="#N/A"/>
    <e v="#N/A"/>
    <e v="#N/A"/>
    <e v="#N/A"/>
    <e v="#N/A"/>
    <e v="#N/A"/>
    <e v="#N/A"/>
    <e v="#N/A"/>
    <e v="#N/A"/>
    <e v="#N/A"/>
  </r>
  <r>
    <x v="5"/>
    <s v="C FACTIBILIDAD"/>
    <x v="0"/>
    <x v="2"/>
    <x v="1"/>
    <m/>
    <m/>
    <m/>
    <m/>
    <m/>
    <m/>
    <m/>
    <m/>
    <s v="$E"/>
    <n v="412"/>
    <s v=";'C FACTIBILIDAD'!$E$10:$BD$100;14;1)"/>
    <s v=";'C FACTIBILIDAD'!$E$10:$BD$100;14;1)"/>
    <s v="=BUSCARV($E412;'C FACTIBILIDAD'!$E$10:$BD$100;14;1)"/>
    <m/>
    <e v="#N/A"/>
    <e v="#N/A"/>
    <e v="#N/A"/>
    <e v="#N/A"/>
    <e v="#N/A"/>
    <e v="#N/A"/>
    <e v="#N/A"/>
    <e v="#N/A"/>
    <e v="#N/A"/>
    <e v="#N/A"/>
    <e v="#N/A"/>
    <e v="#N/A"/>
    <e v="#N/A"/>
    <e v="#N/A"/>
  </r>
  <r>
    <x v="5"/>
    <s v="C FACTIBILIDAD"/>
    <x v="0"/>
    <x v="2"/>
    <x v="1"/>
    <m/>
    <m/>
    <m/>
    <m/>
    <m/>
    <m/>
    <m/>
    <m/>
    <s v="$E"/>
    <n v="413"/>
    <s v=";'C FACTIBILIDAD'!$E$10:$BD$100;14;1)"/>
    <s v=";'C FACTIBILIDAD'!$E$10:$BD$100;14;1)"/>
    <s v="=BUSCARV($E413;'C FACTIBILIDAD'!$E$10:$BD$100;14;1)"/>
    <m/>
    <e v="#N/A"/>
    <e v="#N/A"/>
    <e v="#N/A"/>
    <e v="#N/A"/>
    <e v="#N/A"/>
    <e v="#N/A"/>
    <e v="#N/A"/>
    <e v="#N/A"/>
    <e v="#N/A"/>
    <e v="#N/A"/>
    <e v="#N/A"/>
    <e v="#N/A"/>
    <e v="#N/A"/>
    <e v="#N/A"/>
  </r>
  <r>
    <x v="5"/>
    <s v="C FACTIBILIDAD"/>
    <x v="0"/>
    <x v="2"/>
    <x v="1"/>
    <m/>
    <m/>
    <m/>
    <m/>
    <m/>
    <m/>
    <m/>
    <m/>
    <s v="$E"/>
    <n v="414"/>
    <s v=";'C FACTIBILIDAD'!$E$10:$BD$100;14;1)"/>
    <s v=";'C FACTIBILIDAD'!$E$10:$BD$100;14;1)"/>
    <s v="=BUSCARV($E414;'C FACTIBILIDAD'!$E$10:$BD$100;14;1)"/>
    <m/>
    <e v="#N/A"/>
    <e v="#N/A"/>
    <e v="#N/A"/>
    <e v="#N/A"/>
    <e v="#N/A"/>
    <e v="#N/A"/>
    <e v="#N/A"/>
    <e v="#N/A"/>
    <e v="#N/A"/>
    <e v="#N/A"/>
    <e v="#N/A"/>
    <e v="#N/A"/>
    <e v="#N/A"/>
    <e v="#N/A"/>
  </r>
  <r>
    <x v="5"/>
    <s v="C FACTIBILIDAD"/>
    <x v="0"/>
    <x v="2"/>
    <x v="1"/>
    <m/>
    <m/>
    <m/>
    <m/>
    <m/>
    <m/>
    <m/>
    <m/>
    <s v="$E"/>
    <n v="415"/>
    <s v=";'C FACTIBILIDAD'!$E$10:$BD$100;14;1)"/>
    <s v=";'C FACTIBILIDAD'!$E$10:$BD$100;14;1)"/>
    <s v="=BUSCARV($E415;'C FACTIBILIDAD'!$E$10:$BD$100;14;1)"/>
    <m/>
    <e v="#N/A"/>
    <e v="#N/A"/>
    <e v="#N/A"/>
    <e v="#N/A"/>
    <e v="#N/A"/>
    <e v="#N/A"/>
    <e v="#N/A"/>
    <e v="#N/A"/>
    <e v="#N/A"/>
    <e v="#N/A"/>
    <e v="#N/A"/>
    <e v="#N/A"/>
    <e v="#N/A"/>
    <e v="#N/A"/>
  </r>
  <r>
    <x v="5"/>
    <s v="C FACTIBILIDAD"/>
    <x v="0"/>
    <x v="2"/>
    <x v="1"/>
    <m/>
    <m/>
    <m/>
    <m/>
    <m/>
    <m/>
    <m/>
    <m/>
    <s v="$E"/>
    <n v="416"/>
    <s v=";'C FACTIBILIDAD'!$E$10:$BD$100;14;1)"/>
    <s v=";'C FACTIBILIDAD'!$E$10:$BD$100;14;1)"/>
    <s v="=BUSCARV($E416;'C FACTIBILIDAD'!$E$10:$BD$100;14;1)"/>
    <m/>
    <e v="#N/A"/>
    <e v="#N/A"/>
    <e v="#N/A"/>
    <e v="#N/A"/>
    <e v="#N/A"/>
    <e v="#N/A"/>
    <e v="#N/A"/>
    <e v="#N/A"/>
    <e v="#N/A"/>
    <e v="#N/A"/>
    <e v="#N/A"/>
    <e v="#N/A"/>
    <e v="#N/A"/>
    <e v="#N/A"/>
  </r>
  <r>
    <x v="6"/>
    <s v="C VALORIZACION"/>
    <x v="0"/>
    <x v="15"/>
    <x v="0"/>
    <m/>
    <m/>
    <m/>
    <m/>
    <m/>
    <m/>
    <m/>
    <m/>
    <s v="$E"/>
    <n v="417"/>
    <s v=";'C VALORIZACION'!$E$10:$BD$100;14;1)"/>
    <s v=";'C VALORIZACION'!$E$10:$BD$100;14;1)"/>
    <s v="=BUSCARV($E417;'C VALORIZACION'!$E$10:$BD$100;14;1)"/>
    <m/>
    <s v="Rara vez"/>
    <n v="1"/>
    <n v="1"/>
    <s v="Catastrófico"/>
    <n v="20"/>
    <n v="20"/>
    <s v="20_x000a_MODERADA"/>
    <s v="Rara vez"/>
    <n v="1"/>
    <n v="1"/>
    <s v="Catastrófico"/>
    <n v="20"/>
    <n v="20"/>
    <s v="20_x000a_MODERADA"/>
  </r>
  <r>
    <x v="6"/>
    <s v="C VALORIZACION"/>
    <x v="0"/>
    <x v="2"/>
    <x v="1"/>
    <m/>
    <m/>
    <m/>
    <m/>
    <m/>
    <m/>
    <m/>
    <m/>
    <s v="$E"/>
    <n v="418"/>
    <s v=";'C VALORIZACION'!$E$10:$BD$100;14;1)"/>
    <s v=";'C VALORIZACION'!$E$10:$BD$100;14;1)"/>
    <s v="=BUSCARV($E418;'C VALORIZACION'!$E$10:$BD$100;14;1)"/>
    <m/>
    <e v="#N/A"/>
    <e v="#N/A"/>
    <e v="#N/A"/>
    <e v="#N/A"/>
    <e v="#N/A"/>
    <e v="#N/A"/>
    <e v="#N/A"/>
    <e v="#N/A"/>
    <e v="#N/A"/>
    <e v="#N/A"/>
    <e v="#N/A"/>
    <e v="#N/A"/>
    <e v="#N/A"/>
    <e v="#N/A"/>
  </r>
  <r>
    <x v="6"/>
    <s v="C VALORIZACION"/>
    <x v="0"/>
    <x v="16"/>
    <x v="0"/>
    <m/>
    <m/>
    <m/>
    <m/>
    <m/>
    <m/>
    <m/>
    <m/>
    <s v="$E"/>
    <n v="419"/>
    <s v=";'C VALORIZACION'!$E$10:$BD$100;14;1)"/>
    <s v=";'C VALORIZACION'!$E$10:$BD$100;14;1)"/>
    <s v="=BUSCARV($E419;'C VALORIZACION'!$E$10:$BD$100;14;1)"/>
    <m/>
    <s v="Improbable"/>
    <n v="2"/>
    <n v="2"/>
    <s v="Catastrófico"/>
    <n v="20"/>
    <n v="20"/>
    <s v="40_x000a_ALTA"/>
    <s v="Rara vez"/>
    <n v="1"/>
    <n v="1"/>
    <s v="Catastrófico"/>
    <n v="20"/>
    <n v="20"/>
    <s v="20_x000a_MODERADA"/>
  </r>
  <r>
    <x v="6"/>
    <s v="C VALORIZACION"/>
    <x v="0"/>
    <x v="17"/>
    <x v="0"/>
    <m/>
    <m/>
    <m/>
    <m/>
    <m/>
    <m/>
    <m/>
    <m/>
    <s v="$E"/>
    <n v="420"/>
    <s v=";'C VALORIZACION'!$E$10:$BD$100;14;1)"/>
    <s v=";'C VALORIZACION'!$E$10:$BD$100;14;1)"/>
    <s v="=BUSCARV($E420;'C VALORIZACION'!$E$10:$BD$100;14;1)"/>
    <m/>
    <s v="Posible"/>
    <n v="3"/>
    <n v="3"/>
    <s v="Mayor"/>
    <n v="10"/>
    <n v="10"/>
    <s v="30_x000a_ALTA"/>
    <s v="Rara vez"/>
    <n v="1"/>
    <n v="1"/>
    <s v="Moderado"/>
    <n v="5"/>
    <n v="5"/>
    <s v="5_x000a_BAJA"/>
  </r>
  <r>
    <x v="6"/>
    <s v="C VALORIZACION"/>
    <x v="0"/>
    <x v="18"/>
    <x v="0"/>
    <m/>
    <m/>
    <m/>
    <m/>
    <m/>
    <m/>
    <m/>
    <m/>
    <s v="$E"/>
    <n v="421"/>
    <s v=";'C VALORIZACION'!$E$10:$BD$100;14;1)"/>
    <s v=";'C VALORIZACION'!$E$10:$BD$100;14;1)"/>
    <s v="=BUSCARV($E421;'C VALORIZACION'!$E$10:$BD$100;14;1)"/>
    <m/>
    <s v="Rara vez"/>
    <n v="1"/>
    <n v="1"/>
    <s v="Mayor"/>
    <n v="10"/>
    <n v="10"/>
    <s v="10_x000a_BAJA"/>
    <s v="Rara vez"/>
    <n v="1"/>
    <n v="1"/>
    <s v="Mayor"/>
    <n v="10"/>
    <n v="10"/>
    <s v="10_x000a_BAJA"/>
  </r>
  <r>
    <x v="6"/>
    <s v="C VALORIZACION"/>
    <x v="0"/>
    <x v="19"/>
    <x v="0"/>
    <m/>
    <m/>
    <m/>
    <m/>
    <m/>
    <m/>
    <m/>
    <m/>
    <s v="$E"/>
    <n v="422"/>
    <s v=";'C VALORIZACION'!$E$10:$BD$100;14;1)"/>
    <s v=";'C VALORIZACION'!$E$10:$BD$100;14;1)"/>
    <s v="=BUSCARV($E422;'C VALORIZACION'!$E$10:$BD$100;14;1)"/>
    <m/>
    <s v="Rara vez"/>
    <n v="1"/>
    <n v="1"/>
    <s v="Catastrófico"/>
    <n v="20"/>
    <n v="20"/>
    <s v="20_x000a_MODERADA"/>
    <s v="Rara vez"/>
    <n v="1"/>
    <n v="1"/>
    <s v="Moderado"/>
    <n v="5"/>
    <n v="5"/>
    <s v="5_x000a_BAJA"/>
  </r>
  <r>
    <x v="6"/>
    <s v="C VALORIZACION"/>
    <x v="0"/>
    <x v="20"/>
    <x v="0"/>
    <m/>
    <m/>
    <m/>
    <m/>
    <m/>
    <m/>
    <m/>
    <m/>
    <s v="$E"/>
    <n v="423"/>
    <s v=";'C VALORIZACION'!$E$10:$BD$100;14;1)"/>
    <s v=";'C VALORIZACION'!$E$10:$BD$100;14;1)"/>
    <s v="=BUSCARV($E423;'C VALORIZACION'!$E$10:$BD$100;14;1)"/>
    <m/>
    <s v="Rara vez"/>
    <n v="1"/>
    <n v="1"/>
    <s v="Mayor"/>
    <n v="10"/>
    <n v="10"/>
    <s v="10_x000a_BAJA"/>
    <s v="Rara vez"/>
    <n v="1"/>
    <n v="1"/>
    <s v="Moderado"/>
    <n v="5"/>
    <n v="5"/>
    <s v="5_x000a_BAJA"/>
  </r>
  <r>
    <x v="6"/>
    <s v="C VALORIZACION"/>
    <x v="0"/>
    <x v="21"/>
    <x v="0"/>
    <m/>
    <m/>
    <m/>
    <m/>
    <m/>
    <m/>
    <m/>
    <m/>
    <s v="$E"/>
    <n v="424"/>
    <s v=";'C VALORIZACION'!$E$10:$BD$100;14;1)"/>
    <s v=";'C VALORIZACION'!$E$10:$BD$100;14;1)"/>
    <s v="=BUSCARV($E424;'C VALORIZACION'!$E$10:$BD$100;14;1)"/>
    <m/>
    <s v="Rara vez"/>
    <n v="1"/>
    <n v="1"/>
    <s v="Catastrófico"/>
    <n v="20"/>
    <n v="20"/>
    <s v="20_x000a_MODERADA"/>
    <s v="Rara vez"/>
    <n v="1"/>
    <n v="1"/>
    <s v="Catastrófico"/>
    <n v="20"/>
    <n v="20"/>
    <s v="20_x000a_MODERADA"/>
  </r>
  <r>
    <x v="6"/>
    <s v="C VALORIZACION"/>
    <x v="0"/>
    <x v="2"/>
    <x v="1"/>
    <m/>
    <m/>
    <m/>
    <m/>
    <m/>
    <m/>
    <m/>
    <m/>
    <s v="$E"/>
    <n v="425"/>
    <s v=";'C VALORIZACION'!$E$10:$BD$100;14;1)"/>
    <s v=";'C VALORIZACION'!$E$10:$BD$100;14;1)"/>
    <s v="=BUSCARV($E425;'C VALORIZACION'!$E$10:$BD$100;14;1)"/>
    <m/>
    <e v="#N/A"/>
    <e v="#N/A"/>
    <e v="#N/A"/>
    <e v="#N/A"/>
    <e v="#N/A"/>
    <e v="#N/A"/>
    <e v="#N/A"/>
    <e v="#N/A"/>
    <e v="#N/A"/>
    <e v="#N/A"/>
    <e v="#N/A"/>
    <e v="#N/A"/>
    <e v="#N/A"/>
    <e v="#N/A"/>
  </r>
  <r>
    <x v="6"/>
    <s v="C VALORIZACION"/>
    <x v="0"/>
    <x v="2"/>
    <x v="1"/>
    <m/>
    <m/>
    <m/>
    <m/>
    <m/>
    <m/>
    <m/>
    <m/>
    <s v="$E"/>
    <n v="426"/>
    <s v=";'C VALORIZACION'!$E$10:$BD$100;14;1)"/>
    <s v=";'C VALORIZACION'!$E$10:$BD$100;14;1)"/>
    <s v="=BUSCARV($E426;'C VALORIZACION'!$E$10:$BD$100;14;1)"/>
    <m/>
    <e v="#N/A"/>
    <e v="#N/A"/>
    <e v="#N/A"/>
    <e v="#N/A"/>
    <e v="#N/A"/>
    <e v="#N/A"/>
    <e v="#N/A"/>
    <e v="#N/A"/>
    <e v="#N/A"/>
    <e v="#N/A"/>
    <e v="#N/A"/>
    <e v="#N/A"/>
    <e v="#N/A"/>
    <e v="#N/A"/>
  </r>
  <r>
    <x v="6"/>
    <s v="C VALORIZACION"/>
    <x v="0"/>
    <x v="2"/>
    <x v="1"/>
    <m/>
    <m/>
    <m/>
    <m/>
    <m/>
    <m/>
    <m/>
    <m/>
    <s v="$E"/>
    <n v="427"/>
    <s v=";'C VALORIZACION'!$E$10:$BD$100;14;1)"/>
    <s v=";'C VALORIZACION'!$E$10:$BD$100;14;1)"/>
    <s v="=BUSCARV($E427;'C VALORIZACION'!$E$10:$BD$100;14;1)"/>
    <m/>
    <e v="#N/A"/>
    <e v="#N/A"/>
    <e v="#N/A"/>
    <e v="#N/A"/>
    <e v="#N/A"/>
    <e v="#N/A"/>
    <e v="#N/A"/>
    <e v="#N/A"/>
    <e v="#N/A"/>
    <e v="#N/A"/>
    <e v="#N/A"/>
    <e v="#N/A"/>
    <e v="#N/A"/>
    <e v="#N/A"/>
  </r>
  <r>
    <x v="6"/>
    <s v="C VALORIZACION"/>
    <x v="0"/>
    <x v="2"/>
    <x v="1"/>
    <m/>
    <m/>
    <m/>
    <m/>
    <m/>
    <m/>
    <m/>
    <m/>
    <s v="$E"/>
    <n v="428"/>
    <s v=";'C VALORIZACION'!$E$10:$BD$100;14;1)"/>
    <s v=";'C VALORIZACION'!$E$10:$BD$100;14;1)"/>
    <s v="=BUSCARV($E428;'C VALORIZACION'!$E$10:$BD$100;14;1)"/>
    <m/>
    <e v="#N/A"/>
    <e v="#N/A"/>
    <e v="#N/A"/>
    <e v="#N/A"/>
    <e v="#N/A"/>
    <e v="#N/A"/>
    <e v="#N/A"/>
    <e v="#N/A"/>
    <e v="#N/A"/>
    <e v="#N/A"/>
    <e v="#N/A"/>
    <e v="#N/A"/>
    <e v="#N/A"/>
    <e v="#N/A"/>
  </r>
  <r>
    <x v="7"/>
    <s v="C DISEÑO"/>
    <x v="0"/>
    <x v="22"/>
    <x v="0"/>
    <m/>
    <m/>
    <m/>
    <m/>
    <m/>
    <m/>
    <m/>
    <m/>
    <s v="$E"/>
    <n v="429"/>
    <s v=";'C DISEÑO'!$E$10:$BD$100;14;1)"/>
    <s v=";'C DISEÑO'!$E$10:$BD$100;14;1)"/>
    <s v="=BUSCARV($E429;'C DISEÑO'!$E$10:$BD$100;14;1)"/>
    <m/>
    <s v="Rara vez"/>
    <n v="1"/>
    <n v="1"/>
    <s v="Mayor"/>
    <n v="10"/>
    <n v="10"/>
    <s v="10_x000a_BAJA"/>
    <s v="Rara vez"/>
    <n v="1"/>
    <n v="1"/>
    <s v="Mayor"/>
    <n v="10"/>
    <n v="10"/>
    <s v="10_x000a_BAJA"/>
  </r>
  <r>
    <x v="7"/>
    <s v="C DISEÑO"/>
    <x v="0"/>
    <x v="23"/>
    <x v="0"/>
    <m/>
    <m/>
    <m/>
    <m/>
    <m/>
    <m/>
    <m/>
    <m/>
    <s v="$E"/>
    <n v="430"/>
    <s v=";'C DISEÑO'!$E$10:$BD$100;14;1)"/>
    <s v=";'C DISEÑO'!$E$10:$BD$100;14;1)"/>
    <s v="=BUSCARV($E430;'C DISEÑO'!$E$10:$BD$100;14;1)"/>
    <m/>
    <s v="Rara vez"/>
    <n v="1"/>
    <n v="1"/>
    <s v="Mayor"/>
    <n v="10"/>
    <n v="10"/>
    <s v="10_x000a_BAJA"/>
    <s v="Rara vez"/>
    <n v="1"/>
    <n v="1"/>
    <s v="Mayor"/>
    <n v="10"/>
    <n v="10"/>
    <s v="10_x000a_BAJA"/>
  </r>
  <r>
    <x v="7"/>
    <s v="C DISEÑO"/>
    <x v="0"/>
    <x v="24"/>
    <x v="0"/>
    <m/>
    <m/>
    <m/>
    <m/>
    <m/>
    <m/>
    <m/>
    <m/>
    <s v="$E"/>
    <n v="431"/>
    <s v=";'C DISEÑO'!$E$10:$BD$100;14;1)"/>
    <s v=";'C DISEÑO'!$E$10:$BD$100;14;1)"/>
    <s v="=BUSCARV($E431;'C DISEÑO'!$E$10:$BD$100;14;1)"/>
    <m/>
    <s v="Rara vez"/>
    <n v="1"/>
    <n v="1"/>
    <s v="Moderado"/>
    <n v="5"/>
    <n v="5"/>
    <s v="5_x000a_BAJA"/>
    <s v="Rara vez"/>
    <n v="1"/>
    <n v="1"/>
    <s v="Moderado"/>
    <n v="5"/>
    <n v="5"/>
    <s v="5_x000a_BAJA"/>
  </r>
  <r>
    <x v="7"/>
    <s v="C DISEÑO"/>
    <x v="0"/>
    <x v="25"/>
    <x v="0"/>
    <m/>
    <m/>
    <m/>
    <m/>
    <m/>
    <m/>
    <m/>
    <m/>
    <s v="$E"/>
    <n v="432"/>
    <s v=";'C DISEÑO'!$E$10:$BD$100;14;1)"/>
    <s v=";'C DISEÑO'!$E$10:$BD$100;14;1)"/>
    <s v="=BUSCARV($E432;'C DISEÑO'!$E$10:$BD$100;14;1)"/>
    <m/>
    <s v="Rara vez"/>
    <n v="1"/>
    <n v="1"/>
    <s v="Mayor"/>
    <n v="10"/>
    <n v="10"/>
    <s v="10_x000a_BAJA"/>
    <s v="Rara vez"/>
    <n v="1"/>
    <n v="1"/>
    <s v="Mayor"/>
    <n v="10"/>
    <n v="10"/>
    <s v="10_x000a_BAJA"/>
  </r>
  <r>
    <x v="7"/>
    <s v="C DISEÑO"/>
    <x v="0"/>
    <x v="26"/>
    <x v="0"/>
    <m/>
    <m/>
    <m/>
    <m/>
    <m/>
    <m/>
    <m/>
    <m/>
    <s v="$E"/>
    <n v="433"/>
    <s v=";'C DISEÑO'!$E$10:$BD$100;14;1)"/>
    <s v=";'C DISEÑO'!$E$10:$BD$100;14;1)"/>
    <s v="=BUSCARV($E433;'C DISEÑO'!$E$10:$BD$100;14;1)"/>
    <m/>
    <s v="Posible"/>
    <n v="3"/>
    <n v="3"/>
    <s v="Mayor"/>
    <n v="10"/>
    <n v="10"/>
    <s v="30_x000a_ALTA"/>
    <s v="Improbable"/>
    <n v="2"/>
    <n v="2"/>
    <s v="Mayor"/>
    <n v="10"/>
    <n v="10"/>
    <s v="20_x000a_MODERADA"/>
  </r>
  <r>
    <x v="7"/>
    <s v="C DISEÑO"/>
    <x v="0"/>
    <x v="2"/>
    <x v="1"/>
    <m/>
    <m/>
    <m/>
    <m/>
    <m/>
    <m/>
    <m/>
    <m/>
    <s v="$E"/>
    <n v="434"/>
    <s v=";'C DISEÑO'!$E$10:$BD$100;14;1)"/>
    <s v=";'C DISEÑO'!$E$10:$BD$100;14;1)"/>
    <s v="=BUSCARV($E434;'C DISEÑO'!$E$10:$BD$100;14;1)"/>
    <m/>
    <e v="#N/A"/>
    <e v="#N/A"/>
    <e v="#N/A"/>
    <e v="#N/A"/>
    <e v="#N/A"/>
    <e v="#N/A"/>
    <e v="#N/A"/>
    <e v="#N/A"/>
    <e v="#N/A"/>
    <e v="#N/A"/>
    <e v="#N/A"/>
    <e v="#N/A"/>
    <e v="#N/A"/>
    <e v="#N/A"/>
  </r>
  <r>
    <x v="7"/>
    <s v="C DISEÑO"/>
    <x v="0"/>
    <x v="2"/>
    <x v="1"/>
    <m/>
    <m/>
    <m/>
    <m/>
    <m/>
    <m/>
    <m/>
    <m/>
    <s v="$E"/>
    <n v="435"/>
    <s v=";'C DISEÑO'!$E$10:$BD$100;14;1)"/>
    <s v=";'C DISEÑO'!$E$10:$BD$100;14;1)"/>
    <s v="=BUSCARV($E435;'C DISEÑO'!$E$10:$BD$100;14;1)"/>
    <m/>
    <e v="#N/A"/>
    <e v="#N/A"/>
    <e v="#N/A"/>
    <e v="#N/A"/>
    <e v="#N/A"/>
    <e v="#N/A"/>
    <e v="#N/A"/>
    <e v="#N/A"/>
    <e v="#N/A"/>
    <e v="#N/A"/>
    <e v="#N/A"/>
    <e v="#N/A"/>
    <e v="#N/A"/>
    <e v="#N/A"/>
  </r>
  <r>
    <x v="7"/>
    <s v="C DISEÑO"/>
    <x v="0"/>
    <x v="2"/>
    <x v="1"/>
    <m/>
    <m/>
    <m/>
    <m/>
    <m/>
    <m/>
    <m/>
    <m/>
    <s v="$E"/>
    <n v="436"/>
    <s v=";'C DISEÑO'!$E$10:$BD$100;14;1)"/>
    <s v=";'C DISEÑO'!$E$10:$BD$100;14;1)"/>
    <s v="=BUSCARV($E436;'C DISEÑO'!$E$10:$BD$100;14;1)"/>
    <m/>
    <e v="#N/A"/>
    <e v="#N/A"/>
    <e v="#N/A"/>
    <e v="#N/A"/>
    <e v="#N/A"/>
    <e v="#N/A"/>
    <e v="#N/A"/>
    <e v="#N/A"/>
    <e v="#N/A"/>
    <e v="#N/A"/>
    <e v="#N/A"/>
    <e v="#N/A"/>
    <e v="#N/A"/>
    <e v="#N/A"/>
  </r>
  <r>
    <x v="7"/>
    <s v="C DISEÑO"/>
    <x v="0"/>
    <x v="2"/>
    <x v="1"/>
    <m/>
    <m/>
    <m/>
    <m/>
    <m/>
    <m/>
    <m/>
    <m/>
    <s v="$E"/>
    <n v="437"/>
    <s v=";'C DISEÑO'!$E$10:$BD$100;14;1)"/>
    <s v=";'C DISEÑO'!$E$10:$BD$100;14;1)"/>
    <s v="=BUSCARV($E437;'C DISEÑO'!$E$10:$BD$100;14;1)"/>
    <m/>
    <e v="#N/A"/>
    <e v="#N/A"/>
    <e v="#N/A"/>
    <e v="#N/A"/>
    <e v="#N/A"/>
    <e v="#N/A"/>
    <e v="#N/A"/>
    <e v="#N/A"/>
    <e v="#N/A"/>
    <e v="#N/A"/>
    <e v="#N/A"/>
    <e v="#N/A"/>
    <e v="#N/A"/>
    <e v="#N/A"/>
  </r>
  <r>
    <x v="7"/>
    <s v="C DISEÑO"/>
    <x v="0"/>
    <x v="2"/>
    <x v="1"/>
    <m/>
    <m/>
    <m/>
    <m/>
    <m/>
    <m/>
    <m/>
    <m/>
    <s v="$E"/>
    <n v="438"/>
    <s v=";'C DISEÑO'!$E$10:$BD$100;14;1)"/>
    <s v=";'C DISEÑO'!$E$10:$BD$100;14;1)"/>
    <s v="=BUSCARV($E438;'C DISEÑO'!$E$10:$BD$100;14;1)"/>
    <m/>
    <e v="#N/A"/>
    <e v="#N/A"/>
    <e v="#N/A"/>
    <e v="#N/A"/>
    <e v="#N/A"/>
    <e v="#N/A"/>
    <e v="#N/A"/>
    <e v="#N/A"/>
    <e v="#N/A"/>
    <e v="#N/A"/>
    <e v="#N/A"/>
    <e v="#N/A"/>
    <e v="#N/A"/>
    <e v="#N/A"/>
  </r>
  <r>
    <x v="7"/>
    <s v="C DISEÑO"/>
    <x v="0"/>
    <x v="2"/>
    <x v="1"/>
    <m/>
    <m/>
    <m/>
    <m/>
    <m/>
    <m/>
    <m/>
    <m/>
    <s v="$E"/>
    <n v="439"/>
    <s v=";'C DISEÑO'!$E$10:$BD$100;14;1)"/>
    <s v=";'C DISEÑO'!$E$10:$BD$100;14;1)"/>
    <s v="=BUSCARV($E439;'C DISEÑO'!$E$10:$BD$100;14;1)"/>
    <m/>
    <e v="#N/A"/>
    <e v="#N/A"/>
    <e v="#N/A"/>
    <e v="#N/A"/>
    <e v="#N/A"/>
    <e v="#N/A"/>
    <e v="#N/A"/>
    <e v="#N/A"/>
    <e v="#N/A"/>
    <e v="#N/A"/>
    <e v="#N/A"/>
    <e v="#N/A"/>
    <e v="#N/A"/>
    <e v="#N/A"/>
  </r>
  <r>
    <x v="7"/>
    <s v="C DISEÑO"/>
    <x v="0"/>
    <x v="2"/>
    <x v="1"/>
    <m/>
    <m/>
    <m/>
    <m/>
    <m/>
    <m/>
    <m/>
    <m/>
    <s v="$E"/>
    <n v="440"/>
    <s v=";'C DISEÑO'!$E$10:$BD$100;14;1)"/>
    <s v=";'C DISEÑO'!$E$10:$BD$100;14;1)"/>
    <s v="=BUSCARV($E440;'C DISEÑO'!$E$10:$BD$100;14;1)"/>
    <m/>
    <e v="#N/A"/>
    <e v="#N/A"/>
    <e v="#N/A"/>
    <e v="#N/A"/>
    <e v="#N/A"/>
    <e v="#N/A"/>
    <e v="#N/A"/>
    <e v="#N/A"/>
    <e v="#N/A"/>
    <e v="#N/A"/>
    <e v="#N/A"/>
    <e v="#N/A"/>
    <e v="#N/A"/>
    <e v="#N/A"/>
  </r>
  <r>
    <x v="7"/>
    <s v="C DISEÑO"/>
    <x v="0"/>
    <x v="2"/>
    <x v="1"/>
    <m/>
    <m/>
    <m/>
    <m/>
    <m/>
    <m/>
    <m/>
    <m/>
    <s v="$E"/>
    <n v="441"/>
    <s v=";'C DISEÑO'!$E$10:$BD$100;14;1)"/>
    <s v=";'C DISEÑO'!$E$10:$BD$100;14;1)"/>
    <s v="=BUSCARV($E441;'C DISEÑO'!$E$10:$BD$100;14;1)"/>
    <m/>
    <e v="#N/A"/>
    <e v="#N/A"/>
    <e v="#N/A"/>
    <e v="#N/A"/>
    <e v="#N/A"/>
    <e v="#N/A"/>
    <e v="#N/A"/>
    <e v="#N/A"/>
    <e v="#N/A"/>
    <e v="#N/A"/>
    <e v="#N/A"/>
    <e v="#N/A"/>
    <e v="#N/A"/>
    <e v="#N/A"/>
  </r>
  <r>
    <x v="7"/>
    <s v="C DISEÑO"/>
    <x v="0"/>
    <x v="2"/>
    <x v="1"/>
    <m/>
    <m/>
    <m/>
    <m/>
    <m/>
    <m/>
    <m/>
    <m/>
    <s v="$E"/>
    <n v="442"/>
    <s v=";'C DISEÑO'!$E$10:$BD$100;14;1)"/>
    <s v=";'C DISEÑO'!$E$10:$BD$100;14;1)"/>
    <s v="=BUSCARV($E442;'C DISEÑO'!$E$10:$BD$100;14;1)"/>
    <m/>
    <e v="#N/A"/>
    <e v="#N/A"/>
    <e v="#N/A"/>
    <e v="#N/A"/>
    <e v="#N/A"/>
    <e v="#N/A"/>
    <e v="#N/A"/>
    <e v="#N/A"/>
    <e v="#N/A"/>
    <e v="#N/A"/>
    <e v="#N/A"/>
    <e v="#N/A"/>
    <e v="#N/A"/>
    <e v="#N/A"/>
  </r>
  <r>
    <x v="8"/>
    <s v="C PREDIAL"/>
    <x v="0"/>
    <x v="27"/>
    <x v="0"/>
    <m/>
    <m/>
    <m/>
    <m/>
    <m/>
    <m/>
    <m/>
    <m/>
    <s v="$E"/>
    <n v="443"/>
    <s v=";'C PREDIAL'!$E$10:$BD$100;14;1)"/>
    <s v=";'C PREDIAL'!$E$10:$BD$100;14;1)"/>
    <s v="=BUSCARV($E443;'C PREDIAL'!$E$10:$BD$100;14;1)"/>
    <m/>
    <s v="Improbable"/>
    <n v="2"/>
    <n v="2"/>
    <s v="Catastrófico"/>
    <n v="20"/>
    <n v="20"/>
    <s v="40_x000a_ALTA"/>
    <s v="Rara vez"/>
    <n v="1"/>
    <n v="1"/>
    <s v="Catastrófico"/>
    <n v="20"/>
    <n v="20"/>
    <s v="20_x000a_MODERADA"/>
  </r>
  <r>
    <x v="8"/>
    <s v="C PREDIAL"/>
    <x v="0"/>
    <x v="28"/>
    <x v="0"/>
    <m/>
    <m/>
    <m/>
    <m/>
    <m/>
    <m/>
    <m/>
    <m/>
    <s v="$E"/>
    <n v="444"/>
    <s v=";'C PREDIAL'!$E$10:$BD$100;14;1)"/>
    <s v=";'C PREDIAL'!$E$10:$BD$100;14;1)"/>
    <s v="=BUSCARV($E444;'C PREDIAL'!$E$10:$BD$100;14;1)"/>
    <m/>
    <s v="Rara vez"/>
    <n v="1"/>
    <n v="1"/>
    <s v="Catastrófico"/>
    <n v="20"/>
    <n v="20"/>
    <s v="20_x000a_MODERADA"/>
    <s v="Rara vez"/>
    <n v="1"/>
    <n v="1"/>
    <s v="Moderado"/>
    <n v="5"/>
    <n v="5"/>
    <s v="5_x000a_BAJA"/>
  </r>
  <r>
    <x v="8"/>
    <s v="C PREDIAL"/>
    <x v="0"/>
    <x v="29"/>
    <x v="0"/>
    <m/>
    <m/>
    <m/>
    <m/>
    <m/>
    <m/>
    <m/>
    <m/>
    <s v="$E"/>
    <n v="445"/>
    <s v=";'C PREDIAL'!$E$10:$BD$100;14;1)"/>
    <s v=";'C PREDIAL'!$E$10:$BD$100;14;1)"/>
    <s v="=BUSCARV($E445;'C PREDIAL'!$E$10:$BD$100;14;1)"/>
    <m/>
    <s v="Rara vez"/>
    <n v="1"/>
    <n v="1"/>
    <s v="Catastrófico"/>
    <n v="20"/>
    <n v="20"/>
    <s v="20_x000a_MODERADA"/>
    <s v="Rara vez"/>
    <n v="1"/>
    <n v="1"/>
    <s v="Moderado"/>
    <n v="5"/>
    <n v="5"/>
    <s v="5_x000a_BAJA"/>
  </r>
  <r>
    <x v="8"/>
    <s v="C PREDIAL"/>
    <x v="0"/>
    <x v="2"/>
    <x v="1"/>
    <m/>
    <m/>
    <m/>
    <m/>
    <m/>
    <m/>
    <m/>
    <m/>
    <s v="$E"/>
    <n v="446"/>
    <s v=";'C PREDIAL'!$E$10:$BD$100;14;1)"/>
    <s v=";'C PREDIAL'!$E$10:$BD$100;14;1)"/>
    <s v="=BUSCARV($E446;'C PREDIAL'!$E$10:$BD$100;14;1)"/>
    <m/>
    <e v="#N/A"/>
    <e v="#N/A"/>
    <e v="#N/A"/>
    <e v="#N/A"/>
    <e v="#N/A"/>
    <e v="#N/A"/>
    <e v="#N/A"/>
    <e v="#N/A"/>
    <e v="#N/A"/>
    <e v="#N/A"/>
    <e v="#N/A"/>
    <e v="#N/A"/>
    <e v="#N/A"/>
    <e v="#N/A"/>
  </r>
  <r>
    <x v="8"/>
    <s v="C PREDIAL"/>
    <x v="0"/>
    <x v="2"/>
    <x v="1"/>
    <m/>
    <m/>
    <m/>
    <m/>
    <m/>
    <m/>
    <m/>
    <m/>
    <s v="$E"/>
    <n v="447"/>
    <s v=";'C PREDIAL'!$E$10:$BD$100;14;1)"/>
    <s v=";'C PREDIAL'!$E$10:$BD$100;14;1)"/>
    <s v="=BUSCARV($E447;'C PREDIAL'!$E$10:$BD$100;14;1)"/>
    <m/>
    <e v="#N/A"/>
    <e v="#N/A"/>
    <e v="#N/A"/>
    <e v="#N/A"/>
    <e v="#N/A"/>
    <e v="#N/A"/>
    <e v="#N/A"/>
    <e v="#N/A"/>
    <e v="#N/A"/>
    <e v="#N/A"/>
    <e v="#N/A"/>
    <e v="#N/A"/>
    <e v="#N/A"/>
    <e v="#N/A"/>
  </r>
  <r>
    <x v="8"/>
    <s v="C PREDIAL"/>
    <x v="0"/>
    <x v="2"/>
    <x v="1"/>
    <m/>
    <m/>
    <m/>
    <m/>
    <m/>
    <m/>
    <m/>
    <m/>
    <s v="$E"/>
    <n v="448"/>
    <s v=";'C PREDIAL'!$E$10:$BD$100;14;1)"/>
    <s v=";'C PREDIAL'!$E$10:$BD$100;14;1)"/>
    <s v="=BUSCARV($E448;'C PREDIAL'!$E$10:$BD$100;14;1)"/>
    <m/>
    <e v="#N/A"/>
    <e v="#N/A"/>
    <e v="#N/A"/>
    <e v="#N/A"/>
    <e v="#N/A"/>
    <e v="#N/A"/>
    <e v="#N/A"/>
    <e v="#N/A"/>
    <e v="#N/A"/>
    <e v="#N/A"/>
    <e v="#N/A"/>
    <e v="#N/A"/>
    <e v="#N/A"/>
    <e v="#N/A"/>
  </r>
  <r>
    <x v="8"/>
    <s v="C PREDIAL"/>
    <x v="0"/>
    <x v="2"/>
    <x v="1"/>
    <m/>
    <m/>
    <m/>
    <m/>
    <m/>
    <m/>
    <m/>
    <m/>
    <s v="$E"/>
    <n v="449"/>
    <s v=";'C PREDIAL'!$E$10:$BD$100;14;1)"/>
    <s v=";'C PREDIAL'!$E$10:$BD$100;14;1)"/>
    <s v="=BUSCARV($E449;'C PREDIAL'!$E$10:$BD$100;14;1)"/>
    <m/>
    <e v="#N/A"/>
    <e v="#N/A"/>
    <e v="#N/A"/>
    <e v="#N/A"/>
    <e v="#N/A"/>
    <e v="#N/A"/>
    <e v="#N/A"/>
    <e v="#N/A"/>
    <e v="#N/A"/>
    <e v="#N/A"/>
    <e v="#N/A"/>
    <e v="#N/A"/>
    <e v="#N/A"/>
    <e v="#N/A"/>
  </r>
  <r>
    <x v="8"/>
    <s v="C PREDIAL"/>
    <x v="0"/>
    <x v="2"/>
    <x v="1"/>
    <m/>
    <m/>
    <m/>
    <m/>
    <m/>
    <m/>
    <m/>
    <m/>
    <s v="$E"/>
    <n v="450"/>
    <s v=";'C PREDIAL'!$E$10:$BD$100;14;1)"/>
    <s v=";'C PREDIAL'!$E$10:$BD$100;14;1)"/>
    <s v="=BUSCARV($E450;'C PREDIAL'!$E$10:$BD$100;14;1)"/>
    <m/>
    <e v="#N/A"/>
    <e v="#N/A"/>
    <e v="#N/A"/>
    <e v="#N/A"/>
    <e v="#N/A"/>
    <e v="#N/A"/>
    <e v="#N/A"/>
    <e v="#N/A"/>
    <e v="#N/A"/>
    <e v="#N/A"/>
    <e v="#N/A"/>
    <e v="#N/A"/>
    <e v="#N/A"/>
    <e v="#N/A"/>
  </r>
  <r>
    <x v="8"/>
    <s v="C PREDIAL"/>
    <x v="0"/>
    <x v="2"/>
    <x v="1"/>
    <m/>
    <m/>
    <m/>
    <m/>
    <m/>
    <m/>
    <m/>
    <m/>
    <s v="$E"/>
    <n v="451"/>
    <s v=";'C PREDIAL'!$E$10:$BD$100;14;1)"/>
    <s v=";'C PREDIAL'!$E$10:$BD$100;14;1)"/>
    <s v="=BUSCARV($E451;'C PREDIAL'!$E$10:$BD$100;14;1)"/>
    <m/>
    <e v="#N/A"/>
    <e v="#N/A"/>
    <e v="#N/A"/>
    <e v="#N/A"/>
    <e v="#N/A"/>
    <e v="#N/A"/>
    <e v="#N/A"/>
    <e v="#N/A"/>
    <e v="#N/A"/>
    <e v="#N/A"/>
    <e v="#N/A"/>
    <e v="#N/A"/>
    <e v="#N/A"/>
    <e v="#N/A"/>
  </r>
  <r>
    <x v="8"/>
    <s v="C PREDIAL"/>
    <x v="0"/>
    <x v="2"/>
    <x v="1"/>
    <m/>
    <m/>
    <m/>
    <m/>
    <m/>
    <m/>
    <m/>
    <m/>
    <s v="$E"/>
    <n v="452"/>
    <s v=";'C PREDIAL'!$E$10:$BD$100;14;1)"/>
    <s v=";'C PREDIAL'!$E$10:$BD$100;14;1)"/>
    <s v="=BUSCARV($E452;'C PREDIAL'!$E$10:$BD$100;14;1)"/>
    <m/>
    <e v="#N/A"/>
    <e v="#N/A"/>
    <e v="#N/A"/>
    <e v="#N/A"/>
    <e v="#N/A"/>
    <e v="#N/A"/>
    <e v="#N/A"/>
    <e v="#N/A"/>
    <e v="#N/A"/>
    <e v="#N/A"/>
    <e v="#N/A"/>
    <e v="#N/A"/>
    <e v="#N/A"/>
    <e v="#N/A"/>
  </r>
  <r>
    <x v="8"/>
    <s v="C PREDIAL"/>
    <x v="0"/>
    <x v="2"/>
    <x v="1"/>
    <m/>
    <m/>
    <m/>
    <m/>
    <m/>
    <m/>
    <m/>
    <m/>
    <s v="$E"/>
    <n v="453"/>
    <s v=";'C PREDIAL'!$E$10:$BD$100;14;1)"/>
    <s v=";'C PREDIAL'!$E$10:$BD$100;14;1)"/>
    <s v="=BUSCARV($E453;'C PREDIAL'!$E$10:$BD$100;14;1)"/>
    <m/>
    <e v="#N/A"/>
    <e v="#N/A"/>
    <e v="#N/A"/>
    <e v="#N/A"/>
    <e v="#N/A"/>
    <e v="#N/A"/>
    <e v="#N/A"/>
    <e v="#N/A"/>
    <e v="#N/A"/>
    <e v="#N/A"/>
    <e v="#N/A"/>
    <e v="#N/A"/>
    <e v="#N/A"/>
    <e v="#N/A"/>
  </r>
  <r>
    <x v="8"/>
    <s v="C PREDIAL"/>
    <x v="0"/>
    <x v="2"/>
    <x v="1"/>
    <m/>
    <m/>
    <m/>
    <m/>
    <m/>
    <m/>
    <m/>
    <m/>
    <s v="$E"/>
    <n v="454"/>
    <s v=";'C PREDIAL'!$E$10:$BD$100;14;1)"/>
    <s v=";'C PREDIAL'!$E$10:$BD$100;14;1)"/>
    <s v="=BUSCARV($E454;'C PREDIAL'!$E$10:$BD$100;14;1)"/>
    <m/>
    <e v="#N/A"/>
    <e v="#N/A"/>
    <e v="#N/A"/>
    <e v="#N/A"/>
    <e v="#N/A"/>
    <e v="#N/A"/>
    <e v="#N/A"/>
    <e v="#N/A"/>
    <e v="#N/A"/>
    <e v="#N/A"/>
    <e v="#N/A"/>
    <e v="#N/A"/>
    <e v="#N/A"/>
    <e v="#N/A"/>
  </r>
  <r>
    <x v="8"/>
    <s v="C PREDIAL"/>
    <x v="0"/>
    <x v="2"/>
    <x v="1"/>
    <m/>
    <m/>
    <m/>
    <m/>
    <m/>
    <m/>
    <m/>
    <m/>
    <s v="$E"/>
    <n v="455"/>
    <s v=";'C PREDIAL'!$E$10:$BD$100;14;1)"/>
    <s v=";'C PREDIAL'!$E$10:$BD$100;14;1)"/>
    <s v="=BUSCARV($E455;'C PREDIAL'!$E$10:$BD$100;14;1)"/>
    <m/>
    <e v="#N/A"/>
    <e v="#N/A"/>
    <e v="#N/A"/>
    <e v="#N/A"/>
    <e v="#N/A"/>
    <e v="#N/A"/>
    <e v="#N/A"/>
    <e v="#N/A"/>
    <e v="#N/A"/>
    <e v="#N/A"/>
    <e v="#N/A"/>
    <e v="#N/A"/>
    <e v="#N/A"/>
    <e v="#N/A"/>
  </r>
  <r>
    <x v="8"/>
    <s v="C PREDIAL"/>
    <x v="0"/>
    <x v="2"/>
    <x v="1"/>
    <m/>
    <m/>
    <m/>
    <m/>
    <m/>
    <m/>
    <m/>
    <m/>
    <s v="$E"/>
    <n v="456"/>
    <s v=";'C PREDIAL'!$E$10:$BD$100;14;1)"/>
    <s v=";'C PREDIAL'!$E$10:$BD$100;14;1)"/>
    <s v="=BUSCARV($E456;'C PREDIAL'!$E$10:$BD$100;14;1)"/>
    <m/>
    <e v="#N/A"/>
    <e v="#N/A"/>
    <e v="#N/A"/>
    <e v="#N/A"/>
    <e v="#N/A"/>
    <e v="#N/A"/>
    <e v="#N/A"/>
    <e v="#N/A"/>
    <e v="#N/A"/>
    <e v="#N/A"/>
    <e v="#N/A"/>
    <e v="#N/A"/>
    <e v="#N/A"/>
    <e v="#N/A"/>
  </r>
  <r>
    <x v="9"/>
    <s v="C OBRAS"/>
    <x v="0"/>
    <x v="30"/>
    <x v="0"/>
    <m/>
    <m/>
    <m/>
    <m/>
    <m/>
    <m/>
    <m/>
    <m/>
    <s v="$E"/>
    <n v="457"/>
    <s v=";'C OBRAS'!$E$10:$BD$100;14;1)"/>
    <s v=";'C OBRAS'!$E$10:$BD$100;14;1)"/>
    <s v="=BUSCARV($E457;'C OBRAS'!$E$10:$BD$100;14;1)"/>
    <m/>
    <s v="Posible"/>
    <n v="3"/>
    <n v="3"/>
    <s v="Catastrófico"/>
    <n v="20"/>
    <n v="20"/>
    <s v="60_x000a_EXTREMO"/>
    <s v="Rara vez"/>
    <n v="1"/>
    <n v="1"/>
    <s v="Catastrófico"/>
    <n v="20"/>
    <n v="20"/>
    <s v="20_x000a_MODERADA"/>
  </r>
  <r>
    <x v="9"/>
    <s v="C OBRAS"/>
    <x v="0"/>
    <x v="31"/>
    <x v="0"/>
    <m/>
    <m/>
    <m/>
    <m/>
    <m/>
    <m/>
    <m/>
    <m/>
    <s v="$E"/>
    <n v="458"/>
    <s v=";'C OBRAS'!$E$10:$BD$100;14;1)"/>
    <s v=";'C OBRAS'!$E$10:$BD$100;14;1)"/>
    <s v="=BUSCARV($E458;'C OBRAS'!$E$10:$BD$100;14;1)"/>
    <m/>
    <s v="Rara vez"/>
    <n v="1"/>
    <n v="1"/>
    <s v="Catastrófico"/>
    <n v="20"/>
    <n v="20"/>
    <s v="20_x000a_MODERADA"/>
    <s v="Rara vez"/>
    <n v="1"/>
    <n v="1"/>
    <s v="Catastrófico"/>
    <n v="20"/>
    <n v="20"/>
    <s v="20_x000a_MODERADA"/>
  </r>
  <r>
    <x v="9"/>
    <s v="C OBRAS"/>
    <x v="0"/>
    <x v="32"/>
    <x v="0"/>
    <m/>
    <m/>
    <m/>
    <m/>
    <m/>
    <m/>
    <m/>
    <m/>
    <s v="$E"/>
    <n v="459"/>
    <s v=";'C OBRAS'!$E$10:$BD$100;14;1)"/>
    <s v=";'C OBRAS'!$E$10:$BD$100;14;1)"/>
    <s v="=BUSCARV($E459;'C OBRAS'!$E$10:$BD$100;14;1)"/>
    <m/>
    <s v="Rara vez"/>
    <n v="1"/>
    <n v="1"/>
    <s v="Catastrófico"/>
    <n v="20"/>
    <n v="20"/>
    <s v="20_x000a_MODERADA"/>
    <s v="Rara vez"/>
    <n v="1"/>
    <n v="1"/>
    <s v="Catastrófico"/>
    <n v="20"/>
    <n v="20"/>
    <s v="20_x000a_MODERADA"/>
  </r>
  <r>
    <x v="9"/>
    <s v="C OBRAS"/>
    <x v="0"/>
    <x v="33"/>
    <x v="0"/>
    <m/>
    <m/>
    <m/>
    <m/>
    <m/>
    <m/>
    <m/>
    <m/>
    <s v="$E"/>
    <n v="460"/>
    <s v=";'C OBRAS'!$E$10:$BD$100;14;1)"/>
    <s v=";'C OBRAS'!$E$10:$BD$100;14;1)"/>
    <s v="=BUSCARV($E460;'C OBRAS'!$E$10:$BD$100;14;1)"/>
    <m/>
    <s v="Rara vez"/>
    <n v="1"/>
    <n v="1"/>
    <s v="Catastrófico"/>
    <n v="20"/>
    <n v="20"/>
    <s v="20_x000a_MODERADA"/>
    <s v="Rara vez"/>
    <n v="1"/>
    <n v="1"/>
    <s v="Catastrófico"/>
    <n v="20"/>
    <n v="20"/>
    <s v="20_x000a_MODERADA"/>
  </r>
  <r>
    <x v="9"/>
    <s v="C OBRAS"/>
    <x v="0"/>
    <x v="34"/>
    <x v="0"/>
    <m/>
    <m/>
    <m/>
    <m/>
    <m/>
    <m/>
    <m/>
    <m/>
    <s v="$E"/>
    <n v="461"/>
    <s v=";'C OBRAS'!$E$10:$BD$100;14;1)"/>
    <s v=";'C OBRAS'!$E$10:$BD$100;14;1)"/>
    <s v="=BUSCARV($E461;'C OBRAS'!$E$10:$BD$100;14;1)"/>
    <m/>
    <s v="Posible"/>
    <n v="3"/>
    <n v="3"/>
    <s v="Catastrófico"/>
    <n v="20"/>
    <n v="20"/>
    <s v="60_x000a_EXTREMO"/>
    <s v="Rara vez"/>
    <n v="1"/>
    <n v="1"/>
    <s v="Catastrófico"/>
    <n v="20"/>
    <n v="20"/>
    <s v="20_x000a_MODERADA"/>
  </r>
  <r>
    <x v="9"/>
    <s v="C OBRAS"/>
    <x v="0"/>
    <x v="2"/>
    <x v="1"/>
    <m/>
    <m/>
    <m/>
    <m/>
    <m/>
    <m/>
    <m/>
    <m/>
    <s v="$E"/>
    <n v="462"/>
    <s v=";'C OBRAS'!$E$10:$BD$100;14;1)"/>
    <s v=";'C OBRAS'!$E$10:$BD$100;14;1)"/>
    <s v="=BUSCARV($E462;'C OBRAS'!$E$10:$BD$100;14;1)"/>
    <m/>
    <e v="#N/A"/>
    <e v="#N/A"/>
    <e v="#N/A"/>
    <e v="#N/A"/>
    <e v="#N/A"/>
    <e v="#N/A"/>
    <e v="#N/A"/>
    <e v="#N/A"/>
    <e v="#N/A"/>
    <e v="#N/A"/>
    <e v="#N/A"/>
    <e v="#N/A"/>
    <e v="#N/A"/>
    <e v="#N/A"/>
  </r>
  <r>
    <x v="9"/>
    <s v="C OBRAS"/>
    <x v="0"/>
    <x v="2"/>
    <x v="1"/>
    <m/>
    <m/>
    <m/>
    <m/>
    <m/>
    <m/>
    <m/>
    <m/>
    <s v="$E"/>
    <n v="463"/>
    <s v=";'C OBRAS'!$E$10:$BD$100;14;1)"/>
    <s v=";'C OBRAS'!$E$10:$BD$100;14;1)"/>
    <s v="=BUSCARV($E463;'C OBRAS'!$E$10:$BD$100;14;1)"/>
    <m/>
    <e v="#N/A"/>
    <e v="#N/A"/>
    <e v="#N/A"/>
    <e v="#N/A"/>
    <e v="#N/A"/>
    <e v="#N/A"/>
    <e v="#N/A"/>
    <e v="#N/A"/>
    <e v="#N/A"/>
    <e v="#N/A"/>
    <e v="#N/A"/>
    <e v="#N/A"/>
    <e v="#N/A"/>
    <e v="#N/A"/>
  </r>
  <r>
    <x v="9"/>
    <s v="C OBRAS"/>
    <x v="0"/>
    <x v="2"/>
    <x v="1"/>
    <m/>
    <m/>
    <m/>
    <m/>
    <m/>
    <m/>
    <m/>
    <m/>
    <s v="$E"/>
    <n v="464"/>
    <s v=";'C OBRAS'!$E$10:$BD$100;14;1)"/>
    <s v=";'C OBRAS'!$E$10:$BD$100;14;1)"/>
    <s v="=BUSCARV($E464;'C OBRAS'!$E$10:$BD$100;14;1)"/>
    <m/>
    <e v="#N/A"/>
    <e v="#N/A"/>
    <e v="#N/A"/>
    <e v="#N/A"/>
    <e v="#N/A"/>
    <e v="#N/A"/>
    <e v="#N/A"/>
    <e v="#N/A"/>
    <e v="#N/A"/>
    <e v="#N/A"/>
    <e v="#N/A"/>
    <e v="#N/A"/>
    <e v="#N/A"/>
    <e v="#N/A"/>
  </r>
  <r>
    <x v="9"/>
    <s v="C OBRAS"/>
    <x v="0"/>
    <x v="2"/>
    <x v="1"/>
    <m/>
    <m/>
    <m/>
    <m/>
    <m/>
    <m/>
    <m/>
    <m/>
    <s v="$E"/>
    <n v="465"/>
    <s v=";'C OBRAS'!$E$10:$BD$100;14;1)"/>
    <s v=";'C OBRAS'!$E$10:$BD$100;14;1)"/>
    <s v="=BUSCARV($E465;'C OBRAS'!$E$10:$BD$100;14;1)"/>
    <m/>
    <e v="#N/A"/>
    <e v="#N/A"/>
    <e v="#N/A"/>
    <e v="#N/A"/>
    <e v="#N/A"/>
    <e v="#N/A"/>
    <e v="#N/A"/>
    <e v="#N/A"/>
    <e v="#N/A"/>
    <e v="#N/A"/>
    <e v="#N/A"/>
    <e v="#N/A"/>
    <e v="#N/A"/>
    <e v="#N/A"/>
  </r>
  <r>
    <x v="9"/>
    <s v="C OBRAS"/>
    <x v="0"/>
    <x v="2"/>
    <x v="1"/>
    <m/>
    <m/>
    <m/>
    <m/>
    <m/>
    <m/>
    <m/>
    <m/>
    <s v="$E"/>
    <n v="466"/>
    <s v=";'C OBRAS'!$E$10:$BD$100;14;1)"/>
    <s v=";'C OBRAS'!$E$10:$BD$100;14;1)"/>
    <s v="=BUSCARV($E466;'C OBRAS'!$E$10:$BD$100;14;1)"/>
    <m/>
    <e v="#N/A"/>
    <e v="#N/A"/>
    <e v="#N/A"/>
    <e v="#N/A"/>
    <e v="#N/A"/>
    <e v="#N/A"/>
    <e v="#N/A"/>
    <e v="#N/A"/>
    <e v="#N/A"/>
    <e v="#N/A"/>
    <e v="#N/A"/>
    <e v="#N/A"/>
    <e v="#N/A"/>
    <e v="#N/A"/>
  </r>
  <r>
    <x v="9"/>
    <s v="C OBRAS"/>
    <x v="0"/>
    <x v="2"/>
    <x v="1"/>
    <m/>
    <m/>
    <m/>
    <m/>
    <m/>
    <m/>
    <m/>
    <m/>
    <s v="$E"/>
    <n v="467"/>
    <s v=";'C OBRAS'!$E$10:$BD$100;14;1)"/>
    <s v=";'C OBRAS'!$E$10:$BD$100;14;1)"/>
    <s v="=BUSCARV($E467;'C OBRAS'!$E$10:$BD$100;14;1)"/>
    <m/>
    <e v="#N/A"/>
    <e v="#N/A"/>
    <e v="#N/A"/>
    <e v="#N/A"/>
    <e v="#N/A"/>
    <e v="#N/A"/>
    <e v="#N/A"/>
    <e v="#N/A"/>
    <e v="#N/A"/>
    <e v="#N/A"/>
    <e v="#N/A"/>
    <e v="#N/A"/>
    <e v="#N/A"/>
    <e v="#N/A"/>
  </r>
  <r>
    <x v="9"/>
    <s v="C OBRAS"/>
    <x v="0"/>
    <x v="2"/>
    <x v="1"/>
    <m/>
    <m/>
    <m/>
    <m/>
    <m/>
    <m/>
    <m/>
    <m/>
    <s v="$E"/>
    <n v="468"/>
    <s v=";'C OBRAS'!$E$10:$BD$100;14;1)"/>
    <s v=";'C OBRAS'!$E$10:$BD$100;14;1)"/>
    <s v="=BUSCARV($E468;'C OBRAS'!$E$10:$BD$100;14;1)"/>
    <m/>
    <e v="#N/A"/>
    <e v="#N/A"/>
    <e v="#N/A"/>
    <e v="#N/A"/>
    <e v="#N/A"/>
    <e v="#N/A"/>
    <e v="#N/A"/>
    <e v="#N/A"/>
    <e v="#N/A"/>
    <e v="#N/A"/>
    <e v="#N/A"/>
    <e v="#N/A"/>
    <e v="#N/A"/>
    <e v="#N/A"/>
  </r>
  <r>
    <x v="10"/>
    <s v="C DTM"/>
    <x v="0"/>
    <x v="35"/>
    <x v="0"/>
    <m/>
    <m/>
    <m/>
    <m/>
    <m/>
    <m/>
    <m/>
    <m/>
    <s v="$E"/>
    <n v="469"/>
    <s v=";'C DTM'!$E$10:$BD$100;14;1)"/>
    <s v=";'C DTM'!$E$10:$BD$100;14;1)"/>
    <s v="=BUSCARV($E469;'C DTM'!$E$10:$BD$100;14;1)"/>
    <s v="difer"/>
    <s v="Rara vez"/>
    <n v="1"/>
    <n v="1"/>
    <s v="Mayor"/>
    <n v="10"/>
    <n v="10"/>
    <s v="10_x000a_BAJA"/>
    <s v="Rara vez"/>
    <n v="1"/>
    <n v="1"/>
    <s v="Moderado"/>
    <n v="5"/>
    <n v="5"/>
    <s v="5_x000a_BAJA"/>
  </r>
  <r>
    <x v="10"/>
    <s v="C DTM"/>
    <x v="0"/>
    <x v="36"/>
    <x v="0"/>
    <m/>
    <m/>
    <m/>
    <m/>
    <m/>
    <m/>
    <m/>
    <m/>
    <s v="$E"/>
    <n v="470"/>
    <s v=";'C DTM'!$E$10:$BD$100;14;1)"/>
    <s v=";'C DTM'!$E$10:$BD$100;14;1)"/>
    <s v="=BUSCARV($E470;'C DTM'!$E$10:$BD$100;14;1)"/>
    <s v="difer"/>
    <s v="Probable"/>
    <n v="4"/>
    <n v="4"/>
    <s v="Mayor"/>
    <n v="10"/>
    <n v="10"/>
    <s v="40_x000a_ALTA"/>
    <s v="Improbable"/>
    <n v="2"/>
    <n v="2"/>
    <s v="Moderado"/>
    <n v="5"/>
    <n v="5"/>
    <s v="10_x000a_BAJA"/>
  </r>
  <r>
    <x v="10"/>
    <s v="C DTM"/>
    <x v="0"/>
    <x v="37"/>
    <x v="0"/>
    <m/>
    <m/>
    <m/>
    <m/>
    <m/>
    <m/>
    <m/>
    <m/>
    <s v="$E"/>
    <n v="471"/>
    <s v=";'C DTM'!$E$10:$BD$100;14;1)"/>
    <s v=";'C DTM'!$E$10:$BD$100;14;1)"/>
    <s v="=BUSCARV($E471;'C DTM'!$E$10:$BD$100;14;1)"/>
    <s v="difer"/>
    <s v="Improbable"/>
    <n v="2"/>
    <n v="2"/>
    <s v="Mayor"/>
    <n v="10"/>
    <n v="10"/>
    <s v="20_x000a_MODERADA"/>
    <s v="Rara vez"/>
    <n v="1"/>
    <n v="1"/>
    <s v="Moderado"/>
    <n v="5"/>
    <n v="5"/>
    <s v="5_x000a_BAJA"/>
  </r>
  <r>
    <x v="10"/>
    <s v="C DTM"/>
    <x v="0"/>
    <x v="38"/>
    <x v="0"/>
    <m/>
    <m/>
    <m/>
    <m/>
    <m/>
    <m/>
    <m/>
    <m/>
    <s v="$E"/>
    <n v="472"/>
    <s v=";'C DTM'!$E$10:$BD$100;14;1)"/>
    <s v=";'C DTM'!$E$10:$BD$100;14;1)"/>
    <s v="=BUSCARV($E472;'C DTM'!$E$10:$BD$100;14;1)"/>
    <s v="difer"/>
    <s v="Improbable"/>
    <n v="2"/>
    <n v="2"/>
    <s v="Catastrófico"/>
    <n v="20"/>
    <n v="20"/>
    <s v="40_x000a_ALTA"/>
    <s v="Rara vez"/>
    <n v="1"/>
    <n v="1"/>
    <s v="Moderado"/>
    <n v="5"/>
    <n v="5"/>
    <s v="5_x000a_BAJA"/>
  </r>
  <r>
    <x v="10"/>
    <s v="C DTM"/>
    <x v="0"/>
    <x v="39"/>
    <x v="0"/>
    <m/>
    <m/>
    <m/>
    <m/>
    <m/>
    <m/>
    <m/>
    <m/>
    <s v="$E"/>
    <n v="473"/>
    <s v=";'C DTM'!$E$10:$BD$100;14;1)"/>
    <s v=";'C DTM'!$E$10:$BD$100;14;1)"/>
    <s v="=BUSCARV($E473;'C DTM'!$E$10:$BD$100;14;1)"/>
    <s v="difer"/>
    <s v="Probable"/>
    <n v="4"/>
    <n v="4"/>
    <s v="Mayor"/>
    <n v="10"/>
    <n v="10"/>
    <s v="40_x000a_ALTA"/>
    <s v="Improbable"/>
    <n v="2"/>
    <n v="2"/>
    <s v="Moderado"/>
    <n v="5"/>
    <n v="5"/>
    <s v="10_x000a_BAJA"/>
  </r>
  <r>
    <x v="11"/>
    <s v="C DTAI"/>
    <x v="0"/>
    <x v="40"/>
    <x v="0"/>
    <m/>
    <m/>
    <m/>
    <m/>
    <m/>
    <m/>
    <m/>
    <m/>
    <s v="$E"/>
    <n v="474"/>
    <s v=";'C DTAI'!$E$10:$BD$100;14;1)"/>
    <s v=";'C DTAI'!$E$10:$BD$100;14;1)"/>
    <s v="=BUSCARV($E474;'C DTAI'!$E$10:$BD$100;14;1)"/>
    <m/>
    <s v="Posible"/>
    <n v="3"/>
    <n v="3"/>
    <s v="Moderado"/>
    <n v="5"/>
    <n v="5"/>
    <s v="15_x000a_MDOERADA"/>
    <s v="Rara vez"/>
    <n v="1"/>
    <n v="1"/>
    <s v="Moderado"/>
    <n v="5"/>
    <n v="5"/>
    <s v="5_x000a_BAJA"/>
  </r>
  <r>
    <x v="11"/>
    <s v="C DTAI"/>
    <x v="0"/>
    <x v="41"/>
    <x v="0"/>
    <m/>
    <m/>
    <m/>
    <m/>
    <m/>
    <m/>
    <m/>
    <m/>
    <s v="$E"/>
    <n v="475"/>
    <s v=";'C DTAI'!$E$10:$BD$100;14;1)"/>
    <s v=";'C DTAI'!$E$10:$BD$100;14;1)"/>
    <s v="=BUSCARV($E475;'C DTAI'!$E$10:$BD$100;14;1)"/>
    <m/>
    <s v="Posible"/>
    <n v="3"/>
    <n v="3"/>
    <s v="Moderado"/>
    <n v="5"/>
    <n v="5"/>
    <s v="15_x000a_MDOERADA"/>
    <s v="Rara vez"/>
    <n v="1"/>
    <n v="1"/>
    <s v="Moderado"/>
    <n v="5"/>
    <n v="5"/>
    <s v="5_x000a_BAJA"/>
  </r>
  <r>
    <x v="11"/>
    <s v="C DTAI"/>
    <x v="0"/>
    <x v="42"/>
    <x v="0"/>
    <m/>
    <m/>
    <m/>
    <m/>
    <m/>
    <m/>
    <m/>
    <m/>
    <s v="$E"/>
    <n v="476"/>
    <s v=";'C DTAI'!$E$10:$BD$100;14;1)"/>
    <s v=";'C DTAI'!$E$10:$BD$100;14;1)"/>
    <s v="=BUSCARV($E476;'C DTAI'!$E$10:$BD$100;14;1)"/>
    <m/>
    <s v="Posible"/>
    <n v="3"/>
    <n v="3"/>
    <s v="Moderado"/>
    <n v="5"/>
    <n v="5"/>
    <s v="15_x000a_MDOERADA"/>
    <s v="Rara vez"/>
    <n v="1"/>
    <n v="1"/>
    <s v="Moderado"/>
    <n v="5"/>
    <n v="5"/>
    <s v="5_x000a_BAJA"/>
  </r>
  <r>
    <x v="11"/>
    <s v="C DTAI"/>
    <x v="0"/>
    <x v="43"/>
    <x v="0"/>
    <m/>
    <m/>
    <m/>
    <m/>
    <m/>
    <m/>
    <m/>
    <m/>
    <s v="$E"/>
    <n v="477"/>
    <s v=";'C DTAI'!$E$10:$BD$100;14;1)"/>
    <s v=";'C DTAI'!$E$10:$BD$100;14;1)"/>
    <s v="=BUSCARV($E477;'C DTAI'!$E$10:$BD$100;14;1)"/>
    <m/>
    <s v="Posible"/>
    <n v="3"/>
    <n v="3"/>
    <s v="Moderado"/>
    <n v="5"/>
    <n v="5"/>
    <s v="15_x000a_MDOERADA"/>
    <s v="Rara vez"/>
    <n v="1"/>
    <n v="1"/>
    <s v="Moderado"/>
    <n v="5"/>
    <n v="5"/>
    <s v="5_x000a_BAJA"/>
  </r>
  <r>
    <x v="11"/>
    <s v="C DTAI"/>
    <x v="0"/>
    <x v="44"/>
    <x v="0"/>
    <m/>
    <m/>
    <m/>
    <m/>
    <m/>
    <m/>
    <m/>
    <m/>
    <s v="$E"/>
    <n v="478"/>
    <s v=";'C DTAI'!$E$10:$BD$100;14;1)"/>
    <s v=";'C DTAI'!$E$10:$BD$100;14;1)"/>
    <s v="=BUSCARV($E478;'C DTAI'!$E$10:$BD$100;14;1)"/>
    <m/>
    <s v="Posible"/>
    <n v="3"/>
    <n v="3"/>
    <s v="Moderado"/>
    <n v="5"/>
    <n v="5"/>
    <s v="15_x000a_MDOERADA"/>
    <s v="Rara vez"/>
    <n v="1"/>
    <n v="1"/>
    <s v="Moderado"/>
    <n v="5"/>
    <n v="5"/>
    <s v="5_x000a_BAJA"/>
  </r>
  <r>
    <x v="11"/>
    <s v="C DTAI"/>
    <x v="0"/>
    <x v="45"/>
    <x v="0"/>
    <m/>
    <m/>
    <m/>
    <m/>
    <m/>
    <m/>
    <m/>
    <m/>
    <s v="$E"/>
    <n v="479"/>
    <s v=";'C DTAI'!$E$10:$BD$100;14;1)"/>
    <s v=";'C DTAI'!$E$10:$BD$100;14;1)"/>
    <s v="=BUSCARV($E479;'C DTAI'!$E$10:$BD$100;14;1)"/>
    <m/>
    <s v="Posible"/>
    <n v="3"/>
    <n v="3"/>
    <s v="Moderado"/>
    <n v="5"/>
    <n v="5"/>
    <s v="15_x000a_MDOERADA"/>
    <s v="Improbable"/>
    <n v="2"/>
    <n v="2"/>
    <s v="Moderado"/>
    <n v="5"/>
    <n v="5"/>
    <s v="10_x000a_BAJA"/>
  </r>
  <r>
    <x v="10"/>
    <m/>
    <x v="0"/>
    <x v="2"/>
    <x v="1"/>
    <m/>
    <m/>
    <m/>
    <m/>
    <m/>
    <m/>
    <m/>
    <m/>
    <s v="$E"/>
    <n v="480"/>
    <s v=";''!$E$10:$BD$100;14;1)"/>
    <s v=";'C DTM'!$E$10:$BD$100;14;1)"/>
    <s v="=BUSCARV($E480;'C DTM'!$E$10:$BD$100;14;1)"/>
    <s v="difer"/>
    <e v="#N/A"/>
    <e v="#N/A"/>
    <e v="#N/A"/>
    <e v="#N/A"/>
    <e v="#N/A"/>
    <e v="#N/A"/>
    <e v="#N/A"/>
    <e v="#N/A"/>
    <e v="#N/A"/>
    <e v="#N/A"/>
    <e v="#N/A"/>
    <e v="#N/A"/>
    <e v="#N/A"/>
    <e v="#N/A"/>
  </r>
  <r>
    <x v="10"/>
    <m/>
    <x v="0"/>
    <x v="2"/>
    <x v="1"/>
    <m/>
    <m/>
    <m/>
    <m/>
    <m/>
    <m/>
    <m/>
    <m/>
    <s v="$E"/>
    <n v="481"/>
    <s v=";''!$E$10:$BD$100;14;1)"/>
    <s v=";'C DTM'!$E$10:$BD$100;14;1)"/>
    <s v="=BUSCARV($E481;'C DTM'!$E$10:$BD$100;14;1)"/>
    <s v="difer"/>
    <e v="#N/A"/>
    <e v="#N/A"/>
    <e v="#N/A"/>
    <e v="#N/A"/>
    <e v="#N/A"/>
    <e v="#N/A"/>
    <e v="#N/A"/>
    <e v="#N/A"/>
    <e v="#N/A"/>
    <e v="#N/A"/>
    <e v="#N/A"/>
    <e v="#N/A"/>
    <e v="#N/A"/>
    <e v="#N/A"/>
  </r>
  <r>
    <x v="10"/>
    <m/>
    <x v="0"/>
    <x v="2"/>
    <x v="1"/>
    <m/>
    <m/>
    <m/>
    <m/>
    <m/>
    <m/>
    <m/>
    <m/>
    <s v="$E"/>
    <n v="482"/>
    <s v=";''!$E$10:$BD$100;14;1)"/>
    <s v=";'C DTM'!$E$10:$BD$100;14;1)"/>
    <s v="=BUSCARV($E482;'C DTM'!$E$10:$BD$100;14;1)"/>
    <s v="difer"/>
    <e v="#N/A"/>
    <e v="#N/A"/>
    <e v="#N/A"/>
    <e v="#N/A"/>
    <e v="#N/A"/>
    <e v="#N/A"/>
    <e v="#N/A"/>
    <e v="#N/A"/>
    <e v="#N/A"/>
    <e v="#N/A"/>
    <e v="#N/A"/>
    <e v="#N/A"/>
    <e v="#N/A"/>
    <e v="#N/A"/>
  </r>
  <r>
    <x v="10"/>
    <m/>
    <x v="0"/>
    <x v="2"/>
    <x v="1"/>
    <m/>
    <m/>
    <m/>
    <m/>
    <m/>
    <m/>
    <m/>
    <m/>
    <s v="$E"/>
    <n v="483"/>
    <s v=";''!$E$10:$BD$100;14;1)"/>
    <s v=";'C DTM'!$E$10:$BD$100;14;1)"/>
    <s v="=BUSCARV($E483;'C DTM'!$E$10:$BD$100;14;1)"/>
    <s v="difer"/>
    <e v="#N/A"/>
    <e v="#N/A"/>
    <e v="#N/A"/>
    <e v="#N/A"/>
    <e v="#N/A"/>
    <e v="#N/A"/>
    <e v="#N/A"/>
    <e v="#N/A"/>
    <e v="#N/A"/>
    <e v="#N/A"/>
    <e v="#N/A"/>
    <e v="#N/A"/>
    <e v="#N/A"/>
    <e v="#N/A"/>
  </r>
  <r>
    <x v="10"/>
    <m/>
    <x v="0"/>
    <x v="2"/>
    <x v="1"/>
    <m/>
    <m/>
    <m/>
    <m/>
    <m/>
    <m/>
    <m/>
    <m/>
    <s v="$E"/>
    <n v="484"/>
    <s v=";''!$E$10:$BD$100;14;1)"/>
    <s v=";'C DTM'!$E$10:$BD$100;14;1)"/>
    <s v="=BUSCARV($E484;'C DTM'!$E$10:$BD$100;14;1)"/>
    <s v="difer"/>
    <e v="#N/A"/>
    <e v="#N/A"/>
    <e v="#N/A"/>
    <e v="#N/A"/>
    <e v="#N/A"/>
    <e v="#N/A"/>
    <e v="#N/A"/>
    <e v="#N/A"/>
    <e v="#N/A"/>
    <e v="#N/A"/>
    <e v="#N/A"/>
    <e v="#N/A"/>
    <e v="#N/A"/>
    <e v="#N/A"/>
  </r>
  <r>
    <x v="10"/>
    <m/>
    <x v="0"/>
    <x v="2"/>
    <x v="1"/>
    <m/>
    <m/>
    <m/>
    <m/>
    <m/>
    <m/>
    <m/>
    <m/>
    <s v="$E"/>
    <n v="485"/>
    <s v=";''!$E$10:$BD$100;14;1)"/>
    <s v=";'C DTM'!$E$10:$BD$100;14;1)"/>
    <s v="=BUSCARV($E485;'C DTM'!$E$10:$BD$100;14;1)"/>
    <s v="difer"/>
    <e v="#N/A"/>
    <e v="#N/A"/>
    <e v="#N/A"/>
    <e v="#N/A"/>
    <e v="#N/A"/>
    <e v="#N/A"/>
    <e v="#N/A"/>
    <e v="#N/A"/>
    <e v="#N/A"/>
    <e v="#N/A"/>
    <e v="#N/A"/>
    <e v="#N/A"/>
    <e v="#N/A"/>
    <e v="#N/A"/>
  </r>
  <r>
    <x v="10"/>
    <m/>
    <x v="0"/>
    <x v="2"/>
    <x v="1"/>
    <m/>
    <m/>
    <m/>
    <m/>
    <m/>
    <m/>
    <m/>
    <m/>
    <s v="$E"/>
    <n v="486"/>
    <s v=";''!$E$10:$BD$100;14;1)"/>
    <s v=";'C DTM'!$E$10:$BD$100;14;1)"/>
    <s v="=BUSCARV($E486;'C DTM'!$E$10:$BD$100;14;1)"/>
    <s v="difer"/>
    <e v="#N/A"/>
    <e v="#N/A"/>
    <e v="#N/A"/>
    <e v="#N/A"/>
    <e v="#N/A"/>
    <e v="#N/A"/>
    <e v="#N/A"/>
    <e v="#N/A"/>
    <e v="#N/A"/>
    <e v="#N/A"/>
    <e v="#N/A"/>
    <e v="#N/A"/>
    <e v="#N/A"/>
    <e v="#N/A"/>
  </r>
  <r>
    <x v="10"/>
    <m/>
    <x v="0"/>
    <x v="2"/>
    <x v="1"/>
    <m/>
    <m/>
    <m/>
    <m/>
    <m/>
    <m/>
    <m/>
    <m/>
    <s v="$E"/>
    <n v="487"/>
    <s v=";''!$E$10:$BD$100;14;1)"/>
    <s v=";'C DTM'!$E$10:$BD$100;14;1)"/>
    <s v="=BUSCARV($E487;'C DTM'!$E$10:$BD$100;14;1)"/>
    <s v="difer"/>
    <e v="#N/A"/>
    <e v="#N/A"/>
    <e v="#N/A"/>
    <e v="#N/A"/>
    <e v="#N/A"/>
    <e v="#N/A"/>
    <e v="#N/A"/>
    <e v="#N/A"/>
    <e v="#N/A"/>
    <e v="#N/A"/>
    <e v="#N/A"/>
    <e v="#N/A"/>
    <e v="#N/A"/>
    <e v="#N/A"/>
  </r>
  <r>
    <x v="10"/>
    <m/>
    <x v="0"/>
    <x v="2"/>
    <x v="1"/>
    <m/>
    <m/>
    <m/>
    <m/>
    <m/>
    <m/>
    <m/>
    <m/>
    <s v="$E"/>
    <n v="488"/>
    <s v=";''!$E$10:$BD$100;14;1)"/>
    <s v=";'C DTM'!$E$10:$BD$100;14;1)"/>
    <s v="=BUSCARV($E488;'C DTM'!$E$10:$BD$100;14;1)"/>
    <s v="difer"/>
    <e v="#N/A"/>
    <e v="#N/A"/>
    <e v="#N/A"/>
    <e v="#N/A"/>
    <e v="#N/A"/>
    <e v="#N/A"/>
    <e v="#N/A"/>
    <e v="#N/A"/>
    <e v="#N/A"/>
    <e v="#N/A"/>
    <e v="#N/A"/>
    <e v="#N/A"/>
    <e v="#N/A"/>
    <e v="#N/A"/>
  </r>
  <r>
    <x v="12"/>
    <s v="C CONTRACTUAL"/>
    <x v="0"/>
    <x v="46"/>
    <x v="0"/>
    <m/>
    <m/>
    <m/>
    <m/>
    <m/>
    <m/>
    <m/>
    <m/>
    <s v="$E"/>
    <n v="489"/>
    <s v=";'C CONTRACTUAL'!$E$10:$BD$100;14;1)"/>
    <s v=";'C CONTRACTUAL'!$E$10:$BD$100;14;1)"/>
    <s v="=BUSCARV($E489;'C CONTRACTUAL'!$E$10:$BD$100;14;1)"/>
    <m/>
    <s v="Rara vez"/>
    <n v="1"/>
    <n v="1"/>
    <s v="Mayor"/>
    <n v="10"/>
    <n v="10"/>
    <s v="10_x000a_BAJA"/>
    <s v="Rara vez"/>
    <n v="1"/>
    <n v="1"/>
    <s v="Mayor"/>
    <n v="10"/>
    <n v="10"/>
    <s v="10_x000a_BAJA"/>
  </r>
  <r>
    <x v="12"/>
    <s v="C CONTRACTUAL"/>
    <x v="0"/>
    <x v="2"/>
    <x v="1"/>
    <m/>
    <m/>
    <m/>
    <m/>
    <m/>
    <m/>
    <m/>
    <m/>
    <s v="$E"/>
    <n v="490"/>
    <s v=";'C CONTRACTUAL'!$E$10:$BD$100;14;1)"/>
    <s v=";'C CONTRACTUAL'!$E$10:$BD$100;14;1)"/>
    <s v="=BUSCARV($E490;'C CONTRACTUAL'!$E$10:$BD$100;14;1)"/>
    <m/>
    <e v="#N/A"/>
    <e v="#N/A"/>
    <e v="#N/A"/>
    <e v="#N/A"/>
    <e v="#N/A"/>
    <e v="#N/A"/>
    <e v="#N/A"/>
    <e v="#N/A"/>
    <e v="#N/A"/>
    <e v="#N/A"/>
    <e v="#N/A"/>
    <e v="#N/A"/>
    <e v="#N/A"/>
    <e v="#N/A"/>
  </r>
  <r>
    <x v="12"/>
    <s v="C CONTRACTUAL"/>
    <x v="0"/>
    <x v="47"/>
    <x v="0"/>
    <m/>
    <m/>
    <m/>
    <m/>
    <m/>
    <m/>
    <m/>
    <m/>
    <s v="$E"/>
    <n v="491"/>
    <s v=";'C CONTRACTUAL'!$E$10:$BD$100;14;1)"/>
    <s v=";'C CONTRACTUAL'!$E$10:$BD$100;14;1)"/>
    <s v="=BUSCARV($E491;'C CONTRACTUAL'!$E$10:$BD$100;14;1)"/>
    <m/>
    <s v="Rara vez"/>
    <n v="1"/>
    <n v="1"/>
    <s v="Mayor"/>
    <n v="10"/>
    <n v="10"/>
    <s v="10_x000a_BAJA"/>
    <s v="Rara vez"/>
    <n v="1"/>
    <n v="1"/>
    <s v="Mayor"/>
    <n v="10"/>
    <n v="10"/>
    <s v="10_x000a_BAJA"/>
  </r>
  <r>
    <x v="12"/>
    <s v="C CONTRACTUAL"/>
    <x v="0"/>
    <x v="48"/>
    <x v="0"/>
    <m/>
    <m/>
    <m/>
    <m/>
    <m/>
    <m/>
    <m/>
    <m/>
    <s v="$E"/>
    <n v="492"/>
    <s v=";'C CONTRACTUAL'!$E$10:$BD$100;14;1)"/>
    <s v=";'C CONTRACTUAL'!$E$10:$BD$100;14;1)"/>
    <s v="=BUSCARV($E492;'C CONTRACTUAL'!$E$10:$BD$100;14;1)"/>
    <m/>
    <s v="Improbable"/>
    <n v="2"/>
    <n v="2"/>
    <s v="Mayor"/>
    <n v="10"/>
    <n v="10"/>
    <s v="20_x000a_MODERADA"/>
    <s v="Rara vez"/>
    <n v="1"/>
    <n v="1"/>
    <s v="Moderado"/>
    <n v="5"/>
    <n v="5"/>
    <s v="5_x000a_BAJA"/>
  </r>
  <r>
    <x v="12"/>
    <s v="C CONTRACTUAL"/>
    <x v="0"/>
    <x v="49"/>
    <x v="0"/>
    <m/>
    <m/>
    <m/>
    <m/>
    <m/>
    <m/>
    <m/>
    <m/>
    <s v="$E"/>
    <n v="493"/>
    <s v=";'C CONTRACTUAL'!$E$10:$BD$100;14;1)"/>
    <s v=";'C CONTRACTUAL'!$E$10:$BD$100;14;1)"/>
    <s v="=BUSCARV($E493;'C CONTRACTUAL'!$E$10:$BD$100;14;1)"/>
    <m/>
    <s v="Rara vez"/>
    <n v="1"/>
    <n v="1"/>
    <s v="Catastrófico"/>
    <n v="20"/>
    <n v="20"/>
    <s v="20_x000a_MODERADA"/>
    <s v="Rara vez"/>
    <n v="1"/>
    <n v="1"/>
    <s v="Catastrófico"/>
    <n v="20"/>
    <n v="20"/>
    <s v="20_x000a_MODERADA"/>
  </r>
  <r>
    <x v="12"/>
    <s v="C CONTRACTUAL"/>
    <x v="0"/>
    <x v="50"/>
    <x v="0"/>
    <m/>
    <m/>
    <m/>
    <m/>
    <m/>
    <m/>
    <m/>
    <m/>
    <s v="$E"/>
    <n v="494"/>
    <s v=";'C CONTRACTUAL'!$E$10:$BD$100;14;1)"/>
    <s v=";'C CONTRACTUAL'!$E$10:$BD$100;14;1)"/>
    <s v="=BUSCARV($E494;'C CONTRACTUAL'!$E$10:$BD$100;14;1)"/>
    <m/>
    <s v="Improbable"/>
    <n v="2"/>
    <n v="2"/>
    <s v="Mayor"/>
    <n v="10"/>
    <n v="10"/>
    <s v="20_x000a_MODERADA"/>
    <s v="Rara vez"/>
    <n v="1"/>
    <n v="1"/>
    <s v="Mayor"/>
    <n v="10"/>
    <n v="10"/>
    <s v="10_x000a_BAJA"/>
  </r>
  <r>
    <x v="12"/>
    <s v="C CONTRACTUAL"/>
    <x v="0"/>
    <x v="51"/>
    <x v="0"/>
    <m/>
    <m/>
    <m/>
    <m/>
    <m/>
    <m/>
    <m/>
    <m/>
    <s v="$E"/>
    <n v="495"/>
    <s v=";'C CONTRACTUAL'!$E$10:$BD$100;14;1)"/>
    <s v=";'C CONTRACTUAL'!$E$10:$BD$100;14;1)"/>
    <s v="=BUSCARV($E495;'C CONTRACTUAL'!$E$10:$BD$100;14;1)"/>
    <m/>
    <s v="Improbable"/>
    <n v="2"/>
    <n v="2"/>
    <s v="Mayor"/>
    <n v="10"/>
    <n v="10"/>
    <s v="20_x000a_MODERADA"/>
    <s v="Rara vez"/>
    <n v="1"/>
    <n v="1"/>
    <s v="Mayor"/>
    <n v="10"/>
    <n v="10"/>
    <s v="10_x000a_BAJA"/>
  </r>
  <r>
    <x v="12"/>
    <s v="C CONTRACTUAL"/>
    <x v="0"/>
    <x v="52"/>
    <x v="0"/>
    <m/>
    <m/>
    <m/>
    <m/>
    <m/>
    <m/>
    <m/>
    <m/>
    <s v="$E"/>
    <n v="496"/>
    <s v=";'C CONTRACTUAL'!$E$10:$BD$100;14;1)"/>
    <s v=";'C CONTRACTUAL'!$E$10:$BD$100;14;1)"/>
    <s v="=BUSCARV($E496;'C CONTRACTUAL'!$E$10:$BD$100;14;1)"/>
    <m/>
    <s v="Improbable"/>
    <n v="2"/>
    <n v="2"/>
    <s v="Catastrófico"/>
    <n v="20"/>
    <n v="20"/>
    <s v="40_x000a_ALTA"/>
    <s v="Rara vez"/>
    <n v="1"/>
    <n v="1"/>
    <s v="Catastrófico"/>
    <n v="20"/>
    <n v="20"/>
    <s v="20_x000a_MODERADA"/>
  </r>
  <r>
    <x v="12"/>
    <s v="C CONTRACTUAL"/>
    <x v="0"/>
    <x v="2"/>
    <x v="1"/>
    <m/>
    <m/>
    <m/>
    <m/>
    <m/>
    <m/>
    <m/>
    <m/>
    <s v="$E"/>
    <n v="497"/>
    <s v=";'C CONTRACTUAL'!$E$10:$BD$100;14;1)"/>
    <s v=";'C CONTRACTUAL'!$E$10:$BD$100;14;1)"/>
    <s v="=BUSCARV($E497;'C CONTRACTUAL'!$E$10:$BD$100;14;1)"/>
    <m/>
    <e v="#N/A"/>
    <e v="#N/A"/>
    <e v="#N/A"/>
    <e v="#N/A"/>
    <e v="#N/A"/>
    <e v="#N/A"/>
    <e v="#N/A"/>
    <e v="#N/A"/>
    <e v="#N/A"/>
    <e v="#N/A"/>
    <e v="#N/A"/>
    <e v="#N/A"/>
    <e v="#N/A"/>
    <e v="#N/A"/>
  </r>
  <r>
    <x v="12"/>
    <s v="C CONTRACTUAL"/>
    <x v="0"/>
    <x v="2"/>
    <x v="1"/>
    <m/>
    <m/>
    <m/>
    <m/>
    <m/>
    <m/>
    <m/>
    <m/>
    <s v="$E"/>
    <n v="498"/>
    <s v=";'C CONTRACTUAL'!$E$10:$BD$100;14;1)"/>
    <s v=";'C CONTRACTUAL'!$E$10:$BD$100;14;1)"/>
    <s v="=BUSCARV($E498;'C CONTRACTUAL'!$E$10:$BD$100;14;1)"/>
    <m/>
    <e v="#N/A"/>
    <e v="#N/A"/>
    <e v="#N/A"/>
    <e v="#N/A"/>
    <e v="#N/A"/>
    <e v="#N/A"/>
    <e v="#N/A"/>
    <e v="#N/A"/>
    <e v="#N/A"/>
    <e v="#N/A"/>
    <e v="#N/A"/>
    <e v="#N/A"/>
    <e v="#N/A"/>
    <e v="#N/A"/>
  </r>
  <r>
    <x v="12"/>
    <s v="C CONTRACTUAL"/>
    <x v="0"/>
    <x v="2"/>
    <x v="1"/>
    <m/>
    <m/>
    <m/>
    <m/>
    <m/>
    <m/>
    <m/>
    <m/>
    <s v="$E"/>
    <n v="499"/>
    <s v=";'C CONTRACTUAL'!$E$10:$BD$100;14;1)"/>
    <s v=";'C CONTRACTUAL'!$E$10:$BD$100;14;1)"/>
    <s v="=BUSCARV($E499;'C CONTRACTUAL'!$E$10:$BD$100;14;1)"/>
    <m/>
    <e v="#N/A"/>
    <e v="#N/A"/>
    <e v="#N/A"/>
    <e v="#N/A"/>
    <e v="#N/A"/>
    <e v="#N/A"/>
    <e v="#N/A"/>
    <e v="#N/A"/>
    <e v="#N/A"/>
    <e v="#N/A"/>
    <e v="#N/A"/>
    <e v="#N/A"/>
    <e v="#N/A"/>
    <e v="#N/A"/>
  </r>
  <r>
    <x v="12"/>
    <s v="C CONTRACTUAL"/>
    <x v="0"/>
    <x v="2"/>
    <x v="1"/>
    <m/>
    <m/>
    <m/>
    <m/>
    <m/>
    <m/>
    <m/>
    <m/>
    <s v="$E"/>
    <n v="500"/>
    <s v=";'C CONTRACTUAL'!$E$10:$BD$100;14;1)"/>
    <s v=";'C CONTRACTUAL'!$E$10:$BD$100;14;1)"/>
    <s v="=BUSCARV($E500;'C CONTRACTUAL'!$E$10:$BD$100;14;1)"/>
    <m/>
    <e v="#N/A"/>
    <e v="#N/A"/>
    <e v="#N/A"/>
    <e v="#N/A"/>
    <e v="#N/A"/>
    <e v="#N/A"/>
    <e v="#N/A"/>
    <e v="#N/A"/>
    <e v="#N/A"/>
    <e v="#N/A"/>
    <e v="#N/A"/>
    <e v="#N/A"/>
    <e v="#N/A"/>
    <e v="#N/A"/>
  </r>
  <r>
    <x v="12"/>
    <s v="C CONTRACTUAL"/>
    <x v="0"/>
    <x v="2"/>
    <x v="1"/>
    <m/>
    <m/>
    <m/>
    <m/>
    <m/>
    <m/>
    <m/>
    <m/>
    <s v="$E"/>
    <n v="501"/>
    <s v=";'C CONTRACTUAL'!$E$10:$BD$100;14;1)"/>
    <s v=";'C CONTRACTUAL'!$E$10:$BD$100;14;1)"/>
    <s v="=BUSCARV($E501;'C CONTRACTUAL'!$E$10:$BD$100;14;1)"/>
    <m/>
    <e v="#N/A"/>
    <e v="#N/A"/>
    <e v="#N/A"/>
    <e v="#N/A"/>
    <e v="#N/A"/>
    <e v="#N/A"/>
    <e v="#N/A"/>
    <e v="#N/A"/>
    <e v="#N/A"/>
    <e v="#N/A"/>
    <e v="#N/A"/>
    <e v="#N/A"/>
    <e v="#N/A"/>
    <e v="#N/A"/>
  </r>
  <r>
    <x v="12"/>
    <s v="C CONTRACTUAL"/>
    <x v="0"/>
    <x v="2"/>
    <x v="1"/>
    <m/>
    <m/>
    <m/>
    <m/>
    <m/>
    <m/>
    <m/>
    <m/>
    <s v="$E"/>
    <n v="502"/>
    <s v=";'C CONTRACTUAL'!$E$10:$BD$100;14;1)"/>
    <s v=";'C CONTRACTUAL'!$E$10:$BD$100;14;1)"/>
    <s v="=BUSCARV($E502;'C CONTRACTUAL'!$E$10:$BD$100;14;1)"/>
    <m/>
    <e v="#N/A"/>
    <e v="#N/A"/>
    <e v="#N/A"/>
    <e v="#N/A"/>
    <e v="#N/A"/>
    <e v="#N/A"/>
    <e v="#N/A"/>
    <e v="#N/A"/>
    <e v="#N/A"/>
    <e v="#N/A"/>
    <e v="#N/A"/>
    <e v="#N/A"/>
    <e v="#N/A"/>
    <e v="#N/A"/>
  </r>
  <r>
    <x v="12"/>
    <s v="C CONTRACTUAL"/>
    <x v="0"/>
    <x v="2"/>
    <x v="1"/>
    <m/>
    <m/>
    <m/>
    <m/>
    <m/>
    <m/>
    <m/>
    <m/>
    <s v="$E"/>
    <n v="503"/>
    <s v=";'C CONTRACTUAL'!$E$10:$BD$100;14;1)"/>
    <s v=";'C CONTRACTUAL'!$E$10:$BD$100;14;1)"/>
    <s v="=BUSCARV($E503;'C CONTRACTUAL'!$E$10:$BD$100;14;1)"/>
    <m/>
    <e v="#N/A"/>
    <e v="#N/A"/>
    <e v="#N/A"/>
    <e v="#N/A"/>
    <e v="#N/A"/>
    <e v="#N/A"/>
    <e v="#N/A"/>
    <e v="#N/A"/>
    <e v="#N/A"/>
    <e v="#N/A"/>
    <e v="#N/A"/>
    <e v="#N/A"/>
    <e v="#N/A"/>
    <e v="#N/A"/>
  </r>
  <r>
    <x v="13"/>
    <s v="C LEGAL"/>
    <x v="0"/>
    <x v="53"/>
    <x v="0"/>
    <m/>
    <m/>
    <m/>
    <m/>
    <m/>
    <m/>
    <m/>
    <m/>
    <s v="$E"/>
    <n v="504"/>
    <s v=";'C LEGAL'!$E$10:$BD$100;14;1)"/>
    <s v=";'C LEGAL'!$E$10:$BD$100;14;1)"/>
    <s v="=BUSCARV($E504;'C LEGAL'!$E$10:$BD$100;14;1)"/>
    <m/>
    <s v="Improbable"/>
    <n v="2"/>
    <n v="2"/>
    <s v="Catastrófico"/>
    <n v="20"/>
    <n v="20"/>
    <s v="40_x000a_ALTA"/>
    <s v="Rara vez"/>
    <n v="1"/>
    <n v="1"/>
    <s v="Catastrófico"/>
    <n v="20"/>
    <n v="20"/>
    <s v="20_x000a_MODERADA"/>
  </r>
  <r>
    <x v="13"/>
    <s v="C LEGAL"/>
    <x v="0"/>
    <x v="2"/>
    <x v="1"/>
    <m/>
    <m/>
    <m/>
    <m/>
    <m/>
    <m/>
    <m/>
    <m/>
    <s v="$E"/>
    <n v="505"/>
    <s v=";'C LEGAL'!$E$10:$BD$100;14;1)"/>
    <s v=";'C LEGAL'!$E$10:$BD$100;14;1)"/>
    <s v="=BUSCARV($E505;'C LEGAL'!$E$10:$BD$100;14;1)"/>
    <m/>
    <e v="#N/A"/>
    <e v="#N/A"/>
    <e v="#N/A"/>
    <e v="#N/A"/>
    <e v="#N/A"/>
    <e v="#N/A"/>
    <e v="#N/A"/>
    <e v="#N/A"/>
    <e v="#N/A"/>
    <e v="#N/A"/>
    <e v="#N/A"/>
    <e v="#N/A"/>
    <e v="#N/A"/>
    <e v="#N/A"/>
  </r>
  <r>
    <x v="13"/>
    <s v="C LEGAL"/>
    <x v="0"/>
    <x v="2"/>
    <x v="1"/>
    <m/>
    <m/>
    <m/>
    <m/>
    <m/>
    <m/>
    <m/>
    <m/>
    <s v="$E"/>
    <n v="506"/>
    <s v=";'C LEGAL'!$E$10:$BD$100;14;1)"/>
    <s v=";'C LEGAL'!$E$10:$BD$100;14;1)"/>
    <s v="=BUSCARV($E506;'C LEGAL'!$E$10:$BD$100;14;1)"/>
    <m/>
    <e v="#N/A"/>
    <e v="#N/A"/>
    <e v="#N/A"/>
    <e v="#N/A"/>
    <e v="#N/A"/>
    <e v="#N/A"/>
    <e v="#N/A"/>
    <e v="#N/A"/>
    <e v="#N/A"/>
    <e v="#N/A"/>
    <e v="#N/A"/>
    <e v="#N/A"/>
    <e v="#N/A"/>
    <e v="#N/A"/>
  </r>
  <r>
    <x v="13"/>
    <s v="C LEGAL"/>
    <x v="0"/>
    <x v="2"/>
    <x v="1"/>
    <m/>
    <m/>
    <m/>
    <m/>
    <m/>
    <m/>
    <m/>
    <m/>
    <s v="$E"/>
    <n v="507"/>
    <s v=";'C LEGAL'!$E$10:$BD$100;14;1)"/>
    <s v=";'C LEGAL'!$E$10:$BD$100;14;1)"/>
    <s v="=BUSCARV($E507;'C LEGAL'!$E$10:$BD$100;14;1)"/>
    <m/>
    <e v="#N/A"/>
    <e v="#N/A"/>
    <e v="#N/A"/>
    <e v="#N/A"/>
    <e v="#N/A"/>
    <e v="#N/A"/>
    <e v="#N/A"/>
    <e v="#N/A"/>
    <e v="#N/A"/>
    <e v="#N/A"/>
    <e v="#N/A"/>
    <e v="#N/A"/>
    <e v="#N/A"/>
    <e v="#N/A"/>
  </r>
  <r>
    <x v="13"/>
    <s v="C LEGAL"/>
    <x v="0"/>
    <x v="2"/>
    <x v="1"/>
    <m/>
    <m/>
    <m/>
    <m/>
    <m/>
    <m/>
    <m/>
    <m/>
    <s v="$E"/>
    <n v="508"/>
    <s v=";'C LEGAL'!$E$10:$BD$100;14;1)"/>
    <s v=";'C LEGAL'!$E$10:$BD$100;14;1)"/>
    <s v="=BUSCARV($E508;'C LEGAL'!$E$10:$BD$100;14;1)"/>
    <m/>
    <e v="#N/A"/>
    <e v="#N/A"/>
    <e v="#N/A"/>
    <e v="#N/A"/>
    <e v="#N/A"/>
    <e v="#N/A"/>
    <e v="#N/A"/>
    <e v="#N/A"/>
    <e v="#N/A"/>
    <e v="#N/A"/>
    <e v="#N/A"/>
    <e v="#N/A"/>
    <e v="#N/A"/>
    <e v="#N/A"/>
  </r>
  <r>
    <x v="13"/>
    <s v="C LEGAL"/>
    <x v="0"/>
    <x v="2"/>
    <x v="1"/>
    <m/>
    <m/>
    <m/>
    <m/>
    <m/>
    <m/>
    <m/>
    <m/>
    <s v="$E"/>
    <n v="509"/>
    <s v=";'C LEGAL'!$E$10:$BD$100;14;1)"/>
    <s v=";'C LEGAL'!$E$10:$BD$100;14;1)"/>
    <s v="=BUSCARV($E509;'C LEGAL'!$E$10:$BD$100;14;1)"/>
    <m/>
    <e v="#N/A"/>
    <e v="#N/A"/>
    <e v="#N/A"/>
    <e v="#N/A"/>
    <e v="#N/A"/>
    <e v="#N/A"/>
    <e v="#N/A"/>
    <e v="#N/A"/>
    <e v="#N/A"/>
    <e v="#N/A"/>
    <e v="#N/A"/>
    <e v="#N/A"/>
    <e v="#N/A"/>
    <e v="#N/A"/>
  </r>
  <r>
    <x v="13"/>
    <s v="C LEGAL"/>
    <x v="0"/>
    <x v="2"/>
    <x v="1"/>
    <m/>
    <m/>
    <m/>
    <m/>
    <m/>
    <m/>
    <m/>
    <m/>
    <s v="$E"/>
    <n v="510"/>
    <s v=";'C LEGAL'!$E$10:$BD$100;14;1)"/>
    <s v=";'C LEGAL'!$E$10:$BD$100;14;1)"/>
    <s v="=BUSCARV($E510;'C LEGAL'!$E$10:$BD$100;14;1)"/>
    <m/>
    <e v="#N/A"/>
    <e v="#N/A"/>
    <e v="#N/A"/>
    <e v="#N/A"/>
    <e v="#N/A"/>
    <e v="#N/A"/>
    <e v="#N/A"/>
    <e v="#N/A"/>
    <e v="#N/A"/>
    <e v="#N/A"/>
    <e v="#N/A"/>
    <e v="#N/A"/>
    <e v="#N/A"/>
    <e v="#N/A"/>
  </r>
  <r>
    <x v="13"/>
    <s v="C LEGAL"/>
    <x v="0"/>
    <x v="2"/>
    <x v="1"/>
    <m/>
    <m/>
    <m/>
    <m/>
    <m/>
    <m/>
    <m/>
    <m/>
    <s v="$E"/>
    <n v="511"/>
    <s v=";'C LEGAL'!$E$10:$BD$100;14;1)"/>
    <s v=";'C LEGAL'!$E$10:$BD$100;14;1)"/>
    <s v="=BUSCARV($E511;'C LEGAL'!$E$10:$BD$100;14;1)"/>
    <m/>
    <e v="#N/A"/>
    <e v="#N/A"/>
    <e v="#N/A"/>
    <e v="#N/A"/>
    <e v="#N/A"/>
    <e v="#N/A"/>
    <e v="#N/A"/>
    <e v="#N/A"/>
    <e v="#N/A"/>
    <e v="#N/A"/>
    <e v="#N/A"/>
    <e v="#N/A"/>
    <e v="#N/A"/>
    <e v="#N/A"/>
  </r>
  <r>
    <x v="13"/>
    <s v="C LEGAL"/>
    <x v="0"/>
    <x v="2"/>
    <x v="1"/>
    <m/>
    <m/>
    <m/>
    <m/>
    <m/>
    <m/>
    <m/>
    <m/>
    <s v="$E"/>
    <n v="512"/>
    <s v=";'C LEGAL'!$E$10:$BD$100;14;1)"/>
    <s v=";'C LEGAL'!$E$10:$BD$100;14;1)"/>
    <s v="=BUSCARV($E512;'C LEGAL'!$E$10:$BD$100;14;1)"/>
    <m/>
    <e v="#N/A"/>
    <e v="#N/A"/>
    <e v="#N/A"/>
    <e v="#N/A"/>
    <e v="#N/A"/>
    <e v="#N/A"/>
    <e v="#N/A"/>
    <e v="#N/A"/>
    <e v="#N/A"/>
    <e v="#N/A"/>
    <e v="#N/A"/>
    <e v="#N/A"/>
    <e v="#N/A"/>
    <e v="#N/A"/>
  </r>
  <r>
    <x v="13"/>
    <s v="C LEGAL"/>
    <x v="0"/>
    <x v="2"/>
    <x v="1"/>
    <m/>
    <m/>
    <m/>
    <m/>
    <m/>
    <m/>
    <m/>
    <m/>
    <s v="$E"/>
    <n v="513"/>
    <s v=";'C LEGAL'!$E$10:$BD$100;14;1)"/>
    <s v=";'C LEGAL'!$E$10:$BD$100;14;1)"/>
    <s v="=BUSCARV($E513;'C LEGAL'!$E$10:$BD$100;14;1)"/>
    <m/>
    <e v="#N/A"/>
    <e v="#N/A"/>
    <e v="#N/A"/>
    <e v="#N/A"/>
    <e v="#N/A"/>
    <e v="#N/A"/>
    <e v="#N/A"/>
    <e v="#N/A"/>
    <e v="#N/A"/>
    <e v="#N/A"/>
    <e v="#N/A"/>
    <e v="#N/A"/>
    <e v="#N/A"/>
    <e v="#N/A"/>
  </r>
  <r>
    <x v="13"/>
    <s v="C LEGAL"/>
    <x v="0"/>
    <x v="2"/>
    <x v="1"/>
    <m/>
    <m/>
    <m/>
    <m/>
    <m/>
    <m/>
    <m/>
    <m/>
    <s v="$E"/>
    <n v="514"/>
    <s v=";'C LEGAL'!$E$10:$BD$100;14;1)"/>
    <s v=";'C LEGAL'!$E$10:$BD$100;14;1)"/>
    <s v="=BUSCARV($E514;'C LEGAL'!$E$10:$BD$100;14;1)"/>
    <m/>
    <e v="#N/A"/>
    <e v="#N/A"/>
    <e v="#N/A"/>
    <e v="#N/A"/>
    <e v="#N/A"/>
    <e v="#N/A"/>
    <e v="#N/A"/>
    <e v="#N/A"/>
    <e v="#N/A"/>
    <e v="#N/A"/>
    <e v="#N/A"/>
    <e v="#N/A"/>
    <e v="#N/A"/>
    <e v="#N/A"/>
  </r>
  <r>
    <x v="13"/>
    <s v="C LEGAL"/>
    <x v="0"/>
    <x v="2"/>
    <x v="1"/>
    <m/>
    <m/>
    <m/>
    <m/>
    <m/>
    <m/>
    <m/>
    <m/>
    <s v="$E"/>
    <n v="515"/>
    <s v=";'C LEGAL'!$E$10:$BD$100;14;1)"/>
    <s v=";'C LEGAL'!$E$10:$BD$100;14;1)"/>
    <s v="=BUSCARV($E515;'C LEGAL'!$E$10:$BD$100;14;1)"/>
    <m/>
    <e v="#N/A"/>
    <e v="#N/A"/>
    <e v="#N/A"/>
    <e v="#N/A"/>
    <e v="#N/A"/>
    <e v="#N/A"/>
    <e v="#N/A"/>
    <e v="#N/A"/>
    <e v="#N/A"/>
    <e v="#N/A"/>
    <e v="#N/A"/>
    <e v="#N/A"/>
    <e v="#N/A"/>
    <e v="#N/A"/>
  </r>
  <r>
    <x v="13"/>
    <s v="C LEGAL"/>
    <x v="0"/>
    <x v="2"/>
    <x v="1"/>
    <m/>
    <m/>
    <m/>
    <m/>
    <m/>
    <m/>
    <m/>
    <m/>
    <s v="$E"/>
    <n v="516"/>
    <s v=";'C LEGAL'!$E$10:$BD$100;14;1)"/>
    <s v=";'C LEGAL'!$E$10:$BD$100;14;1)"/>
    <s v="=BUSCARV($E516;'C LEGAL'!$E$10:$BD$100;14;1)"/>
    <m/>
    <e v="#N/A"/>
    <e v="#N/A"/>
    <e v="#N/A"/>
    <e v="#N/A"/>
    <e v="#N/A"/>
    <e v="#N/A"/>
    <e v="#N/A"/>
    <e v="#N/A"/>
    <e v="#N/A"/>
    <e v="#N/A"/>
    <e v="#N/A"/>
    <e v="#N/A"/>
    <e v="#N/A"/>
    <e v="#N/A"/>
  </r>
  <r>
    <x v="13"/>
    <s v="C LEGAL"/>
    <x v="0"/>
    <x v="2"/>
    <x v="1"/>
    <m/>
    <m/>
    <m/>
    <m/>
    <m/>
    <m/>
    <m/>
    <m/>
    <s v="$E"/>
    <n v="517"/>
    <s v=";'C LEGAL'!$E$10:$BD$100;14;1)"/>
    <s v=";'C LEGAL'!$E$10:$BD$100;14;1)"/>
    <s v="=BUSCARV($E517;'C LEGAL'!$E$10:$BD$100;14;1)"/>
    <m/>
    <e v="#N/A"/>
    <e v="#N/A"/>
    <e v="#N/A"/>
    <e v="#N/A"/>
    <e v="#N/A"/>
    <e v="#N/A"/>
    <e v="#N/A"/>
    <e v="#N/A"/>
    <e v="#N/A"/>
    <e v="#N/A"/>
    <e v="#N/A"/>
    <e v="#N/A"/>
    <e v="#N/A"/>
    <e v="#N/A"/>
  </r>
  <r>
    <x v="13"/>
    <s v="C LEGAL"/>
    <x v="0"/>
    <x v="2"/>
    <x v="1"/>
    <m/>
    <m/>
    <m/>
    <m/>
    <m/>
    <m/>
    <m/>
    <m/>
    <s v="$E"/>
    <n v="518"/>
    <s v=";'C LEGAL'!$E$10:$BD$100;14;1)"/>
    <s v=";'C LEGAL'!$E$10:$BD$100;14;1)"/>
    <s v="=BUSCARV($E518;'C LEGAL'!$E$10:$BD$100;14;1)"/>
    <m/>
    <e v="#N/A"/>
    <e v="#N/A"/>
    <e v="#N/A"/>
    <e v="#N/A"/>
    <e v="#N/A"/>
    <e v="#N/A"/>
    <e v="#N/A"/>
    <e v="#N/A"/>
    <e v="#N/A"/>
    <e v="#N/A"/>
    <e v="#N/A"/>
    <e v="#N/A"/>
    <e v="#N/A"/>
    <e v="#N/A"/>
  </r>
  <r>
    <x v="13"/>
    <s v="C LEGAL"/>
    <x v="0"/>
    <x v="2"/>
    <x v="1"/>
    <m/>
    <m/>
    <m/>
    <m/>
    <m/>
    <m/>
    <m/>
    <m/>
    <s v="$E"/>
    <n v="519"/>
    <s v=";'C LEGAL'!$E$10:$BD$100;14;1)"/>
    <s v=";'C LEGAL'!$E$10:$BD$100;14;1)"/>
    <s v="=BUSCARV($E519;'C LEGAL'!$E$10:$BD$100;14;1)"/>
    <m/>
    <e v="#N/A"/>
    <e v="#N/A"/>
    <e v="#N/A"/>
    <e v="#N/A"/>
    <e v="#N/A"/>
    <e v="#N/A"/>
    <e v="#N/A"/>
    <e v="#N/A"/>
    <e v="#N/A"/>
    <e v="#N/A"/>
    <e v="#N/A"/>
    <e v="#N/A"/>
    <e v="#N/A"/>
    <e v="#N/A"/>
  </r>
  <r>
    <x v="14"/>
    <s v="C CALIDAD"/>
    <x v="0"/>
    <x v="54"/>
    <x v="0"/>
    <m/>
    <m/>
    <m/>
    <m/>
    <m/>
    <m/>
    <m/>
    <m/>
    <s v="$E"/>
    <n v="520"/>
    <s v=";'C CALIDAD'!$E$10:$BD$100;14;1)"/>
    <s v=";'C CALIDAD'!$E$10:$BD$100;14;1)"/>
    <s v="=BUSCARV($E520;'C CALIDAD'!$E$10:$BD$100;14;1)"/>
    <m/>
    <s v="Rara vez"/>
    <n v="1"/>
    <n v="1"/>
    <s v="Mayor"/>
    <n v="10"/>
    <n v="10"/>
    <s v="10_x000a_BAJA"/>
    <s v="Rara vez"/>
    <n v="1"/>
    <n v="1"/>
    <s v="Mayor"/>
    <n v="10"/>
    <n v="10"/>
    <s v="10_x000a_BAJA"/>
  </r>
  <r>
    <x v="14"/>
    <s v="C CALIDAD"/>
    <x v="0"/>
    <x v="2"/>
    <x v="1"/>
    <m/>
    <m/>
    <m/>
    <m/>
    <m/>
    <m/>
    <m/>
    <m/>
    <s v="$E"/>
    <n v="521"/>
    <s v=";'C CALIDAD'!$E$10:$BD$100;14;1)"/>
    <s v=";'C CALIDAD'!$E$10:$BD$100;14;1)"/>
    <s v="=BUSCARV($E521;'C CALIDAD'!$E$10:$BD$100;14;1)"/>
    <m/>
    <e v="#N/A"/>
    <e v="#N/A"/>
    <e v="#N/A"/>
    <e v="#N/A"/>
    <e v="#N/A"/>
    <e v="#N/A"/>
    <e v="#N/A"/>
    <e v="#N/A"/>
    <e v="#N/A"/>
    <e v="#N/A"/>
    <e v="#N/A"/>
    <e v="#N/A"/>
    <e v="#N/A"/>
    <e v="#N/A"/>
  </r>
  <r>
    <x v="14"/>
    <s v="C CALIDAD"/>
    <x v="0"/>
    <x v="2"/>
    <x v="1"/>
    <m/>
    <m/>
    <m/>
    <m/>
    <m/>
    <m/>
    <m/>
    <m/>
    <s v="$E"/>
    <n v="522"/>
    <s v=";'C CALIDAD'!$E$10:$BD$100;14;1)"/>
    <s v=";'C CALIDAD'!$E$10:$BD$100;14;1)"/>
    <s v="=BUSCARV($E522;'C CALIDAD'!$E$10:$BD$100;14;1)"/>
    <m/>
    <e v="#N/A"/>
    <e v="#N/A"/>
    <e v="#N/A"/>
    <e v="#N/A"/>
    <e v="#N/A"/>
    <e v="#N/A"/>
    <e v="#N/A"/>
    <e v="#N/A"/>
    <e v="#N/A"/>
    <e v="#N/A"/>
    <e v="#N/A"/>
    <e v="#N/A"/>
    <e v="#N/A"/>
    <e v="#N/A"/>
  </r>
  <r>
    <x v="14"/>
    <s v="C CALIDAD"/>
    <x v="0"/>
    <x v="2"/>
    <x v="1"/>
    <m/>
    <m/>
    <m/>
    <m/>
    <m/>
    <m/>
    <m/>
    <m/>
    <s v="$E"/>
    <n v="523"/>
    <s v=";'C CALIDAD'!$E$10:$BD$100;14;1)"/>
    <s v=";'C CALIDAD'!$E$10:$BD$100;14;1)"/>
    <s v="=BUSCARV($E523;'C CALIDAD'!$E$10:$BD$100;14;1)"/>
    <m/>
    <e v="#N/A"/>
    <e v="#N/A"/>
    <e v="#N/A"/>
    <e v="#N/A"/>
    <e v="#N/A"/>
    <e v="#N/A"/>
    <e v="#N/A"/>
    <e v="#N/A"/>
    <e v="#N/A"/>
    <e v="#N/A"/>
    <e v="#N/A"/>
    <e v="#N/A"/>
    <e v="#N/A"/>
    <e v="#N/A"/>
  </r>
  <r>
    <x v="14"/>
    <s v="C CALIDAD"/>
    <x v="0"/>
    <x v="2"/>
    <x v="1"/>
    <m/>
    <m/>
    <m/>
    <m/>
    <m/>
    <m/>
    <m/>
    <m/>
    <s v="$E"/>
    <n v="524"/>
    <s v=";'C CALIDAD'!$E$10:$BD$100;14;1)"/>
    <s v=";'C CALIDAD'!$E$10:$BD$100;14;1)"/>
    <s v="=BUSCARV($E524;'C CALIDAD'!$E$10:$BD$100;14;1)"/>
    <m/>
    <e v="#N/A"/>
    <e v="#N/A"/>
    <e v="#N/A"/>
    <e v="#N/A"/>
    <e v="#N/A"/>
    <e v="#N/A"/>
    <e v="#N/A"/>
    <e v="#N/A"/>
    <e v="#N/A"/>
    <e v="#N/A"/>
    <e v="#N/A"/>
    <e v="#N/A"/>
    <e v="#N/A"/>
    <e v="#N/A"/>
  </r>
  <r>
    <x v="14"/>
    <s v="C CALIDAD"/>
    <x v="0"/>
    <x v="2"/>
    <x v="1"/>
    <m/>
    <m/>
    <m/>
    <m/>
    <m/>
    <m/>
    <m/>
    <m/>
    <s v="$E"/>
    <n v="525"/>
    <s v=";'C CALIDAD'!$E$10:$BD$100;14;1)"/>
    <s v=";'C CALIDAD'!$E$10:$BD$100;14;1)"/>
    <s v="=BUSCARV($E525;'C CALIDAD'!$E$10:$BD$100;14;1)"/>
    <m/>
    <e v="#N/A"/>
    <e v="#N/A"/>
    <e v="#N/A"/>
    <e v="#N/A"/>
    <e v="#N/A"/>
    <e v="#N/A"/>
    <e v="#N/A"/>
    <e v="#N/A"/>
    <e v="#N/A"/>
    <e v="#N/A"/>
    <e v="#N/A"/>
    <e v="#N/A"/>
    <e v="#N/A"/>
    <e v="#N/A"/>
  </r>
  <r>
    <x v="14"/>
    <s v="C CALIDAD"/>
    <x v="0"/>
    <x v="2"/>
    <x v="1"/>
    <m/>
    <m/>
    <m/>
    <m/>
    <m/>
    <m/>
    <m/>
    <m/>
    <s v="$E"/>
    <n v="526"/>
    <s v=";'C CALIDAD'!$E$10:$BD$100;14;1)"/>
    <s v=";'C CALIDAD'!$E$10:$BD$100;14;1)"/>
    <s v="=BUSCARV($E526;'C CALIDAD'!$E$10:$BD$100;14;1)"/>
    <m/>
    <e v="#N/A"/>
    <e v="#N/A"/>
    <e v="#N/A"/>
    <e v="#N/A"/>
    <e v="#N/A"/>
    <e v="#N/A"/>
    <e v="#N/A"/>
    <e v="#N/A"/>
    <e v="#N/A"/>
    <e v="#N/A"/>
    <e v="#N/A"/>
    <e v="#N/A"/>
    <e v="#N/A"/>
    <e v="#N/A"/>
  </r>
  <r>
    <x v="14"/>
    <s v="C CALIDAD"/>
    <x v="0"/>
    <x v="2"/>
    <x v="1"/>
    <m/>
    <m/>
    <m/>
    <m/>
    <m/>
    <m/>
    <m/>
    <m/>
    <s v="$E"/>
    <n v="527"/>
    <s v=";'C CALIDAD'!$E$10:$BD$100;14;1)"/>
    <s v=";'C CALIDAD'!$E$10:$BD$100;14;1)"/>
    <s v="=BUSCARV($E527;'C CALIDAD'!$E$10:$BD$100;14;1)"/>
    <m/>
    <e v="#N/A"/>
    <e v="#N/A"/>
    <e v="#N/A"/>
    <e v="#N/A"/>
    <e v="#N/A"/>
    <e v="#N/A"/>
    <e v="#N/A"/>
    <e v="#N/A"/>
    <e v="#N/A"/>
    <e v="#N/A"/>
    <e v="#N/A"/>
    <e v="#N/A"/>
    <e v="#N/A"/>
    <e v="#N/A"/>
  </r>
  <r>
    <x v="14"/>
    <s v="C CALIDAD"/>
    <x v="0"/>
    <x v="2"/>
    <x v="1"/>
    <m/>
    <m/>
    <m/>
    <m/>
    <m/>
    <m/>
    <m/>
    <m/>
    <s v="$E"/>
    <n v="528"/>
    <s v=";'C CALIDAD'!$E$10:$BD$100;14;1)"/>
    <s v=";'C CALIDAD'!$E$10:$BD$100;14;1)"/>
    <s v="=BUSCARV($E528;'C CALIDAD'!$E$10:$BD$100;14;1)"/>
    <m/>
    <e v="#N/A"/>
    <e v="#N/A"/>
    <e v="#N/A"/>
    <e v="#N/A"/>
    <e v="#N/A"/>
    <e v="#N/A"/>
    <e v="#N/A"/>
    <e v="#N/A"/>
    <e v="#N/A"/>
    <e v="#N/A"/>
    <e v="#N/A"/>
    <e v="#N/A"/>
    <e v="#N/A"/>
    <e v="#N/A"/>
  </r>
  <r>
    <x v="14"/>
    <s v="C CALIDAD"/>
    <x v="0"/>
    <x v="2"/>
    <x v="1"/>
    <m/>
    <m/>
    <m/>
    <m/>
    <m/>
    <m/>
    <m/>
    <m/>
    <s v="$E"/>
    <n v="529"/>
    <s v=";'C CALIDAD'!$E$10:$BD$100;14;1)"/>
    <s v=";'C CALIDAD'!$E$10:$BD$100;14;1)"/>
    <s v="=BUSCARV($E529;'C CALIDAD'!$E$10:$BD$100;14;1)"/>
    <m/>
    <e v="#N/A"/>
    <e v="#N/A"/>
    <e v="#N/A"/>
    <e v="#N/A"/>
    <e v="#N/A"/>
    <e v="#N/A"/>
    <e v="#N/A"/>
    <e v="#N/A"/>
    <e v="#N/A"/>
    <e v="#N/A"/>
    <e v="#N/A"/>
    <e v="#N/A"/>
    <e v="#N/A"/>
    <e v="#N/A"/>
  </r>
  <r>
    <x v="14"/>
    <s v="C CALIDAD"/>
    <x v="0"/>
    <x v="2"/>
    <x v="1"/>
    <m/>
    <m/>
    <m/>
    <m/>
    <m/>
    <m/>
    <m/>
    <m/>
    <s v="$E"/>
    <n v="530"/>
    <s v=";'C CALIDAD'!$E$10:$BD$100;14;1)"/>
    <s v=";'C CALIDAD'!$E$10:$BD$100;14;1)"/>
    <s v="=BUSCARV($E530;'C CALIDAD'!$E$10:$BD$100;14;1)"/>
    <m/>
    <e v="#N/A"/>
    <e v="#N/A"/>
    <e v="#N/A"/>
    <e v="#N/A"/>
    <e v="#N/A"/>
    <e v="#N/A"/>
    <e v="#N/A"/>
    <e v="#N/A"/>
    <e v="#N/A"/>
    <e v="#N/A"/>
    <e v="#N/A"/>
    <e v="#N/A"/>
    <e v="#N/A"/>
    <e v="#N/A"/>
  </r>
  <r>
    <x v="14"/>
    <s v="C CALIDAD"/>
    <x v="0"/>
    <x v="2"/>
    <x v="1"/>
    <m/>
    <m/>
    <m/>
    <m/>
    <m/>
    <m/>
    <m/>
    <m/>
    <s v="$E"/>
    <n v="531"/>
    <s v=";'C CALIDAD'!$E$10:$BD$100;14;1)"/>
    <s v=";'C CALIDAD'!$E$10:$BD$100;14;1)"/>
    <s v="=BUSCARV($E531;'C CALIDAD'!$E$10:$BD$100;14;1)"/>
    <m/>
    <e v="#N/A"/>
    <e v="#N/A"/>
    <e v="#N/A"/>
    <e v="#N/A"/>
    <e v="#N/A"/>
    <e v="#N/A"/>
    <e v="#N/A"/>
    <e v="#N/A"/>
    <e v="#N/A"/>
    <e v="#N/A"/>
    <e v="#N/A"/>
    <e v="#N/A"/>
    <e v="#N/A"/>
    <e v="#N/A"/>
  </r>
  <r>
    <x v="14"/>
    <s v="C CALIDAD"/>
    <x v="0"/>
    <x v="2"/>
    <x v="1"/>
    <m/>
    <m/>
    <m/>
    <m/>
    <m/>
    <m/>
    <m/>
    <m/>
    <s v="$E"/>
    <n v="532"/>
    <s v=";'C CALIDAD'!$E$10:$BD$100;14;1)"/>
    <s v=";'C CALIDAD'!$E$10:$BD$100;14;1)"/>
    <s v="=BUSCARV($E532;'C CALIDAD'!$E$10:$BD$100;14;1)"/>
    <m/>
    <e v="#N/A"/>
    <e v="#N/A"/>
    <e v="#N/A"/>
    <e v="#N/A"/>
    <e v="#N/A"/>
    <e v="#N/A"/>
    <e v="#N/A"/>
    <e v="#N/A"/>
    <e v="#N/A"/>
    <e v="#N/A"/>
    <e v="#N/A"/>
    <e v="#N/A"/>
    <e v="#N/A"/>
    <e v="#N/A"/>
  </r>
  <r>
    <x v="14"/>
    <s v="C CALIDAD"/>
    <x v="0"/>
    <x v="2"/>
    <x v="1"/>
    <m/>
    <m/>
    <m/>
    <m/>
    <m/>
    <m/>
    <m/>
    <m/>
    <s v="$E"/>
    <n v="533"/>
    <s v=";'C CALIDAD'!$E$10:$BD$100;14;1)"/>
    <s v=";'C CALIDAD'!$E$10:$BD$100;14;1)"/>
    <s v="=BUSCARV($E533;'C CALIDAD'!$E$10:$BD$100;14;1)"/>
    <m/>
    <e v="#N/A"/>
    <e v="#N/A"/>
    <e v="#N/A"/>
    <e v="#N/A"/>
    <e v="#N/A"/>
    <e v="#N/A"/>
    <e v="#N/A"/>
    <e v="#N/A"/>
    <e v="#N/A"/>
    <e v="#N/A"/>
    <e v="#N/A"/>
    <e v="#N/A"/>
    <e v="#N/A"/>
    <e v="#N/A"/>
  </r>
  <r>
    <x v="14"/>
    <s v="C CALIDAD"/>
    <x v="0"/>
    <x v="2"/>
    <x v="1"/>
    <m/>
    <m/>
    <m/>
    <m/>
    <m/>
    <m/>
    <m/>
    <m/>
    <s v="$E"/>
    <n v="534"/>
    <s v=";'C CALIDAD'!$E$10:$BD$100;14;1)"/>
    <s v=";'C CALIDAD'!$E$10:$BD$100;14;1)"/>
    <s v="=BUSCARV($E534;'C CALIDAD'!$E$10:$BD$100;14;1)"/>
    <m/>
    <e v="#N/A"/>
    <e v="#N/A"/>
    <e v="#N/A"/>
    <e v="#N/A"/>
    <e v="#N/A"/>
    <e v="#N/A"/>
    <e v="#N/A"/>
    <e v="#N/A"/>
    <e v="#N/A"/>
    <e v="#N/A"/>
    <e v="#N/A"/>
    <e v="#N/A"/>
    <e v="#N/A"/>
    <e v="#N/A"/>
  </r>
  <r>
    <x v="14"/>
    <s v="C CALIDAD"/>
    <x v="0"/>
    <x v="2"/>
    <x v="1"/>
    <m/>
    <m/>
    <m/>
    <m/>
    <m/>
    <m/>
    <m/>
    <m/>
    <s v="$E"/>
    <n v="535"/>
    <s v=";'C CALIDAD'!$E$10:$BD$100;14;1)"/>
    <s v=";'C CALIDAD'!$E$10:$BD$100;14;1)"/>
    <s v="=BUSCARV($E535;'C CALIDAD'!$E$10:$BD$100;14;1)"/>
    <m/>
    <e v="#N/A"/>
    <e v="#N/A"/>
    <e v="#N/A"/>
    <e v="#N/A"/>
    <e v="#N/A"/>
    <e v="#N/A"/>
    <e v="#N/A"/>
    <e v="#N/A"/>
    <e v="#N/A"/>
    <e v="#N/A"/>
    <e v="#N/A"/>
    <e v="#N/A"/>
    <e v="#N/A"/>
    <e v="#N/A"/>
  </r>
  <r>
    <x v="15"/>
    <s v="C THUMANO"/>
    <x v="0"/>
    <x v="55"/>
    <x v="0"/>
    <m/>
    <m/>
    <m/>
    <m/>
    <m/>
    <m/>
    <m/>
    <m/>
    <s v="$E"/>
    <n v="536"/>
    <s v=";'C THUMANO'!$E$10:$BD$100;14;1)"/>
    <s v=";'C THUMANO'!$E$10:$BD$100;14;1)"/>
    <s v="=BUSCARV($E536;'C THUMANO'!$E$10:$BD$100;14;1)"/>
    <m/>
    <s v="Posible"/>
    <n v="3"/>
    <n v="3"/>
    <s v="Mayor"/>
    <n v="10"/>
    <n v="10"/>
    <s v="30_x000a_ALTA"/>
    <s v="Rara vez"/>
    <n v="1"/>
    <n v="1"/>
    <s v="Moderado"/>
    <n v="5"/>
    <n v="5"/>
    <s v="5_x000a_BAJA"/>
  </r>
  <r>
    <x v="15"/>
    <s v="C THUMANO"/>
    <x v="0"/>
    <x v="2"/>
    <x v="1"/>
    <m/>
    <m/>
    <m/>
    <m/>
    <m/>
    <m/>
    <m/>
    <m/>
    <s v="$E"/>
    <n v="537"/>
    <s v=";'C THUMANO'!$E$10:$BD$100;14;1)"/>
    <s v=";'C THUMANO'!$E$10:$BD$100;14;1)"/>
    <s v="=BUSCARV($E537;'C THUMANO'!$E$10:$BD$100;14;1)"/>
    <m/>
    <e v="#N/A"/>
    <e v="#N/A"/>
    <e v="#N/A"/>
    <e v="#N/A"/>
    <e v="#N/A"/>
    <e v="#N/A"/>
    <e v="#N/A"/>
    <e v="#N/A"/>
    <e v="#N/A"/>
    <e v="#N/A"/>
    <e v="#N/A"/>
    <e v="#N/A"/>
    <e v="#N/A"/>
    <e v="#N/A"/>
  </r>
  <r>
    <x v="15"/>
    <s v="C THUMANO"/>
    <x v="0"/>
    <x v="56"/>
    <x v="0"/>
    <m/>
    <m/>
    <m/>
    <m/>
    <m/>
    <m/>
    <m/>
    <m/>
    <s v="$E"/>
    <n v="538"/>
    <s v=";'C THUMANO'!$E$10:$BD$100;14;1)"/>
    <s v=";'C THUMANO'!$E$10:$BD$100;14;1)"/>
    <s v="=BUSCARV($E538;'C THUMANO'!$E$10:$BD$100;14;1)"/>
    <m/>
    <s v="Improbable"/>
    <n v="2"/>
    <n v="2"/>
    <s v="Mayor"/>
    <n v="10"/>
    <n v="10"/>
    <s v="20_x000a_MODERADA"/>
    <s v="Rara vez"/>
    <n v="1"/>
    <n v="1"/>
    <s v="Moderado"/>
    <n v="5"/>
    <n v="5"/>
    <s v="5_x000a_BAJA"/>
  </r>
  <r>
    <x v="15"/>
    <s v="C THUMANO"/>
    <x v="0"/>
    <x v="2"/>
    <x v="1"/>
    <m/>
    <m/>
    <m/>
    <m/>
    <m/>
    <m/>
    <m/>
    <m/>
    <s v="$E"/>
    <n v="539"/>
    <s v=";'C THUMANO'!$E$10:$BD$100;14;1)"/>
    <s v=";'C THUMANO'!$E$10:$BD$100;14;1)"/>
    <s v="=BUSCARV($E539;'C THUMANO'!$E$10:$BD$100;14;1)"/>
    <m/>
    <e v="#N/A"/>
    <e v="#N/A"/>
    <e v="#N/A"/>
    <e v="#N/A"/>
    <e v="#N/A"/>
    <e v="#N/A"/>
    <e v="#N/A"/>
    <e v="#N/A"/>
    <e v="#N/A"/>
    <e v="#N/A"/>
    <e v="#N/A"/>
    <e v="#N/A"/>
    <e v="#N/A"/>
    <e v="#N/A"/>
  </r>
  <r>
    <x v="15"/>
    <s v="C THUMANO"/>
    <x v="0"/>
    <x v="2"/>
    <x v="1"/>
    <m/>
    <m/>
    <m/>
    <m/>
    <m/>
    <m/>
    <m/>
    <m/>
    <s v="$E"/>
    <n v="540"/>
    <s v=";'C THUMANO'!$E$10:$BD$100;14;1)"/>
    <s v=";'C THUMANO'!$E$10:$BD$100;14;1)"/>
    <s v="=BUSCARV($E540;'C THUMANO'!$E$10:$BD$100;14;1)"/>
    <m/>
    <e v="#N/A"/>
    <e v="#N/A"/>
    <e v="#N/A"/>
    <e v="#N/A"/>
    <e v="#N/A"/>
    <e v="#N/A"/>
    <e v="#N/A"/>
    <e v="#N/A"/>
    <e v="#N/A"/>
    <e v="#N/A"/>
    <e v="#N/A"/>
    <e v="#N/A"/>
    <e v="#N/A"/>
    <e v="#N/A"/>
  </r>
  <r>
    <x v="15"/>
    <s v="C THUMANO"/>
    <x v="0"/>
    <x v="2"/>
    <x v="1"/>
    <m/>
    <m/>
    <m/>
    <m/>
    <m/>
    <m/>
    <m/>
    <m/>
    <s v="$E"/>
    <n v="541"/>
    <s v=";'C THUMANO'!$E$10:$BD$100;14;1)"/>
    <s v=";'C THUMANO'!$E$10:$BD$100;14;1)"/>
    <s v="=BUSCARV($E541;'C THUMANO'!$E$10:$BD$100;14;1)"/>
    <m/>
    <e v="#N/A"/>
    <e v="#N/A"/>
    <e v="#N/A"/>
    <e v="#N/A"/>
    <e v="#N/A"/>
    <e v="#N/A"/>
    <e v="#N/A"/>
    <e v="#N/A"/>
    <e v="#N/A"/>
    <e v="#N/A"/>
    <e v="#N/A"/>
    <e v="#N/A"/>
    <e v="#N/A"/>
    <e v="#N/A"/>
  </r>
  <r>
    <x v="15"/>
    <s v="C THUMANO"/>
    <x v="0"/>
    <x v="2"/>
    <x v="1"/>
    <m/>
    <m/>
    <m/>
    <m/>
    <m/>
    <m/>
    <m/>
    <m/>
    <s v="$E"/>
    <n v="542"/>
    <s v=";'C THUMANO'!$E$10:$BD$100;14;1)"/>
    <s v=";'C THUMANO'!$E$10:$BD$100;14;1)"/>
    <s v="=BUSCARV($E542;'C THUMANO'!$E$10:$BD$100;14;1)"/>
    <m/>
    <e v="#N/A"/>
    <e v="#N/A"/>
    <e v="#N/A"/>
    <e v="#N/A"/>
    <e v="#N/A"/>
    <e v="#N/A"/>
    <e v="#N/A"/>
    <e v="#N/A"/>
    <e v="#N/A"/>
    <e v="#N/A"/>
    <e v="#N/A"/>
    <e v="#N/A"/>
    <e v="#N/A"/>
    <e v="#N/A"/>
  </r>
  <r>
    <x v="15"/>
    <s v="C THUMANO"/>
    <x v="0"/>
    <x v="2"/>
    <x v="1"/>
    <m/>
    <m/>
    <m/>
    <m/>
    <m/>
    <m/>
    <m/>
    <m/>
    <s v="$E"/>
    <n v="543"/>
    <s v=";'C THUMANO'!$E$10:$BD$100;14;1)"/>
    <s v=";'C THUMANO'!$E$10:$BD$100;14;1)"/>
    <s v="=BUSCARV($E543;'C THUMANO'!$E$10:$BD$100;14;1)"/>
    <m/>
    <e v="#N/A"/>
    <e v="#N/A"/>
    <e v="#N/A"/>
    <e v="#N/A"/>
    <e v="#N/A"/>
    <e v="#N/A"/>
    <e v="#N/A"/>
    <e v="#N/A"/>
    <e v="#N/A"/>
    <e v="#N/A"/>
    <e v="#N/A"/>
    <e v="#N/A"/>
    <e v="#N/A"/>
    <e v="#N/A"/>
  </r>
  <r>
    <x v="15"/>
    <s v="C THUMANO"/>
    <x v="0"/>
    <x v="2"/>
    <x v="1"/>
    <m/>
    <m/>
    <m/>
    <m/>
    <m/>
    <m/>
    <m/>
    <m/>
    <s v="$E"/>
    <n v="544"/>
    <s v=";'C THUMANO'!$E$10:$BD$100;14;1)"/>
    <s v=";'C THUMANO'!$E$10:$BD$100;14;1)"/>
    <s v="=BUSCARV($E544;'C THUMANO'!$E$10:$BD$100;14;1)"/>
    <m/>
    <e v="#N/A"/>
    <e v="#N/A"/>
    <e v="#N/A"/>
    <e v="#N/A"/>
    <e v="#N/A"/>
    <e v="#N/A"/>
    <e v="#N/A"/>
    <e v="#N/A"/>
    <e v="#N/A"/>
    <e v="#N/A"/>
    <e v="#N/A"/>
    <e v="#N/A"/>
    <e v="#N/A"/>
    <e v="#N/A"/>
  </r>
  <r>
    <x v="15"/>
    <s v="C THUMANO"/>
    <x v="0"/>
    <x v="2"/>
    <x v="1"/>
    <m/>
    <m/>
    <m/>
    <m/>
    <m/>
    <m/>
    <m/>
    <m/>
    <s v="$E"/>
    <n v="545"/>
    <s v=";'C THUMANO'!$E$10:$BD$100;14;1)"/>
    <s v=";'C THUMANO'!$E$10:$BD$100;14;1)"/>
    <s v="=BUSCARV($E545;'C THUMANO'!$E$10:$BD$100;14;1)"/>
    <m/>
    <e v="#N/A"/>
    <e v="#N/A"/>
    <e v="#N/A"/>
    <e v="#N/A"/>
    <e v="#N/A"/>
    <e v="#N/A"/>
    <e v="#N/A"/>
    <e v="#N/A"/>
    <e v="#N/A"/>
    <e v="#N/A"/>
    <e v="#N/A"/>
    <e v="#N/A"/>
    <e v="#N/A"/>
    <e v="#N/A"/>
  </r>
  <r>
    <x v="15"/>
    <s v="C THUMANO"/>
    <x v="0"/>
    <x v="2"/>
    <x v="1"/>
    <m/>
    <m/>
    <m/>
    <m/>
    <m/>
    <m/>
    <m/>
    <m/>
    <s v="$E"/>
    <n v="546"/>
    <s v=";'C THUMANO'!$E$10:$BD$100;14;1)"/>
    <s v=";'C THUMANO'!$E$10:$BD$100;14;1)"/>
    <s v="=BUSCARV($E546;'C THUMANO'!$E$10:$BD$100;14;1)"/>
    <m/>
    <e v="#N/A"/>
    <e v="#N/A"/>
    <e v="#N/A"/>
    <e v="#N/A"/>
    <e v="#N/A"/>
    <e v="#N/A"/>
    <e v="#N/A"/>
    <e v="#N/A"/>
    <e v="#N/A"/>
    <e v="#N/A"/>
    <e v="#N/A"/>
    <e v="#N/A"/>
    <e v="#N/A"/>
    <e v="#N/A"/>
  </r>
  <r>
    <x v="15"/>
    <s v="C THUMANO"/>
    <x v="0"/>
    <x v="2"/>
    <x v="1"/>
    <m/>
    <m/>
    <m/>
    <m/>
    <m/>
    <m/>
    <m/>
    <m/>
    <s v="$E"/>
    <n v="547"/>
    <s v=";'C THUMANO'!$E$10:$BD$100;14;1)"/>
    <s v=";'C THUMANO'!$E$10:$BD$100;14;1)"/>
    <s v="=BUSCARV($E547;'C THUMANO'!$E$10:$BD$100;14;1)"/>
    <m/>
    <e v="#N/A"/>
    <e v="#N/A"/>
    <e v="#N/A"/>
    <e v="#N/A"/>
    <e v="#N/A"/>
    <e v="#N/A"/>
    <e v="#N/A"/>
    <e v="#N/A"/>
    <e v="#N/A"/>
    <e v="#N/A"/>
    <e v="#N/A"/>
    <e v="#N/A"/>
    <e v="#N/A"/>
    <e v="#N/A"/>
  </r>
  <r>
    <x v="15"/>
    <s v="C THUMANO"/>
    <x v="0"/>
    <x v="2"/>
    <x v="1"/>
    <m/>
    <m/>
    <m/>
    <m/>
    <m/>
    <m/>
    <m/>
    <m/>
    <s v="$E"/>
    <n v="548"/>
    <s v=";'C THUMANO'!$E$10:$BD$100;14;1)"/>
    <s v=";'C THUMANO'!$E$10:$BD$100;14;1)"/>
    <s v="=BUSCARV($E548;'C THUMANO'!$E$10:$BD$100;14;1)"/>
    <m/>
    <e v="#N/A"/>
    <e v="#N/A"/>
    <e v="#N/A"/>
    <e v="#N/A"/>
    <e v="#N/A"/>
    <e v="#N/A"/>
    <e v="#N/A"/>
    <e v="#N/A"/>
    <e v="#N/A"/>
    <e v="#N/A"/>
    <e v="#N/A"/>
    <e v="#N/A"/>
    <e v="#N/A"/>
    <e v="#N/A"/>
  </r>
  <r>
    <x v="15"/>
    <s v="C THUMANO"/>
    <x v="0"/>
    <x v="2"/>
    <x v="1"/>
    <m/>
    <m/>
    <m/>
    <m/>
    <m/>
    <m/>
    <m/>
    <m/>
    <s v="$E"/>
    <n v="549"/>
    <s v=";'C THUMANO'!$E$10:$BD$100;14;1)"/>
    <s v=";'C THUMANO'!$E$10:$BD$100;14;1)"/>
    <s v="=BUSCARV($E549;'C THUMANO'!$E$10:$BD$100;14;1)"/>
    <m/>
    <e v="#N/A"/>
    <e v="#N/A"/>
    <e v="#N/A"/>
    <e v="#N/A"/>
    <e v="#N/A"/>
    <e v="#N/A"/>
    <e v="#N/A"/>
    <e v="#N/A"/>
    <e v="#N/A"/>
    <e v="#N/A"/>
    <e v="#N/A"/>
    <e v="#N/A"/>
    <e v="#N/A"/>
    <e v="#N/A"/>
  </r>
  <r>
    <x v="15"/>
    <s v="C THUMANO"/>
    <x v="0"/>
    <x v="2"/>
    <x v="1"/>
    <m/>
    <m/>
    <m/>
    <m/>
    <m/>
    <m/>
    <m/>
    <m/>
    <s v="$E"/>
    <n v="550"/>
    <s v=";'C THUMANO'!$E$10:$BD$100;14;1)"/>
    <s v=";'C THUMANO'!$E$10:$BD$100;14;1)"/>
    <s v="=BUSCARV($E550;'C THUMANO'!$E$10:$BD$100;14;1)"/>
    <m/>
    <e v="#N/A"/>
    <e v="#N/A"/>
    <e v="#N/A"/>
    <e v="#N/A"/>
    <e v="#N/A"/>
    <e v="#N/A"/>
    <e v="#N/A"/>
    <e v="#N/A"/>
    <e v="#N/A"/>
    <e v="#N/A"/>
    <e v="#N/A"/>
    <e v="#N/A"/>
    <e v="#N/A"/>
    <e v="#N/A"/>
  </r>
  <r>
    <x v="15"/>
    <s v="C THUMANO"/>
    <x v="0"/>
    <x v="2"/>
    <x v="1"/>
    <m/>
    <m/>
    <m/>
    <m/>
    <m/>
    <m/>
    <m/>
    <m/>
    <s v="$E"/>
    <n v="551"/>
    <s v=";'C THUMANO'!$E$10:$BD$100;14;1)"/>
    <s v=";'C THUMANO'!$E$10:$BD$100;14;1)"/>
    <s v="=BUSCARV($E551;'C THUMANO'!$E$10:$BD$100;14;1)"/>
    <m/>
    <e v="#N/A"/>
    <e v="#N/A"/>
    <e v="#N/A"/>
    <e v="#N/A"/>
    <e v="#N/A"/>
    <e v="#N/A"/>
    <e v="#N/A"/>
    <e v="#N/A"/>
    <e v="#N/A"/>
    <e v="#N/A"/>
    <e v="#N/A"/>
    <e v="#N/A"/>
    <e v="#N/A"/>
    <e v="#N/A"/>
  </r>
  <r>
    <x v="15"/>
    <s v="C THUMANO"/>
    <x v="0"/>
    <x v="2"/>
    <x v="1"/>
    <m/>
    <m/>
    <m/>
    <m/>
    <m/>
    <m/>
    <m/>
    <m/>
    <s v="$E"/>
    <n v="552"/>
    <s v=";'C THUMANO'!$E$10:$BD$100;14;1)"/>
    <s v=";'C THUMANO'!$E$10:$BD$100;14;1)"/>
    <s v="=BUSCARV($E552;'C THUMANO'!$E$10:$BD$100;14;1)"/>
    <m/>
    <e v="#N/A"/>
    <e v="#N/A"/>
    <e v="#N/A"/>
    <e v="#N/A"/>
    <e v="#N/A"/>
    <e v="#N/A"/>
    <e v="#N/A"/>
    <e v="#N/A"/>
    <e v="#N/A"/>
    <e v="#N/A"/>
    <e v="#N/A"/>
    <e v="#N/A"/>
    <e v="#N/A"/>
    <e v="#N/A"/>
  </r>
  <r>
    <x v="16"/>
    <s v="C TICs"/>
    <x v="0"/>
    <x v="57"/>
    <x v="0"/>
    <m/>
    <m/>
    <m/>
    <m/>
    <m/>
    <m/>
    <m/>
    <m/>
    <s v="$E"/>
    <n v="553"/>
    <s v=";'C TICs'!$E$10:$BD$100;14;1)"/>
    <s v=";'C TICs'!$E$10:$BD$100;14;1)"/>
    <s v="=BUSCARV($E553;'C TICs'!$E$10:$BD$100;14;1)"/>
    <s v="difer"/>
    <s v="Rara vez"/>
    <n v="1"/>
    <n v="1"/>
    <s v="Mayor"/>
    <n v="10"/>
    <n v="10"/>
    <s v="10_x000a_BAJA"/>
    <s v="Rara vez"/>
    <n v="1"/>
    <n v="1"/>
    <s v="Mayor"/>
    <n v="10"/>
    <n v="10"/>
    <s v="10_x000a_BAJA"/>
  </r>
  <r>
    <x v="16"/>
    <s v="C TICs"/>
    <x v="0"/>
    <x v="58"/>
    <x v="0"/>
    <m/>
    <m/>
    <m/>
    <m/>
    <m/>
    <m/>
    <m/>
    <m/>
    <s v="$E"/>
    <n v="554"/>
    <s v=";'C TICs'!$E$10:$BD$100;14;1)"/>
    <s v=";'C TICs'!$E$10:$BD$100;14;1)"/>
    <s v="=BUSCARV($E554;'C TICs'!$E$10:$BD$100;14;1)"/>
    <s v="difer"/>
    <s v="Rara vez"/>
    <n v="1"/>
    <n v="1"/>
    <s v="Mayor"/>
    <n v="10"/>
    <n v="10"/>
    <s v="10_x000a_BAJA"/>
    <s v="Rara vez"/>
    <n v="1"/>
    <n v="1"/>
    <s v="Moderado"/>
    <n v="5"/>
    <n v="5"/>
    <s v="5_x000a_BAJA"/>
  </r>
  <r>
    <x v="16"/>
    <s v="C TICs"/>
    <x v="0"/>
    <x v="59"/>
    <x v="0"/>
    <m/>
    <m/>
    <m/>
    <m/>
    <m/>
    <m/>
    <m/>
    <m/>
    <s v="$E"/>
    <n v="555"/>
    <s v=";'C TICs'!$E$10:$BD$100;14;1)"/>
    <s v=";'C TICs'!$E$10:$BD$100;14;1)"/>
    <s v="=BUSCARV($E555;'C TICs'!$E$10:$BD$100;14;1)"/>
    <s v="difer"/>
    <s v="Rara vez"/>
    <n v="1"/>
    <n v="1"/>
    <s v="Mayor"/>
    <n v="10"/>
    <n v="10"/>
    <s v="10_x000a_BAJA"/>
    <s v="Rara vez"/>
    <n v="1"/>
    <n v="1"/>
    <s v="Moderado"/>
    <n v="5"/>
    <n v="5"/>
    <s v="5_x000a_BAJA"/>
  </r>
  <r>
    <x v="16"/>
    <s v="C TICs"/>
    <x v="0"/>
    <x v="60"/>
    <x v="0"/>
    <m/>
    <m/>
    <m/>
    <m/>
    <m/>
    <m/>
    <m/>
    <m/>
    <s v="$E"/>
    <n v="556"/>
    <s v=";'C TICs'!$E$10:$BD$100;14;1)"/>
    <s v=";'C TICs'!$E$10:$BD$100;14;1)"/>
    <s v="=BUSCARV($E556;'C TICs'!$E$10:$BD$100;14;1)"/>
    <s v="difer"/>
    <s v="Improbable"/>
    <n v="2"/>
    <n v="2"/>
    <s v="Moderado"/>
    <n v="5"/>
    <n v="5"/>
    <s v="10_x000a_BAJA"/>
    <s v="Rara vez"/>
    <n v="1"/>
    <n v="1"/>
    <s v="Moderado"/>
    <n v="5"/>
    <n v="5"/>
    <s v="5_x000a_BAJA"/>
  </r>
  <r>
    <x v="16"/>
    <s v="C TICs"/>
    <x v="0"/>
    <x v="2"/>
    <x v="1"/>
    <m/>
    <m/>
    <m/>
    <m/>
    <m/>
    <m/>
    <m/>
    <m/>
    <s v="$E"/>
    <n v="557"/>
    <s v=";'C TICs'!$E$10:$BD$100;14;1)"/>
    <s v=";'C TICs'!$E$10:$BD$100;14;1)"/>
    <s v="=BUSCARV($E557;'C TICs'!$E$10:$BD$100;14;1)"/>
    <s v="difer"/>
    <e v="#N/A"/>
    <e v="#N/A"/>
    <e v="#N/A"/>
    <e v="#N/A"/>
    <e v="#N/A"/>
    <e v="#N/A"/>
    <e v="#N/A"/>
    <e v="#N/A"/>
    <e v="#N/A"/>
    <e v="#N/A"/>
    <e v="#N/A"/>
    <e v="#N/A"/>
    <e v="#N/A"/>
    <e v="#N/A"/>
  </r>
  <r>
    <x v="16"/>
    <s v="C TICs"/>
    <x v="0"/>
    <x v="2"/>
    <x v="1"/>
    <m/>
    <m/>
    <m/>
    <m/>
    <m/>
    <m/>
    <m/>
    <m/>
    <s v="$E"/>
    <n v="558"/>
    <s v=";'C TICs'!$E$10:$BD$100;14;1)"/>
    <s v=";'C TICs'!$E$10:$BD$100;14;1)"/>
    <s v="=BUSCARV($E558;'C TICs'!$E$10:$BD$100;14;1)"/>
    <s v="difer"/>
    <e v="#N/A"/>
    <e v="#N/A"/>
    <e v="#N/A"/>
    <e v="#N/A"/>
    <e v="#N/A"/>
    <e v="#N/A"/>
    <e v="#N/A"/>
    <e v="#N/A"/>
    <e v="#N/A"/>
    <e v="#N/A"/>
    <e v="#N/A"/>
    <e v="#N/A"/>
    <e v="#N/A"/>
    <e v="#N/A"/>
  </r>
  <r>
    <x v="16"/>
    <s v="C TICs"/>
    <x v="0"/>
    <x v="2"/>
    <x v="1"/>
    <m/>
    <m/>
    <m/>
    <m/>
    <m/>
    <m/>
    <m/>
    <m/>
    <s v="$E"/>
    <n v="559"/>
    <s v=";'C TICs'!$E$10:$BD$100;14;1)"/>
    <s v=";'C TICs'!$E$10:$BD$100;14;1)"/>
    <s v="=BUSCARV($E559;'C TICs'!$E$10:$BD$100;14;1)"/>
    <s v="difer"/>
    <e v="#N/A"/>
    <e v="#N/A"/>
    <e v="#N/A"/>
    <e v="#N/A"/>
    <e v="#N/A"/>
    <e v="#N/A"/>
    <e v="#N/A"/>
    <e v="#N/A"/>
    <e v="#N/A"/>
    <e v="#N/A"/>
    <e v="#N/A"/>
    <e v="#N/A"/>
    <e v="#N/A"/>
    <e v="#N/A"/>
  </r>
  <r>
    <x v="16"/>
    <s v="C TICs"/>
    <x v="0"/>
    <x v="2"/>
    <x v="1"/>
    <m/>
    <m/>
    <m/>
    <m/>
    <m/>
    <m/>
    <m/>
    <m/>
    <s v="$E"/>
    <n v="560"/>
    <s v=";'C TICs'!$E$10:$BD$100;14;1)"/>
    <s v=";'C TICs'!$E$10:$BD$100;14;1)"/>
    <s v="=BUSCARV($E560;'C TICs'!$E$10:$BD$100;14;1)"/>
    <s v="difer"/>
    <e v="#N/A"/>
    <e v="#N/A"/>
    <e v="#N/A"/>
    <e v="#N/A"/>
    <e v="#N/A"/>
    <e v="#N/A"/>
    <e v="#N/A"/>
    <e v="#N/A"/>
    <e v="#N/A"/>
    <e v="#N/A"/>
    <e v="#N/A"/>
    <e v="#N/A"/>
    <e v="#N/A"/>
    <e v="#N/A"/>
  </r>
  <r>
    <x v="16"/>
    <s v="C TICs"/>
    <x v="0"/>
    <x v="2"/>
    <x v="1"/>
    <m/>
    <m/>
    <m/>
    <m/>
    <m/>
    <m/>
    <m/>
    <m/>
    <s v="$E"/>
    <n v="561"/>
    <s v=";'C TICs'!$E$10:$BD$100;14;1)"/>
    <s v=";'C TICs'!$E$10:$BD$100;14;1)"/>
    <s v="=BUSCARV($E561;'C TICs'!$E$10:$BD$100;14;1)"/>
    <s v="difer"/>
    <e v="#N/A"/>
    <e v="#N/A"/>
    <e v="#N/A"/>
    <e v="#N/A"/>
    <e v="#N/A"/>
    <e v="#N/A"/>
    <e v="#N/A"/>
    <e v="#N/A"/>
    <e v="#N/A"/>
    <e v="#N/A"/>
    <e v="#N/A"/>
    <e v="#N/A"/>
    <e v="#N/A"/>
    <e v="#N/A"/>
  </r>
  <r>
    <x v="16"/>
    <s v="C TICs"/>
    <x v="0"/>
    <x v="2"/>
    <x v="1"/>
    <m/>
    <m/>
    <m/>
    <m/>
    <m/>
    <m/>
    <m/>
    <m/>
    <s v="$E"/>
    <n v="562"/>
    <s v=";'C TICs'!$E$10:$BD$100;14;1)"/>
    <s v=";'C TICs'!$E$10:$BD$100;14;1)"/>
    <s v="=BUSCARV($E562;'C TICs'!$E$10:$BD$100;14;1)"/>
    <s v="difer"/>
    <e v="#N/A"/>
    <e v="#N/A"/>
    <e v="#N/A"/>
    <e v="#N/A"/>
    <e v="#N/A"/>
    <e v="#N/A"/>
    <e v="#N/A"/>
    <e v="#N/A"/>
    <e v="#N/A"/>
    <e v="#N/A"/>
    <e v="#N/A"/>
    <e v="#N/A"/>
    <e v="#N/A"/>
    <e v="#N/A"/>
  </r>
  <r>
    <x v="16"/>
    <s v="C TICs"/>
    <x v="0"/>
    <x v="2"/>
    <x v="1"/>
    <m/>
    <m/>
    <m/>
    <m/>
    <m/>
    <m/>
    <m/>
    <m/>
    <s v="$E"/>
    <n v="563"/>
    <s v=";'C TICs'!$E$10:$BD$100;14;1)"/>
    <s v=";'C TICs'!$E$10:$BD$100;14;1)"/>
    <s v="=BUSCARV($E563;'C TICs'!$E$10:$BD$100;14;1)"/>
    <s v="difer"/>
    <e v="#N/A"/>
    <e v="#N/A"/>
    <e v="#N/A"/>
    <e v="#N/A"/>
    <e v="#N/A"/>
    <e v="#N/A"/>
    <e v="#N/A"/>
    <e v="#N/A"/>
    <e v="#N/A"/>
    <e v="#N/A"/>
    <e v="#N/A"/>
    <e v="#N/A"/>
    <e v="#N/A"/>
    <e v="#N/A"/>
  </r>
  <r>
    <x v="16"/>
    <s v="C TICs"/>
    <x v="0"/>
    <x v="2"/>
    <x v="1"/>
    <m/>
    <m/>
    <m/>
    <m/>
    <m/>
    <m/>
    <m/>
    <m/>
    <s v="$E"/>
    <n v="564"/>
    <s v=";'C TICs'!$E$10:$BD$100;14;1)"/>
    <s v=";'C TICs'!$E$10:$BD$100;14;1)"/>
    <s v="=BUSCARV($E564;'C TICs'!$E$10:$BD$100;14;1)"/>
    <s v="difer"/>
    <e v="#N/A"/>
    <e v="#N/A"/>
    <e v="#N/A"/>
    <e v="#N/A"/>
    <e v="#N/A"/>
    <e v="#N/A"/>
    <e v="#N/A"/>
    <e v="#N/A"/>
    <e v="#N/A"/>
    <e v="#N/A"/>
    <e v="#N/A"/>
    <e v="#N/A"/>
    <e v="#N/A"/>
    <e v="#N/A"/>
  </r>
  <r>
    <x v="16"/>
    <s v="C TICs"/>
    <x v="0"/>
    <x v="2"/>
    <x v="1"/>
    <m/>
    <m/>
    <m/>
    <m/>
    <m/>
    <m/>
    <m/>
    <m/>
    <s v="$E"/>
    <n v="565"/>
    <s v=";'C TICs'!$E$10:$BD$100;14;1)"/>
    <s v=";'C TICs'!$E$10:$BD$100;14;1)"/>
    <s v="=BUSCARV($E565;'C TICs'!$E$10:$BD$100;14;1)"/>
    <s v="difer"/>
    <e v="#N/A"/>
    <e v="#N/A"/>
    <e v="#N/A"/>
    <e v="#N/A"/>
    <e v="#N/A"/>
    <e v="#N/A"/>
    <e v="#N/A"/>
    <e v="#N/A"/>
    <e v="#N/A"/>
    <e v="#N/A"/>
    <e v="#N/A"/>
    <e v="#N/A"/>
    <e v="#N/A"/>
    <e v="#N/A"/>
  </r>
  <r>
    <x v="16"/>
    <s v="C TICs"/>
    <x v="0"/>
    <x v="2"/>
    <x v="1"/>
    <m/>
    <m/>
    <m/>
    <m/>
    <m/>
    <m/>
    <m/>
    <m/>
    <s v="$E"/>
    <n v="566"/>
    <s v=";'C TICs'!$E$10:$BD$100;14;1)"/>
    <s v=";'C TICs'!$E$10:$BD$100;14;1)"/>
    <s v="=BUSCARV($E566;'C TICs'!$E$10:$BD$100;14;1)"/>
    <s v="difer"/>
    <e v="#N/A"/>
    <e v="#N/A"/>
    <e v="#N/A"/>
    <e v="#N/A"/>
    <e v="#N/A"/>
    <e v="#N/A"/>
    <e v="#N/A"/>
    <e v="#N/A"/>
    <e v="#N/A"/>
    <e v="#N/A"/>
    <e v="#N/A"/>
    <e v="#N/A"/>
    <e v="#N/A"/>
    <e v="#N/A"/>
  </r>
  <r>
    <x v="16"/>
    <s v="C TICs"/>
    <x v="0"/>
    <x v="2"/>
    <x v="1"/>
    <m/>
    <m/>
    <m/>
    <m/>
    <m/>
    <m/>
    <m/>
    <m/>
    <s v="$E"/>
    <n v="567"/>
    <s v=";'C TICs'!$E$10:$BD$100;14;1)"/>
    <s v=";'C TICs'!$E$10:$BD$100;14;1)"/>
    <s v="=BUSCARV($E567;'C TICs'!$E$10:$BD$100;14;1)"/>
    <s v="difer"/>
    <e v="#N/A"/>
    <e v="#N/A"/>
    <e v="#N/A"/>
    <e v="#N/A"/>
    <e v="#N/A"/>
    <e v="#N/A"/>
    <e v="#N/A"/>
    <e v="#N/A"/>
    <e v="#N/A"/>
    <e v="#N/A"/>
    <e v="#N/A"/>
    <e v="#N/A"/>
    <e v="#N/A"/>
    <e v="#N/A"/>
  </r>
  <r>
    <x v="17"/>
    <s v="C FISICOS"/>
    <x v="0"/>
    <x v="61"/>
    <x v="0"/>
    <m/>
    <m/>
    <m/>
    <m/>
    <m/>
    <m/>
    <m/>
    <m/>
    <s v="$E"/>
    <n v="568"/>
    <s v=";'C FISICOS'!$E$10:$BD$100;14;1)"/>
    <s v=";'C FISICOS'!$E$10:$BD$100;14;1)"/>
    <s v="=BUSCARV($E568;'C FISICOS'!$E$10:$BD$100;14;1)"/>
    <m/>
    <s v="Rara vez"/>
    <n v="1"/>
    <n v="1"/>
    <s v="Moderado"/>
    <n v="5"/>
    <n v="5"/>
    <s v="5_x000a_BAJA"/>
    <s v="Rara vez"/>
    <n v="1"/>
    <n v="1"/>
    <s v="Moderado"/>
    <n v="5"/>
    <n v="5"/>
    <s v="5_x000a_BAJA"/>
  </r>
  <r>
    <x v="17"/>
    <s v="C FISICOS"/>
    <x v="0"/>
    <x v="62"/>
    <x v="0"/>
    <m/>
    <m/>
    <m/>
    <m/>
    <m/>
    <m/>
    <m/>
    <m/>
    <s v="$E"/>
    <n v="569"/>
    <s v=";'C FISICOS'!$E$10:$BD$100;14;1)"/>
    <s v=";'C FISICOS'!$E$10:$BD$100;14;1)"/>
    <s v="=BUSCARV($E569;'C FISICOS'!$E$10:$BD$100;14;1)"/>
    <m/>
    <s v="Rara vez"/>
    <n v="1"/>
    <n v="1"/>
    <s v="Catastrófico"/>
    <n v="20"/>
    <n v="20"/>
    <s v="20_x000a_MODERADA"/>
    <s v="Rara vez"/>
    <n v="1"/>
    <n v="1"/>
    <s v="Catastrófico"/>
    <n v="20"/>
    <n v="20"/>
    <s v="20_x000a_MODERADA"/>
  </r>
  <r>
    <x v="17"/>
    <s v="C FISICOS"/>
    <x v="0"/>
    <x v="63"/>
    <x v="0"/>
    <m/>
    <m/>
    <m/>
    <m/>
    <m/>
    <m/>
    <m/>
    <m/>
    <s v="$E"/>
    <n v="570"/>
    <s v=";'C FISICOS'!$E$10:$BD$100;14;1)"/>
    <s v=";'C FISICOS'!$E$10:$BD$100;14;1)"/>
    <s v="=BUSCARV($E570;'C FISICOS'!$E$10:$BD$100;14;1)"/>
    <m/>
    <s v="Rara vez"/>
    <n v="1"/>
    <n v="1"/>
    <s v="Mayor"/>
    <n v="10"/>
    <n v="10"/>
    <s v="10_x000a_BAJA"/>
    <s v="Rara vez"/>
    <n v="1"/>
    <n v="1"/>
    <s v="Moderado"/>
    <n v="5"/>
    <n v="5"/>
    <s v="5_x000a_BAJA"/>
  </r>
  <r>
    <x v="17"/>
    <s v="C FISICOS"/>
    <x v="0"/>
    <x v="64"/>
    <x v="0"/>
    <m/>
    <m/>
    <m/>
    <m/>
    <m/>
    <m/>
    <m/>
    <m/>
    <s v="$E"/>
    <n v="571"/>
    <s v=";'C FISICOS'!$E$10:$BD$100;14;1)"/>
    <s v=";'C FISICOS'!$E$10:$BD$100;14;1)"/>
    <s v="=BUSCARV($E571;'C FISICOS'!$E$10:$BD$100;14;1)"/>
    <m/>
    <s v="Rara vez"/>
    <n v="1"/>
    <n v="1"/>
    <s v="Mayor"/>
    <n v="10"/>
    <n v="10"/>
    <s v="10_x000a_BAJA"/>
    <s v="Rara vez"/>
    <n v="1"/>
    <n v="1"/>
    <s v="Moderado"/>
    <n v="5"/>
    <n v="5"/>
    <s v="5_x000a_BAJA"/>
  </r>
  <r>
    <x v="17"/>
    <s v="C FISICOS"/>
    <x v="0"/>
    <x v="65"/>
    <x v="0"/>
    <m/>
    <m/>
    <m/>
    <m/>
    <m/>
    <m/>
    <m/>
    <m/>
    <s v="$E"/>
    <n v="572"/>
    <s v=";'C FISICOS'!$E$10:$BD$100;14;1)"/>
    <s v=";'C FISICOS'!$E$10:$BD$100;14;1)"/>
    <s v="=BUSCARV($E572;'C FISICOS'!$E$10:$BD$100;14;1)"/>
    <m/>
    <s v="Rara vez"/>
    <n v="1"/>
    <n v="1"/>
    <s v="Moderado"/>
    <n v="5"/>
    <n v="5"/>
    <s v="5_x000a_BAJA"/>
    <s v="Rara vez"/>
    <n v="1"/>
    <n v="1"/>
    <s v="Moderado"/>
    <n v="5"/>
    <n v="5"/>
    <s v="5_x000a_BAJA"/>
  </r>
  <r>
    <x v="17"/>
    <s v="C FISICOS"/>
    <x v="0"/>
    <x v="66"/>
    <x v="0"/>
    <m/>
    <m/>
    <m/>
    <m/>
    <m/>
    <m/>
    <m/>
    <m/>
    <s v="$E"/>
    <n v="573"/>
    <s v=";'C FISICOS'!$E$10:$BD$100;14;1)"/>
    <s v=";'C FISICOS'!$E$10:$BD$100;14;1)"/>
    <s v="=BUSCARV($E573;'C FISICOS'!$E$10:$BD$100;14;1)"/>
    <m/>
    <s v="Improbable"/>
    <n v="2"/>
    <n v="2"/>
    <s v="Mayor"/>
    <n v="10"/>
    <n v="10"/>
    <s v="20_x000a_MODERADA"/>
    <s v="Rara vez"/>
    <n v="1"/>
    <n v="1"/>
    <s v="Mayor"/>
    <n v="10"/>
    <n v="10"/>
    <s v="10_x000a_BAJA"/>
  </r>
  <r>
    <x v="17"/>
    <s v="C FISICOS"/>
    <x v="0"/>
    <x v="67"/>
    <x v="0"/>
    <m/>
    <m/>
    <m/>
    <m/>
    <m/>
    <m/>
    <m/>
    <m/>
    <s v="$E"/>
    <n v="574"/>
    <s v=";'C FISICOS'!$E$10:$BD$100;14;1)"/>
    <s v=";'C FISICOS'!$E$10:$BD$100;14;1)"/>
    <s v="=BUSCARV($E574;'C FISICOS'!$E$10:$BD$100;14;1)"/>
    <m/>
    <s v="Rara vez"/>
    <n v="1"/>
    <n v="1"/>
    <s v="Mayor"/>
    <n v="10"/>
    <n v="10"/>
    <s v="10_x000a_BAJA"/>
    <s v="Rara vez"/>
    <n v="1"/>
    <n v="1"/>
    <s v="Moderado"/>
    <n v="5"/>
    <n v="5"/>
    <s v="5_x000a_BAJA"/>
  </r>
  <r>
    <x v="17"/>
    <s v="C FISICOS"/>
    <x v="0"/>
    <x v="2"/>
    <x v="1"/>
    <m/>
    <m/>
    <m/>
    <m/>
    <m/>
    <m/>
    <m/>
    <m/>
    <s v="$E"/>
    <n v="575"/>
    <s v=";'C FISICOS'!$E$10:$BD$100;14;1)"/>
    <s v=";'C FISICOS'!$E$10:$BD$100;14;1)"/>
    <s v="=BUSCARV($E575;'C FISICOS'!$E$10:$BD$100;14;1)"/>
    <m/>
    <e v="#N/A"/>
    <e v="#N/A"/>
    <e v="#N/A"/>
    <e v="#N/A"/>
    <e v="#N/A"/>
    <e v="#N/A"/>
    <e v="#N/A"/>
    <e v="#N/A"/>
    <e v="#N/A"/>
    <e v="#N/A"/>
    <e v="#N/A"/>
    <e v="#N/A"/>
    <e v="#N/A"/>
    <e v="#N/A"/>
  </r>
  <r>
    <x v="17"/>
    <s v="C FISICOS"/>
    <x v="0"/>
    <x v="2"/>
    <x v="1"/>
    <m/>
    <m/>
    <m/>
    <m/>
    <m/>
    <m/>
    <m/>
    <m/>
    <s v="$E"/>
    <n v="576"/>
    <s v=";'C FISICOS'!$E$10:$BD$100;14;1)"/>
    <s v=";'C FISICOS'!$E$10:$BD$100;14;1)"/>
    <s v="=BUSCARV($E576;'C FISICOS'!$E$10:$BD$100;14;1)"/>
    <m/>
    <e v="#N/A"/>
    <e v="#N/A"/>
    <e v="#N/A"/>
    <e v="#N/A"/>
    <e v="#N/A"/>
    <e v="#N/A"/>
    <e v="#N/A"/>
    <e v="#N/A"/>
    <e v="#N/A"/>
    <e v="#N/A"/>
    <e v="#N/A"/>
    <e v="#N/A"/>
    <e v="#N/A"/>
    <e v="#N/A"/>
  </r>
  <r>
    <x v="17"/>
    <s v="C FISICOS"/>
    <x v="0"/>
    <x v="2"/>
    <x v="1"/>
    <m/>
    <m/>
    <m/>
    <m/>
    <m/>
    <m/>
    <m/>
    <m/>
    <s v="$E"/>
    <n v="577"/>
    <s v=";'C FISICOS'!$E$10:$BD$100;14;1)"/>
    <s v=";'C FISICOS'!$E$10:$BD$100;14;1)"/>
    <s v="=BUSCARV($E577;'C FISICOS'!$E$10:$BD$100;14;1)"/>
    <m/>
    <e v="#N/A"/>
    <e v="#N/A"/>
    <e v="#N/A"/>
    <e v="#N/A"/>
    <e v="#N/A"/>
    <e v="#N/A"/>
    <e v="#N/A"/>
    <e v="#N/A"/>
    <e v="#N/A"/>
    <e v="#N/A"/>
    <e v="#N/A"/>
    <e v="#N/A"/>
    <e v="#N/A"/>
    <e v="#N/A"/>
  </r>
  <r>
    <x v="17"/>
    <s v="C FISICOS"/>
    <x v="0"/>
    <x v="2"/>
    <x v="1"/>
    <m/>
    <m/>
    <m/>
    <m/>
    <m/>
    <m/>
    <m/>
    <m/>
    <s v="$E"/>
    <n v="578"/>
    <s v=";'C FISICOS'!$E$10:$BD$100;14;1)"/>
    <s v=";'C FISICOS'!$E$10:$BD$100;14;1)"/>
    <s v="=BUSCARV($E578;'C FISICOS'!$E$10:$BD$100;14;1)"/>
    <m/>
    <e v="#N/A"/>
    <e v="#N/A"/>
    <e v="#N/A"/>
    <e v="#N/A"/>
    <e v="#N/A"/>
    <e v="#N/A"/>
    <e v="#N/A"/>
    <e v="#N/A"/>
    <e v="#N/A"/>
    <e v="#N/A"/>
    <e v="#N/A"/>
    <e v="#N/A"/>
    <e v="#N/A"/>
    <e v="#N/A"/>
  </r>
  <r>
    <x v="17"/>
    <s v="C FISICOS"/>
    <x v="0"/>
    <x v="2"/>
    <x v="1"/>
    <m/>
    <m/>
    <m/>
    <m/>
    <m/>
    <m/>
    <m/>
    <m/>
    <s v="$E"/>
    <n v="579"/>
    <s v=";'C FISICOS'!$E$10:$BD$100;14;1)"/>
    <s v=";'C FISICOS'!$E$10:$BD$100;14;1)"/>
    <s v="=BUSCARV($E579;'C FISICOS'!$E$10:$BD$100;14;1)"/>
    <m/>
    <e v="#N/A"/>
    <e v="#N/A"/>
    <e v="#N/A"/>
    <e v="#N/A"/>
    <e v="#N/A"/>
    <e v="#N/A"/>
    <e v="#N/A"/>
    <e v="#N/A"/>
    <e v="#N/A"/>
    <e v="#N/A"/>
    <e v="#N/A"/>
    <e v="#N/A"/>
    <e v="#N/A"/>
    <e v="#N/A"/>
  </r>
  <r>
    <x v="17"/>
    <s v="C FISICOS"/>
    <x v="0"/>
    <x v="2"/>
    <x v="1"/>
    <m/>
    <m/>
    <m/>
    <m/>
    <m/>
    <m/>
    <m/>
    <m/>
    <s v="$E"/>
    <n v="580"/>
    <s v=";'C FISICOS'!$E$10:$BD$100;14;1)"/>
    <s v=";'C FISICOS'!$E$10:$BD$100;14;1)"/>
    <s v="=BUSCARV($E580;'C FISICOS'!$E$10:$BD$100;14;1)"/>
    <m/>
    <e v="#N/A"/>
    <e v="#N/A"/>
    <e v="#N/A"/>
    <e v="#N/A"/>
    <e v="#N/A"/>
    <e v="#N/A"/>
    <e v="#N/A"/>
    <e v="#N/A"/>
    <e v="#N/A"/>
    <e v="#N/A"/>
    <e v="#N/A"/>
    <e v="#N/A"/>
    <e v="#N/A"/>
    <e v="#N/A"/>
  </r>
  <r>
    <x v="17"/>
    <s v="C FISICOS"/>
    <x v="0"/>
    <x v="2"/>
    <x v="1"/>
    <m/>
    <m/>
    <m/>
    <m/>
    <m/>
    <m/>
    <m/>
    <m/>
    <s v="$E"/>
    <n v="581"/>
    <s v=";'C FISICOS'!$E$10:$BD$100;14;1)"/>
    <s v=";'C FISICOS'!$E$10:$BD$100;14;1)"/>
    <s v="=BUSCARV($E581;'C FISICOS'!$E$10:$BD$100;14;1)"/>
    <m/>
    <e v="#N/A"/>
    <e v="#N/A"/>
    <e v="#N/A"/>
    <e v="#N/A"/>
    <e v="#N/A"/>
    <e v="#N/A"/>
    <e v="#N/A"/>
    <e v="#N/A"/>
    <e v="#N/A"/>
    <e v="#N/A"/>
    <e v="#N/A"/>
    <e v="#N/A"/>
    <e v="#N/A"/>
    <e v="#N/A"/>
  </r>
  <r>
    <x v="17"/>
    <s v="C FISICOS"/>
    <x v="0"/>
    <x v="2"/>
    <x v="1"/>
    <m/>
    <m/>
    <m/>
    <m/>
    <m/>
    <m/>
    <m/>
    <m/>
    <s v="$E"/>
    <n v="582"/>
    <s v=";'C FISICOS'!$E$10:$BD$100;14;1)"/>
    <s v=";'C FISICOS'!$E$10:$BD$100;14;1)"/>
    <s v="=BUSCARV($E582;'C FISICOS'!$E$10:$BD$100;14;1)"/>
    <m/>
    <e v="#N/A"/>
    <e v="#N/A"/>
    <e v="#N/A"/>
    <e v="#N/A"/>
    <e v="#N/A"/>
    <e v="#N/A"/>
    <e v="#N/A"/>
    <e v="#N/A"/>
    <e v="#N/A"/>
    <e v="#N/A"/>
    <e v="#N/A"/>
    <e v="#N/A"/>
    <e v="#N/A"/>
    <e v="#N/A"/>
  </r>
  <r>
    <x v="18"/>
    <s v="C Documental"/>
    <x v="0"/>
    <x v="68"/>
    <x v="0"/>
    <m/>
    <m/>
    <m/>
    <m/>
    <m/>
    <m/>
    <m/>
    <m/>
    <s v="$E"/>
    <n v="583"/>
    <s v=";'C Documental'!$E$10:$BD$100;14;1)"/>
    <s v=";'C Documental'!$E$10:$BD$100;14;1)"/>
    <s v="=BUSCARV($E583;'C Documental'!$E$10:$BD$100;14;1)"/>
    <m/>
    <s v="Rara vez"/>
    <n v="1"/>
    <n v="1"/>
    <s v="Moderado"/>
    <n v="5"/>
    <n v="5"/>
    <s v="5_x000a_BAJA"/>
    <s v="Rara vez"/>
    <n v="1"/>
    <n v="1"/>
    <s v="Moderado"/>
    <n v="5"/>
    <n v="5"/>
    <s v="5_x000a_BAJA"/>
  </r>
  <r>
    <x v="18"/>
    <s v="C Documental"/>
    <x v="0"/>
    <x v="69"/>
    <x v="0"/>
    <m/>
    <m/>
    <m/>
    <m/>
    <m/>
    <m/>
    <m/>
    <m/>
    <s v="$E"/>
    <n v="584"/>
    <s v=";'C Documental'!$E$10:$BD$100;14;1)"/>
    <s v=";'C Documental'!$E$10:$BD$100;14;1)"/>
    <s v="=BUSCARV($E584;'C Documental'!$E$10:$BD$100;14;1)"/>
    <m/>
    <s v="Rara vez"/>
    <n v="1"/>
    <n v="1"/>
    <s v="Moderado"/>
    <n v="5"/>
    <n v="5"/>
    <s v="5_x000a_BAJA"/>
    <s v="Rara vez"/>
    <n v="1"/>
    <n v="1"/>
    <s v="Moderado"/>
    <n v="5"/>
    <n v="5"/>
    <s v="5_x000a_BAJA"/>
  </r>
  <r>
    <x v="18"/>
    <s v="C Documental"/>
    <x v="0"/>
    <x v="2"/>
    <x v="1"/>
    <m/>
    <m/>
    <m/>
    <m/>
    <m/>
    <m/>
    <m/>
    <m/>
    <s v="$E"/>
    <n v="585"/>
    <s v=";'C Documental'!$E$10:$BD$100;14;1)"/>
    <s v=";'C Documental'!$E$10:$BD$100;14;1)"/>
    <s v="=BUSCARV($E585;'C Documental'!$E$10:$BD$100;14;1)"/>
    <m/>
    <e v="#N/A"/>
    <e v="#N/A"/>
    <e v="#N/A"/>
    <e v="#N/A"/>
    <e v="#N/A"/>
    <e v="#N/A"/>
    <e v="#N/A"/>
    <e v="#N/A"/>
    <e v="#N/A"/>
    <e v="#N/A"/>
    <e v="#N/A"/>
    <e v="#N/A"/>
    <e v="#N/A"/>
    <e v="#N/A"/>
  </r>
  <r>
    <x v="18"/>
    <s v="C Documental"/>
    <x v="0"/>
    <x v="2"/>
    <x v="1"/>
    <m/>
    <m/>
    <m/>
    <m/>
    <m/>
    <m/>
    <m/>
    <m/>
    <s v="$E"/>
    <n v="586"/>
    <s v=";'C Documental'!$E$10:$BD$100;14;1)"/>
    <s v=";'C Documental'!$E$10:$BD$100;14;1)"/>
    <s v="=BUSCARV($E586;'C Documental'!$E$10:$BD$100;14;1)"/>
    <m/>
    <e v="#N/A"/>
    <e v="#N/A"/>
    <e v="#N/A"/>
    <e v="#N/A"/>
    <e v="#N/A"/>
    <e v="#N/A"/>
    <e v="#N/A"/>
    <e v="#N/A"/>
    <e v="#N/A"/>
    <e v="#N/A"/>
    <e v="#N/A"/>
    <e v="#N/A"/>
    <e v="#N/A"/>
    <e v="#N/A"/>
  </r>
  <r>
    <x v="18"/>
    <s v="C Documental"/>
    <x v="0"/>
    <x v="2"/>
    <x v="1"/>
    <m/>
    <m/>
    <m/>
    <m/>
    <m/>
    <m/>
    <m/>
    <m/>
    <s v="$E"/>
    <n v="587"/>
    <s v=";'C Documental'!$E$10:$BD$100;14;1)"/>
    <s v=";'C Documental'!$E$10:$BD$100;14;1)"/>
    <s v="=BUSCARV($E587;'C Documental'!$E$10:$BD$100;14;1)"/>
    <m/>
    <e v="#N/A"/>
    <e v="#N/A"/>
    <e v="#N/A"/>
    <e v="#N/A"/>
    <e v="#N/A"/>
    <e v="#N/A"/>
    <e v="#N/A"/>
    <e v="#N/A"/>
    <e v="#N/A"/>
    <e v="#N/A"/>
    <e v="#N/A"/>
    <e v="#N/A"/>
    <e v="#N/A"/>
    <e v="#N/A"/>
  </r>
  <r>
    <x v="18"/>
    <s v="C Documental"/>
    <x v="0"/>
    <x v="2"/>
    <x v="1"/>
    <m/>
    <m/>
    <m/>
    <m/>
    <m/>
    <m/>
    <m/>
    <m/>
    <s v="$E"/>
    <n v="588"/>
    <s v=";'C Documental'!$E$10:$BD$100;14;1)"/>
    <s v=";'C Documental'!$E$10:$BD$100;14;1)"/>
    <s v="=BUSCARV($E588;'C Documental'!$E$10:$BD$100;14;1)"/>
    <m/>
    <e v="#N/A"/>
    <e v="#N/A"/>
    <e v="#N/A"/>
    <e v="#N/A"/>
    <e v="#N/A"/>
    <e v="#N/A"/>
    <e v="#N/A"/>
    <e v="#N/A"/>
    <e v="#N/A"/>
    <e v="#N/A"/>
    <e v="#N/A"/>
    <e v="#N/A"/>
    <e v="#N/A"/>
    <e v="#N/A"/>
  </r>
  <r>
    <x v="18"/>
    <s v="C Documental"/>
    <x v="0"/>
    <x v="2"/>
    <x v="1"/>
    <m/>
    <m/>
    <m/>
    <m/>
    <m/>
    <m/>
    <m/>
    <m/>
    <s v="$E"/>
    <n v="589"/>
    <s v=";'C Documental'!$E$10:$BD$100;14;1)"/>
    <s v=";'C Documental'!$E$10:$BD$100;14;1)"/>
    <s v="=BUSCARV($E589;'C Documental'!$E$10:$BD$100;14;1)"/>
    <m/>
    <e v="#N/A"/>
    <e v="#N/A"/>
    <e v="#N/A"/>
    <e v="#N/A"/>
    <e v="#N/A"/>
    <e v="#N/A"/>
    <e v="#N/A"/>
    <e v="#N/A"/>
    <e v="#N/A"/>
    <e v="#N/A"/>
    <e v="#N/A"/>
    <e v="#N/A"/>
    <e v="#N/A"/>
    <e v="#N/A"/>
  </r>
  <r>
    <x v="18"/>
    <s v="C Documental"/>
    <x v="0"/>
    <x v="2"/>
    <x v="1"/>
    <m/>
    <m/>
    <m/>
    <m/>
    <m/>
    <m/>
    <m/>
    <m/>
    <s v="$E"/>
    <n v="590"/>
    <s v=";'C Documental'!$E$10:$BD$100;14;1)"/>
    <s v=";'C Documental'!$E$10:$BD$100;14;1)"/>
    <s v="=BUSCARV($E590;'C Documental'!$E$10:$BD$100;14;1)"/>
    <m/>
    <e v="#N/A"/>
    <e v="#N/A"/>
    <e v="#N/A"/>
    <e v="#N/A"/>
    <e v="#N/A"/>
    <e v="#N/A"/>
    <e v="#N/A"/>
    <e v="#N/A"/>
    <e v="#N/A"/>
    <e v="#N/A"/>
    <e v="#N/A"/>
    <e v="#N/A"/>
    <e v="#N/A"/>
    <e v="#N/A"/>
  </r>
  <r>
    <x v="18"/>
    <s v="C Documental"/>
    <x v="0"/>
    <x v="2"/>
    <x v="1"/>
    <m/>
    <m/>
    <m/>
    <m/>
    <m/>
    <m/>
    <m/>
    <m/>
    <s v="$E"/>
    <n v="591"/>
    <s v=";'C Documental'!$E$10:$BD$100;14;1)"/>
    <s v=";'C Documental'!$E$10:$BD$100;14;1)"/>
    <s v="=BUSCARV($E591;'C Documental'!$E$10:$BD$100;14;1)"/>
    <m/>
    <e v="#N/A"/>
    <e v="#N/A"/>
    <e v="#N/A"/>
    <e v="#N/A"/>
    <e v="#N/A"/>
    <e v="#N/A"/>
    <e v="#N/A"/>
    <e v="#N/A"/>
    <e v="#N/A"/>
    <e v="#N/A"/>
    <e v="#N/A"/>
    <e v="#N/A"/>
    <e v="#N/A"/>
    <e v="#N/A"/>
  </r>
  <r>
    <x v="18"/>
    <s v="C Documental"/>
    <x v="0"/>
    <x v="2"/>
    <x v="1"/>
    <m/>
    <m/>
    <m/>
    <m/>
    <m/>
    <m/>
    <m/>
    <m/>
    <s v="$E"/>
    <n v="592"/>
    <s v=";'C Documental'!$E$10:$BD$100;14;1)"/>
    <s v=";'C Documental'!$E$10:$BD$100;14;1)"/>
    <s v="=BUSCARV($E592;'C Documental'!$E$10:$BD$100;14;1)"/>
    <m/>
    <e v="#N/A"/>
    <e v="#N/A"/>
    <e v="#N/A"/>
    <e v="#N/A"/>
    <e v="#N/A"/>
    <e v="#N/A"/>
    <e v="#N/A"/>
    <e v="#N/A"/>
    <e v="#N/A"/>
    <e v="#N/A"/>
    <e v="#N/A"/>
    <e v="#N/A"/>
    <e v="#N/A"/>
    <e v="#N/A"/>
  </r>
  <r>
    <x v="18"/>
    <s v="C Documental"/>
    <x v="0"/>
    <x v="2"/>
    <x v="1"/>
    <m/>
    <m/>
    <m/>
    <m/>
    <m/>
    <m/>
    <m/>
    <m/>
    <s v="$E"/>
    <n v="593"/>
    <s v=";'C Documental'!$E$10:$BD$100;14;1)"/>
    <s v=";'C Documental'!$E$10:$BD$100;14;1)"/>
    <s v="=BUSCARV($E593;'C Documental'!$E$10:$BD$100;14;1)"/>
    <m/>
    <e v="#N/A"/>
    <e v="#N/A"/>
    <e v="#N/A"/>
    <e v="#N/A"/>
    <e v="#N/A"/>
    <e v="#N/A"/>
    <e v="#N/A"/>
    <e v="#N/A"/>
    <e v="#N/A"/>
    <e v="#N/A"/>
    <e v="#N/A"/>
    <e v="#N/A"/>
    <e v="#N/A"/>
    <e v="#N/A"/>
  </r>
  <r>
    <x v="18"/>
    <s v="C Documental"/>
    <x v="0"/>
    <x v="2"/>
    <x v="1"/>
    <m/>
    <m/>
    <m/>
    <m/>
    <m/>
    <m/>
    <m/>
    <m/>
    <s v="$E"/>
    <n v="594"/>
    <s v=";'C Documental'!$E$10:$BD$100;14;1)"/>
    <s v=";'C Documental'!$E$10:$BD$100;14;1)"/>
    <s v="=BUSCARV($E594;'C Documental'!$E$10:$BD$100;14;1)"/>
    <m/>
    <e v="#N/A"/>
    <e v="#N/A"/>
    <e v="#N/A"/>
    <e v="#N/A"/>
    <e v="#N/A"/>
    <e v="#N/A"/>
    <e v="#N/A"/>
    <e v="#N/A"/>
    <e v="#N/A"/>
    <e v="#N/A"/>
    <e v="#N/A"/>
    <e v="#N/A"/>
    <e v="#N/A"/>
    <e v="#N/A"/>
  </r>
  <r>
    <x v="18"/>
    <s v="C Documental"/>
    <x v="0"/>
    <x v="2"/>
    <x v="1"/>
    <m/>
    <m/>
    <m/>
    <m/>
    <m/>
    <m/>
    <m/>
    <m/>
    <s v="$E"/>
    <n v="595"/>
    <s v=";'C Documental'!$E$10:$BD$100;14;1)"/>
    <s v=";'C Documental'!$E$10:$BD$100;14;1)"/>
    <s v="=BUSCARV($E595;'C Documental'!$E$10:$BD$100;14;1)"/>
    <m/>
    <e v="#N/A"/>
    <e v="#N/A"/>
    <e v="#N/A"/>
    <e v="#N/A"/>
    <e v="#N/A"/>
    <e v="#N/A"/>
    <e v="#N/A"/>
    <e v="#N/A"/>
    <e v="#N/A"/>
    <e v="#N/A"/>
    <e v="#N/A"/>
    <e v="#N/A"/>
    <e v="#N/A"/>
    <e v="#N/A"/>
  </r>
  <r>
    <x v="19"/>
    <s v="C FINANCIERA"/>
    <x v="0"/>
    <x v="70"/>
    <x v="0"/>
    <m/>
    <m/>
    <m/>
    <m/>
    <m/>
    <m/>
    <m/>
    <m/>
    <s v="$E"/>
    <n v="596"/>
    <s v=";'C FINANCIERA'!$E$10:$BD$100;14;1)"/>
    <s v=";'C FINANCIERA'!$E$10:$BD$100;14;1)"/>
    <s v="=BUSCARV($E596;'C FINANCIERA'!$E$10:$BD$100;14;1)"/>
    <m/>
    <s v="Rara vez"/>
    <n v="1"/>
    <n v="1"/>
    <s v="Mayor"/>
    <n v="10"/>
    <n v="10"/>
    <s v="10_x000a_BAJA"/>
    <s v="Rara vez"/>
    <n v="1"/>
    <n v="1"/>
    <s v="Moderado"/>
    <n v="5"/>
    <n v="5"/>
    <s v="5_x000a_BAJA"/>
  </r>
  <r>
    <x v="19"/>
    <s v="C FINANCIERA"/>
    <x v="0"/>
    <x v="71"/>
    <x v="0"/>
    <m/>
    <m/>
    <m/>
    <m/>
    <m/>
    <m/>
    <m/>
    <m/>
    <s v="$E"/>
    <n v="597"/>
    <s v=";'C FINANCIERA'!$E$10:$BD$100;14;1)"/>
    <s v=";'C FINANCIERA'!$E$10:$BD$100;14;1)"/>
    <s v="=BUSCARV($E597;'C FINANCIERA'!$E$10:$BD$100;14;1)"/>
    <m/>
    <s v="Improbable"/>
    <n v="2"/>
    <n v="2"/>
    <s v="Mayor"/>
    <n v="10"/>
    <n v="10"/>
    <s v="20_x000a_MODERADA"/>
    <s v="Rara vez"/>
    <n v="1"/>
    <n v="1"/>
    <s v="Moderado"/>
    <n v="5"/>
    <n v="5"/>
    <s v="5_x000a_BAJA"/>
  </r>
  <r>
    <x v="19"/>
    <s v="C FINANCIERA"/>
    <x v="0"/>
    <x v="72"/>
    <x v="0"/>
    <m/>
    <m/>
    <m/>
    <m/>
    <m/>
    <m/>
    <m/>
    <m/>
    <s v="$E"/>
    <n v="598"/>
    <s v=";'C FINANCIERA'!$E$10:$BD$100;14;1)"/>
    <s v=";'C FINANCIERA'!$E$10:$BD$100;14;1)"/>
    <s v="=BUSCARV($E598;'C FINANCIERA'!$E$10:$BD$100;14;1)"/>
    <m/>
    <s v="Rara vez"/>
    <n v="1"/>
    <n v="1"/>
    <s v="Mayor"/>
    <n v="10"/>
    <n v="10"/>
    <s v="10_x000a_BAJA"/>
    <s v="Rara vez"/>
    <n v="1"/>
    <n v="1"/>
    <s v="Moderado"/>
    <n v="5"/>
    <n v="5"/>
    <s v="5_x000a_BAJA"/>
  </r>
  <r>
    <x v="19"/>
    <s v="C FINANCIERA"/>
    <x v="0"/>
    <x v="73"/>
    <x v="0"/>
    <m/>
    <m/>
    <m/>
    <m/>
    <m/>
    <m/>
    <m/>
    <m/>
    <s v="$E"/>
    <n v="599"/>
    <s v=";'C FINANCIERA'!$E$10:$BD$100;14;1)"/>
    <s v=";'C FINANCIERA'!$E$10:$BD$100;14;1)"/>
    <s v="=BUSCARV($E599;'C FINANCIERA'!$E$10:$BD$100;14;1)"/>
    <m/>
    <s v="Rara vez"/>
    <n v="1"/>
    <n v="1"/>
    <s v="Mayor"/>
    <n v="10"/>
    <n v="10"/>
    <s v="10_x000a_BAJA"/>
    <s v="Rara vez"/>
    <n v="1"/>
    <n v="1"/>
    <s v="Mayor"/>
    <n v="10"/>
    <n v="10"/>
    <s v="10_x000a_BAJA"/>
  </r>
  <r>
    <x v="19"/>
    <s v="C FINANCIERA"/>
    <x v="0"/>
    <x v="2"/>
    <x v="1"/>
    <m/>
    <m/>
    <m/>
    <m/>
    <m/>
    <m/>
    <m/>
    <m/>
    <s v="$E"/>
    <n v="600"/>
    <s v=";'C FINANCIERA'!$E$10:$BD$100;14;1)"/>
    <s v=";'C FINANCIERA'!$E$10:$BD$100;14;1)"/>
    <s v="=BUSCARV($E600;'C FINANCIERA'!$E$10:$BD$100;14;1)"/>
    <m/>
    <e v="#N/A"/>
    <e v="#N/A"/>
    <e v="#N/A"/>
    <e v="#N/A"/>
    <e v="#N/A"/>
    <e v="#N/A"/>
    <e v="#N/A"/>
    <e v="#N/A"/>
    <e v="#N/A"/>
    <e v="#N/A"/>
    <e v="#N/A"/>
    <e v="#N/A"/>
    <e v="#N/A"/>
    <e v="#N/A"/>
  </r>
  <r>
    <x v="19"/>
    <s v="C FINANCIERA"/>
    <x v="0"/>
    <x v="2"/>
    <x v="1"/>
    <m/>
    <m/>
    <m/>
    <m/>
    <m/>
    <m/>
    <m/>
    <m/>
    <s v="$E"/>
    <n v="601"/>
    <s v=";'C FINANCIERA'!$E$10:$BD$100;14;1)"/>
    <s v=";'C FINANCIERA'!$E$10:$BD$100;14;1)"/>
    <s v="=BUSCARV($E601;'C FINANCIERA'!$E$10:$BD$100;14;1)"/>
    <m/>
    <e v="#N/A"/>
    <e v="#N/A"/>
    <e v="#N/A"/>
    <e v="#N/A"/>
    <e v="#N/A"/>
    <e v="#N/A"/>
    <e v="#N/A"/>
    <e v="#N/A"/>
    <e v="#N/A"/>
    <e v="#N/A"/>
    <e v="#N/A"/>
    <e v="#N/A"/>
    <e v="#N/A"/>
    <e v="#N/A"/>
  </r>
  <r>
    <x v="19"/>
    <s v="C FINANCIERA"/>
    <x v="0"/>
    <x v="2"/>
    <x v="1"/>
    <m/>
    <m/>
    <m/>
    <m/>
    <m/>
    <m/>
    <m/>
    <m/>
    <s v="$E"/>
    <n v="602"/>
    <s v=";'C FINANCIERA'!$E$10:$BD$100;14;1)"/>
    <s v=";'C FINANCIERA'!$E$10:$BD$100;14;1)"/>
    <s v="=BUSCARV($E602;'C FINANCIERA'!$E$10:$BD$100;14;1)"/>
    <m/>
    <e v="#N/A"/>
    <e v="#N/A"/>
    <e v="#N/A"/>
    <e v="#N/A"/>
    <e v="#N/A"/>
    <e v="#N/A"/>
    <e v="#N/A"/>
    <e v="#N/A"/>
    <e v="#N/A"/>
    <e v="#N/A"/>
    <e v="#N/A"/>
    <e v="#N/A"/>
    <e v="#N/A"/>
    <e v="#N/A"/>
  </r>
  <r>
    <x v="19"/>
    <s v="C FINANCIERA"/>
    <x v="0"/>
    <x v="2"/>
    <x v="1"/>
    <m/>
    <m/>
    <m/>
    <m/>
    <m/>
    <m/>
    <m/>
    <m/>
    <s v="$E"/>
    <n v="603"/>
    <s v=";'C FINANCIERA'!$E$10:$BD$100;14;1)"/>
    <s v=";'C FINANCIERA'!$E$10:$BD$100;14;1)"/>
    <s v="=BUSCARV($E603;'C FINANCIERA'!$E$10:$BD$100;14;1)"/>
    <m/>
    <e v="#N/A"/>
    <e v="#N/A"/>
    <e v="#N/A"/>
    <e v="#N/A"/>
    <e v="#N/A"/>
    <e v="#N/A"/>
    <e v="#N/A"/>
    <e v="#N/A"/>
    <e v="#N/A"/>
    <e v="#N/A"/>
    <e v="#N/A"/>
    <e v="#N/A"/>
    <e v="#N/A"/>
    <e v="#N/A"/>
  </r>
  <r>
    <x v="19"/>
    <s v="C FINANCIERA"/>
    <x v="0"/>
    <x v="2"/>
    <x v="1"/>
    <m/>
    <m/>
    <m/>
    <m/>
    <m/>
    <m/>
    <m/>
    <m/>
    <s v="$E"/>
    <n v="604"/>
    <s v=";'C FINANCIERA'!$E$10:$BD$100;14;1)"/>
    <s v=";'C FINANCIERA'!$E$10:$BD$100;14;1)"/>
    <s v="=BUSCARV($E604;'C FINANCIERA'!$E$10:$BD$100;14;1)"/>
    <m/>
    <e v="#N/A"/>
    <e v="#N/A"/>
    <e v="#N/A"/>
    <e v="#N/A"/>
    <e v="#N/A"/>
    <e v="#N/A"/>
    <e v="#N/A"/>
    <e v="#N/A"/>
    <e v="#N/A"/>
    <e v="#N/A"/>
    <e v="#N/A"/>
    <e v="#N/A"/>
    <e v="#N/A"/>
    <e v="#N/A"/>
  </r>
  <r>
    <x v="19"/>
    <s v="C FINANCIERA"/>
    <x v="0"/>
    <x v="2"/>
    <x v="1"/>
    <m/>
    <m/>
    <m/>
    <m/>
    <m/>
    <m/>
    <m/>
    <m/>
    <s v="$E"/>
    <n v="605"/>
    <s v=";'C FINANCIERA'!$E$10:$BD$100;14;1)"/>
    <s v=";'C FINANCIERA'!$E$10:$BD$100;14;1)"/>
    <s v="=BUSCARV($E605;'C FINANCIERA'!$E$10:$BD$100;14;1)"/>
    <m/>
    <e v="#N/A"/>
    <e v="#N/A"/>
    <e v="#N/A"/>
    <e v="#N/A"/>
    <e v="#N/A"/>
    <e v="#N/A"/>
    <e v="#N/A"/>
    <e v="#N/A"/>
    <e v="#N/A"/>
    <e v="#N/A"/>
    <e v="#N/A"/>
    <e v="#N/A"/>
    <e v="#N/A"/>
    <e v="#N/A"/>
  </r>
  <r>
    <x v="19"/>
    <s v="C FINANCIERA"/>
    <x v="0"/>
    <x v="2"/>
    <x v="1"/>
    <m/>
    <m/>
    <m/>
    <m/>
    <m/>
    <m/>
    <m/>
    <m/>
    <s v="$E"/>
    <n v="606"/>
    <s v=";'C FINANCIERA'!$E$10:$BD$100;14;1)"/>
    <s v=";'C FINANCIERA'!$E$10:$BD$100;14;1)"/>
    <s v="=BUSCARV($E606;'C FINANCIERA'!$E$10:$BD$100;14;1)"/>
    <m/>
    <e v="#N/A"/>
    <e v="#N/A"/>
    <e v="#N/A"/>
    <e v="#N/A"/>
    <e v="#N/A"/>
    <e v="#N/A"/>
    <e v="#N/A"/>
    <e v="#N/A"/>
    <e v="#N/A"/>
    <e v="#N/A"/>
    <e v="#N/A"/>
    <e v="#N/A"/>
    <e v="#N/A"/>
    <e v="#N/A"/>
  </r>
  <r>
    <x v="19"/>
    <s v="C FINANCIERA"/>
    <x v="0"/>
    <x v="2"/>
    <x v="1"/>
    <m/>
    <m/>
    <m/>
    <m/>
    <m/>
    <m/>
    <m/>
    <m/>
    <s v="$E"/>
    <n v="607"/>
    <s v=";'C FINANCIERA'!$E$10:$BD$100;14;1)"/>
    <s v=";'C FINANCIERA'!$E$10:$BD$100;14;1)"/>
    <s v="=BUSCARV($E607;'C FINANCIERA'!$E$10:$BD$100;14;1)"/>
    <m/>
    <e v="#N/A"/>
    <e v="#N/A"/>
    <e v="#N/A"/>
    <e v="#N/A"/>
    <e v="#N/A"/>
    <e v="#N/A"/>
    <e v="#N/A"/>
    <e v="#N/A"/>
    <e v="#N/A"/>
    <e v="#N/A"/>
    <e v="#N/A"/>
    <e v="#N/A"/>
    <e v="#N/A"/>
    <e v="#N/A"/>
  </r>
  <r>
    <x v="19"/>
    <s v="C FINANCIERA"/>
    <x v="0"/>
    <x v="2"/>
    <x v="1"/>
    <m/>
    <m/>
    <m/>
    <m/>
    <m/>
    <m/>
    <m/>
    <m/>
    <s v="$E"/>
    <n v="608"/>
    <s v=";'C FINANCIERA'!$E$10:$BD$100;14;1)"/>
    <s v=";'C FINANCIERA'!$E$10:$BD$100;14;1)"/>
    <s v="=BUSCARV($E608;'C FINANCIERA'!$E$10:$BD$100;14;1)"/>
    <m/>
    <e v="#N/A"/>
    <e v="#N/A"/>
    <e v="#N/A"/>
    <e v="#N/A"/>
    <e v="#N/A"/>
    <e v="#N/A"/>
    <e v="#N/A"/>
    <e v="#N/A"/>
    <e v="#N/A"/>
    <e v="#N/A"/>
    <e v="#N/A"/>
    <e v="#N/A"/>
    <e v="#N/A"/>
    <e v="#N/A"/>
  </r>
  <r>
    <x v="19"/>
    <s v="C FINANCIERA"/>
    <x v="0"/>
    <x v="2"/>
    <x v="1"/>
    <m/>
    <m/>
    <m/>
    <m/>
    <m/>
    <m/>
    <m/>
    <m/>
    <s v="$E"/>
    <n v="609"/>
    <s v=";'C FINANCIERA'!$E$10:$BD$100;14;1)"/>
    <s v=";'C FINANCIERA'!$E$10:$BD$100;14;1)"/>
    <s v="=BUSCARV($E609;'C FINANCIERA'!$E$10:$BD$100;14;1)"/>
    <m/>
    <e v="#N/A"/>
    <e v="#N/A"/>
    <e v="#N/A"/>
    <e v="#N/A"/>
    <e v="#N/A"/>
    <e v="#N/A"/>
    <e v="#N/A"/>
    <e v="#N/A"/>
    <e v="#N/A"/>
    <e v="#N/A"/>
    <e v="#N/A"/>
    <e v="#N/A"/>
    <e v="#N/A"/>
    <e v="#N/A"/>
  </r>
  <r>
    <x v="19"/>
    <s v="C FINANCIERA"/>
    <x v="0"/>
    <x v="2"/>
    <x v="1"/>
    <m/>
    <m/>
    <m/>
    <m/>
    <m/>
    <m/>
    <m/>
    <m/>
    <s v="$E"/>
    <n v="610"/>
    <s v=";'C FINANCIERA'!$E$10:$BD$100;14;1)"/>
    <s v=";'C FINANCIERA'!$E$10:$BD$100;14;1)"/>
    <s v="=BUSCARV($E610;'C FINANCIERA'!$E$10:$BD$100;14;1)"/>
    <m/>
    <e v="#N/A"/>
    <e v="#N/A"/>
    <e v="#N/A"/>
    <e v="#N/A"/>
    <e v="#N/A"/>
    <e v="#N/A"/>
    <e v="#N/A"/>
    <e v="#N/A"/>
    <e v="#N/A"/>
    <e v="#N/A"/>
    <e v="#N/A"/>
    <e v="#N/A"/>
    <e v="#N/A"/>
    <e v="#N/A"/>
  </r>
  <r>
    <x v="19"/>
    <s v="C FINANCIERA"/>
    <x v="0"/>
    <x v="2"/>
    <x v="1"/>
    <m/>
    <m/>
    <m/>
    <m/>
    <m/>
    <m/>
    <m/>
    <m/>
    <s v="$E"/>
    <n v="611"/>
    <s v=";'C FINANCIERA'!$E$10:$BD$100;14;1)"/>
    <s v=";'C FINANCIERA'!$E$10:$BD$100;14;1)"/>
    <s v="=BUSCARV($E611;'C FINANCIERA'!$E$10:$BD$100;14;1)"/>
    <m/>
    <e v="#N/A"/>
    <e v="#N/A"/>
    <e v="#N/A"/>
    <e v="#N/A"/>
    <e v="#N/A"/>
    <e v="#N/A"/>
    <e v="#N/A"/>
    <e v="#N/A"/>
    <e v="#N/A"/>
    <e v="#N/A"/>
    <e v="#N/A"/>
    <e v="#N/A"/>
    <e v="#N/A"/>
    <e v="#N/A"/>
  </r>
  <r>
    <x v="19"/>
    <s v="C FINANCIERA"/>
    <x v="0"/>
    <x v="2"/>
    <x v="1"/>
    <m/>
    <m/>
    <m/>
    <m/>
    <m/>
    <m/>
    <m/>
    <m/>
    <s v="$E"/>
    <n v="612"/>
    <s v=";'C FINANCIERA'!$E$10:$BD$100;14;1)"/>
    <s v=";'C FINANCIERA'!$E$10:$BD$100;14;1)"/>
    <s v="=BUSCARV($E612;'C FINANCIERA'!$E$10:$BD$100;14;1)"/>
    <m/>
    <e v="#N/A"/>
    <e v="#N/A"/>
    <e v="#N/A"/>
    <e v="#N/A"/>
    <e v="#N/A"/>
    <e v="#N/A"/>
    <e v="#N/A"/>
    <e v="#N/A"/>
    <e v="#N/A"/>
    <e v="#N/A"/>
    <e v="#N/A"/>
    <e v="#N/A"/>
    <e v="#N/A"/>
    <e v="#N/A"/>
  </r>
  <r>
    <x v="20"/>
    <s v="C GI PROYECTOS"/>
    <x v="0"/>
    <x v="74"/>
    <x v="0"/>
    <m/>
    <m/>
    <m/>
    <m/>
    <m/>
    <m/>
    <m/>
    <m/>
    <s v="$E"/>
    <n v="613"/>
    <s v=";'C GI PROYECTOS'!$E$10:$BD$100;14;1)"/>
    <s v=";'C GI PROYECTOS'!$E$10:$BD$100;14;1)"/>
    <s v="=BUSCARV($E613;'C GI PROYECTOS'!$E$10:$BD$100;14;1)"/>
    <m/>
    <s v="Improbable"/>
    <n v="2"/>
    <n v="2"/>
    <s v="Mayor"/>
    <n v="10"/>
    <n v="10"/>
    <s v="20_x000a_MODERADA"/>
    <s v="Rara vez"/>
    <n v="1"/>
    <n v="1"/>
    <s v="Moderado"/>
    <n v="5"/>
    <n v="5"/>
    <s v="5_x000a_BAJA"/>
  </r>
  <r>
    <x v="20"/>
    <s v="C GI PROYECTOS"/>
    <x v="0"/>
    <x v="75"/>
    <x v="0"/>
    <m/>
    <m/>
    <m/>
    <m/>
    <m/>
    <m/>
    <m/>
    <m/>
    <s v="$E"/>
    <n v="614"/>
    <s v=";'C GI PROYECTOS'!$E$10:$BD$100;14;1)"/>
    <s v=";'C GI PROYECTOS'!$E$10:$BD$100;14;1)"/>
    <s v="=BUSCARV($E614;'C GI PROYECTOS'!$E$10:$BD$100;14;1)"/>
    <m/>
    <s v="Rara vez"/>
    <n v="1"/>
    <n v="1"/>
    <s v="Mayor"/>
    <n v="10"/>
    <n v="10"/>
    <s v="10_x000a_BAJA"/>
    <s v="Rara vez"/>
    <n v="1"/>
    <n v="1"/>
    <s v="Moderado"/>
    <n v="5"/>
    <n v="5"/>
    <s v="5_x000a_BAJA"/>
  </r>
  <r>
    <x v="20"/>
    <s v="C GI PROYECTOS"/>
    <x v="0"/>
    <x v="2"/>
    <x v="1"/>
    <m/>
    <m/>
    <m/>
    <m/>
    <m/>
    <m/>
    <m/>
    <m/>
    <s v="$E"/>
    <n v="615"/>
    <s v=";'C GI PROYECTOS'!$E$10:$BD$100;14;1)"/>
    <s v=";'C GI PROYECTOS'!$E$10:$BD$100;14;1)"/>
    <s v="=BUSCARV($E615;'C GI PROYECTOS'!$E$10:$BD$100;14;1)"/>
    <m/>
    <e v="#N/A"/>
    <e v="#N/A"/>
    <e v="#N/A"/>
    <e v="#N/A"/>
    <e v="#N/A"/>
    <e v="#N/A"/>
    <e v="#N/A"/>
    <e v="#N/A"/>
    <e v="#N/A"/>
    <e v="#N/A"/>
    <e v="#N/A"/>
    <e v="#N/A"/>
    <e v="#N/A"/>
    <e v="#N/A"/>
  </r>
  <r>
    <x v="20"/>
    <s v="C GI PROYECTOS"/>
    <x v="0"/>
    <x v="2"/>
    <x v="1"/>
    <m/>
    <m/>
    <m/>
    <m/>
    <m/>
    <m/>
    <m/>
    <m/>
    <s v="$E"/>
    <n v="616"/>
    <s v=";'C GI PROYECTOS'!$E$10:$BD$100;14;1)"/>
    <s v=";'C GI PROYECTOS'!$E$10:$BD$100;14;1)"/>
    <s v="=BUSCARV($E616;'C GI PROYECTOS'!$E$10:$BD$100;14;1)"/>
    <m/>
    <e v="#N/A"/>
    <e v="#N/A"/>
    <e v="#N/A"/>
    <e v="#N/A"/>
    <e v="#N/A"/>
    <e v="#N/A"/>
    <e v="#N/A"/>
    <e v="#N/A"/>
    <e v="#N/A"/>
    <e v="#N/A"/>
    <e v="#N/A"/>
    <e v="#N/A"/>
    <e v="#N/A"/>
    <e v="#N/A"/>
  </r>
  <r>
    <x v="20"/>
    <s v="C GI PROYECTOS"/>
    <x v="0"/>
    <x v="2"/>
    <x v="1"/>
    <m/>
    <m/>
    <m/>
    <m/>
    <m/>
    <m/>
    <m/>
    <m/>
    <s v="$E"/>
    <n v="617"/>
    <s v=";'C GI PROYECTOS'!$E$10:$BD$100;14;1)"/>
    <s v=";'C GI PROYECTOS'!$E$10:$BD$100;14;1)"/>
    <s v="=BUSCARV($E617;'C GI PROYECTOS'!$E$10:$BD$100;14;1)"/>
    <m/>
    <e v="#N/A"/>
    <e v="#N/A"/>
    <e v="#N/A"/>
    <e v="#N/A"/>
    <e v="#N/A"/>
    <e v="#N/A"/>
    <e v="#N/A"/>
    <e v="#N/A"/>
    <e v="#N/A"/>
    <e v="#N/A"/>
    <e v="#N/A"/>
    <e v="#N/A"/>
    <e v="#N/A"/>
    <e v="#N/A"/>
  </r>
  <r>
    <x v="20"/>
    <s v="C GI PROYECTOS"/>
    <x v="0"/>
    <x v="2"/>
    <x v="1"/>
    <m/>
    <m/>
    <m/>
    <m/>
    <m/>
    <m/>
    <m/>
    <m/>
    <s v="$E"/>
    <n v="618"/>
    <s v=";'C GI PROYECTOS'!$E$10:$BD$100;14;1)"/>
    <s v=";'C GI PROYECTOS'!$E$10:$BD$100;14;1)"/>
    <s v="=BUSCARV($E618;'C GI PROYECTOS'!$E$10:$BD$100;14;1)"/>
    <m/>
    <e v="#N/A"/>
    <e v="#N/A"/>
    <e v="#N/A"/>
    <e v="#N/A"/>
    <e v="#N/A"/>
    <e v="#N/A"/>
    <e v="#N/A"/>
    <e v="#N/A"/>
    <e v="#N/A"/>
    <e v="#N/A"/>
    <e v="#N/A"/>
    <e v="#N/A"/>
    <e v="#N/A"/>
    <e v="#N/A"/>
  </r>
  <r>
    <x v="20"/>
    <s v="C GI PROYECTOS"/>
    <x v="0"/>
    <x v="2"/>
    <x v="1"/>
    <m/>
    <m/>
    <m/>
    <m/>
    <m/>
    <m/>
    <m/>
    <m/>
    <s v="$E"/>
    <n v="619"/>
    <s v=";'C GI PROYECTOS'!$E$10:$BD$100;14;1)"/>
    <s v=";'C GI PROYECTOS'!$E$10:$BD$100;14;1)"/>
    <s v="=BUSCARV($E619;'C GI PROYECTOS'!$E$10:$BD$100;14;1)"/>
    <m/>
    <e v="#N/A"/>
    <e v="#N/A"/>
    <e v="#N/A"/>
    <e v="#N/A"/>
    <e v="#N/A"/>
    <e v="#N/A"/>
    <e v="#N/A"/>
    <e v="#N/A"/>
    <e v="#N/A"/>
    <e v="#N/A"/>
    <e v="#N/A"/>
    <e v="#N/A"/>
    <e v="#N/A"/>
    <e v="#N/A"/>
  </r>
  <r>
    <x v="20"/>
    <s v="C GI PROYECTOS"/>
    <x v="0"/>
    <x v="2"/>
    <x v="1"/>
    <m/>
    <m/>
    <m/>
    <m/>
    <m/>
    <m/>
    <m/>
    <m/>
    <s v="$E"/>
    <n v="620"/>
    <s v=";'C GI PROYECTOS'!$E$10:$BD$100;14;1)"/>
    <s v=";'C GI PROYECTOS'!$E$10:$BD$100;14;1)"/>
    <s v="=BUSCARV($E620;'C GI PROYECTOS'!$E$10:$BD$100;14;1)"/>
    <m/>
    <e v="#N/A"/>
    <e v="#N/A"/>
    <e v="#N/A"/>
    <e v="#N/A"/>
    <e v="#N/A"/>
    <e v="#N/A"/>
    <e v="#N/A"/>
    <e v="#N/A"/>
    <e v="#N/A"/>
    <e v="#N/A"/>
    <e v="#N/A"/>
    <e v="#N/A"/>
    <e v="#N/A"/>
    <e v="#N/A"/>
  </r>
  <r>
    <x v="20"/>
    <s v="C GI PROYECTOS"/>
    <x v="0"/>
    <x v="2"/>
    <x v="1"/>
    <m/>
    <m/>
    <m/>
    <m/>
    <m/>
    <m/>
    <m/>
    <m/>
    <s v="$E"/>
    <n v="621"/>
    <s v=";'C GI PROYECTOS'!$E$10:$BD$100;14;1)"/>
    <s v=";'C GI PROYECTOS'!$E$10:$BD$100;14;1)"/>
    <s v="=BUSCARV($E621;'C GI PROYECTOS'!$E$10:$BD$100;14;1)"/>
    <m/>
    <e v="#N/A"/>
    <e v="#N/A"/>
    <e v="#N/A"/>
    <e v="#N/A"/>
    <e v="#N/A"/>
    <e v="#N/A"/>
    <e v="#N/A"/>
    <e v="#N/A"/>
    <e v="#N/A"/>
    <e v="#N/A"/>
    <e v="#N/A"/>
    <e v="#N/A"/>
    <e v="#N/A"/>
    <e v="#N/A"/>
  </r>
  <r>
    <x v="20"/>
    <s v="C GI PROYECTOS"/>
    <x v="0"/>
    <x v="2"/>
    <x v="1"/>
    <m/>
    <m/>
    <m/>
    <m/>
    <m/>
    <m/>
    <m/>
    <m/>
    <s v="$E"/>
    <n v="622"/>
    <s v=";'C GI PROYECTOS'!$E$10:$BD$100;14;1)"/>
    <s v=";'C GI PROYECTOS'!$E$10:$BD$100;14;1)"/>
    <s v="=BUSCARV($E622;'C GI PROYECTOS'!$E$10:$BD$100;14;1)"/>
    <m/>
    <e v="#N/A"/>
    <e v="#N/A"/>
    <e v="#N/A"/>
    <e v="#N/A"/>
    <e v="#N/A"/>
    <e v="#N/A"/>
    <e v="#N/A"/>
    <e v="#N/A"/>
    <e v="#N/A"/>
    <e v="#N/A"/>
    <e v="#N/A"/>
    <e v="#N/A"/>
    <e v="#N/A"/>
    <e v="#N/A"/>
  </r>
  <r>
    <x v="20"/>
    <s v="C GI PROYECTOS"/>
    <x v="0"/>
    <x v="2"/>
    <x v="1"/>
    <m/>
    <m/>
    <m/>
    <m/>
    <m/>
    <m/>
    <m/>
    <m/>
    <s v="$E"/>
    <n v="623"/>
    <s v=";'C GI PROYECTOS'!$E$10:$BD$100;14;1)"/>
    <s v=";'C GI PROYECTOS'!$E$10:$BD$100;14;1)"/>
    <s v="=BUSCARV($E623;'C GI PROYECTOS'!$E$10:$BD$100;14;1)"/>
    <m/>
    <e v="#N/A"/>
    <e v="#N/A"/>
    <e v="#N/A"/>
    <e v="#N/A"/>
    <e v="#N/A"/>
    <e v="#N/A"/>
    <e v="#N/A"/>
    <e v="#N/A"/>
    <e v="#N/A"/>
    <e v="#N/A"/>
    <e v="#N/A"/>
    <e v="#N/A"/>
    <e v="#N/A"/>
    <e v="#N/A"/>
  </r>
  <r>
    <x v="20"/>
    <s v="C GI PROYECTOS"/>
    <x v="0"/>
    <x v="2"/>
    <x v="1"/>
    <m/>
    <m/>
    <m/>
    <m/>
    <m/>
    <m/>
    <m/>
    <m/>
    <s v="$E"/>
    <n v="624"/>
    <s v=";'C GI PROYECTOS'!$E$10:$BD$100;14;1)"/>
    <s v=";'C GI PROYECTOS'!$E$10:$BD$100;14;1)"/>
    <s v="=BUSCARV($E624;'C GI PROYECTOS'!$E$10:$BD$100;14;1)"/>
    <m/>
    <e v="#N/A"/>
    <e v="#N/A"/>
    <e v="#N/A"/>
    <e v="#N/A"/>
    <e v="#N/A"/>
    <e v="#N/A"/>
    <e v="#N/A"/>
    <e v="#N/A"/>
    <e v="#N/A"/>
    <e v="#N/A"/>
    <e v="#N/A"/>
    <e v="#N/A"/>
    <e v="#N/A"/>
    <e v="#N/A"/>
  </r>
  <r>
    <x v="20"/>
    <s v="C GI PROYECTOS"/>
    <x v="0"/>
    <x v="2"/>
    <x v="1"/>
    <m/>
    <m/>
    <m/>
    <m/>
    <m/>
    <m/>
    <m/>
    <m/>
    <s v="$E"/>
    <n v="625"/>
    <s v=";'C GI PROYECTOS'!$E$10:$BD$100;14;1)"/>
    <s v=";'C GI PROYECTOS'!$E$10:$BD$100;14;1)"/>
    <s v="=BUSCARV($E625;'C GI PROYECTOS'!$E$10:$BD$100;14;1)"/>
    <m/>
    <e v="#N/A"/>
    <e v="#N/A"/>
    <e v="#N/A"/>
    <e v="#N/A"/>
    <e v="#N/A"/>
    <e v="#N/A"/>
    <e v="#N/A"/>
    <e v="#N/A"/>
    <e v="#N/A"/>
    <e v="#N/A"/>
    <e v="#N/A"/>
    <e v="#N/A"/>
    <e v="#N/A"/>
    <e v="#N/A"/>
  </r>
  <r>
    <x v="20"/>
    <s v="C GI PROYECTOS"/>
    <x v="0"/>
    <x v="2"/>
    <x v="1"/>
    <m/>
    <m/>
    <m/>
    <m/>
    <m/>
    <m/>
    <m/>
    <m/>
    <s v="$E"/>
    <n v="626"/>
    <s v=";'C GI PROYECTOS'!$E$10:$BD$100;14;1)"/>
    <s v=";'C GI PROYECTOS'!$E$10:$BD$100;14;1)"/>
    <s v="=BUSCARV($E626;'C GI PROYECTOS'!$E$10:$BD$100;14;1)"/>
    <m/>
    <e v="#N/A"/>
    <e v="#N/A"/>
    <e v="#N/A"/>
    <e v="#N/A"/>
    <e v="#N/A"/>
    <e v="#N/A"/>
    <e v="#N/A"/>
    <e v="#N/A"/>
    <e v="#N/A"/>
    <e v="#N/A"/>
    <e v="#N/A"/>
    <e v="#N/A"/>
    <e v="#N/A"/>
    <e v="#N/A"/>
  </r>
  <r>
    <x v="20"/>
    <s v="C GI PROYECTOS"/>
    <x v="0"/>
    <x v="2"/>
    <x v="1"/>
    <m/>
    <m/>
    <m/>
    <m/>
    <m/>
    <m/>
    <m/>
    <m/>
    <s v="$E"/>
    <n v="627"/>
    <s v=";'C GI PROYECTOS'!$E$10:$BD$100;14;1)"/>
    <s v=";'C GI PROYECTOS'!$E$10:$BD$100;14;1)"/>
    <s v="=BUSCARV($E627;'C GI PROYECTOS'!$E$10:$BD$100;14;1)"/>
    <m/>
    <e v="#N/A"/>
    <e v="#N/A"/>
    <e v="#N/A"/>
    <e v="#N/A"/>
    <e v="#N/A"/>
    <e v="#N/A"/>
    <e v="#N/A"/>
    <e v="#N/A"/>
    <e v="#N/A"/>
    <e v="#N/A"/>
    <e v="#N/A"/>
    <e v="#N/A"/>
    <e v="#N/A"/>
    <e v="#N/A"/>
  </r>
  <r>
    <x v="20"/>
    <s v="C GI PROYECTOS"/>
    <x v="0"/>
    <x v="2"/>
    <x v="1"/>
    <m/>
    <m/>
    <m/>
    <m/>
    <m/>
    <m/>
    <m/>
    <m/>
    <s v="$E"/>
    <n v="628"/>
    <s v=";'C GI PROYECTOS'!$E$10:$BD$100;14;1)"/>
    <s v=";'C GI PROYECTOS'!$E$10:$BD$100;14;1)"/>
    <s v="=BUSCARV($E628;'C GI PROYECTOS'!$E$10:$BD$100;14;1)"/>
    <m/>
    <e v="#N/A"/>
    <e v="#N/A"/>
    <e v="#N/A"/>
    <e v="#N/A"/>
    <e v="#N/A"/>
    <e v="#N/A"/>
    <e v="#N/A"/>
    <e v="#N/A"/>
    <e v="#N/A"/>
    <e v="#N/A"/>
    <e v="#N/A"/>
    <e v="#N/A"/>
    <e v="#N/A"/>
    <e v="#N/A"/>
  </r>
  <r>
    <x v="21"/>
    <s v="C EVALUACION"/>
    <x v="0"/>
    <x v="76"/>
    <x v="0"/>
    <m/>
    <m/>
    <m/>
    <m/>
    <m/>
    <m/>
    <m/>
    <m/>
    <s v="$E"/>
    <n v="629"/>
    <s v=";'C EVALUACION'!$E$10:$BD$100;14;1)"/>
    <s v=";'C EVALUACION'!$E$10:$BD$100;14;1)"/>
    <s v="=BUSCARV($E629;'C EVALUACION'!$E$10:$BD$100;14;1)"/>
    <m/>
    <s v="Rara vez"/>
    <n v="1"/>
    <n v="1"/>
    <s v="Mayor"/>
    <n v="10"/>
    <n v="10"/>
    <s v="10_x000a_BAJA"/>
    <s v="Rara vez"/>
    <n v="1"/>
    <n v="1"/>
    <s v="Moderado"/>
    <n v="5"/>
    <n v="5"/>
    <s v="5_x000a_BAJA"/>
  </r>
  <r>
    <x v="21"/>
    <s v="C EVALUACION"/>
    <x v="0"/>
    <x v="77"/>
    <x v="0"/>
    <m/>
    <m/>
    <m/>
    <m/>
    <m/>
    <m/>
    <m/>
    <m/>
    <s v="$E"/>
    <n v="630"/>
    <s v=";'C EVALUACION'!$E$10:$BD$100;14;1)"/>
    <s v=";'C EVALUACION'!$E$10:$BD$100;14;1)"/>
    <s v="=BUSCARV($E630;'C EVALUACION'!$E$10:$BD$100;14;1)"/>
    <m/>
    <s v="Probable"/>
    <n v="4"/>
    <n v="4"/>
    <s v="Catastrófico"/>
    <n v="20"/>
    <n v="20"/>
    <s v="80_x000a_EXTREMO"/>
    <s v="Improbable"/>
    <n v="2"/>
    <n v="2"/>
    <s v="Moderado"/>
    <n v="5"/>
    <n v="5"/>
    <s v="10_x000a_BAJA"/>
  </r>
  <r>
    <x v="21"/>
    <s v="C EVALUACION"/>
    <x v="0"/>
    <x v="78"/>
    <x v="0"/>
    <m/>
    <m/>
    <m/>
    <m/>
    <m/>
    <m/>
    <m/>
    <m/>
    <s v="$E"/>
    <n v="631"/>
    <s v=";'C EVALUACION'!$E$10:$BD$100;14;1)"/>
    <s v=";'C EVALUACION'!$E$10:$BD$100;14;1)"/>
    <s v="=BUSCARV($E631;'C EVALUACION'!$E$10:$BD$100;14;1)"/>
    <m/>
    <s v="Improbable"/>
    <n v="2"/>
    <n v="2"/>
    <s v="Moderado"/>
    <n v="5"/>
    <n v="5"/>
    <s v="10_x000a_BAJA"/>
    <s v="Rara vez"/>
    <n v="1"/>
    <n v="1"/>
    <s v="Moderado"/>
    <n v="5"/>
    <n v="5"/>
    <s v="5_x000a_BAJA"/>
  </r>
  <r>
    <x v="21"/>
    <s v="C EVALUACION"/>
    <x v="0"/>
    <x v="79"/>
    <x v="0"/>
    <m/>
    <m/>
    <m/>
    <m/>
    <m/>
    <m/>
    <m/>
    <m/>
    <s v="$E"/>
    <n v="632"/>
    <s v=";'C EVALUACION'!$E$10:$BD$100;14;1)"/>
    <s v=";'C EVALUACION'!$E$10:$BD$100;14;1)"/>
    <s v="=BUSCARV($E632;'C EVALUACION'!$E$10:$BD$100;14;1)"/>
    <m/>
    <s v="Rara vez"/>
    <n v="1"/>
    <n v="1"/>
    <s v="Moderado"/>
    <n v="5"/>
    <n v="5"/>
    <s v="5_x000a_BAJA"/>
    <s v="Rara vez"/>
    <n v="1"/>
    <n v="1"/>
    <s v="Moderado"/>
    <n v="5"/>
    <n v="5"/>
    <s v="5_x000a_BAJA"/>
  </r>
  <r>
    <x v="21"/>
    <s v="C EVALUACION"/>
    <x v="0"/>
    <x v="80"/>
    <x v="0"/>
    <m/>
    <m/>
    <m/>
    <m/>
    <m/>
    <m/>
    <m/>
    <m/>
    <s v="$E"/>
    <n v="633"/>
    <s v=";'C EVALUACION'!$E$10:$BD$100;14;1)"/>
    <s v=";'C EVALUACION'!$E$10:$BD$100;14;1)"/>
    <s v="=BUSCARV($E633;'C EVALUACION'!$E$10:$BD$100;14;1)"/>
    <m/>
    <s v="Improbable"/>
    <n v="2"/>
    <n v="2"/>
    <s v="Moderado"/>
    <n v="5"/>
    <n v="5"/>
    <s v="10_x000a_BAJA"/>
    <s v="Rara vez"/>
    <n v="1"/>
    <n v="1"/>
    <s v="Moderado"/>
    <n v="5"/>
    <n v="5"/>
    <s v="5_x000a_BAJA"/>
  </r>
  <r>
    <x v="21"/>
    <s v="C EVALUACION"/>
    <x v="0"/>
    <x v="81"/>
    <x v="0"/>
    <m/>
    <m/>
    <m/>
    <m/>
    <m/>
    <m/>
    <m/>
    <m/>
    <s v="$E"/>
    <n v="634"/>
    <s v=";'C EVALUACION'!$E$10:$BD$100;14;1)"/>
    <s v=";'C EVALUACION'!$E$10:$BD$100;14;1)"/>
    <s v="=BUSCARV($E634;'C EVALUACION'!$E$10:$BD$100;14;1)"/>
    <m/>
    <s v="Improbable"/>
    <n v="2"/>
    <n v="2"/>
    <s v="Mayor"/>
    <n v="10"/>
    <n v="10"/>
    <s v="20_x000a_MODERADA"/>
    <s v="Rara vez"/>
    <n v="1"/>
    <n v="1"/>
    <s v="Moderado"/>
    <n v="5"/>
    <n v="5"/>
    <s v="5_x000a_BAJA"/>
  </r>
  <r>
    <x v="21"/>
    <s v="C EVALUACION"/>
    <x v="0"/>
    <x v="82"/>
    <x v="0"/>
    <m/>
    <m/>
    <m/>
    <m/>
    <m/>
    <m/>
    <m/>
    <m/>
    <s v="$E"/>
    <n v="635"/>
    <s v=";'C EVALUACION'!$E$10:$BD$100;14;1)"/>
    <s v=";'C EVALUACION'!$E$10:$BD$100;14;1)"/>
    <s v="=BUSCARV($E635;'C EVALUACION'!$E$10:$BD$100;14;1)"/>
    <m/>
    <s v="Rara vez"/>
    <n v="1"/>
    <n v="1"/>
    <s v="Mayor"/>
    <n v="10"/>
    <n v="10"/>
    <s v="10_x000a_BAJA"/>
    <s v="Rara vez"/>
    <n v="1"/>
    <n v="1"/>
    <s v="Mayor"/>
    <n v="10"/>
    <n v="10"/>
    <s v="10_x000a_BAJA"/>
  </r>
  <r>
    <x v="21"/>
    <s v="C EVALUACION"/>
    <x v="0"/>
    <x v="83"/>
    <x v="0"/>
    <m/>
    <m/>
    <m/>
    <m/>
    <m/>
    <m/>
    <m/>
    <m/>
    <s v="$E"/>
    <n v="636"/>
    <s v=";'C EVALUACION'!$E$10:$BD$100;14;1)"/>
    <s v=";'C EVALUACION'!$E$10:$BD$100;14;1)"/>
    <s v="=BUSCARV($E636;'C EVALUACION'!$E$10:$BD$100;14;1)"/>
    <m/>
    <s v="Posible"/>
    <n v="3"/>
    <n v="3"/>
    <s v="Mayor"/>
    <n v="10"/>
    <n v="10"/>
    <s v="30_x000a_ALTA"/>
    <s v="Rara vez"/>
    <n v="1"/>
    <n v="1"/>
    <s v="Mayor"/>
    <n v="10"/>
    <n v="10"/>
    <s v="10_x000a_BAJA"/>
  </r>
  <r>
    <x v="21"/>
    <s v="C EVALUACION"/>
    <x v="0"/>
    <x v="84"/>
    <x v="0"/>
    <m/>
    <m/>
    <m/>
    <m/>
    <m/>
    <m/>
    <m/>
    <m/>
    <s v="$E"/>
    <n v="637"/>
    <s v=";'C EVALUACION'!$E$10:$BD$100;14;1)"/>
    <s v=";'C EVALUACION'!$E$10:$BD$100;14;1)"/>
    <s v="=BUSCARV($E637;'C EVALUACION'!$E$10:$BD$100;14;1)"/>
    <m/>
    <s v="Rara vez"/>
    <n v="1"/>
    <n v="1"/>
    <s v="Mayor"/>
    <n v="10"/>
    <n v="10"/>
    <s v="10_x000a_BAJA"/>
    <s v="Rara vez"/>
    <n v="1"/>
    <n v="1"/>
    <s v="Mayor"/>
    <n v="10"/>
    <n v="10"/>
    <s v="10_x000a_BAJA"/>
  </r>
  <r>
    <x v="21"/>
    <s v="C EVALUACION"/>
    <x v="0"/>
    <x v="2"/>
    <x v="1"/>
    <m/>
    <m/>
    <m/>
    <m/>
    <m/>
    <m/>
    <m/>
    <m/>
    <s v="$E"/>
    <n v="638"/>
    <s v=";'C EVALUACION'!$E$10:$BD$100;14;1)"/>
    <s v=";'C EVALUACION'!$E$10:$BD$100;14;1)"/>
    <s v="=BUSCARV($E638;'C EVALUACION'!$E$10:$BD$100;14;1)"/>
    <m/>
    <e v="#N/A"/>
    <e v="#N/A"/>
    <e v="#N/A"/>
    <e v="#N/A"/>
    <e v="#N/A"/>
    <e v="#N/A"/>
    <e v="#N/A"/>
    <e v="#N/A"/>
    <e v="#N/A"/>
    <e v="#N/A"/>
    <e v="#N/A"/>
    <e v="#N/A"/>
    <e v="#N/A"/>
    <e v="#N/A"/>
  </r>
  <r>
    <x v="21"/>
    <s v="C EVALUACION"/>
    <x v="0"/>
    <x v="2"/>
    <x v="1"/>
    <m/>
    <m/>
    <m/>
    <m/>
    <m/>
    <m/>
    <m/>
    <m/>
    <s v="$E"/>
    <n v="639"/>
    <s v=";'C EVALUACION'!$E$10:$BD$100;14;1)"/>
    <s v=";'C EVALUACION'!$E$10:$BD$100;14;1)"/>
    <s v="=BUSCARV($E639;'C EVALUACION'!$E$10:$BD$100;14;1)"/>
    <m/>
    <e v="#N/A"/>
    <e v="#N/A"/>
    <e v="#N/A"/>
    <e v="#N/A"/>
    <e v="#N/A"/>
    <e v="#N/A"/>
    <e v="#N/A"/>
    <e v="#N/A"/>
    <e v="#N/A"/>
    <e v="#N/A"/>
    <e v="#N/A"/>
    <e v="#N/A"/>
    <e v="#N/A"/>
    <e v="#N/A"/>
  </r>
  <r>
    <x v="21"/>
    <s v="C EVALUACION"/>
    <x v="0"/>
    <x v="2"/>
    <x v="1"/>
    <m/>
    <m/>
    <m/>
    <m/>
    <m/>
    <m/>
    <m/>
    <m/>
    <s v="$E"/>
    <n v="640"/>
    <s v=";'C EVALUACION'!$E$10:$BD$100;14;1)"/>
    <s v=";'C EVALUACION'!$E$10:$BD$100;14;1)"/>
    <s v="=BUSCARV($E640;'C EVALUACION'!$E$10:$BD$100;14;1)"/>
    <m/>
    <e v="#N/A"/>
    <e v="#N/A"/>
    <e v="#N/A"/>
    <e v="#N/A"/>
    <e v="#N/A"/>
    <e v="#N/A"/>
    <e v="#N/A"/>
    <e v="#N/A"/>
    <e v="#N/A"/>
    <e v="#N/A"/>
    <e v="#N/A"/>
    <e v="#N/A"/>
    <e v="#N/A"/>
    <e v="#N/A"/>
  </r>
  <r>
    <x v="21"/>
    <s v="C EVALUACION"/>
    <x v="0"/>
    <x v="2"/>
    <x v="1"/>
    <m/>
    <m/>
    <m/>
    <m/>
    <m/>
    <m/>
    <m/>
    <m/>
    <s v="$E"/>
    <n v="641"/>
    <s v=";'C EVALUACION'!$E$10:$BD$100;14;1)"/>
    <s v=";'C EVALUACION'!$E$10:$BD$100;14;1)"/>
    <s v="=BUSCARV($E641;'C EVALUACION'!$E$10:$BD$100;14;1)"/>
    <m/>
    <e v="#N/A"/>
    <e v="#N/A"/>
    <e v="#N/A"/>
    <e v="#N/A"/>
    <e v="#N/A"/>
    <e v="#N/A"/>
    <e v="#N/A"/>
    <e v="#N/A"/>
    <e v="#N/A"/>
    <e v="#N/A"/>
    <e v="#N/A"/>
    <e v="#N/A"/>
    <e v="#N/A"/>
    <e v="#N/A"/>
  </r>
  <r>
    <x v="21"/>
    <s v="C EVALUACION"/>
    <x v="0"/>
    <x v="2"/>
    <x v="1"/>
    <m/>
    <m/>
    <m/>
    <m/>
    <m/>
    <m/>
    <m/>
    <m/>
    <s v="$E"/>
    <n v="642"/>
    <s v=";'C EVALUACION'!$E$10:$BD$100;14;1)"/>
    <s v=";'C EVALUACION'!$E$10:$BD$100;14;1)"/>
    <s v="=BUSCARV($E642;'C EVALUACION'!$E$10:$BD$100;14;1)"/>
    <m/>
    <e v="#N/A"/>
    <e v="#N/A"/>
    <e v="#N/A"/>
    <e v="#N/A"/>
    <e v="#N/A"/>
    <e v="#N/A"/>
    <e v="#N/A"/>
    <e v="#N/A"/>
    <e v="#N/A"/>
    <e v="#N/A"/>
    <e v="#N/A"/>
    <e v="#N/A"/>
    <e v="#N/A"/>
    <e v="#N/A"/>
  </r>
  <r>
    <x v="21"/>
    <s v="C EVALUACION"/>
    <x v="0"/>
    <x v="2"/>
    <x v="1"/>
    <m/>
    <m/>
    <m/>
    <m/>
    <m/>
    <m/>
    <m/>
    <m/>
    <s v="$E"/>
    <n v="643"/>
    <s v=";'C EVALUACION'!$E$10:$BD$100;14;1)"/>
    <s v=";'C EVALUACION'!$E$10:$BD$100;14;1)"/>
    <s v="=BUSCARV($E643;'C EVALUACION'!$E$10:$BD$100;14;1)"/>
    <m/>
    <e v="#N/A"/>
    <e v="#N/A"/>
    <e v="#N/A"/>
    <e v="#N/A"/>
    <e v="#N/A"/>
    <e v="#N/A"/>
    <e v="#N/A"/>
    <e v="#N/A"/>
    <e v="#N/A"/>
    <e v="#N/A"/>
    <e v="#N/A"/>
    <e v="#N/A"/>
    <e v="#N/A"/>
    <e v="#N/A"/>
  </r>
  <r>
    <x v="22"/>
    <s v="C MEJORAMIENTO"/>
    <x v="0"/>
    <x v="85"/>
    <x v="0"/>
    <m/>
    <m/>
    <m/>
    <m/>
    <m/>
    <m/>
    <m/>
    <m/>
    <s v="$E"/>
    <n v="644"/>
    <s v=";'C MEJORAMIENTO'!$E$10:$BD$100;14;1)"/>
    <s v=";'C MEJORAMIENTO'!$E$10:$BD$100;14;1)"/>
    <s v="=BUSCARV($E644;'C MEJORAMIENTO'!$E$10:$BD$100;14;1)"/>
    <m/>
    <s v="Improbable"/>
    <n v="2"/>
    <n v="2"/>
    <s v="Mayor"/>
    <n v="10"/>
    <n v="10"/>
    <s v="20_x000a_MODERADA"/>
    <s v="Rara vez"/>
    <n v="1"/>
    <n v="1"/>
    <s v="Moderado"/>
    <n v="5"/>
    <n v="5"/>
    <s v="5_x000a_BAJA"/>
  </r>
  <r>
    <x v="22"/>
    <s v="C MEJORAMIENTO"/>
    <x v="0"/>
    <x v="86"/>
    <x v="0"/>
    <m/>
    <m/>
    <m/>
    <m/>
    <m/>
    <m/>
    <m/>
    <m/>
    <s v="$E"/>
    <n v="645"/>
    <s v=";'C MEJORAMIENTO'!$E$10:$BD$100;14;1)"/>
    <s v=";'C MEJORAMIENTO'!$E$10:$BD$100;14;1)"/>
    <s v="=BUSCARV($E645;'C MEJORAMIENTO'!$E$10:$BD$100;14;1)"/>
    <m/>
    <s v="Rara vez"/>
    <n v="1"/>
    <n v="1"/>
    <s v="Catastrófico"/>
    <n v="20"/>
    <n v="20"/>
    <s v="20_x000a_MODERADA"/>
    <s v="Rara vez"/>
    <n v="1"/>
    <n v="1"/>
    <s v="Moderado"/>
    <n v="5"/>
    <n v="5"/>
    <s v="5_x000a_BAJA"/>
  </r>
  <r>
    <x v="22"/>
    <s v="C MEJORAMIENTO"/>
    <x v="0"/>
    <x v="2"/>
    <x v="1"/>
    <m/>
    <m/>
    <m/>
    <m/>
    <m/>
    <m/>
    <m/>
    <m/>
    <s v="$E"/>
    <n v="646"/>
    <s v=";'C MEJORAMIENTO'!$E$10:$BD$100;14;1)"/>
    <s v=";'C MEJORAMIENTO'!$E$10:$BD$100;14;1)"/>
    <s v="=BUSCARV($E646;'C MEJORAMIENTO'!$E$10:$BD$100;14;1)"/>
    <m/>
    <e v="#N/A"/>
    <e v="#N/A"/>
    <e v="#N/A"/>
    <e v="#N/A"/>
    <e v="#N/A"/>
    <e v="#N/A"/>
    <e v="#N/A"/>
    <e v="#N/A"/>
    <e v="#N/A"/>
    <e v="#N/A"/>
    <e v="#N/A"/>
    <e v="#N/A"/>
    <e v="#N/A"/>
    <e v="#N/A"/>
  </r>
  <r>
    <x v="22"/>
    <s v="C MEJORAMIENTO"/>
    <x v="0"/>
    <x v="2"/>
    <x v="1"/>
    <m/>
    <m/>
    <m/>
    <m/>
    <m/>
    <m/>
    <m/>
    <m/>
    <s v="$E"/>
    <n v="647"/>
    <s v=";'C MEJORAMIENTO'!$E$10:$BD$100;14;1)"/>
    <s v=";'C MEJORAMIENTO'!$E$10:$BD$100;14;1)"/>
    <s v="=BUSCARV($E647;'C MEJORAMIENTO'!$E$10:$BD$100;14;1)"/>
    <m/>
    <e v="#N/A"/>
    <e v="#N/A"/>
    <e v="#N/A"/>
    <e v="#N/A"/>
    <e v="#N/A"/>
    <e v="#N/A"/>
    <e v="#N/A"/>
    <e v="#N/A"/>
    <e v="#N/A"/>
    <e v="#N/A"/>
    <e v="#N/A"/>
    <e v="#N/A"/>
    <e v="#N/A"/>
    <e v="#N/A"/>
  </r>
  <r>
    <x v="22"/>
    <s v="C MEJORAMIENTO"/>
    <x v="0"/>
    <x v="2"/>
    <x v="1"/>
    <m/>
    <m/>
    <m/>
    <m/>
    <m/>
    <m/>
    <m/>
    <m/>
    <s v="$E"/>
    <n v="648"/>
    <s v=";'C MEJORAMIENTO'!$E$10:$BD$100;14;1)"/>
    <s v=";'C MEJORAMIENTO'!$E$10:$BD$100;14;1)"/>
    <s v="=BUSCARV($E648;'C MEJORAMIENTO'!$E$10:$BD$100;14;1)"/>
    <m/>
    <e v="#N/A"/>
    <e v="#N/A"/>
    <e v="#N/A"/>
    <e v="#N/A"/>
    <e v="#N/A"/>
    <e v="#N/A"/>
    <e v="#N/A"/>
    <e v="#N/A"/>
    <e v="#N/A"/>
    <e v="#N/A"/>
    <e v="#N/A"/>
    <e v="#N/A"/>
    <e v="#N/A"/>
    <e v="#N/A"/>
  </r>
  <r>
    <x v="22"/>
    <s v="C MEJORAMIENTO"/>
    <x v="0"/>
    <x v="2"/>
    <x v="1"/>
    <m/>
    <m/>
    <m/>
    <m/>
    <m/>
    <m/>
    <m/>
    <m/>
    <s v="$E"/>
    <n v="649"/>
    <s v=";'C MEJORAMIENTO'!$E$10:$BD$100;14;1)"/>
    <s v=";'C MEJORAMIENTO'!$E$10:$BD$100;14;1)"/>
    <s v="=BUSCARV($E649;'C MEJORAMIENTO'!$E$10:$BD$100;14;1)"/>
    <m/>
    <e v="#N/A"/>
    <e v="#N/A"/>
    <e v="#N/A"/>
    <e v="#N/A"/>
    <e v="#N/A"/>
    <e v="#N/A"/>
    <e v="#N/A"/>
    <e v="#N/A"/>
    <e v="#N/A"/>
    <e v="#N/A"/>
    <e v="#N/A"/>
    <e v="#N/A"/>
    <e v="#N/A"/>
    <e v="#N/A"/>
  </r>
  <r>
    <x v="22"/>
    <s v="C MEJORAMIENTO"/>
    <x v="0"/>
    <x v="2"/>
    <x v="1"/>
    <m/>
    <m/>
    <m/>
    <m/>
    <m/>
    <m/>
    <m/>
    <m/>
    <s v="$E"/>
    <n v="650"/>
    <s v=";'C MEJORAMIENTO'!$E$10:$BD$100;14;1)"/>
    <s v=";'C MEJORAMIENTO'!$E$10:$BD$100;14;1)"/>
    <s v="=BUSCARV($E650;'C MEJORAMIENTO'!$E$10:$BD$100;14;1)"/>
    <m/>
    <e v="#N/A"/>
    <e v="#N/A"/>
    <e v="#N/A"/>
    <e v="#N/A"/>
    <e v="#N/A"/>
    <e v="#N/A"/>
    <e v="#N/A"/>
    <e v="#N/A"/>
    <e v="#N/A"/>
    <e v="#N/A"/>
    <e v="#N/A"/>
    <e v="#N/A"/>
    <e v="#N/A"/>
    <e v="#N/A"/>
  </r>
  <r>
    <x v="22"/>
    <s v="C MEJORAMIENTO"/>
    <x v="0"/>
    <x v="2"/>
    <x v="1"/>
    <m/>
    <m/>
    <m/>
    <m/>
    <m/>
    <m/>
    <m/>
    <m/>
    <s v="$E"/>
    <n v="651"/>
    <s v=";'C MEJORAMIENTO'!$E$10:$BD$100;14;1)"/>
    <s v=";'C MEJORAMIENTO'!$E$10:$BD$100;14;1)"/>
    <s v="=BUSCARV($E651;'C MEJORAMIENTO'!$E$10:$BD$100;14;1)"/>
    <m/>
    <e v="#N/A"/>
    <e v="#N/A"/>
    <e v="#N/A"/>
    <e v="#N/A"/>
    <e v="#N/A"/>
    <e v="#N/A"/>
    <e v="#N/A"/>
    <e v="#N/A"/>
    <e v="#N/A"/>
    <e v="#N/A"/>
    <e v="#N/A"/>
    <e v="#N/A"/>
    <e v="#N/A"/>
    <e v="#N/A"/>
  </r>
  <r>
    <x v="22"/>
    <s v="C MEJORAMIENTO"/>
    <x v="0"/>
    <x v="2"/>
    <x v="1"/>
    <m/>
    <m/>
    <m/>
    <m/>
    <m/>
    <m/>
    <m/>
    <m/>
    <s v="$E"/>
    <n v="652"/>
    <s v=";'C MEJORAMIENTO'!$E$10:$BD$100;14;1)"/>
    <s v=";'C MEJORAMIENTO'!$E$10:$BD$100;14;1)"/>
    <s v="=BUSCARV($E652;'C MEJORAMIENTO'!$E$10:$BD$100;14;1)"/>
    <m/>
    <e v="#N/A"/>
    <e v="#N/A"/>
    <e v="#N/A"/>
    <e v="#N/A"/>
    <e v="#N/A"/>
    <e v="#N/A"/>
    <e v="#N/A"/>
    <e v="#N/A"/>
    <e v="#N/A"/>
    <e v="#N/A"/>
    <e v="#N/A"/>
    <e v="#N/A"/>
    <e v="#N/A"/>
    <e v="#N/A"/>
  </r>
  <r>
    <x v="22"/>
    <s v="C MEJORAMIENTO"/>
    <x v="0"/>
    <x v="2"/>
    <x v="1"/>
    <m/>
    <m/>
    <m/>
    <m/>
    <m/>
    <m/>
    <m/>
    <m/>
    <s v="$E"/>
    <n v="653"/>
    <s v=";'C MEJORAMIENTO'!$E$10:$BD$100;14;1)"/>
    <s v=";'C MEJORAMIENTO'!$E$10:$BD$100;14;1)"/>
    <s v="=BUSCARV($E653;'C MEJORAMIENTO'!$E$10:$BD$100;14;1)"/>
    <m/>
    <e v="#N/A"/>
    <e v="#N/A"/>
    <e v="#N/A"/>
    <e v="#N/A"/>
    <e v="#N/A"/>
    <e v="#N/A"/>
    <e v="#N/A"/>
    <e v="#N/A"/>
    <e v="#N/A"/>
    <e v="#N/A"/>
    <e v="#N/A"/>
    <e v="#N/A"/>
    <e v="#N/A"/>
    <e v="#N/A"/>
  </r>
  <r>
    <x v="22"/>
    <s v="C MEJORAMIENTO"/>
    <x v="0"/>
    <x v="2"/>
    <x v="1"/>
    <m/>
    <m/>
    <m/>
    <m/>
    <m/>
    <m/>
    <m/>
    <m/>
    <s v="$E"/>
    <n v="654"/>
    <s v=";'C MEJORAMIENTO'!$E$10:$BD$100;14;1)"/>
    <s v=";'C MEJORAMIENTO'!$E$10:$BD$100;14;1)"/>
    <s v="=BUSCARV($E654;'C MEJORAMIENTO'!$E$10:$BD$100;14;1)"/>
    <m/>
    <e v="#N/A"/>
    <e v="#N/A"/>
    <e v="#N/A"/>
    <e v="#N/A"/>
    <e v="#N/A"/>
    <e v="#N/A"/>
    <e v="#N/A"/>
    <e v="#N/A"/>
    <e v="#N/A"/>
    <e v="#N/A"/>
    <e v="#N/A"/>
    <e v="#N/A"/>
    <e v="#N/A"/>
    <e v="#N/A"/>
  </r>
  <r>
    <x v="22"/>
    <s v="C MEJORAMIENTO"/>
    <x v="0"/>
    <x v="2"/>
    <x v="1"/>
    <m/>
    <m/>
    <m/>
    <m/>
    <m/>
    <m/>
    <m/>
    <m/>
    <s v="$E"/>
    <n v="655"/>
    <s v=";'C MEJORAMIENTO'!$E$10:$BD$100;14;1)"/>
    <s v=";'C MEJORAMIENTO'!$E$10:$BD$100;14;1)"/>
    <s v="=BUSCARV($E655;'C MEJORAMIENTO'!$E$10:$BD$100;14;1)"/>
    <m/>
    <e v="#N/A"/>
    <e v="#N/A"/>
    <e v="#N/A"/>
    <e v="#N/A"/>
    <e v="#N/A"/>
    <e v="#N/A"/>
    <e v="#N/A"/>
    <e v="#N/A"/>
    <e v="#N/A"/>
    <e v="#N/A"/>
    <e v="#N/A"/>
    <e v="#N/A"/>
    <e v="#N/A"/>
    <e v="#N/A"/>
  </r>
  <r>
    <x v="22"/>
    <s v="C MEJORAMIENTO"/>
    <x v="0"/>
    <x v="2"/>
    <x v="1"/>
    <m/>
    <m/>
    <m/>
    <m/>
    <m/>
    <m/>
    <m/>
    <m/>
    <s v="$E"/>
    <n v="656"/>
    <s v=";'C MEJORAMIENTO'!$E$10:$BD$100;14;1)"/>
    <s v=";'C MEJORAMIENTO'!$E$10:$BD$100;14;1)"/>
    <s v="=BUSCARV($E656;'C MEJORAMIENTO'!$E$10:$BD$100;14;1)"/>
    <m/>
    <e v="#N/A"/>
    <e v="#N/A"/>
    <e v="#N/A"/>
    <e v="#N/A"/>
    <e v="#N/A"/>
    <e v="#N/A"/>
    <e v="#N/A"/>
    <e v="#N/A"/>
    <e v="#N/A"/>
    <e v="#N/A"/>
    <e v="#N/A"/>
    <e v="#N/A"/>
    <e v="#N/A"/>
    <e v="#N/A"/>
  </r>
  <r>
    <x v="22"/>
    <s v="C MEJORAMIENTO"/>
    <x v="0"/>
    <x v="2"/>
    <x v="1"/>
    <m/>
    <m/>
    <m/>
    <m/>
    <m/>
    <m/>
    <m/>
    <m/>
    <s v="$E"/>
    <n v="657"/>
    <s v=";'C MEJORAMIENTO'!$E$10:$BD$100;14;1)"/>
    <s v=";'C MEJORAMIENTO'!$E$10:$BD$100;14;1)"/>
    <s v="=BUSCARV($E657;'C MEJORAMIENTO'!$E$10:$BD$100;14;1)"/>
    <m/>
    <e v="#N/A"/>
    <e v="#N/A"/>
    <e v="#N/A"/>
    <e v="#N/A"/>
    <e v="#N/A"/>
    <e v="#N/A"/>
    <e v="#N/A"/>
    <e v="#N/A"/>
    <e v="#N/A"/>
    <e v="#N/A"/>
    <e v="#N/A"/>
    <e v="#N/A"/>
    <e v="#N/A"/>
    <e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F28" firstHeaderRow="0" firstDataRow="1" firstDataCol="1" rowPageCount="3" colPageCount="1"/>
  <pivotFields count="33">
    <pivotField axis="axisRow" showAll="0">
      <items count="23">
        <item x="0"/>
        <item x="9"/>
        <item x="10"/>
        <item x="11"/>
        <item x="12"/>
        <item x="13"/>
        <item x="14"/>
        <item x="15"/>
        <item x="16"/>
        <item x="17"/>
        <item x="18"/>
        <item x="1"/>
        <item x="19"/>
        <item x="20"/>
        <item x="21"/>
        <item x="2"/>
        <item x="3"/>
        <item x="4"/>
        <item x="5"/>
        <item x="6"/>
        <item x="7"/>
        <item x="8"/>
        <item t="default"/>
      </items>
    </pivotField>
    <pivotField showAll="0"/>
    <pivotField axis="axisPage" showAll="0">
      <items count="3">
        <item m="1" x="1"/>
        <item x="0"/>
        <item t="default"/>
      </items>
    </pivotField>
    <pivotField axis="axisPage" dataField="1" multipleItemSelectionAllowed="1" showAll="0">
      <items count="151">
        <item x="10"/>
        <item x="11"/>
        <item x="12"/>
        <item x="63"/>
        <item x="64"/>
        <item x="65"/>
        <item x="66"/>
        <item x="67"/>
        <item x="68"/>
        <item x="69"/>
        <item x="70"/>
        <item x="71"/>
        <item x="72"/>
        <item x="73"/>
        <item x="74"/>
        <item x="75"/>
        <item x="76"/>
        <item x="23"/>
        <item x="24"/>
        <item x="25"/>
        <item x="119"/>
        <item x="120"/>
        <item x="121"/>
        <item x="122"/>
        <item x="49"/>
        <item x="50"/>
        <item x="51"/>
        <item x="52"/>
        <item x="53"/>
        <item x="26"/>
        <item x="27"/>
        <item x="28"/>
        <item x="29"/>
        <item x="30"/>
        <item x="31"/>
        <item x="32"/>
        <item x="33"/>
        <item x="34"/>
        <item x="35"/>
        <item x="54"/>
        <item x="55"/>
        <item x="56"/>
        <item x="57"/>
        <item x="58"/>
        <item x="59"/>
        <item x="60"/>
        <item x="61"/>
        <item x="62"/>
        <item x="39"/>
        <item x="40"/>
        <item x="77"/>
        <item x="78"/>
        <item x="79"/>
        <item x="80"/>
        <item x="81"/>
        <item x="89"/>
        <item x="90"/>
        <item x="91"/>
        <item x="92"/>
        <item x="93"/>
        <item x="94"/>
        <item x="95"/>
        <item x="96"/>
        <item x="97"/>
        <item x="98"/>
        <item x="99"/>
        <item x="100"/>
        <item x="13"/>
        <item x="14"/>
        <item x="82"/>
        <item x="83"/>
        <item x="84"/>
        <item x="85"/>
        <item x="86"/>
        <item x="87"/>
        <item x="88"/>
        <item x="41"/>
        <item x="42"/>
        <item x="43"/>
        <item x="44"/>
        <item x="45"/>
        <item x="46"/>
        <item x="47"/>
        <item x="48"/>
        <item x="36"/>
        <item x="37"/>
        <item x="38"/>
        <item x="15"/>
        <item x="16"/>
        <item x="17"/>
        <item x="18"/>
        <item x="19"/>
        <item x="0"/>
        <item x="1"/>
        <item x="2"/>
        <item x="3"/>
        <item x="4"/>
        <item x="5"/>
        <item x="6"/>
        <item x="7"/>
        <item x="8"/>
        <item x="109"/>
        <item x="110"/>
        <item x="111"/>
        <item x="112"/>
        <item x="113"/>
        <item x="114"/>
        <item x="115"/>
        <item x="116"/>
        <item x="117"/>
        <item x="118"/>
        <item x="20"/>
        <item x="21"/>
        <item x="22"/>
        <item x="101"/>
        <item x="102"/>
        <item x="103"/>
        <item x="104"/>
        <item x="105"/>
        <item x="106"/>
        <item x="107"/>
        <item x="108"/>
        <item x="123"/>
        <item x="124"/>
        <item x="125"/>
        <item x="126"/>
        <item x="127"/>
        <item x="128"/>
        <item x="129"/>
        <item x="130"/>
        <item x="131"/>
        <item x="132"/>
        <item x="133"/>
        <item x="134"/>
        <item x="135"/>
        <item x="136"/>
        <item x="137"/>
        <item x="138"/>
        <item x="139"/>
        <item x="140"/>
        <item x="141"/>
        <item x="142"/>
        <item x="143"/>
        <item x="144"/>
        <item x="145"/>
        <item x="146"/>
        <item x="147"/>
        <item x="148"/>
        <item x="149"/>
        <item h="1" x="9"/>
        <item t="default"/>
      </items>
    </pivotField>
    <pivotField axis="axisPage" multipleItemSelectionAllowed="1" showAll="0">
      <items count="4">
        <item h="1"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pivotField showAll="0"/>
    <pivotField showAll="0"/>
    <pivotField dataField="1" showAll="0" defaultSubtotal="0"/>
    <pivotField showAll="0"/>
    <pivotField showAll="0"/>
    <pivotField showAll="0"/>
    <pivotField dataField="1" showAll="0" defaultSubtotal="0"/>
    <pivotField showAll="0"/>
    <pivotField showAll="0"/>
    <pivotField dataField="1" showAll="0" defaultSubtotal="0"/>
    <pivotField showAll="0"/>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2"/>
  </colFields>
  <colItems count="5">
    <i>
      <x/>
    </i>
    <i i="1">
      <x v="1"/>
    </i>
    <i i="2">
      <x v="2"/>
    </i>
    <i i="3">
      <x v="3"/>
    </i>
    <i i="4">
      <x v="4"/>
    </i>
  </colItems>
  <pageFields count="3">
    <pageField fld="4" hier="-1"/>
    <pageField fld="3" hier="-1"/>
    <pageField fld="2" item="1" hier="-1"/>
  </pageFields>
  <dataFields count="5">
    <dataField name="Cuenta de RIESGO" fld="3" subtotal="count" baseField="0" baseItem="0"/>
    <dataField name="Promedio de Num_Pi_val" fld="21" subtotal="average" baseField="0" baseItem="0" numFmtId="165"/>
    <dataField name="Promedio de Num_Ii_Val" fld="24" subtotal="average" baseField="0" baseItem="0" numFmtId="165"/>
    <dataField name="Promedio de Num_Pr_Val" fld="28" subtotal="average" baseField="0" baseItem="0" numFmtId="165"/>
    <dataField name="Promedio de Num_Ir_Val" fld="31" subtotal="average" baseField="0" baseItem="0" numFmtId="165"/>
  </dataFields>
  <formats count="1">
    <format dxfId="1">
      <pivotArea outline="0" collapsedLevelsAreSubtotals="1" fieldPosition="0">
        <references count="1">
          <reference field="4294967294" count="4" selected="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F29" firstHeaderRow="0" firstDataRow="1" firstDataCol="1" rowPageCount="3" colPageCount="1"/>
  <pivotFields count="33">
    <pivotField axis="axisRow" showAll="0">
      <items count="24">
        <item x="0"/>
        <item x="5"/>
        <item x="8"/>
        <item x="7"/>
        <item x="9"/>
        <item x="11"/>
        <item x="12"/>
        <item x="13"/>
        <item x="19"/>
        <item x="15"/>
        <item x="17"/>
        <item x="14"/>
        <item x="18"/>
        <item x="16"/>
        <item x="6"/>
        <item x="20"/>
        <item x="22"/>
        <item x="2"/>
        <item x="4"/>
        <item x="21"/>
        <item x="3"/>
        <item x="1"/>
        <item x="10"/>
        <item t="default"/>
      </items>
    </pivotField>
    <pivotField showAll="0"/>
    <pivotField axis="axisPage" showAll="0">
      <items count="2">
        <item x="0"/>
        <item t="default"/>
      </items>
    </pivotField>
    <pivotField axis="axisPage" dataField="1" multipleItemSelectionAllowed="1" showAll="0">
      <items count="88">
        <item h="1" x="2"/>
        <item x="0"/>
        <item x="1"/>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t="default"/>
      </items>
    </pivotField>
    <pivotField axis="axisPage" multipleItemSelectionAllowed="1" showAll="0">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pivotField showAll="0"/>
    <pivotField showAll="0"/>
    <pivotField dataField="1" showAll="0" defaultSubtotal="0"/>
    <pivotField showAll="0"/>
    <pivotField showAll="0"/>
    <pivotField showAll="0"/>
    <pivotField dataField="1" showAll="0" defaultSubtotal="0"/>
    <pivotField showAll="0"/>
    <pivotField showAll="0"/>
    <pivotField dataField="1" showAll="0" defaultSubtotal="0"/>
    <pivotField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2"/>
  </colFields>
  <colItems count="5">
    <i>
      <x/>
    </i>
    <i i="1">
      <x v="1"/>
    </i>
    <i i="2">
      <x v="2"/>
    </i>
    <i i="3">
      <x v="3"/>
    </i>
    <i i="4">
      <x v="4"/>
    </i>
  </colItems>
  <pageFields count="3">
    <pageField fld="4" hier="-1"/>
    <pageField fld="3" hier="-1"/>
    <pageField fld="2" item="0" hier="-1"/>
  </pageFields>
  <dataFields count="5">
    <dataField name="Cuenta de RIESGO" fld="3" subtotal="count" baseField="0" baseItem="0"/>
    <dataField name="Promedio de Num_Pi_val" fld="21" subtotal="average" baseField="0" baseItem="0" numFmtId="165"/>
    <dataField name="Promedio de Num_Ii_Val" fld="24" subtotal="average" baseField="0" baseItem="0" numFmtId="165"/>
    <dataField name="Promedio de Num_Pr_Val" fld="28" subtotal="average" baseField="0" baseItem="0" numFmtId="165"/>
    <dataField name="Promedio de Num_Ir_Val" fld="31" subtotal="average" baseField="0" baseItem="0" numFmtId="165"/>
  </dataFields>
  <formats count="1">
    <format dxfId="0">
      <pivotArea outline="0" collapsedLevelsAreSubtotals="1" fieldPosition="0">
        <references count="1">
          <reference field="4294967294" count="4" selected="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0" tint="-4.9989318521683403E-2"/>
  </sheetPr>
  <dimension ref="A1:AR79"/>
  <sheetViews>
    <sheetView tabSelected="1" zoomScaleNormal="100" zoomScaleSheetLayoutView="85" workbookViewId="0">
      <selection activeCell="H2" sqref="H2:O2"/>
    </sheetView>
  </sheetViews>
  <sheetFormatPr baseColWidth="10" defaultRowHeight="15"/>
  <cols>
    <col min="1" max="1" width="3.85546875" customWidth="1"/>
    <col min="2" max="2" width="13" customWidth="1"/>
    <col min="5" max="5" width="5.7109375" customWidth="1"/>
    <col min="6" max="6" width="20.5703125" customWidth="1"/>
    <col min="9" max="9" width="5.7109375" customWidth="1"/>
    <col min="10" max="10" width="16.7109375" customWidth="1"/>
    <col min="12" max="12" width="10.5703125" customWidth="1"/>
    <col min="13" max="13" width="5.7109375" customWidth="1"/>
    <col min="14" max="14" width="17.42578125" customWidth="1"/>
    <col min="16" max="16" width="10.42578125" customWidth="1"/>
    <col min="17" max="17" width="5.7109375" customWidth="1"/>
    <col min="18" max="18" width="19.85546875" customWidth="1"/>
    <col min="19" max="19" width="13.85546875" customWidth="1"/>
    <col min="21" max="21" width="4.42578125" customWidth="1"/>
  </cols>
  <sheetData>
    <row r="1" spans="1:44" ht="11.25" customHeight="1" thickTop="1">
      <c r="A1" s="461"/>
      <c r="B1" s="462"/>
      <c r="C1" s="462"/>
      <c r="D1" s="462"/>
      <c r="E1" s="1154"/>
      <c r="F1" s="1154"/>
      <c r="G1" s="1154"/>
      <c r="H1" s="1154"/>
      <c r="I1" s="1154"/>
      <c r="J1" s="1154"/>
      <c r="K1" s="1154"/>
      <c r="L1" s="1154"/>
      <c r="M1" s="1154"/>
      <c r="N1" s="1154"/>
      <c r="O1" s="1154"/>
      <c r="P1" s="1154"/>
      <c r="Q1" s="1154"/>
      <c r="R1" s="462"/>
      <c r="S1" s="462"/>
      <c r="T1" s="462"/>
      <c r="U1" s="463"/>
      <c r="V1" s="1"/>
      <c r="W1" s="1"/>
      <c r="X1" s="1"/>
      <c r="Y1" s="1"/>
      <c r="Z1" s="1"/>
      <c r="AA1" s="1"/>
      <c r="AB1" s="1"/>
      <c r="AC1" s="1"/>
      <c r="AD1" s="1"/>
      <c r="AE1" s="1"/>
      <c r="AF1" s="1"/>
      <c r="AG1" s="1"/>
      <c r="AH1" s="1"/>
      <c r="AI1" s="1"/>
      <c r="AJ1" s="1"/>
      <c r="AK1" s="1"/>
      <c r="AL1" s="1"/>
      <c r="AM1" s="1"/>
      <c r="AN1" s="1"/>
      <c r="AO1" s="1"/>
      <c r="AP1" s="1"/>
      <c r="AQ1" s="1"/>
      <c r="AR1" s="1"/>
    </row>
    <row r="2" spans="1:44" ht="39" customHeight="1">
      <c r="A2" s="464"/>
      <c r="B2" s="465"/>
      <c r="C2" s="465"/>
      <c r="D2" s="465"/>
      <c r="E2" s="465"/>
      <c r="F2" s="465"/>
      <c r="G2" s="465"/>
      <c r="H2" s="1155" t="s">
        <v>3202</v>
      </c>
      <c r="I2" s="1156"/>
      <c r="J2" s="1156"/>
      <c r="K2" s="1156"/>
      <c r="L2" s="1156"/>
      <c r="M2" s="1156"/>
      <c r="N2" s="1156"/>
      <c r="O2" s="1157"/>
      <c r="P2" s="465"/>
      <c r="Q2" s="465"/>
      <c r="R2" s="466" t="s">
        <v>499</v>
      </c>
      <c r="S2" s="467">
        <v>43738</v>
      </c>
      <c r="T2" s="468"/>
      <c r="U2" s="469"/>
      <c r="V2" s="1"/>
      <c r="W2" s="1"/>
      <c r="X2" s="1"/>
      <c r="Y2" s="1"/>
      <c r="Z2" s="1"/>
      <c r="AA2" s="1"/>
      <c r="AB2" s="1"/>
      <c r="AC2" s="1"/>
      <c r="AD2" s="1"/>
      <c r="AE2" s="1"/>
      <c r="AF2" s="1"/>
      <c r="AG2" s="1"/>
      <c r="AH2" s="1"/>
      <c r="AI2" s="1"/>
      <c r="AJ2" s="1"/>
      <c r="AK2" s="1"/>
      <c r="AL2" s="1"/>
      <c r="AM2" s="1"/>
      <c r="AN2" s="1"/>
      <c r="AO2" s="1"/>
      <c r="AP2" s="1"/>
      <c r="AQ2" s="1"/>
      <c r="AR2" s="1"/>
    </row>
    <row r="3" spans="1:44">
      <c r="A3" s="464"/>
      <c r="B3" s="465"/>
      <c r="C3" s="465"/>
      <c r="D3" s="465"/>
      <c r="E3" s="465"/>
      <c r="F3" s="465"/>
      <c r="G3" s="465"/>
      <c r="H3" s="465"/>
      <c r="I3" s="465"/>
      <c r="J3" s="465"/>
      <c r="K3" s="465"/>
      <c r="L3" s="465"/>
      <c r="M3" s="465"/>
      <c r="N3" s="465"/>
      <c r="O3" s="465"/>
      <c r="P3" s="465"/>
      <c r="Q3" s="465"/>
      <c r="R3" s="465"/>
      <c r="S3" s="465"/>
      <c r="T3" s="465"/>
      <c r="U3" s="469"/>
      <c r="V3" s="1"/>
      <c r="W3" s="1"/>
      <c r="X3" s="1"/>
      <c r="Y3" s="1"/>
      <c r="Z3" s="1"/>
      <c r="AA3" s="1"/>
      <c r="AB3" s="1"/>
      <c r="AC3" s="1"/>
      <c r="AD3" s="1"/>
      <c r="AE3" s="1"/>
      <c r="AF3" s="1"/>
      <c r="AG3" s="1"/>
      <c r="AH3" s="1"/>
      <c r="AI3" s="1"/>
      <c r="AJ3" s="1"/>
      <c r="AK3" s="1"/>
      <c r="AL3" s="1"/>
      <c r="AM3" s="1"/>
      <c r="AN3" s="1"/>
      <c r="AO3" s="1"/>
      <c r="AP3" s="1"/>
      <c r="AQ3" s="1"/>
      <c r="AR3" s="1"/>
    </row>
    <row r="4" spans="1:44" ht="6" customHeight="1">
      <c r="A4" s="464"/>
      <c r="B4" s="465"/>
      <c r="C4" s="465"/>
      <c r="D4" s="465"/>
      <c r="E4" s="465"/>
      <c r="F4" s="465"/>
      <c r="G4" s="465"/>
      <c r="H4" s="465"/>
      <c r="I4" s="465"/>
      <c r="J4" s="465"/>
      <c r="K4" s="465"/>
      <c r="L4" s="465"/>
      <c r="M4" s="465"/>
      <c r="N4" s="465"/>
      <c r="O4" s="465"/>
      <c r="P4" s="465"/>
      <c r="Q4" s="465"/>
      <c r="R4" s="465"/>
      <c r="S4" s="465"/>
      <c r="T4" s="465"/>
      <c r="U4" s="469"/>
      <c r="V4" s="1"/>
      <c r="W4" s="1"/>
      <c r="X4" s="1"/>
      <c r="Y4" s="1"/>
      <c r="Z4" s="1"/>
      <c r="AA4" s="1"/>
      <c r="AB4" s="1"/>
      <c r="AC4" s="1"/>
      <c r="AD4" s="1"/>
      <c r="AE4" s="1"/>
      <c r="AF4" s="1"/>
      <c r="AG4" s="1"/>
      <c r="AH4" s="1"/>
      <c r="AI4" s="1"/>
      <c r="AJ4" s="1"/>
      <c r="AK4" s="1"/>
      <c r="AL4" s="1"/>
      <c r="AM4" s="1"/>
      <c r="AN4" s="1"/>
      <c r="AO4" s="1"/>
      <c r="AP4" s="1"/>
      <c r="AQ4" s="1"/>
      <c r="AR4" s="1"/>
    </row>
    <row r="5" spans="1:44" ht="6" customHeight="1">
      <c r="A5" s="464"/>
      <c r="B5" s="465"/>
      <c r="C5" s="465"/>
      <c r="D5" s="465"/>
      <c r="E5" s="465"/>
      <c r="F5" s="465"/>
      <c r="G5" s="465"/>
      <c r="H5" s="465"/>
      <c r="I5" s="465"/>
      <c r="J5" s="465"/>
      <c r="K5" s="465"/>
      <c r="L5" s="465"/>
      <c r="M5" s="465"/>
      <c r="N5" s="465"/>
      <c r="O5" s="465"/>
      <c r="P5" s="465"/>
      <c r="Q5" s="465"/>
      <c r="R5" s="465"/>
      <c r="S5" s="465"/>
      <c r="T5" s="465"/>
      <c r="U5" s="469"/>
      <c r="V5" s="1"/>
      <c r="W5" s="1"/>
      <c r="X5" s="1"/>
      <c r="Y5" s="1"/>
      <c r="Z5" s="1"/>
      <c r="AA5" s="1"/>
      <c r="AB5" s="1"/>
      <c r="AC5" s="1"/>
      <c r="AD5" s="1"/>
      <c r="AE5" s="1"/>
      <c r="AF5" s="1"/>
      <c r="AG5" s="1"/>
      <c r="AH5" s="1"/>
      <c r="AI5" s="1"/>
      <c r="AJ5" s="1"/>
      <c r="AK5" s="1"/>
      <c r="AL5" s="1"/>
      <c r="AM5" s="1"/>
      <c r="AN5" s="1"/>
      <c r="AO5" s="1"/>
      <c r="AP5" s="1"/>
      <c r="AQ5" s="1"/>
      <c r="AR5" s="1"/>
    </row>
    <row r="6" spans="1:44" ht="5.0999999999999996" customHeight="1">
      <c r="A6" s="464"/>
      <c r="B6" s="465"/>
      <c r="C6" s="465"/>
      <c r="D6" s="465"/>
      <c r="E6" s="465"/>
      <c r="F6" s="465"/>
      <c r="G6" s="465"/>
      <c r="H6" s="465"/>
      <c r="I6" s="465"/>
      <c r="J6" s="465"/>
      <c r="K6" s="465"/>
      <c r="L6" s="465"/>
      <c r="M6" s="465"/>
      <c r="N6" s="465"/>
      <c r="O6" s="465"/>
      <c r="P6" s="465"/>
      <c r="Q6" s="465"/>
      <c r="R6" s="465"/>
      <c r="S6" s="465"/>
      <c r="T6" s="465"/>
      <c r="U6" s="469"/>
      <c r="V6" s="1"/>
      <c r="W6" s="1"/>
      <c r="X6" s="1"/>
      <c r="Y6" s="1"/>
      <c r="Z6" s="1"/>
      <c r="AA6" s="1"/>
      <c r="AB6" s="1"/>
      <c r="AC6" s="1"/>
      <c r="AD6" s="1"/>
      <c r="AE6" s="1"/>
      <c r="AF6" s="1"/>
      <c r="AG6" s="1"/>
      <c r="AH6" s="1"/>
      <c r="AI6" s="1"/>
      <c r="AJ6" s="1"/>
      <c r="AK6" s="1"/>
      <c r="AL6" s="1"/>
      <c r="AM6" s="1"/>
      <c r="AN6" s="1"/>
      <c r="AO6" s="1"/>
      <c r="AP6" s="1"/>
      <c r="AQ6" s="1"/>
      <c r="AR6" s="1"/>
    </row>
    <row r="7" spans="1:44">
      <c r="A7" s="464"/>
      <c r="B7" s="465"/>
      <c r="C7" s="465"/>
      <c r="D7" s="465"/>
      <c r="E7" s="465"/>
      <c r="F7" s="465"/>
      <c r="G7" s="465"/>
      <c r="H7" s="465"/>
      <c r="I7" s="465"/>
      <c r="J7" s="465"/>
      <c r="K7" s="465"/>
      <c r="L7" s="465"/>
      <c r="M7" s="465"/>
      <c r="N7" s="465"/>
      <c r="O7" s="465"/>
      <c r="P7" s="465"/>
      <c r="Q7" s="465"/>
      <c r="R7" s="465"/>
      <c r="S7" s="465"/>
      <c r="T7" s="465"/>
      <c r="U7" s="469"/>
      <c r="V7" s="1"/>
      <c r="W7" s="1"/>
      <c r="X7" s="1"/>
      <c r="Y7" s="1"/>
      <c r="Z7" s="1"/>
      <c r="AA7" s="1"/>
      <c r="AB7" s="1"/>
      <c r="AC7" s="1"/>
      <c r="AD7" s="1"/>
      <c r="AE7" s="1"/>
      <c r="AF7" s="1"/>
      <c r="AG7" s="1"/>
      <c r="AH7" s="1"/>
      <c r="AI7" s="1"/>
      <c r="AJ7" s="1"/>
      <c r="AK7" s="1"/>
      <c r="AL7" s="1"/>
      <c r="AM7" s="1"/>
      <c r="AN7" s="1"/>
      <c r="AO7" s="1"/>
      <c r="AP7" s="1"/>
      <c r="AQ7" s="1"/>
      <c r="AR7" s="1"/>
    </row>
    <row r="8" spans="1:44">
      <c r="A8" s="464"/>
      <c r="B8" s="465"/>
      <c r="C8" s="465"/>
      <c r="D8" s="465"/>
      <c r="E8" s="465"/>
      <c r="F8" s="465"/>
      <c r="G8" s="465"/>
      <c r="H8" s="465"/>
      <c r="I8" s="465"/>
      <c r="J8" s="465"/>
      <c r="K8" s="465"/>
      <c r="L8" s="465"/>
      <c r="M8" s="465"/>
      <c r="N8" s="465"/>
      <c r="O8" s="465"/>
      <c r="P8" s="465"/>
      <c r="Q8" s="465"/>
      <c r="R8" s="465"/>
      <c r="S8" s="465"/>
      <c r="T8" s="465"/>
      <c r="U8" s="469"/>
      <c r="V8" s="1"/>
      <c r="W8" s="1"/>
      <c r="X8" s="1"/>
      <c r="Y8" s="1"/>
      <c r="Z8" s="1"/>
      <c r="AA8" s="1"/>
      <c r="AB8" s="1"/>
      <c r="AC8" s="1"/>
      <c r="AD8" s="1"/>
      <c r="AE8" s="1"/>
      <c r="AF8" s="1"/>
      <c r="AG8" s="1"/>
      <c r="AH8" s="1"/>
      <c r="AI8" s="1"/>
      <c r="AJ8" s="1"/>
      <c r="AK8" s="1"/>
      <c r="AL8" s="1"/>
      <c r="AM8" s="1"/>
      <c r="AN8" s="1"/>
      <c r="AO8" s="1"/>
      <c r="AP8" s="1"/>
      <c r="AQ8" s="1"/>
      <c r="AR8" s="1"/>
    </row>
    <row r="9" spans="1:44">
      <c r="A9" s="464"/>
      <c r="B9" s="465"/>
      <c r="C9" s="465"/>
      <c r="D9" s="465"/>
      <c r="E9" s="465"/>
      <c r="F9" s="465"/>
      <c r="G9" s="465"/>
      <c r="H9" s="465"/>
      <c r="I9" s="465"/>
      <c r="J9" s="465"/>
      <c r="K9" s="465"/>
      <c r="L9" s="465"/>
      <c r="M9" s="465"/>
      <c r="N9" s="465"/>
      <c r="O9" s="465"/>
      <c r="P9" s="465"/>
      <c r="Q9" s="465"/>
      <c r="R9" s="465"/>
      <c r="S9" s="465"/>
      <c r="T9" s="465"/>
      <c r="U9" s="469"/>
      <c r="V9" s="1"/>
      <c r="W9" s="1"/>
      <c r="X9" s="1"/>
      <c r="Y9" s="1"/>
      <c r="Z9" s="1"/>
      <c r="AA9" s="1"/>
      <c r="AB9" s="1"/>
      <c r="AC9" s="1"/>
      <c r="AD9" s="1"/>
      <c r="AE9" s="1"/>
      <c r="AF9" s="1"/>
      <c r="AG9" s="1"/>
      <c r="AH9" s="1"/>
      <c r="AI9" s="1"/>
      <c r="AJ9" s="1"/>
      <c r="AK9" s="1"/>
      <c r="AL9" s="1"/>
      <c r="AM9" s="1"/>
      <c r="AN9" s="1"/>
      <c r="AO9" s="1"/>
      <c r="AP9" s="1"/>
      <c r="AQ9" s="1"/>
      <c r="AR9" s="1"/>
    </row>
    <row r="10" spans="1:44">
      <c r="A10" s="464"/>
      <c r="B10" s="465"/>
      <c r="C10" s="465"/>
      <c r="D10" s="465"/>
      <c r="E10" s="465"/>
      <c r="F10" s="465"/>
      <c r="G10" s="465"/>
      <c r="H10" s="465"/>
      <c r="I10" s="465"/>
      <c r="J10" s="465"/>
      <c r="K10" s="465"/>
      <c r="L10" s="465"/>
      <c r="M10" s="465"/>
      <c r="N10" s="465"/>
      <c r="O10" s="465"/>
      <c r="P10" s="465"/>
      <c r="Q10" s="465"/>
      <c r="R10" s="465"/>
      <c r="S10" s="465"/>
      <c r="T10" s="465"/>
      <c r="U10" s="469"/>
      <c r="V10" s="1"/>
      <c r="W10" s="1"/>
      <c r="X10" s="1"/>
      <c r="Y10" s="1"/>
      <c r="Z10" s="1"/>
      <c r="AA10" s="1"/>
      <c r="AB10" s="1"/>
      <c r="AC10" s="1"/>
      <c r="AD10" s="1"/>
      <c r="AE10" s="1"/>
      <c r="AF10" s="1"/>
      <c r="AG10" s="1"/>
      <c r="AH10" s="1"/>
      <c r="AI10" s="1"/>
      <c r="AJ10" s="1"/>
      <c r="AK10" s="1"/>
      <c r="AL10" s="1"/>
      <c r="AM10" s="1"/>
      <c r="AN10" s="1"/>
      <c r="AO10" s="1"/>
      <c r="AP10" s="1"/>
      <c r="AQ10" s="1"/>
      <c r="AR10" s="1"/>
    </row>
    <row r="11" spans="1:44" hidden="1">
      <c r="A11" s="464"/>
      <c r="B11" s="465"/>
      <c r="C11" s="465"/>
      <c r="D11" s="465"/>
      <c r="E11" s="465"/>
      <c r="F11" s="465"/>
      <c r="G11" s="465"/>
      <c r="H11" s="465"/>
      <c r="I11" s="465"/>
      <c r="J11" s="465"/>
      <c r="K11" s="465"/>
      <c r="L11" s="465"/>
      <c r="M11" s="465"/>
      <c r="N11" s="465"/>
      <c r="O11" s="465"/>
      <c r="P11" s="465"/>
      <c r="Q11" s="465"/>
      <c r="R11" s="465"/>
      <c r="S11" s="465"/>
      <c r="T11" s="465"/>
      <c r="U11" s="469"/>
      <c r="V11" s="1"/>
      <c r="W11" s="1"/>
      <c r="X11" s="1"/>
      <c r="Y11" s="1"/>
      <c r="Z11" s="1"/>
      <c r="AA11" s="1"/>
      <c r="AB11" s="1"/>
      <c r="AC11" s="1"/>
      <c r="AD11" s="1"/>
      <c r="AE11" s="1"/>
      <c r="AF11" s="1"/>
      <c r="AG11" s="1"/>
      <c r="AH11" s="1"/>
      <c r="AI11" s="1"/>
      <c r="AJ11" s="1"/>
      <c r="AK11" s="1"/>
      <c r="AL11" s="1"/>
      <c r="AM11" s="1"/>
      <c r="AN11" s="1"/>
      <c r="AO11" s="1"/>
      <c r="AP11" s="1"/>
      <c r="AQ11" s="1"/>
      <c r="AR11" s="1"/>
    </row>
    <row r="12" spans="1:44" ht="16.5" customHeight="1">
      <c r="A12" s="464"/>
      <c r="B12" s="1158" t="s">
        <v>142</v>
      </c>
      <c r="C12" s="1158"/>
      <c r="D12" s="1158"/>
      <c r="E12" s="470"/>
      <c r="F12" s="1152" t="s">
        <v>155</v>
      </c>
      <c r="G12" s="1152"/>
      <c r="H12" s="1152"/>
      <c r="I12" s="470"/>
      <c r="J12" s="1152" t="s">
        <v>90</v>
      </c>
      <c r="K12" s="1152"/>
      <c r="L12" s="1152"/>
      <c r="M12" s="471"/>
      <c r="N12" s="1153" t="s">
        <v>83</v>
      </c>
      <c r="O12" s="1153"/>
      <c r="P12" s="1153"/>
      <c r="Q12" s="470"/>
      <c r="R12" s="1152" t="s">
        <v>76</v>
      </c>
      <c r="S12" s="1152"/>
      <c r="T12" s="1152"/>
      <c r="U12" s="469"/>
      <c r="V12" s="1"/>
      <c r="W12" s="1"/>
      <c r="X12" s="1"/>
      <c r="Y12" s="1"/>
      <c r="Z12" s="1"/>
      <c r="AA12" s="1"/>
      <c r="AB12" s="1"/>
      <c r="AC12" s="1"/>
      <c r="AD12" s="1"/>
      <c r="AE12" s="1"/>
      <c r="AF12" s="1"/>
      <c r="AG12" s="1"/>
      <c r="AH12" s="1"/>
      <c r="AI12" s="1"/>
      <c r="AJ12" s="1"/>
      <c r="AK12" s="1"/>
      <c r="AL12" s="1"/>
      <c r="AM12" s="1"/>
      <c r="AN12" s="1"/>
      <c r="AO12" s="1"/>
      <c r="AP12" s="1"/>
      <c r="AQ12" s="1"/>
      <c r="AR12" s="1"/>
    </row>
    <row r="13" spans="1:44" ht="15.75" customHeight="1">
      <c r="A13" s="464"/>
      <c r="B13" s="470"/>
      <c r="C13" s="1147" t="s">
        <v>14</v>
      </c>
      <c r="D13" s="1147"/>
      <c r="E13" s="470"/>
      <c r="F13" s="470"/>
      <c r="G13" s="1147" t="s">
        <v>14</v>
      </c>
      <c r="H13" s="1147"/>
      <c r="I13" s="470"/>
      <c r="J13" s="472"/>
      <c r="K13" s="1149" t="s">
        <v>14</v>
      </c>
      <c r="L13" s="1150"/>
      <c r="M13" s="473"/>
      <c r="N13" s="470"/>
      <c r="O13" s="1144" t="s">
        <v>14</v>
      </c>
      <c r="P13" s="1145"/>
      <c r="Q13" s="470"/>
      <c r="R13" s="474"/>
      <c r="S13" s="475" t="s">
        <v>14</v>
      </c>
      <c r="T13" s="475"/>
      <c r="U13" s="469"/>
      <c r="V13" s="1"/>
      <c r="W13" s="1"/>
      <c r="X13" s="1"/>
      <c r="Y13" s="1"/>
      <c r="Z13" s="1"/>
      <c r="AA13" s="1"/>
      <c r="AB13" s="1"/>
      <c r="AC13" s="1"/>
      <c r="AD13" s="1"/>
      <c r="AE13" s="1"/>
      <c r="AF13" s="1"/>
      <c r="AG13" s="1"/>
      <c r="AH13" s="1"/>
      <c r="AI13" s="1"/>
      <c r="AJ13" s="1"/>
      <c r="AK13" s="1"/>
      <c r="AL13" s="1"/>
      <c r="AM13" s="1"/>
      <c r="AN13" s="1"/>
      <c r="AO13" s="1"/>
      <c r="AP13" s="1"/>
      <c r="AQ13" s="1"/>
      <c r="AR13" s="1"/>
    </row>
    <row r="14" spans="1:44" ht="15.75" customHeight="1">
      <c r="A14" s="464"/>
      <c r="B14" s="470"/>
      <c r="C14" s="1147" t="s">
        <v>9</v>
      </c>
      <c r="D14" s="1147"/>
      <c r="E14" s="470"/>
      <c r="F14" s="470"/>
      <c r="G14" s="1147" t="s">
        <v>9</v>
      </c>
      <c r="H14" s="1147"/>
      <c r="I14" s="470"/>
      <c r="J14" s="472"/>
      <c r="K14" s="1151" t="s">
        <v>9</v>
      </c>
      <c r="L14" s="1151"/>
      <c r="M14" s="473"/>
      <c r="N14" s="470"/>
      <c r="O14" s="1144" t="s">
        <v>9</v>
      </c>
      <c r="P14" s="1145"/>
      <c r="Q14" s="470"/>
      <c r="R14" s="476"/>
      <c r="S14" s="475" t="s">
        <v>9</v>
      </c>
      <c r="T14" s="475"/>
      <c r="U14" s="469"/>
      <c r="V14" s="1"/>
      <c r="W14" s="1"/>
      <c r="X14" s="1"/>
      <c r="Y14" s="1"/>
      <c r="Z14" s="1"/>
      <c r="AA14" s="1"/>
      <c r="AB14" s="1"/>
      <c r="AC14" s="1"/>
      <c r="AD14" s="1"/>
      <c r="AE14" s="1"/>
      <c r="AF14" s="1"/>
      <c r="AG14" s="1"/>
      <c r="AH14" s="1"/>
      <c r="AI14" s="1"/>
      <c r="AJ14" s="1"/>
      <c r="AK14" s="1"/>
      <c r="AL14" s="1"/>
      <c r="AM14" s="1"/>
      <c r="AN14" s="1"/>
      <c r="AO14" s="1"/>
      <c r="AP14" s="1"/>
      <c r="AQ14" s="1"/>
      <c r="AR14" s="1"/>
    </row>
    <row r="15" spans="1:44" ht="15.75" customHeight="1">
      <c r="A15" s="464"/>
      <c r="B15" s="470"/>
      <c r="C15" s="473"/>
      <c r="D15" s="473"/>
      <c r="E15" s="470"/>
      <c r="F15" s="470"/>
      <c r="G15" s="473"/>
      <c r="H15" s="473"/>
      <c r="I15" s="470"/>
      <c r="J15" s="477"/>
      <c r="K15" s="473"/>
      <c r="L15" s="473"/>
      <c r="M15" s="473"/>
      <c r="N15" s="470"/>
      <c r="O15" s="473"/>
      <c r="P15" s="473"/>
      <c r="Q15" s="470"/>
      <c r="R15" s="476"/>
      <c r="S15" s="473"/>
      <c r="T15" s="473"/>
      <c r="U15" s="469"/>
      <c r="V15" s="1"/>
      <c r="W15" s="1"/>
      <c r="X15" s="1"/>
      <c r="Y15" s="1"/>
      <c r="Z15" s="1"/>
      <c r="AA15" s="1"/>
      <c r="AB15" s="1"/>
      <c r="AC15" s="1"/>
      <c r="AD15" s="1"/>
      <c r="AE15" s="1"/>
      <c r="AF15" s="1"/>
      <c r="AG15" s="1"/>
      <c r="AH15" s="1"/>
      <c r="AI15" s="1"/>
      <c r="AJ15" s="1"/>
      <c r="AK15" s="1"/>
      <c r="AL15" s="1"/>
      <c r="AM15" s="1"/>
      <c r="AN15" s="1"/>
      <c r="AO15" s="1"/>
      <c r="AP15" s="1"/>
      <c r="AQ15" s="1"/>
      <c r="AR15" s="1"/>
    </row>
    <row r="16" spans="1:44" ht="24" customHeight="1">
      <c r="A16" s="464"/>
      <c r="B16" s="1152" t="s">
        <v>10</v>
      </c>
      <c r="C16" s="1152"/>
      <c r="D16" s="1152"/>
      <c r="E16" s="470"/>
      <c r="F16" s="1152" t="s">
        <v>156</v>
      </c>
      <c r="G16" s="1152"/>
      <c r="H16" s="1152"/>
      <c r="I16" s="470"/>
      <c r="J16" s="1152" t="s">
        <v>95</v>
      </c>
      <c r="K16" s="1152"/>
      <c r="L16" s="1152"/>
      <c r="M16" s="473"/>
      <c r="N16" s="1152" t="s">
        <v>13</v>
      </c>
      <c r="O16" s="1152"/>
      <c r="P16" s="1152"/>
      <c r="Q16" s="470"/>
      <c r="R16" s="1152" t="s">
        <v>49</v>
      </c>
      <c r="S16" s="1152"/>
      <c r="T16" s="1152"/>
      <c r="U16" s="469"/>
      <c r="V16" s="1"/>
      <c r="W16" s="1"/>
      <c r="X16" s="1"/>
      <c r="Y16" s="1"/>
      <c r="Z16" s="1"/>
      <c r="AA16" s="1"/>
      <c r="AB16" s="1"/>
      <c r="AC16" s="1"/>
      <c r="AD16" s="1"/>
      <c r="AE16" s="1"/>
      <c r="AF16" s="1"/>
      <c r="AG16" s="1"/>
      <c r="AH16" s="1"/>
      <c r="AI16" s="1"/>
      <c r="AJ16" s="1"/>
      <c r="AK16" s="1"/>
      <c r="AL16" s="1"/>
      <c r="AM16" s="1"/>
      <c r="AN16" s="1"/>
      <c r="AO16" s="1"/>
      <c r="AP16" s="1"/>
      <c r="AQ16" s="1"/>
      <c r="AR16" s="1"/>
    </row>
    <row r="17" spans="1:44" ht="15.75" customHeight="1">
      <c r="A17" s="464"/>
      <c r="B17" s="470"/>
      <c r="C17" s="1147" t="s">
        <v>14</v>
      </c>
      <c r="D17" s="1147"/>
      <c r="E17" s="470"/>
      <c r="F17" s="470"/>
      <c r="G17" s="1147" t="s">
        <v>14</v>
      </c>
      <c r="H17" s="1147"/>
      <c r="I17" s="470"/>
      <c r="J17" s="470"/>
      <c r="K17" s="1147" t="s">
        <v>14</v>
      </c>
      <c r="L17" s="1147"/>
      <c r="M17" s="470"/>
      <c r="N17" s="470"/>
      <c r="O17" s="1144" t="s">
        <v>14</v>
      </c>
      <c r="P17" s="1145"/>
      <c r="Q17" s="470"/>
      <c r="R17" s="476"/>
      <c r="S17" s="1147" t="s">
        <v>14</v>
      </c>
      <c r="T17" s="1147"/>
      <c r="U17" s="469"/>
      <c r="V17" s="1"/>
      <c r="W17" s="1"/>
      <c r="X17" s="1"/>
      <c r="Y17" s="1"/>
      <c r="Z17" s="1"/>
      <c r="AA17" s="1"/>
      <c r="AB17" s="1"/>
      <c r="AC17" s="1"/>
      <c r="AD17" s="1"/>
      <c r="AE17" s="1"/>
      <c r="AF17" s="1"/>
      <c r="AG17" s="1"/>
      <c r="AH17" s="1"/>
      <c r="AI17" s="1"/>
      <c r="AJ17" s="1"/>
      <c r="AK17" s="1"/>
      <c r="AL17" s="1"/>
      <c r="AM17" s="1"/>
      <c r="AN17" s="1"/>
      <c r="AO17" s="1"/>
      <c r="AP17" s="1"/>
      <c r="AQ17" s="1"/>
      <c r="AR17" s="1"/>
    </row>
    <row r="18" spans="1:44" ht="15.75" customHeight="1">
      <c r="A18" s="464"/>
      <c r="B18" s="470"/>
      <c r="C18" s="1147" t="s">
        <v>9</v>
      </c>
      <c r="D18" s="1147"/>
      <c r="E18" s="470"/>
      <c r="F18" s="470"/>
      <c r="G18" s="1147" t="s">
        <v>9</v>
      </c>
      <c r="H18" s="1147"/>
      <c r="I18" s="470"/>
      <c r="J18" s="470"/>
      <c r="K18" s="1147" t="s">
        <v>9</v>
      </c>
      <c r="L18" s="1147"/>
      <c r="M18" s="471"/>
      <c r="N18" s="470"/>
      <c r="O18" s="1144" t="s">
        <v>9</v>
      </c>
      <c r="P18" s="1145"/>
      <c r="Q18" s="470"/>
      <c r="R18" s="1148"/>
      <c r="S18" s="1147" t="s">
        <v>9</v>
      </c>
      <c r="T18" s="1147"/>
      <c r="U18" s="469"/>
      <c r="V18" s="1"/>
      <c r="W18" s="1"/>
      <c r="X18" s="1"/>
      <c r="Y18" s="1"/>
      <c r="Z18" s="1"/>
      <c r="AA18" s="1"/>
      <c r="AB18" s="1"/>
      <c r="AC18" s="1"/>
      <c r="AD18" s="1"/>
      <c r="AE18" s="1"/>
      <c r="AF18" s="1"/>
      <c r="AG18" s="1"/>
      <c r="AH18" s="1"/>
      <c r="AI18" s="1"/>
      <c r="AJ18" s="1"/>
      <c r="AK18" s="1"/>
      <c r="AL18" s="1"/>
      <c r="AM18" s="1"/>
      <c r="AN18" s="1"/>
      <c r="AO18" s="1"/>
      <c r="AP18" s="1"/>
      <c r="AQ18" s="1"/>
      <c r="AR18" s="1"/>
    </row>
    <row r="19" spans="1:44" ht="15.75" customHeight="1">
      <c r="A19" s="464"/>
      <c r="B19" s="470"/>
      <c r="C19" s="470"/>
      <c r="D19" s="470"/>
      <c r="E19" s="470"/>
      <c r="F19" s="470"/>
      <c r="G19" s="470"/>
      <c r="H19" s="470"/>
      <c r="I19" s="470"/>
      <c r="J19" s="470"/>
      <c r="K19" s="470"/>
      <c r="L19" s="470"/>
      <c r="M19" s="473"/>
      <c r="N19" s="471"/>
      <c r="O19" s="471"/>
      <c r="P19" s="471"/>
      <c r="Q19" s="470"/>
      <c r="R19" s="1148"/>
      <c r="S19" s="465"/>
      <c r="T19" s="465"/>
      <c r="U19" s="469"/>
      <c r="V19" s="1"/>
      <c r="W19" s="1"/>
      <c r="X19" s="1"/>
      <c r="Y19" s="1"/>
      <c r="Z19" s="1"/>
      <c r="AA19" s="1"/>
      <c r="AB19" s="1"/>
      <c r="AC19" s="1"/>
      <c r="AD19" s="1"/>
      <c r="AE19" s="1"/>
      <c r="AF19" s="1"/>
      <c r="AG19" s="1"/>
      <c r="AH19" s="1"/>
      <c r="AI19" s="1"/>
      <c r="AJ19" s="1"/>
      <c r="AK19" s="1"/>
      <c r="AL19" s="1"/>
      <c r="AM19" s="1"/>
      <c r="AN19" s="1"/>
      <c r="AO19" s="1"/>
      <c r="AP19" s="1"/>
      <c r="AQ19" s="1"/>
      <c r="AR19" s="1"/>
    </row>
    <row r="20" spans="1:44" ht="24.75" customHeight="1">
      <c r="A20" s="464"/>
      <c r="B20" s="1152" t="s">
        <v>118</v>
      </c>
      <c r="C20" s="1152"/>
      <c r="D20" s="1152"/>
      <c r="E20" s="470"/>
      <c r="F20" s="1152" t="s">
        <v>132</v>
      </c>
      <c r="G20" s="1152"/>
      <c r="H20" s="1152"/>
      <c r="I20" s="470"/>
      <c r="J20" s="1152" t="s">
        <v>340</v>
      </c>
      <c r="K20" s="1152"/>
      <c r="L20" s="1152"/>
      <c r="M20" s="473"/>
      <c r="N20" s="1152" t="s">
        <v>73</v>
      </c>
      <c r="O20" s="1152"/>
      <c r="P20" s="1152"/>
      <c r="Q20" s="470"/>
      <c r="R20" s="476"/>
      <c r="S20" s="471"/>
      <c r="T20" s="471"/>
      <c r="U20" s="469"/>
      <c r="V20" s="1"/>
      <c r="W20" s="1"/>
      <c r="X20" s="1"/>
      <c r="Y20" s="1"/>
      <c r="Z20" s="1"/>
      <c r="AA20" s="1"/>
      <c r="AB20" s="1"/>
      <c r="AC20" s="1"/>
      <c r="AD20" s="1"/>
      <c r="AE20" s="1"/>
      <c r="AF20" s="1"/>
      <c r="AG20" s="1"/>
      <c r="AH20" s="1"/>
      <c r="AI20" s="1"/>
      <c r="AJ20" s="1"/>
      <c r="AK20" s="1"/>
      <c r="AL20" s="1"/>
      <c r="AM20" s="1"/>
      <c r="AN20" s="1"/>
      <c r="AO20" s="1"/>
      <c r="AP20" s="1"/>
      <c r="AQ20" s="1"/>
      <c r="AR20" s="1"/>
    </row>
    <row r="21" spans="1:44" ht="15.75" customHeight="1">
      <c r="A21" s="464"/>
      <c r="B21" s="470"/>
      <c r="C21" s="1147" t="s">
        <v>14</v>
      </c>
      <c r="D21" s="1147"/>
      <c r="E21" s="470"/>
      <c r="F21" s="470"/>
      <c r="G21" s="1147" t="s">
        <v>14</v>
      </c>
      <c r="H21" s="1147"/>
      <c r="I21" s="470"/>
      <c r="J21" s="470"/>
      <c r="K21" s="1147" t="s">
        <v>14</v>
      </c>
      <c r="L21" s="1147"/>
      <c r="M21" s="470"/>
      <c r="N21" s="470"/>
      <c r="O21" s="478" t="s">
        <v>14</v>
      </c>
      <c r="P21" s="479"/>
      <c r="Q21" s="470"/>
      <c r="R21" s="476"/>
      <c r="S21" s="1146"/>
      <c r="T21" s="1146"/>
      <c r="U21" s="469"/>
      <c r="V21" s="1"/>
      <c r="W21" s="1"/>
      <c r="X21" s="1"/>
      <c r="Y21" s="1"/>
      <c r="Z21" s="1"/>
      <c r="AA21" s="1"/>
      <c r="AB21" s="1"/>
      <c r="AC21" s="1"/>
      <c r="AD21" s="1"/>
      <c r="AE21" s="1"/>
      <c r="AF21" s="1"/>
      <c r="AG21" s="1"/>
      <c r="AH21" s="1"/>
      <c r="AI21" s="1"/>
      <c r="AJ21" s="1"/>
      <c r="AK21" s="1"/>
      <c r="AL21" s="1"/>
      <c r="AM21" s="1"/>
      <c r="AN21" s="1"/>
      <c r="AO21" s="1"/>
      <c r="AP21" s="1"/>
      <c r="AQ21" s="1"/>
      <c r="AR21" s="1"/>
    </row>
    <row r="22" spans="1:44" ht="15.75" customHeight="1">
      <c r="A22" s="464"/>
      <c r="B22" s="470"/>
      <c r="C22" s="1147" t="s">
        <v>9</v>
      </c>
      <c r="D22" s="1147"/>
      <c r="E22" s="470"/>
      <c r="F22" s="470"/>
      <c r="G22" s="1147" t="s">
        <v>9</v>
      </c>
      <c r="H22" s="1147"/>
      <c r="I22" s="470"/>
      <c r="J22" s="470"/>
      <c r="K22" s="1147" t="s">
        <v>9</v>
      </c>
      <c r="L22" s="1147"/>
      <c r="M22" s="471"/>
      <c r="N22" s="470"/>
      <c r="O22" s="1147" t="s">
        <v>9</v>
      </c>
      <c r="P22" s="1147"/>
      <c r="Q22" s="470"/>
      <c r="R22" s="476"/>
      <c r="S22" s="1146"/>
      <c r="T22" s="1146"/>
      <c r="U22" s="469"/>
      <c r="V22" s="1"/>
      <c r="W22" s="1"/>
      <c r="X22" s="1"/>
      <c r="Y22" s="1"/>
      <c r="Z22" s="1"/>
      <c r="AA22" s="1"/>
      <c r="AB22" s="1"/>
      <c r="AC22" s="1"/>
      <c r="AD22" s="1"/>
      <c r="AE22" s="1"/>
      <c r="AF22" s="1"/>
      <c r="AG22" s="1"/>
      <c r="AH22" s="1"/>
      <c r="AI22" s="1"/>
      <c r="AJ22" s="1"/>
      <c r="AK22" s="1"/>
      <c r="AL22" s="1"/>
      <c r="AM22" s="1"/>
      <c r="AN22" s="1"/>
      <c r="AO22" s="1"/>
      <c r="AP22" s="1"/>
      <c r="AQ22" s="1"/>
      <c r="AR22" s="1"/>
    </row>
    <row r="23" spans="1:44" ht="15.75" customHeight="1">
      <c r="A23" s="464"/>
      <c r="B23" s="470"/>
      <c r="C23" s="470"/>
      <c r="D23" s="470"/>
      <c r="E23" s="470"/>
      <c r="F23" s="470"/>
      <c r="G23" s="470"/>
      <c r="H23" s="470"/>
      <c r="I23" s="470"/>
      <c r="J23" s="470"/>
      <c r="K23" s="470"/>
      <c r="L23" s="470"/>
      <c r="M23" s="473"/>
      <c r="N23" s="471"/>
      <c r="O23" s="471"/>
      <c r="P23" s="471"/>
      <c r="Q23" s="470"/>
      <c r="R23" s="470"/>
      <c r="S23" s="470"/>
      <c r="T23" s="470"/>
      <c r="U23" s="469"/>
      <c r="V23" s="1"/>
      <c r="W23" s="1"/>
      <c r="X23" s="1"/>
      <c r="Y23" s="1"/>
      <c r="Z23" s="1"/>
      <c r="AA23" s="1"/>
      <c r="AB23" s="1"/>
      <c r="AC23" s="1"/>
      <c r="AD23" s="1"/>
      <c r="AE23" s="1"/>
      <c r="AF23" s="1"/>
      <c r="AG23" s="1"/>
      <c r="AH23" s="1"/>
      <c r="AI23" s="1"/>
      <c r="AJ23" s="1"/>
      <c r="AK23" s="1"/>
      <c r="AL23" s="1"/>
      <c r="AM23" s="1"/>
      <c r="AN23" s="1"/>
      <c r="AO23" s="1"/>
      <c r="AP23" s="1"/>
      <c r="AQ23" s="1"/>
      <c r="AR23" s="1"/>
    </row>
    <row r="24" spans="1:44" ht="16.5" customHeight="1">
      <c r="A24" s="464"/>
      <c r="B24" s="1152" t="s">
        <v>119</v>
      </c>
      <c r="C24" s="1152"/>
      <c r="D24" s="1152"/>
      <c r="E24" s="470"/>
      <c r="F24" s="1152" t="s">
        <v>133</v>
      </c>
      <c r="G24" s="1152"/>
      <c r="H24" s="1152"/>
      <c r="I24" s="470"/>
      <c r="J24" s="1152" t="s">
        <v>101</v>
      </c>
      <c r="K24" s="1152"/>
      <c r="L24" s="1152"/>
      <c r="M24" s="473"/>
      <c r="N24" s="1152" t="s">
        <v>81</v>
      </c>
      <c r="O24" s="1165"/>
      <c r="P24" s="1165"/>
      <c r="Q24" s="470"/>
      <c r="R24" s="480"/>
      <c r="S24" s="480"/>
      <c r="T24" s="480"/>
      <c r="U24" s="469"/>
      <c r="V24" s="1"/>
      <c r="W24" s="1"/>
      <c r="X24" s="1"/>
      <c r="Y24" s="1"/>
      <c r="Z24" s="1"/>
      <c r="AA24" s="1"/>
      <c r="AB24" s="1"/>
      <c r="AC24" s="1"/>
      <c r="AD24" s="1"/>
      <c r="AE24" s="1"/>
      <c r="AF24" s="1"/>
      <c r="AG24" s="1"/>
      <c r="AH24" s="1"/>
      <c r="AI24" s="1"/>
      <c r="AJ24" s="1"/>
      <c r="AK24" s="1"/>
      <c r="AL24" s="1"/>
      <c r="AM24" s="1"/>
      <c r="AN24" s="1"/>
      <c r="AO24" s="1"/>
      <c r="AP24" s="1"/>
      <c r="AQ24" s="1"/>
      <c r="AR24" s="1"/>
    </row>
    <row r="25" spans="1:44" ht="15.75" customHeight="1">
      <c r="A25" s="464"/>
      <c r="B25" s="470"/>
      <c r="C25" s="1147" t="s">
        <v>14</v>
      </c>
      <c r="D25" s="1147"/>
      <c r="E25" s="470"/>
      <c r="F25" s="470"/>
      <c r="G25" s="1147" t="s">
        <v>14</v>
      </c>
      <c r="H25" s="1147"/>
      <c r="I25" s="470"/>
      <c r="J25" s="470"/>
      <c r="K25" s="1147" t="s">
        <v>14</v>
      </c>
      <c r="L25" s="1147"/>
      <c r="M25" s="470"/>
      <c r="N25" s="476"/>
      <c r="O25" s="1144" t="s">
        <v>14</v>
      </c>
      <c r="P25" s="1145"/>
      <c r="Q25" s="470"/>
      <c r="R25" s="480"/>
      <c r="S25" s="480"/>
      <c r="T25" s="480"/>
      <c r="U25" s="469"/>
      <c r="V25" s="1"/>
      <c r="W25" s="1"/>
      <c r="X25" s="1"/>
      <c r="Y25" s="1"/>
      <c r="Z25" s="1"/>
      <c r="AA25" s="1"/>
      <c r="AB25" s="1"/>
      <c r="AC25" s="1"/>
      <c r="AD25" s="1"/>
      <c r="AE25" s="1"/>
      <c r="AF25" s="1"/>
      <c r="AG25" s="1"/>
      <c r="AH25" s="1"/>
      <c r="AI25" s="1"/>
      <c r="AJ25" s="1"/>
      <c r="AK25" s="1"/>
      <c r="AL25" s="1"/>
      <c r="AM25" s="1"/>
      <c r="AN25" s="1"/>
      <c r="AO25" s="1"/>
      <c r="AP25" s="1"/>
      <c r="AQ25" s="1"/>
      <c r="AR25" s="1"/>
    </row>
    <row r="26" spans="1:44" ht="15.75" customHeight="1">
      <c r="A26" s="464"/>
      <c r="B26" s="470"/>
      <c r="C26" s="1147" t="s">
        <v>9</v>
      </c>
      <c r="D26" s="1147"/>
      <c r="E26" s="470"/>
      <c r="F26" s="470"/>
      <c r="G26" s="1147" t="s">
        <v>9</v>
      </c>
      <c r="H26" s="1147"/>
      <c r="I26" s="470"/>
      <c r="J26" s="470"/>
      <c r="K26" s="1147" t="s">
        <v>9</v>
      </c>
      <c r="L26" s="1147"/>
      <c r="M26" s="471"/>
      <c r="N26" s="1148"/>
      <c r="O26" s="1149" t="s">
        <v>9</v>
      </c>
      <c r="P26" s="1150"/>
      <c r="Q26" s="470"/>
      <c r="R26" s="480"/>
      <c r="S26" s="480"/>
      <c r="T26" s="480"/>
      <c r="U26" s="469"/>
      <c r="V26" s="1"/>
      <c r="W26" s="1"/>
      <c r="X26" s="1"/>
      <c r="Y26" s="1"/>
      <c r="Z26" s="1"/>
      <c r="AA26" s="1"/>
      <c r="AB26" s="1"/>
      <c r="AC26" s="1"/>
      <c r="AD26" s="1"/>
      <c r="AE26" s="1"/>
      <c r="AF26" s="1"/>
      <c r="AG26" s="1"/>
      <c r="AH26" s="1"/>
      <c r="AI26" s="1"/>
      <c r="AJ26" s="1"/>
      <c r="AK26" s="1"/>
      <c r="AL26" s="1"/>
      <c r="AM26" s="1"/>
      <c r="AN26" s="1"/>
      <c r="AO26" s="1"/>
      <c r="AP26" s="1"/>
      <c r="AQ26" s="1"/>
      <c r="AR26" s="1"/>
    </row>
    <row r="27" spans="1:44" ht="15.75" customHeight="1">
      <c r="A27" s="464"/>
      <c r="B27" s="470"/>
      <c r="C27" s="470"/>
      <c r="D27" s="470"/>
      <c r="E27" s="470"/>
      <c r="F27" s="470"/>
      <c r="G27" s="470"/>
      <c r="H27" s="470"/>
      <c r="I27" s="470"/>
      <c r="J27" s="470"/>
      <c r="K27" s="470"/>
      <c r="L27" s="470"/>
      <c r="M27" s="473"/>
      <c r="N27" s="1166"/>
      <c r="O27" s="1167"/>
      <c r="P27" s="1168"/>
      <c r="Q27" s="470"/>
      <c r="R27" s="480"/>
      <c r="S27" s="480"/>
      <c r="T27" s="480"/>
      <c r="U27" s="469"/>
      <c r="V27" s="1"/>
      <c r="W27" s="1"/>
      <c r="X27" s="1"/>
      <c r="Y27" s="1"/>
      <c r="Z27" s="1"/>
      <c r="AA27" s="1"/>
      <c r="AB27" s="1"/>
      <c r="AC27" s="1"/>
      <c r="AD27" s="1"/>
      <c r="AE27" s="1"/>
      <c r="AF27" s="1"/>
      <c r="AG27" s="1"/>
      <c r="AH27" s="1"/>
      <c r="AI27" s="1"/>
      <c r="AJ27" s="1"/>
      <c r="AK27" s="1"/>
      <c r="AL27" s="1"/>
      <c r="AM27" s="1"/>
      <c r="AN27" s="1"/>
      <c r="AO27" s="1"/>
      <c r="AP27" s="1"/>
      <c r="AQ27" s="1"/>
      <c r="AR27" s="1"/>
    </row>
    <row r="28" spans="1:44" ht="16.5" customHeight="1">
      <c r="A28" s="464"/>
      <c r="B28" s="1152" t="s">
        <v>120</v>
      </c>
      <c r="C28" s="1152"/>
      <c r="D28" s="1152"/>
      <c r="E28" s="470"/>
      <c r="F28" s="1152" t="s">
        <v>35</v>
      </c>
      <c r="G28" s="1152"/>
      <c r="H28" s="1152"/>
      <c r="I28" s="470"/>
      <c r="J28" s="473"/>
      <c r="K28" s="473"/>
      <c r="L28" s="473"/>
      <c r="M28" s="473"/>
      <c r="N28" s="481"/>
      <c r="O28" s="482"/>
      <c r="P28" s="482"/>
      <c r="Q28" s="470"/>
      <c r="R28" s="480"/>
      <c r="S28" s="480"/>
      <c r="T28" s="480"/>
      <c r="U28" s="469"/>
      <c r="V28" s="1"/>
      <c r="W28" s="1"/>
      <c r="X28" s="1"/>
      <c r="Y28" s="1"/>
      <c r="Z28" s="1"/>
      <c r="AA28" s="1"/>
      <c r="AB28" s="1"/>
      <c r="AC28" s="1"/>
      <c r="AD28" s="1"/>
      <c r="AE28" s="1"/>
      <c r="AF28" s="1"/>
      <c r="AG28" s="1"/>
      <c r="AH28" s="1"/>
      <c r="AI28" s="1"/>
      <c r="AJ28" s="1"/>
      <c r="AK28" s="1"/>
      <c r="AL28" s="1"/>
      <c r="AM28" s="1"/>
      <c r="AN28" s="1"/>
      <c r="AO28" s="1"/>
      <c r="AP28" s="1"/>
      <c r="AQ28" s="1"/>
      <c r="AR28" s="1"/>
    </row>
    <row r="29" spans="1:44" ht="15.75" customHeight="1">
      <c r="A29" s="464"/>
      <c r="B29" s="470"/>
      <c r="C29" s="1147" t="s">
        <v>14</v>
      </c>
      <c r="D29" s="1147"/>
      <c r="E29" s="470"/>
      <c r="F29" s="470"/>
      <c r="G29" s="1147" t="s">
        <v>14</v>
      </c>
      <c r="H29" s="1147"/>
      <c r="I29" s="470"/>
      <c r="J29" s="473"/>
      <c r="K29" s="473"/>
      <c r="L29" s="473"/>
      <c r="M29" s="470"/>
      <c r="N29" s="1163"/>
      <c r="O29" s="1146"/>
      <c r="P29" s="1146"/>
      <c r="Q29" s="470"/>
      <c r="R29" s="480"/>
      <c r="S29" s="480"/>
      <c r="T29" s="480"/>
      <c r="U29" s="469"/>
      <c r="V29" s="1"/>
      <c r="W29" s="1"/>
      <c r="X29" s="1"/>
      <c r="Y29" s="1"/>
      <c r="Z29" s="1"/>
      <c r="AA29" s="1"/>
      <c r="AB29" s="1"/>
      <c r="AC29" s="1"/>
      <c r="AD29" s="1"/>
      <c r="AE29" s="1"/>
      <c r="AF29" s="1"/>
      <c r="AG29" s="1"/>
      <c r="AH29" s="1"/>
      <c r="AI29" s="1"/>
      <c r="AJ29" s="1"/>
      <c r="AK29" s="1"/>
      <c r="AL29" s="1"/>
      <c r="AM29" s="1"/>
      <c r="AN29" s="1"/>
      <c r="AO29" s="1"/>
      <c r="AP29" s="1"/>
      <c r="AQ29" s="1"/>
      <c r="AR29" s="1"/>
    </row>
    <row r="30" spans="1:44" ht="15.75" customHeight="1">
      <c r="A30" s="464"/>
      <c r="B30" s="470"/>
      <c r="C30" s="1147" t="s">
        <v>9</v>
      </c>
      <c r="D30" s="1147"/>
      <c r="E30" s="470"/>
      <c r="F30" s="470"/>
      <c r="G30" s="1147" t="s">
        <v>9</v>
      </c>
      <c r="H30" s="1147"/>
      <c r="I30" s="470"/>
      <c r="J30" s="480"/>
      <c r="K30" s="480"/>
      <c r="L30" s="480"/>
      <c r="M30" s="471"/>
      <c r="N30" s="1164"/>
      <c r="O30" s="1146"/>
      <c r="P30" s="1146"/>
      <c r="Q30" s="470"/>
      <c r="R30" s="480"/>
      <c r="S30" s="480"/>
      <c r="T30" s="480"/>
      <c r="U30" s="469"/>
      <c r="V30" s="1"/>
      <c r="W30" s="1"/>
      <c r="X30" s="1"/>
      <c r="Y30" s="1"/>
      <c r="Z30" s="1"/>
      <c r="AA30" s="1"/>
      <c r="AB30" s="1"/>
      <c r="AC30" s="1"/>
      <c r="AD30" s="1"/>
      <c r="AE30" s="1"/>
      <c r="AF30" s="1"/>
      <c r="AG30" s="1"/>
      <c r="AH30" s="1"/>
      <c r="AI30" s="1"/>
      <c r="AJ30" s="1"/>
      <c r="AK30" s="1"/>
      <c r="AL30" s="1"/>
      <c r="AM30" s="1"/>
      <c r="AN30" s="1"/>
      <c r="AO30" s="1"/>
      <c r="AP30" s="1"/>
      <c r="AQ30" s="1"/>
      <c r="AR30" s="1"/>
    </row>
    <row r="31" spans="1:44" ht="15.75" customHeight="1">
      <c r="A31" s="464"/>
      <c r="B31" s="470"/>
      <c r="C31" s="470"/>
      <c r="D31" s="470"/>
      <c r="E31" s="470"/>
      <c r="F31" s="470"/>
      <c r="G31" s="470"/>
      <c r="H31" s="470"/>
      <c r="I31" s="470"/>
      <c r="J31" s="480"/>
      <c r="K31" s="473"/>
      <c r="L31" s="480"/>
      <c r="M31" s="480"/>
      <c r="N31" s="480"/>
      <c r="O31" s="480"/>
      <c r="P31" s="480"/>
      <c r="Q31" s="480"/>
      <c r="R31" s="480"/>
      <c r="S31" s="480"/>
      <c r="T31" s="480"/>
      <c r="U31" s="469"/>
      <c r="V31" s="1"/>
      <c r="W31" s="1"/>
      <c r="X31" s="1"/>
      <c r="Y31" s="1"/>
      <c r="Z31" s="1"/>
      <c r="AA31" s="1"/>
      <c r="AB31" s="1"/>
      <c r="AC31" s="1"/>
      <c r="AD31" s="1"/>
      <c r="AE31" s="1"/>
      <c r="AF31" s="1"/>
      <c r="AG31" s="1"/>
      <c r="AH31" s="1"/>
      <c r="AI31" s="1"/>
      <c r="AJ31" s="1"/>
      <c r="AK31" s="1"/>
      <c r="AL31" s="1"/>
      <c r="AM31" s="1"/>
      <c r="AN31" s="1"/>
      <c r="AO31" s="1"/>
      <c r="AP31" s="1"/>
      <c r="AQ31" s="1"/>
      <c r="AR31" s="1"/>
    </row>
    <row r="32" spans="1:44" ht="16.5" customHeight="1">
      <c r="A32" s="464"/>
      <c r="B32" s="1152" t="s">
        <v>379</v>
      </c>
      <c r="C32" s="1152"/>
      <c r="D32" s="1152"/>
      <c r="E32" s="470"/>
      <c r="F32" s="1152" t="s">
        <v>125</v>
      </c>
      <c r="G32" s="1152"/>
      <c r="H32" s="1152"/>
      <c r="I32" s="470"/>
      <c r="J32" s="480"/>
      <c r="K32" s="473"/>
      <c r="L32" s="480"/>
      <c r="M32" s="480"/>
      <c r="N32" s="480"/>
      <c r="O32" s="480"/>
      <c r="P32" s="480"/>
      <c r="Q32" s="480"/>
      <c r="R32" s="480"/>
      <c r="S32" s="480"/>
      <c r="T32" s="480"/>
      <c r="U32" s="469"/>
      <c r="V32" s="1"/>
      <c r="W32" s="1"/>
      <c r="X32" s="1"/>
      <c r="Y32" s="1"/>
      <c r="Z32" s="1"/>
      <c r="AA32" s="1"/>
      <c r="AB32" s="1"/>
      <c r="AC32" s="1"/>
      <c r="AD32" s="1"/>
      <c r="AE32" s="1"/>
      <c r="AF32" s="1"/>
      <c r="AG32" s="1"/>
      <c r="AH32" s="1"/>
      <c r="AI32" s="1"/>
      <c r="AJ32" s="1"/>
      <c r="AK32" s="1"/>
      <c r="AL32" s="1"/>
      <c r="AM32" s="1"/>
      <c r="AN32" s="1"/>
      <c r="AO32" s="1"/>
      <c r="AP32" s="1"/>
      <c r="AQ32" s="1"/>
      <c r="AR32" s="1"/>
    </row>
    <row r="33" spans="1:44" ht="15.75" customHeight="1">
      <c r="A33" s="464"/>
      <c r="B33" s="470"/>
      <c r="C33" s="1147" t="s">
        <v>14</v>
      </c>
      <c r="D33" s="1147"/>
      <c r="E33" s="470"/>
      <c r="F33" s="470"/>
      <c r="G33" s="1159" t="s">
        <v>14</v>
      </c>
      <c r="H33" s="1160"/>
      <c r="I33" s="483" t="s">
        <v>225</v>
      </c>
      <c r="J33" s="480"/>
      <c r="K33" s="473"/>
      <c r="L33" s="480"/>
      <c r="M33" s="480"/>
      <c r="N33" s="480"/>
      <c r="O33" s="480"/>
      <c r="P33" s="480"/>
      <c r="Q33" s="480"/>
      <c r="R33" s="480"/>
      <c r="S33" s="480"/>
      <c r="T33" s="480"/>
      <c r="U33" s="469"/>
      <c r="V33" s="1"/>
      <c r="W33" s="1"/>
      <c r="X33" s="1"/>
      <c r="Y33" s="1"/>
      <c r="Z33" s="1"/>
      <c r="AA33" s="1"/>
      <c r="AB33" s="1"/>
      <c r="AC33" s="1"/>
      <c r="AD33" s="1"/>
      <c r="AE33" s="1"/>
      <c r="AF33" s="1"/>
      <c r="AG33" s="1"/>
      <c r="AH33" s="1"/>
      <c r="AI33" s="1"/>
      <c r="AJ33" s="1"/>
      <c r="AK33" s="1"/>
      <c r="AL33" s="1"/>
      <c r="AM33" s="1"/>
      <c r="AN33" s="1"/>
      <c r="AO33" s="1"/>
      <c r="AP33" s="1"/>
      <c r="AQ33" s="1"/>
      <c r="AR33" s="1"/>
    </row>
    <row r="34" spans="1:44" ht="15.75" customHeight="1">
      <c r="A34" s="464"/>
      <c r="B34" s="470"/>
      <c r="C34" s="1147" t="s">
        <v>9</v>
      </c>
      <c r="D34" s="1147"/>
      <c r="E34" s="470"/>
      <c r="F34" s="470"/>
      <c r="G34" s="1161"/>
      <c r="H34" s="1162"/>
      <c r="I34" s="483" t="s">
        <v>224</v>
      </c>
      <c r="J34" s="471"/>
      <c r="K34" s="473"/>
      <c r="L34" s="480"/>
      <c r="M34" s="480"/>
      <c r="N34" s="480"/>
      <c r="O34" s="480"/>
      <c r="P34" s="480"/>
      <c r="Q34" s="480"/>
      <c r="R34" s="480"/>
      <c r="S34" s="480"/>
      <c r="T34" s="480"/>
      <c r="U34" s="469"/>
      <c r="V34" s="1"/>
      <c r="W34" s="1"/>
      <c r="X34" s="1"/>
      <c r="Y34" s="1"/>
      <c r="Z34" s="1"/>
      <c r="AA34" s="1"/>
      <c r="AB34" s="1"/>
      <c r="AC34" s="1"/>
      <c r="AD34" s="1"/>
      <c r="AE34" s="1"/>
      <c r="AF34" s="1"/>
      <c r="AG34" s="1"/>
      <c r="AH34" s="1"/>
      <c r="AI34" s="1"/>
      <c r="AJ34" s="1"/>
      <c r="AK34" s="1"/>
      <c r="AL34" s="1"/>
      <c r="AM34" s="1"/>
      <c r="AN34" s="1"/>
      <c r="AO34" s="1"/>
      <c r="AP34" s="1"/>
      <c r="AQ34" s="1"/>
      <c r="AR34" s="1"/>
    </row>
    <row r="35" spans="1:44" ht="14.25" customHeight="1">
      <c r="A35" s="464"/>
      <c r="B35" s="470"/>
      <c r="C35" s="470"/>
      <c r="D35" s="470"/>
      <c r="E35" s="470"/>
      <c r="F35" s="470"/>
      <c r="G35" s="1159" t="s">
        <v>1490</v>
      </c>
      <c r="H35" s="1160"/>
      <c r="I35" s="484" t="s">
        <v>225</v>
      </c>
      <c r="J35" s="473"/>
      <c r="K35" s="471"/>
      <c r="L35" s="480"/>
      <c r="M35" s="480"/>
      <c r="N35" s="480"/>
      <c r="O35" s="480"/>
      <c r="P35" s="480"/>
      <c r="Q35" s="480"/>
      <c r="R35" s="470"/>
      <c r="S35" s="485"/>
      <c r="T35" s="470"/>
      <c r="U35" s="469"/>
      <c r="V35" s="1"/>
      <c r="W35" s="1"/>
      <c r="X35" s="1"/>
      <c r="Y35" s="1"/>
      <c r="Z35" s="1"/>
      <c r="AA35" s="1"/>
      <c r="AB35" s="1"/>
      <c r="AC35" s="1"/>
      <c r="AD35" s="1"/>
      <c r="AE35" s="1"/>
      <c r="AF35" s="1"/>
      <c r="AG35" s="1"/>
      <c r="AH35" s="1"/>
      <c r="AI35" s="1"/>
      <c r="AJ35" s="1"/>
      <c r="AK35" s="1"/>
      <c r="AL35" s="1"/>
      <c r="AM35" s="1"/>
      <c r="AN35" s="1"/>
      <c r="AO35" s="1"/>
      <c r="AP35" s="1"/>
      <c r="AQ35" s="1"/>
      <c r="AR35" s="1"/>
    </row>
    <row r="36" spans="1:44" ht="14.25" customHeight="1">
      <c r="A36" s="464"/>
      <c r="B36" s="470"/>
      <c r="C36" s="470"/>
      <c r="D36" s="470"/>
      <c r="E36" s="470"/>
      <c r="F36" s="470"/>
      <c r="G36" s="1161"/>
      <c r="H36" s="1162"/>
      <c r="I36" s="484" t="s">
        <v>224</v>
      </c>
      <c r="J36" s="473"/>
      <c r="K36" s="471"/>
      <c r="L36" s="480"/>
      <c r="M36" s="480"/>
      <c r="N36" s="480"/>
      <c r="O36" s="480"/>
      <c r="P36" s="480"/>
      <c r="Q36" s="480"/>
      <c r="R36" s="470"/>
      <c r="S36" s="470"/>
      <c r="T36" s="480"/>
      <c r="U36" s="469"/>
      <c r="V36" s="1"/>
      <c r="W36" s="1"/>
      <c r="X36" s="1"/>
      <c r="Y36" s="1"/>
      <c r="Z36" s="1"/>
      <c r="AA36" s="1"/>
      <c r="AB36" s="1"/>
      <c r="AC36" s="1"/>
      <c r="AD36" s="1"/>
      <c r="AE36" s="1"/>
      <c r="AF36" s="1"/>
      <c r="AG36" s="1"/>
      <c r="AH36" s="1"/>
      <c r="AI36" s="1"/>
      <c r="AJ36" s="1"/>
      <c r="AK36" s="1"/>
      <c r="AL36" s="1"/>
      <c r="AM36" s="1"/>
      <c r="AN36" s="1"/>
      <c r="AO36" s="1"/>
      <c r="AP36" s="1"/>
      <c r="AQ36" s="1"/>
      <c r="AR36" s="1"/>
    </row>
    <row r="37" spans="1:44" ht="15.75" thickBot="1">
      <c r="A37" s="486"/>
      <c r="B37" s="487"/>
      <c r="C37" s="487"/>
      <c r="D37" s="487"/>
      <c r="E37" s="487"/>
      <c r="F37" s="487"/>
      <c r="G37" s="487"/>
      <c r="H37" s="487"/>
      <c r="I37" s="487"/>
      <c r="J37" s="487"/>
      <c r="K37" s="487"/>
      <c r="L37" s="487"/>
      <c r="M37" s="487"/>
      <c r="N37" s="487"/>
      <c r="O37" s="487"/>
      <c r="P37" s="487"/>
      <c r="Q37" s="487"/>
      <c r="R37" s="487"/>
      <c r="S37" s="487"/>
      <c r="T37" s="487"/>
      <c r="U37" s="488"/>
      <c r="V37" s="1"/>
      <c r="W37" s="1"/>
      <c r="X37" s="1"/>
      <c r="Y37" s="1"/>
      <c r="Z37" s="1"/>
      <c r="AA37" s="1"/>
      <c r="AB37" s="1"/>
      <c r="AC37" s="1"/>
      <c r="AD37" s="1"/>
      <c r="AE37" s="1"/>
      <c r="AF37" s="1"/>
      <c r="AG37" s="1"/>
      <c r="AH37" s="1"/>
      <c r="AI37" s="1"/>
      <c r="AJ37" s="1"/>
      <c r="AK37" s="1"/>
      <c r="AL37" s="1"/>
      <c r="AM37" s="1"/>
      <c r="AN37" s="1"/>
      <c r="AO37" s="1"/>
      <c r="AP37" s="1"/>
      <c r="AQ37" s="1"/>
      <c r="AR37" s="1"/>
    </row>
    <row r="38" spans="1:44" ht="15.75" thickTop="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sheetData>
  <mergeCells count="71">
    <mergeCell ref="G35:H36"/>
    <mergeCell ref="N29:N30"/>
    <mergeCell ref="G29:H29"/>
    <mergeCell ref="G33:H34"/>
    <mergeCell ref="N24:P24"/>
    <mergeCell ref="N26:N27"/>
    <mergeCell ref="O25:P25"/>
    <mergeCell ref="K25:L25"/>
    <mergeCell ref="K26:L26"/>
    <mergeCell ref="O29:P30"/>
    <mergeCell ref="O26:P27"/>
    <mergeCell ref="F24:H24"/>
    <mergeCell ref="J24:L24"/>
    <mergeCell ref="G26:H26"/>
    <mergeCell ref="F32:H32"/>
    <mergeCell ref="F28:H28"/>
    <mergeCell ref="G30:H30"/>
    <mergeCell ref="O22:P22"/>
    <mergeCell ref="B24:D24"/>
    <mergeCell ref="C25:D25"/>
    <mergeCell ref="E1:Q1"/>
    <mergeCell ref="H2:O2"/>
    <mergeCell ref="O18:P18"/>
    <mergeCell ref="N20:P20"/>
    <mergeCell ref="K18:L18"/>
    <mergeCell ref="K21:L21"/>
    <mergeCell ref="G25:H25"/>
    <mergeCell ref="B12:D12"/>
    <mergeCell ref="C17:D17"/>
    <mergeCell ref="C18:D18"/>
    <mergeCell ref="B16:D16"/>
    <mergeCell ref="C14:D14"/>
    <mergeCell ref="C13:D13"/>
    <mergeCell ref="F12:H12"/>
    <mergeCell ref="R16:T16"/>
    <mergeCell ref="J20:L20"/>
    <mergeCell ref="J16:L16"/>
    <mergeCell ref="J12:L12"/>
    <mergeCell ref="F20:H20"/>
    <mergeCell ref="K17:L17"/>
    <mergeCell ref="G18:H18"/>
    <mergeCell ref="N12:P12"/>
    <mergeCell ref="N16:P16"/>
    <mergeCell ref="G17:H17"/>
    <mergeCell ref="G13:H13"/>
    <mergeCell ref="G14:H14"/>
    <mergeCell ref="R12:T12"/>
    <mergeCell ref="O13:P13"/>
    <mergeCell ref="C33:D33"/>
    <mergeCell ref="C34:D34"/>
    <mergeCell ref="G21:H21"/>
    <mergeCell ref="G22:H22"/>
    <mergeCell ref="K13:L13"/>
    <mergeCell ref="K14:L14"/>
    <mergeCell ref="F16:H16"/>
    <mergeCell ref="K22:L22"/>
    <mergeCell ref="B32:D32"/>
    <mergeCell ref="C30:D30"/>
    <mergeCell ref="B28:D28"/>
    <mergeCell ref="C26:D26"/>
    <mergeCell ref="C29:D29"/>
    <mergeCell ref="B20:D20"/>
    <mergeCell ref="C21:D21"/>
    <mergeCell ref="C22:D22"/>
    <mergeCell ref="O17:P17"/>
    <mergeCell ref="S21:T21"/>
    <mergeCell ref="S22:T22"/>
    <mergeCell ref="O14:P14"/>
    <mergeCell ref="S17:T17"/>
    <mergeCell ref="S18:T18"/>
    <mergeCell ref="R18:R19"/>
  </mergeCells>
  <phoneticPr fontId="23" type="noConversion"/>
  <hyperlinks>
    <hyperlink ref="C13:D13" location="'E PLANEACION'!A1" display="Riesgos de Gestión "/>
    <hyperlink ref="C17:D17" location="'E INNOVACION'!A1" display="Riesgos de Gestión "/>
    <hyperlink ref="C18:D18" location="'C INNOVACION'!A1" display="Riesgos de Corrupción"/>
    <hyperlink ref="C21:D21" location="'E GESTION SOCIAL'!A1" display="Riesgos de Gestión "/>
    <hyperlink ref="C22:D22" location="'C GESTION SOCIAL'!A1" display="Riesgos de Corrupción"/>
    <hyperlink ref="C25:D25" location="'E INTERINSTITUCIONAL'!A1" display="Riesgos de Gestión "/>
    <hyperlink ref="C26:D26" location="'C INTERISTITUCIONAL'!A1" display="Riesgos de Corrupción"/>
    <hyperlink ref="C29:D29" location="'E COMUNICACIONES'!A1" display="Riesgos de Gestión "/>
    <hyperlink ref="C30:D30" location="'C COMUNICACIONES'!A1" display="Riesgos de Corrupción"/>
    <hyperlink ref="G13:H13" location="'M FACTIBILIDAD'!A1" display="Riesgos de Gestión "/>
    <hyperlink ref="G14:H14" location="'C FACTIBILIDAD'!A1" display="Riesgos de Corrupción"/>
    <hyperlink ref="G17:H17" location="'M VALORIZACION'!A1" display="Riesgos de Gestión "/>
    <hyperlink ref="G18:H18" location="'C VALORIZACION'!A1" display="Riesgos de Corrupción"/>
    <hyperlink ref="G21:H21" location="'M DISEÑO P.'!A1" display="Riesgos de Gestión "/>
    <hyperlink ref="G22:H22" location="'C DISEÑO'!A1" display="Riesgos de Corrupción"/>
    <hyperlink ref="G25:H25" location="'M PREDIAL'!A1" display="Riesgos de Gestión "/>
    <hyperlink ref="G26:H26" location="'C PREDIAL'!A1" display="Riesgos de Corrupción"/>
    <hyperlink ref="G29:H29" location="'M EJECUCION O.'!A1" display="Riesgos de Gestión "/>
    <hyperlink ref="G30:H30" location="'C OBRAS'!A1" display="Riesgos de Corrupción"/>
    <hyperlink ref="K17:L17" location="'A LEGAL'!A1" display="Riesgos de Gestión "/>
    <hyperlink ref="K18:L18" location="'C LEGAL'!A1" display="Riesgos de Corrupción"/>
    <hyperlink ref="K21:L21" location="'A CALIDAD'!A1" display="Riesgos de Gestión "/>
    <hyperlink ref="K22:L22" location="'C CALIDAD'!A1" display="Riesgos de Corrupción"/>
    <hyperlink ref="K25:L25" location="'A RFISICOS'!A1" display="Riesgos de Gestión "/>
    <hyperlink ref="K26:L26" location="'C FISICOS'!A1" display="Riesgos de Corrupción"/>
    <hyperlink ref="O14:P14" location="'C THUMANO'!A1" display="Riesgos de Corrupción"/>
    <hyperlink ref="O18:P18" location="'C TICs'!A1" display="Riesgos de Corrupción"/>
    <hyperlink ref="O21:P21" location="'A DOCUMENTAL'!Área_de_impresión" display="Riesgos de Gestión "/>
    <hyperlink ref="O22:P22" location="'C DOCUMENTAL'!A1" display="Riesgos de Corrupción"/>
    <hyperlink ref="C33:D33" location="'E GPROYECTOS'!A1" display="Riesgos de Gestión "/>
    <hyperlink ref="C34:D34" location="'C GI PROYECTOS'!A1" display="Riesgos de Corrupción"/>
    <hyperlink ref="C14:D14" location="'C PLANEACION'!A1" display="Riesgos de Corrupción"/>
    <hyperlink ref="O13" location="'A RHUMANOS'!A1" display="Riesgos de Gestión "/>
    <hyperlink ref="O17" location="'A TECNOLOGICOS'!A1" display="Riesgos de Gestión "/>
    <hyperlink ref="O21" location="'A DOCUMENTAL'!A1" display="Riesgos de Gestión "/>
    <hyperlink ref="K14:L14" location="'C CONTRACTUAL'!A1" display="Riesgos de Corrupción"/>
    <hyperlink ref="K13:L13" location="'A CONTRACTUAL'!A1" display="Riesgos de Gestión "/>
    <hyperlink ref="O25:P25" location="'A FINANCIERA'!A1" display="Riesgos de Gestión "/>
    <hyperlink ref="O26:P27" location="'C FINANCIERA'!A1" display="Riesgos de Corrupción"/>
    <hyperlink ref="S13:T14" location="'EC EVALUACION'!A1" display="Riesgos de Gestión "/>
    <hyperlink ref="S14:T14" location="'C EVALUACION'!Títulos_a_imprimir" display="Riesgos de Corrupción"/>
    <hyperlink ref="S17:T17" location="'EC MEJORAMIENTO'!A1" display="Riesgos de Gestión "/>
    <hyperlink ref="S18:T18" location="'C MEJORAMIENTO'!A1" display="Riesgos de Corrupción"/>
    <hyperlink ref="O13:P13" location="'A THUMANOS'!A1" display="Riesgos de Gestión "/>
    <hyperlink ref="O17:P17" location="'A TIC'!A1" display="Riesgos de Gestión "/>
    <hyperlink ref="S14" location="'C EVALUACION'!A1" display="Riesgos de Corrupción"/>
    <hyperlink ref="I35" location="'C DTM'!A1" display="DTM"/>
    <hyperlink ref="I36" location="'C DTAI'!A1" display="DTAI"/>
    <hyperlink ref="I33" location="'M CONSERVACION-DTM'!A1" display="DTM"/>
    <hyperlink ref="I34" location="'M CONSERVACION-DTAI'!A1" display="DTAI"/>
  </hyperlink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M175"/>
  <sheetViews>
    <sheetView view="pageBreakPreview" zoomScaleNormal="80" zoomScaleSheetLayoutView="100" zoomScalePageLayoutView="95" workbookViewId="0">
      <pane xSplit="2" ySplit="10" topLeftCell="C11" activePane="bottomRight" state="frozen"/>
      <selection pane="topRight" activeCell="C1" sqref="C1"/>
      <selection pane="bottomLeft" activeCell="A11" sqref="A11"/>
      <selection pane="bottomRight"/>
    </sheetView>
  </sheetViews>
  <sheetFormatPr baseColWidth="10" defaultRowHeight="12.75"/>
  <cols>
    <col min="1" max="1" width="12" style="235" customWidth="1"/>
    <col min="2" max="2" width="2.7109375" style="235" customWidth="1"/>
    <col min="3" max="4" width="6.5703125" style="235" customWidth="1"/>
    <col min="5" max="5" width="5.85546875" style="235" customWidth="1"/>
    <col min="6" max="6" width="6.5703125" style="235" customWidth="1"/>
    <col min="7" max="8" width="8.42578125" style="235" customWidth="1"/>
    <col min="9" max="9" width="18.140625" style="235" customWidth="1"/>
    <col min="10" max="10" width="2.5703125" style="235" customWidth="1"/>
    <col min="11" max="12" width="9.5703125" style="235" customWidth="1"/>
    <col min="13" max="15" width="3.7109375" style="235" customWidth="1"/>
    <col min="16" max="16" width="3.5703125" style="235" customWidth="1"/>
    <col min="17" max="17" width="2.85546875" style="235" customWidth="1"/>
    <col min="18" max="18" width="3" style="235" customWidth="1"/>
    <col min="19" max="21" width="0" style="235" hidden="1" customWidth="1"/>
    <col min="22" max="22" width="4.42578125" style="235" customWidth="1"/>
    <col min="23" max="23" width="0" style="235" hidden="1" customWidth="1"/>
    <col min="24" max="27" width="14.28515625" style="235" customWidth="1"/>
    <col min="28" max="28" width="6.42578125" style="235" customWidth="1"/>
    <col min="29" max="29" width="27.28515625" style="235" customWidth="1"/>
    <col min="30" max="30" width="4.140625" style="235" customWidth="1"/>
    <col min="31" max="31" width="3" style="235" customWidth="1"/>
    <col min="32" max="34" width="11.42578125" style="235" hidden="1" customWidth="1"/>
    <col min="35" max="35" width="3" style="235" customWidth="1"/>
    <col min="36" max="36" width="11.42578125" style="235" hidden="1" customWidth="1"/>
    <col min="37" max="37" width="3" style="235" customWidth="1"/>
    <col min="38" max="38" width="11.42578125" style="235" hidden="1" customWidth="1"/>
    <col min="39" max="39" width="4.42578125" style="235" customWidth="1"/>
    <col min="40" max="40" width="34.28515625" style="235" customWidth="1"/>
    <col min="41" max="41" width="22.5703125" style="235" customWidth="1"/>
    <col min="42" max="42" width="45.7109375" style="235" customWidth="1"/>
    <col min="43" max="43" width="51" style="235" customWidth="1"/>
    <col min="44" max="44" width="31.140625" style="235" bestFit="1" customWidth="1"/>
    <col min="45" max="45" width="5.85546875" style="235" customWidth="1"/>
    <col min="46" max="46" width="24" style="235" customWidth="1"/>
    <col min="47" max="47" width="13.85546875" style="235" customWidth="1"/>
    <col min="48" max="48" width="12.85546875" style="235" customWidth="1"/>
    <col min="49" max="49" width="14.140625" style="235" customWidth="1"/>
    <col min="50" max="50" width="16" style="235" customWidth="1"/>
    <col min="51" max="51" width="2.140625" style="235" customWidth="1"/>
    <col min="52"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11.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1260" t="s">
        <v>132</v>
      </c>
      <c r="AE1" s="1260"/>
      <c r="AF1" s="1260"/>
      <c r="AG1" s="1260"/>
      <c r="AH1" s="1260"/>
      <c r="AI1" s="1260"/>
      <c r="AJ1" s="1260"/>
      <c r="AK1" s="1260"/>
      <c r="AL1" s="1260"/>
      <c r="AM1" s="1260"/>
      <c r="AN1" s="1260"/>
      <c r="AP1" s="1247" t="s">
        <v>2320</v>
      </c>
      <c r="AQ1" s="1247"/>
      <c r="AR1" s="1247"/>
      <c r="AS1" s="1247"/>
      <c r="AT1" s="233"/>
      <c r="AU1" s="233"/>
      <c r="AV1" s="233"/>
      <c r="AW1" s="1246"/>
      <c r="AX1" s="1246"/>
      <c r="AY1" s="233"/>
    </row>
    <row r="2" spans="1:1027" ht="14.25" customHeight="1">
      <c r="A2" s="237" t="s">
        <v>2348</v>
      </c>
      <c r="B2" s="233"/>
      <c r="C2" s="233"/>
      <c r="D2" s="233"/>
      <c r="E2" s="233"/>
      <c r="F2" s="233"/>
      <c r="G2" s="1214" t="str">
        <f>UPPER([49]Control!A2)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1260"/>
      <c r="AE2" s="1260"/>
      <c r="AF2" s="1260"/>
      <c r="AG2" s="1260"/>
      <c r="AH2" s="1260"/>
      <c r="AI2" s="1260"/>
      <c r="AJ2" s="1260"/>
      <c r="AK2" s="1260"/>
      <c r="AL2" s="1260"/>
      <c r="AM2" s="1260"/>
      <c r="AN2" s="1260"/>
      <c r="AP2" s="1268" t="s">
        <v>138</v>
      </c>
      <c r="AQ2" s="1269"/>
      <c r="AR2" s="1433" t="str">
        <f>AD1</f>
        <v>DISEÑO DE PROYECTOS</v>
      </c>
      <c r="AS2" s="1434"/>
      <c r="AT2" s="233"/>
      <c r="AU2" s="233"/>
      <c r="AV2" s="233"/>
      <c r="AW2" s="1246"/>
      <c r="AX2" s="1246"/>
      <c r="AY2" s="233"/>
    </row>
    <row r="3" spans="1:1027" ht="11.25" customHeight="1">
      <c r="A3" s="1445">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1207">
        <v>43448</v>
      </c>
      <c r="AA3" s="1208"/>
      <c r="AB3" s="1209"/>
      <c r="AC3" s="1259" t="s">
        <v>2349</v>
      </c>
      <c r="AD3" s="1261" t="s">
        <v>168</v>
      </c>
      <c r="AE3" s="1261"/>
      <c r="AF3" s="1261"/>
      <c r="AG3" s="1261"/>
      <c r="AH3" s="1261"/>
      <c r="AI3" s="1261"/>
      <c r="AJ3" s="1261"/>
      <c r="AK3" s="1261"/>
      <c r="AL3" s="1261"/>
      <c r="AM3" s="1261"/>
      <c r="AN3" s="1261"/>
      <c r="AP3" s="1265" t="s">
        <v>2322</v>
      </c>
      <c r="AQ3" s="1266"/>
      <c r="AR3" s="1266" t="s">
        <v>2323</v>
      </c>
      <c r="AS3" s="1267"/>
      <c r="AT3" s="233"/>
      <c r="AU3" s="233"/>
      <c r="AV3" s="233"/>
      <c r="AW3" s="1246"/>
      <c r="AX3" s="1246"/>
      <c r="AY3" s="233"/>
    </row>
    <row r="4" spans="1:1027" ht="14.25" customHeight="1" thickBot="1">
      <c r="A4" s="1445"/>
      <c r="B4" s="233"/>
      <c r="C4" s="233"/>
      <c r="D4" s="233"/>
      <c r="E4" s="233"/>
      <c r="F4" s="233"/>
      <c r="G4" s="1236" t="str">
        <f>[49]Control!A4</f>
        <v>FO-PE-06</v>
      </c>
      <c r="H4" s="1237"/>
      <c r="I4" s="1238" t="str">
        <f>[49]Control!C4</f>
        <v>Planeación Estratégica</v>
      </c>
      <c r="J4" s="1237"/>
      <c r="K4" s="1237"/>
      <c r="L4" s="1237"/>
      <c r="M4" s="1237"/>
      <c r="N4" s="1239"/>
      <c r="O4" s="1238">
        <f>[49]Control!H4</f>
        <v>5</v>
      </c>
      <c r="P4" s="1237"/>
      <c r="Q4" s="1237"/>
      <c r="R4" s="1237"/>
      <c r="S4" s="1237"/>
      <c r="T4" s="1237"/>
      <c r="U4" s="1237"/>
      <c r="V4" s="1239"/>
      <c r="W4" s="239"/>
      <c r="X4" s="1255"/>
      <c r="Y4" s="1256"/>
      <c r="Z4" s="1210"/>
      <c r="AA4" s="1211"/>
      <c r="AB4" s="1212"/>
      <c r="AC4" s="1259"/>
      <c r="AD4" s="1261"/>
      <c r="AE4" s="1261"/>
      <c r="AF4" s="1261"/>
      <c r="AG4" s="1261"/>
      <c r="AH4" s="1261"/>
      <c r="AI4" s="1261"/>
      <c r="AJ4" s="1261"/>
      <c r="AK4" s="1261"/>
      <c r="AL4" s="1261"/>
      <c r="AM4" s="1261"/>
      <c r="AN4" s="1261"/>
      <c r="AP4" s="1446">
        <v>43714</v>
      </c>
      <c r="AQ4" s="1447"/>
      <c r="AR4" s="1242" t="s">
        <v>3828</v>
      </c>
      <c r="AS4" s="1243"/>
      <c r="AT4" s="233"/>
      <c r="AU4" s="233"/>
      <c r="AV4" s="233"/>
      <c r="AW4" s="1246"/>
      <c r="AX4" s="1246"/>
      <c r="AY4" s="233"/>
    </row>
    <row r="5" spans="1:1027"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2"/>
      <c r="AB5" s="242"/>
      <c r="AC5" s="242"/>
      <c r="AD5" s="241"/>
      <c r="AE5" s="241"/>
      <c r="AF5" s="241"/>
      <c r="AG5" s="241"/>
      <c r="AH5" s="241"/>
      <c r="AI5" s="241"/>
      <c r="AJ5" s="241"/>
      <c r="AK5" s="241"/>
      <c r="AL5" s="241"/>
      <c r="AM5" s="240"/>
      <c r="AN5" s="240"/>
      <c r="AO5" s="240"/>
      <c r="AQ5" s="244"/>
      <c r="AY5" s="245"/>
    </row>
    <row r="6" spans="1:1027" s="243" customFormat="1" ht="11.2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671" t="s">
        <v>268</v>
      </c>
      <c r="AO6" s="294"/>
      <c r="AP6" s="247" t="s">
        <v>2325</v>
      </c>
      <c r="AQ6" s="248"/>
      <c r="AR6" s="248"/>
      <c r="AS6" s="249"/>
      <c r="AT6" s="1244" t="s">
        <v>2326</v>
      </c>
      <c r="AU6" s="1244"/>
      <c r="AV6" s="1244"/>
      <c r="AW6" s="1244"/>
      <c r="AX6" s="1245"/>
      <c r="AY6" s="245"/>
    </row>
    <row r="7" spans="1:1027" s="243" customFormat="1" ht="25.5" customHeight="1">
      <c r="A7" s="1217" t="s">
        <v>1002</v>
      </c>
      <c r="B7" s="1218" t="s">
        <v>640</v>
      </c>
      <c r="C7" s="1219" t="s">
        <v>1001</v>
      </c>
      <c r="D7" s="1220"/>
      <c r="E7" s="1221"/>
      <c r="F7" s="1217" t="s">
        <v>1000</v>
      </c>
      <c r="G7" s="1219" t="s">
        <v>999</v>
      </c>
      <c r="H7" s="1220"/>
      <c r="I7" s="1221"/>
      <c r="J7" s="1217" t="s">
        <v>145</v>
      </c>
      <c r="K7" s="1217"/>
      <c r="L7" s="1217"/>
      <c r="M7" s="1225" t="s">
        <v>144</v>
      </c>
      <c r="N7" s="1226"/>
      <c r="O7" s="1226"/>
      <c r="P7" s="1226"/>
      <c r="Q7" s="1227" t="s">
        <v>637</v>
      </c>
      <c r="R7" s="1228"/>
      <c r="S7" s="1228"/>
      <c r="T7" s="1228"/>
      <c r="U7" s="1228"/>
      <c r="V7" s="1229"/>
      <c r="W7" s="250"/>
      <c r="X7" s="1217" t="s">
        <v>2351</v>
      </c>
      <c r="Y7" s="1217"/>
      <c r="Z7" s="1217"/>
      <c r="AA7" s="1284" t="s">
        <v>4175</v>
      </c>
      <c r="AB7" s="1221" t="s">
        <v>998</v>
      </c>
      <c r="AC7" s="1284" t="s">
        <v>641</v>
      </c>
      <c r="AD7" s="1286" t="s">
        <v>546</v>
      </c>
      <c r="AE7" s="1286" t="s">
        <v>638</v>
      </c>
      <c r="AF7" s="251"/>
      <c r="AG7" s="252"/>
      <c r="AH7" s="253"/>
      <c r="AI7" s="1288" t="s">
        <v>639</v>
      </c>
      <c r="AJ7" s="1288"/>
      <c r="AK7" s="1288"/>
      <c r="AL7" s="1288"/>
      <c r="AM7" s="1288"/>
      <c r="AN7" s="1288" t="s">
        <v>2327</v>
      </c>
      <c r="AO7" s="1431" t="s">
        <v>2328</v>
      </c>
      <c r="AP7" s="1432" t="s">
        <v>2353</v>
      </c>
      <c r="AQ7" s="1431" t="s">
        <v>2330</v>
      </c>
      <c r="AR7" s="1432" t="s">
        <v>2354</v>
      </c>
      <c r="AS7" s="1432" t="s">
        <v>2332</v>
      </c>
      <c r="AT7" s="1432" t="s">
        <v>2333</v>
      </c>
      <c r="AU7" s="1432" t="s">
        <v>2334</v>
      </c>
      <c r="AV7" s="1432" t="s">
        <v>2335</v>
      </c>
      <c r="AW7" s="1432" t="s">
        <v>2336</v>
      </c>
      <c r="AX7" s="1432" t="s">
        <v>2337</v>
      </c>
      <c r="AY7" s="245"/>
    </row>
    <row r="8" spans="1:1027" ht="14.25" customHeight="1">
      <c r="A8" s="1217"/>
      <c r="B8" s="1218"/>
      <c r="C8" s="1222"/>
      <c r="D8" s="1223"/>
      <c r="E8" s="1224"/>
      <c r="F8" s="1217"/>
      <c r="G8" s="1222"/>
      <c r="H8" s="1223"/>
      <c r="I8" s="1224"/>
      <c r="J8" s="1217"/>
      <c r="K8" s="1217"/>
      <c r="L8" s="1217"/>
      <c r="M8" s="254" t="s">
        <v>146</v>
      </c>
      <c r="N8" s="254" t="s">
        <v>997</v>
      </c>
      <c r="O8" s="254" t="s">
        <v>65</v>
      </c>
      <c r="P8" s="254" t="s">
        <v>996</v>
      </c>
      <c r="Q8" s="669" t="s">
        <v>147</v>
      </c>
      <c r="R8" s="669" t="s">
        <v>148</v>
      </c>
      <c r="S8" s="255"/>
      <c r="T8" s="255" t="s">
        <v>239</v>
      </c>
      <c r="U8" s="255" t="s">
        <v>242</v>
      </c>
      <c r="V8" s="669" t="s">
        <v>149</v>
      </c>
      <c r="W8" s="256"/>
      <c r="X8" s="1217"/>
      <c r="Y8" s="1217"/>
      <c r="Z8" s="1217"/>
      <c r="AA8" s="1285"/>
      <c r="AB8" s="1224"/>
      <c r="AC8" s="1285"/>
      <c r="AD8" s="1287"/>
      <c r="AE8" s="1287"/>
      <c r="AF8" s="256"/>
      <c r="AG8" s="257" t="s">
        <v>642</v>
      </c>
      <c r="AH8" s="257" t="s">
        <v>264</v>
      </c>
      <c r="AI8" s="669" t="s">
        <v>147</v>
      </c>
      <c r="AJ8" s="258" t="s">
        <v>265</v>
      </c>
      <c r="AK8" s="669" t="s">
        <v>148</v>
      </c>
      <c r="AL8" s="255" t="s">
        <v>150</v>
      </c>
      <c r="AM8" s="669" t="s">
        <v>150</v>
      </c>
      <c r="AN8" s="1288"/>
      <c r="AO8" s="1431"/>
      <c r="AP8" s="1432"/>
      <c r="AQ8" s="1432"/>
      <c r="AR8" s="1432"/>
      <c r="AS8" s="1432"/>
      <c r="AT8" s="1432"/>
      <c r="AU8" s="1432"/>
      <c r="AV8" s="1432"/>
      <c r="AW8" s="1432"/>
      <c r="AX8" s="1432"/>
      <c r="AY8" s="245"/>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103.5" hidden="1" customHeight="1">
      <c r="A9" s="1448" t="s">
        <v>2408</v>
      </c>
      <c r="B9" s="1450" t="s">
        <v>2037</v>
      </c>
      <c r="C9" s="1452" t="s">
        <v>2409</v>
      </c>
      <c r="D9" s="1453"/>
      <c r="E9" s="1454"/>
      <c r="F9" s="1450" t="s">
        <v>168</v>
      </c>
      <c r="G9" s="1452" t="s">
        <v>2410</v>
      </c>
      <c r="H9" s="1453"/>
      <c r="I9" s="1454"/>
      <c r="J9" s="1452" t="s">
        <v>3829</v>
      </c>
      <c r="K9" s="1453"/>
      <c r="L9" s="1454"/>
      <c r="M9" s="1448" t="s">
        <v>684</v>
      </c>
      <c r="N9" s="1448" t="s">
        <v>1128</v>
      </c>
      <c r="O9" s="1448"/>
      <c r="P9" s="1448"/>
      <c r="Q9" s="1450" t="s">
        <v>37</v>
      </c>
      <c r="R9" s="1450" t="s">
        <v>274</v>
      </c>
      <c r="S9" s="851"/>
      <c r="T9" s="852">
        <f>VLOOKUP(Q9,[68]Listas!$D$6:$E$10,2,0)</f>
        <v>5</v>
      </c>
      <c r="U9" s="852">
        <f>HLOOKUP(R9,[68]Listas!$F$4:$J$5,2,0)</f>
        <v>3</v>
      </c>
      <c r="V9" s="1493" t="str">
        <f>INDEX([68]Listas!$F$6:$J$10,MATCH(Q9,[68]Listas!$D$6:$D$10,0),MATCH(R9,[68]Listas!$F$4:$J$4,0))</f>
        <v>15
ALTO</v>
      </c>
      <c r="W9" s="853"/>
      <c r="X9" s="1452" t="s">
        <v>2411</v>
      </c>
      <c r="Y9" s="1453"/>
      <c r="Z9" s="1454"/>
      <c r="AA9" s="1083"/>
      <c r="AB9" s="1461" t="s">
        <v>168</v>
      </c>
      <c r="AC9" s="1463" t="s">
        <v>1129</v>
      </c>
      <c r="AD9" s="1448">
        <v>72</v>
      </c>
      <c r="AE9" s="1461" t="s">
        <v>152</v>
      </c>
      <c r="AF9" s="854">
        <f>IF(OR(AB9="Probabilidad",AB9="Ambos"),S10-AE10,S10)</f>
        <v>0</v>
      </c>
      <c r="AG9" s="855">
        <f>IF(AD9&lt;=33,0,IF(AD9&gt;81,2,1))</f>
        <v>1</v>
      </c>
      <c r="AH9" s="855">
        <f>IF(OR(AE9="Probabilidad",AE9="Ambos"),T9-AG9,T9)</f>
        <v>4</v>
      </c>
      <c r="AI9" s="1493" t="str">
        <f>IF(AH9&lt;=1,"Remota",VLOOKUP(AH9,[68]Listas!$C$6:$D$10,2,0))</f>
        <v>Alta</v>
      </c>
      <c r="AJ9" s="855">
        <f>IF(OR(AE9="Impacto",AE9="Ambos"),U9-AG9,U9)</f>
        <v>2</v>
      </c>
      <c r="AK9" s="1493" t="str">
        <f>IF(AJ9&lt;=1,"Insignificante",HLOOKUP(AJ9,[68]Listas!$F$3:$J$4,2,0))</f>
        <v>Menor</v>
      </c>
      <c r="AL9" s="856">
        <f>AH9*AJ9</f>
        <v>8</v>
      </c>
      <c r="AM9" s="1493" t="str">
        <f>INDEX([68]Listas!$F$6:$J$10,MATCH(AI9,[68]Listas!$D$6:$D$10,0),MATCH(AK9,[68]Listas!$F$4:$J$4,0))</f>
        <v>8
MODERADO</v>
      </c>
      <c r="AN9" s="1495" t="s">
        <v>2412</v>
      </c>
      <c r="AO9" s="1467" t="s">
        <v>2413</v>
      </c>
      <c r="AP9" s="1497">
        <v>0</v>
      </c>
      <c r="AQ9" s="1467"/>
      <c r="AR9" s="1489" t="s">
        <v>3830</v>
      </c>
      <c r="AS9" s="1467" t="s">
        <v>36</v>
      </c>
      <c r="AT9" s="1491"/>
      <c r="AU9" s="1467"/>
      <c r="AV9" s="1465"/>
      <c r="AW9" s="1465"/>
      <c r="AX9" s="1467"/>
      <c r="AY9" s="262"/>
    </row>
    <row r="10" spans="1:1027" s="260" customFormat="1" ht="103.5" hidden="1" customHeight="1">
      <c r="A10" s="1449"/>
      <c r="B10" s="1451"/>
      <c r="C10" s="1455"/>
      <c r="D10" s="1456"/>
      <c r="E10" s="1457"/>
      <c r="F10" s="1451"/>
      <c r="G10" s="1458"/>
      <c r="H10" s="1459"/>
      <c r="I10" s="1460"/>
      <c r="J10" s="1455"/>
      <c r="K10" s="1456"/>
      <c r="L10" s="1457"/>
      <c r="M10" s="1449"/>
      <c r="N10" s="1449"/>
      <c r="O10" s="1449"/>
      <c r="P10" s="1449"/>
      <c r="Q10" s="1451"/>
      <c r="R10" s="1451"/>
      <c r="S10" s="851"/>
      <c r="T10" s="852" t="e">
        <f>VLOOKUP(Q10,[68]Listas!$D$6:$E$10,2,0)</f>
        <v>#N/A</v>
      </c>
      <c r="U10" s="852" t="e">
        <f>HLOOKUP(R10,[68]Listas!$F$4:$J$5,2,0)</f>
        <v>#N/A</v>
      </c>
      <c r="V10" s="1494"/>
      <c r="W10" s="853"/>
      <c r="X10" s="1455"/>
      <c r="Y10" s="1456"/>
      <c r="Z10" s="1457"/>
      <c r="AA10" s="1084"/>
      <c r="AB10" s="1462"/>
      <c r="AC10" s="1464"/>
      <c r="AD10" s="1449"/>
      <c r="AE10" s="1462"/>
      <c r="AF10" s="857"/>
      <c r="AG10" s="858"/>
      <c r="AH10" s="858"/>
      <c r="AI10" s="1494"/>
      <c r="AJ10" s="858"/>
      <c r="AK10" s="1494"/>
      <c r="AL10" s="859"/>
      <c r="AM10" s="1494"/>
      <c r="AN10" s="1496"/>
      <c r="AO10" s="1468"/>
      <c r="AP10" s="1498"/>
      <c r="AQ10" s="1468"/>
      <c r="AR10" s="1490"/>
      <c r="AS10" s="1468"/>
      <c r="AT10" s="1492"/>
      <c r="AU10" s="1468"/>
      <c r="AV10" s="1466"/>
      <c r="AW10" s="1466"/>
      <c r="AX10" s="1468"/>
      <c r="AY10" s="262"/>
    </row>
    <row r="11" spans="1:1027" s="260" customFormat="1" ht="61.5" customHeight="1">
      <c r="A11" s="1296" t="s">
        <v>2414</v>
      </c>
      <c r="B11" s="1298" t="s">
        <v>2038</v>
      </c>
      <c r="C11" s="1470" t="s">
        <v>2415</v>
      </c>
      <c r="D11" s="1471"/>
      <c r="E11" s="1472"/>
      <c r="F11" s="1306" t="s">
        <v>168</v>
      </c>
      <c r="G11" s="1480" t="s">
        <v>2416</v>
      </c>
      <c r="H11" s="1481"/>
      <c r="I11" s="1482"/>
      <c r="J11" s="1483" t="s">
        <v>1130</v>
      </c>
      <c r="K11" s="1483"/>
      <c r="L11" s="1484"/>
      <c r="M11" s="1296" t="s">
        <v>684</v>
      </c>
      <c r="N11" s="1296" t="s">
        <v>1128</v>
      </c>
      <c r="O11" s="1296"/>
      <c r="P11" s="1296" t="s">
        <v>684</v>
      </c>
      <c r="Q11" s="1175" t="s">
        <v>64</v>
      </c>
      <c r="R11" s="1175" t="s">
        <v>274</v>
      </c>
      <c r="S11" s="499"/>
      <c r="T11" s="677">
        <f>VLOOKUP(Q11,[68]Listas!$D$6:$E$10,2,0)</f>
        <v>3</v>
      </c>
      <c r="U11" s="677">
        <f>HLOOKUP(R11,[68]Listas!$F$4:$J$5,2,0)</f>
        <v>3</v>
      </c>
      <c r="V11" s="1177" t="str">
        <f>INDEX([68]Listas!$F$6:$J$10,MATCH(Q11,[68]Listas!$D$6:$D$10,0),MATCH(R11,[68]Listas!$F$4:$J$4,0))</f>
        <v>9
MODERADO</v>
      </c>
      <c r="W11" s="860"/>
      <c r="X11" s="1278" t="s">
        <v>2417</v>
      </c>
      <c r="Y11" s="1279"/>
      <c r="Z11" s="1280"/>
      <c r="AA11" s="1296" t="s">
        <v>4013</v>
      </c>
      <c r="AB11" s="1321" t="s">
        <v>168</v>
      </c>
      <c r="AC11" s="1516" t="s">
        <v>2418</v>
      </c>
      <c r="AD11" s="1296">
        <v>64</v>
      </c>
      <c r="AE11" s="1321" t="s">
        <v>152</v>
      </c>
      <c r="AF11" s="861">
        <f>IF(OR(AB11="Probabilidad",AB11="Ambos"),S12-AE12,S12)</f>
        <v>0</v>
      </c>
      <c r="AG11" s="302">
        <f>IF(AD11&lt;=33,0,IF(AD11&gt;81,2,1))</f>
        <v>1</v>
      </c>
      <c r="AH11" s="303">
        <f>IF(OR(AE11="Probabilidad",AE11="Ambos"),T11-AG11,T11)</f>
        <v>2</v>
      </c>
      <c r="AI11" s="1351" t="str">
        <f>IF(AH11&lt;=1,"Remota",VLOOKUP(AH11,[68]Listas!$C$6:$D$10,2,0))</f>
        <v>Baja</v>
      </c>
      <c r="AJ11" s="303">
        <f>IF(OR(AE11="Impacto",AE11="Ambos"),U11-AG11,U11)</f>
        <v>2</v>
      </c>
      <c r="AK11" s="1351" t="str">
        <f>IF(AJ11&lt;=1,"Insignificante",HLOOKUP(AJ11,[68]Listas!$F$3:$J$4,2,0))</f>
        <v>Menor</v>
      </c>
      <c r="AL11" s="304">
        <f>AH11*AJ11</f>
        <v>4</v>
      </c>
      <c r="AM11" s="1177" t="str">
        <f>INDEX([68]Listas!$F$6:$J$10,MATCH(AI11,[68]Listas!$D$6:$D$10,0),MATCH(AK11,[68]Listas!$F$4:$J$4,0))</f>
        <v>4
INFERIOR</v>
      </c>
      <c r="AN11" s="1500" t="s">
        <v>2398</v>
      </c>
      <c r="AO11" s="1325" t="s">
        <v>3831</v>
      </c>
      <c r="AP11" s="1325" t="s">
        <v>3832</v>
      </c>
      <c r="AQ11" s="1325" t="s">
        <v>3833</v>
      </c>
      <c r="AR11" s="1329" t="s">
        <v>3834</v>
      </c>
      <c r="AS11" s="1325" t="s">
        <v>36</v>
      </c>
      <c r="AT11" s="1325"/>
      <c r="AU11" s="1325"/>
      <c r="AV11" s="1325"/>
      <c r="AW11" s="1325"/>
      <c r="AX11" s="1325"/>
      <c r="AY11" s="262"/>
    </row>
    <row r="12" spans="1:1027" s="260" customFormat="1" ht="50.25" customHeight="1">
      <c r="A12" s="1297"/>
      <c r="B12" s="1299"/>
      <c r="C12" s="1473"/>
      <c r="D12" s="1474"/>
      <c r="E12" s="1475"/>
      <c r="F12" s="1307"/>
      <c r="G12" s="1503" t="s">
        <v>2419</v>
      </c>
      <c r="H12" s="1504"/>
      <c r="I12" s="1505"/>
      <c r="J12" s="1485"/>
      <c r="K12" s="1485"/>
      <c r="L12" s="1486"/>
      <c r="M12" s="1297"/>
      <c r="N12" s="1297"/>
      <c r="O12" s="1297"/>
      <c r="P12" s="1297"/>
      <c r="Q12" s="1176"/>
      <c r="R12" s="1176"/>
      <c r="S12" s="499"/>
      <c r="T12" s="677" t="e">
        <f>VLOOKUP(Q12,[68]Listas!$D$6:$E$10,2,0)</f>
        <v>#N/A</v>
      </c>
      <c r="U12" s="677" t="e">
        <f>HLOOKUP(R12,[68]Listas!$F$4:$J$5,2,0)</f>
        <v>#N/A</v>
      </c>
      <c r="V12" s="1178"/>
      <c r="W12" s="860"/>
      <c r="X12" s="1512"/>
      <c r="Y12" s="1513"/>
      <c r="Z12" s="1514"/>
      <c r="AA12" s="1297"/>
      <c r="AB12" s="1322"/>
      <c r="AC12" s="1517"/>
      <c r="AD12" s="1297"/>
      <c r="AE12" s="1322"/>
      <c r="AF12" s="862"/>
      <c r="AG12" s="863"/>
      <c r="AH12" s="864"/>
      <c r="AI12" s="1352"/>
      <c r="AJ12" s="864"/>
      <c r="AK12" s="1352"/>
      <c r="AL12" s="865"/>
      <c r="AM12" s="1178"/>
      <c r="AN12" s="1501"/>
      <c r="AO12" s="1326"/>
      <c r="AP12" s="1326"/>
      <c r="AQ12" s="1326"/>
      <c r="AR12" s="1330"/>
      <c r="AS12" s="1326"/>
      <c r="AT12" s="1326"/>
      <c r="AU12" s="1326"/>
      <c r="AV12" s="1326"/>
      <c r="AW12" s="1326"/>
      <c r="AX12" s="1326"/>
      <c r="AY12" s="262"/>
    </row>
    <row r="13" spans="1:1027" s="260" customFormat="1" ht="66" customHeight="1">
      <c r="A13" s="1297"/>
      <c r="B13" s="1299"/>
      <c r="C13" s="1473"/>
      <c r="D13" s="1474"/>
      <c r="E13" s="1475"/>
      <c r="F13" s="1307"/>
      <c r="G13" s="1503" t="s">
        <v>2420</v>
      </c>
      <c r="H13" s="1504"/>
      <c r="I13" s="1505"/>
      <c r="J13" s="1485"/>
      <c r="K13" s="1485"/>
      <c r="L13" s="1486"/>
      <c r="M13" s="1297"/>
      <c r="N13" s="1297"/>
      <c r="O13" s="1297"/>
      <c r="P13" s="1297"/>
      <c r="Q13" s="1176"/>
      <c r="R13" s="1176"/>
      <c r="S13" s="499"/>
      <c r="T13" s="677" t="e">
        <f>VLOOKUP(Q13,[68]Listas!$D$6:$E$10,2,0)</f>
        <v>#N/A</v>
      </c>
      <c r="U13" s="677" t="e">
        <f>HLOOKUP(R13,[68]Listas!$F$4:$J$5,2,0)</f>
        <v>#N/A</v>
      </c>
      <c r="V13" s="1178"/>
      <c r="W13" s="860"/>
      <c r="X13" s="1512"/>
      <c r="Y13" s="1513"/>
      <c r="Z13" s="1514"/>
      <c r="AA13" s="1297"/>
      <c r="AB13" s="1322"/>
      <c r="AC13" s="1517"/>
      <c r="AD13" s="1297"/>
      <c r="AE13" s="1322"/>
      <c r="AF13" s="862"/>
      <c r="AG13" s="863"/>
      <c r="AH13" s="864"/>
      <c r="AI13" s="1352"/>
      <c r="AJ13" s="864"/>
      <c r="AK13" s="1352"/>
      <c r="AL13" s="865"/>
      <c r="AM13" s="1178"/>
      <c r="AN13" s="1501"/>
      <c r="AO13" s="1326"/>
      <c r="AP13" s="1326"/>
      <c r="AQ13" s="1326"/>
      <c r="AR13" s="1330"/>
      <c r="AS13" s="1326"/>
      <c r="AT13" s="1326"/>
      <c r="AU13" s="1326"/>
      <c r="AV13" s="1326"/>
      <c r="AW13" s="1326"/>
      <c r="AX13" s="1326"/>
      <c r="AY13" s="262"/>
    </row>
    <row r="14" spans="1:1027" s="260" customFormat="1" ht="53.25" customHeight="1">
      <c r="A14" s="1297"/>
      <c r="B14" s="1299"/>
      <c r="C14" s="1473"/>
      <c r="D14" s="1474"/>
      <c r="E14" s="1475"/>
      <c r="F14" s="1307"/>
      <c r="G14" s="1503" t="s">
        <v>2421</v>
      </c>
      <c r="H14" s="1504"/>
      <c r="I14" s="1505"/>
      <c r="J14" s="1485"/>
      <c r="K14" s="1485"/>
      <c r="L14" s="1486"/>
      <c r="M14" s="1297"/>
      <c r="N14" s="1297"/>
      <c r="O14" s="1297"/>
      <c r="P14" s="1297"/>
      <c r="Q14" s="1176"/>
      <c r="R14" s="1176"/>
      <c r="S14" s="499"/>
      <c r="T14" s="677" t="e">
        <f>VLOOKUP(Q14,[68]Listas!$D$6:$E$10,2,0)</f>
        <v>#N/A</v>
      </c>
      <c r="U14" s="677" t="e">
        <f>HLOOKUP(R14,[68]Listas!$F$4:$J$5,2,0)</f>
        <v>#N/A</v>
      </c>
      <c r="V14" s="1178"/>
      <c r="W14" s="860"/>
      <c r="X14" s="1512"/>
      <c r="Y14" s="1513"/>
      <c r="Z14" s="1514"/>
      <c r="AA14" s="1297"/>
      <c r="AB14" s="1322"/>
      <c r="AC14" s="1517"/>
      <c r="AD14" s="1297"/>
      <c r="AE14" s="1322"/>
      <c r="AF14" s="862"/>
      <c r="AG14" s="863"/>
      <c r="AH14" s="864"/>
      <c r="AI14" s="1352"/>
      <c r="AJ14" s="864"/>
      <c r="AK14" s="1352"/>
      <c r="AL14" s="865"/>
      <c r="AM14" s="1178"/>
      <c r="AN14" s="1501"/>
      <c r="AO14" s="1326"/>
      <c r="AP14" s="1326"/>
      <c r="AQ14" s="1326"/>
      <c r="AR14" s="1330"/>
      <c r="AS14" s="1326"/>
      <c r="AT14" s="1326"/>
      <c r="AU14" s="1326"/>
      <c r="AV14" s="1326"/>
      <c r="AW14" s="1326"/>
      <c r="AX14" s="1326"/>
      <c r="AY14" s="262"/>
    </row>
    <row r="15" spans="1:1027" s="260" customFormat="1" ht="64.5" customHeight="1">
      <c r="A15" s="1328"/>
      <c r="B15" s="1469"/>
      <c r="C15" s="1476"/>
      <c r="D15" s="1477"/>
      <c r="E15" s="1478"/>
      <c r="F15" s="1479"/>
      <c r="G15" s="1506" t="s">
        <v>3835</v>
      </c>
      <c r="H15" s="1507"/>
      <c r="I15" s="1508"/>
      <c r="J15" s="1487"/>
      <c r="K15" s="1487"/>
      <c r="L15" s="1488"/>
      <c r="M15" s="1328"/>
      <c r="N15" s="1328"/>
      <c r="O15" s="1328"/>
      <c r="P15" s="1328"/>
      <c r="Q15" s="1520"/>
      <c r="R15" s="1520"/>
      <c r="S15" s="499"/>
      <c r="T15" s="677" t="e">
        <f>VLOOKUP(Q15,[68]Listas!$D$6:$E$10,2,0)</f>
        <v>#N/A</v>
      </c>
      <c r="U15" s="677" t="e">
        <f>HLOOKUP(R15,[68]Listas!$F$4:$J$5,2,0)</f>
        <v>#N/A</v>
      </c>
      <c r="V15" s="1499"/>
      <c r="W15" s="860"/>
      <c r="X15" s="1506"/>
      <c r="Y15" s="1507"/>
      <c r="Z15" s="1508"/>
      <c r="AA15" s="1328"/>
      <c r="AB15" s="1515"/>
      <c r="AC15" s="1518"/>
      <c r="AD15" s="1328"/>
      <c r="AE15" s="1515"/>
      <c r="AF15" s="866"/>
      <c r="AG15" s="867"/>
      <c r="AH15" s="868"/>
      <c r="AI15" s="1519"/>
      <c r="AJ15" s="868"/>
      <c r="AK15" s="1519"/>
      <c r="AL15" s="869"/>
      <c r="AM15" s="1499"/>
      <c r="AN15" s="1502"/>
      <c r="AO15" s="1327"/>
      <c r="AP15" s="1327"/>
      <c r="AQ15" s="1327"/>
      <c r="AR15" s="1331"/>
      <c r="AS15" s="1327"/>
      <c r="AT15" s="1327"/>
      <c r="AU15" s="1327"/>
      <c r="AV15" s="1327"/>
      <c r="AW15" s="1327"/>
      <c r="AX15" s="1327"/>
      <c r="AY15" s="262"/>
    </row>
    <row r="16" spans="1:1027" s="260" customFormat="1" ht="216" customHeight="1">
      <c r="A16" s="656" t="s">
        <v>1131</v>
      </c>
      <c r="B16" s="661" t="s">
        <v>2039</v>
      </c>
      <c r="C16" s="1509" t="s">
        <v>2422</v>
      </c>
      <c r="D16" s="1510"/>
      <c r="E16" s="1511"/>
      <c r="F16" s="660" t="s">
        <v>168</v>
      </c>
      <c r="G16" s="1512" t="s">
        <v>2423</v>
      </c>
      <c r="H16" s="1513"/>
      <c r="I16" s="1514"/>
      <c r="J16" s="1545" t="s">
        <v>1132</v>
      </c>
      <c r="K16" s="1545"/>
      <c r="L16" s="1545"/>
      <c r="M16" s="656" t="s">
        <v>684</v>
      </c>
      <c r="N16" s="656">
        <v>1</v>
      </c>
      <c r="O16" s="656"/>
      <c r="P16" s="656"/>
      <c r="Q16" s="661" t="s">
        <v>37</v>
      </c>
      <c r="R16" s="661" t="s">
        <v>274</v>
      </c>
      <c r="S16" s="499"/>
      <c r="T16" s="677">
        <f>VLOOKUP(Q16,[68]Listas!$D$6:$E$10,2,0)</f>
        <v>5</v>
      </c>
      <c r="U16" s="677">
        <f>HLOOKUP(R16,[68]Listas!$F$4:$J$5,2,0)</f>
        <v>3</v>
      </c>
      <c r="V16" s="658" t="str">
        <f>INDEX([68]Listas!$F$6:$J$10,MATCH(Q16,[68]Listas!$D$6:$D$10,0),MATCH(R16,[68]Listas!$F$4:$J$4,0))</f>
        <v>15
ALTO</v>
      </c>
      <c r="W16" s="860"/>
      <c r="X16" s="1546" t="s">
        <v>1133</v>
      </c>
      <c r="Y16" s="1547"/>
      <c r="Z16" s="1548"/>
      <c r="AA16" s="1081" t="s">
        <v>4013</v>
      </c>
      <c r="AB16" s="660" t="s">
        <v>168</v>
      </c>
      <c r="AC16" s="673" t="s">
        <v>2424</v>
      </c>
      <c r="AD16" s="684">
        <v>64</v>
      </c>
      <c r="AE16" s="305" t="s">
        <v>152</v>
      </c>
      <c r="AF16" s="861">
        <f>IF(OR(AB16="Probabilidad",AB16="Ambos"),S18-AE18,S18)</f>
        <v>0</v>
      </c>
      <c r="AG16" s="302">
        <f>IF(AD16&lt;=33,0,IF(AD16&gt;81,2,1))</f>
        <v>1</v>
      </c>
      <c r="AH16" s="303">
        <f>IF(OR(AE16="Probabilidad",AE16="Ambos"),T16-AG16,T16)</f>
        <v>4</v>
      </c>
      <c r="AI16" s="306" t="str">
        <f>IF(AH16&lt;=1,"Remota",VLOOKUP(AH16,[68]Listas!$C$6:$D$10,2,0))</f>
        <v>Alta</v>
      </c>
      <c r="AJ16" s="303">
        <f>IF(OR(AE16="Impacto",AE16="Ambos"),U16-AG16,U16)</f>
        <v>2</v>
      </c>
      <c r="AK16" s="306" t="str">
        <f>IF(AJ16&lt;=1,"Insignificante",HLOOKUP(AJ16,[68]Listas!$F$3:$J$4,2,0))</f>
        <v>Menor</v>
      </c>
      <c r="AL16" s="304">
        <f>AH16*AJ16</f>
        <v>8</v>
      </c>
      <c r="AM16" s="307" t="str">
        <f>INDEX([68]Listas!$F$6:$J$10,MATCH(AI16,[68]Listas!$D$6:$D$10,0),MATCH(AK16,[68]Listas!$F$4:$J$4,0))</f>
        <v>8
MODERADO</v>
      </c>
      <c r="AN16" s="683" t="s">
        <v>2425</v>
      </c>
      <c r="AO16" s="259" t="s">
        <v>3836</v>
      </c>
      <c r="AP16" s="523" t="s">
        <v>3310</v>
      </c>
      <c r="AQ16" s="259" t="s">
        <v>3837</v>
      </c>
      <c r="AR16" s="259" t="s">
        <v>3838</v>
      </c>
      <c r="AS16" s="655" t="s">
        <v>36</v>
      </c>
      <c r="AT16" s="259"/>
      <c r="AU16" s="259"/>
      <c r="AV16" s="261"/>
      <c r="AW16" s="261"/>
      <c r="AX16" s="655"/>
      <c r="AY16" s="262"/>
    </row>
    <row r="17" spans="1:51" s="310" customFormat="1" ht="211.5" hidden="1" customHeight="1">
      <c r="A17" s="870" t="s">
        <v>2426</v>
      </c>
      <c r="B17" s="871" t="s">
        <v>2427</v>
      </c>
      <c r="C17" s="1549" t="s">
        <v>2428</v>
      </c>
      <c r="D17" s="1550"/>
      <c r="E17" s="1551"/>
      <c r="F17" s="872" t="s">
        <v>168</v>
      </c>
      <c r="G17" s="1552" t="s">
        <v>2429</v>
      </c>
      <c r="H17" s="1553"/>
      <c r="I17" s="1554"/>
      <c r="J17" s="1555" t="s">
        <v>2430</v>
      </c>
      <c r="K17" s="1555"/>
      <c r="L17" s="1555"/>
      <c r="M17" s="870" t="s">
        <v>684</v>
      </c>
      <c r="N17" s="870" t="s">
        <v>1128</v>
      </c>
      <c r="O17" s="870"/>
      <c r="P17" s="870"/>
      <c r="Q17" s="871" t="s">
        <v>648</v>
      </c>
      <c r="R17" s="871" t="s">
        <v>274</v>
      </c>
      <c r="S17" s="851"/>
      <c r="T17" s="852">
        <f>VLOOKUP(Q17,[68]Listas!$D$6:$E$10,2,0)</f>
        <v>4</v>
      </c>
      <c r="U17" s="852">
        <f>HLOOKUP(R17,[68]Listas!$F$4:$J$5,2,0)</f>
        <v>3</v>
      </c>
      <c r="V17" s="873" t="str">
        <f>INDEX([68]Listas!$F$6:$J$10,MATCH(Q17,[68]Listas!$D$6:$D$10,0),MATCH(R17,[68]Listas!$F$4:$J$4,0))</f>
        <v>12
ALTO</v>
      </c>
      <c r="W17" s="853"/>
      <c r="X17" s="1552" t="s">
        <v>2431</v>
      </c>
      <c r="Y17" s="1553"/>
      <c r="Z17" s="1554"/>
      <c r="AA17" s="1082"/>
      <c r="AB17" s="872" t="s">
        <v>168</v>
      </c>
      <c r="AC17" s="874" t="s">
        <v>2432</v>
      </c>
      <c r="AD17" s="875">
        <v>64</v>
      </c>
      <c r="AE17" s="876" t="s">
        <v>152</v>
      </c>
      <c r="AF17" s="854">
        <f>IF(OR(AB17="Probabilidad",AB17="Ambos"),S19-AE19,S19)</f>
        <v>0</v>
      </c>
      <c r="AG17" s="855">
        <f>IF(AD17&lt;=33,0,IF(AD17&gt;81,2,1))</f>
        <v>1</v>
      </c>
      <c r="AH17" s="855">
        <f>IF(OR(AE17="Probabilidad",AE17="Ambos"),T17-AG17,T17)</f>
        <v>3</v>
      </c>
      <c r="AI17" s="877" t="str">
        <f>IF(AH17&lt;=1,"Remota",VLOOKUP(AH17,[68]Listas!$C$6:$D$10,2,0))</f>
        <v>Posible</v>
      </c>
      <c r="AJ17" s="855">
        <f>IF(OR(AE17="Impacto",AE17="Ambos"),U17-AG17,U17)</f>
        <v>2</v>
      </c>
      <c r="AK17" s="877" t="str">
        <f>IF(AJ17&lt;=1,"Insignificante",HLOOKUP(AJ17,[68]Listas!$F$3:$J$4,2,0))</f>
        <v>Menor</v>
      </c>
      <c r="AL17" s="856">
        <f>AH17*AJ17</f>
        <v>6</v>
      </c>
      <c r="AM17" s="877" t="str">
        <f>INDEX([68]Listas!$F$6:$J$10,MATCH(AI17,[68]Listas!$D$6:$D$10,0),MATCH(AK17,[68]Listas!$F$4:$J$4,0))</f>
        <v>6
MODERADO</v>
      </c>
      <c r="AN17" s="878" t="s">
        <v>2412</v>
      </c>
      <c r="AO17" s="413" t="s">
        <v>3311</v>
      </c>
      <c r="AP17" s="879">
        <v>0</v>
      </c>
      <c r="AQ17" s="413"/>
      <c r="AR17" s="413" t="s">
        <v>3839</v>
      </c>
      <c r="AS17" s="880" t="s">
        <v>36</v>
      </c>
      <c r="AT17" s="413"/>
      <c r="AU17" s="413"/>
      <c r="AV17" s="881"/>
      <c r="AW17" s="881"/>
      <c r="AX17" s="880"/>
      <c r="AY17" s="309"/>
    </row>
    <row r="18" spans="1:51" s="260" customFormat="1" ht="33" customHeight="1">
      <c r="A18" s="1521" t="s">
        <v>1092</v>
      </c>
      <c r="B18" s="1524" t="s">
        <v>2040</v>
      </c>
      <c r="C18" s="1527" t="s">
        <v>729</v>
      </c>
      <c r="D18" s="1528"/>
      <c r="E18" s="1529"/>
      <c r="F18" s="1536" t="s">
        <v>168</v>
      </c>
      <c r="G18" s="1539" t="s">
        <v>1746</v>
      </c>
      <c r="H18" s="1540"/>
      <c r="I18" s="1541"/>
      <c r="J18" s="1540" t="s">
        <v>1134</v>
      </c>
      <c r="K18" s="1540"/>
      <c r="L18" s="1541"/>
      <c r="M18" s="1559"/>
      <c r="N18" s="1561"/>
      <c r="O18" s="1561" t="s">
        <v>8</v>
      </c>
      <c r="P18" s="1296"/>
      <c r="Q18" s="1175" t="s">
        <v>655</v>
      </c>
      <c r="R18" s="1175" t="s">
        <v>274</v>
      </c>
      <c r="S18" s="499"/>
      <c r="T18" s="677">
        <f>VLOOKUP(Q18,[68]Listas!$D$6:$E$10,2,0)</f>
        <v>2</v>
      </c>
      <c r="U18" s="677">
        <f>HLOOKUP(R18,[68]Listas!$F$4:$J$5,2,0)</f>
        <v>3</v>
      </c>
      <c r="V18" s="1177" t="str">
        <f>INDEX([68]Listas!$F$6:$J$10,MATCH(Q18,[68]Listas!$D$6:$D$10,0),MATCH(R18,[68]Listas!$F$4:$J$4,0))</f>
        <v>6
MODERADO</v>
      </c>
      <c r="W18" s="1539" t="s">
        <v>2433</v>
      </c>
      <c r="X18" s="1540"/>
      <c r="Y18" s="1540"/>
      <c r="Z18" s="1541"/>
      <c r="AA18" s="1561" t="s">
        <v>4176</v>
      </c>
      <c r="AB18" s="1321" t="s">
        <v>28</v>
      </c>
      <c r="AC18" s="1516" t="s">
        <v>1135</v>
      </c>
      <c r="AD18" s="1296">
        <v>58</v>
      </c>
      <c r="AE18" s="1321" t="s">
        <v>152</v>
      </c>
      <c r="AF18" s="1321">
        <f>IF(OR(AB18="Probabilidad",AB18="Ambos"),S19-AE19,S19)</f>
        <v>0</v>
      </c>
      <c r="AG18" s="1321">
        <f>IF(AD18&lt;=33,0,IF(AD18&gt;81,2,1))</f>
        <v>1</v>
      </c>
      <c r="AH18" s="1321">
        <f>IF(OR(AE18="Probabilidad",AE18="Ambos"),T18-AG18,T18)</f>
        <v>1</v>
      </c>
      <c r="AI18" s="1321" t="str">
        <f>IF(AH18&lt;=1,"Remota",VLOOKUP(AH18,[68]Listas!$C$6:$D$10,2,0))</f>
        <v>Remota</v>
      </c>
      <c r="AJ18" s="1321">
        <f>IF(OR(AE18="Impacto",AE18="Ambos"),U18-AG18,U18)</f>
        <v>2</v>
      </c>
      <c r="AK18" s="1321" t="str">
        <f>IF(AJ18&lt;=1,"Insignificante",HLOOKUP(AJ18,[68]Listas!$F$3:$J$4,2,0))</f>
        <v>Menor</v>
      </c>
      <c r="AL18" s="1321">
        <f>AH18*AJ18</f>
        <v>2</v>
      </c>
      <c r="AM18" s="1321" t="str">
        <f>INDEX([68]Listas!$F$6:$J$10,MATCH(AI18,[68]Listas!$D$6:$D$10,0),MATCH(AK18,[68]Listas!$F$4:$J$4,0))</f>
        <v>2
INFERIOR</v>
      </c>
      <c r="AN18" s="1539" t="s">
        <v>2434</v>
      </c>
      <c r="AO18" s="1567" t="s">
        <v>3312</v>
      </c>
      <c r="AP18" s="1536" t="s">
        <v>3313</v>
      </c>
      <c r="AQ18" s="1567" t="s">
        <v>3840</v>
      </c>
      <c r="AR18" s="1329" t="s">
        <v>3309</v>
      </c>
      <c r="AS18" s="1567" t="s">
        <v>36</v>
      </c>
      <c r="AT18" s="1567"/>
      <c r="AU18" s="1567"/>
      <c r="AV18" s="1567"/>
      <c r="AW18" s="1567"/>
      <c r="AX18" s="1564"/>
      <c r="AY18" s="262"/>
    </row>
    <row r="19" spans="1:51" s="260" customFormat="1" ht="14.25" customHeight="1">
      <c r="A19" s="1522"/>
      <c r="B19" s="1525"/>
      <c r="C19" s="1530"/>
      <c r="D19" s="1531"/>
      <c r="E19" s="1532"/>
      <c r="F19" s="1537"/>
      <c r="G19" s="1542"/>
      <c r="H19" s="1543"/>
      <c r="I19" s="1544"/>
      <c r="J19" s="1543"/>
      <c r="K19" s="1543"/>
      <c r="L19" s="1544"/>
      <c r="M19" s="1560"/>
      <c r="N19" s="1562"/>
      <c r="O19" s="1562"/>
      <c r="P19" s="1297"/>
      <c r="Q19" s="1176"/>
      <c r="R19" s="1176"/>
      <c r="S19" s="499"/>
      <c r="T19" s="677"/>
      <c r="U19" s="677"/>
      <c r="V19" s="1178"/>
      <c r="W19" s="1542"/>
      <c r="X19" s="1543"/>
      <c r="Y19" s="1543"/>
      <c r="Z19" s="1544"/>
      <c r="AA19" s="1562"/>
      <c r="AB19" s="1322"/>
      <c r="AC19" s="1517"/>
      <c r="AD19" s="1297"/>
      <c r="AE19" s="1322"/>
      <c r="AF19" s="1322"/>
      <c r="AG19" s="1322"/>
      <c r="AH19" s="1322"/>
      <c r="AI19" s="1322"/>
      <c r="AJ19" s="1322"/>
      <c r="AK19" s="1322"/>
      <c r="AL19" s="1322"/>
      <c r="AM19" s="1322"/>
      <c r="AN19" s="1542"/>
      <c r="AO19" s="1568"/>
      <c r="AP19" s="1537"/>
      <c r="AQ19" s="1568"/>
      <c r="AR19" s="1330"/>
      <c r="AS19" s="1568"/>
      <c r="AT19" s="1568"/>
      <c r="AU19" s="1568"/>
      <c r="AV19" s="1568"/>
      <c r="AW19" s="1568"/>
      <c r="AX19" s="1565"/>
      <c r="AY19" s="262"/>
    </row>
    <row r="20" spans="1:51" s="260" customFormat="1" ht="21" customHeight="1">
      <c r="A20" s="1522"/>
      <c r="B20" s="1525"/>
      <c r="C20" s="1530"/>
      <c r="D20" s="1531"/>
      <c r="E20" s="1532"/>
      <c r="F20" s="1537"/>
      <c r="G20" s="1542" t="s">
        <v>1751</v>
      </c>
      <c r="H20" s="1543"/>
      <c r="I20" s="1544"/>
      <c r="J20" s="1543"/>
      <c r="K20" s="1543"/>
      <c r="L20" s="1544"/>
      <c r="M20" s="1560"/>
      <c r="N20" s="1562"/>
      <c r="O20" s="1562"/>
      <c r="P20" s="1297"/>
      <c r="Q20" s="1176"/>
      <c r="R20" s="1176"/>
      <c r="S20" s="499"/>
      <c r="T20" s="677"/>
      <c r="U20" s="677"/>
      <c r="V20" s="1178"/>
      <c r="W20" s="1542"/>
      <c r="X20" s="1543"/>
      <c r="Y20" s="1543"/>
      <c r="Z20" s="1544"/>
      <c r="AA20" s="1562"/>
      <c r="AB20" s="1322"/>
      <c r="AC20" s="1517"/>
      <c r="AD20" s="1297"/>
      <c r="AE20" s="1322"/>
      <c r="AF20" s="1322"/>
      <c r="AG20" s="1322"/>
      <c r="AH20" s="1322"/>
      <c r="AI20" s="1322"/>
      <c r="AJ20" s="1322"/>
      <c r="AK20" s="1322"/>
      <c r="AL20" s="1322"/>
      <c r="AM20" s="1322"/>
      <c r="AN20" s="1542"/>
      <c r="AO20" s="1568"/>
      <c r="AP20" s="1537"/>
      <c r="AQ20" s="1568"/>
      <c r="AR20" s="1330"/>
      <c r="AS20" s="1568"/>
      <c r="AT20" s="1568"/>
      <c r="AU20" s="1568"/>
      <c r="AV20" s="1568"/>
      <c r="AW20" s="1568"/>
      <c r="AX20" s="1565"/>
      <c r="AY20" s="262"/>
    </row>
    <row r="21" spans="1:51" s="260" customFormat="1" ht="9" customHeight="1">
      <c r="A21" s="1522"/>
      <c r="B21" s="1525"/>
      <c r="C21" s="1530"/>
      <c r="D21" s="1531"/>
      <c r="E21" s="1532"/>
      <c r="F21" s="1537"/>
      <c r="G21" s="1542"/>
      <c r="H21" s="1543"/>
      <c r="I21" s="1544"/>
      <c r="J21" s="1543"/>
      <c r="K21" s="1543"/>
      <c r="L21" s="1544"/>
      <c r="M21" s="1560"/>
      <c r="N21" s="1562"/>
      <c r="O21" s="1562"/>
      <c r="P21" s="1297"/>
      <c r="Q21" s="1176"/>
      <c r="R21" s="1176"/>
      <c r="S21" s="499"/>
      <c r="T21" s="677"/>
      <c r="U21" s="677"/>
      <c r="V21" s="1178"/>
      <c r="W21" s="1542"/>
      <c r="X21" s="1543"/>
      <c r="Y21" s="1543"/>
      <c r="Z21" s="1544"/>
      <c r="AA21" s="1562"/>
      <c r="AB21" s="1322"/>
      <c r="AC21" s="1517"/>
      <c r="AD21" s="1297"/>
      <c r="AE21" s="1322"/>
      <c r="AF21" s="1322"/>
      <c r="AG21" s="1322"/>
      <c r="AH21" s="1322"/>
      <c r="AI21" s="1322"/>
      <c r="AJ21" s="1322"/>
      <c r="AK21" s="1322"/>
      <c r="AL21" s="1322"/>
      <c r="AM21" s="1322"/>
      <c r="AN21" s="1542"/>
      <c r="AO21" s="1568"/>
      <c r="AP21" s="1537"/>
      <c r="AQ21" s="1568"/>
      <c r="AR21" s="1330"/>
      <c r="AS21" s="1568"/>
      <c r="AT21" s="1568"/>
      <c r="AU21" s="1568"/>
      <c r="AV21" s="1568"/>
      <c r="AW21" s="1568"/>
      <c r="AX21" s="1565"/>
      <c r="AY21" s="262"/>
    </row>
    <row r="22" spans="1:51" s="260" customFormat="1" ht="56.25" customHeight="1">
      <c r="A22" s="1522"/>
      <c r="B22" s="1525"/>
      <c r="C22" s="1530"/>
      <c r="D22" s="1531"/>
      <c r="E22" s="1532"/>
      <c r="F22" s="1537"/>
      <c r="G22" s="1542" t="s">
        <v>1752</v>
      </c>
      <c r="H22" s="1543"/>
      <c r="I22" s="1544"/>
      <c r="J22" s="1543"/>
      <c r="K22" s="1543"/>
      <c r="L22" s="1544"/>
      <c r="M22" s="1560"/>
      <c r="N22" s="1562"/>
      <c r="O22" s="1562"/>
      <c r="P22" s="1297"/>
      <c r="Q22" s="1176"/>
      <c r="R22" s="1176"/>
      <c r="S22" s="499"/>
      <c r="T22" s="677"/>
      <c r="U22" s="677"/>
      <c r="V22" s="1178"/>
      <c r="W22" s="1542"/>
      <c r="X22" s="1543"/>
      <c r="Y22" s="1543"/>
      <c r="Z22" s="1544"/>
      <c r="AA22" s="1562"/>
      <c r="AB22" s="1322"/>
      <c r="AC22" s="1517"/>
      <c r="AD22" s="1297"/>
      <c r="AE22" s="1322"/>
      <c r="AF22" s="1322"/>
      <c r="AG22" s="1322"/>
      <c r="AH22" s="1322"/>
      <c r="AI22" s="1322"/>
      <c r="AJ22" s="1322"/>
      <c r="AK22" s="1322"/>
      <c r="AL22" s="1322"/>
      <c r="AM22" s="1322"/>
      <c r="AN22" s="1542"/>
      <c r="AO22" s="1568"/>
      <c r="AP22" s="1537"/>
      <c r="AQ22" s="1568"/>
      <c r="AR22" s="1330"/>
      <c r="AS22" s="1568"/>
      <c r="AT22" s="1568"/>
      <c r="AU22" s="1568"/>
      <c r="AV22" s="1568"/>
      <c r="AW22" s="1568"/>
      <c r="AX22" s="1565"/>
      <c r="AY22" s="262"/>
    </row>
    <row r="23" spans="1:51" s="260" customFormat="1" ht="47.25" customHeight="1">
      <c r="A23" s="1522"/>
      <c r="B23" s="1525"/>
      <c r="C23" s="1530"/>
      <c r="D23" s="1531"/>
      <c r="E23" s="1532"/>
      <c r="F23" s="1537"/>
      <c r="G23" s="1542" t="s">
        <v>2435</v>
      </c>
      <c r="H23" s="1543"/>
      <c r="I23" s="1544"/>
      <c r="J23" s="1543"/>
      <c r="K23" s="1543"/>
      <c r="L23" s="1544"/>
      <c r="M23" s="1560"/>
      <c r="N23" s="1562"/>
      <c r="O23" s="1562"/>
      <c r="P23" s="1297"/>
      <c r="Q23" s="1176"/>
      <c r="R23" s="1176"/>
      <c r="S23" s="499"/>
      <c r="T23" s="677"/>
      <c r="U23" s="677"/>
      <c r="V23" s="1178"/>
      <c r="W23" s="1542"/>
      <c r="X23" s="1543"/>
      <c r="Y23" s="1543"/>
      <c r="Z23" s="1544"/>
      <c r="AA23" s="1562"/>
      <c r="AB23" s="1322"/>
      <c r="AC23" s="1517"/>
      <c r="AD23" s="1297"/>
      <c r="AE23" s="1322"/>
      <c r="AF23" s="1322"/>
      <c r="AG23" s="1322"/>
      <c r="AH23" s="1322"/>
      <c r="AI23" s="1322"/>
      <c r="AJ23" s="1322"/>
      <c r="AK23" s="1322"/>
      <c r="AL23" s="1322"/>
      <c r="AM23" s="1322"/>
      <c r="AN23" s="1542"/>
      <c r="AO23" s="1568"/>
      <c r="AP23" s="1537"/>
      <c r="AQ23" s="1568"/>
      <c r="AR23" s="1330"/>
      <c r="AS23" s="1568"/>
      <c r="AT23" s="1568"/>
      <c r="AU23" s="1568"/>
      <c r="AV23" s="1568"/>
      <c r="AW23" s="1568"/>
      <c r="AX23" s="1565"/>
      <c r="AY23" s="262"/>
    </row>
    <row r="24" spans="1:51" s="260" customFormat="1" ht="43.5" customHeight="1">
      <c r="A24" s="1522"/>
      <c r="B24" s="1525"/>
      <c r="C24" s="1530"/>
      <c r="D24" s="1531"/>
      <c r="E24" s="1532"/>
      <c r="F24" s="1537"/>
      <c r="G24" s="1542" t="s">
        <v>2436</v>
      </c>
      <c r="H24" s="1543"/>
      <c r="I24" s="1544"/>
      <c r="J24" s="1543"/>
      <c r="K24" s="1543"/>
      <c r="L24" s="1544"/>
      <c r="M24" s="1560"/>
      <c r="N24" s="1562"/>
      <c r="O24" s="1562"/>
      <c r="P24" s="1297"/>
      <c r="Q24" s="1176"/>
      <c r="R24" s="1176"/>
      <c r="S24" s="499"/>
      <c r="T24" s="677"/>
      <c r="U24" s="677"/>
      <c r="V24" s="1178"/>
      <c r="W24" s="1542"/>
      <c r="X24" s="1543"/>
      <c r="Y24" s="1543"/>
      <c r="Z24" s="1544"/>
      <c r="AA24" s="1562"/>
      <c r="AB24" s="1322"/>
      <c r="AC24" s="1517"/>
      <c r="AD24" s="1297"/>
      <c r="AE24" s="1322"/>
      <c r="AF24" s="1322"/>
      <c r="AG24" s="1322"/>
      <c r="AH24" s="1322"/>
      <c r="AI24" s="1322"/>
      <c r="AJ24" s="1322"/>
      <c r="AK24" s="1322"/>
      <c r="AL24" s="1322"/>
      <c r="AM24" s="1322"/>
      <c r="AN24" s="1542"/>
      <c r="AO24" s="1568"/>
      <c r="AP24" s="1537"/>
      <c r="AQ24" s="1568"/>
      <c r="AR24" s="1330"/>
      <c r="AS24" s="1568"/>
      <c r="AT24" s="1568"/>
      <c r="AU24" s="1568"/>
      <c r="AV24" s="1568"/>
      <c r="AW24" s="1568"/>
      <c r="AX24" s="1565"/>
      <c r="AY24" s="262"/>
    </row>
    <row r="25" spans="1:51" s="260" customFormat="1" ht="50.25" customHeight="1">
      <c r="A25" s="1522"/>
      <c r="B25" s="1525"/>
      <c r="C25" s="1530"/>
      <c r="D25" s="1531"/>
      <c r="E25" s="1532"/>
      <c r="F25" s="1537"/>
      <c r="G25" s="1542" t="s">
        <v>2437</v>
      </c>
      <c r="H25" s="1543"/>
      <c r="I25" s="1544"/>
      <c r="J25" s="1543"/>
      <c r="K25" s="1543"/>
      <c r="L25" s="1544"/>
      <c r="M25" s="1560"/>
      <c r="N25" s="1562"/>
      <c r="O25" s="1562"/>
      <c r="P25" s="1297"/>
      <c r="Q25" s="1176"/>
      <c r="R25" s="1176"/>
      <c r="S25" s="499"/>
      <c r="T25" s="677"/>
      <c r="U25" s="677"/>
      <c r="V25" s="1178"/>
      <c r="W25" s="1542"/>
      <c r="X25" s="1543"/>
      <c r="Y25" s="1543"/>
      <c r="Z25" s="1544"/>
      <c r="AA25" s="1562"/>
      <c r="AB25" s="1322"/>
      <c r="AC25" s="1517"/>
      <c r="AD25" s="1297"/>
      <c r="AE25" s="1322"/>
      <c r="AF25" s="1322"/>
      <c r="AG25" s="1322"/>
      <c r="AH25" s="1322"/>
      <c r="AI25" s="1322"/>
      <c r="AJ25" s="1322"/>
      <c r="AK25" s="1322"/>
      <c r="AL25" s="1322"/>
      <c r="AM25" s="1322"/>
      <c r="AN25" s="1542"/>
      <c r="AO25" s="1568"/>
      <c r="AP25" s="1537"/>
      <c r="AQ25" s="1568"/>
      <c r="AR25" s="1330"/>
      <c r="AS25" s="1568"/>
      <c r="AT25" s="1568"/>
      <c r="AU25" s="1568"/>
      <c r="AV25" s="1568"/>
      <c r="AW25" s="1568"/>
      <c r="AX25" s="1565"/>
      <c r="AY25" s="262"/>
    </row>
    <row r="26" spans="1:51" s="260" customFormat="1" ht="58.5" customHeight="1">
      <c r="A26" s="1523"/>
      <c r="B26" s="1526"/>
      <c r="C26" s="1533"/>
      <c r="D26" s="1534"/>
      <c r="E26" s="1535"/>
      <c r="F26" s="1538"/>
      <c r="G26" s="1542" t="s">
        <v>2438</v>
      </c>
      <c r="H26" s="1543"/>
      <c r="I26" s="1544"/>
      <c r="J26" s="1543"/>
      <c r="K26" s="1543"/>
      <c r="L26" s="1544"/>
      <c r="M26" s="1560"/>
      <c r="N26" s="1562"/>
      <c r="O26" s="1563"/>
      <c r="P26" s="1328"/>
      <c r="Q26" s="1520"/>
      <c r="R26" s="1520"/>
      <c r="S26" s="499"/>
      <c r="T26" s="677"/>
      <c r="U26" s="677"/>
      <c r="V26" s="1499"/>
      <c r="W26" s="1556"/>
      <c r="X26" s="1557"/>
      <c r="Y26" s="1557"/>
      <c r="Z26" s="1558"/>
      <c r="AA26" s="1563"/>
      <c r="AB26" s="1515"/>
      <c r="AC26" s="1518"/>
      <c r="AD26" s="1328"/>
      <c r="AE26" s="1515"/>
      <c r="AF26" s="1515"/>
      <c r="AG26" s="1515"/>
      <c r="AH26" s="1515"/>
      <c r="AI26" s="1515"/>
      <c r="AJ26" s="1515"/>
      <c r="AK26" s="1515"/>
      <c r="AL26" s="1515"/>
      <c r="AM26" s="1515"/>
      <c r="AN26" s="1556"/>
      <c r="AO26" s="1569"/>
      <c r="AP26" s="1538"/>
      <c r="AQ26" s="1569"/>
      <c r="AR26" s="1331"/>
      <c r="AS26" s="1569"/>
      <c r="AT26" s="1569"/>
      <c r="AU26" s="1569"/>
      <c r="AV26" s="1569"/>
      <c r="AW26" s="1569"/>
      <c r="AX26" s="1566"/>
      <c r="AY26" s="262"/>
    </row>
    <row r="27" spans="1:51" s="260" customFormat="1" ht="54" customHeight="1">
      <c r="A27" s="1573" t="s">
        <v>1092</v>
      </c>
      <c r="B27" s="1576" t="s">
        <v>2041</v>
      </c>
      <c r="C27" s="1527" t="s">
        <v>988</v>
      </c>
      <c r="D27" s="1528"/>
      <c r="E27" s="1529"/>
      <c r="F27" s="1536" t="s">
        <v>168</v>
      </c>
      <c r="G27" s="1539" t="s">
        <v>1766</v>
      </c>
      <c r="H27" s="1540"/>
      <c r="I27" s="1541"/>
      <c r="J27" s="1540" t="s">
        <v>986</v>
      </c>
      <c r="K27" s="1540"/>
      <c r="L27" s="1541"/>
      <c r="M27" s="1536"/>
      <c r="N27" s="1536"/>
      <c r="O27" s="1570" t="s">
        <v>8</v>
      </c>
      <c r="P27" s="1296"/>
      <c r="Q27" s="1175" t="s">
        <v>654</v>
      </c>
      <c r="R27" s="1175" t="s">
        <v>274</v>
      </c>
      <c r="S27" s="499"/>
      <c r="T27" s="677">
        <f>VLOOKUP(Q27,[68]Listas!$D$6:$E$10,2,0)</f>
        <v>1</v>
      </c>
      <c r="U27" s="677">
        <f>HLOOKUP(R27,[68]Listas!$F$4:$J$5,2,0)</f>
        <v>3</v>
      </c>
      <c r="V27" s="1177" t="str">
        <f>INDEX([68]Listas!$F$6:$J$10,MATCH(Q27,[68]Listas!$D$6:$D$10,0),MATCH(R27,[68]Listas!$F$4:$J$4,0))</f>
        <v>3
INFERIOR</v>
      </c>
      <c r="W27" s="1539" t="s">
        <v>2439</v>
      </c>
      <c r="X27" s="1540"/>
      <c r="Y27" s="1540"/>
      <c r="Z27" s="1541"/>
      <c r="AA27" s="1561" t="s">
        <v>4177</v>
      </c>
      <c r="AB27" s="1321" t="s">
        <v>28</v>
      </c>
      <c r="AC27" s="1516" t="s">
        <v>1136</v>
      </c>
      <c r="AD27" s="1320">
        <v>58</v>
      </c>
      <c r="AE27" s="1356" t="s">
        <v>152</v>
      </c>
      <c r="AF27" s="676"/>
      <c r="AG27" s="677">
        <f>IF(AD27&lt;=33,0,IF(AD27&gt;81,2,1))</f>
        <v>1</v>
      </c>
      <c r="AH27" s="311">
        <f>IF(OR(AE27="Probabilidad",AE27="Ambos"),T27-AG27,T27)</f>
        <v>0</v>
      </c>
      <c r="AI27" s="1383" t="str">
        <f>IF(AH27&lt;=1,"Remota",VLOOKUP(AH27,[68]Listas!$C$6:$D$10,2,0))</f>
        <v>Remota</v>
      </c>
      <c r="AJ27" s="311">
        <f>IF(OR(AE27="Impacto",AE27="Ambos"),U27-AG27,U27)</f>
        <v>2</v>
      </c>
      <c r="AK27" s="1383" t="str">
        <f>IF(AJ27&lt;=1,"Insignificante",HLOOKUP(AJ27,[68]Listas!$F$3:$J$4,2,0))</f>
        <v>Menor</v>
      </c>
      <c r="AL27" s="675">
        <f>AH27*AJ27</f>
        <v>0</v>
      </c>
      <c r="AM27" s="1384" t="str">
        <f>INDEX([68]Listas!$F$6:$J$10,MATCH(AI27,[68]Listas!$D$6:$D$10,0),MATCH(AK27,[68]Listas!$F$4:$J$4,0))</f>
        <v>2
INFERIOR</v>
      </c>
      <c r="AN27" s="1516" t="s">
        <v>2434</v>
      </c>
      <c r="AO27" s="1296" t="s">
        <v>3841</v>
      </c>
      <c r="AP27" s="1296" t="s">
        <v>3313</v>
      </c>
      <c r="AQ27" s="1296" t="s">
        <v>3840</v>
      </c>
      <c r="AR27" s="1329" t="s">
        <v>3309</v>
      </c>
      <c r="AS27" s="1296" t="s">
        <v>36</v>
      </c>
      <c r="AT27" s="1296"/>
      <c r="AU27" s="1296"/>
      <c r="AV27" s="1296"/>
      <c r="AW27" s="1296"/>
      <c r="AX27" s="1296"/>
      <c r="AY27" s="262"/>
    </row>
    <row r="28" spans="1:51" s="260" customFormat="1" ht="68.25" customHeight="1">
      <c r="A28" s="1574"/>
      <c r="B28" s="1577" t="s">
        <v>473</v>
      </c>
      <c r="C28" s="1530"/>
      <c r="D28" s="1531"/>
      <c r="E28" s="1532"/>
      <c r="F28" s="1537"/>
      <c r="G28" s="1542" t="s">
        <v>1770</v>
      </c>
      <c r="H28" s="1543"/>
      <c r="I28" s="1544"/>
      <c r="J28" s="1543"/>
      <c r="K28" s="1543"/>
      <c r="L28" s="1544"/>
      <c r="M28" s="1537"/>
      <c r="N28" s="1537"/>
      <c r="O28" s="1571"/>
      <c r="P28" s="1297"/>
      <c r="Q28" s="1176"/>
      <c r="R28" s="1176"/>
      <c r="S28" s="82">
        <f>VLOOKUP(P28,[72]Listas!$D$6:$E$10,2,0)</f>
        <v>0</v>
      </c>
      <c r="T28" s="82">
        <f>HLOOKUP(Q28,[72]Listas!$F$4:$J$5,2,0)</f>
        <v>0</v>
      </c>
      <c r="U28" s="82"/>
      <c r="V28" s="1178"/>
      <c r="W28" s="1542"/>
      <c r="X28" s="1543"/>
      <c r="Y28" s="1543"/>
      <c r="Z28" s="1544"/>
      <c r="AA28" s="1562"/>
      <c r="AB28" s="1322"/>
      <c r="AC28" s="1517"/>
      <c r="AD28" s="1320"/>
      <c r="AE28" s="1356"/>
      <c r="AF28" s="83">
        <f t="shared" ref="AF28:AF35" si="0">IF(OR(AB28="Probabilidad",AB28="Ambos"),S28-AE28,S28)</f>
        <v>0</v>
      </c>
      <c r="AG28" s="83" t="str">
        <f>IF(AF28&lt;=1,"Remota",VLOOKUP(AF28,[72]Listas!$C$6:$D$10,2,0))</f>
        <v>Remota</v>
      </c>
      <c r="AH28" s="83">
        <f t="shared" ref="AH28:AH35" si="1">IF(OR(AB28="Impacto",AB28="Ambos"),T28-AE28,T28)</f>
        <v>0</v>
      </c>
      <c r="AI28" s="1383"/>
      <c r="AJ28" s="83"/>
      <c r="AK28" s="1383"/>
      <c r="AL28" s="81"/>
      <c r="AM28" s="1384"/>
      <c r="AN28" s="1517"/>
      <c r="AO28" s="1297"/>
      <c r="AP28" s="1297"/>
      <c r="AQ28" s="1297"/>
      <c r="AR28" s="1330"/>
      <c r="AS28" s="1297"/>
      <c r="AT28" s="1297"/>
      <c r="AU28" s="1297"/>
      <c r="AV28" s="1297"/>
      <c r="AW28" s="1297"/>
      <c r="AX28" s="1297"/>
      <c r="AY28" s="262"/>
    </row>
    <row r="29" spans="1:51" s="260" customFormat="1" ht="63.75" customHeight="1">
      <c r="A29" s="1574"/>
      <c r="B29" s="1577" t="s">
        <v>473</v>
      </c>
      <c r="C29" s="1530"/>
      <c r="D29" s="1531"/>
      <c r="E29" s="1532"/>
      <c r="F29" s="1537"/>
      <c r="G29" s="1542" t="s">
        <v>1773</v>
      </c>
      <c r="H29" s="1543"/>
      <c r="I29" s="1544"/>
      <c r="J29" s="1543"/>
      <c r="K29" s="1543"/>
      <c r="L29" s="1544"/>
      <c r="M29" s="1537"/>
      <c r="N29" s="1537"/>
      <c r="O29" s="1571"/>
      <c r="P29" s="1297"/>
      <c r="Q29" s="1176"/>
      <c r="R29" s="1176"/>
      <c r="S29" s="82">
        <f>VLOOKUP(P29,[72]Listas!$D$6:$E$10,2,0)</f>
        <v>0</v>
      </c>
      <c r="T29" s="82">
        <f>HLOOKUP(Q29,[72]Listas!$F$4:$J$5,2,0)</f>
        <v>0</v>
      </c>
      <c r="U29" s="82"/>
      <c r="V29" s="1178"/>
      <c r="W29" s="1542"/>
      <c r="X29" s="1543"/>
      <c r="Y29" s="1543"/>
      <c r="Z29" s="1544"/>
      <c r="AA29" s="1562"/>
      <c r="AB29" s="1322"/>
      <c r="AC29" s="1517"/>
      <c r="AD29" s="1320"/>
      <c r="AE29" s="1356"/>
      <c r="AF29" s="83">
        <f t="shared" si="0"/>
        <v>0</v>
      </c>
      <c r="AG29" s="83" t="str">
        <f>IF(AF29&lt;=1,"Remota",VLOOKUP(AF29,[72]Listas!$C$6:$D$10,2,0))</f>
        <v>Remota</v>
      </c>
      <c r="AH29" s="83">
        <f t="shared" si="1"/>
        <v>0</v>
      </c>
      <c r="AI29" s="1383"/>
      <c r="AJ29" s="83"/>
      <c r="AK29" s="1383"/>
      <c r="AL29" s="81"/>
      <c r="AM29" s="1384"/>
      <c r="AN29" s="1517"/>
      <c r="AO29" s="1297"/>
      <c r="AP29" s="1297"/>
      <c r="AQ29" s="1297"/>
      <c r="AR29" s="1330"/>
      <c r="AS29" s="1297"/>
      <c r="AT29" s="1297"/>
      <c r="AU29" s="1297"/>
      <c r="AV29" s="1297"/>
      <c r="AW29" s="1297"/>
      <c r="AX29" s="1297"/>
      <c r="AY29" s="262"/>
    </row>
    <row r="30" spans="1:51" s="260" customFormat="1" ht="63.75" customHeight="1">
      <c r="A30" s="1574"/>
      <c r="B30" s="1577"/>
      <c r="C30" s="1530"/>
      <c r="D30" s="1531"/>
      <c r="E30" s="1532"/>
      <c r="F30" s="1537"/>
      <c r="G30" s="1542" t="s">
        <v>2440</v>
      </c>
      <c r="H30" s="1543"/>
      <c r="I30" s="1544"/>
      <c r="J30" s="1543"/>
      <c r="K30" s="1543"/>
      <c r="L30" s="1544"/>
      <c r="M30" s="1537"/>
      <c r="N30" s="1537"/>
      <c r="O30" s="1571"/>
      <c r="P30" s="1297"/>
      <c r="Q30" s="1176"/>
      <c r="R30" s="1176"/>
      <c r="S30" s="82">
        <f>VLOOKUP(P30,[72]Listas!$D$6:$E$10,2,0)</f>
        <v>0</v>
      </c>
      <c r="T30" s="82">
        <f>HLOOKUP(Q30,[72]Listas!$F$4:$J$5,2,0)</f>
        <v>0</v>
      </c>
      <c r="U30" s="82"/>
      <c r="V30" s="1178"/>
      <c r="W30" s="1542"/>
      <c r="X30" s="1543"/>
      <c r="Y30" s="1543"/>
      <c r="Z30" s="1544"/>
      <c r="AA30" s="1562"/>
      <c r="AB30" s="1322"/>
      <c r="AC30" s="1517"/>
      <c r="AD30" s="1320"/>
      <c r="AE30" s="1356"/>
      <c r="AF30" s="83">
        <f>IF(OR(AB30="Probabilidad",AB30="Ambos"),S30-AE30,S30)</f>
        <v>0</v>
      </c>
      <c r="AG30" s="83" t="str">
        <f>IF(AF30&lt;=1,"Remota",VLOOKUP(AF30,[72]Listas!$C$6:$D$10,2,0))</f>
        <v>Remota</v>
      </c>
      <c r="AH30" s="83">
        <f>IF(OR(AB30="Impacto",AB30="Ambos"),T30-AE30,T30)</f>
        <v>0</v>
      </c>
      <c r="AI30" s="1383"/>
      <c r="AJ30" s="83"/>
      <c r="AK30" s="1383"/>
      <c r="AL30" s="81"/>
      <c r="AM30" s="1384"/>
      <c r="AN30" s="1517"/>
      <c r="AO30" s="1297"/>
      <c r="AP30" s="1297"/>
      <c r="AQ30" s="1297"/>
      <c r="AR30" s="1330"/>
      <c r="AS30" s="1297"/>
      <c r="AT30" s="1297"/>
      <c r="AU30" s="1297"/>
      <c r="AV30" s="1297"/>
      <c r="AW30" s="1297"/>
      <c r="AX30" s="1297"/>
      <c r="AY30" s="262"/>
    </row>
    <row r="31" spans="1:51" s="260" customFormat="1" ht="57.75" customHeight="1">
      <c r="A31" s="1575"/>
      <c r="B31" s="1578" t="s">
        <v>473</v>
      </c>
      <c r="C31" s="1533"/>
      <c r="D31" s="1534"/>
      <c r="E31" s="1535"/>
      <c r="F31" s="1538"/>
      <c r="G31" s="1542" t="s">
        <v>2441</v>
      </c>
      <c r="H31" s="1543"/>
      <c r="I31" s="1544"/>
      <c r="J31" s="1557"/>
      <c r="K31" s="1557"/>
      <c r="L31" s="1558"/>
      <c r="M31" s="1538"/>
      <c r="N31" s="1538"/>
      <c r="O31" s="1572"/>
      <c r="P31" s="1328"/>
      <c r="Q31" s="1520"/>
      <c r="R31" s="1520"/>
      <c r="S31" s="84">
        <f>VLOOKUP(P31,[72]Listas!$D$6:$E$10,2,0)</f>
        <v>0</v>
      </c>
      <c r="T31" s="84">
        <f>HLOOKUP(Q31,[72]Listas!$F$4:$J$5,2,0)</f>
        <v>0</v>
      </c>
      <c r="U31" s="84"/>
      <c r="V31" s="1499"/>
      <c r="W31" s="1556"/>
      <c r="X31" s="1557"/>
      <c r="Y31" s="1557"/>
      <c r="Z31" s="1558"/>
      <c r="AA31" s="1563"/>
      <c r="AB31" s="1515"/>
      <c r="AC31" s="1518"/>
      <c r="AD31" s="1320"/>
      <c r="AE31" s="1356"/>
      <c r="AF31" s="83">
        <f t="shared" si="0"/>
        <v>0</v>
      </c>
      <c r="AG31" s="83" t="str">
        <f>IF(AF31&lt;=1,"Remota",VLOOKUP(AF31,[72]Listas!$C$6:$D$10,2,0))</f>
        <v>Remota</v>
      </c>
      <c r="AH31" s="83">
        <f t="shared" si="1"/>
        <v>0</v>
      </c>
      <c r="AI31" s="1383"/>
      <c r="AJ31" s="83"/>
      <c r="AK31" s="1383"/>
      <c r="AL31" s="81"/>
      <c r="AM31" s="1384"/>
      <c r="AN31" s="1518"/>
      <c r="AO31" s="1328"/>
      <c r="AP31" s="1328"/>
      <c r="AQ31" s="1328"/>
      <c r="AR31" s="1331"/>
      <c r="AS31" s="1328"/>
      <c r="AT31" s="1328"/>
      <c r="AU31" s="1328"/>
      <c r="AV31" s="1328"/>
      <c r="AW31" s="1328"/>
      <c r="AX31" s="1328"/>
      <c r="AY31" s="262"/>
    </row>
    <row r="32" spans="1:51" s="260" customFormat="1" ht="61.5" customHeight="1">
      <c r="A32" s="1521" t="s">
        <v>1092</v>
      </c>
      <c r="B32" s="1579" t="s">
        <v>2042</v>
      </c>
      <c r="C32" s="1527" t="s">
        <v>982</v>
      </c>
      <c r="D32" s="1528"/>
      <c r="E32" s="1529"/>
      <c r="F32" s="1536" t="s">
        <v>168</v>
      </c>
      <c r="G32" s="1539" t="s">
        <v>1779</v>
      </c>
      <c r="H32" s="1540"/>
      <c r="I32" s="1541"/>
      <c r="J32" s="1540" t="s">
        <v>2442</v>
      </c>
      <c r="K32" s="1540"/>
      <c r="L32" s="1541"/>
      <c r="M32" s="882"/>
      <c r="N32" s="882"/>
      <c r="O32" s="1296" t="s">
        <v>8</v>
      </c>
      <c r="P32" s="1296"/>
      <c r="Q32" s="1175" t="s">
        <v>655</v>
      </c>
      <c r="R32" s="1175" t="s">
        <v>274</v>
      </c>
      <c r="S32" s="499"/>
      <c r="T32" s="677">
        <f>VLOOKUP(Q32,[68]Listas!$D$6:$E$10,2,0)</f>
        <v>2</v>
      </c>
      <c r="U32" s="677">
        <f>HLOOKUP(R32,[68]Listas!$F$4:$J$5,2,0)</f>
        <v>3</v>
      </c>
      <c r="V32" s="1177" t="str">
        <f>INDEX([68]Listas!$F$6:$J$10,MATCH(Q32,[68]Listas!$D$6:$D$10,0),MATCH(R32,[68]Listas!$F$4:$J$4,0))</f>
        <v>6
MODERADO</v>
      </c>
      <c r="W32" s="1539" t="s">
        <v>2443</v>
      </c>
      <c r="X32" s="1540"/>
      <c r="Y32" s="1540"/>
      <c r="Z32" s="1541"/>
      <c r="AA32" s="1561" t="s">
        <v>4178</v>
      </c>
      <c r="AB32" s="1321" t="s">
        <v>28</v>
      </c>
      <c r="AC32" s="1516" t="s">
        <v>1136</v>
      </c>
      <c r="AD32" s="1320">
        <v>58</v>
      </c>
      <c r="AE32" s="1356" t="s">
        <v>152</v>
      </c>
      <c r="AF32" s="676"/>
      <c r="AG32" s="677">
        <f>IF(AD32&lt;=33,0,IF(AD32&gt;81,2,1))</f>
        <v>1</v>
      </c>
      <c r="AH32" s="311">
        <f>IF(OR(AE32="Probabilidad",AE32="Ambos"),T32-AG32,T32)</f>
        <v>1</v>
      </c>
      <c r="AI32" s="1383" t="str">
        <f>IF(AH32&lt;=1,"Remota",VLOOKUP(AH32,[68]Listas!$C$6:$D$10,2,0))</f>
        <v>Remota</v>
      </c>
      <c r="AJ32" s="311">
        <f>IF(OR(AE32="Impacto",AE32="Ambos"),U32-AG32,U32)</f>
        <v>2</v>
      </c>
      <c r="AK32" s="1383" t="str">
        <f>IF(AJ32&lt;=1,"Insignificante",HLOOKUP(AJ32,[68]Listas!$F$3:$J$4,2,0))</f>
        <v>Menor</v>
      </c>
      <c r="AL32" s="675">
        <f>AH32*AJ32</f>
        <v>2</v>
      </c>
      <c r="AM32" s="1384" t="str">
        <f>INDEX([68]Listas!$F$6:$J$10,MATCH(AI32,[68]Listas!$D$6:$D$10,0),MATCH(AK32,[68]Listas!$F$4:$J$4,0))</f>
        <v>2
INFERIOR</v>
      </c>
      <c r="AN32" s="1516"/>
      <c r="AO32" s="1296" t="s">
        <v>3841</v>
      </c>
      <c r="AP32" s="1296" t="s">
        <v>3313</v>
      </c>
      <c r="AQ32" s="1296" t="s">
        <v>3840</v>
      </c>
      <c r="AR32" s="1329" t="s">
        <v>3309</v>
      </c>
      <c r="AS32" s="1296" t="s">
        <v>36</v>
      </c>
      <c r="AT32" s="1296"/>
      <c r="AU32" s="1296"/>
      <c r="AV32" s="1296"/>
      <c r="AW32" s="1296"/>
      <c r="AX32" s="1296"/>
      <c r="AY32" s="262"/>
    </row>
    <row r="33" spans="1:51" s="260" customFormat="1" ht="54.75" customHeight="1">
      <c r="A33" s="1522"/>
      <c r="B33" s="1580"/>
      <c r="C33" s="1530"/>
      <c r="D33" s="1531"/>
      <c r="E33" s="1532"/>
      <c r="F33" s="1537"/>
      <c r="G33" s="1542" t="s">
        <v>2444</v>
      </c>
      <c r="H33" s="1543"/>
      <c r="I33" s="1544"/>
      <c r="J33" s="1543"/>
      <c r="K33" s="1543"/>
      <c r="L33" s="1544"/>
      <c r="M33" s="883"/>
      <c r="N33" s="883"/>
      <c r="O33" s="1297"/>
      <c r="P33" s="1297"/>
      <c r="Q33" s="1176"/>
      <c r="R33" s="1176"/>
      <c r="S33" s="82">
        <f>VLOOKUP(P33,[72]Listas!$D$6:$E$10,2,0)</f>
        <v>0</v>
      </c>
      <c r="T33" s="82">
        <f>HLOOKUP(Q33,[72]Listas!$F$4:$J$5,2,0)</f>
        <v>0</v>
      </c>
      <c r="U33" s="82"/>
      <c r="V33" s="1178"/>
      <c r="W33" s="1542"/>
      <c r="X33" s="1543"/>
      <c r="Y33" s="1543"/>
      <c r="Z33" s="1544"/>
      <c r="AA33" s="1562"/>
      <c r="AB33" s="1322"/>
      <c r="AC33" s="1517"/>
      <c r="AD33" s="1320"/>
      <c r="AE33" s="1356"/>
      <c r="AF33" s="83">
        <f t="shared" si="0"/>
        <v>0</v>
      </c>
      <c r="AG33" s="83"/>
      <c r="AH33" s="83">
        <f t="shared" si="1"/>
        <v>0</v>
      </c>
      <c r="AI33" s="1383"/>
      <c r="AJ33" s="83">
        <f t="shared" ref="AJ33:AJ35" si="2">AF33*AH33</f>
        <v>0</v>
      </c>
      <c r="AK33" s="1383"/>
      <c r="AL33" s="81"/>
      <c r="AM33" s="1384"/>
      <c r="AN33" s="1517"/>
      <c r="AO33" s="1297"/>
      <c r="AP33" s="1297"/>
      <c r="AQ33" s="1297"/>
      <c r="AR33" s="1330"/>
      <c r="AS33" s="1297"/>
      <c r="AT33" s="1297"/>
      <c r="AU33" s="1297"/>
      <c r="AV33" s="1297"/>
      <c r="AW33" s="1297"/>
      <c r="AX33" s="1297"/>
      <c r="AY33" s="262"/>
    </row>
    <row r="34" spans="1:51" s="260" customFormat="1" ht="39" customHeight="1">
      <c r="A34" s="1522"/>
      <c r="B34" s="1580"/>
      <c r="C34" s="1530"/>
      <c r="D34" s="1531"/>
      <c r="E34" s="1532"/>
      <c r="F34" s="1537"/>
      <c r="G34" s="1542" t="s">
        <v>1786</v>
      </c>
      <c r="H34" s="1543"/>
      <c r="I34" s="1544"/>
      <c r="J34" s="1543"/>
      <c r="K34" s="1543"/>
      <c r="L34" s="1544"/>
      <c r="M34" s="883"/>
      <c r="N34" s="883"/>
      <c r="O34" s="1297"/>
      <c r="P34" s="1297"/>
      <c r="Q34" s="1176"/>
      <c r="R34" s="1176"/>
      <c r="S34" s="82">
        <f>VLOOKUP(P34,[72]Listas!$D$6:$E$10,2,0)</f>
        <v>0</v>
      </c>
      <c r="T34" s="82">
        <f>HLOOKUP(Q34,[72]Listas!$F$4:$J$5,2,0)</f>
        <v>0</v>
      </c>
      <c r="U34" s="82"/>
      <c r="V34" s="1178"/>
      <c r="W34" s="1542"/>
      <c r="X34" s="1543"/>
      <c r="Y34" s="1543"/>
      <c r="Z34" s="1544"/>
      <c r="AA34" s="1562"/>
      <c r="AB34" s="1322"/>
      <c r="AC34" s="1517"/>
      <c r="AD34" s="1320"/>
      <c r="AE34" s="1356"/>
      <c r="AF34" s="83">
        <f t="shared" si="0"/>
        <v>0</v>
      </c>
      <c r="AG34" s="83"/>
      <c r="AH34" s="83">
        <f t="shared" si="1"/>
        <v>0</v>
      </c>
      <c r="AI34" s="1383"/>
      <c r="AJ34" s="83">
        <f t="shared" si="2"/>
        <v>0</v>
      </c>
      <c r="AK34" s="1383"/>
      <c r="AL34" s="81"/>
      <c r="AM34" s="1384"/>
      <c r="AN34" s="1517"/>
      <c r="AO34" s="1297"/>
      <c r="AP34" s="1297"/>
      <c r="AQ34" s="1297"/>
      <c r="AR34" s="1330"/>
      <c r="AS34" s="1297"/>
      <c r="AT34" s="1297"/>
      <c r="AU34" s="1297"/>
      <c r="AV34" s="1297"/>
      <c r="AW34" s="1297"/>
      <c r="AX34" s="1297"/>
      <c r="AY34" s="262"/>
    </row>
    <row r="35" spans="1:51" s="260" customFormat="1" ht="50.25" customHeight="1">
      <c r="A35" s="1522"/>
      <c r="B35" s="1580"/>
      <c r="C35" s="1530"/>
      <c r="D35" s="1531"/>
      <c r="E35" s="1532"/>
      <c r="F35" s="1537"/>
      <c r="G35" s="1542" t="s">
        <v>2445</v>
      </c>
      <c r="H35" s="1543"/>
      <c r="I35" s="1544"/>
      <c r="J35" s="1543"/>
      <c r="K35" s="1543"/>
      <c r="L35" s="1544"/>
      <c r="M35" s="883"/>
      <c r="N35" s="883"/>
      <c r="O35" s="1297"/>
      <c r="P35" s="1297"/>
      <c r="Q35" s="1176"/>
      <c r="R35" s="1176"/>
      <c r="S35" s="84">
        <f>VLOOKUP(P35,[72]Listas!$D$6:$E$10,2,0)</f>
        <v>0</v>
      </c>
      <c r="T35" s="84">
        <f>HLOOKUP(Q35,[72]Listas!$F$4:$J$5,2,0)</f>
        <v>0</v>
      </c>
      <c r="U35" s="82"/>
      <c r="V35" s="1178"/>
      <c r="W35" s="1542"/>
      <c r="X35" s="1543"/>
      <c r="Y35" s="1543"/>
      <c r="Z35" s="1544"/>
      <c r="AA35" s="1562"/>
      <c r="AB35" s="1322"/>
      <c r="AC35" s="1517"/>
      <c r="AD35" s="1320"/>
      <c r="AE35" s="1356"/>
      <c r="AF35" s="83">
        <f t="shared" si="0"/>
        <v>0</v>
      </c>
      <c r="AG35" s="83"/>
      <c r="AH35" s="83">
        <f t="shared" si="1"/>
        <v>0</v>
      </c>
      <c r="AI35" s="1383"/>
      <c r="AJ35" s="83">
        <f t="shared" si="2"/>
        <v>0</v>
      </c>
      <c r="AK35" s="1383"/>
      <c r="AL35" s="81"/>
      <c r="AM35" s="1384"/>
      <c r="AN35" s="1517"/>
      <c r="AO35" s="1297"/>
      <c r="AP35" s="1297"/>
      <c r="AQ35" s="1297"/>
      <c r="AR35" s="1330"/>
      <c r="AS35" s="1297"/>
      <c r="AT35" s="1297"/>
      <c r="AU35" s="1297"/>
      <c r="AV35" s="1297"/>
      <c r="AW35" s="1297"/>
      <c r="AX35" s="1297"/>
      <c r="AY35" s="262"/>
    </row>
    <row r="36" spans="1:51" s="260" customFormat="1" ht="45" customHeight="1">
      <c r="A36" s="1523"/>
      <c r="B36" s="1581"/>
      <c r="C36" s="1533"/>
      <c r="D36" s="1534"/>
      <c r="E36" s="1535"/>
      <c r="F36" s="1538"/>
      <c r="G36" s="1556" t="s">
        <v>2446</v>
      </c>
      <c r="H36" s="1557"/>
      <c r="I36" s="1558"/>
      <c r="J36" s="1557"/>
      <c r="K36" s="1557"/>
      <c r="L36" s="1558"/>
      <c r="M36" s="884"/>
      <c r="N36" s="884"/>
      <c r="O36" s="1328"/>
      <c r="P36" s="1328"/>
      <c r="Q36" s="1520"/>
      <c r="R36" s="1520"/>
      <c r="S36" s="681"/>
      <c r="T36" s="681"/>
      <c r="U36" s="84"/>
      <c r="V36" s="1499"/>
      <c r="W36" s="1556"/>
      <c r="X36" s="1557"/>
      <c r="Y36" s="1557"/>
      <c r="Z36" s="1558"/>
      <c r="AA36" s="1563"/>
      <c r="AB36" s="1515"/>
      <c r="AC36" s="1518"/>
      <c r="AD36" s="1320"/>
      <c r="AE36" s="1356"/>
      <c r="AF36" s="682"/>
      <c r="AG36" s="83"/>
      <c r="AH36" s="682"/>
      <c r="AI36" s="1383"/>
      <c r="AJ36" s="682"/>
      <c r="AK36" s="1383"/>
      <c r="AL36" s="81"/>
      <c r="AM36" s="1384"/>
      <c r="AN36" s="1518"/>
      <c r="AO36" s="1328"/>
      <c r="AP36" s="1328"/>
      <c r="AQ36" s="1328"/>
      <c r="AR36" s="1331"/>
      <c r="AS36" s="1328"/>
      <c r="AT36" s="1328"/>
      <c r="AU36" s="1328"/>
      <c r="AV36" s="1328"/>
      <c r="AW36" s="1328"/>
      <c r="AX36" s="1328"/>
      <c r="AY36" s="262"/>
    </row>
    <row r="37" spans="1:51" s="260" customFormat="1" ht="103.5" hidden="1" customHeight="1">
      <c r="A37" s="655"/>
      <c r="B37" s="266"/>
      <c r="C37" s="1399"/>
      <c r="D37" s="1408"/>
      <c r="E37" s="1400"/>
      <c r="F37" s="267"/>
      <c r="G37" s="1582"/>
      <c r="H37" s="1583"/>
      <c r="I37" s="1584"/>
      <c r="J37" s="1380"/>
      <c r="K37" s="1380"/>
      <c r="L37" s="1380"/>
      <c r="M37" s="655"/>
      <c r="N37" s="655"/>
      <c r="O37" s="655"/>
      <c r="P37" s="655"/>
      <c r="Q37" s="266"/>
      <c r="R37" s="266"/>
      <c r="S37" s="268"/>
      <c r="T37" s="269" t="e">
        <f>VLOOKUP(Q37,[71]Listas!$D$6:$E$10,2,0)</f>
        <v>#N/A</v>
      </c>
      <c r="U37" s="269" t="e">
        <f>HLOOKUP(R37,[71]Listas!$F$4:$J$5,2,0)</f>
        <v>#N/A</v>
      </c>
      <c r="V37" s="270" t="e">
        <f>INDEX([71]Listas!$F$6:$J$10,MATCH(Q37,[71]Listas!$D$6:$D$10,0),MATCH(R37,[71]Listas!$F$4:$J$4,0))</f>
        <v>#N/A</v>
      </c>
      <c r="W37" s="268"/>
      <c r="X37" s="1399"/>
      <c r="Y37" s="1408"/>
      <c r="Z37" s="1400"/>
      <c r="AA37" s="1063"/>
      <c r="AB37" s="267"/>
      <c r="AC37" s="259"/>
      <c r="AD37" s="655"/>
      <c r="AE37" s="267"/>
      <c r="AF37" s="268"/>
      <c r="AG37" s="269">
        <f t="shared" ref="AG37:AG40" si="3">IF(AD37&lt;=33,0,IF(AD37&gt;81,2,1))</f>
        <v>0</v>
      </c>
      <c r="AH37" s="271" t="e">
        <f t="shared" ref="AH37:AH40" si="4">IF(OR(AE37="Probabilidad",AE37="Ambos"),T37-AG37,T37)</f>
        <v>#N/A</v>
      </c>
      <c r="AI37" s="272" t="e">
        <f>IF(AH37&lt;=1,"Remota",VLOOKUP(AH37,[71]Listas!$C$6:$D$10,2,0))</f>
        <v>#N/A</v>
      </c>
      <c r="AJ37" s="271" t="e">
        <f t="shared" ref="AJ37:AJ40" si="5">IF(OR(AE37="Impacto",AE37="Ambos"),U37-AG37,U37)</f>
        <v>#N/A</v>
      </c>
      <c r="AK37" s="272" t="e">
        <f>IF(AJ37&lt;=1,"Insignificante",HLOOKUP(AJ37,[71]Listas!$F$3:$J$4,2,0))</f>
        <v>#N/A</v>
      </c>
      <c r="AL37" s="273" t="e">
        <f t="shared" ref="AL37:AL40" si="6">AH37*AJ37</f>
        <v>#N/A</v>
      </c>
      <c r="AM37" s="270" t="e">
        <f>INDEX([71]Listas!$F$6:$J$10,MATCH(AI37,[71]Listas!$D$6:$D$10,0),MATCH(AK37,[71]Listas!$F$4:$J$4,0))</f>
        <v>#N/A</v>
      </c>
      <c r="AN37" s="259"/>
      <c r="AO37" s="259"/>
      <c r="AP37" s="659"/>
      <c r="AQ37" s="259"/>
      <c r="AR37" s="259" t="s">
        <v>2343</v>
      </c>
      <c r="AS37" s="655"/>
      <c r="AT37" s="259"/>
      <c r="AU37" s="259"/>
      <c r="AV37" s="261"/>
      <c r="AW37" s="261"/>
      <c r="AX37" s="655"/>
      <c r="AY37" s="262"/>
    </row>
    <row r="38" spans="1:51" s="260" customFormat="1" ht="103.5" hidden="1" customHeight="1">
      <c r="A38" s="655"/>
      <c r="B38" s="266"/>
      <c r="C38" s="1399"/>
      <c r="D38" s="1408"/>
      <c r="E38" s="1400"/>
      <c r="F38" s="267"/>
      <c r="G38" s="1399"/>
      <c r="H38" s="1408"/>
      <c r="I38" s="1400"/>
      <c r="J38" s="1380"/>
      <c r="K38" s="1380"/>
      <c r="L38" s="1380"/>
      <c r="M38" s="655"/>
      <c r="N38" s="655"/>
      <c r="O38" s="655"/>
      <c r="P38" s="655"/>
      <c r="Q38" s="266"/>
      <c r="R38" s="266"/>
      <c r="S38" s="268"/>
      <c r="T38" s="269" t="e">
        <f>VLOOKUP(Q38,[71]Listas!$D$6:$E$10,2,0)</f>
        <v>#N/A</v>
      </c>
      <c r="U38" s="269" t="e">
        <f>HLOOKUP(R38,[71]Listas!$F$4:$J$5,2,0)</f>
        <v>#N/A</v>
      </c>
      <c r="V38" s="270" t="e">
        <f>INDEX([71]Listas!$F$6:$J$10,MATCH(Q38,[71]Listas!$D$6:$D$10,0),MATCH(R38,[71]Listas!$F$4:$J$4,0))</f>
        <v>#N/A</v>
      </c>
      <c r="W38" s="268"/>
      <c r="X38" s="1399"/>
      <c r="Y38" s="1408"/>
      <c r="Z38" s="1400"/>
      <c r="AA38" s="1063"/>
      <c r="AB38" s="267"/>
      <c r="AC38" s="259"/>
      <c r="AD38" s="655"/>
      <c r="AE38" s="267"/>
      <c r="AF38" s="268"/>
      <c r="AG38" s="269">
        <f t="shared" si="3"/>
        <v>0</v>
      </c>
      <c r="AH38" s="271" t="e">
        <f t="shared" si="4"/>
        <v>#N/A</v>
      </c>
      <c r="AI38" s="272" t="e">
        <f>IF(AH38&lt;=1,"Remota",VLOOKUP(AH38,[71]Listas!$C$6:$D$10,2,0))</f>
        <v>#N/A</v>
      </c>
      <c r="AJ38" s="271" t="e">
        <f t="shared" si="5"/>
        <v>#N/A</v>
      </c>
      <c r="AK38" s="272" t="e">
        <f>IF(AJ38&lt;=1,"Insignificante",HLOOKUP(AJ38,[71]Listas!$F$3:$J$4,2,0))</f>
        <v>#N/A</v>
      </c>
      <c r="AL38" s="273" t="e">
        <f t="shared" si="6"/>
        <v>#N/A</v>
      </c>
      <c r="AM38" s="270" t="e">
        <f>INDEX([71]Listas!$F$6:$J$10,MATCH(AI38,[71]Listas!$D$6:$D$10,0),MATCH(AK38,[71]Listas!$F$4:$J$4,0))</f>
        <v>#N/A</v>
      </c>
      <c r="AN38" s="259"/>
      <c r="AO38" s="259"/>
      <c r="AP38" s="659"/>
      <c r="AQ38" s="259"/>
      <c r="AR38" s="259" t="s">
        <v>2343</v>
      </c>
      <c r="AS38" s="655"/>
      <c r="AT38" s="259"/>
      <c r="AU38" s="259"/>
      <c r="AV38" s="261"/>
      <c r="AW38" s="261"/>
      <c r="AX38" s="655"/>
      <c r="AY38" s="262"/>
    </row>
    <row r="39" spans="1:51" s="260" customFormat="1" ht="103.5" hidden="1" customHeight="1">
      <c r="A39" s="655"/>
      <c r="B39" s="266"/>
      <c r="C39" s="1399"/>
      <c r="D39" s="1408"/>
      <c r="E39" s="1400"/>
      <c r="F39" s="267"/>
      <c r="G39" s="1399"/>
      <c r="H39" s="1408"/>
      <c r="I39" s="1400"/>
      <c r="J39" s="1380"/>
      <c r="K39" s="1380"/>
      <c r="L39" s="1380"/>
      <c r="M39" s="655"/>
      <c r="N39" s="655"/>
      <c r="O39" s="655"/>
      <c r="P39" s="655"/>
      <c r="Q39" s="266"/>
      <c r="R39" s="266"/>
      <c r="S39" s="268"/>
      <c r="T39" s="269" t="e">
        <f>VLOOKUP(Q39,[71]Listas!$D$6:$E$10,2,0)</f>
        <v>#N/A</v>
      </c>
      <c r="U39" s="269" t="e">
        <f>HLOOKUP(R39,[71]Listas!$F$4:$J$5,2,0)</f>
        <v>#N/A</v>
      </c>
      <c r="V39" s="270" t="e">
        <f>INDEX([71]Listas!$F$6:$J$10,MATCH(Q39,[71]Listas!$D$6:$D$10,0),MATCH(R39,[71]Listas!$F$4:$J$4,0))</f>
        <v>#N/A</v>
      </c>
      <c r="W39" s="268"/>
      <c r="X39" s="1399"/>
      <c r="Y39" s="1408"/>
      <c r="Z39" s="1400"/>
      <c r="AA39" s="1063"/>
      <c r="AB39" s="267"/>
      <c r="AC39" s="259"/>
      <c r="AD39" s="655"/>
      <c r="AE39" s="267"/>
      <c r="AF39" s="268"/>
      <c r="AG39" s="269">
        <f t="shared" si="3"/>
        <v>0</v>
      </c>
      <c r="AH39" s="271" t="e">
        <f t="shared" si="4"/>
        <v>#N/A</v>
      </c>
      <c r="AI39" s="272" t="e">
        <f>IF(AH39&lt;=1,"Remota",VLOOKUP(AH39,[71]Listas!$C$6:$D$10,2,0))</f>
        <v>#N/A</v>
      </c>
      <c r="AJ39" s="271" t="e">
        <f t="shared" si="5"/>
        <v>#N/A</v>
      </c>
      <c r="AK39" s="272" t="e">
        <f>IF(AJ39&lt;=1,"Insignificante",HLOOKUP(AJ39,[71]Listas!$F$3:$J$4,2,0))</f>
        <v>#N/A</v>
      </c>
      <c r="AL39" s="273" t="e">
        <f t="shared" si="6"/>
        <v>#N/A</v>
      </c>
      <c r="AM39" s="270" t="e">
        <f>INDEX([71]Listas!$F$6:$J$10,MATCH(AI39,[71]Listas!$D$6:$D$10,0),MATCH(AK39,[71]Listas!$F$4:$J$4,0))</f>
        <v>#N/A</v>
      </c>
      <c r="AN39" s="259"/>
      <c r="AO39" s="259"/>
      <c r="AP39" s="659"/>
      <c r="AQ39" s="259"/>
      <c r="AR39" s="259" t="s">
        <v>2343</v>
      </c>
      <c r="AS39" s="655"/>
      <c r="AT39" s="259"/>
      <c r="AU39" s="259"/>
      <c r="AV39" s="261"/>
      <c r="AW39" s="261"/>
      <c r="AX39" s="655"/>
      <c r="AY39" s="262"/>
    </row>
    <row r="40" spans="1:51" s="260" customFormat="1" ht="103.5" hidden="1" customHeight="1">
      <c r="A40" s="655"/>
      <c r="B40" s="266"/>
      <c r="C40" s="1399"/>
      <c r="D40" s="1408"/>
      <c r="E40" s="1400"/>
      <c r="F40" s="267"/>
      <c r="G40" s="1399"/>
      <c r="H40" s="1408"/>
      <c r="I40" s="1400"/>
      <c r="J40" s="1380"/>
      <c r="K40" s="1380"/>
      <c r="L40" s="1380"/>
      <c r="M40" s="655"/>
      <c r="N40" s="655"/>
      <c r="O40" s="655"/>
      <c r="P40" s="655"/>
      <c r="Q40" s="266"/>
      <c r="R40" s="266"/>
      <c r="S40" s="268"/>
      <c r="T40" s="269" t="e">
        <f>VLOOKUP(Q40,[71]Listas!$D$6:$E$10,2,0)</f>
        <v>#N/A</v>
      </c>
      <c r="U40" s="269" t="e">
        <f>HLOOKUP(R40,[71]Listas!$F$4:$J$5,2,0)</f>
        <v>#N/A</v>
      </c>
      <c r="V40" s="270" t="e">
        <f>INDEX([71]Listas!$F$6:$J$10,MATCH(Q40,[71]Listas!$D$6:$D$10,0),MATCH(R40,[71]Listas!$F$4:$J$4,0))</f>
        <v>#N/A</v>
      </c>
      <c r="W40" s="268"/>
      <c r="X40" s="1399"/>
      <c r="Y40" s="1408"/>
      <c r="Z40" s="1400"/>
      <c r="AA40" s="1063"/>
      <c r="AB40" s="267"/>
      <c r="AC40" s="259"/>
      <c r="AD40" s="655"/>
      <c r="AE40" s="267"/>
      <c r="AF40" s="268"/>
      <c r="AG40" s="269">
        <f t="shared" si="3"/>
        <v>0</v>
      </c>
      <c r="AH40" s="271" t="e">
        <f t="shared" si="4"/>
        <v>#N/A</v>
      </c>
      <c r="AI40" s="272" t="e">
        <f>IF(AH40&lt;=1,"Remota",VLOOKUP(AH40,[71]Listas!$C$6:$D$10,2,0))</f>
        <v>#N/A</v>
      </c>
      <c r="AJ40" s="271" t="e">
        <f t="shared" si="5"/>
        <v>#N/A</v>
      </c>
      <c r="AK40" s="272" t="e">
        <f>IF(AJ40&lt;=1,"Insignificante",HLOOKUP(AJ40,[71]Listas!$F$3:$J$4,2,0))</f>
        <v>#N/A</v>
      </c>
      <c r="AL40" s="273" t="e">
        <f t="shared" si="6"/>
        <v>#N/A</v>
      </c>
      <c r="AM40" s="270" t="e">
        <f>INDEX([71]Listas!$F$6:$J$10,MATCH(AI40,[71]Listas!$D$6:$D$10,0),MATCH(AK40,[71]Listas!$F$4:$J$4,0))</f>
        <v>#N/A</v>
      </c>
      <c r="AN40" s="259"/>
      <c r="AO40" s="259"/>
      <c r="AP40" s="659"/>
      <c r="AQ40" s="259"/>
      <c r="AR40" s="259" t="s">
        <v>2343</v>
      </c>
      <c r="AS40" s="655"/>
      <c r="AT40" s="259"/>
      <c r="AU40" s="259"/>
      <c r="AV40" s="261"/>
      <c r="AW40" s="261"/>
      <c r="AX40" s="655"/>
      <c r="AY40" s="262"/>
    </row>
    <row r="41" spans="1:51" s="260" customFormat="1" ht="103.5" hidden="1" customHeight="1">
      <c r="A41" s="655"/>
      <c r="B41" s="266"/>
      <c r="C41" s="1399"/>
      <c r="D41" s="1408"/>
      <c r="E41" s="1400"/>
      <c r="F41" s="266"/>
      <c r="G41" s="1399"/>
      <c r="H41" s="1408"/>
      <c r="I41" s="1400"/>
      <c r="J41" s="1380"/>
      <c r="K41" s="1380"/>
      <c r="L41" s="1380"/>
      <c r="M41" s="655"/>
      <c r="N41" s="655"/>
      <c r="O41" s="655"/>
      <c r="P41" s="655"/>
      <c r="Q41" s="266"/>
      <c r="R41" s="266"/>
      <c r="S41" s="268"/>
      <c r="T41" s="269" t="e">
        <f>VLOOKUP(Q41,[71]Listas!$D$6:$E$10,2,0)</f>
        <v>#N/A</v>
      </c>
      <c r="U41" s="269" t="e">
        <f>HLOOKUP(R41,[71]Listas!$F$4:$J$5,2,0)</f>
        <v>#N/A</v>
      </c>
      <c r="V41" s="270" t="e">
        <f>INDEX([71]Listas!$F$6:$J$10,MATCH(Q41,[71]Listas!$D$6:$D$10,0),MATCH(R41,[71]Listas!$F$4:$J$4,0))</f>
        <v>#N/A</v>
      </c>
      <c r="W41" s="268"/>
      <c r="X41" s="1399"/>
      <c r="Y41" s="1408"/>
      <c r="Z41" s="1400"/>
      <c r="AA41" s="1063"/>
      <c r="AB41" s="267"/>
      <c r="AC41" s="259"/>
      <c r="AD41" s="655"/>
      <c r="AE41" s="267"/>
      <c r="AF41" s="268"/>
      <c r="AG41" s="269">
        <f>IF(AD41&lt;=33,0,IF(AD41&gt;81,2,1))</f>
        <v>0</v>
      </c>
      <c r="AH41" s="271" t="e">
        <f>IF(OR(AE41="Probabilidad",AE41="Ambos"),T41-AG41,T41)</f>
        <v>#N/A</v>
      </c>
      <c r="AI41" s="272" t="e">
        <f>IF(AH41&lt;=1,"Remota",VLOOKUP(AH41,[71]Listas!$C$6:$D$10,2,0))</f>
        <v>#N/A</v>
      </c>
      <c r="AJ41" s="271" t="e">
        <f>IF(OR(AE41="Impacto",AE41="Ambos"),U41-AG41,U41)</f>
        <v>#N/A</v>
      </c>
      <c r="AK41" s="272" t="e">
        <f>IF(AJ41&lt;=1,"Insignificante",HLOOKUP(AJ41,[71]Listas!$F$3:$J$4,2,0))</f>
        <v>#N/A</v>
      </c>
      <c r="AL41" s="273" t="e">
        <f>AH41*AJ41</f>
        <v>#N/A</v>
      </c>
      <c r="AM41" s="270" t="e">
        <f>INDEX([71]Listas!$F$6:$J$10,MATCH(AI41,[71]Listas!$D$6:$D$10,0),MATCH(AK41,[71]Listas!$F$4:$J$4,0))</f>
        <v>#N/A</v>
      </c>
      <c r="AN41" s="259"/>
      <c r="AO41" s="259"/>
      <c r="AP41" s="659"/>
      <c r="AQ41" s="259"/>
      <c r="AR41" s="259" t="s">
        <v>2343</v>
      </c>
      <c r="AS41" s="655"/>
      <c r="AU41" s="259"/>
      <c r="AV41" s="261"/>
      <c r="AW41" s="261"/>
      <c r="AX41" s="655"/>
      <c r="AY41" s="262"/>
    </row>
    <row r="42" spans="1:51" s="260" customFormat="1" ht="103.5" hidden="1" customHeight="1">
      <c r="A42" s="655"/>
      <c r="B42" s="266"/>
      <c r="C42" s="1399"/>
      <c r="D42" s="1408"/>
      <c r="E42" s="1400"/>
      <c r="F42" s="267"/>
      <c r="G42" s="1399"/>
      <c r="H42" s="1408"/>
      <c r="I42" s="1400"/>
      <c r="J42" s="1380"/>
      <c r="K42" s="1380"/>
      <c r="L42" s="1380"/>
      <c r="M42" s="655"/>
      <c r="N42" s="655"/>
      <c r="O42" s="655"/>
      <c r="P42" s="655"/>
      <c r="Q42" s="266"/>
      <c r="R42" s="266"/>
      <c r="S42" s="268"/>
      <c r="T42" s="269" t="e">
        <f>VLOOKUP(Q42,[71]Listas!$D$6:$E$10,2,0)</f>
        <v>#N/A</v>
      </c>
      <c r="U42" s="269" t="e">
        <f>HLOOKUP(R42,[71]Listas!$F$4:$J$5,2,0)</f>
        <v>#N/A</v>
      </c>
      <c r="V42" s="270" t="e">
        <f>INDEX([71]Listas!$F$6:$J$10,MATCH(Q42,[71]Listas!$D$6:$D$10,0),MATCH(R42,[71]Listas!$F$4:$J$4,0))</f>
        <v>#N/A</v>
      </c>
      <c r="W42" s="268"/>
      <c r="X42" s="1399"/>
      <c r="Y42" s="1408"/>
      <c r="Z42" s="1400"/>
      <c r="AA42" s="1063"/>
      <c r="AB42" s="267"/>
      <c r="AC42" s="259"/>
      <c r="AD42" s="655"/>
      <c r="AE42" s="267"/>
      <c r="AF42" s="268"/>
      <c r="AG42" s="269">
        <f t="shared" ref="AG42:AG62" si="7">IF(AD42&lt;=33,0,IF(AD42&gt;81,2,1))</f>
        <v>0</v>
      </c>
      <c r="AH42" s="271" t="e">
        <f t="shared" ref="AH42:AH62" si="8">IF(OR(AE42="Probabilidad",AE42="Ambos"),T42-AG42,T42)</f>
        <v>#N/A</v>
      </c>
      <c r="AI42" s="272" t="e">
        <f>IF(AH42&lt;=1,"Remota",VLOOKUP(AH42,[71]Listas!$C$6:$D$10,2,0))</f>
        <v>#N/A</v>
      </c>
      <c r="AJ42" s="271" t="e">
        <f t="shared" ref="AJ42:AJ62" si="9">IF(OR(AE42="Impacto",AE42="Ambos"),U42-AG42,U42)</f>
        <v>#N/A</v>
      </c>
      <c r="AK42" s="272" t="e">
        <f>IF(AJ42&lt;=1,"Insignificante",HLOOKUP(AJ42,[71]Listas!$F$3:$J$4,2,0))</f>
        <v>#N/A</v>
      </c>
      <c r="AL42" s="273" t="e">
        <f t="shared" ref="AL42:AL62" si="10">AH42*AJ42</f>
        <v>#N/A</v>
      </c>
      <c r="AM42" s="270" t="e">
        <f>INDEX([71]Listas!$F$6:$J$10,MATCH(AI42,[71]Listas!$D$6:$D$10,0),MATCH(AK42,[71]Listas!$F$4:$J$4,0))</f>
        <v>#N/A</v>
      </c>
      <c r="AN42" s="259"/>
      <c r="AO42" s="259"/>
      <c r="AP42" s="659"/>
      <c r="AQ42" s="259"/>
      <c r="AR42" s="259" t="s">
        <v>2343</v>
      </c>
      <c r="AS42" s="655"/>
      <c r="AT42" s="259"/>
      <c r="AU42" s="259"/>
      <c r="AV42" s="261"/>
      <c r="AW42" s="261"/>
      <c r="AX42" s="655"/>
      <c r="AY42" s="262"/>
    </row>
    <row r="43" spans="1:51" s="260" customFormat="1" ht="103.5" hidden="1" customHeight="1">
      <c r="A43" s="655"/>
      <c r="B43" s="266"/>
      <c r="C43" s="1399"/>
      <c r="D43" s="1408"/>
      <c r="E43" s="1400"/>
      <c r="F43" s="267"/>
      <c r="G43" s="1399"/>
      <c r="H43" s="1408"/>
      <c r="I43" s="1400"/>
      <c r="J43" s="1380"/>
      <c r="K43" s="1380"/>
      <c r="L43" s="1380"/>
      <c r="M43" s="655"/>
      <c r="N43" s="655"/>
      <c r="O43" s="655"/>
      <c r="P43" s="655"/>
      <c r="Q43" s="266"/>
      <c r="R43" s="266"/>
      <c r="S43" s="268"/>
      <c r="T43" s="269" t="e">
        <f>VLOOKUP(Q43,[71]Listas!$D$6:$E$10,2,0)</f>
        <v>#N/A</v>
      </c>
      <c r="U43" s="269" t="e">
        <f>HLOOKUP(R43,[71]Listas!$F$4:$J$5,2,0)</f>
        <v>#N/A</v>
      </c>
      <c r="V43" s="270" t="e">
        <f>INDEX([71]Listas!$F$6:$J$10,MATCH(Q43,[71]Listas!$D$6:$D$10,0),MATCH(R43,[71]Listas!$F$4:$J$4,0))</f>
        <v>#N/A</v>
      </c>
      <c r="W43" s="268"/>
      <c r="X43" s="1399"/>
      <c r="Y43" s="1408"/>
      <c r="Z43" s="1400"/>
      <c r="AA43" s="1063"/>
      <c r="AB43" s="267"/>
      <c r="AC43" s="259"/>
      <c r="AD43" s="655"/>
      <c r="AE43" s="267"/>
      <c r="AF43" s="268"/>
      <c r="AG43" s="269">
        <f t="shared" si="7"/>
        <v>0</v>
      </c>
      <c r="AH43" s="271" t="e">
        <f t="shared" si="8"/>
        <v>#N/A</v>
      </c>
      <c r="AI43" s="272" t="e">
        <f>IF(AH43&lt;=1,"Remota",VLOOKUP(AH43,[71]Listas!$C$6:$D$10,2,0))</f>
        <v>#N/A</v>
      </c>
      <c r="AJ43" s="271" t="e">
        <f t="shared" si="9"/>
        <v>#N/A</v>
      </c>
      <c r="AK43" s="272" t="e">
        <f>IF(AJ43&lt;=1,"Insignificante",HLOOKUP(AJ43,[71]Listas!$F$3:$J$4,2,0))</f>
        <v>#N/A</v>
      </c>
      <c r="AL43" s="273" t="e">
        <f t="shared" si="10"/>
        <v>#N/A</v>
      </c>
      <c r="AM43" s="270" t="e">
        <f>INDEX([71]Listas!$F$6:$J$10,MATCH(AI43,[71]Listas!$D$6:$D$10,0),MATCH(AK43,[71]Listas!$F$4:$J$4,0))</f>
        <v>#N/A</v>
      </c>
      <c r="AN43" s="259"/>
      <c r="AO43" s="259"/>
      <c r="AP43" s="659"/>
      <c r="AQ43" s="259"/>
      <c r="AR43" s="259" t="s">
        <v>2343</v>
      </c>
      <c r="AS43" s="655"/>
      <c r="AT43" s="259"/>
      <c r="AU43" s="259"/>
      <c r="AV43" s="261"/>
      <c r="AW43" s="261"/>
      <c r="AX43" s="655"/>
      <c r="AY43" s="262"/>
    </row>
    <row r="44" spans="1:51" s="260" customFormat="1" ht="103.5" hidden="1" customHeight="1">
      <c r="A44" s="655"/>
      <c r="B44" s="266"/>
      <c r="C44" s="1399"/>
      <c r="D44" s="1408"/>
      <c r="E44" s="1400"/>
      <c r="F44" s="267"/>
      <c r="G44" s="1399"/>
      <c r="H44" s="1408"/>
      <c r="I44" s="1400"/>
      <c r="J44" s="1380"/>
      <c r="K44" s="1380"/>
      <c r="L44" s="1380"/>
      <c r="M44" s="655"/>
      <c r="N44" s="655"/>
      <c r="O44" s="655"/>
      <c r="P44" s="655"/>
      <c r="Q44" s="266"/>
      <c r="R44" s="266"/>
      <c r="S44" s="268"/>
      <c r="T44" s="269" t="e">
        <f>VLOOKUP(Q44,[71]Listas!$D$6:$E$10,2,0)</f>
        <v>#N/A</v>
      </c>
      <c r="U44" s="269" t="e">
        <f>HLOOKUP(R44,[71]Listas!$F$4:$J$5,2,0)</f>
        <v>#N/A</v>
      </c>
      <c r="V44" s="270" t="e">
        <f>INDEX([71]Listas!$F$6:$J$10,MATCH(Q44,[71]Listas!$D$6:$D$10,0),MATCH(R44,[71]Listas!$F$4:$J$4,0))</f>
        <v>#N/A</v>
      </c>
      <c r="W44" s="268"/>
      <c r="X44" s="1399"/>
      <c r="Y44" s="1408"/>
      <c r="Z44" s="1400"/>
      <c r="AA44" s="1063"/>
      <c r="AB44" s="267"/>
      <c r="AC44" s="259"/>
      <c r="AD44" s="655"/>
      <c r="AE44" s="267"/>
      <c r="AF44" s="268"/>
      <c r="AG44" s="269">
        <f t="shared" si="7"/>
        <v>0</v>
      </c>
      <c r="AH44" s="271" t="e">
        <f t="shared" si="8"/>
        <v>#N/A</v>
      </c>
      <c r="AI44" s="272" t="e">
        <f>IF(AH44&lt;=1,"Remota",VLOOKUP(AH44,[71]Listas!$C$6:$D$10,2,0))</f>
        <v>#N/A</v>
      </c>
      <c r="AJ44" s="271" t="e">
        <f t="shared" si="9"/>
        <v>#N/A</v>
      </c>
      <c r="AK44" s="272" t="e">
        <f>IF(AJ44&lt;=1,"Insignificante",HLOOKUP(AJ44,[71]Listas!$F$3:$J$4,2,0))</f>
        <v>#N/A</v>
      </c>
      <c r="AL44" s="273" t="e">
        <f t="shared" si="10"/>
        <v>#N/A</v>
      </c>
      <c r="AM44" s="270" t="e">
        <f>INDEX([71]Listas!$F$6:$J$10,MATCH(AI44,[71]Listas!$D$6:$D$10,0),MATCH(AK44,[71]Listas!$F$4:$J$4,0))</f>
        <v>#N/A</v>
      </c>
      <c r="AN44" s="259"/>
      <c r="AO44" s="259"/>
      <c r="AP44" s="659"/>
      <c r="AQ44" s="259"/>
      <c r="AR44" s="259" t="s">
        <v>2343</v>
      </c>
      <c r="AS44" s="655"/>
      <c r="AT44" s="259"/>
      <c r="AU44" s="259"/>
      <c r="AV44" s="261"/>
      <c r="AW44" s="261"/>
      <c r="AX44" s="655"/>
      <c r="AY44" s="262"/>
    </row>
    <row r="45" spans="1:51" s="260" customFormat="1" ht="103.5" hidden="1" customHeight="1">
      <c r="A45" s="655"/>
      <c r="B45" s="266"/>
      <c r="C45" s="1399"/>
      <c r="D45" s="1408"/>
      <c r="E45" s="1400"/>
      <c r="F45" s="267"/>
      <c r="G45" s="1399"/>
      <c r="H45" s="1408"/>
      <c r="I45" s="1400"/>
      <c r="J45" s="1380"/>
      <c r="K45" s="1380"/>
      <c r="L45" s="1380"/>
      <c r="M45" s="655"/>
      <c r="N45" s="655"/>
      <c r="O45" s="655"/>
      <c r="P45" s="655"/>
      <c r="Q45" s="266"/>
      <c r="R45" s="266"/>
      <c r="S45" s="268"/>
      <c r="T45" s="269" t="e">
        <f>VLOOKUP(Q45,[71]Listas!$D$6:$E$10,2,0)</f>
        <v>#N/A</v>
      </c>
      <c r="U45" s="269" t="e">
        <f>HLOOKUP(R45,[71]Listas!$F$4:$J$5,2,0)</f>
        <v>#N/A</v>
      </c>
      <c r="V45" s="270" t="e">
        <f>INDEX([71]Listas!$F$6:$J$10,MATCH(Q45,[71]Listas!$D$6:$D$10,0),MATCH(R45,[71]Listas!$F$4:$J$4,0))</f>
        <v>#N/A</v>
      </c>
      <c r="W45" s="268"/>
      <c r="X45" s="1399"/>
      <c r="Y45" s="1408"/>
      <c r="Z45" s="1400"/>
      <c r="AA45" s="1063"/>
      <c r="AB45" s="267"/>
      <c r="AC45" s="259"/>
      <c r="AD45" s="655"/>
      <c r="AE45" s="267"/>
      <c r="AF45" s="268"/>
      <c r="AG45" s="269">
        <f t="shared" si="7"/>
        <v>0</v>
      </c>
      <c r="AH45" s="271" t="e">
        <f t="shared" si="8"/>
        <v>#N/A</v>
      </c>
      <c r="AI45" s="272" t="e">
        <f>IF(AH45&lt;=1,"Remota",VLOOKUP(AH45,[71]Listas!$C$6:$D$10,2,0))</f>
        <v>#N/A</v>
      </c>
      <c r="AJ45" s="271" t="e">
        <f t="shared" si="9"/>
        <v>#N/A</v>
      </c>
      <c r="AK45" s="272" t="e">
        <f>IF(AJ45&lt;=1,"Insignificante",HLOOKUP(AJ45,[71]Listas!$F$3:$J$4,2,0))</f>
        <v>#N/A</v>
      </c>
      <c r="AL45" s="273" t="e">
        <f t="shared" si="10"/>
        <v>#N/A</v>
      </c>
      <c r="AM45" s="270" t="e">
        <f>INDEX([71]Listas!$F$6:$J$10,MATCH(AI45,[71]Listas!$D$6:$D$10,0),MATCH(AK45,[71]Listas!$F$4:$J$4,0))</f>
        <v>#N/A</v>
      </c>
      <c r="AN45" s="259"/>
      <c r="AO45" s="259"/>
      <c r="AP45" s="659"/>
      <c r="AQ45" s="259"/>
      <c r="AR45" s="259" t="s">
        <v>2343</v>
      </c>
      <c r="AS45" s="655"/>
      <c r="AT45" s="259"/>
      <c r="AU45" s="259"/>
      <c r="AV45" s="261"/>
      <c r="AW45" s="261"/>
      <c r="AX45" s="655"/>
      <c r="AY45" s="262"/>
    </row>
    <row r="46" spans="1:51" s="260" customFormat="1" ht="103.5" hidden="1" customHeight="1">
      <c r="A46" s="655"/>
      <c r="B46" s="266"/>
      <c r="C46" s="1399"/>
      <c r="D46" s="1408"/>
      <c r="E46" s="1400"/>
      <c r="F46" s="267"/>
      <c r="G46" s="1399"/>
      <c r="H46" s="1408"/>
      <c r="I46" s="1400"/>
      <c r="J46" s="1380"/>
      <c r="K46" s="1380"/>
      <c r="L46" s="1380"/>
      <c r="M46" s="655"/>
      <c r="N46" s="655"/>
      <c r="O46" s="655"/>
      <c r="P46" s="655"/>
      <c r="Q46" s="266"/>
      <c r="R46" s="266"/>
      <c r="S46" s="268"/>
      <c r="T46" s="269" t="e">
        <f>VLOOKUP(Q46,[71]Listas!$D$6:$E$10,2,0)</f>
        <v>#N/A</v>
      </c>
      <c r="U46" s="269" t="e">
        <f>HLOOKUP(R46,[71]Listas!$F$4:$J$5,2,0)</f>
        <v>#N/A</v>
      </c>
      <c r="V46" s="270" t="e">
        <f>INDEX([71]Listas!$F$6:$J$10,MATCH(Q46,[71]Listas!$D$6:$D$10,0),MATCH(R46,[71]Listas!$F$4:$J$4,0))</f>
        <v>#N/A</v>
      </c>
      <c r="W46" s="268"/>
      <c r="X46" s="1399"/>
      <c r="Y46" s="1408"/>
      <c r="Z46" s="1400"/>
      <c r="AA46" s="1063"/>
      <c r="AB46" s="267"/>
      <c r="AC46" s="259"/>
      <c r="AD46" s="655"/>
      <c r="AE46" s="267"/>
      <c r="AF46" s="268"/>
      <c r="AG46" s="269">
        <f t="shared" si="7"/>
        <v>0</v>
      </c>
      <c r="AH46" s="271" t="e">
        <f t="shared" si="8"/>
        <v>#N/A</v>
      </c>
      <c r="AI46" s="272" t="e">
        <f>IF(AH46&lt;=1,"Remota",VLOOKUP(AH46,[71]Listas!$C$6:$D$10,2,0))</f>
        <v>#N/A</v>
      </c>
      <c r="AJ46" s="271" t="e">
        <f t="shared" si="9"/>
        <v>#N/A</v>
      </c>
      <c r="AK46" s="272" t="e">
        <f>IF(AJ46&lt;=1,"Insignificante",HLOOKUP(AJ46,[71]Listas!$F$3:$J$4,2,0))</f>
        <v>#N/A</v>
      </c>
      <c r="AL46" s="273" t="e">
        <f t="shared" si="10"/>
        <v>#N/A</v>
      </c>
      <c r="AM46" s="270" t="e">
        <f>INDEX([71]Listas!$F$6:$J$10,MATCH(AI46,[71]Listas!$D$6:$D$10,0),MATCH(AK46,[71]Listas!$F$4:$J$4,0))</f>
        <v>#N/A</v>
      </c>
      <c r="AN46" s="259"/>
      <c r="AO46" s="259"/>
      <c r="AP46" s="659"/>
      <c r="AQ46" s="259"/>
      <c r="AR46" s="259" t="s">
        <v>2343</v>
      </c>
      <c r="AS46" s="655"/>
      <c r="AT46" s="259"/>
      <c r="AU46" s="259"/>
      <c r="AV46" s="261"/>
      <c r="AW46" s="261"/>
      <c r="AX46" s="655"/>
      <c r="AY46" s="262"/>
    </row>
    <row r="47" spans="1:51" s="260" customFormat="1" ht="103.5" hidden="1" customHeight="1">
      <c r="A47" s="655"/>
      <c r="B47" s="266"/>
      <c r="C47" s="1399"/>
      <c r="D47" s="1408"/>
      <c r="E47" s="1400"/>
      <c r="F47" s="267"/>
      <c r="G47" s="1399"/>
      <c r="H47" s="1408"/>
      <c r="I47" s="1400"/>
      <c r="J47" s="1380"/>
      <c r="K47" s="1380"/>
      <c r="L47" s="1380"/>
      <c r="M47" s="655"/>
      <c r="N47" s="655"/>
      <c r="O47" s="655"/>
      <c r="P47" s="655"/>
      <c r="Q47" s="266"/>
      <c r="R47" s="266"/>
      <c r="S47" s="268"/>
      <c r="T47" s="269" t="e">
        <f>VLOOKUP(Q47,[71]Listas!$D$6:$E$10,2,0)</f>
        <v>#N/A</v>
      </c>
      <c r="U47" s="269" t="e">
        <f>HLOOKUP(R47,[71]Listas!$F$4:$J$5,2,0)</f>
        <v>#N/A</v>
      </c>
      <c r="V47" s="270" t="e">
        <f>INDEX([71]Listas!$F$6:$J$10,MATCH(Q47,[71]Listas!$D$6:$D$10,0),MATCH(R47,[71]Listas!$F$4:$J$4,0))</f>
        <v>#N/A</v>
      </c>
      <c r="W47" s="268"/>
      <c r="X47" s="1399"/>
      <c r="Y47" s="1408"/>
      <c r="Z47" s="1400"/>
      <c r="AA47" s="1063"/>
      <c r="AB47" s="267"/>
      <c r="AC47" s="259"/>
      <c r="AD47" s="655"/>
      <c r="AE47" s="267"/>
      <c r="AF47" s="268"/>
      <c r="AG47" s="269">
        <f t="shared" si="7"/>
        <v>0</v>
      </c>
      <c r="AH47" s="271" t="e">
        <f t="shared" si="8"/>
        <v>#N/A</v>
      </c>
      <c r="AI47" s="272" t="e">
        <f>IF(AH47&lt;=1,"Remota",VLOOKUP(AH47,[71]Listas!$C$6:$D$10,2,0))</f>
        <v>#N/A</v>
      </c>
      <c r="AJ47" s="271" t="e">
        <f t="shared" si="9"/>
        <v>#N/A</v>
      </c>
      <c r="AK47" s="272" t="e">
        <f>IF(AJ47&lt;=1,"Insignificante",HLOOKUP(AJ47,[71]Listas!$F$3:$J$4,2,0))</f>
        <v>#N/A</v>
      </c>
      <c r="AL47" s="273" t="e">
        <f t="shared" si="10"/>
        <v>#N/A</v>
      </c>
      <c r="AM47" s="270" t="e">
        <f>INDEX([71]Listas!$F$6:$J$10,MATCH(AI47,[71]Listas!$D$6:$D$10,0),MATCH(AK47,[71]Listas!$F$4:$J$4,0))</f>
        <v>#N/A</v>
      </c>
      <c r="AN47" s="259"/>
      <c r="AO47" s="259"/>
      <c r="AP47" s="659"/>
      <c r="AQ47" s="259"/>
      <c r="AR47" s="259" t="s">
        <v>2343</v>
      </c>
      <c r="AS47" s="655"/>
      <c r="AT47" s="259"/>
      <c r="AU47" s="259"/>
      <c r="AV47" s="261"/>
      <c r="AW47" s="261"/>
      <c r="AX47" s="655"/>
      <c r="AY47" s="262"/>
    </row>
    <row r="48" spans="1:51" s="260" customFormat="1" ht="103.5" hidden="1" customHeight="1">
      <c r="A48" s="655"/>
      <c r="B48" s="266"/>
      <c r="C48" s="1399"/>
      <c r="D48" s="1408"/>
      <c r="E48" s="1400"/>
      <c r="F48" s="267"/>
      <c r="G48" s="1399"/>
      <c r="H48" s="1408"/>
      <c r="I48" s="1400"/>
      <c r="J48" s="1380"/>
      <c r="K48" s="1380"/>
      <c r="L48" s="1380"/>
      <c r="M48" s="655"/>
      <c r="N48" s="655"/>
      <c r="O48" s="655"/>
      <c r="P48" s="655"/>
      <c r="Q48" s="266"/>
      <c r="R48" s="266"/>
      <c r="S48" s="268"/>
      <c r="T48" s="269" t="e">
        <f>VLOOKUP(Q48,[71]Listas!$D$6:$E$10,2,0)</f>
        <v>#N/A</v>
      </c>
      <c r="U48" s="269" t="e">
        <f>HLOOKUP(R48,[71]Listas!$F$4:$J$5,2,0)</f>
        <v>#N/A</v>
      </c>
      <c r="V48" s="270" t="e">
        <f>INDEX([71]Listas!$F$6:$J$10,MATCH(Q48,[71]Listas!$D$6:$D$10,0),MATCH(R48,[71]Listas!$F$4:$J$4,0))</f>
        <v>#N/A</v>
      </c>
      <c r="W48" s="268"/>
      <c r="X48" s="1399"/>
      <c r="Y48" s="1408"/>
      <c r="Z48" s="1400"/>
      <c r="AA48" s="1063"/>
      <c r="AB48" s="267"/>
      <c r="AC48" s="259"/>
      <c r="AD48" s="655"/>
      <c r="AE48" s="267"/>
      <c r="AF48" s="268"/>
      <c r="AG48" s="269">
        <f t="shared" si="7"/>
        <v>0</v>
      </c>
      <c r="AH48" s="271" t="e">
        <f t="shared" si="8"/>
        <v>#N/A</v>
      </c>
      <c r="AI48" s="272" t="e">
        <f>IF(AH48&lt;=1,"Remota",VLOOKUP(AH48,[71]Listas!$C$6:$D$10,2,0))</f>
        <v>#N/A</v>
      </c>
      <c r="AJ48" s="271" t="e">
        <f t="shared" si="9"/>
        <v>#N/A</v>
      </c>
      <c r="AK48" s="272" t="e">
        <f>IF(AJ48&lt;=1,"Insignificante",HLOOKUP(AJ48,[71]Listas!$F$3:$J$4,2,0))</f>
        <v>#N/A</v>
      </c>
      <c r="AL48" s="273" t="e">
        <f t="shared" si="10"/>
        <v>#N/A</v>
      </c>
      <c r="AM48" s="270" t="e">
        <f>INDEX([71]Listas!$F$6:$J$10,MATCH(AI48,[71]Listas!$D$6:$D$10,0),MATCH(AK48,[71]Listas!$F$4:$J$4,0))</f>
        <v>#N/A</v>
      </c>
      <c r="AN48" s="259"/>
      <c r="AO48" s="259"/>
      <c r="AP48" s="659"/>
      <c r="AQ48" s="259"/>
      <c r="AR48" s="259" t="s">
        <v>2343</v>
      </c>
      <c r="AS48" s="655"/>
      <c r="AT48" s="259"/>
      <c r="AU48" s="259"/>
      <c r="AV48" s="261"/>
      <c r="AW48" s="261"/>
      <c r="AX48" s="655"/>
      <c r="AY48" s="262"/>
    </row>
    <row r="49" spans="1:51" s="260" customFormat="1" ht="103.5" hidden="1" customHeight="1">
      <c r="A49" s="655"/>
      <c r="B49" s="266"/>
      <c r="C49" s="1399"/>
      <c r="D49" s="1408"/>
      <c r="E49" s="1400"/>
      <c r="F49" s="267"/>
      <c r="G49" s="1399"/>
      <c r="H49" s="1408"/>
      <c r="I49" s="1400"/>
      <c r="J49" s="1380"/>
      <c r="K49" s="1380"/>
      <c r="L49" s="1380"/>
      <c r="M49" s="655"/>
      <c r="N49" s="655"/>
      <c r="O49" s="655"/>
      <c r="P49" s="655"/>
      <c r="Q49" s="266"/>
      <c r="R49" s="266"/>
      <c r="S49" s="268"/>
      <c r="T49" s="269" t="e">
        <f>VLOOKUP(Q49,[71]Listas!$D$6:$E$10,2,0)</f>
        <v>#N/A</v>
      </c>
      <c r="U49" s="269" t="e">
        <f>HLOOKUP(R49,[71]Listas!$F$4:$J$5,2,0)</f>
        <v>#N/A</v>
      </c>
      <c r="V49" s="270" t="e">
        <f>INDEX([71]Listas!$F$6:$J$10,MATCH(Q49,[71]Listas!$D$6:$D$10,0),MATCH(R49,[71]Listas!$F$4:$J$4,0))</f>
        <v>#N/A</v>
      </c>
      <c r="W49" s="268"/>
      <c r="X49" s="1399"/>
      <c r="Y49" s="1408"/>
      <c r="Z49" s="1400"/>
      <c r="AA49" s="1063"/>
      <c r="AB49" s="267"/>
      <c r="AC49" s="259"/>
      <c r="AD49" s="655"/>
      <c r="AE49" s="267"/>
      <c r="AF49" s="268"/>
      <c r="AG49" s="269">
        <f t="shared" si="7"/>
        <v>0</v>
      </c>
      <c r="AH49" s="271" t="e">
        <f t="shared" si="8"/>
        <v>#N/A</v>
      </c>
      <c r="AI49" s="272" t="e">
        <f>IF(AH49&lt;=1,"Remota",VLOOKUP(AH49,[71]Listas!$C$6:$D$10,2,0))</f>
        <v>#N/A</v>
      </c>
      <c r="AJ49" s="271" t="e">
        <f t="shared" si="9"/>
        <v>#N/A</v>
      </c>
      <c r="AK49" s="272" t="e">
        <f>IF(AJ49&lt;=1,"Insignificante",HLOOKUP(AJ49,[71]Listas!$F$3:$J$4,2,0))</f>
        <v>#N/A</v>
      </c>
      <c r="AL49" s="273" t="e">
        <f t="shared" si="10"/>
        <v>#N/A</v>
      </c>
      <c r="AM49" s="270" t="e">
        <f>INDEX([71]Listas!$F$6:$J$10,MATCH(AI49,[71]Listas!$D$6:$D$10,0),MATCH(AK49,[71]Listas!$F$4:$J$4,0))</f>
        <v>#N/A</v>
      </c>
      <c r="AN49" s="259"/>
      <c r="AO49" s="259"/>
      <c r="AP49" s="659"/>
      <c r="AQ49" s="259"/>
      <c r="AR49" s="259" t="s">
        <v>2343</v>
      </c>
      <c r="AS49" s="655"/>
      <c r="AT49" s="259"/>
      <c r="AU49" s="259"/>
      <c r="AV49" s="261"/>
      <c r="AW49" s="261"/>
      <c r="AX49" s="655"/>
      <c r="AY49" s="262"/>
    </row>
    <row r="50" spans="1:51" s="260" customFormat="1" ht="103.5" hidden="1" customHeight="1">
      <c r="A50" s="655"/>
      <c r="B50" s="266"/>
      <c r="C50" s="1399"/>
      <c r="D50" s="1408"/>
      <c r="E50" s="1400"/>
      <c r="F50" s="267"/>
      <c r="G50" s="1399"/>
      <c r="H50" s="1408"/>
      <c r="I50" s="1400"/>
      <c r="J50" s="1380"/>
      <c r="K50" s="1380"/>
      <c r="L50" s="1380"/>
      <c r="M50" s="655"/>
      <c r="N50" s="655"/>
      <c r="O50" s="655"/>
      <c r="P50" s="655"/>
      <c r="Q50" s="266"/>
      <c r="R50" s="266"/>
      <c r="S50" s="268"/>
      <c r="T50" s="269" t="e">
        <f>VLOOKUP(Q50,[71]Listas!$D$6:$E$10,2,0)</f>
        <v>#N/A</v>
      </c>
      <c r="U50" s="269" t="e">
        <f>HLOOKUP(R50,[71]Listas!$F$4:$J$5,2,0)</f>
        <v>#N/A</v>
      </c>
      <c r="V50" s="270" t="e">
        <f>INDEX([71]Listas!$F$6:$J$10,MATCH(Q50,[71]Listas!$D$6:$D$10,0),MATCH(R50,[71]Listas!$F$4:$J$4,0))</f>
        <v>#N/A</v>
      </c>
      <c r="W50" s="268"/>
      <c r="X50" s="1399"/>
      <c r="Y50" s="1408"/>
      <c r="Z50" s="1400"/>
      <c r="AA50" s="1063"/>
      <c r="AB50" s="267"/>
      <c r="AC50" s="259"/>
      <c r="AD50" s="655"/>
      <c r="AE50" s="267"/>
      <c r="AF50" s="268"/>
      <c r="AG50" s="269">
        <f t="shared" si="7"/>
        <v>0</v>
      </c>
      <c r="AH50" s="271" t="e">
        <f t="shared" si="8"/>
        <v>#N/A</v>
      </c>
      <c r="AI50" s="272" t="e">
        <f>IF(AH50&lt;=1,"Remota",VLOOKUP(AH50,[71]Listas!$C$6:$D$10,2,0))</f>
        <v>#N/A</v>
      </c>
      <c r="AJ50" s="271" t="e">
        <f t="shared" si="9"/>
        <v>#N/A</v>
      </c>
      <c r="AK50" s="272" t="e">
        <f>IF(AJ50&lt;=1,"Insignificante",HLOOKUP(AJ50,[71]Listas!$F$3:$J$4,2,0))</f>
        <v>#N/A</v>
      </c>
      <c r="AL50" s="273" t="e">
        <f t="shared" si="10"/>
        <v>#N/A</v>
      </c>
      <c r="AM50" s="270" t="e">
        <f>INDEX([71]Listas!$F$6:$J$10,MATCH(AI50,[71]Listas!$D$6:$D$10,0),MATCH(AK50,[71]Listas!$F$4:$J$4,0))</f>
        <v>#N/A</v>
      </c>
      <c r="AN50" s="259"/>
      <c r="AO50" s="259"/>
      <c r="AP50" s="659"/>
      <c r="AQ50" s="259"/>
      <c r="AR50" s="259" t="s">
        <v>2343</v>
      </c>
      <c r="AS50" s="655"/>
      <c r="AT50" s="259"/>
      <c r="AU50" s="259"/>
      <c r="AV50" s="261"/>
      <c r="AW50" s="261"/>
      <c r="AX50" s="655"/>
      <c r="AY50" s="262"/>
    </row>
    <row r="51" spans="1:51" s="260" customFormat="1" ht="103.5" hidden="1" customHeight="1">
      <c r="A51" s="655"/>
      <c r="B51" s="266"/>
      <c r="C51" s="1399"/>
      <c r="D51" s="1408"/>
      <c r="E51" s="1400"/>
      <c r="F51" s="267"/>
      <c r="G51" s="1399"/>
      <c r="H51" s="1408"/>
      <c r="I51" s="1400"/>
      <c r="J51" s="1380"/>
      <c r="K51" s="1380"/>
      <c r="L51" s="1380"/>
      <c r="M51" s="655"/>
      <c r="N51" s="655"/>
      <c r="O51" s="655"/>
      <c r="P51" s="655"/>
      <c r="Q51" s="266"/>
      <c r="R51" s="266"/>
      <c r="S51" s="268"/>
      <c r="T51" s="269" t="e">
        <f>VLOOKUP(Q51,[71]Listas!$D$6:$E$10,2,0)</f>
        <v>#N/A</v>
      </c>
      <c r="U51" s="269" t="e">
        <f>HLOOKUP(R51,[71]Listas!$F$4:$J$5,2,0)</f>
        <v>#N/A</v>
      </c>
      <c r="V51" s="270" t="e">
        <f>INDEX([71]Listas!$F$6:$J$10,MATCH(Q51,[71]Listas!$D$6:$D$10,0),MATCH(R51,[71]Listas!$F$4:$J$4,0))</f>
        <v>#N/A</v>
      </c>
      <c r="W51" s="268"/>
      <c r="X51" s="1399"/>
      <c r="Y51" s="1408"/>
      <c r="Z51" s="1400"/>
      <c r="AA51" s="1063"/>
      <c r="AB51" s="267"/>
      <c r="AC51" s="259"/>
      <c r="AD51" s="655"/>
      <c r="AE51" s="267"/>
      <c r="AF51" s="268"/>
      <c r="AG51" s="269">
        <f t="shared" si="7"/>
        <v>0</v>
      </c>
      <c r="AH51" s="271" t="e">
        <f t="shared" si="8"/>
        <v>#N/A</v>
      </c>
      <c r="AI51" s="272" t="e">
        <f>IF(AH51&lt;=1,"Remota",VLOOKUP(AH51,[71]Listas!$C$6:$D$10,2,0))</f>
        <v>#N/A</v>
      </c>
      <c r="AJ51" s="271" t="e">
        <f t="shared" si="9"/>
        <v>#N/A</v>
      </c>
      <c r="AK51" s="272" t="e">
        <f>IF(AJ51&lt;=1,"Insignificante",HLOOKUP(AJ51,[71]Listas!$F$3:$J$4,2,0))</f>
        <v>#N/A</v>
      </c>
      <c r="AL51" s="273" t="e">
        <f t="shared" si="10"/>
        <v>#N/A</v>
      </c>
      <c r="AM51" s="270" t="e">
        <f>INDEX([71]Listas!$F$6:$J$10,MATCH(AI51,[71]Listas!$D$6:$D$10,0),MATCH(AK51,[71]Listas!$F$4:$J$4,0))</f>
        <v>#N/A</v>
      </c>
      <c r="AN51" s="259"/>
      <c r="AO51" s="259"/>
      <c r="AP51" s="659"/>
      <c r="AQ51" s="259"/>
      <c r="AR51" s="259" t="s">
        <v>2343</v>
      </c>
      <c r="AS51" s="655"/>
      <c r="AT51" s="259"/>
      <c r="AU51" s="259"/>
      <c r="AV51" s="261"/>
      <c r="AW51" s="261"/>
      <c r="AX51" s="655"/>
      <c r="AY51" s="262"/>
    </row>
    <row r="52" spans="1:51" s="260" customFormat="1" ht="103.5" hidden="1" customHeight="1">
      <c r="A52" s="655"/>
      <c r="B52" s="266"/>
      <c r="C52" s="1399"/>
      <c r="D52" s="1408"/>
      <c r="E52" s="1400"/>
      <c r="F52" s="267"/>
      <c r="G52" s="1399"/>
      <c r="H52" s="1408"/>
      <c r="I52" s="1400"/>
      <c r="J52" s="1380"/>
      <c r="K52" s="1380"/>
      <c r="L52" s="1380"/>
      <c r="M52" s="655"/>
      <c r="N52" s="655"/>
      <c r="O52" s="655"/>
      <c r="P52" s="655"/>
      <c r="Q52" s="266"/>
      <c r="R52" s="266"/>
      <c r="S52" s="268"/>
      <c r="T52" s="269" t="e">
        <f>VLOOKUP(Q52,[71]Listas!$D$6:$E$10,2,0)</f>
        <v>#N/A</v>
      </c>
      <c r="U52" s="269" t="e">
        <f>HLOOKUP(R52,[71]Listas!$F$4:$J$5,2,0)</f>
        <v>#N/A</v>
      </c>
      <c r="V52" s="270" t="e">
        <f>INDEX([71]Listas!$F$6:$J$10,MATCH(Q52,[71]Listas!$D$6:$D$10,0),MATCH(R52,[71]Listas!$F$4:$J$4,0))</f>
        <v>#N/A</v>
      </c>
      <c r="W52" s="268"/>
      <c r="X52" s="1399"/>
      <c r="Y52" s="1408"/>
      <c r="Z52" s="1400"/>
      <c r="AA52" s="1063"/>
      <c r="AB52" s="267"/>
      <c r="AC52" s="259"/>
      <c r="AD52" s="655"/>
      <c r="AE52" s="267"/>
      <c r="AF52" s="268"/>
      <c r="AG52" s="269">
        <f t="shared" si="7"/>
        <v>0</v>
      </c>
      <c r="AH52" s="271" t="e">
        <f t="shared" si="8"/>
        <v>#N/A</v>
      </c>
      <c r="AI52" s="272" t="e">
        <f>IF(AH52&lt;=1,"Remota",VLOOKUP(AH52,[71]Listas!$C$6:$D$10,2,0))</f>
        <v>#N/A</v>
      </c>
      <c r="AJ52" s="271" t="e">
        <f t="shared" si="9"/>
        <v>#N/A</v>
      </c>
      <c r="AK52" s="272" t="e">
        <f>IF(AJ52&lt;=1,"Insignificante",HLOOKUP(AJ52,[71]Listas!$F$3:$J$4,2,0))</f>
        <v>#N/A</v>
      </c>
      <c r="AL52" s="273" t="e">
        <f t="shared" si="10"/>
        <v>#N/A</v>
      </c>
      <c r="AM52" s="270" t="e">
        <f>INDEX([71]Listas!$F$6:$J$10,MATCH(AI52,[71]Listas!$D$6:$D$10,0),MATCH(AK52,[71]Listas!$F$4:$J$4,0))</f>
        <v>#N/A</v>
      </c>
      <c r="AN52" s="259"/>
      <c r="AO52" s="259"/>
      <c r="AP52" s="659"/>
      <c r="AQ52" s="259"/>
      <c r="AR52" s="259" t="s">
        <v>2343</v>
      </c>
      <c r="AS52" s="655"/>
      <c r="AT52" s="259"/>
      <c r="AU52" s="259"/>
      <c r="AV52" s="261"/>
      <c r="AW52" s="261"/>
      <c r="AX52" s="655"/>
      <c r="AY52" s="262"/>
    </row>
    <row r="53" spans="1:51" s="260" customFormat="1" ht="103.5" hidden="1" customHeight="1">
      <c r="A53" s="655"/>
      <c r="B53" s="266"/>
      <c r="C53" s="1399"/>
      <c r="D53" s="1408"/>
      <c r="E53" s="1400"/>
      <c r="F53" s="267"/>
      <c r="G53" s="1399"/>
      <c r="H53" s="1408"/>
      <c r="I53" s="1400"/>
      <c r="J53" s="1380"/>
      <c r="K53" s="1380"/>
      <c r="L53" s="1380"/>
      <c r="M53" s="655"/>
      <c r="N53" s="655"/>
      <c r="O53" s="655"/>
      <c r="P53" s="655"/>
      <c r="Q53" s="266"/>
      <c r="R53" s="266"/>
      <c r="S53" s="268"/>
      <c r="T53" s="269" t="e">
        <f>VLOOKUP(Q53,[71]Listas!$D$6:$E$10,2,0)</f>
        <v>#N/A</v>
      </c>
      <c r="U53" s="269" t="e">
        <f>HLOOKUP(R53,[71]Listas!$F$4:$J$5,2,0)</f>
        <v>#N/A</v>
      </c>
      <c r="V53" s="270" t="e">
        <f>INDEX([71]Listas!$F$6:$J$10,MATCH(Q53,[71]Listas!$D$6:$D$10,0),MATCH(R53,[71]Listas!$F$4:$J$4,0))</f>
        <v>#N/A</v>
      </c>
      <c r="W53" s="268"/>
      <c r="X53" s="1399"/>
      <c r="Y53" s="1408"/>
      <c r="Z53" s="1400"/>
      <c r="AA53" s="1063"/>
      <c r="AB53" s="267"/>
      <c r="AC53" s="259"/>
      <c r="AD53" s="655"/>
      <c r="AE53" s="267"/>
      <c r="AF53" s="268"/>
      <c r="AG53" s="269">
        <f t="shared" si="7"/>
        <v>0</v>
      </c>
      <c r="AH53" s="271" t="e">
        <f t="shared" si="8"/>
        <v>#N/A</v>
      </c>
      <c r="AI53" s="272" t="e">
        <f>IF(AH53&lt;=1,"Remota",VLOOKUP(AH53,[71]Listas!$C$6:$D$10,2,0))</f>
        <v>#N/A</v>
      </c>
      <c r="AJ53" s="271" t="e">
        <f t="shared" si="9"/>
        <v>#N/A</v>
      </c>
      <c r="AK53" s="272" t="e">
        <f>IF(AJ53&lt;=1,"Insignificante",HLOOKUP(AJ53,[71]Listas!$F$3:$J$4,2,0))</f>
        <v>#N/A</v>
      </c>
      <c r="AL53" s="273" t="e">
        <f t="shared" si="10"/>
        <v>#N/A</v>
      </c>
      <c r="AM53" s="270" t="e">
        <f>INDEX([71]Listas!$F$6:$J$10,MATCH(AI53,[71]Listas!$D$6:$D$10,0),MATCH(AK53,[71]Listas!$F$4:$J$4,0))</f>
        <v>#N/A</v>
      </c>
      <c r="AN53" s="259"/>
      <c r="AO53" s="259"/>
      <c r="AP53" s="659"/>
      <c r="AQ53" s="259"/>
      <c r="AR53" s="259" t="s">
        <v>2343</v>
      </c>
      <c r="AS53" s="655"/>
      <c r="AT53" s="259"/>
      <c r="AU53" s="259"/>
      <c r="AV53" s="261"/>
      <c r="AW53" s="261"/>
      <c r="AX53" s="655"/>
      <c r="AY53" s="262"/>
    </row>
    <row r="54" spans="1:51" s="260" customFormat="1" ht="103.5" hidden="1" customHeight="1">
      <c r="A54" s="655"/>
      <c r="B54" s="266"/>
      <c r="C54" s="1399"/>
      <c r="D54" s="1408"/>
      <c r="E54" s="1400"/>
      <c r="F54" s="267"/>
      <c r="G54" s="1399"/>
      <c r="H54" s="1408"/>
      <c r="I54" s="1400"/>
      <c r="J54" s="1380"/>
      <c r="K54" s="1380"/>
      <c r="L54" s="1380"/>
      <c r="M54" s="655"/>
      <c r="N54" s="655"/>
      <c r="O54" s="655"/>
      <c r="P54" s="655"/>
      <c r="Q54" s="266"/>
      <c r="R54" s="266"/>
      <c r="S54" s="268"/>
      <c r="T54" s="269" t="e">
        <f>VLOOKUP(Q54,[71]Listas!$D$6:$E$10,2,0)</f>
        <v>#N/A</v>
      </c>
      <c r="U54" s="269" t="e">
        <f>HLOOKUP(R54,[71]Listas!$F$4:$J$5,2,0)</f>
        <v>#N/A</v>
      </c>
      <c r="V54" s="270" t="e">
        <f>INDEX([71]Listas!$F$6:$J$10,MATCH(Q54,[71]Listas!$D$6:$D$10,0),MATCH(R54,[71]Listas!$F$4:$J$4,0))</f>
        <v>#N/A</v>
      </c>
      <c r="W54" s="268"/>
      <c r="X54" s="1399"/>
      <c r="Y54" s="1408"/>
      <c r="Z54" s="1400"/>
      <c r="AA54" s="1063"/>
      <c r="AB54" s="267"/>
      <c r="AC54" s="259"/>
      <c r="AD54" s="655"/>
      <c r="AE54" s="267"/>
      <c r="AF54" s="268"/>
      <c r="AG54" s="269">
        <f t="shared" si="7"/>
        <v>0</v>
      </c>
      <c r="AH54" s="271" t="e">
        <f t="shared" si="8"/>
        <v>#N/A</v>
      </c>
      <c r="AI54" s="272" t="e">
        <f>IF(AH54&lt;=1,"Remota",VLOOKUP(AH54,[71]Listas!$C$6:$D$10,2,0))</f>
        <v>#N/A</v>
      </c>
      <c r="AJ54" s="271" t="e">
        <f t="shared" si="9"/>
        <v>#N/A</v>
      </c>
      <c r="AK54" s="272" t="e">
        <f>IF(AJ54&lt;=1,"Insignificante",HLOOKUP(AJ54,[71]Listas!$F$3:$J$4,2,0))</f>
        <v>#N/A</v>
      </c>
      <c r="AL54" s="273" t="e">
        <f t="shared" si="10"/>
        <v>#N/A</v>
      </c>
      <c r="AM54" s="270" t="e">
        <f>INDEX([71]Listas!$F$6:$J$10,MATCH(AI54,[71]Listas!$D$6:$D$10,0),MATCH(AK54,[71]Listas!$F$4:$J$4,0))</f>
        <v>#N/A</v>
      </c>
      <c r="AN54" s="259"/>
      <c r="AO54" s="259"/>
      <c r="AP54" s="659"/>
      <c r="AQ54" s="259"/>
      <c r="AR54" s="259" t="s">
        <v>2343</v>
      </c>
      <c r="AS54" s="655"/>
      <c r="AT54" s="259"/>
      <c r="AU54" s="259"/>
      <c r="AV54" s="261"/>
      <c r="AW54" s="261"/>
      <c r="AX54" s="655"/>
      <c r="AY54" s="262"/>
    </row>
    <row r="55" spans="1:51" s="260" customFormat="1" ht="103.5" hidden="1" customHeight="1">
      <c r="A55" s="655"/>
      <c r="B55" s="266"/>
      <c r="C55" s="1399"/>
      <c r="D55" s="1408"/>
      <c r="E55" s="1400"/>
      <c r="F55" s="267"/>
      <c r="G55" s="1399"/>
      <c r="H55" s="1408"/>
      <c r="I55" s="1400"/>
      <c r="J55" s="1380"/>
      <c r="K55" s="1380"/>
      <c r="L55" s="1380"/>
      <c r="M55" s="655"/>
      <c r="N55" s="655"/>
      <c r="O55" s="655"/>
      <c r="P55" s="655"/>
      <c r="Q55" s="266"/>
      <c r="R55" s="266"/>
      <c r="S55" s="268"/>
      <c r="T55" s="269" t="e">
        <f>VLOOKUP(Q55,[71]Listas!$D$6:$E$10,2,0)</f>
        <v>#N/A</v>
      </c>
      <c r="U55" s="269" t="e">
        <f>HLOOKUP(R55,[71]Listas!$F$4:$J$5,2,0)</f>
        <v>#N/A</v>
      </c>
      <c r="V55" s="270" t="e">
        <f>INDEX([71]Listas!$F$6:$J$10,MATCH(Q55,[71]Listas!$D$6:$D$10,0),MATCH(R55,[71]Listas!$F$4:$J$4,0))</f>
        <v>#N/A</v>
      </c>
      <c r="W55" s="268"/>
      <c r="X55" s="1399"/>
      <c r="Y55" s="1408"/>
      <c r="Z55" s="1400"/>
      <c r="AA55" s="1063"/>
      <c r="AB55" s="267"/>
      <c r="AC55" s="259"/>
      <c r="AD55" s="655"/>
      <c r="AE55" s="267"/>
      <c r="AF55" s="268"/>
      <c r="AG55" s="269">
        <f t="shared" si="7"/>
        <v>0</v>
      </c>
      <c r="AH55" s="271" t="e">
        <f t="shared" si="8"/>
        <v>#N/A</v>
      </c>
      <c r="AI55" s="272" t="e">
        <f>IF(AH55&lt;=1,"Remota",VLOOKUP(AH55,[71]Listas!$C$6:$D$10,2,0))</f>
        <v>#N/A</v>
      </c>
      <c r="AJ55" s="271" t="e">
        <f t="shared" si="9"/>
        <v>#N/A</v>
      </c>
      <c r="AK55" s="272" t="e">
        <f>IF(AJ55&lt;=1,"Insignificante",HLOOKUP(AJ55,[71]Listas!$F$3:$J$4,2,0))</f>
        <v>#N/A</v>
      </c>
      <c r="AL55" s="273" t="e">
        <f t="shared" si="10"/>
        <v>#N/A</v>
      </c>
      <c r="AM55" s="270" t="e">
        <f>INDEX([71]Listas!$F$6:$J$10,MATCH(AI55,[71]Listas!$D$6:$D$10,0),MATCH(AK55,[71]Listas!$F$4:$J$4,0))</f>
        <v>#N/A</v>
      </c>
      <c r="AN55" s="259"/>
      <c r="AO55" s="259"/>
      <c r="AP55" s="659"/>
      <c r="AQ55" s="259"/>
      <c r="AR55" s="259" t="s">
        <v>2343</v>
      </c>
      <c r="AS55" s="655"/>
      <c r="AT55" s="259"/>
      <c r="AU55" s="259"/>
      <c r="AV55" s="261"/>
      <c r="AW55" s="261"/>
      <c r="AX55" s="655"/>
      <c r="AY55" s="262"/>
    </row>
    <row r="56" spans="1:51" s="260" customFormat="1" ht="103.5" hidden="1" customHeight="1">
      <c r="A56" s="655"/>
      <c r="B56" s="266"/>
      <c r="C56" s="1399"/>
      <c r="D56" s="1408"/>
      <c r="E56" s="1400"/>
      <c r="F56" s="267"/>
      <c r="G56" s="1399"/>
      <c r="H56" s="1408"/>
      <c r="I56" s="1400"/>
      <c r="J56" s="1380"/>
      <c r="K56" s="1380"/>
      <c r="L56" s="1380"/>
      <c r="M56" s="655"/>
      <c r="N56" s="655"/>
      <c r="O56" s="655"/>
      <c r="P56" s="655"/>
      <c r="Q56" s="266"/>
      <c r="R56" s="266"/>
      <c r="S56" s="268"/>
      <c r="T56" s="269" t="e">
        <f>VLOOKUP(Q56,[71]Listas!$D$6:$E$10,2,0)</f>
        <v>#N/A</v>
      </c>
      <c r="U56" s="269" t="e">
        <f>HLOOKUP(R56,[71]Listas!$F$4:$J$5,2,0)</f>
        <v>#N/A</v>
      </c>
      <c r="V56" s="270" t="e">
        <f>INDEX([71]Listas!$F$6:$J$10,MATCH(Q56,[71]Listas!$D$6:$D$10,0),MATCH(R56,[71]Listas!$F$4:$J$4,0))</f>
        <v>#N/A</v>
      </c>
      <c r="W56" s="268"/>
      <c r="X56" s="1399"/>
      <c r="Y56" s="1408"/>
      <c r="Z56" s="1400"/>
      <c r="AA56" s="1063"/>
      <c r="AB56" s="267"/>
      <c r="AC56" s="259"/>
      <c r="AD56" s="655"/>
      <c r="AE56" s="267"/>
      <c r="AF56" s="268"/>
      <c r="AG56" s="269">
        <f t="shared" si="7"/>
        <v>0</v>
      </c>
      <c r="AH56" s="271" t="e">
        <f t="shared" si="8"/>
        <v>#N/A</v>
      </c>
      <c r="AI56" s="272" t="e">
        <f>IF(AH56&lt;=1,"Remota",VLOOKUP(AH56,[71]Listas!$C$6:$D$10,2,0))</f>
        <v>#N/A</v>
      </c>
      <c r="AJ56" s="271" t="e">
        <f t="shared" si="9"/>
        <v>#N/A</v>
      </c>
      <c r="AK56" s="272" t="e">
        <f>IF(AJ56&lt;=1,"Insignificante",HLOOKUP(AJ56,[71]Listas!$F$3:$J$4,2,0))</f>
        <v>#N/A</v>
      </c>
      <c r="AL56" s="273" t="e">
        <f t="shared" si="10"/>
        <v>#N/A</v>
      </c>
      <c r="AM56" s="270" t="e">
        <f>INDEX([71]Listas!$F$6:$J$10,MATCH(AI56,[71]Listas!$D$6:$D$10,0),MATCH(AK56,[71]Listas!$F$4:$J$4,0))</f>
        <v>#N/A</v>
      </c>
      <c r="AN56" s="259"/>
      <c r="AO56" s="259"/>
      <c r="AP56" s="659"/>
      <c r="AQ56" s="259"/>
      <c r="AR56" s="259" t="s">
        <v>2343</v>
      </c>
      <c r="AS56" s="655"/>
      <c r="AT56" s="259"/>
      <c r="AU56" s="259"/>
      <c r="AV56" s="261"/>
      <c r="AW56" s="261"/>
      <c r="AX56" s="655"/>
      <c r="AY56" s="262"/>
    </row>
    <row r="57" spans="1:51" s="260" customFormat="1" ht="103.5" hidden="1" customHeight="1">
      <c r="A57" s="655"/>
      <c r="B57" s="266"/>
      <c r="C57" s="1399"/>
      <c r="D57" s="1408"/>
      <c r="E57" s="1400"/>
      <c r="F57" s="267"/>
      <c r="G57" s="1399"/>
      <c r="H57" s="1408"/>
      <c r="I57" s="1400"/>
      <c r="J57" s="1380"/>
      <c r="K57" s="1380"/>
      <c r="L57" s="1380"/>
      <c r="M57" s="655"/>
      <c r="N57" s="655"/>
      <c r="O57" s="655"/>
      <c r="P57" s="655"/>
      <c r="Q57" s="266"/>
      <c r="R57" s="266"/>
      <c r="S57" s="268"/>
      <c r="T57" s="269" t="e">
        <f>VLOOKUP(Q57,[71]Listas!$D$6:$E$10,2,0)</f>
        <v>#N/A</v>
      </c>
      <c r="U57" s="269" t="e">
        <f>HLOOKUP(R57,[71]Listas!$F$4:$J$5,2,0)</f>
        <v>#N/A</v>
      </c>
      <c r="V57" s="270" t="e">
        <f>INDEX([71]Listas!$F$6:$J$10,MATCH(Q57,[71]Listas!$D$6:$D$10,0),MATCH(R57,[71]Listas!$F$4:$J$4,0))</f>
        <v>#N/A</v>
      </c>
      <c r="W57" s="268"/>
      <c r="X57" s="1399"/>
      <c r="Y57" s="1408"/>
      <c r="Z57" s="1400"/>
      <c r="AA57" s="1063"/>
      <c r="AB57" s="267"/>
      <c r="AC57" s="259"/>
      <c r="AD57" s="655"/>
      <c r="AE57" s="267"/>
      <c r="AF57" s="268"/>
      <c r="AG57" s="269">
        <f t="shared" si="7"/>
        <v>0</v>
      </c>
      <c r="AH57" s="271" t="e">
        <f t="shared" si="8"/>
        <v>#N/A</v>
      </c>
      <c r="AI57" s="272" t="e">
        <f>IF(AH57&lt;=1,"Remota",VLOOKUP(AH57,[71]Listas!$C$6:$D$10,2,0))</f>
        <v>#N/A</v>
      </c>
      <c r="AJ57" s="271" t="e">
        <f t="shared" si="9"/>
        <v>#N/A</v>
      </c>
      <c r="AK57" s="272" t="e">
        <f>IF(AJ57&lt;=1,"Insignificante",HLOOKUP(AJ57,[71]Listas!$F$3:$J$4,2,0))</f>
        <v>#N/A</v>
      </c>
      <c r="AL57" s="273" t="e">
        <f t="shared" si="10"/>
        <v>#N/A</v>
      </c>
      <c r="AM57" s="270" t="e">
        <f>INDEX([71]Listas!$F$6:$J$10,MATCH(AI57,[71]Listas!$D$6:$D$10,0),MATCH(AK57,[71]Listas!$F$4:$J$4,0))</f>
        <v>#N/A</v>
      </c>
      <c r="AN57" s="259"/>
      <c r="AO57" s="259"/>
      <c r="AP57" s="659"/>
      <c r="AQ57" s="259"/>
      <c r="AR57" s="259" t="s">
        <v>2343</v>
      </c>
      <c r="AS57" s="655"/>
      <c r="AT57" s="259"/>
      <c r="AU57" s="259"/>
      <c r="AV57" s="261"/>
      <c r="AW57" s="261"/>
      <c r="AX57" s="655"/>
      <c r="AY57" s="262"/>
    </row>
    <row r="58" spans="1:51" s="260" customFormat="1" ht="103.5" hidden="1" customHeight="1">
      <c r="A58" s="655"/>
      <c r="B58" s="266"/>
      <c r="C58" s="1399"/>
      <c r="D58" s="1408"/>
      <c r="E58" s="1400"/>
      <c r="F58" s="267"/>
      <c r="G58" s="1399"/>
      <c r="H58" s="1408"/>
      <c r="I58" s="1400"/>
      <c r="J58" s="1380"/>
      <c r="K58" s="1380"/>
      <c r="L58" s="1380"/>
      <c r="M58" s="655"/>
      <c r="N58" s="655"/>
      <c r="O58" s="655"/>
      <c r="P58" s="655"/>
      <c r="Q58" s="266"/>
      <c r="R58" s="266"/>
      <c r="S58" s="268"/>
      <c r="T58" s="269" t="e">
        <f>VLOOKUP(Q58,[71]Listas!$D$6:$E$10,2,0)</f>
        <v>#N/A</v>
      </c>
      <c r="U58" s="269" t="e">
        <f>HLOOKUP(R58,[71]Listas!$F$4:$J$5,2,0)</f>
        <v>#N/A</v>
      </c>
      <c r="V58" s="270" t="e">
        <f>INDEX([71]Listas!$F$6:$J$10,MATCH(Q58,[71]Listas!$D$6:$D$10,0),MATCH(R58,[71]Listas!$F$4:$J$4,0))</f>
        <v>#N/A</v>
      </c>
      <c r="W58" s="268"/>
      <c r="X58" s="1399"/>
      <c r="Y58" s="1408"/>
      <c r="Z58" s="1400"/>
      <c r="AA58" s="1063"/>
      <c r="AB58" s="267"/>
      <c r="AC58" s="259"/>
      <c r="AD58" s="655"/>
      <c r="AE58" s="267"/>
      <c r="AF58" s="268"/>
      <c r="AG58" s="269">
        <f t="shared" si="7"/>
        <v>0</v>
      </c>
      <c r="AH58" s="271" t="e">
        <f t="shared" si="8"/>
        <v>#N/A</v>
      </c>
      <c r="AI58" s="272" t="e">
        <f>IF(AH58&lt;=1,"Remota",VLOOKUP(AH58,[71]Listas!$C$6:$D$10,2,0))</f>
        <v>#N/A</v>
      </c>
      <c r="AJ58" s="271" t="e">
        <f t="shared" si="9"/>
        <v>#N/A</v>
      </c>
      <c r="AK58" s="272" t="e">
        <f>IF(AJ58&lt;=1,"Insignificante",HLOOKUP(AJ58,[71]Listas!$F$3:$J$4,2,0))</f>
        <v>#N/A</v>
      </c>
      <c r="AL58" s="273" t="e">
        <f t="shared" si="10"/>
        <v>#N/A</v>
      </c>
      <c r="AM58" s="270" t="e">
        <f>INDEX([71]Listas!$F$6:$J$10,MATCH(AI58,[71]Listas!$D$6:$D$10,0),MATCH(AK58,[71]Listas!$F$4:$J$4,0))</f>
        <v>#N/A</v>
      </c>
      <c r="AN58" s="259"/>
      <c r="AO58" s="259"/>
      <c r="AP58" s="659"/>
      <c r="AQ58" s="259"/>
      <c r="AR58" s="259" t="s">
        <v>2343</v>
      </c>
      <c r="AS58" s="655"/>
      <c r="AT58" s="259"/>
      <c r="AU58" s="259"/>
      <c r="AV58" s="261"/>
      <c r="AW58" s="261"/>
      <c r="AX58" s="655"/>
      <c r="AY58" s="262"/>
    </row>
    <row r="59" spans="1:51" s="260" customFormat="1" ht="103.5" hidden="1" customHeight="1">
      <c r="A59" s="655"/>
      <c r="B59" s="266"/>
      <c r="C59" s="1399"/>
      <c r="D59" s="1408"/>
      <c r="E59" s="1400"/>
      <c r="F59" s="267"/>
      <c r="G59" s="1399"/>
      <c r="H59" s="1408"/>
      <c r="I59" s="1400"/>
      <c r="J59" s="1380"/>
      <c r="K59" s="1380"/>
      <c r="L59" s="1380"/>
      <c r="M59" s="655"/>
      <c r="N59" s="655"/>
      <c r="O59" s="655"/>
      <c r="P59" s="655"/>
      <c r="Q59" s="266"/>
      <c r="R59" s="266"/>
      <c r="S59" s="268"/>
      <c r="T59" s="269" t="e">
        <f>VLOOKUP(Q59,[71]Listas!$D$6:$E$10,2,0)</f>
        <v>#N/A</v>
      </c>
      <c r="U59" s="269" t="e">
        <f>HLOOKUP(R59,[71]Listas!$F$4:$J$5,2,0)</f>
        <v>#N/A</v>
      </c>
      <c r="V59" s="270" t="e">
        <f>INDEX([71]Listas!$F$6:$J$10,MATCH(Q59,[71]Listas!$D$6:$D$10,0),MATCH(R59,[71]Listas!$F$4:$J$4,0))</f>
        <v>#N/A</v>
      </c>
      <c r="W59" s="268"/>
      <c r="X59" s="1399"/>
      <c r="Y59" s="1408"/>
      <c r="Z59" s="1400"/>
      <c r="AA59" s="1063"/>
      <c r="AB59" s="267"/>
      <c r="AC59" s="259"/>
      <c r="AD59" s="655"/>
      <c r="AE59" s="267"/>
      <c r="AF59" s="268"/>
      <c r="AG59" s="269">
        <f t="shared" si="7"/>
        <v>0</v>
      </c>
      <c r="AH59" s="271" t="e">
        <f t="shared" si="8"/>
        <v>#N/A</v>
      </c>
      <c r="AI59" s="272" t="e">
        <f>IF(AH59&lt;=1,"Remota",VLOOKUP(AH59,[71]Listas!$C$6:$D$10,2,0))</f>
        <v>#N/A</v>
      </c>
      <c r="AJ59" s="271" t="e">
        <f t="shared" si="9"/>
        <v>#N/A</v>
      </c>
      <c r="AK59" s="272" t="e">
        <f>IF(AJ59&lt;=1,"Insignificante",HLOOKUP(AJ59,[71]Listas!$F$3:$J$4,2,0))</f>
        <v>#N/A</v>
      </c>
      <c r="AL59" s="273" t="e">
        <f t="shared" si="10"/>
        <v>#N/A</v>
      </c>
      <c r="AM59" s="270" t="e">
        <f>INDEX([71]Listas!$F$6:$J$10,MATCH(AI59,[71]Listas!$D$6:$D$10,0),MATCH(AK59,[71]Listas!$F$4:$J$4,0))</f>
        <v>#N/A</v>
      </c>
      <c r="AN59" s="259"/>
      <c r="AO59" s="259"/>
      <c r="AP59" s="659"/>
      <c r="AQ59" s="259"/>
      <c r="AR59" s="259" t="s">
        <v>2343</v>
      </c>
      <c r="AS59" s="655"/>
      <c r="AT59" s="259"/>
      <c r="AU59" s="259"/>
      <c r="AV59" s="261"/>
      <c r="AW59" s="261"/>
      <c r="AX59" s="655"/>
      <c r="AY59" s="262"/>
    </row>
    <row r="60" spans="1:51" s="260" customFormat="1" ht="103.5" hidden="1" customHeight="1">
      <c r="A60" s="655"/>
      <c r="B60" s="266"/>
      <c r="C60" s="1399"/>
      <c r="D60" s="1408"/>
      <c r="E60" s="1400"/>
      <c r="F60" s="267"/>
      <c r="G60" s="1399"/>
      <c r="H60" s="1408"/>
      <c r="I60" s="1400"/>
      <c r="J60" s="1380"/>
      <c r="K60" s="1380"/>
      <c r="L60" s="1380"/>
      <c r="M60" s="655"/>
      <c r="N60" s="655"/>
      <c r="O60" s="655"/>
      <c r="P60" s="655"/>
      <c r="Q60" s="266"/>
      <c r="R60" s="266"/>
      <c r="S60" s="268"/>
      <c r="T60" s="269" t="e">
        <f>VLOOKUP(Q60,[71]Listas!$D$6:$E$10,2,0)</f>
        <v>#N/A</v>
      </c>
      <c r="U60" s="269" t="e">
        <f>HLOOKUP(R60,[71]Listas!$F$4:$J$5,2,0)</f>
        <v>#N/A</v>
      </c>
      <c r="V60" s="270" t="e">
        <f>INDEX([71]Listas!$F$6:$J$10,MATCH(Q60,[71]Listas!$D$6:$D$10,0),MATCH(R60,[71]Listas!$F$4:$J$4,0))</f>
        <v>#N/A</v>
      </c>
      <c r="W60" s="268"/>
      <c r="X60" s="1399"/>
      <c r="Y60" s="1408"/>
      <c r="Z60" s="1400"/>
      <c r="AA60" s="1063"/>
      <c r="AB60" s="267"/>
      <c r="AC60" s="259"/>
      <c r="AD60" s="655"/>
      <c r="AE60" s="267"/>
      <c r="AF60" s="268"/>
      <c r="AG60" s="269">
        <f t="shared" si="7"/>
        <v>0</v>
      </c>
      <c r="AH60" s="271" t="e">
        <f t="shared" si="8"/>
        <v>#N/A</v>
      </c>
      <c r="AI60" s="272" t="e">
        <f>IF(AH60&lt;=1,"Remota",VLOOKUP(AH60,[71]Listas!$C$6:$D$10,2,0))</f>
        <v>#N/A</v>
      </c>
      <c r="AJ60" s="271" t="e">
        <f t="shared" si="9"/>
        <v>#N/A</v>
      </c>
      <c r="AK60" s="272" t="e">
        <f>IF(AJ60&lt;=1,"Insignificante",HLOOKUP(AJ60,[71]Listas!$F$3:$J$4,2,0))</f>
        <v>#N/A</v>
      </c>
      <c r="AL60" s="273" t="e">
        <f t="shared" si="10"/>
        <v>#N/A</v>
      </c>
      <c r="AM60" s="270" t="e">
        <f>INDEX([71]Listas!$F$6:$J$10,MATCH(AI60,[71]Listas!$D$6:$D$10,0),MATCH(AK60,[71]Listas!$F$4:$J$4,0))</f>
        <v>#N/A</v>
      </c>
      <c r="AN60" s="259"/>
      <c r="AO60" s="259"/>
      <c r="AP60" s="659"/>
      <c r="AQ60" s="259"/>
      <c r="AR60" s="259" t="s">
        <v>2343</v>
      </c>
      <c r="AS60" s="655"/>
      <c r="AT60" s="259"/>
      <c r="AU60" s="259"/>
      <c r="AV60" s="261"/>
      <c r="AW60" s="261"/>
      <c r="AX60" s="655"/>
      <c r="AY60" s="262"/>
    </row>
    <row r="61" spans="1:51" s="260" customFormat="1" ht="103.5" hidden="1" customHeight="1">
      <c r="A61" s="655"/>
      <c r="B61" s="266"/>
      <c r="C61" s="1399"/>
      <c r="D61" s="1408"/>
      <c r="E61" s="1400"/>
      <c r="F61" s="267"/>
      <c r="G61" s="1399"/>
      <c r="H61" s="1408"/>
      <c r="I61" s="1400"/>
      <c r="J61" s="1380"/>
      <c r="K61" s="1380"/>
      <c r="L61" s="1380"/>
      <c r="M61" s="655"/>
      <c r="N61" s="655"/>
      <c r="O61" s="655"/>
      <c r="P61" s="655"/>
      <c r="Q61" s="266"/>
      <c r="R61" s="266"/>
      <c r="S61" s="268"/>
      <c r="T61" s="269" t="e">
        <f>VLOOKUP(Q61,[71]Listas!$D$6:$E$10,2,0)</f>
        <v>#N/A</v>
      </c>
      <c r="U61" s="269" t="e">
        <f>HLOOKUP(R61,[71]Listas!$F$4:$J$5,2,0)</f>
        <v>#N/A</v>
      </c>
      <c r="V61" s="270" t="e">
        <f>INDEX([71]Listas!$F$6:$J$10,MATCH(Q61,[71]Listas!$D$6:$D$10,0),MATCH(R61,[71]Listas!$F$4:$J$4,0))</f>
        <v>#N/A</v>
      </c>
      <c r="W61" s="268"/>
      <c r="X61" s="1399"/>
      <c r="Y61" s="1408"/>
      <c r="Z61" s="1400"/>
      <c r="AA61" s="1063"/>
      <c r="AB61" s="267"/>
      <c r="AC61" s="259"/>
      <c r="AD61" s="655"/>
      <c r="AE61" s="267"/>
      <c r="AF61" s="268"/>
      <c r="AG61" s="269">
        <f t="shared" si="7"/>
        <v>0</v>
      </c>
      <c r="AH61" s="271" t="e">
        <f t="shared" si="8"/>
        <v>#N/A</v>
      </c>
      <c r="AI61" s="272" t="e">
        <f>IF(AH61&lt;=1,"Remota",VLOOKUP(AH61,[71]Listas!$C$6:$D$10,2,0))</f>
        <v>#N/A</v>
      </c>
      <c r="AJ61" s="271" t="e">
        <f t="shared" si="9"/>
        <v>#N/A</v>
      </c>
      <c r="AK61" s="272" t="e">
        <f>IF(AJ61&lt;=1,"Insignificante",HLOOKUP(AJ61,[71]Listas!$F$3:$J$4,2,0))</f>
        <v>#N/A</v>
      </c>
      <c r="AL61" s="273" t="e">
        <f t="shared" si="10"/>
        <v>#N/A</v>
      </c>
      <c r="AM61" s="270" t="e">
        <f>INDEX([71]Listas!$F$6:$J$10,MATCH(AI61,[71]Listas!$D$6:$D$10,0),MATCH(AK61,[71]Listas!$F$4:$J$4,0))</f>
        <v>#N/A</v>
      </c>
      <c r="AN61" s="259"/>
      <c r="AO61" s="259"/>
      <c r="AP61" s="659"/>
      <c r="AQ61" s="259"/>
      <c r="AR61" s="259" t="s">
        <v>2343</v>
      </c>
      <c r="AS61" s="655"/>
      <c r="AT61" s="259"/>
      <c r="AU61" s="259"/>
      <c r="AV61" s="261"/>
      <c r="AW61" s="261"/>
      <c r="AX61" s="655"/>
      <c r="AY61" s="262"/>
    </row>
    <row r="62" spans="1:51" s="260" customFormat="1" ht="103.5" hidden="1" customHeight="1">
      <c r="A62" s="655"/>
      <c r="B62" s="266"/>
      <c r="C62" s="1399"/>
      <c r="D62" s="1408"/>
      <c r="E62" s="1400"/>
      <c r="F62" s="267"/>
      <c r="G62" s="1399"/>
      <c r="H62" s="1408"/>
      <c r="I62" s="1400"/>
      <c r="J62" s="1380"/>
      <c r="K62" s="1380"/>
      <c r="L62" s="1380"/>
      <c r="M62" s="655"/>
      <c r="N62" s="655"/>
      <c r="O62" s="655"/>
      <c r="P62" s="655"/>
      <c r="Q62" s="266"/>
      <c r="R62" s="266"/>
      <c r="S62" s="268"/>
      <c r="T62" s="269" t="e">
        <f>VLOOKUP(Q62,[71]Listas!$D$6:$E$10,2,0)</f>
        <v>#N/A</v>
      </c>
      <c r="U62" s="269" t="e">
        <f>HLOOKUP(R62,[71]Listas!$F$4:$J$5,2,0)</f>
        <v>#N/A</v>
      </c>
      <c r="V62" s="270" t="e">
        <f>INDEX([71]Listas!$F$6:$J$10,MATCH(Q62,[71]Listas!$D$6:$D$10,0),MATCH(R62,[71]Listas!$F$4:$J$4,0))</f>
        <v>#N/A</v>
      </c>
      <c r="W62" s="268"/>
      <c r="X62" s="1399"/>
      <c r="Y62" s="1408"/>
      <c r="Z62" s="1400"/>
      <c r="AA62" s="1063"/>
      <c r="AB62" s="267"/>
      <c r="AC62" s="259"/>
      <c r="AD62" s="655"/>
      <c r="AE62" s="267"/>
      <c r="AF62" s="268"/>
      <c r="AG62" s="269">
        <f t="shared" si="7"/>
        <v>0</v>
      </c>
      <c r="AH62" s="271" t="e">
        <f t="shared" si="8"/>
        <v>#N/A</v>
      </c>
      <c r="AI62" s="272" t="e">
        <f>IF(AH62&lt;=1,"Remota",VLOOKUP(AH62,[71]Listas!$C$6:$D$10,2,0))</f>
        <v>#N/A</v>
      </c>
      <c r="AJ62" s="271" t="e">
        <f t="shared" si="9"/>
        <v>#N/A</v>
      </c>
      <c r="AK62" s="272" t="e">
        <f>IF(AJ62&lt;=1,"Insignificante",HLOOKUP(AJ62,[71]Listas!$F$3:$J$4,2,0))</f>
        <v>#N/A</v>
      </c>
      <c r="AL62" s="273" t="e">
        <f t="shared" si="10"/>
        <v>#N/A</v>
      </c>
      <c r="AM62" s="270" t="e">
        <f>INDEX([71]Listas!$F$6:$J$10,MATCH(AI62,[71]Listas!$D$6:$D$10,0),MATCH(AK62,[71]Listas!$F$4:$J$4,0))</f>
        <v>#N/A</v>
      </c>
      <c r="AN62" s="259"/>
      <c r="AO62" s="259"/>
      <c r="AP62" s="659"/>
      <c r="AQ62" s="259"/>
      <c r="AR62" s="259" t="s">
        <v>2343</v>
      </c>
      <c r="AS62" s="655"/>
      <c r="AT62" s="259"/>
      <c r="AU62" s="259"/>
      <c r="AV62" s="261"/>
      <c r="AW62" s="261"/>
      <c r="AX62" s="655"/>
      <c r="AY62" s="262"/>
    </row>
    <row r="63" spans="1:51" s="260" customFormat="1" ht="103.5" hidden="1" customHeight="1">
      <c r="A63" s="655"/>
      <c r="B63" s="266"/>
      <c r="C63" s="1399"/>
      <c r="D63" s="1408"/>
      <c r="E63" s="1400"/>
      <c r="F63" s="266"/>
      <c r="G63" s="1399"/>
      <c r="H63" s="1408"/>
      <c r="I63" s="1400"/>
      <c r="J63" s="1380"/>
      <c r="K63" s="1380"/>
      <c r="L63" s="1380"/>
      <c r="M63" s="655"/>
      <c r="N63" s="655"/>
      <c r="O63" s="655"/>
      <c r="P63" s="655"/>
      <c r="Q63" s="266"/>
      <c r="R63" s="266"/>
      <c r="S63" s="268"/>
      <c r="T63" s="269" t="e">
        <f>VLOOKUP(Q63,[71]Listas!$D$6:$E$10,2,0)</f>
        <v>#N/A</v>
      </c>
      <c r="U63" s="269" t="e">
        <f>HLOOKUP(R63,[71]Listas!$F$4:$J$5,2,0)</f>
        <v>#N/A</v>
      </c>
      <c r="V63" s="270" t="e">
        <f>INDEX([71]Listas!$F$6:$J$10,MATCH(Q63,[71]Listas!$D$6:$D$10,0),MATCH(R63,[71]Listas!$F$4:$J$4,0))</f>
        <v>#N/A</v>
      </c>
      <c r="W63" s="268"/>
      <c r="X63" s="1399"/>
      <c r="Y63" s="1408"/>
      <c r="Z63" s="1400"/>
      <c r="AA63" s="1063"/>
      <c r="AB63" s="267"/>
      <c r="AC63" s="259"/>
      <c r="AD63" s="655"/>
      <c r="AE63" s="267"/>
      <c r="AF63" s="268"/>
      <c r="AG63" s="269">
        <f>IF(AD63&lt;=33,0,IF(AD63&gt;81,2,1))</f>
        <v>0</v>
      </c>
      <c r="AH63" s="271" t="e">
        <f>IF(OR(AE63="Probabilidad",AE63="Ambos"),T63-AG63,T63)</f>
        <v>#N/A</v>
      </c>
      <c r="AI63" s="272" t="e">
        <f>IF(AH63&lt;=1,"Remota",VLOOKUP(AH63,[71]Listas!$C$6:$D$10,2,0))</f>
        <v>#N/A</v>
      </c>
      <c r="AJ63" s="271" t="e">
        <f>IF(OR(AE63="Impacto",AE63="Ambos"),U63-AG63,U63)</f>
        <v>#N/A</v>
      </c>
      <c r="AK63" s="272" t="e">
        <f>IF(AJ63&lt;=1,"Insignificante",HLOOKUP(AJ63,[71]Listas!$F$3:$J$4,2,0))</f>
        <v>#N/A</v>
      </c>
      <c r="AL63" s="273" t="e">
        <f>AH63*AJ63</f>
        <v>#N/A</v>
      </c>
      <c r="AM63" s="270" t="e">
        <f>INDEX([71]Listas!$F$6:$J$10,MATCH(AI63,[71]Listas!$D$6:$D$10,0),MATCH(AK63,[71]Listas!$F$4:$J$4,0))</f>
        <v>#N/A</v>
      </c>
      <c r="AN63" s="259"/>
      <c r="AO63" s="259"/>
      <c r="AP63" s="659"/>
      <c r="AQ63" s="259"/>
      <c r="AR63" s="259" t="s">
        <v>2343</v>
      </c>
      <c r="AS63" s="655"/>
      <c r="AU63" s="259"/>
      <c r="AV63" s="261"/>
      <c r="AW63" s="261"/>
      <c r="AX63" s="655"/>
      <c r="AY63" s="262"/>
    </row>
    <row r="64" spans="1:51" s="260" customFormat="1" ht="103.5" hidden="1" customHeight="1">
      <c r="A64" s="655"/>
      <c r="B64" s="266"/>
      <c r="C64" s="1399"/>
      <c r="D64" s="1408"/>
      <c r="E64" s="1400"/>
      <c r="F64" s="267"/>
      <c r="G64" s="1399"/>
      <c r="H64" s="1408"/>
      <c r="I64" s="1400"/>
      <c r="J64" s="1380"/>
      <c r="K64" s="1380"/>
      <c r="L64" s="1380"/>
      <c r="M64" s="655"/>
      <c r="N64" s="655"/>
      <c r="O64" s="655"/>
      <c r="P64" s="655"/>
      <c r="Q64" s="266"/>
      <c r="R64" s="266"/>
      <c r="S64" s="268"/>
      <c r="T64" s="269" t="e">
        <f>VLOOKUP(Q64,[71]Listas!$D$6:$E$10,2,0)</f>
        <v>#N/A</v>
      </c>
      <c r="U64" s="269" t="e">
        <f>HLOOKUP(R64,[71]Listas!$F$4:$J$5,2,0)</f>
        <v>#N/A</v>
      </c>
      <c r="V64" s="270" t="e">
        <f>INDEX([71]Listas!$F$6:$J$10,MATCH(Q64,[71]Listas!$D$6:$D$10,0),MATCH(R64,[71]Listas!$F$4:$J$4,0))</f>
        <v>#N/A</v>
      </c>
      <c r="W64" s="268"/>
      <c r="X64" s="1399"/>
      <c r="Y64" s="1408"/>
      <c r="Z64" s="1400"/>
      <c r="AA64" s="1063"/>
      <c r="AB64" s="267"/>
      <c r="AC64" s="259"/>
      <c r="AD64" s="655"/>
      <c r="AE64" s="267"/>
      <c r="AF64" s="268"/>
      <c r="AG64" s="269">
        <f t="shared" ref="AG64:AG84" si="11">IF(AD64&lt;=33,0,IF(AD64&gt;81,2,1))</f>
        <v>0</v>
      </c>
      <c r="AH64" s="271" t="e">
        <f t="shared" ref="AH64:AH84" si="12">IF(OR(AE64="Probabilidad",AE64="Ambos"),T64-AG64,T64)</f>
        <v>#N/A</v>
      </c>
      <c r="AI64" s="272" t="e">
        <f>IF(AH64&lt;=1,"Remota",VLOOKUP(AH64,[71]Listas!$C$6:$D$10,2,0))</f>
        <v>#N/A</v>
      </c>
      <c r="AJ64" s="271" t="e">
        <f t="shared" ref="AJ64:AJ84" si="13">IF(OR(AE64="Impacto",AE64="Ambos"),U64-AG64,U64)</f>
        <v>#N/A</v>
      </c>
      <c r="AK64" s="272" t="e">
        <f>IF(AJ64&lt;=1,"Insignificante",HLOOKUP(AJ64,[71]Listas!$F$3:$J$4,2,0))</f>
        <v>#N/A</v>
      </c>
      <c r="AL64" s="273" t="e">
        <f t="shared" ref="AL64:AL84" si="14">AH64*AJ64</f>
        <v>#N/A</v>
      </c>
      <c r="AM64" s="270" t="e">
        <f>INDEX([71]Listas!$F$6:$J$10,MATCH(AI64,[71]Listas!$D$6:$D$10,0),MATCH(AK64,[71]Listas!$F$4:$J$4,0))</f>
        <v>#N/A</v>
      </c>
      <c r="AN64" s="259"/>
      <c r="AO64" s="259"/>
      <c r="AP64" s="659"/>
      <c r="AQ64" s="259"/>
      <c r="AR64" s="259" t="s">
        <v>2343</v>
      </c>
      <c r="AS64" s="655"/>
      <c r="AT64" s="259"/>
      <c r="AU64" s="259"/>
      <c r="AV64" s="261"/>
      <c r="AW64" s="261"/>
      <c r="AX64" s="655"/>
      <c r="AY64" s="262"/>
    </row>
    <row r="65" spans="1:51" s="260" customFormat="1" ht="103.5" hidden="1" customHeight="1">
      <c r="A65" s="655"/>
      <c r="B65" s="266"/>
      <c r="C65" s="1399"/>
      <c r="D65" s="1408"/>
      <c r="E65" s="1400"/>
      <c r="F65" s="267"/>
      <c r="G65" s="1399"/>
      <c r="H65" s="1408"/>
      <c r="I65" s="1400"/>
      <c r="J65" s="1380"/>
      <c r="K65" s="1380"/>
      <c r="L65" s="1380"/>
      <c r="M65" s="655"/>
      <c r="N65" s="655"/>
      <c r="O65" s="655"/>
      <c r="P65" s="655"/>
      <c r="Q65" s="266"/>
      <c r="R65" s="266"/>
      <c r="S65" s="268"/>
      <c r="T65" s="269" t="e">
        <f>VLOOKUP(Q65,[71]Listas!$D$6:$E$10,2,0)</f>
        <v>#N/A</v>
      </c>
      <c r="U65" s="269" t="e">
        <f>HLOOKUP(R65,[71]Listas!$F$4:$J$5,2,0)</f>
        <v>#N/A</v>
      </c>
      <c r="V65" s="270" t="e">
        <f>INDEX([71]Listas!$F$6:$J$10,MATCH(Q65,[71]Listas!$D$6:$D$10,0),MATCH(R65,[71]Listas!$F$4:$J$4,0))</f>
        <v>#N/A</v>
      </c>
      <c r="W65" s="268"/>
      <c r="X65" s="1399"/>
      <c r="Y65" s="1408"/>
      <c r="Z65" s="1400"/>
      <c r="AA65" s="1063"/>
      <c r="AB65" s="267"/>
      <c r="AC65" s="259"/>
      <c r="AD65" s="655"/>
      <c r="AE65" s="267"/>
      <c r="AF65" s="268"/>
      <c r="AG65" s="269">
        <f t="shared" si="11"/>
        <v>0</v>
      </c>
      <c r="AH65" s="271" t="e">
        <f t="shared" si="12"/>
        <v>#N/A</v>
      </c>
      <c r="AI65" s="272" t="e">
        <f>IF(AH65&lt;=1,"Remota",VLOOKUP(AH65,[71]Listas!$C$6:$D$10,2,0))</f>
        <v>#N/A</v>
      </c>
      <c r="AJ65" s="271" t="e">
        <f t="shared" si="13"/>
        <v>#N/A</v>
      </c>
      <c r="AK65" s="272" t="e">
        <f>IF(AJ65&lt;=1,"Insignificante",HLOOKUP(AJ65,[71]Listas!$F$3:$J$4,2,0))</f>
        <v>#N/A</v>
      </c>
      <c r="AL65" s="273" t="e">
        <f t="shared" si="14"/>
        <v>#N/A</v>
      </c>
      <c r="AM65" s="270" t="e">
        <f>INDEX([71]Listas!$F$6:$J$10,MATCH(AI65,[71]Listas!$D$6:$D$10,0),MATCH(AK65,[71]Listas!$F$4:$J$4,0))</f>
        <v>#N/A</v>
      </c>
      <c r="AN65" s="259"/>
      <c r="AO65" s="259"/>
      <c r="AP65" s="659"/>
      <c r="AQ65" s="259"/>
      <c r="AR65" s="259" t="s">
        <v>2343</v>
      </c>
      <c r="AS65" s="655"/>
      <c r="AT65" s="259"/>
      <c r="AU65" s="259"/>
      <c r="AV65" s="261"/>
      <c r="AW65" s="261"/>
      <c r="AX65" s="655"/>
      <c r="AY65" s="262"/>
    </row>
    <row r="66" spans="1:51" s="260" customFormat="1" ht="103.5" hidden="1" customHeight="1">
      <c r="A66" s="655"/>
      <c r="B66" s="266"/>
      <c r="C66" s="1399"/>
      <c r="D66" s="1408"/>
      <c r="E66" s="1400"/>
      <c r="F66" s="267"/>
      <c r="G66" s="1399"/>
      <c r="H66" s="1408"/>
      <c r="I66" s="1400"/>
      <c r="J66" s="1380"/>
      <c r="K66" s="1380"/>
      <c r="L66" s="1380"/>
      <c r="M66" s="655"/>
      <c r="N66" s="655"/>
      <c r="O66" s="655"/>
      <c r="P66" s="655"/>
      <c r="Q66" s="266"/>
      <c r="R66" s="266"/>
      <c r="S66" s="268"/>
      <c r="T66" s="269" t="e">
        <f>VLOOKUP(Q66,[71]Listas!$D$6:$E$10,2,0)</f>
        <v>#N/A</v>
      </c>
      <c r="U66" s="269" t="e">
        <f>HLOOKUP(R66,[71]Listas!$F$4:$J$5,2,0)</f>
        <v>#N/A</v>
      </c>
      <c r="V66" s="270" t="e">
        <f>INDEX([71]Listas!$F$6:$J$10,MATCH(Q66,[71]Listas!$D$6:$D$10,0),MATCH(R66,[71]Listas!$F$4:$J$4,0))</f>
        <v>#N/A</v>
      </c>
      <c r="W66" s="268"/>
      <c r="X66" s="1399"/>
      <c r="Y66" s="1408"/>
      <c r="Z66" s="1400"/>
      <c r="AA66" s="1063"/>
      <c r="AB66" s="267"/>
      <c r="AC66" s="259"/>
      <c r="AD66" s="655"/>
      <c r="AE66" s="267"/>
      <c r="AF66" s="268"/>
      <c r="AG66" s="269">
        <f t="shared" si="11"/>
        <v>0</v>
      </c>
      <c r="AH66" s="271" t="e">
        <f t="shared" si="12"/>
        <v>#N/A</v>
      </c>
      <c r="AI66" s="272" t="e">
        <f>IF(AH66&lt;=1,"Remota",VLOOKUP(AH66,[71]Listas!$C$6:$D$10,2,0))</f>
        <v>#N/A</v>
      </c>
      <c r="AJ66" s="271" t="e">
        <f t="shared" si="13"/>
        <v>#N/A</v>
      </c>
      <c r="AK66" s="272" t="e">
        <f>IF(AJ66&lt;=1,"Insignificante",HLOOKUP(AJ66,[71]Listas!$F$3:$J$4,2,0))</f>
        <v>#N/A</v>
      </c>
      <c r="AL66" s="273" t="e">
        <f t="shared" si="14"/>
        <v>#N/A</v>
      </c>
      <c r="AM66" s="270" t="e">
        <f>INDEX([71]Listas!$F$6:$J$10,MATCH(AI66,[71]Listas!$D$6:$D$10,0),MATCH(AK66,[71]Listas!$F$4:$J$4,0))</f>
        <v>#N/A</v>
      </c>
      <c r="AN66" s="259"/>
      <c r="AO66" s="259"/>
      <c r="AP66" s="659"/>
      <c r="AQ66" s="259"/>
      <c r="AR66" s="259" t="s">
        <v>2343</v>
      </c>
      <c r="AS66" s="655"/>
      <c r="AT66" s="259"/>
      <c r="AU66" s="259"/>
      <c r="AV66" s="261"/>
      <c r="AW66" s="261"/>
      <c r="AX66" s="655"/>
      <c r="AY66" s="262"/>
    </row>
    <row r="67" spans="1:51" s="260" customFormat="1" ht="103.5" hidden="1" customHeight="1">
      <c r="A67" s="655"/>
      <c r="B67" s="266"/>
      <c r="C67" s="1399"/>
      <c r="D67" s="1408"/>
      <c r="E67" s="1400"/>
      <c r="F67" s="267"/>
      <c r="G67" s="1399"/>
      <c r="H67" s="1408"/>
      <c r="I67" s="1400"/>
      <c r="J67" s="1380"/>
      <c r="K67" s="1380"/>
      <c r="L67" s="1380"/>
      <c r="M67" s="655"/>
      <c r="N67" s="655"/>
      <c r="O67" s="655"/>
      <c r="P67" s="655"/>
      <c r="Q67" s="266"/>
      <c r="R67" s="266"/>
      <c r="S67" s="268"/>
      <c r="T67" s="269" t="e">
        <f>VLOOKUP(Q67,[71]Listas!$D$6:$E$10,2,0)</f>
        <v>#N/A</v>
      </c>
      <c r="U67" s="269" t="e">
        <f>HLOOKUP(R67,[71]Listas!$F$4:$J$5,2,0)</f>
        <v>#N/A</v>
      </c>
      <c r="V67" s="270" t="e">
        <f>INDEX([71]Listas!$F$6:$J$10,MATCH(Q67,[71]Listas!$D$6:$D$10,0),MATCH(R67,[71]Listas!$F$4:$J$4,0))</f>
        <v>#N/A</v>
      </c>
      <c r="W67" s="268"/>
      <c r="X67" s="1399"/>
      <c r="Y67" s="1408"/>
      <c r="Z67" s="1400"/>
      <c r="AA67" s="1063"/>
      <c r="AB67" s="267"/>
      <c r="AC67" s="259"/>
      <c r="AD67" s="655"/>
      <c r="AE67" s="267"/>
      <c r="AF67" s="268"/>
      <c r="AG67" s="269">
        <f t="shared" si="11"/>
        <v>0</v>
      </c>
      <c r="AH67" s="271" t="e">
        <f t="shared" si="12"/>
        <v>#N/A</v>
      </c>
      <c r="AI67" s="272" t="e">
        <f>IF(AH67&lt;=1,"Remota",VLOOKUP(AH67,[71]Listas!$C$6:$D$10,2,0))</f>
        <v>#N/A</v>
      </c>
      <c r="AJ67" s="271" t="e">
        <f t="shared" si="13"/>
        <v>#N/A</v>
      </c>
      <c r="AK67" s="272" t="e">
        <f>IF(AJ67&lt;=1,"Insignificante",HLOOKUP(AJ67,[71]Listas!$F$3:$J$4,2,0))</f>
        <v>#N/A</v>
      </c>
      <c r="AL67" s="273" t="e">
        <f t="shared" si="14"/>
        <v>#N/A</v>
      </c>
      <c r="AM67" s="270" t="e">
        <f>INDEX([71]Listas!$F$6:$J$10,MATCH(AI67,[71]Listas!$D$6:$D$10,0),MATCH(AK67,[71]Listas!$F$4:$J$4,0))</f>
        <v>#N/A</v>
      </c>
      <c r="AN67" s="259"/>
      <c r="AO67" s="259"/>
      <c r="AP67" s="659"/>
      <c r="AQ67" s="259"/>
      <c r="AR67" s="259" t="s">
        <v>2343</v>
      </c>
      <c r="AS67" s="655"/>
      <c r="AT67" s="259"/>
      <c r="AU67" s="259"/>
      <c r="AV67" s="261"/>
      <c r="AW67" s="261"/>
      <c r="AX67" s="655"/>
      <c r="AY67" s="262"/>
    </row>
    <row r="68" spans="1:51" s="260" customFormat="1" ht="103.5" hidden="1" customHeight="1">
      <c r="A68" s="655"/>
      <c r="B68" s="266"/>
      <c r="C68" s="1399"/>
      <c r="D68" s="1408"/>
      <c r="E68" s="1400"/>
      <c r="F68" s="267"/>
      <c r="G68" s="1399"/>
      <c r="H68" s="1408"/>
      <c r="I68" s="1400"/>
      <c r="J68" s="1380"/>
      <c r="K68" s="1380"/>
      <c r="L68" s="1380"/>
      <c r="M68" s="655"/>
      <c r="N68" s="655"/>
      <c r="O68" s="655"/>
      <c r="P68" s="655"/>
      <c r="Q68" s="266"/>
      <c r="R68" s="266"/>
      <c r="S68" s="268"/>
      <c r="T68" s="269" t="e">
        <f>VLOOKUP(Q68,[71]Listas!$D$6:$E$10,2,0)</f>
        <v>#N/A</v>
      </c>
      <c r="U68" s="269" t="e">
        <f>HLOOKUP(R68,[71]Listas!$F$4:$J$5,2,0)</f>
        <v>#N/A</v>
      </c>
      <c r="V68" s="270" t="e">
        <f>INDEX([71]Listas!$F$6:$J$10,MATCH(Q68,[71]Listas!$D$6:$D$10,0),MATCH(R68,[71]Listas!$F$4:$J$4,0))</f>
        <v>#N/A</v>
      </c>
      <c r="W68" s="268"/>
      <c r="X68" s="1399"/>
      <c r="Y68" s="1408"/>
      <c r="Z68" s="1400"/>
      <c r="AA68" s="1063"/>
      <c r="AB68" s="267"/>
      <c r="AC68" s="259"/>
      <c r="AD68" s="655"/>
      <c r="AE68" s="267"/>
      <c r="AF68" s="268"/>
      <c r="AG68" s="269">
        <f t="shared" si="11"/>
        <v>0</v>
      </c>
      <c r="AH68" s="271" t="e">
        <f t="shared" si="12"/>
        <v>#N/A</v>
      </c>
      <c r="AI68" s="272" t="e">
        <f>IF(AH68&lt;=1,"Remota",VLOOKUP(AH68,[71]Listas!$C$6:$D$10,2,0))</f>
        <v>#N/A</v>
      </c>
      <c r="AJ68" s="271" t="e">
        <f t="shared" si="13"/>
        <v>#N/A</v>
      </c>
      <c r="AK68" s="272" t="e">
        <f>IF(AJ68&lt;=1,"Insignificante",HLOOKUP(AJ68,[71]Listas!$F$3:$J$4,2,0))</f>
        <v>#N/A</v>
      </c>
      <c r="AL68" s="273" t="e">
        <f t="shared" si="14"/>
        <v>#N/A</v>
      </c>
      <c r="AM68" s="270" t="e">
        <f>INDEX([71]Listas!$F$6:$J$10,MATCH(AI68,[71]Listas!$D$6:$D$10,0),MATCH(AK68,[71]Listas!$F$4:$J$4,0))</f>
        <v>#N/A</v>
      </c>
      <c r="AN68" s="259"/>
      <c r="AO68" s="259"/>
      <c r="AP68" s="659"/>
      <c r="AQ68" s="259"/>
      <c r="AR68" s="259" t="s">
        <v>2343</v>
      </c>
      <c r="AS68" s="655"/>
      <c r="AT68" s="259"/>
      <c r="AU68" s="259"/>
      <c r="AV68" s="261"/>
      <c r="AW68" s="261"/>
      <c r="AX68" s="655"/>
      <c r="AY68" s="262"/>
    </row>
    <row r="69" spans="1:51" s="260" customFormat="1" ht="103.5" hidden="1" customHeight="1">
      <c r="A69" s="655"/>
      <c r="B69" s="266"/>
      <c r="C69" s="1399"/>
      <c r="D69" s="1408"/>
      <c r="E69" s="1400"/>
      <c r="F69" s="267"/>
      <c r="G69" s="1399"/>
      <c r="H69" s="1408"/>
      <c r="I69" s="1400"/>
      <c r="J69" s="1380"/>
      <c r="K69" s="1380"/>
      <c r="L69" s="1380"/>
      <c r="M69" s="655"/>
      <c r="N69" s="655"/>
      <c r="O69" s="655"/>
      <c r="P69" s="655"/>
      <c r="Q69" s="266"/>
      <c r="R69" s="266"/>
      <c r="S69" s="268"/>
      <c r="T69" s="269" t="e">
        <f>VLOOKUP(Q69,[71]Listas!$D$6:$E$10,2,0)</f>
        <v>#N/A</v>
      </c>
      <c r="U69" s="269" t="e">
        <f>HLOOKUP(R69,[71]Listas!$F$4:$J$5,2,0)</f>
        <v>#N/A</v>
      </c>
      <c r="V69" s="270" t="e">
        <f>INDEX([71]Listas!$F$6:$J$10,MATCH(Q69,[71]Listas!$D$6:$D$10,0),MATCH(R69,[71]Listas!$F$4:$J$4,0))</f>
        <v>#N/A</v>
      </c>
      <c r="W69" s="268"/>
      <c r="X69" s="1399"/>
      <c r="Y69" s="1408"/>
      <c r="Z69" s="1400"/>
      <c r="AA69" s="1063"/>
      <c r="AB69" s="267"/>
      <c r="AC69" s="259"/>
      <c r="AD69" s="655"/>
      <c r="AE69" s="267"/>
      <c r="AF69" s="268"/>
      <c r="AG69" s="269">
        <f t="shared" si="11"/>
        <v>0</v>
      </c>
      <c r="AH69" s="271" t="e">
        <f t="shared" si="12"/>
        <v>#N/A</v>
      </c>
      <c r="AI69" s="272" t="e">
        <f>IF(AH69&lt;=1,"Remota",VLOOKUP(AH69,[71]Listas!$C$6:$D$10,2,0))</f>
        <v>#N/A</v>
      </c>
      <c r="AJ69" s="271" t="e">
        <f t="shared" si="13"/>
        <v>#N/A</v>
      </c>
      <c r="AK69" s="272" t="e">
        <f>IF(AJ69&lt;=1,"Insignificante",HLOOKUP(AJ69,[71]Listas!$F$3:$J$4,2,0))</f>
        <v>#N/A</v>
      </c>
      <c r="AL69" s="273" t="e">
        <f t="shared" si="14"/>
        <v>#N/A</v>
      </c>
      <c r="AM69" s="270" t="e">
        <f>INDEX([71]Listas!$F$6:$J$10,MATCH(AI69,[71]Listas!$D$6:$D$10,0),MATCH(AK69,[71]Listas!$F$4:$J$4,0))</f>
        <v>#N/A</v>
      </c>
      <c r="AN69" s="259"/>
      <c r="AO69" s="259"/>
      <c r="AP69" s="659"/>
      <c r="AQ69" s="259"/>
      <c r="AR69" s="259" t="s">
        <v>2343</v>
      </c>
      <c r="AS69" s="655"/>
      <c r="AT69" s="259"/>
      <c r="AU69" s="259"/>
      <c r="AV69" s="261"/>
      <c r="AW69" s="261"/>
      <c r="AX69" s="655"/>
      <c r="AY69" s="262"/>
    </row>
    <row r="70" spans="1:51" s="260" customFormat="1" ht="103.5" hidden="1" customHeight="1">
      <c r="A70" s="655"/>
      <c r="B70" s="266"/>
      <c r="C70" s="1399"/>
      <c r="D70" s="1408"/>
      <c r="E70" s="1400"/>
      <c r="F70" s="267"/>
      <c r="G70" s="1399"/>
      <c r="H70" s="1408"/>
      <c r="I70" s="1400"/>
      <c r="J70" s="1380"/>
      <c r="K70" s="1380"/>
      <c r="L70" s="1380"/>
      <c r="M70" s="655"/>
      <c r="N70" s="655"/>
      <c r="O70" s="655"/>
      <c r="P70" s="655"/>
      <c r="Q70" s="266"/>
      <c r="R70" s="266"/>
      <c r="S70" s="268"/>
      <c r="T70" s="269" t="e">
        <f>VLOOKUP(Q70,[71]Listas!$D$6:$E$10,2,0)</f>
        <v>#N/A</v>
      </c>
      <c r="U70" s="269" t="e">
        <f>HLOOKUP(R70,[71]Listas!$F$4:$J$5,2,0)</f>
        <v>#N/A</v>
      </c>
      <c r="V70" s="270" t="e">
        <f>INDEX([71]Listas!$F$6:$J$10,MATCH(Q70,[71]Listas!$D$6:$D$10,0),MATCH(R70,[71]Listas!$F$4:$J$4,0))</f>
        <v>#N/A</v>
      </c>
      <c r="W70" s="268"/>
      <c r="X70" s="1399"/>
      <c r="Y70" s="1408"/>
      <c r="Z70" s="1400"/>
      <c r="AA70" s="1063"/>
      <c r="AB70" s="267"/>
      <c r="AC70" s="259"/>
      <c r="AD70" s="655"/>
      <c r="AE70" s="267"/>
      <c r="AF70" s="268"/>
      <c r="AG70" s="269">
        <f t="shared" si="11"/>
        <v>0</v>
      </c>
      <c r="AH70" s="271" t="e">
        <f t="shared" si="12"/>
        <v>#N/A</v>
      </c>
      <c r="AI70" s="272" t="e">
        <f>IF(AH70&lt;=1,"Remota",VLOOKUP(AH70,[71]Listas!$C$6:$D$10,2,0))</f>
        <v>#N/A</v>
      </c>
      <c r="AJ70" s="271" t="e">
        <f t="shared" si="13"/>
        <v>#N/A</v>
      </c>
      <c r="AK70" s="272" t="e">
        <f>IF(AJ70&lt;=1,"Insignificante",HLOOKUP(AJ70,[71]Listas!$F$3:$J$4,2,0))</f>
        <v>#N/A</v>
      </c>
      <c r="AL70" s="273" t="e">
        <f t="shared" si="14"/>
        <v>#N/A</v>
      </c>
      <c r="AM70" s="270" t="e">
        <f>INDEX([71]Listas!$F$6:$J$10,MATCH(AI70,[71]Listas!$D$6:$D$10,0),MATCH(AK70,[71]Listas!$F$4:$J$4,0))</f>
        <v>#N/A</v>
      </c>
      <c r="AN70" s="259"/>
      <c r="AO70" s="259"/>
      <c r="AP70" s="659"/>
      <c r="AQ70" s="259"/>
      <c r="AR70" s="259" t="s">
        <v>2343</v>
      </c>
      <c r="AS70" s="655"/>
      <c r="AT70" s="259"/>
      <c r="AU70" s="259"/>
      <c r="AV70" s="261"/>
      <c r="AW70" s="261"/>
      <c r="AX70" s="655"/>
      <c r="AY70" s="262"/>
    </row>
    <row r="71" spans="1:51" s="260" customFormat="1" ht="103.5" hidden="1" customHeight="1">
      <c r="A71" s="655"/>
      <c r="B71" s="266"/>
      <c r="C71" s="1399"/>
      <c r="D71" s="1408"/>
      <c r="E71" s="1400"/>
      <c r="F71" s="267"/>
      <c r="G71" s="1399"/>
      <c r="H71" s="1408"/>
      <c r="I71" s="1400"/>
      <c r="J71" s="1380"/>
      <c r="K71" s="1380"/>
      <c r="L71" s="1380"/>
      <c r="M71" s="655"/>
      <c r="N71" s="655"/>
      <c r="O71" s="655"/>
      <c r="P71" s="655"/>
      <c r="Q71" s="266"/>
      <c r="R71" s="266"/>
      <c r="S71" s="268"/>
      <c r="T71" s="269" t="e">
        <f>VLOOKUP(Q71,[71]Listas!$D$6:$E$10,2,0)</f>
        <v>#N/A</v>
      </c>
      <c r="U71" s="269" t="e">
        <f>HLOOKUP(R71,[71]Listas!$F$4:$J$5,2,0)</f>
        <v>#N/A</v>
      </c>
      <c r="V71" s="270" t="e">
        <f>INDEX([71]Listas!$F$6:$J$10,MATCH(Q71,[71]Listas!$D$6:$D$10,0),MATCH(R71,[71]Listas!$F$4:$J$4,0))</f>
        <v>#N/A</v>
      </c>
      <c r="W71" s="268"/>
      <c r="X71" s="1399"/>
      <c r="Y71" s="1408"/>
      <c r="Z71" s="1400"/>
      <c r="AA71" s="1063"/>
      <c r="AB71" s="267"/>
      <c r="AC71" s="259"/>
      <c r="AD71" s="655"/>
      <c r="AE71" s="267"/>
      <c r="AF71" s="268"/>
      <c r="AG71" s="269">
        <f t="shared" si="11"/>
        <v>0</v>
      </c>
      <c r="AH71" s="271" t="e">
        <f t="shared" si="12"/>
        <v>#N/A</v>
      </c>
      <c r="AI71" s="272" t="e">
        <f>IF(AH71&lt;=1,"Remota",VLOOKUP(AH71,[71]Listas!$C$6:$D$10,2,0))</f>
        <v>#N/A</v>
      </c>
      <c r="AJ71" s="271" t="e">
        <f t="shared" si="13"/>
        <v>#N/A</v>
      </c>
      <c r="AK71" s="272" t="e">
        <f>IF(AJ71&lt;=1,"Insignificante",HLOOKUP(AJ71,[71]Listas!$F$3:$J$4,2,0))</f>
        <v>#N/A</v>
      </c>
      <c r="AL71" s="273" t="e">
        <f t="shared" si="14"/>
        <v>#N/A</v>
      </c>
      <c r="AM71" s="270" t="e">
        <f>INDEX([71]Listas!$F$6:$J$10,MATCH(AI71,[71]Listas!$D$6:$D$10,0),MATCH(AK71,[71]Listas!$F$4:$J$4,0))</f>
        <v>#N/A</v>
      </c>
      <c r="AN71" s="259"/>
      <c r="AO71" s="259"/>
      <c r="AP71" s="659"/>
      <c r="AQ71" s="259"/>
      <c r="AR71" s="259" t="s">
        <v>2343</v>
      </c>
      <c r="AS71" s="655"/>
      <c r="AT71" s="259"/>
      <c r="AU71" s="259"/>
      <c r="AV71" s="261"/>
      <c r="AW71" s="261"/>
      <c r="AX71" s="655"/>
      <c r="AY71" s="262"/>
    </row>
    <row r="72" spans="1:51" s="260" customFormat="1" ht="103.5" hidden="1" customHeight="1">
      <c r="A72" s="655"/>
      <c r="B72" s="266"/>
      <c r="C72" s="1399"/>
      <c r="D72" s="1408"/>
      <c r="E72" s="1400"/>
      <c r="F72" s="267"/>
      <c r="G72" s="1399"/>
      <c r="H72" s="1408"/>
      <c r="I72" s="1400"/>
      <c r="J72" s="1380"/>
      <c r="K72" s="1380"/>
      <c r="L72" s="1380"/>
      <c r="M72" s="655"/>
      <c r="N72" s="655"/>
      <c r="O72" s="655"/>
      <c r="P72" s="655"/>
      <c r="Q72" s="266"/>
      <c r="R72" s="266"/>
      <c r="S72" s="268"/>
      <c r="T72" s="269" t="e">
        <f>VLOOKUP(Q72,[71]Listas!$D$6:$E$10,2,0)</f>
        <v>#N/A</v>
      </c>
      <c r="U72" s="269" t="e">
        <f>HLOOKUP(R72,[71]Listas!$F$4:$J$5,2,0)</f>
        <v>#N/A</v>
      </c>
      <c r="V72" s="270" t="e">
        <f>INDEX([71]Listas!$F$6:$J$10,MATCH(Q72,[71]Listas!$D$6:$D$10,0),MATCH(R72,[71]Listas!$F$4:$J$4,0))</f>
        <v>#N/A</v>
      </c>
      <c r="W72" s="268"/>
      <c r="X72" s="1399"/>
      <c r="Y72" s="1408"/>
      <c r="Z72" s="1400"/>
      <c r="AA72" s="1063"/>
      <c r="AB72" s="267"/>
      <c r="AC72" s="259"/>
      <c r="AD72" s="655"/>
      <c r="AE72" s="267"/>
      <c r="AF72" s="268"/>
      <c r="AG72" s="269">
        <f t="shared" si="11"/>
        <v>0</v>
      </c>
      <c r="AH72" s="271" t="e">
        <f t="shared" si="12"/>
        <v>#N/A</v>
      </c>
      <c r="AI72" s="272" t="e">
        <f>IF(AH72&lt;=1,"Remota",VLOOKUP(AH72,[71]Listas!$C$6:$D$10,2,0))</f>
        <v>#N/A</v>
      </c>
      <c r="AJ72" s="271" t="e">
        <f t="shared" si="13"/>
        <v>#N/A</v>
      </c>
      <c r="AK72" s="272" t="e">
        <f>IF(AJ72&lt;=1,"Insignificante",HLOOKUP(AJ72,[71]Listas!$F$3:$J$4,2,0))</f>
        <v>#N/A</v>
      </c>
      <c r="AL72" s="273" t="e">
        <f t="shared" si="14"/>
        <v>#N/A</v>
      </c>
      <c r="AM72" s="270" t="e">
        <f>INDEX([71]Listas!$F$6:$J$10,MATCH(AI72,[71]Listas!$D$6:$D$10,0),MATCH(AK72,[71]Listas!$F$4:$J$4,0))</f>
        <v>#N/A</v>
      </c>
      <c r="AN72" s="259"/>
      <c r="AO72" s="259"/>
      <c r="AP72" s="659"/>
      <c r="AQ72" s="259"/>
      <c r="AR72" s="259" t="s">
        <v>2343</v>
      </c>
      <c r="AS72" s="655"/>
      <c r="AT72" s="259"/>
      <c r="AU72" s="259"/>
      <c r="AV72" s="261"/>
      <c r="AW72" s="261"/>
      <c r="AX72" s="655"/>
      <c r="AY72" s="262"/>
    </row>
    <row r="73" spans="1:51" s="260" customFormat="1" ht="103.5" hidden="1" customHeight="1">
      <c r="A73" s="655"/>
      <c r="B73" s="266"/>
      <c r="C73" s="1399"/>
      <c r="D73" s="1408"/>
      <c r="E73" s="1400"/>
      <c r="F73" s="267"/>
      <c r="G73" s="1399"/>
      <c r="H73" s="1408"/>
      <c r="I73" s="1400"/>
      <c r="J73" s="1380"/>
      <c r="K73" s="1380"/>
      <c r="L73" s="1380"/>
      <c r="M73" s="655"/>
      <c r="N73" s="655"/>
      <c r="O73" s="655"/>
      <c r="P73" s="655"/>
      <c r="Q73" s="266"/>
      <c r="R73" s="266"/>
      <c r="S73" s="268"/>
      <c r="T73" s="269" t="e">
        <f>VLOOKUP(Q73,[71]Listas!$D$6:$E$10,2,0)</f>
        <v>#N/A</v>
      </c>
      <c r="U73" s="269" t="e">
        <f>HLOOKUP(R73,[71]Listas!$F$4:$J$5,2,0)</f>
        <v>#N/A</v>
      </c>
      <c r="V73" s="270" t="e">
        <f>INDEX([71]Listas!$F$6:$J$10,MATCH(Q73,[71]Listas!$D$6:$D$10,0),MATCH(R73,[71]Listas!$F$4:$J$4,0))</f>
        <v>#N/A</v>
      </c>
      <c r="W73" s="268"/>
      <c r="X73" s="1399"/>
      <c r="Y73" s="1408"/>
      <c r="Z73" s="1400"/>
      <c r="AA73" s="1063"/>
      <c r="AB73" s="267"/>
      <c r="AC73" s="259"/>
      <c r="AD73" s="655"/>
      <c r="AE73" s="267"/>
      <c r="AF73" s="268"/>
      <c r="AG73" s="269">
        <f t="shared" si="11"/>
        <v>0</v>
      </c>
      <c r="AH73" s="271" t="e">
        <f t="shared" si="12"/>
        <v>#N/A</v>
      </c>
      <c r="AI73" s="272" t="e">
        <f>IF(AH73&lt;=1,"Remota",VLOOKUP(AH73,[71]Listas!$C$6:$D$10,2,0))</f>
        <v>#N/A</v>
      </c>
      <c r="AJ73" s="271" t="e">
        <f t="shared" si="13"/>
        <v>#N/A</v>
      </c>
      <c r="AK73" s="272" t="e">
        <f>IF(AJ73&lt;=1,"Insignificante",HLOOKUP(AJ73,[71]Listas!$F$3:$J$4,2,0))</f>
        <v>#N/A</v>
      </c>
      <c r="AL73" s="273" t="e">
        <f t="shared" si="14"/>
        <v>#N/A</v>
      </c>
      <c r="AM73" s="270" t="e">
        <f>INDEX([71]Listas!$F$6:$J$10,MATCH(AI73,[71]Listas!$D$6:$D$10,0),MATCH(AK73,[71]Listas!$F$4:$J$4,0))</f>
        <v>#N/A</v>
      </c>
      <c r="AN73" s="259"/>
      <c r="AO73" s="259"/>
      <c r="AP73" s="659"/>
      <c r="AQ73" s="259"/>
      <c r="AR73" s="259" t="s">
        <v>2343</v>
      </c>
      <c r="AS73" s="655"/>
      <c r="AT73" s="259"/>
      <c r="AU73" s="259"/>
      <c r="AV73" s="261"/>
      <c r="AW73" s="261"/>
      <c r="AX73" s="655"/>
      <c r="AY73" s="262"/>
    </row>
    <row r="74" spans="1:51" s="260" customFormat="1" ht="103.5" hidden="1" customHeight="1">
      <c r="A74" s="655"/>
      <c r="B74" s="266"/>
      <c r="C74" s="1399"/>
      <c r="D74" s="1408"/>
      <c r="E74" s="1400"/>
      <c r="F74" s="267"/>
      <c r="G74" s="1399"/>
      <c r="H74" s="1408"/>
      <c r="I74" s="1400"/>
      <c r="J74" s="1380"/>
      <c r="K74" s="1380"/>
      <c r="L74" s="1380"/>
      <c r="M74" s="655"/>
      <c r="N74" s="655"/>
      <c r="O74" s="655"/>
      <c r="P74" s="655"/>
      <c r="Q74" s="266"/>
      <c r="R74" s="266"/>
      <c r="S74" s="268"/>
      <c r="T74" s="269" t="e">
        <f>VLOOKUP(Q74,[71]Listas!$D$6:$E$10,2,0)</f>
        <v>#N/A</v>
      </c>
      <c r="U74" s="269" t="e">
        <f>HLOOKUP(R74,[71]Listas!$F$4:$J$5,2,0)</f>
        <v>#N/A</v>
      </c>
      <c r="V74" s="270" t="e">
        <f>INDEX([71]Listas!$F$6:$J$10,MATCH(Q74,[71]Listas!$D$6:$D$10,0),MATCH(R74,[71]Listas!$F$4:$J$4,0))</f>
        <v>#N/A</v>
      </c>
      <c r="W74" s="268"/>
      <c r="X74" s="1399"/>
      <c r="Y74" s="1408"/>
      <c r="Z74" s="1400"/>
      <c r="AA74" s="1063"/>
      <c r="AB74" s="267"/>
      <c r="AC74" s="259"/>
      <c r="AD74" s="655"/>
      <c r="AE74" s="267"/>
      <c r="AF74" s="268"/>
      <c r="AG74" s="269">
        <f t="shared" si="11"/>
        <v>0</v>
      </c>
      <c r="AH74" s="271" t="e">
        <f t="shared" si="12"/>
        <v>#N/A</v>
      </c>
      <c r="AI74" s="272" t="e">
        <f>IF(AH74&lt;=1,"Remota",VLOOKUP(AH74,[71]Listas!$C$6:$D$10,2,0))</f>
        <v>#N/A</v>
      </c>
      <c r="AJ74" s="271" t="e">
        <f t="shared" si="13"/>
        <v>#N/A</v>
      </c>
      <c r="AK74" s="272" t="e">
        <f>IF(AJ74&lt;=1,"Insignificante",HLOOKUP(AJ74,[71]Listas!$F$3:$J$4,2,0))</f>
        <v>#N/A</v>
      </c>
      <c r="AL74" s="273" t="e">
        <f t="shared" si="14"/>
        <v>#N/A</v>
      </c>
      <c r="AM74" s="270" t="e">
        <f>INDEX([71]Listas!$F$6:$J$10,MATCH(AI74,[71]Listas!$D$6:$D$10,0),MATCH(AK74,[71]Listas!$F$4:$J$4,0))</f>
        <v>#N/A</v>
      </c>
      <c r="AN74" s="259"/>
      <c r="AO74" s="259"/>
      <c r="AP74" s="659"/>
      <c r="AQ74" s="259"/>
      <c r="AR74" s="259" t="s">
        <v>2343</v>
      </c>
      <c r="AS74" s="655"/>
      <c r="AT74" s="259"/>
      <c r="AU74" s="259"/>
      <c r="AV74" s="261"/>
      <c r="AW74" s="261"/>
      <c r="AX74" s="655"/>
      <c r="AY74" s="262"/>
    </row>
    <row r="75" spans="1:51" s="260" customFormat="1" ht="103.5" hidden="1" customHeight="1">
      <c r="A75" s="655"/>
      <c r="B75" s="266"/>
      <c r="C75" s="1399"/>
      <c r="D75" s="1408"/>
      <c r="E75" s="1400"/>
      <c r="F75" s="267"/>
      <c r="G75" s="1399"/>
      <c r="H75" s="1408"/>
      <c r="I75" s="1400"/>
      <c r="J75" s="1380"/>
      <c r="K75" s="1380"/>
      <c r="L75" s="1380"/>
      <c r="M75" s="655"/>
      <c r="N75" s="655"/>
      <c r="O75" s="655"/>
      <c r="P75" s="655"/>
      <c r="Q75" s="266"/>
      <c r="R75" s="266"/>
      <c r="S75" s="268"/>
      <c r="T75" s="269" t="e">
        <f>VLOOKUP(Q75,[71]Listas!$D$6:$E$10,2,0)</f>
        <v>#N/A</v>
      </c>
      <c r="U75" s="269" t="e">
        <f>HLOOKUP(R75,[71]Listas!$F$4:$J$5,2,0)</f>
        <v>#N/A</v>
      </c>
      <c r="V75" s="270" t="e">
        <f>INDEX([71]Listas!$F$6:$J$10,MATCH(Q75,[71]Listas!$D$6:$D$10,0),MATCH(R75,[71]Listas!$F$4:$J$4,0))</f>
        <v>#N/A</v>
      </c>
      <c r="W75" s="268"/>
      <c r="X75" s="1399"/>
      <c r="Y75" s="1408"/>
      <c r="Z75" s="1400"/>
      <c r="AA75" s="1063"/>
      <c r="AB75" s="267"/>
      <c r="AC75" s="259"/>
      <c r="AD75" s="655"/>
      <c r="AE75" s="267"/>
      <c r="AF75" s="268"/>
      <c r="AG75" s="269">
        <f t="shared" si="11"/>
        <v>0</v>
      </c>
      <c r="AH75" s="271" t="e">
        <f t="shared" si="12"/>
        <v>#N/A</v>
      </c>
      <c r="AI75" s="272" t="e">
        <f>IF(AH75&lt;=1,"Remota",VLOOKUP(AH75,[71]Listas!$C$6:$D$10,2,0))</f>
        <v>#N/A</v>
      </c>
      <c r="AJ75" s="271" t="e">
        <f t="shared" si="13"/>
        <v>#N/A</v>
      </c>
      <c r="AK75" s="272" t="e">
        <f>IF(AJ75&lt;=1,"Insignificante",HLOOKUP(AJ75,[71]Listas!$F$3:$J$4,2,0))</f>
        <v>#N/A</v>
      </c>
      <c r="AL75" s="273" t="e">
        <f t="shared" si="14"/>
        <v>#N/A</v>
      </c>
      <c r="AM75" s="270" t="e">
        <f>INDEX([71]Listas!$F$6:$J$10,MATCH(AI75,[71]Listas!$D$6:$D$10,0),MATCH(AK75,[71]Listas!$F$4:$J$4,0))</f>
        <v>#N/A</v>
      </c>
      <c r="AN75" s="259"/>
      <c r="AO75" s="259"/>
      <c r="AP75" s="659"/>
      <c r="AQ75" s="259"/>
      <c r="AR75" s="259" t="s">
        <v>2343</v>
      </c>
      <c r="AS75" s="655"/>
      <c r="AT75" s="259"/>
      <c r="AU75" s="259"/>
      <c r="AV75" s="261"/>
      <c r="AW75" s="261"/>
      <c r="AX75" s="655"/>
      <c r="AY75" s="262"/>
    </row>
    <row r="76" spans="1:51" s="260" customFormat="1" ht="103.5" hidden="1" customHeight="1">
      <c r="A76" s="655"/>
      <c r="B76" s="266"/>
      <c r="C76" s="1399"/>
      <c r="D76" s="1408"/>
      <c r="E76" s="1400"/>
      <c r="F76" s="267"/>
      <c r="G76" s="1399"/>
      <c r="H76" s="1408"/>
      <c r="I76" s="1400"/>
      <c r="J76" s="1380"/>
      <c r="K76" s="1380"/>
      <c r="L76" s="1380"/>
      <c r="M76" s="655"/>
      <c r="N76" s="655"/>
      <c r="O76" s="655"/>
      <c r="P76" s="655"/>
      <c r="Q76" s="266"/>
      <c r="R76" s="266"/>
      <c r="S76" s="268"/>
      <c r="T76" s="269" t="e">
        <f>VLOOKUP(Q76,[71]Listas!$D$6:$E$10,2,0)</f>
        <v>#N/A</v>
      </c>
      <c r="U76" s="269" t="e">
        <f>HLOOKUP(R76,[71]Listas!$F$4:$J$5,2,0)</f>
        <v>#N/A</v>
      </c>
      <c r="V76" s="270" t="e">
        <f>INDEX([71]Listas!$F$6:$J$10,MATCH(Q76,[71]Listas!$D$6:$D$10,0),MATCH(R76,[71]Listas!$F$4:$J$4,0))</f>
        <v>#N/A</v>
      </c>
      <c r="W76" s="268"/>
      <c r="X76" s="1399"/>
      <c r="Y76" s="1408"/>
      <c r="Z76" s="1400"/>
      <c r="AA76" s="1063"/>
      <c r="AB76" s="267"/>
      <c r="AC76" s="259"/>
      <c r="AD76" s="655"/>
      <c r="AE76" s="267"/>
      <c r="AF76" s="268"/>
      <c r="AG76" s="269">
        <f t="shared" si="11"/>
        <v>0</v>
      </c>
      <c r="AH76" s="271" t="e">
        <f t="shared" si="12"/>
        <v>#N/A</v>
      </c>
      <c r="AI76" s="272" t="e">
        <f>IF(AH76&lt;=1,"Remota",VLOOKUP(AH76,[71]Listas!$C$6:$D$10,2,0))</f>
        <v>#N/A</v>
      </c>
      <c r="AJ76" s="271" t="e">
        <f t="shared" si="13"/>
        <v>#N/A</v>
      </c>
      <c r="AK76" s="272" t="e">
        <f>IF(AJ76&lt;=1,"Insignificante",HLOOKUP(AJ76,[71]Listas!$F$3:$J$4,2,0))</f>
        <v>#N/A</v>
      </c>
      <c r="AL76" s="273" t="e">
        <f t="shared" si="14"/>
        <v>#N/A</v>
      </c>
      <c r="AM76" s="270" t="e">
        <f>INDEX([71]Listas!$F$6:$J$10,MATCH(AI76,[71]Listas!$D$6:$D$10,0),MATCH(AK76,[71]Listas!$F$4:$J$4,0))</f>
        <v>#N/A</v>
      </c>
      <c r="AN76" s="259"/>
      <c r="AO76" s="259"/>
      <c r="AP76" s="659"/>
      <c r="AQ76" s="259"/>
      <c r="AR76" s="259" t="s">
        <v>2343</v>
      </c>
      <c r="AS76" s="655"/>
      <c r="AT76" s="259"/>
      <c r="AU76" s="259"/>
      <c r="AV76" s="261"/>
      <c r="AW76" s="261"/>
      <c r="AX76" s="655"/>
      <c r="AY76" s="262"/>
    </row>
    <row r="77" spans="1:51" s="260" customFormat="1" ht="103.5" hidden="1" customHeight="1">
      <c r="A77" s="655"/>
      <c r="B77" s="266"/>
      <c r="C77" s="1399"/>
      <c r="D77" s="1408"/>
      <c r="E77" s="1400"/>
      <c r="F77" s="267"/>
      <c r="G77" s="1399"/>
      <c r="H77" s="1408"/>
      <c r="I77" s="1400"/>
      <c r="J77" s="1380"/>
      <c r="K77" s="1380"/>
      <c r="L77" s="1380"/>
      <c r="M77" s="655"/>
      <c r="N77" s="655"/>
      <c r="O77" s="655"/>
      <c r="P77" s="655"/>
      <c r="Q77" s="266"/>
      <c r="R77" s="266"/>
      <c r="S77" s="268"/>
      <c r="T77" s="269" t="e">
        <f>VLOOKUP(Q77,[71]Listas!$D$6:$E$10,2,0)</f>
        <v>#N/A</v>
      </c>
      <c r="U77" s="269" t="e">
        <f>HLOOKUP(R77,[71]Listas!$F$4:$J$5,2,0)</f>
        <v>#N/A</v>
      </c>
      <c r="V77" s="270" t="e">
        <f>INDEX([71]Listas!$F$6:$J$10,MATCH(Q77,[71]Listas!$D$6:$D$10,0),MATCH(R77,[71]Listas!$F$4:$J$4,0))</f>
        <v>#N/A</v>
      </c>
      <c r="W77" s="268"/>
      <c r="X77" s="1399"/>
      <c r="Y77" s="1408"/>
      <c r="Z77" s="1400"/>
      <c r="AA77" s="1063"/>
      <c r="AB77" s="267"/>
      <c r="AC77" s="259"/>
      <c r="AD77" s="655"/>
      <c r="AE77" s="267"/>
      <c r="AF77" s="268"/>
      <c r="AG77" s="269">
        <f t="shared" si="11"/>
        <v>0</v>
      </c>
      <c r="AH77" s="271" t="e">
        <f t="shared" si="12"/>
        <v>#N/A</v>
      </c>
      <c r="AI77" s="272" t="e">
        <f>IF(AH77&lt;=1,"Remota",VLOOKUP(AH77,[71]Listas!$C$6:$D$10,2,0))</f>
        <v>#N/A</v>
      </c>
      <c r="AJ77" s="271" t="e">
        <f t="shared" si="13"/>
        <v>#N/A</v>
      </c>
      <c r="AK77" s="272" t="e">
        <f>IF(AJ77&lt;=1,"Insignificante",HLOOKUP(AJ77,[71]Listas!$F$3:$J$4,2,0))</f>
        <v>#N/A</v>
      </c>
      <c r="AL77" s="273" t="e">
        <f t="shared" si="14"/>
        <v>#N/A</v>
      </c>
      <c r="AM77" s="270" t="e">
        <f>INDEX([71]Listas!$F$6:$J$10,MATCH(AI77,[71]Listas!$D$6:$D$10,0),MATCH(AK77,[71]Listas!$F$4:$J$4,0))</f>
        <v>#N/A</v>
      </c>
      <c r="AN77" s="259"/>
      <c r="AO77" s="259"/>
      <c r="AP77" s="659"/>
      <c r="AQ77" s="259"/>
      <c r="AR77" s="259" t="s">
        <v>2343</v>
      </c>
      <c r="AS77" s="655"/>
      <c r="AT77" s="259"/>
      <c r="AU77" s="259"/>
      <c r="AV77" s="261"/>
      <c r="AW77" s="261"/>
      <c r="AX77" s="655"/>
      <c r="AY77" s="262"/>
    </row>
    <row r="78" spans="1:51" s="260" customFormat="1" ht="103.5" hidden="1" customHeight="1">
      <c r="A78" s="655"/>
      <c r="B78" s="266"/>
      <c r="C78" s="1399"/>
      <c r="D78" s="1408"/>
      <c r="E78" s="1400"/>
      <c r="F78" s="267"/>
      <c r="G78" s="1399"/>
      <c r="H78" s="1408"/>
      <c r="I78" s="1400"/>
      <c r="J78" s="1380"/>
      <c r="K78" s="1380"/>
      <c r="L78" s="1380"/>
      <c r="M78" s="655"/>
      <c r="N78" s="655"/>
      <c r="O78" s="655"/>
      <c r="P78" s="655"/>
      <c r="Q78" s="266"/>
      <c r="R78" s="266"/>
      <c r="S78" s="268"/>
      <c r="T78" s="269" t="e">
        <f>VLOOKUP(Q78,[71]Listas!$D$6:$E$10,2,0)</f>
        <v>#N/A</v>
      </c>
      <c r="U78" s="269" t="e">
        <f>HLOOKUP(R78,[71]Listas!$F$4:$J$5,2,0)</f>
        <v>#N/A</v>
      </c>
      <c r="V78" s="270" t="e">
        <f>INDEX([71]Listas!$F$6:$J$10,MATCH(Q78,[71]Listas!$D$6:$D$10,0),MATCH(R78,[71]Listas!$F$4:$J$4,0))</f>
        <v>#N/A</v>
      </c>
      <c r="W78" s="268"/>
      <c r="X78" s="1399"/>
      <c r="Y78" s="1408"/>
      <c r="Z78" s="1400"/>
      <c r="AA78" s="1063"/>
      <c r="AB78" s="267"/>
      <c r="AC78" s="259"/>
      <c r="AD78" s="655"/>
      <c r="AE78" s="267"/>
      <c r="AF78" s="268"/>
      <c r="AG78" s="269">
        <f t="shared" si="11"/>
        <v>0</v>
      </c>
      <c r="AH78" s="271" t="e">
        <f t="shared" si="12"/>
        <v>#N/A</v>
      </c>
      <c r="AI78" s="272" t="e">
        <f>IF(AH78&lt;=1,"Remota",VLOOKUP(AH78,[71]Listas!$C$6:$D$10,2,0))</f>
        <v>#N/A</v>
      </c>
      <c r="AJ78" s="271" t="e">
        <f t="shared" si="13"/>
        <v>#N/A</v>
      </c>
      <c r="AK78" s="272" t="e">
        <f>IF(AJ78&lt;=1,"Insignificante",HLOOKUP(AJ78,[71]Listas!$F$3:$J$4,2,0))</f>
        <v>#N/A</v>
      </c>
      <c r="AL78" s="273" t="e">
        <f t="shared" si="14"/>
        <v>#N/A</v>
      </c>
      <c r="AM78" s="270" t="e">
        <f>INDEX([71]Listas!$F$6:$J$10,MATCH(AI78,[71]Listas!$D$6:$D$10,0),MATCH(AK78,[71]Listas!$F$4:$J$4,0))</f>
        <v>#N/A</v>
      </c>
      <c r="AN78" s="259"/>
      <c r="AO78" s="259"/>
      <c r="AP78" s="659"/>
      <c r="AQ78" s="259"/>
      <c r="AR78" s="259" t="s">
        <v>2343</v>
      </c>
      <c r="AS78" s="655"/>
      <c r="AT78" s="259"/>
      <c r="AU78" s="259"/>
      <c r="AV78" s="261"/>
      <c r="AW78" s="261"/>
      <c r="AX78" s="655"/>
      <c r="AY78" s="262"/>
    </row>
    <row r="79" spans="1:51" s="260" customFormat="1" ht="103.5" hidden="1" customHeight="1">
      <c r="A79" s="655"/>
      <c r="B79" s="266"/>
      <c r="C79" s="1399"/>
      <c r="D79" s="1408"/>
      <c r="E79" s="1400"/>
      <c r="F79" s="267"/>
      <c r="G79" s="1399"/>
      <c r="H79" s="1408"/>
      <c r="I79" s="1400"/>
      <c r="J79" s="1380"/>
      <c r="K79" s="1380"/>
      <c r="L79" s="1380"/>
      <c r="M79" s="655"/>
      <c r="N79" s="655"/>
      <c r="O79" s="655"/>
      <c r="P79" s="655"/>
      <c r="Q79" s="266"/>
      <c r="R79" s="266"/>
      <c r="S79" s="268"/>
      <c r="T79" s="269" t="e">
        <f>VLOOKUP(Q79,[71]Listas!$D$6:$E$10,2,0)</f>
        <v>#N/A</v>
      </c>
      <c r="U79" s="269" t="e">
        <f>HLOOKUP(R79,[71]Listas!$F$4:$J$5,2,0)</f>
        <v>#N/A</v>
      </c>
      <c r="V79" s="270" t="e">
        <f>INDEX([71]Listas!$F$6:$J$10,MATCH(Q79,[71]Listas!$D$6:$D$10,0),MATCH(R79,[71]Listas!$F$4:$J$4,0))</f>
        <v>#N/A</v>
      </c>
      <c r="W79" s="268"/>
      <c r="X79" s="1399"/>
      <c r="Y79" s="1408"/>
      <c r="Z79" s="1400"/>
      <c r="AA79" s="1063"/>
      <c r="AB79" s="267"/>
      <c r="AC79" s="259"/>
      <c r="AD79" s="655"/>
      <c r="AE79" s="267"/>
      <c r="AF79" s="268"/>
      <c r="AG79" s="269">
        <f t="shared" si="11"/>
        <v>0</v>
      </c>
      <c r="AH79" s="271" t="e">
        <f t="shared" si="12"/>
        <v>#N/A</v>
      </c>
      <c r="AI79" s="272" t="e">
        <f>IF(AH79&lt;=1,"Remota",VLOOKUP(AH79,[71]Listas!$C$6:$D$10,2,0))</f>
        <v>#N/A</v>
      </c>
      <c r="AJ79" s="271" t="e">
        <f t="shared" si="13"/>
        <v>#N/A</v>
      </c>
      <c r="AK79" s="272" t="e">
        <f>IF(AJ79&lt;=1,"Insignificante",HLOOKUP(AJ79,[71]Listas!$F$3:$J$4,2,0))</f>
        <v>#N/A</v>
      </c>
      <c r="AL79" s="273" t="e">
        <f t="shared" si="14"/>
        <v>#N/A</v>
      </c>
      <c r="AM79" s="270" t="e">
        <f>INDEX([71]Listas!$F$6:$J$10,MATCH(AI79,[71]Listas!$D$6:$D$10,0),MATCH(AK79,[71]Listas!$F$4:$J$4,0))</f>
        <v>#N/A</v>
      </c>
      <c r="AN79" s="259"/>
      <c r="AO79" s="259"/>
      <c r="AP79" s="659"/>
      <c r="AQ79" s="259"/>
      <c r="AR79" s="259" t="s">
        <v>2343</v>
      </c>
      <c r="AS79" s="655"/>
      <c r="AT79" s="259"/>
      <c r="AU79" s="259"/>
      <c r="AV79" s="261"/>
      <c r="AW79" s="261"/>
      <c r="AX79" s="655"/>
      <c r="AY79" s="262"/>
    </row>
    <row r="80" spans="1:51" s="260" customFormat="1" ht="103.5" hidden="1" customHeight="1">
      <c r="A80" s="655"/>
      <c r="B80" s="266"/>
      <c r="C80" s="1399"/>
      <c r="D80" s="1408"/>
      <c r="E80" s="1400"/>
      <c r="F80" s="267"/>
      <c r="G80" s="1399"/>
      <c r="H80" s="1408"/>
      <c r="I80" s="1400"/>
      <c r="J80" s="1380"/>
      <c r="K80" s="1380"/>
      <c r="L80" s="1380"/>
      <c r="M80" s="655"/>
      <c r="N80" s="655"/>
      <c r="O80" s="655"/>
      <c r="P80" s="655"/>
      <c r="Q80" s="266"/>
      <c r="R80" s="266"/>
      <c r="S80" s="268"/>
      <c r="T80" s="269" t="e">
        <f>VLOOKUP(Q80,[71]Listas!$D$6:$E$10,2,0)</f>
        <v>#N/A</v>
      </c>
      <c r="U80" s="269" t="e">
        <f>HLOOKUP(R80,[71]Listas!$F$4:$J$5,2,0)</f>
        <v>#N/A</v>
      </c>
      <c r="V80" s="270" t="e">
        <f>INDEX([71]Listas!$F$6:$J$10,MATCH(Q80,[71]Listas!$D$6:$D$10,0),MATCH(R80,[71]Listas!$F$4:$J$4,0))</f>
        <v>#N/A</v>
      </c>
      <c r="W80" s="268"/>
      <c r="X80" s="1399"/>
      <c r="Y80" s="1408"/>
      <c r="Z80" s="1400"/>
      <c r="AA80" s="1063"/>
      <c r="AB80" s="267"/>
      <c r="AC80" s="259"/>
      <c r="AD80" s="655"/>
      <c r="AE80" s="267"/>
      <c r="AF80" s="268"/>
      <c r="AG80" s="269">
        <f t="shared" si="11"/>
        <v>0</v>
      </c>
      <c r="AH80" s="271" t="e">
        <f t="shared" si="12"/>
        <v>#N/A</v>
      </c>
      <c r="AI80" s="272" t="e">
        <f>IF(AH80&lt;=1,"Remota",VLOOKUP(AH80,[71]Listas!$C$6:$D$10,2,0))</f>
        <v>#N/A</v>
      </c>
      <c r="AJ80" s="271" t="e">
        <f t="shared" si="13"/>
        <v>#N/A</v>
      </c>
      <c r="AK80" s="272" t="e">
        <f>IF(AJ80&lt;=1,"Insignificante",HLOOKUP(AJ80,[71]Listas!$F$3:$J$4,2,0))</f>
        <v>#N/A</v>
      </c>
      <c r="AL80" s="273" t="e">
        <f t="shared" si="14"/>
        <v>#N/A</v>
      </c>
      <c r="AM80" s="270" t="e">
        <f>INDEX([71]Listas!$F$6:$J$10,MATCH(AI80,[71]Listas!$D$6:$D$10,0),MATCH(AK80,[71]Listas!$F$4:$J$4,0))</f>
        <v>#N/A</v>
      </c>
      <c r="AN80" s="259"/>
      <c r="AO80" s="259"/>
      <c r="AP80" s="659"/>
      <c r="AQ80" s="259"/>
      <c r="AR80" s="259" t="s">
        <v>2343</v>
      </c>
      <c r="AS80" s="655"/>
      <c r="AT80" s="259"/>
      <c r="AU80" s="259"/>
      <c r="AV80" s="261"/>
      <c r="AW80" s="261"/>
      <c r="AX80" s="655"/>
      <c r="AY80" s="262"/>
    </row>
    <row r="81" spans="1:51" s="260" customFormat="1" ht="103.5" hidden="1" customHeight="1">
      <c r="A81" s="655"/>
      <c r="B81" s="266"/>
      <c r="C81" s="1399"/>
      <c r="D81" s="1408"/>
      <c r="E81" s="1400"/>
      <c r="F81" s="267"/>
      <c r="G81" s="1399"/>
      <c r="H81" s="1408"/>
      <c r="I81" s="1400"/>
      <c r="J81" s="1380"/>
      <c r="K81" s="1380"/>
      <c r="L81" s="1380"/>
      <c r="M81" s="655"/>
      <c r="N81" s="655"/>
      <c r="O81" s="655"/>
      <c r="P81" s="655"/>
      <c r="Q81" s="266"/>
      <c r="R81" s="266"/>
      <c r="S81" s="268"/>
      <c r="T81" s="269" t="e">
        <f>VLOOKUP(Q81,[71]Listas!$D$6:$E$10,2,0)</f>
        <v>#N/A</v>
      </c>
      <c r="U81" s="269" t="e">
        <f>HLOOKUP(R81,[71]Listas!$F$4:$J$5,2,0)</f>
        <v>#N/A</v>
      </c>
      <c r="V81" s="270" t="e">
        <f>INDEX([71]Listas!$F$6:$J$10,MATCH(Q81,[71]Listas!$D$6:$D$10,0),MATCH(R81,[71]Listas!$F$4:$J$4,0))</f>
        <v>#N/A</v>
      </c>
      <c r="W81" s="268"/>
      <c r="X81" s="1399"/>
      <c r="Y81" s="1408"/>
      <c r="Z81" s="1400"/>
      <c r="AA81" s="1063"/>
      <c r="AB81" s="267"/>
      <c r="AC81" s="259"/>
      <c r="AD81" s="655"/>
      <c r="AE81" s="267"/>
      <c r="AF81" s="268"/>
      <c r="AG81" s="269">
        <f t="shared" si="11"/>
        <v>0</v>
      </c>
      <c r="AH81" s="271" t="e">
        <f t="shared" si="12"/>
        <v>#N/A</v>
      </c>
      <c r="AI81" s="272" t="e">
        <f>IF(AH81&lt;=1,"Remota",VLOOKUP(AH81,[71]Listas!$C$6:$D$10,2,0))</f>
        <v>#N/A</v>
      </c>
      <c r="AJ81" s="271" t="e">
        <f t="shared" si="13"/>
        <v>#N/A</v>
      </c>
      <c r="AK81" s="272" t="e">
        <f>IF(AJ81&lt;=1,"Insignificante",HLOOKUP(AJ81,[71]Listas!$F$3:$J$4,2,0))</f>
        <v>#N/A</v>
      </c>
      <c r="AL81" s="273" t="e">
        <f t="shared" si="14"/>
        <v>#N/A</v>
      </c>
      <c r="AM81" s="270" t="e">
        <f>INDEX([71]Listas!$F$6:$J$10,MATCH(AI81,[71]Listas!$D$6:$D$10,0),MATCH(AK81,[71]Listas!$F$4:$J$4,0))</f>
        <v>#N/A</v>
      </c>
      <c r="AN81" s="259"/>
      <c r="AO81" s="259"/>
      <c r="AP81" s="659"/>
      <c r="AQ81" s="259"/>
      <c r="AR81" s="259" t="s">
        <v>2343</v>
      </c>
      <c r="AS81" s="655"/>
      <c r="AT81" s="259"/>
      <c r="AU81" s="259"/>
      <c r="AV81" s="261"/>
      <c r="AW81" s="261"/>
      <c r="AX81" s="655"/>
      <c r="AY81" s="262"/>
    </row>
    <row r="82" spans="1:51" s="260" customFormat="1" ht="103.5" hidden="1" customHeight="1">
      <c r="A82" s="655"/>
      <c r="B82" s="266"/>
      <c r="C82" s="1399"/>
      <c r="D82" s="1408"/>
      <c r="E82" s="1400"/>
      <c r="F82" s="267"/>
      <c r="G82" s="1399"/>
      <c r="H82" s="1408"/>
      <c r="I82" s="1400"/>
      <c r="J82" s="1380"/>
      <c r="K82" s="1380"/>
      <c r="L82" s="1380"/>
      <c r="M82" s="655"/>
      <c r="N82" s="655"/>
      <c r="O82" s="655"/>
      <c r="P82" s="655"/>
      <c r="Q82" s="266"/>
      <c r="R82" s="266"/>
      <c r="S82" s="268"/>
      <c r="T82" s="269" t="e">
        <f>VLOOKUP(Q82,[71]Listas!$D$6:$E$10,2,0)</f>
        <v>#N/A</v>
      </c>
      <c r="U82" s="269" t="e">
        <f>HLOOKUP(R82,[71]Listas!$F$4:$J$5,2,0)</f>
        <v>#N/A</v>
      </c>
      <c r="V82" s="270" t="e">
        <f>INDEX([71]Listas!$F$6:$J$10,MATCH(Q82,[71]Listas!$D$6:$D$10,0),MATCH(R82,[71]Listas!$F$4:$J$4,0))</f>
        <v>#N/A</v>
      </c>
      <c r="W82" s="268"/>
      <c r="X82" s="1399"/>
      <c r="Y82" s="1408"/>
      <c r="Z82" s="1400"/>
      <c r="AA82" s="1063"/>
      <c r="AB82" s="267"/>
      <c r="AC82" s="259"/>
      <c r="AD82" s="655"/>
      <c r="AE82" s="267"/>
      <c r="AF82" s="268"/>
      <c r="AG82" s="269">
        <f t="shared" si="11"/>
        <v>0</v>
      </c>
      <c r="AH82" s="271" t="e">
        <f t="shared" si="12"/>
        <v>#N/A</v>
      </c>
      <c r="AI82" s="272" t="e">
        <f>IF(AH82&lt;=1,"Remota",VLOOKUP(AH82,[71]Listas!$C$6:$D$10,2,0))</f>
        <v>#N/A</v>
      </c>
      <c r="AJ82" s="271" t="e">
        <f t="shared" si="13"/>
        <v>#N/A</v>
      </c>
      <c r="AK82" s="272" t="e">
        <f>IF(AJ82&lt;=1,"Insignificante",HLOOKUP(AJ82,[71]Listas!$F$3:$J$4,2,0))</f>
        <v>#N/A</v>
      </c>
      <c r="AL82" s="273" t="e">
        <f t="shared" si="14"/>
        <v>#N/A</v>
      </c>
      <c r="AM82" s="270" t="e">
        <f>INDEX([71]Listas!$F$6:$J$10,MATCH(AI82,[71]Listas!$D$6:$D$10,0),MATCH(AK82,[71]Listas!$F$4:$J$4,0))</f>
        <v>#N/A</v>
      </c>
      <c r="AN82" s="259"/>
      <c r="AO82" s="259"/>
      <c r="AP82" s="659"/>
      <c r="AQ82" s="259"/>
      <c r="AR82" s="259" t="s">
        <v>2343</v>
      </c>
      <c r="AS82" s="655"/>
      <c r="AT82" s="259"/>
      <c r="AU82" s="259"/>
      <c r="AV82" s="261"/>
      <c r="AW82" s="261"/>
      <c r="AX82" s="655"/>
      <c r="AY82" s="262"/>
    </row>
    <row r="83" spans="1:51" s="260" customFormat="1" ht="103.5" hidden="1" customHeight="1">
      <c r="A83" s="655"/>
      <c r="B83" s="266"/>
      <c r="C83" s="1399"/>
      <c r="D83" s="1408"/>
      <c r="E83" s="1400"/>
      <c r="F83" s="267"/>
      <c r="G83" s="1399"/>
      <c r="H83" s="1408"/>
      <c r="I83" s="1400"/>
      <c r="J83" s="1380"/>
      <c r="K83" s="1380"/>
      <c r="L83" s="1380"/>
      <c r="M83" s="655"/>
      <c r="N83" s="655"/>
      <c r="O83" s="655"/>
      <c r="P83" s="655"/>
      <c r="Q83" s="266"/>
      <c r="R83" s="266"/>
      <c r="S83" s="268"/>
      <c r="T83" s="269" t="e">
        <f>VLOOKUP(Q83,[71]Listas!$D$6:$E$10,2,0)</f>
        <v>#N/A</v>
      </c>
      <c r="U83" s="269" t="e">
        <f>HLOOKUP(R83,[71]Listas!$F$4:$J$5,2,0)</f>
        <v>#N/A</v>
      </c>
      <c r="V83" s="270" t="e">
        <f>INDEX([71]Listas!$F$6:$J$10,MATCH(Q83,[71]Listas!$D$6:$D$10,0),MATCH(R83,[71]Listas!$F$4:$J$4,0))</f>
        <v>#N/A</v>
      </c>
      <c r="W83" s="268"/>
      <c r="X83" s="1399"/>
      <c r="Y83" s="1408"/>
      <c r="Z83" s="1400"/>
      <c r="AA83" s="1063"/>
      <c r="AB83" s="267"/>
      <c r="AC83" s="259"/>
      <c r="AD83" s="655"/>
      <c r="AE83" s="267"/>
      <c r="AF83" s="268"/>
      <c r="AG83" s="269">
        <f t="shared" si="11"/>
        <v>0</v>
      </c>
      <c r="AH83" s="271" t="e">
        <f t="shared" si="12"/>
        <v>#N/A</v>
      </c>
      <c r="AI83" s="272" t="e">
        <f>IF(AH83&lt;=1,"Remota",VLOOKUP(AH83,[71]Listas!$C$6:$D$10,2,0))</f>
        <v>#N/A</v>
      </c>
      <c r="AJ83" s="271" t="e">
        <f t="shared" si="13"/>
        <v>#N/A</v>
      </c>
      <c r="AK83" s="272" t="e">
        <f>IF(AJ83&lt;=1,"Insignificante",HLOOKUP(AJ83,[71]Listas!$F$3:$J$4,2,0))</f>
        <v>#N/A</v>
      </c>
      <c r="AL83" s="273" t="e">
        <f t="shared" si="14"/>
        <v>#N/A</v>
      </c>
      <c r="AM83" s="270" t="e">
        <f>INDEX([71]Listas!$F$6:$J$10,MATCH(AI83,[71]Listas!$D$6:$D$10,0),MATCH(AK83,[71]Listas!$F$4:$J$4,0))</f>
        <v>#N/A</v>
      </c>
      <c r="AN83" s="259"/>
      <c r="AO83" s="259"/>
      <c r="AP83" s="659"/>
      <c r="AQ83" s="259"/>
      <c r="AR83" s="259" t="s">
        <v>2343</v>
      </c>
      <c r="AS83" s="655"/>
      <c r="AT83" s="259"/>
      <c r="AU83" s="259"/>
      <c r="AV83" s="261"/>
      <c r="AW83" s="261"/>
      <c r="AX83" s="655"/>
      <c r="AY83" s="262"/>
    </row>
    <row r="84" spans="1:51" s="260" customFormat="1" ht="103.5" hidden="1" customHeight="1">
      <c r="A84" s="655"/>
      <c r="B84" s="266"/>
      <c r="C84" s="1399"/>
      <c r="D84" s="1408"/>
      <c r="E84" s="1400"/>
      <c r="F84" s="267"/>
      <c r="G84" s="1399"/>
      <c r="H84" s="1408"/>
      <c r="I84" s="1400"/>
      <c r="J84" s="1380"/>
      <c r="K84" s="1380"/>
      <c r="L84" s="1380"/>
      <c r="M84" s="655"/>
      <c r="N84" s="655"/>
      <c r="O84" s="655"/>
      <c r="P84" s="655"/>
      <c r="Q84" s="266"/>
      <c r="R84" s="266"/>
      <c r="S84" s="268"/>
      <c r="T84" s="269" t="e">
        <f>VLOOKUP(Q84,[71]Listas!$D$6:$E$10,2,0)</f>
        <v>#N/A</v>
      </c>
      <c r="U84" s="269" t="e">
        <f>HLOOKUP(R84,[71]Listas!$F$4:$J$5,2,0)</f>
        <v>#N/A</v>
      </c>
      <c r="V84" s="270" t="e">
        <f>INDEX([71]Listas!$F$6:$J$10,MATCH(Q84,[71]Listas!$D$6:$D$10,0),MATCH(R84,[71]Listas!$F$4:$J$4,0))</f>
        <v>#N/A</v>
      </c>
      <c r="W84" s="268"/>
      <c r="X84" s="1399"/>
      <c r="Y84" s="1408"/>
      <c r="Z84" s="1400"/>
      <c r="AA84" s="1063"/>
      <c r="AB84" s="267"/>
      <c r="AC84" s="259"/>
      <c r="AD84" s="655"/>
      <c r="AE84" s="267"/>
      <c r="AF84" s="268"/>
      <c r="AG84" s="269">
        <f t="shared" si="11"/>
        <v>0</v>
      </c>
      <c r="AH84" s="271" t="e">
        <f t="shared" si="12"/>
        <v>#N/A</v>
      </c>
      <c r="AI84" s="272" t="e">
        <f>IF(AH84&lt;=1,"Remota",VLOOKUP(AH84,[71]Listas!$C$6:$D$10,2,0))</f>
        <v>#N/A</v>
      </c>
      <c r="AJ84" s="271" t="e">
        <f t="shared" si="13"/>
        <v>#N/A</v>
      </c>
      <c r="AK84" s="272" t="e">
        <f>IF(AJ84&lt;=1,"Insignificante",HLOOKUP(AJ84,[71]Listas!$F$3:$J$4,2,0))</f>
        <v>#N/A</v>
      </c>
      <c r="AL84" s="273" t="e">
        <f t="shared" si="14"/>
        <v>#N/A</v>
      </c>
      <c r="AM84" s="270" t="e">
        <f>INDEX([71]Listas!$F$6:$J$10,MATCH(AI84,[71]Listas!$D$6:$D$10,0),MATCH(AK84,[71]Listas!$F$4:$J$4,0))</f>
        <v>#N/A</v>
      </c>
      <c r="AN84" s="259"/>
      <c r="AO84" s="259"/>
      <c r="AP84" s="659"/>
      <c r="AQ84" s="259"/>
      <c r="AR84" s="259" t="s">
        <v>2343</v>
      </c>
      <c r="AS84" s="655"/>
      <c r="AT84" s="259"/>
      <c r="AU84" s="259"/>
      <c r="AV84" s="261"/>
      <c r="AW84" s="261"/>
      <c r="AX84" s="655"/>
      <c r="AY84" s="262"/>
    </row>
    <row r="85" spans="1:51" s="260" customFormat="1" ht="103.5" hidden="1" customHeight="1">
      <c r="A85" s="655"/>
      <c r="B85" s="266"/>
      <c r="C85" s="1399"/>
      <c r="D85" s="1408"/>
      <c r="E85" s="1400"/>
      <c r="F85" s="266"/>
      <c r="G85" s="1399"/>
      <c r="H85" s="1408"/>
      <c r="I85" s="1400"/>
      <c r="J85" s="1380"/>
      <c r="K85" s="1380"/>
      <c r="L85" s="1380"/>
      <c r="M85" s="655"/>
      <c r="N85" s="655"/>
      <c r="O85" s="655"/>
      <c r="P85" s="655"/>
      <c r="Q85" s="266"/>
      <c r="R85" s="266"/>
      <c r="S85" s="268"/>
      <c r="T85" s="269" t="e">
        <f>VLOOKUP(Q85,[71]Listas!$D$6:$E$10,2,0)</f>
        <v>#N/A</v>
      </c>
      <c r="U85" s="269" t="e">
        <f>HLOOKUP(R85,[71]Listas!$F$4:$J$5,2,0)</f>
        <v>#N/A</v>
      </c>
      <c r="V85" s="270" t="e">
        <f>INDEX([71]Listas!$F$6:$J$10,MATCH(Q85,[71]Listas!$D$6:$D$10,0),MATCH(R85,[71]Listas!$F$4:$J$4,0))</f>
        <v>#N/A</v>
      </c>
      <c r="W85" s="268"/>
      <c r="X85" s="1399"/>
      <c r="Y85" s="1408"/>
      <c r="Z85" s="1400"/>
      <c r="AA85" s="1063"/>
      <c r="AB85" s="267"/>
      <c r="AC85" s="259"/>
      <c r="AD85" s="655"/>
      <c r="AE85" s="267"/>
      <c r="AF85" s="268"/>
      <c r="AG85" s="269">
        <f>IF(AD85&lt;=33,0,IF(AD85&gt;81,2,1))</f>
        <v>0</v>
      </c>
      <c r="AH85" s="271" t="e">
        <f>IF(OR(AE85="Probabilidad",AE85="Ambos"),T85-AG85,T85)</f>
        <v>#N/A</v>
      </c>
      <c r="AI85" s="272" t="e">
        <f>IF(AH85&lt;=1,"Remota",VLOOKUP(AH85,[71]Listas!$C$6:$D$10,2,0))</f>
        <v>#N/A</v>
      </c>
      <c r="AJ85" s="271" t="e">
        <f>IF(OR(AE85="Impacto",AE85="Ambos"),U85-AG85,U85)</f>
        <v>#N/A</v>
      </c>
      <c r="AK85" s="272" t="e">
        <f>IF(AJ85&lt;=1,"Insignificante",HLOOKUP(AJ85,[71]Listas!$F$3:$J$4,2,0))</f>
        <v>#N/A</v>
      </c>
      <c r="AL85" s="273" t="e">
        <f>AH85*AJ85</f>
        <v>#N/A</v>
      </c>
      <c r="AM85" s="270" t="e">
        <f>INDEX([71]Listas!$F$6:$J$10,MATCH(AI85,[71]Listas!$D$6:$D$10,0),MATCH(AK85,[71]Listas!$F$4:$J$4,0))</f>
        <v>#N/A</v>
      </c>
      <c r="AN85" s="259"/>
      <c r="AO85" s="259"/>
      <c r="AP85" s="659"/>
      <c r="AQ85" s="259"/>
      <c r="AR85" s="259" t="s">
        <v>2343</v>
      </c>
      <c r="AS85" s="655"/>
      <c r="AU85" s="259"/>
      <c r="AV85" s="261"/>
      <c r="AW85" s="261"/>
      <c r="AX85" s="655"/>
      <c r="AY85" s="262"/>
    </row>
    <row r="86" spans="1:51" s="260" customFormat="1" ht="103.5" hidden="1" customHeight="1">
      <c r="A86" s="655"/>
      <c r="B86" s="266"/>
      <c r="C86" s="1399"/>
      <c r="D86" s="1408"/>
      <c r="E86" s="1400"/>
      <c r="F86" s="267"/>
      <c r="G86" s="1399"/>
      <c r="H86" s="1408"/>
      <c r="I86" s="1400"/>
      <c r="J86" s="1380"/>
      <c r="K86" s="1380"/>
      <c r="L86" s="1380"/>
      <c r="M86" s="655"/>
      <c r="N86" s="655"/>
      <c r="O86" s="655"/>
      <c r="P86" s="655"/>
      <c r="Q86" s="266"/>
      <c r="R86" s="266"/>
      <c r="S86" s="268"/>
      <c r="T86" s="269" t="e">
        <f>VLOOKUP(Q86,[71]Listas!$D$6:$E$10,2,0)</f>
        <v>#N/A</v>
      </c>
      <c r="U86" s="269" t="e">
        <f>HLOOKUP(R86,[71]Listas!$F$4:$J$5,2,0)</f>
        <v>#N/A</v>
      </c>
      <c r="V86" s="270" t="e">
        <f>INDEX([71]Listas!$F$6:$J$10,MATCH(Q86,[71]Listas!$D$6:$D$10,0),MATCH(R86,[71]Listas!$F$4:$J$4,0))</f>
        <v>#N/A</v>
      </c>
      <c r="W86" s="268"/>
      <c r="X86" s="1399"/>
      <c r="Y86" s="1408"/>
      <c r="Z86" s="1400"/>
      <c r="AA86" s="1063"/>
      <c r="AB86" s="267"/>
      <c r="AC86" s="259"/>
      <c r="AD86" s="655"/>
      <c r="AE86" s="267"/>
      <c r="AF86" s="268"/>
      <c r="AG86" s="269">
        <f t="shared" ref="AG86:AG149" si="15">IF(AD86&lt;=33,0,IF(AD86&gt;81,2,1))</f>
        <v>0</v>
      </c>
      <c r="AH86" s="271" t="e">
        <f t="shared" ref="AH86:AH149" si="16">IF(OR(AE86="Probabilidad",AE86="Ambos"),T86-AG86,T86)</f>
        <v>#N/A</v>
      </c>
      <c r="AI86" s="272" t="e">
        <f>IF(AH86&lt;=1,"Remota",VLOOKUP(AH86,[71]Listas!$C$6:$D$10,2,0))</f>
        <v>#N/A</v>
      </c>
      <c r="AJ86" s="271" t="e">
        <f t="shared" ref="AJ86:AJ149" si="17">IF(OR(AE86="Impacto",AE86="Ambos"),U86-AG86,U86)</f>
        <v>#N/A</v>
      </c>
      <c r="AK86" s="272" t="e">
        <f>IF(AJ86&lt;=1,"Insignificante",HLOOKUP(AJ86,[71]Listas!$F$3:$J$4,2,0))</f>
        <v>#N/A</v>
      </c>
      <c r="AL86" s="273" t="e">
        <f t="shared" ref="AL86:AL149" si="18">AH86*AJ86</f>
        <v>#N/A</v>
      </c>
      <c r="AM86" s="270" t="e">
        <f>INDEX([71]Listas!$F$6:$J$10,MATCH(AI86,[71]Listas!$D$6:$D$10,0),MATCH(AK86,[71]Listas!$F$4:$J$4,0))</f>
        <v>#N/A</v>
      </c>
      <c r="AN86" s="259"/>
      <c r="AO86" s="259"/>
      <c r="AP86" s="659"/>
      <c r="AQ86" s="259"/>
      <c r="AR86" s="259" t="s">
        <v>2343</v>
      </c>
      <c r="AS86" s="655"/>
      <c r="AT86" s="259"/>
      <c r="AU86" s="259"/>
      <c r="AV86" s="261"/>
      <c r="AW86" s="261"/>
      <c r="AX86" s="655"/>
      <c r="AY86" s="262"/>
    </row>
    <row r="87" spans="1:51" s="260" customFormat="1" ht="103.5" hidden="1" customHeight="1">
      <c r="A87" s="655"/>
      <c r="B87" s="266"/>
      <c r="C87" s="1399"/>
      <c r="D87" s="1408"/>
      <c r="E87" s="1400"/>
      <c r="F87" s="267"/>
      <c r="G87" s="1399"/>
      <c r="H87" s="1408"/>
      <c r="I87" s="1400"/>
      <c r="J87" s="1380"/>
      <c r="K87" s="1380"/>
      <c r="L87" s="1380"/>
      <c r="M87" s="655"/>
      <c r="N87" s="655"/>
      <c r="O87" s="655"/>
      <c r="P87" s="655"/>
      <c r="Q87" s="266"/>
      <c r="R87" s="266"/>
      <c r="S87" s="268"/>
      <c r="T87" s="269" t="e">
        <f>VLOOKUP(Q87,[71]Listas!$D$6:$E$10,2,0)</f>
        <v>#N/A</v>
      </c>
      <c r="U87" s="269" t="e">
        <f>HLOOKUP(R87,[71]Listas!$F$4:$J$5,2,0)</f>
        <v>#N/A</v>
      </c>
      <c r="V87" s="270" t="e">
        <f>INDEX([71]Listas!$F$6:$J$10,MATCH(Q87,[71]Listas!$D$6:$D$10,0),MATCH(R87,[71]Listas!$F$4:$J$4,0))</f>
        <v>#N/A</v>
      </c>
      <c r="W87" s="268"/>
      <c r="X87" s="1399"/>
      <c r="Y87" s="1408"/>
      <c r="Z87" s="1400"/>
      <c r="AA87" s="1063"/>
      <c r="AB87" s="267"/>
      <c r="AC87" s="259"/>
      <c r="AD87" s="655"/>
      <c r="AE87" s="267"/>
      <c r="AF87" s="268"/>
      <c r="AG87" s="269">
        <f t="shared" si="15"/>
        <v>0</v>
      </c>
      <c r="AH87" s="271" t="e">
        <f t="shared" si="16"/>
        <v>#N/A</v>
      </c>
      <c r="AI87" s="272" t="e">
        <f>IF(AH87&lt;=1,"Remota",VLOOKUP(AH87,[71]Listas!$C$6:$D$10,2,0))</f>
        <v>#N/A</v>
      </c>
      <c r="AJ87" s="271" t="e">
        <f t="shared" si="17"/>
        <v>#N/A</v>
      </c>
      <c r="AK87" s="272" t="e">
        <f>IF(AJ87&lt;=1,"Insignificante",HLOOKUP(AJ87,[71]Listas!$F$3:$J$4,2,0))</f>
        <v>#N/A</v>
      </c>
      <c r="AL87" s="273" t="e">
        <f t="shared" si="18"/>
        <v>#N/A</v>
      </c>
      <c r="AM87" s="270" t="e">
        <f>INDEX([71]Listas!$F$6:$J$10,MATCH(AI87,[71]Listas!$D$6:$D$10,0),MATCH(AK87,[71]Listas!$F$4:$J$4,0))</f>
        <v>#N/A</v>
      </c>
      <c r="AN87" s="259"/>
      <c r="AO87" s="259"/>
      <c r="AP87" s="659"/>
      <c r="AQ87" s="259"/>
      <c r="AR87" s="259" t="s">
        <v>2343</v>
      </c>
      <c r="AS87" s="655"/>
      <c r="AT87" s="259"/>
      <c r="AU87" s="259"/>
      <c r="AV87" s="261"/>
      <c r="AW87" s="261"/>
      <c r="AX87" s="655"/>
      <c r="AY87" s="262"/>
    </row>
    <row r="88" spans="1:51" s="260" customFormat="1" ht="103.5" hidden="1" customHeight="1">
      <c r="A88" s="655"/>
      <c r="B88" s="266"/>
      <c r="C88" s="1399"/>
      <c r="D88" s="1408"/>
      <c r="E88" s="1400"/>
      <c r="F88" s="267"/>
      <c r="G88" s="1399"/>
      <c r="H88" s="1408"/>
      <c r="I88" s="1400"/>
      <c r="J88" s="1380"/>
      <c r="K88" s="1380"/>
      <c r="L88" s="1380"/>
      <c r="M88" s="655"/>
      <c r="N88" s="655"/>
      <c r="O88" s="655"/>
      <c r="P88" s="655"/>
      <c r="Q88" s="266"/>
      <c r="R88" s="266"/>
      <c r="S88" s="268"/>
      <c r="T88" s="269" t="e">
        <f>VLOOKUP(Q88,[71]Listas!$D$6:$E$10,2,0)</f>
        <v>#N/A</v>
      </c>
      <c r="U88" s="269" t="e">
        <f>HLOOKUP(R88,[71]Listas!$F$4:$J$5,2,0)</f>
        <v>#N/A</v>
      </c>
      <c r="V88" s="270" t="e">
        <f>INDEX([71]Listas!$F$6:$J$10,MATCH(Q88,[71]Listas!$D$6:$D$10,0),MATCH(R88,[71]Listas!$F$4:$J$4,0))</f>
        <v>#N/A</v>
      </c>
      <c r="W88" s="268"/>
      <c r="X88" s="1399"/>
      <c r="Y88" s="1408"/>
      <c r="Z88" s="1400"/>
      <c r="AA88" s="1063"/>
      <c r="AB88" s="267"/>
      <c r="AC88" s="259"/>
      <c r="AD88" s="655"/>
      <c r="AE88" s="267"/>
      <c r="AF88" s="268"/>
      <c r="AG88" s="269">
        <f t="shared" si="15"/>
        <v>0</v>
      </c>
      <c r="AH88" s="271" t="e">
        <f t="shared" si="16"/>
        <v>#N/A</v>
      </c>
      <c r="AI88" s="272" t="e">
        <f>IF(AH88&lt;=1,"Remota",VLOOKUP(AH88,[71]Listas!$C$6:$D$10,2,0))</f>
        <v>#N/A</v>
      </c>
      <c r="AJ88" s="271" t="e">
        <f t="shared" si="17"/>
        <v>#N/A</v>
      </c>
      <c r="AK88" s="272" t="e">
        <f>IF(AJ88&lt;=1,"Insignificante",HLOOKUP(AJ88,[71]Listas!$F$3:$J$4,2,0))</f>
        <v>#N/A</v>
      </c>
      <c r="AL88" s="273" t="e">
        <f t="shared" si="18"/>
        <v>#N/A</v>
      </c>
      <c r="AM88" s="270" t="e">
        <f>INDEX([71]Listas!$F$6:$J$10,MATCH(AI88,[71]Listas!$D$6:$D$10,0),MATCH(AK88,[71]Listas!$F$4:$J$4,0))</f>
        <v>#N/A</v>
      </c>
      <c r="AN88" s="259"/>
      <c r="AO88" s="259"/>
      <c r="AP88" s="659"/>
      <c r="AQ88" s="259"/>
      <c r="AR88" s="259" t="s">
        <v>2343</v>
      </c>
      <c r="AS88" s="655"/>
      <c r="AT88" s="259"/>
      <c r="AU88" s="259"/>
      <c r="AV88" s="261"/>
      <c r="AW88" s="261"/>
      <c r="AX88" s="655"/>
      <c r="AY88" s="262"/>
    </row>
    <row r="89" spans="1:51" s="260" customFormat="1" ht="103.5" hidden="1" customHeight="1">
      <c r="A89" s="655"/>
      <c r="B89" s="266"/>
      <c r="C89" s="1399"/>
      <c r="D89" s="1408"/>
      <c r="E89" s="1400"/>
      <c r="F89" s="267"/>
      <c r="G89" s="1399"/>
      <c r="H89" s="1408"/>
      <c r="I89" s="1400"/>
      <c r="J89" s="1380"/>
      <c r="K89" s="1380"/>
      <c r="L89" s="1380"/>
      <c r="M89" s="655"/>
      <c r="N89" s="655"/>
      <c r="O89" s="655"/>
      <c r="P89" s="655"/>
      <c r="Q89" s="266"/>
      <c r="R89" s="266"/>
      <c r="S89" s="268"/>
      <c r="T89" s="269" t="e">
        <f>VLOOKUP(Q89,[71]Listas!$D$6:$E$10,2,0)</f>
        <v>#N/A</v>
      </c>
      <c r="U89" s="269" t="e">
        <f>HLOOKUP(R89,[71]Listas!$F$4:$J$5,2,0)</f>
        <v>#N/A</v>
      </c>
      <c r="V89" s="270" t="e">
        <f>INDEX([71]Listas!$F$6:$J$10,MATCH(Q89,[71]Listas!$D$6:$D$10,0),MATCH(R89,[71]Listas!$F$4:$J$4,0))</f>
        <v>#N/A</v>
      </c>
      <c r="W89" s="268"/>
      <c r="X89" s="1399"/>
      <c r="Y89" s="1408"/>
      <c r="Z89" s="1400"/>
      <c r="AA89" s="1063"/>
      <c r="AB89" s="267"/>
      <c r="AC89" s="259"/>
      <c r="AD89" s="655"/>
      <c r="AE89" s="267"/>
      <c r="AF89" s="268"/>
      <c r="AG89" s="269">
        <f t="shared" si="15"/>
        <v>0</v>
      </c>
      <c r="AH89" s="271" t="e">
        <f t="shared" si="16"/>
        <v>#N/A</v>
      </c>
      <c r="AI89" s="272" t="e">
        <f>IF(AH89&lt;=1,"Remota",VLOOKUP(AH89,[71]Listas!$C$6:$D$10,2,0))</f>
        <v>#N/A</v>
      </c>
      <c r="AJ89" s="271" t="e">
        <f t="shared" si="17"/>
        <v>#N/A</v>
      </c>
      <c r="AK89" s="272" t="e">
        <f>IF(AJ89&lt;=1,"Insignificante",HLOOKUP(AJ89,[71]Listas!$F$3:$J$4,2,0))</f>
        <v>#N/A</v>
      </c>
      <c r="AL89" s="273" t="e">
        <f t="shared" si="18"/>
        <v>#N/A</v>
      </c>
      <c r="AM89" s="270" t="e">
        <f>INDEX([71]Listas!$F$6:$J$10,MATCH(AI89,[71]Listas!$D$6:$D$10,0),MATCH(AK89,[71]Listas!$F$4:$J$4,0))</f>
        <v>#N/A</v>
      </c>
      <c r="AN89" s="259"/>
      <c r="AO89" s="259"/>
      <c r="AP89" s="659"/>
      <c r="AQ89" s="259"/>
      <c r="AR89" s="259" t="s">
        <v>2343</v>
      </c>
      <c r="AS89" s="655"/>
      <c r="AT89" s="259"/>
      <c r="AU89" s="259"/>
      <c r="AV89" s="261"/>
      <c r="AW89" s="261"/>
      <c r="AX89" s="655"/>
      <c r="AY89" s="262"/>
    </row>
    <row r="90" spans="1:51" s="260" customFormat="1" ht="103.5" hidden="1" customHeight="1">
      <c r="A90" s="655"/>
      <c r="B90" s="266"/>
      <c r="C90" s="1399"/>
      <c r="D90" s="1408"/>
      <c r="E90" s="1400"/>
      <c r="F90" s="267"/>
      <c r="G90" s="1399"/>
      <c r="H90" s="1408"/>
      <c r="I90" s="1400"/>
      <c r="J90" s="1380"/>
      <c r="K90" s="1380"/>
      <c r="L90" s="1380"/>
      <c r="M90" s="655"/>
      <c r="N90" s="655"/>
      <c r="O90" s="655"/>
      <c r="P90" s="655"/>
      <c r="Q90" s="266"/>
      <c r="R90" s="266"/>
      <c r="S90" s="268"/>
      <c r="T90" s="269" t="e">
        <f>VLOOKUP(Q90,[71]Listas!$D$6:$E$10,2,0)</f>
        <v>#N/A</v>
      </c>
      <c r="U90" s="269" t="e">
        <f>HLOOKUP(R90,[71]Listas!$F$4:$J$5,2,0)</f>
        <v>#N/A</v>
      </c>
      <c r="V90" s="270" t="e">
        <f>INDEX([71]Listas!$F$6:$J$10,MATCH(Q90,[71]Listas!$D$6:$D$10,0),MATCH(R90,[71]Listas!$F$4:$J$4,0))</f>
        <v>#N/A</v>
      </c>
      <c r="W90" s="268"/>
      <c r="X90" s="1399"/>
      <c r="Y90" s="1408"/>
      <c r="Z90" s="1400"/>
      <c r="AA90" s="1063"/>
      <c r="AB90" s="267"/>
      <c r="AC90" s="259"/>
      <c r="AD90" s="655"/>
      <c r="AE90" s="267"/>
      <c r="AF90" s="268"/>
      <c r="AG90" s="269">
        <f t="shared" si="15"/>
        <v>0</v>
      </c>
      <c r="AH90" s="271" t="e">
        <f t="shared" si="16"/>
        <v>#N/A</v>
      </c>
      <c r="AI90" s="272" t="e">
        <f>IF(AH90&lt;=1,"Remota",VLOOKUP(AH90,[71]Listas!$C$6:$D$10,2,0))</f>
        <v>#N/A</v>
      </c>
      <c r="AJ90" s="271" t="e">
        <f t="shared" si="17"/>
        <v>#N/A</v>
      </c>
      <c r="AK90" s="272" t="e">
        <f>IF(AJ90&lt;=1,"Insignificante",HLOOKUP(AJ90,[71]Listas!$F$3:$J$4,2,0))</f>
        <v>#N/A</v>
      </c>
      <c r="AL90" s="273" t="e">
        <f t="shared" si="18"/>
        <v>#N/A</v>
      </c>
      <c r="AM90" s="270" t="e">
        <f>INDEX([71]Listas!$F$6:$J$10,MATCH(AI90,[71]Listas!$D$6:$D$10,0),MATCH(AK90,[71]Listas!$F$4:$J$4,0))</f>
        <v>#N/A</v>
      </c>
      <c r="AN90" s="259"/>
      <c r="AO90" s="259"/>
      <c r="AP90" s="659"/>
      <c r="AQ90" s="259"/>
      <c r="AR90" s="259" t="s">
        <v>2343</v>
      </c>
      <c r="AS90" s="655"/>
      <c r="AT90" s="259"/>
      <c r="AU90" s="259"/>
      <c r="AV90" s="261"/>
      <c r="AW90" s="261"/>
      <c r="AX90" s="655"/>
      <c r="AY90" s="262"/>
    </row>
    <row r="91" spans="1:51" s="260" customFormat="1" ht="103.5" hidden="1" customHeight="1">
      <c r="A91" s="655"/>
      <c r="B91" s="266"/>
      <c r="C91" s="1399"/>
      <c r="D91" s="1408"/>
      <c r="E91" s="1400"/>
      <c r="F91" s="267"/>
      <c r="G91" s="1399"/>
      <c r="H91" s="1408"/>
      <c r="I91" s="1400"/>
      <c r="J91" s="1380"/>
      <c r="K91" s="1380"/>
      <c r="L91" s="1380"/>
      <c r="M91" s="655"/>
      <c r="N91" s="655"/>
      <c r="O91" s="655"/>
      <c r="P91" s="655"/>
      <c r="Q91" s="266"/>
      <c r="R91" s="266"/>
      <c r="S91" s="268"/>
      <c r="T91" s="269" t="e">
        <f>VLOOKUP(Q91,[71]Listas!$D$6:$E$10,2,0)</f>
        <v>#N/A</v>
      </c>
      <c r="U91" s="269" t="e">
        <f>HLOOKUP(R91,[71]Listas!$F$4:$J$5,2,0)</f>
        <v>#N/A</v>
      </c>
      <c r="V91" s="270" t="e">
        <f>INDEX([71]Listas!$F$6:$J$10,MATCH(Q91,[71]Listas!$D$6:$D$10,0),MATCH(R91,[71]Listas!$F$4:$J$4,0))</f>
        <v>#N/A</v>
      </c>
      <c r="W91" s="268"/>
      <c r="X91" s="1399"/>
      <c r="Y91" s="1408"/>
      <c r="Z91" s="1400"/>
      <c r="AA91" s="1063"/>
      <c r="AB91" s="267"/>
      <c r="AC91" s="259"/>
      <c r="AD91" s="655"/>
      <c r="AE91" s="267"/>
      <c r="AF91" s="268"/>
      <c r="AG91" s="269">
        <f t="shared" si="15"/>
        <v>0</v>
      </c>
      <c r="AH91" s="271" t="e">
        <f t="shared" si="16"/>
        <v>#N/A</v>
      </c>
      <c r="AI91" s="272" t="e">
        <f>IF(AH91&lt;=1,"Remota",VLOOKUP(AH91,[71]Listas!$C$6:$D$10,2,0))</f>
        <v>#N/A</v>
      </c>
      <c r="AJ91" s="271" t="e">
        <f t="shared" si="17"/>
        <v>#N/A</v>
      </c>
      <c r="AK91" s="272" t="e">
        <f>IF(AJ91&lt;=1,"Insignificante",HLOOKUP(AJ91,[71]Listas!$F$3:$J$4,2,0))</f>
        <v>#N/A</v>
      </c>
      <c r="AL91" s="273" t="e">
        <f t="shared" si="18"/>
        <v>#N/A</v>
      </c>
      <c r="AM91" s="270" t="e">
        <f>INDEX([71]Listas!$F$6:$J$10,MATCH(AI91,[71]Listas!$D$6:$D$10,0),MATCH(AK91,[71]Listas!$F$4:$J$4,0))</f>
        <v>#N/A</v>
      </c>
      <c r="AN91" s="259"/>
      <c r="AO91" s="259"/>
      <c r="AP91" s="659"/>
      <c r="AQ91" s="259"/>
      <c r="AR91" s="259" t="s">
        <v>2343</v>
      </c>
      <c r="AS91" s="655"/>
      <c r="AT91" s="259"/>
      <c r="AU91" s="259"/>
      <c r="AV91" s="261"/>
      <c r="AW91" s="261"/>
      <c r="AX91" s="655"/>
      <c r="AY91" s="262"/>
    </row>
    <row r="92" spans="1:51" s="260" customFormat="1" ht="103.5" hidden="1" customHeight="1">
      <c r="A92" s="655"/>
      <c r="B92" s="266"/>
      <c r="C92" s="1399"/>
      <c r="D92" s="1408"/>
      <c r="E92" s="1400"/>
      <c r="F92" s="267"/>
      <c r="G92" s="1399"/>
      <c r="H92" s="1408"/>
      <c r="I92" s="1400"/>
      <c r="J92" s="1380"/>
      <c r="K92" s="1380"/>
      <c r="L92" s="1380"/>
      <c r="M92" s="655"/>
      <c r="N92" s="655"/>
      <c r="O92" s="655"/>
      <c r="P92" s="655"/>
      <c r="Q92" s="266"/>
      <c r="R92" s="266"/>
      <c r="S92" s="268"/>
      <c r="T92" s="269" t="e">
        <f>VLOOKUP(Q92,[71]Listas!$D$6:$E$10,2,0)</f>
        <v>#N/A</v>
      </c>
      <c r="U92" s="269" t="e">
        <f>HLOOKUP(R92,[71]Listas!$F$4:$J$5,2,0)</f>
        <v>#N/A</v>
      </c>
      <c r="V92" s="270" t="e">
        <f>INDEX([71]Listas!$F$6:$J$10,MATCH(Q92,[71]Listas!$D$6:$D$10,0),MATCH(R92,[71]Listas!$F$4:$J$4,0))</f>
        <v>#N/A</v>
      </c>
      <c r="W92" s="268"/>
      <c r="X92" s="1399"/>
      <c r="Y92" s="1408"/>
      <c r="Z92" s="1400"/>
      <c r="AA92" s="1063"/>
      <c r="AB92" s="267"/>
      <c r="AC92" s="259"/>
      <c r="AD92" s="655"/>
      <c r="AE92" s="267"/>
      <c r="AF92" s="268"/>
      <c r="AG92" s="269">
        <f t="shared" si="15"/>
        <v>0</v>
      </c>
      <c r="AH92" s="271" t="e">
        <f t="shared" si="16"/>
        <v>#N/A</v>
      </c>
      <c r="AI92" s="272" t="e">
        <f>IF(AH92&lt;=1,"Remota",VLOOKUP(AH92,[71]Listas!$C$6:$D$10,2,0))</f>
        <v>#N/A</v>
      </c>
      <c r="AJ92" s="271" t="e">
        <f t="shared" si="17"/>
        <v>#N/A</v>
      </c>
      <c r="AK92" s="272" t="e">
        <f>IF(AJ92&lt;=1,"Insignificante",HLOOKUP(AJ92,[71]Listas!$F$3:$J$4,2,0))</f>
        <v>#N/A</v>
      </c>
      <c r="AL92" s="273" t="e">
        <f t="shared" si="18"/>
        <v>#N/A</v>
      </c>
      <c r="AM92" s="270" t="e">
        <f>INDEX([71]Listas!$F$6:$J$10,MATCH(AI92,[71]Listas!$D$6:$D$10,0),MATCH(AK92,[71]Listas!$F$4:$J$4,0))</f>
        <v>#N/A</v>
      </c>
      <c r="AN92" s="259"/>
      <c r="AO92" s="259"/>
      <c r="AP92" s="659"/>
      <c r="AQ92" s="259"/>
      <c r="AR92" s="259" t="s">
        <v>2343</v>
      </c>
      <c r="AS92" s="655"/>
      <c r="AT92" s="259"/>
      <c r="AU92" s="259"/>
      <c r="AV92" s="261"/>
      <c r="AW92" s="261"/>
      <c r="AX92" s="655"/>
      <c r="AY92" s="262"/>
    </row>
    <row r="93" spans="1:51" s="260" customFormat="1" ht="103.5" hidden="1" customHeight="1">
      <c r="A93" s="655"/>
      <c r="B93" s="266"/>
      <c r="C93" s="1399"/>
      <c r="D93" s="1408"/>
      <c r="E93" s="1400"/>
      <c r="F93" s="267"/>
      <c r="G93" s="1399"/>
      <c r="H93" s="1408"/>
      <c r="I93" s="1400"/>
      <c r="J93" s="1380"/>
      <c r="K93" s="1380"/>
      <c r="L93" s="1380"/>
      <c r="M93" s="655"/>
      <c r="N93" s="655"/>
      <c r="O93" s="655"/>
      <c r="P93" s="655"/>
      <c r="Q93" s="266"/>
      <c r="R93" s="266"/>
      <c r="S93" s="268"/>
      <c r="T93" s="269" t="e">
        <f>VLOOKUP(Q93,[71]Listas!$D$6:$E$10,2,0)</f>
        <v>#N/A</v>
      </c>
      <c r="U93" s="269" t="e">
        <f>HLOOKUP(R93,[71]Listas!$F$4:$J$5,2,0)</f>
        <v>#N/A</v>
      </c>
      <c r="V93" s="270" t="e">
        <f>INDEX([71]Listas!$F$6:$J$10,MATCH(Q93,[71]Listas!$D$6:$D$10,0),MATCH(R93,[71]Listas!$F$4:$J$4,0))</f>
        <v>#N/A</v>
      </c>
      <c r="W93" s="268"/>
      <c r="X93" s="1399"/>
      <c r="Y93" s="1408"/>
      <c r="Z93" s="1400"/>
      <c r="AA93" s="1063"/>
      <c r="AB93" s="267"/>
      <c r="AC93" s="259"/>
      <c r="AD93" s="655"/>
      <c r="AE93" s="267"/>
      <c r="AF93" s="268"/>
      <c r="AG93" s="269">
        <f t="shared" si="15"/>
        <v>0</v>
      </c>
      <c r="AH93" s="271" t="e">
        <f t="shared" si="16"/>
        <v>#N/A</v>
      </c>
      <c r="AI93" s="272" t="e">
        <f>IF(AH93&lt;=1,"Remota",VLOOKUP(AH93,[71]Listas!$C$6:$D$10,2,0))</f>
        <v>#N/A</v>
      </c>
      <c r="AJ93" s="271" t="e">
        <f t="shared" si="17"/>
        <v>#N/A</v>
      </c>
      <c r="AK93" s="272" t="e">
        <f>IF(AJ93&lt;=1,"Insignificante",HLOOKUP(AJ93,[71]Listas!$F$3:$J$4,2,0))</f>
        <v>#N/A</v>
      </c>
      <c r="AL93" s="273" t="e">
        <f t="shared" si="18"/>
        <v>#N/A</v>
      </c>
      <c r="AM93" s="270" t="e">
        <f>INDEX([71]Listas!$F$6:$J$10,MATCH(AI93,[71]Listas!$D$6:$D$10,0),MATCH(AK93,[71]Listas!$F$4:$J$4,0))</f>
        <v>#N/A</v>
      </c>
      <c r="AN93" s="259"/>
      <c r="AO93" s="259"/>
      <c r="AP93" s="659"/>
      <c r="AQ93" s="259"/>
      <c r="AR93" s="259" t="s">
        <v>2343</v>
      </c>
      <c r="AS93" s="655"/>
      <c r="AT93" s="259"/>
      <c r="AU93" s="259"/>
      <c r="AV93" s="261"/>
      <c r="AW93" s="261"/>
      <c r="AX93" s="655"/>
      <c r="AY93" s="262"/>
    </row>
    <row r="94" spans="1:51" s="260" customFormat="1" ht="103.5" hidden="1" customHeight="1">
      <c r="A94" s="655"/>
      <c r="B94" s="266"/>
      <c r="C94" s="1399"/>
      <c r="D94" s="1408"/>
      <c r="E94" s="1400"/>
      <c r="F94" s="267"/>
      <c r="G94" s="1399"/>
      <c r="H94" s="1408"/>
      <c r="I94" s="1400"/>
      <c r="J94" s="1380"/>
      <c r="K94" s="1380"/>
      <c r="L94" s="1380"/>
      <c r="M94" s="655"/>
      <c r="N94" s="655"/>
      <c r="O94" s="655"/>
      <c r="P94" s="655"/>
      <c r="Q94" s="266"/>
      <c r="R94" s="266"/>
      <c r="S94" s="268"/>
      <c r="T94" s="269" t="e">
        <f>VLOOKUP(Q94,[71]Listas!$D$6:$E$10,2,0)</f>
        <v>#N/A</v>
      </c>
      <c r="U94" s="269" t="e">
        <f>HLOOKUP(R94,[71]Listas!$F$4:$J$5,2,0)</f>
        <v>#N/A</v>
      </c>
      <c r="V94" s="270" t="e">
        <f>INDEX([71]Listas!$F$6:$J$10,MATCH(Q94,[71]Listas!$D$6:$D$10,0),MATCH(R94,[71]Listas!$F$4:$J$4,0))</f>
        <v>#N/A</v>
      </c>
      <c r="W94" s="268"/>
      <c r="X94" s="1399"/>
      <c r="Y94" s="1408"/>
      <c r="Z94" s="1400"/>
      <c r="AA94" s="1063"/>
      <c r="AB94" s="267"/>
      <c r="AC94" s="259"/>
      <c r="AD94" s="655"/>
      <c r="AE94" s="267"/>
      <c r="AF94" s="268"/>
      <c r="AG94" s="269">
        <f t="shared" si="15"/>
        <v>0</v>
      </c>
      <c r="AH94" s="271" t="e">
        <f t="shared" si="16"/>
        <v>#N/A</v>
      </c>
      <c r="AI94" s="272" t="e">
        <f>IF(AH94&lt;=1,"Remota",VLOOKUP(AH94,[71]Listas!$C$6:$D$10,2,0))</f>
        <v>#N/A</v>
      </c>
      <c r="AJ94" s="271" t="e">
        <f t="shared" si="17"/>
        <v>#N/A</v>
      </c>
      <c r="AK94" s="272" t="e">
        <f>IF(AJ94&lt;=1,"Insignificante",HLOOKUP(AJ94,[71]Listas!$F$3:$J$4,2,0))</f>
        <v>#N/A</v>
      </c>
      <c r="AL94" s="273" t="e">
        <f t="shared" si="18"/>
        <v>#N/A</v>
      </c>
      <c r="AM94" s="270" t="e">
        <f>INDEX([71]Listas!$F$6:$J$10,MATCH(AI94,[71]Listas!$D$6:$D$10,0),MATCH(AK94,[71]Listas!$F$4:$J$4,0))</f>
        <v>#N/A</v>
      </c>
      <c r="AN94" s="259"/>
      <c r="AO94" s="259"/>
      <c r="AP94" s="659"/>
      <c r="AQ94" s="259"/>
      <c r="AR94" s="259" t="s">
        <v>2343</v>
      </c>
      <c r="AS94" s="655"/>
      <c r="AT94" s="259"/>
      <c r="AU94" s="259"/>
      <c r="AV94" s="261"/>
      <c r="AW94" s="261"/>
      <c r="AX94" s="655"/>
      <c r="AY94" s="262"/>
    </row>
    <row r="95" spans="1:51" s="260" customFormat="1" ht="103.5" hidden="1" customHeight="1">
      <c r="A95" s="655"/>
      <c r="B95" s="266"/>
      <c r="C95" s="1399"/>
      <c r="D95" s="1408"/>
      <c r="E95" s="1400"/>
      <c r="F95" s="267"/>
      <c r="G95" s="1399"/>
      <c r="H95" s="1408"/>
      <c r="I95" s="1400"/>
      <c r="J95" s="1380"/>
      <c r="K95" s="1380"/>
      <c r="L95" s="1380"/>
      <c r="M95" s="655"/>
      <c r="N95" s="655"/>
      <c r="O95" s="655"/>
      <c r="P95" s="655"/>
      <c r="Q95" s="266"/>
      <c r="R95" s="266"/>
      <c r="S95" s="268"/>
      <c r="T95" s="269" t="e">
        <f>VLOOKUP(Q95,[71]Listas!$D$6:$E$10,2,0)</f>
        <v>#N/A</v>
      </c>
      <c r="U95" s="269" t="e">
        <f>HLOOKUP(R95,[71]Listas!$F$4:$J$5,2,0)</f>
        <v>#N/A</v>
      </c>
      <c r="V95" s="270" t="e">
        <f>INDEX([71]Listas!$F$6:$J$10,MATCH(Q95,[71]Listas!$D$6:$D$10,0),MATCH(R95,[71]Listas!$F$4:$J$4,0))</f>
        <v>#N/A</v>
      </c>
      <c r="W95" s="268"/>
      <c r="X95" s="1399"/>
      <c r="Y95" s="1408"/>
      <c r="Z95" s="1400"/>
      <c r="AA95" s="1063"/>
      <c r="AB95" s="267"/>
      <c r="AC95" s="259"/>
      <c r="AD95" s="655"/>
      <c r="AE95" s="267"/>
      <c r="AF95" s="268"/>
      <c r="AG95" s="269">
        <f t="shared" si="15"/>
        <v>0</v>
      </c>
      <c r="AH95" s="271" t="e">
        <f t="shared" si="16"/>
        <v>#N/A</v>
      </c>
      <c r="AI95" s="272" t="e">
        <f>IF(AH95&lt;=1,"Remota",VLOOKUP(AH95,[71]Listas!$C$6:$D$10,2,0))</f>
        <v>#N/A</v>
      </c>
      <c r="AJ95" s="271" t="e">
        <f t="shared" si="17"/>
        <v>#N/A</v>
      </c>
      <c r="AK95" s="272" t="e">
        <f>IF(AJ95&lt;=1,"Insignificante",HLOOKUP(AJ95,[71]Listas!$F$3:$J$4,2,0))</f>
        <v>#N/A</v>
      </c>
      <c r="AL95" s="273" t="e">
        <f t="shared" si="18"/>
        <v>#N/A</v>
      </c>
      <c r="AM95" s="270" t="e">
        <f>INDEX([71]Listas!$F$6:$J$10,MATCH(AI95,[71]Listas!$D$6:$D$10,0),MATCH(AK95,[71]Listas!$F$4:$J$4,0))</f>
        <v>#N/A</v>
      </c>
      <c r="AN95" s="259"/>
      <c r="AO95" s="259"/>
      <c r="AP95" s="659"/>
      <c r="AQ95" s="259"/>
      <c r="AR95" s="259" t="s">
        <v>2343</v>
      </c>
      <c r="AS95" s="655"/>
      <c r="AT95" s="259"/>
      <c r="AU95" s="259"/>
      <c r="AV95" s="261"/>
      <c r="AW95" s="261"/>
      <c r="AX95" s="655"/>
      <c r="AY95" s="262"/>
    </row>
    <row r="96" spans="1:51" s="260" customFormat="1" ht="103.5" hidden="1" customHeight="1">
      <c r="A96" s="655"/>
      <c r="B96" s="266"/>
      <c r="C96" s="1399"/>
      <c r="D96" s="1408"/>
      <c r="E96" s="1400"/>
      <c r="F96" s="267"/>
      <c r="G96" s="1399"/>
      <c r="H96" s="1408"/>
      <c r="I96" s="1400"/>
      <c r="J96" s="1380"/>
      <c r="K96" s="1380"/>
      <c r="L96" s="1380"/>
      <c r="M96" s="655"/>
      <c r="N96" s="655"/>
      <c r="O96" s="655"/>
      <c r="P96" s="655"/>
      <c r="Q96" s="266"/>
      <c r="R96" s="266"/>
      <c r="S96" s="268"/>
      <c r="T96" s="269" t="e">
        <f>VLOOKUP(Q96,[71]Listas!$D$6:$E$10,2,0)</f>
        <v>#N/A</v>
      </c>
      <c r="U96" s="269" t="e">
        <f>HLOOKUP(R96,[71]Listas!$F$4:$J$5,2,0)</f>
        <v>#N/A</v>
      </c>
      <c r="V96" s="270" t="e">
        <f>INDEX([71]Listas!$F$6:$J$10,MATCH(Q96,[71]Listas!$D$6:$D$10,0),MATCH(R96,[71]Listas!$F$4:$J$4,0))</f>
        <v>#N/A</v>
      </c>
      <c r="W96" s="268"/>
      <c r="X96" s="1399"/>
      <c r="Y96" s="1408"/>
      <c r="Z96" s="1400"/>
      <c r="AA96" s="1063"/>
      <c r="AB96" s="267"/>
      <c r="AC96" s="259"/>
      <c r="AD96" s="655"/>
      <c r="AE96" s="267"/>
      <c r="AF96" s="268"/>
      <c r="AG96" s="269">
        <f t="shared" si="15"/>
        <v>0</v>
      </c>
      <c r="AH96" s="271" t="e">
        <f t="shared" si="16"/>
        <v>#N/A</v>
      </c>
      <c r="AI96" s="272" t="e">
        <f>IF(AH96&lt;=1,"Remota",VLOOKUP(AH96,[71]Listas!$C$6:$D$10,2,0))</f>
        <v>#N/A</v>
      </c>
      <c r="AJ96" s="271" t="e">
        <f t="shared" si="17"/>
        <v>#N/A</v>
      </c>
      <c r="AK96" s="272" t="e">
        <f>IF(AJ96&lt;=1,"Insignificante",HLOOKUP(AJ96,[71]Listas!$F$3:$J$4,2,0))</f>
        <v>#N/A</v>
      </c>
      <c r="AL96" s="273" t="e">
        <f t="shared" si="18"/>
        <v>#N/A</v>
      </c>
      <c r="AM96" s="270" t="e">
        <f>INDEX([71]Listas!$F$6:$J$10,MATCH(AI96,[71]Listas!$D$6:$D$10,0),MATCH(AK96,[71]Listas!$F$4:$J$4,0))</f>
        <v>#N/A</v>
      </c>
      <c r="AN96" s="259"/>
      <c r="AO96" s="259"/>
      <c r="AP96" s="659"/>
      <c r="AQ96" s="259"/>
      <c r="AR96" s="259" t="s">
        <v>2343</v>
      </c>
      <c r="AS96" s="655"/>
      <c r="AT96" s="259"/>
      <c r="AU96" s="259"/>
      <c r="AV96" s="261"/>
      <c r="AW96" s="261"/>
      <c r="AX96" s="655"/>
      <c r="AY96" s="262"/>
    </row>
    <row r="97" spans="1:51" s="260" customFormat="1" ht="103.5" hidden="1" customHeight="1">
      <c r="A97" s="655"/>
      <c r="B97" s="266"/>
      <c r="C97" s="1399"/>
      <c r="D97" s="1408"/>
      <c r="E97" s="1400"/>
      <c r="F97" s="267"/>
      <c r="G97" s="1399"/>
      <c r="H97" s="1408"/>
      <c r="I97" s="1400"/>
      <c r="J97" s="1380"/>
      <c r="K97" s="1380"/>
      <c r="L97" s="1380"/>
      <c r="M97" s="655"/>
      <c r="N97" s="655"/>
      <c r="O97" s="655"/>
      <c r="P97" s="655"/>
      <c r="Q97" s="266"/>
      <c r="R97" s="266"/>
      <c r="S97" s="268"/>
      <c r="T97" s="269" t="e">
        <f>VLOOKUP(Q97,[71]Listas!$D$6:$E$10,2,0)</f>
        <v>#N/A</v>
      </c>
      <c r="U97" s="269" t="e">
        <f>HLOOKUP(R97,[71]Listas!$F$4:$J$5,2,0)</f>
        <v>#N/A</v>
      </c>
      <c r="V97" s="270" t="e">
        <f>INDEX([71]Listas!$F$6:$J$10,MATCH(Q97,[71]Listas!$D$6:$D$10,0),MATCH(R97,[71]Listas!$F$4:$J$4,0))</f>
        <v>#N/A</v>
      </c>
      <c r="W97" s="268"/>
      <c r="X97" s="1399"/>
      <c r="Y97" s="1408"/>
      <c r="Z97" s="1400"/>
      <c r="AA97" s="1063"/>
      <c r="AB97" s="267"/>
      <c r="AC97" s="259"/>
      <c r="AD97" s="655"/>
      <c r="AE97" s="267"/>
      <c r="AF97" s="268"/>
      <c r="AG97" s="269">
        <f t="shared" si="15"/>
        <v>0</v>
      </c>
      <c r="AH97" s="271" t="e">
        <f t="shared" si="16"/>
        <v>#N/A</v>
      </c>
      <c r="AI97" s="272" t="e">
        <f>IF(AH97&lt;=1,"Remota",VLOOKUP(AH97,[71]Listas!$C$6:$D$10,2,0))</f>
        <v>#N/A</v>
      </c>
      <c r="AJ97" s="271" t="e">
        <f t="shared" si="17"/>
        <v>#N/A</v>
      </c>
      <c r="AK97" s="272" t="e">
        <f>IF(AJ97&lt;=1,"Insignificante",HLOOKUP(AJ97,[71]Listas!$F$3:$J$4,2,0))</f>
        <v>#N/A</v>
      </c>
      <c r="AL97" s="273" t="e">
        <f t="shared" si="18"/>
        <v>#N/A</v>
      </c>
      <c r="AM97" s="270" t="e">
        <f>INDEX([71]Listas!$F$6:$J$10,MATCH(AI97,[71]Listas!$D$6:$D$10,0),MATCH(AK97,[71]Listas!$F$4:$J$4,0))</f>
        <v>#N/A</v>
      </c>
      <c r="AN97" s="259"/>
      <c r="AO97" s="259"/>
      <c r="AP97" s="659"/>
      <c r="AQ97" s="259"/>
      <c r="AR97" s="259" t="s">
        <v>2343</v>
      </c>
      <c r="AS97" s="655"/>
      <c r="AT97" s="259"/>
      <c r="AU97" s="259"/>
      <c r="AV97" s="261"/>
      <c r="AW97" s="261"/>
      <c r="AX97" s="655"/>
      <c r="AY97" s="262"/>
    </row>
    <row r="98" spans="1:51" s="260" customFormat="1" ht="103.5" hidden="1" customHeight="1">
      <c r="A98" s="655"/>
      <c r="B98" s="266"/>
      <c r="C98" s="1399"/>
      <c r="D98" s="1408"/>
      <c r="E98" s="1400"/>
      <c r="F98" s="267"/>
      <c r="G98" s="1399"/>
      <c r="H98" s="1408"/>
      <c r="I98" s="1400"/>
      <c r="J98" s="1380"/>
      <c r="K98" s="1380"/>
      <c r="L98" s="1380"/>
      <c r="M98" s="655"/>
      <c r="N98" s="655"/>
      <c r="O98" s="655"/>
      <c r="P98" s="655"/>
      <c r="Q98" s="266"/>
      <c r="R98" s="266"/>
      <c r="S98" s="268"/>
      <c r="T98" s="269" t="e">
        <f>VLOOKUP(Q98,[71]Listas!$D$6:$E$10,2,0)</f>
        <v>#N/A</v>
      </c>
      <c r="U98" s="269" t="e">
        <f>HLOOKUP(R98,[71]Listas!$F$4:$J$5,2,0)</f>
        <v>#N/A</v>
      </c>
      <c r="V98" s="270" t="e">
        <f>INDEX([71]Listas!$F$6:$J$10,MATCH(Q98,[71]Listas!$D$6:$D$10,0),MATCH(R98,[71]Listas!$F$4:$J$4,0))</f>
        <v>#N/A</v>
      </c>
      <c r="W98" s="268"/>
      <c r="X98" s="1399"/>
      <c r="Y98" s="1408"/>
      <c r="Z98" s="1400"/>
      <c r="AA98" s="1063"/>
      <c r="AB98" s="267"/>
      <c r="AC98" s="259"/>
      <c r="AD98" s="655"/>
      <c r="AE98" s="267"/>
      <c r="AF98" s="268"/>
      <c r="AG98" s="269">
        <f t="shared" si="15"/>
        <v>0</v>
      </c>
      <c r="AH98" s="271" t="e">
        <f t="shared" si="16"/>
        <v>#N/A</v>
      </c>
      <c r="AI98" s="272" t="e">
        <f>IF(AH98&lt;=1,"Remota",VLOOKUP(AH98,[71]Listas!$C$6:$D$10,2,0))</f>
        <v>#N/A</v>
      </c>
      <c r="AJ98" s="271" t="e">
        <f t="shared" si="17"/>
        <v>#N/A</v>
      </c>
      <c r="AK98" s="272" t="e">
        <f>IF(AJ98&lt;=1,"Insignificante",HLOOKUP(AJ98,[71]Listas!$F$3:$J$4,2,0))</f>
        <v>#N/A</v>
      </c>
      <c r="AL98" s="273" t="e">
        <f t="shared" si="18"/>
        <v>#N/A</v>
      </c>
      <c r="AM98" s="270" t="e">
        <f>INDEX([71]Listas!$F$6:$J$10,MATCH(AI98,[71]Listas!$D$6:$D$10,0),MATCH(AK98,[71]Listas!$F$4:$J$4,0))</f>
        <v>#N/A</v>
      </c>
      <c r="AN98" s="259"/>
      <c r="AO98" s="259"/>
      <c r="AP98" s="659"/>
      <c r="AQ98" s="259"/>
      <c r="AR98" s="259" t="s">
        <v>2343</v>
      </c>
      <c r="AS98" s="655"/>
      <c r="AT98" s="259"/>
      <c r="AU98" s="259"/>
      <c r="AV98" s="261"/>
      <c r="AW98" s="261"/>
      <c r="AX98" s="655"/>
      <c r="AY98" s="262"/>
    </row>
    <row r="99" spans="1:51" s="260" customFormat="1" ht="103.5" hidden="1" customHeight="1">
      <c r="A99" s="679"/>
      <c r="B99" s="274"/>
      <c r="C99" s="1399"/>
      <c r="D99" s="1408"/>
      <c r="E99" s="1400"/>
      <c r="F99" s="267"/>
      <c r="G99" s="1399"/>
      <c r="H99" s="1408"/>
      <c r="I99" s="1400"/>
      <c r="J99" s="1380"/>
      <c r="K99" s="1380"/>
      <c r="L99" s="1380"/>
      <c r="M99" s="655"/>
      <c r="N99" s="655"/>
      <c r="O99" s="655"/>
      <c r="P99" s="655"/>
      <c r="Q99" s="266"/>
      <c r="R99" s="266"/>
      <c r="S99" s="268"/>
      <c r="T99" s="269" t="e">
        <f>VLOOKUP(Q99,[71]Listas!$D$6:$E$10,2,0)</f>
        <v>#N/A</v>
      </c>
      <c r="U99" s="269" t="e">
        <f>HLOOKUP(R99,[71]Listas!$F$4:$J$5,2,0)</f>
        <v>#N/A</v>
      </c>
      <c r="V99" s="270" t="e">
        <f>INDEX([71]Listas!$F$6:$J$10,MATCH(Q99,[71]Listas!$D$6:$D$10,0),MATCH(R99,[71]Listas!$F$4:$J$4,0))</f>
        <v>#N/A</v>
      </c>
      <c r="W99" s="268"/>
      <c r="X99" s="1399"/>
      <c r="Y99" s="1408"/>
      <c r="Z99" s="1400"/>
      <c r="AA99" s="1063"/>
      <c r="AB99" s="267"/>
      <c r="AC99" s="259"/>
      <c r="AD99" s="655"/>
      <c r="AE99" s="267"/>
      <c r="AF99" s="268"/>
      <c r="AG99" s="269">
        <f t="shared" si="15"/>
        <v>0</v>
      </c>
      <c r="AH99" s="271" t="e">
        <f t="shared" si="16"/>
        <v>#N/A</v>
      </c>
      <c r="AI99" s="272" t="e">
        <f>IF(AH99&lt;=1,"Remota",VLOOKUP(AH99,[71]Listas!$C$6:$D$10,2,0))</f>
        <v>#N/A</v>
      </c>
      <c r="AJ99" s="271" t="e">
        <f t="shared" si="17"/>
        <v>#N/A</v>
      </c>
      <c r="AK99" s="272" t="e">
        <f>IF(AJ99&lt;=1,"Insignificante",HLOOKUP(AJ99,[71]Listas!$F$3:$J$4,2,0))</f>
        <v>#N/A</v>
      </c>
      <c r="AL99" s="273" t="e">
        <f t="shared" si="18"/>
        <v>#N/A</v>
      </c>
      <c r="AM99" s="270" t="e">
        <f>INDEX([71]Listas!$F$6:$J$10,MATCH(AI99,[71]Listas!$D$6:$D$10,0),MATCH(AK99,[71]Listas!$F$4:$J$4,0))</f>
        <v>#N/A</v>
      </c>
      <c r="AN99" s="259"/>
      <c r="AO99" s="259"/>
      <c r="AP99" s="659"/>
      <c r="AQ99" s="259"/>
      <c r="AR99" s="259" t="s">
        <v>2343</v>
      </c>
      <c r="AS99" s="655"/>
      <c r="AT99" s="259"/>
      <c r="AU99" s="259"/>
      <c r="AV99" s="261"/>
      <c r="AW99" s="261"/>
      <c r="AX99" s="655"/>
      <c r="AY99" s="262"/>
    </row>
    <row r="100" spans="1:51" s="260" customFormat="1" ht="103.5" hidden="1" customHeight="1">
      <c r="A100" s="655"/>
      <c r="B100" s="266"/>
      <c r="C100" s="1399"/>
      <c r="D100" s="1408"/>
      <c r="E100" s="1400"/>
      <c r="F100" s="267"/>
      <c r="G100" s="1399"/>
      <c r="H100" s="1408"/>
      <c r="I100" s="1400"/>
      <c r="J100" s="1380"/>
      <c r="K100" s="1380"/>
      <c r="L100" s="1380"/>
      <c r="M100" s="655"/>
      <c r="N100" s="655"/>
      <c r="O100" s="655"/>
      <c r="P100" s="655"/>
      <c r="Q100" s="266"/>
      <c r="R100" s="266"/>
      <c r="S100" s="268"/>
      <c r="T100" s="269" t="e">
        <f>VLOOKUP(Q100,[71]Listas!$D$6:$E$10,2,0)</f>
        <v>#N/A</v>
      </c>
      <c r="U100" s="269" t="e">
        <f>HLOOKUP(R100,[71]Listas!$F$4:$J$5,2,0)</f>
        <v>#N/A</v>
      </c>
      <c r="V100" s="270" t="e">
        <f>INDEX([71]Listas!$F$6:$J$10,MATCH(Q100,[71]Listas!$D$6:$D$10,0),MATCH(R100,[71]Listas!$F$4:$J$4,0))</f>
        <v>#N/A</v>
      </c>
      <c r="W100" s="268"/>
      <c r="X100" s="1399"/>
      <c r="Y100" s="1408"/>
      <c r="Z100" s="1400"/>
      <c r="AA100" s="1063"/>
      <c r="AB100" s="267"/>
      <c r="AC100" s="259"/>
      <c r="AD100" s="655"/>
      <c r="AE100" s="267"/>
      <c r="AF100" s="268"/>
      <c r="AG100" s="269">
        <f t="shared" si="15"/>
        <v>0</v>
      </c>
      <c r="AH100" s="271" t="e">
        <f t="shared" si="16"/>
        <v>#N/A</v>
      </c>
      <c r="AI100" s="272" t="e">
        <f>IF(AH100&lt;=1,"Remota",VLOOKUP(AH100,[71]Listas!$C$6:$D$10,2,0))</f>
        <v>#N/A</v>
      </c>
      <c r="AJ100" s="271" t="e">
        <f t="shared" si="17"/>
        <v>#N/A</v>
      </c>
      <c r="AK100" s="272" t="e">
        <f>IF(AJ100&lt;=1,"Insignificante",HLOOKUP(AJ100,[71]Listas!$F$3:$J$4,2,0))</f>
        <v>#N/A</v>
      </c>
      <c r="AL100" s="273" t="e">
        <f t="shared" si="18"/>
        <v>#N/A</v>
      </c>
      <c r="AM100" s="270" t="e">
        <f>INDEX([71]Listas!$F$6:$J$10,MATCH(AI100,[71]Listas!$D$6:$D$10,0),MATCH(AK100,[71]Listas!$F$4:$J$4,0))</f>
        <v>#N/A</v>
      </c>
      <c r="AN100" s="259"/>
      <c r="AO100" s="259"/>
      <c r="AP100" s="659"/>
      <c r="AQ100" s="259"/>
      <c r="AR100" s="259" t="s">
        <v>2343</v>
      </c>
      <c r="AS100" s="655"/>
      <c r="AT100" s="259"/>
      <c r="AU100" s="259"/>
      <c r="AV100" s="261"/>
      <c r="AW100" s="261"/>
      <c r="AX100" s="655"/>
      <c r="AY100" s="262"/>
    </row>
    <row r="101" spans="1:51" s="260" customFormat="1" ht="103.5" hidden="1" customHeight="1">
      <c r="A101" s="655"/>
      <c r="B101" s="266"/>
      <c r="C101" s="1399"/>
      <c r="D101" s="1408"/>
      <c r="E101" s="1400"/>
      <c r="F101" s="267"/>
      <c r="G101" s="1399"/>
      <c r="H101" s="1408"/>
      <c r="I101" s="1400"/>
      <c r="J101" s="1380"/>
      <c r="K101" s="1380"/>
      <c r="L101" s="1380"/>
      <c r="M101" s="655"/>
      <c r="N101" s="655"/>
      <c r="O101" s="655"/>
      <c r="P101" s="655"/>
      <c r="Q101" s="266"/>
      <c r="R101" s="266"/>
      <c r="S101" s="268"/>
      <c r="T101" s="269" t="e">
        <f>VLOOKUP(Q101,[71]Listas!$D$6:$E$10,2,0)</f>
        <v>#N/A</v>
      </c>
      <c r="U101" s="269" t="e">
        <f>HLOOKUP(R101,[71]Listas!$F$4:$J$5,2,0)</f>
        <v>#N/A</v>
      </c>
      <c r="V101" s="270" t="e">
        <f>INDEX([71]Listas!$F$6:$J$10,MATCH(Q101,[71]Listas!$D$6:$D$10,0),MATCH(R101,[71]Listas!$F$4:$J$4,0))</f>
        <v>#N/A</v>
      </c>
      <c r="W101" s="268"/>
      <c r="X101" s="1399"/>
      <c r="Y101" s="1408"/>
      <c r="Z101" s="1400"/>
      <c r="AA101" s="1063"/>
      <c r="AB101" s="267"/>
      <c r="AC101" s="259"/>
      <c r="AD101" s="655"/>
      <c r="AE101" s="267"/>
      <c r="AF101" s="268"/>
      <c r="AG101" s="269">
        <f t="shared" si="15"/>
        <v>0</v>
      </c>
      <c r="AH101" s="271" t="e">
        <f t="shared" si="16"/>
        <v>#N/A</v>
      </c>
      <c r="AI101" s="272" t="e">
        <f>IF(AH101&lt;=1,"Remota",VLOOKUP(AH101,[71]Listas!$C$6:$D$10,2,0))</f>
        <v>#N/A</v>
      </c>
      <c r="AJ101" s="271" t="e">
        <f t="shared" si="17"/>
        <v>#N/A</v>
      </c>
      <c r="AK101" s="272" t="e">
        <f>IF(AJ101&lt;=1,"Insignificante",HLOOKUP(AJ101,[71]Listas!$F$3:$J$4,2,0))</f>
        <v>#N/A</v>
      </c>
      <c r="AL101" s="273" t="e">
        <f t="shared" si="18"/>
        <v>#N/A</v>
      </c>
      <c r="AM101" s="270" t="e">
        <f>INDEX([71]Listas!$F$6:$J$10,MATCH(AI101,[71]Listas!$D$6:$D$10,0),MATCH(AK101,[71]Listas!$F$4:$J$4,0))</f>
        <v>#N/A</v>
      </c>
      <c r="AN101" s="259"/>
      <c r="AO101" s="259"/>
      <c r="AP101" s="659"/>
      <c r="AQ101" s="259"/>
      <c r="AR101" s="259" t="s">
        <v>2343</v>
      </c>
      <c r="AS101" s="655"/>
      <c r="AT101" s="259"/>
      <c r="AU101" s="259"/>
      <c r="AV101" s="261"/>
      <c r="AW101" s="261"/>
      <c r="AX101" s="655"/>
      <c r="AY101" s="262"/>
    </row>
    <row r="102" spans="1:51" s="260" customFormat="1" ht="103.5" hidden="1" customHeight="1">
      <c r="A102" s="655"/>
      <c r="B102" s="266"/>
      <c r="C102" s="1399"/>
      <c r="D102" s="1408"/>
      <c r="E102" s="1400"/>
      <c r="F102" s="267"/>
      <c r="G102" s="1399"/>
      <c r="H102" s="1408"/>
      <c r="I102" s="1400"/>
      <c r="J102" s="1380"/>
      <c r="K102" s="1380"/>
      <c r="L102" s="1380"/>
      <c r="M102" s="655"/>
      <c r="N102" s="655"/>
      <c r="O102" s="655"/>
      <c r="P102" s="655"/>
      <c r="Q102" s="266"/>
      <c r="R102" s="266"/>
      <c r="S102" s="268"/>
      <c r="T102" s="269" t="e">
        <f>VLOOKUP(Q102,[71]Listas!$D$6:$E$10,2,0)</f>
        <v>#N/A</v>
      </c>
      <c r="U102" s="269" t="e">
        <f>HLOOKUP(R102,[71]Listas!$F$4:$J$5,2,0)</f>
        <v>#N/A</v>
      </c>
      <c r="V102" s="270" t="e">
        <f>INDEX([71]Listas!$F$6:$J$10,MATCH(Q102,[71]Listas!$D$6:$D$10,0),MATCH(R102,[71]Listas!$F$4:$J$4,0))</f>
        <v>#N/A</v>
      </c>
      <c r="W102" s="268"/>
      <c r="X102" s="1399"/>
      <c r="Y102" s="1408"/>
      <c r="Z102" s="1400"/>
      <c r="AA102" s="1063"/>
      <c r="AB102" s="267"/>
      <c r="AC102" s="259"/>
      <c r="AD102" s="655"/>
      <c r="AE102" s="267"/>
      <c r="AF102" s="268"/>
      <c r="AG102" s="269">
        <f t="shared" si="15"/>
        <v>0</v>
      </c>
      <c r="AH102" s="271" t="e">
        <f t="shared" si="16"/>
        <v>#N/A</v>
      </c>
      <c r="AI102" s="272" t="e">
        <f>IF(AH102&lt;=1,"Remota",VLOOKUP(AH102,[71]Listas!$C$6:$D$10,2,0))</f>
        <v>#N/A</v>
      </c>
      <c r="AJ102" s="271" t="e">
        <f t="shared" si="17"/>
        <v>#N/A</v>
      </c>
      <c r="AK102" s="272" t="e">
        <f>IF(AJ102&lt;=1,"Insignificante",HLOOKUP(AJ102,[71]Listas!$F$3:$J$4,2,0))</f>
        <v>#N/A</v>
      </c>
      <c r="AL102" s="273" t="e">
        <f t="shared" si="18"/>
        <v>#N/A</v>
      </c>
      <c r="AM102" s="270" t="e">
        <f>INDEX([71]Listas!$F$6:$J$10,MATCH(AI102,[71]Listas!$D$6:$D$10,0),MATCH(AK102,[71]Listas!$F$4:$J$4,0))</f>
        <v>#N/A</v>
      </c>
      <c r="AN102" s="259"/>
      <c r="AO102" s="259"/>
      <c r="AP102" s="659"/>
      <c r="AQ102" s="259"/>
      <c r="AR102" s="259" t="s">
        <v>2343</v>
      </c>
      <c r="AS102" s="655"/>
      <c r="AT102" s="259"/>
      <c r="AU102" s="259"/>
      <c r="AV102" s="261"/>
      <c r="AW102" s="261"/>
      <c r="AX102" s="655"/>
      <c r="AY102" s="262"/>
    </row>
    <row r="103" spans="1:51" s="260" customFormat="1" ht="103.5" hidden="1" customHeight="1">
      <c r="A103" s="655"/>
      <c r="B103" s="266"/>
      <c r="C103" s="1399"/>
      <c r="D103" s="1408"/>
      <c r="E103" s="1400"/>
      <c r="F103" s="267"/>
      <c r="G103" s="1399"/>
      <c r="H103" s="1408"/>
      <c r="I103" s="1400"/>
      <c r="J103" s="1380"/>
      <c r="K103" s="1380"/>
      <c r="L103" s="1380"/>
      <c r="M103" s="655"/>
      <c r="N103" s="655"/>
      <c r="O103" s="655"/>
      <c r="P103" s="655"/>
      <c r="Q103" s="266"/>
      <c r="R103" s="266"/>
      <c r="S103" s="268"/>
      <c r="T103" s="269" t="e">
        <f>VLOOKUP(Q103,[71]Listas!$D$6:$E$10,2,0)</f>
        <v>#N/A</v>
      </c>
      <c r="U103" s="269" t="e">
        <f>HLOOKUP(R103,[71]Listas!$F$4:$J$5,2,0)</f>
        <v>#N/A</v>
      </c>
      <c r="V103" s="270" t="e">
        <f>INDEX([71]Listas!$F$6:$J$10,MATCH(Q103,[71]Listas!$D$6:$D$10,0),MATCH(R103,[71]Listas!$F$4:$J$4,0))</f>
        <v>#N/A</v>
      </c>
      <c r="W103" s="268"/>
      <c r="X103" s="1399"/>
      <c r="Y103" s="1408"/>
      <c r="Z103" s="1400"/>
      <c r="AA103" s="1063"/>
      <c r="AB103" s="267"/>
      <c r="AC103" s="259"/>
      <c r="AD103" s="655"/>
      <c r="AE103" s="267"/>
      <c r="AF103" s="268"/>
      <c r="AG103" s="269">
        <f t="shared" si="15"/>
        <v>0</v>
      </c>
      <c r="AH103" s="271" t="e">
        <f t="shared" si="16"/>
        <v>#N/A</v>
      </c>
      <c r="AI103" s="272" t="e">
        <f>IF(AH103&lt;=1,"Remota",VLOOKUP(AH103,[71]Listas!$C$6:$D$10,2,0))</f>
        <v>#N/A</v>
      </c>
      <c r="AJ103" s="271" t="e">
        <f t="shared" si="17"/>
        <v>#N/A</v>
      </c>
      <c r="AK103" s="272" t="e">
        <f>IF(AJ103&lt;=1,"Insignificante",HLOOKUP(AJ103,[71]Listas!$F$3:$J$4,2,0))</f>
        <v>#N/A</v>
      </c>
      <c r="AL103" s="273" t="e">
        <f t="shared" si="18"/>
        <v>#N/A</v>
      </c>
      <c r="AM103" s="270" t="e">
        <f>INDEX([71]Listas!$F$6:$J$10,MATCH(AI103,[71]Listas!$D$6:$D$10,0),MATCH(AK103,[71]Listas!$F$4:$J$4,0))</f>
        <v>#N/A</v>
      </c>
      <c r="AN103" s="259"/>
      <c r="AO103" s="259"/>
      <c r="AP103" s="659"/>
      <c r="AQ103" s="259"/>
      <c r="AR103" s="259" t="s">
        <v>2343</v>
      </c>
      <c r="AS103" s="655"/>
      <c r="AT103" s="259"/>
      <c r="AU103" s="259"/>
      <c r="AV103" s="261"/>
      <c r="AW103" s="261"/>
      <c r="AX103" s="655"/>
      <c r="AY103" s="262"/>
    </row>
    <row r="104" spans="1:51" s="260" customFormat="1" ht="103.5" hidden="1" customHeight="1">
      <c r="A104" s="655"/>
      <c r="B104" s="266"/>
      <c r="C104" s="1399"/>
      <c r="D104" s="1408"/>
      <c r="E104" s="1400"/>
      <c r="F104" s="267"/>
      <c r="G104" s="1399"/>
      <c r="H104" s="1408"/>
      <c r="I104" s="1400"/>
      <c r="J104" s="1380"/>
      <c r="K104" s="1380"/>
      <c r="L104" s="1380"/>
      <c r="M104" s="655"/>
      <c r="N104" s="655"/>
      <c r="O104" s="655"/>
      <c r="P104" s="655"/>
      <c r="Q104" s="266"/>
      <c r="R104" s="266"/>
      <c r="S104" s="268"/>
      <c r="T104" s="269" t="e">
        <f>VLOOKUP(Q104,[71]Listas!$D$6:$E$10,2,0)</f>
        <v>#N/A</v>
      </c>
      <c r="U104" s="269" t="e">
        <f>HLOOKUP(R104,[71]Listas!$F$4:$J$5,2,0)</f>
        <v>#N/A</v>
      </c>
      <c r="V104" s="270" t="e">
        <f>INDEX([71]Listas!$F$6:$J$10,MATCH(Q104,[71]Listas!$D$6:$D$10,0),MATCH(R104,[71]Listas!$F$4:$J$4,0))</f>
        <v>#N/A</v>
      </c>
      <c r="W104" s="268"/>
      <c r="X104" s="1399"/>
      <c r="Y104" s="1408"/>
      <c r="Z104" s="1400"/>
      <c r="AA104" s="1063"/>
      <c r="AB104" s="267"/>
      <c r="AC104" s="259"/>
      <c r="AD104" s="655"/>
      <c r="AE104" s="267"/>
      <c r="AF104" s="268"/>
      <c r="AG104" s="269">
        <f t="shared" si="15"/>
        <v>0</v>
      </c>
      <c r="AH104" s="271" t="e">
        <f t="shared" si="16"/>
        <v>#N/A</v>
      </c>
      <c r="AI104" s="272" t="e">
        <f>IF(AH104&lt;=1,"Remota",VLOOKUP(AH104,[71]Listas!$C$6:$D$10,2,0))</f>
        <v>#N/A</v>
      </c>
      <c r="AJ104" s="271" t="e">
        <f t="shared" si="17"/>
        <v>#N/A</v>
      </c>
      <c r="AK104" s="272" t="e">
        <f>IF(AJ104&lt;=1,"Insignificante",HLOOKUP(AJ104,[71]Listas!$F$3:$J$4,2,0))</f>
        <v>#N/A</v>
      </c>
      <c r="AL104" s="273" t="e">
        <f t="shared" si="18"/>
        <v>#N/A</v>
      </c>
      <c r="AM104" s="270" t="e">
        <f>INDEX([71]Listas!$F$6:$J$10,MATCH(AI104,[71]Listas!$D$6:$D$10,0),MATCH(AK104,[71]Listas!$F$4:$J$4,0))</f>
        <v>#N/A</v>
      </c>
      <c r="AN104" s="259"/>
      <c r="AO104" s="259"/>
      <c r="AP104" s="659"/>
      <c r="AQ104" s="259"/>
      <c r="AR104" s="259" t="s">
        <v>2343</v>
      </c>
      <c r="AS104" s="655"/>
      <c r="AT104" s="259"/>
      <c r="AU104" s="259"/>
      <c r="AV104" s="261"/>
      <c r="AW104" s="261"/>
      <c r="AX104" s="655"/>
      <c r="AY104" s="262"/>
    </row>
    <row r="105" spans="1:51" s="260" customFormat="1" ht="103.5" hidden="1" customHeight="1">
      <c r="A105" s="655"/>
      <c r="B105" s="266"/>
      <c r="C105" s="1399"/>
      <c r="D105" s="1408"/>
      <c r="E105" s="1400"/>
      <c r="F105" s="267"/>
      <c r="G105" s="1399"/>
      <c r="H105" s="1408"/>
      <c r="I105" s="1400"/>
      <c r="J105" s="1380"/>
      <c r="K105" s="1380"/>
      <c r="L105" s="1380"/>
      <c r="M105" s="655"/>
      <c r="N105" s="655"/>
      <c r="O105" s="655"/>
      <c r="P105" s="655"/>
      <c r="Q105" s="266"/>
      <c r="R105" s="266"/>
      <c r="S105" s="268"/>
      <c r="T105" s="269" t="e">
        <f>VLOOKUP(Q105,[71]Listas!$D$6:$E$10,2,0)</f>
        <v>#N/A</v>
      </c>
      <c r="U105" s="269" t="e">
        <f>HLOOKUP(R105,[71]Listas!$F$4:$J$5,2,0)</f>
        <v>#N/A</v>
      </c>
      <c r="V105" s="270" t="e">
        <f>INDEX([71]Listas!$F$6:$J$10,MATCH(Q105,[71]Listas!$D$6:$D$10,0),MATCH(R105,[71]Listas!$F$4:$J$4,0))</f>
        <v>#N/A</v>
      </c>
      <c r="W105" s="268"/>
      <c r="X105" s="1399"/>
      <c r="Y105" s="1408"/>
      <c r="Z105" s="1400"/>
      <c r="AA105" s="1063"/>
      <c r="AB105" s="267"/>
      <c r="AC105" s="259"/>
      <c r="AD105" s="655"/>
      <c r="AE105" s="267"/>
      <c r="AF105" s="268"/>
      <c r="AG105" s="269">
        <f t="shared" si="15"/>
        <v>0</v>
      </c>
      <c r="AH105" s="271" t="e">
        <f t="shared" si="16"/>
        <v>#N/A</v>
      </c>
      <c r="AI105" s="272" t="e">
        <f>IF(AH105&lt;=1,"Remota",VLOOKUP(AH105,[71]Listas!$C$6:$D$10,2,0))</f>
        <v>#N/A</v>
      </c>
      <c r="AJ105" s="271" t="e">
        <f t="shared" si="17"/>
        <v>#N/A</v>
      </c>
      <c r="AK105" s="272" t="e">
        <f>IF(AJ105&lt;=1,"Insignificante",HLOOKUP(AJ105,[71]Listas!$F$3:$J$4,2,0))</f>
        <v>#N/A</v>
      </c>
      <c r="AL105" s="273" t="e">
        <f t="shared" si="18"/>
        <v>#N/A</v>
      </c>
      <c r="AM105" s="270" t="e">
        <f>INDEX([71]Listas!$F$6:$J$10,MATCH(AI105,[71]Listas!$D$6:$D$10,0),MATCH(AK105,[71]Listas!$F$4:$J$4,0))</f>
        <v>#N/A</v>
      </c>
      <c r="AN105" s="259"/>
      <c r="AO105" s="259"/>
      <c r="AP105" s="659"/>
      <c r="AQ105" s="259"/>
      <c r="AR105" s="259" t="s">
        <v>2343</v>
      </c>
      <c r="AS105" s="655"/>
      <c r="AT105" s="259"/>
      <c r="AU105" s="259"/>
      <c r="AV105" s="261"/>
      <c r="AW105" s="261"/>
      <c r="AX105" s="655"/>
      <c r="AY105" s="262"/>
    </row>
    <row r="106" spans="1:51" s="260" customFormat="1" ht="103.5" hidden="1" customHeight="1">
      <c r="A106" s="655"/>
      <c r="B106" s="266"/>
      <c r="C106" s="1399"/>
      <c r="D106" s="1408"/>
      <c r="E106" s="1400"/>
      <c r="F106" s="267"/>
      <c r="G106" s="1399"/>
      <c r="H106" s="1408"/>
      <c r="I106" s="1400"/>
      <c r="J106" s="1380"/>
      <c r="K106" s="1380"/>
      <c r="L106" s="1380"/>
      <c r="M106" s="655"/>
      <c r="N106" s="655"/>
      <c r="O106" s="655"/>
      <c r="P106" s="655"/>
      <c r="Q106" s="266"/>
      <c r="R106" s="266"/>
      <c r="S106" s="268"/>
      <c r="T106" s="269" t="e">
        <f>VLOOKUP(Q106,[71]Listas!$D$6:$E$10,2,0)</f>
        <v>#N/A</v>
      </c>
      <c r="U106" s="269" t="e">
        <f>HLOOKUP(R106,[71]Listas!$F$4:$J$5,2,0)</f>
        <v>#N/A</v>
      </c>
      <c r="V106" s="270" t="e">
        <f>INDEX([71]Listas!$F$6:$J$10,MATCH(Q106,[71]Listas!$D$6:$D$10,0),MATCH(R106,[71]Listas!$F$4:$J$4,0))</f>
        <v>#N/A</v>
      </c>
      <c r="W106" s="268"/>
      <c r="X106" s="1399"/>
      <c r="Y106" s="1408"/>
      <c r="Z106" s="1400"/>
      <c r="AA106" s="1063"/>
      <c r="AB106" s="267"/>
      <c r="AC106" s="259"/>
      <c r="AD106" s="655"/>
      <c r="AE106" s="267"/>
      <c r="AF106" s="268"/>
      <c r="AG106" s="269">
        <f t="shared" si="15"/>
        <v>0</v>
      </c>
      <c r="AH106" s="271" t="e">
        <f t="shared" si="16"/>
        <v>#N/A</v>
      </c>
      <c r="AI106" s="272" t="e">
        <f>IF(AH106&lt;=1,"Remota",VLOOKUP(AH106,[71]Listas!$C$6:$D$10,2,0))</f>
        <v>#N/A</v>
      </c>
      <c r="AJ106" s="271" t="e">
        <f t="shared" si="17"/>
        <v>#N/A</v>
      </c>
      <c r="AK106" s="272" t="e">
        <f>IF(AJ106&lt;=1,"Insignificante",HLOOKUP(AJ106,[71]Listas!$F$3:$J$4,2,0))</f>
        <v>#N/A</v>
      </c>
      <c r="AL106" s="273" t="e">
        <f t="shared" si="18"/>
        <v>#N/A</v>
      </c>
      <c r="AM106" s="270" t="e">
        <f>INDEX([71]Listas!$F$6:$J$10,MATCH(AI106,[71]Listas!$D$6:$D$10,0),MATCH(AK106,[71]Listas!$F$4:$J$4,0))</f>
        <v>#N/A</v>
      </c>
      <c r="AN106" s="259"/>
      <c r="AO106" s="259"/>
      <c r="AP106" s="659"/>
      <c r="AQ106" s="259"/>
      <c r="AR106" s="259" t="s">
        <v>2343</v>
      </c>
      <c r="AS106" s="655"/>
      <c r="AT106" s="259"/>
      <c r="AU106" s="259"/>
      <c r="AV106" s="261"/>
      <c r="AW106" s="261"/>
      <c r="AX106" s="655"/>
      <c r="AY106" s="262"/>
    </row>
    <row r="107" spans="1:51" s="260" customFormat="1" ht="103.5" hidden="1" customHeight="1">
      <c r="A107" s="655"/>
      <c r="B107" s="266"/>
      <c r="C107" s="1399"/>
      <c r="D107" s="1408"/>
      <c r="E107" s="1400"/>
      <c r="F107" s="267"/>
      <c r="G107" s="1399"/>
      <c r="H107" s="1408"/>
      <c r="I107" s="1400"/>
      <c r="J107" s="1380"/>
      <c r="K107" s="1380"/>
      <c r="L107" s="1380"/>
      <c r="M107" s="655"/>
      <c r="N107" s="655"/>
      <c r="O107" s="655"/>
      <c r="P107" s="655"/>
      <c r="Q107" s="266"/>
      <c r="R107" s="266"/>
      <c r="S107" s="268"/>
      <c r="T107" s="269" t="e">
        <f>VLOOKUP(Q107,[71]Listas!$D$6:$E$10,2,0)</f>
        <v>#N/A</v>
      </c>
      <c r="U107" s="269" t="e">
        <f>HLOOKUP(R107,[71]Listas!$F$4:$J$5,2,0)</f>
        <v>#N/A</v>
      </c>
      <c r="V107" s="270" t="e">
        <f>INDEX([71]Listas!$F$6:$J$10,MATCH(Q107,[71]Listas!$D$6:$D$10,0),MATCH(R107,[71]Listas!$F$4:$J$4,0))</f>
        <v>#N/A</v>
      </c>
      <c r="W107" s="268"/>
      <c r="X107" s="1399"/>
      <c r="Y107" s="1408"/>
      <c r="Z107" s="1400"/>
      <c r="AA107" s="1063"/>
      <c r="AB107" s="267"/>
      <c r="AC107" s="259"/>
      <c r="AD107" s="655"/>
      <c r="AE107" s="267"/>
      <c r="AF107" s="268"/>
      <c r="AG107" s="269">
        <f t="shared" si="15"/>
        <v>0</v>
      </c>
      <c r="AH107" s="271" t="e">
        <f t="shared" si="16"/>
        <v>#N/A</v>
      </c>
      <c r="AI107" s="272" t="e">
        <f>IF(AH107&lt;=1,"Remota",VLOOKUP(AH107,[71]Listas!$C$6:$D$10,2,0))</f>
        <v>#N/A</v>
      </c>
      <c r="AJ107" s="271" t="e">
        <f t="shared" si="17"/>
        <v>#N/A</v>
      </c>
      <c r="AK107" s="272" t="e">
        <f>IF(AJ107&lt;=1,"Insignificante",HLOOKUP(AJ107,[71]Listas!$F$3:$J$4,2,0))</f>
        <v>#N/A</v>
      </c>
      <c r="AL107" s="273" t="e">
        <f t="shared" si="18"/>
        <v>#N/A</v>
      </c>
      <c r="AM107" s="270" t="e">
        <f>INDEX([71]Listas!$F$6:$J$10,MATCH(AI107,[71]Listas!$D$6:$D$10,0),MATCH(AK107,[71]Listas!$F$4:$J$4,0))</f>
        <v>#N/A</v>
      </c>
      <c r="AN107" s="259"/>
      <c r="AO107" s="259"/>
      <c r="AP107" s="659"/>
      <c r="AQ107" s="259"/>
      <c r="AR107" s="259" t="s">
        <v>2343</v>
      </c>
      <c r="AS107" s="655"/>
      <c r="AT107" s="259"/>
      <c r="AU107" s="259"/>
      <c r="AV107" s="261"/>
      <c r="AW107" s="261"/>
      <c r="AX107" s="655"/>
      <c r="AY107" s="262"/>
    </row>
    <row r="108" spans="1:51" s="260" customFormat="1" ht="103.5" hidden="1" customHeight="1">
      <c r="A108" s="655"/>
      <c r="B108" s="266"/>
      <c r="C108" s="1399"/>
      <c r="D108" s="1408"/>
      <c r="E108" s="1400"/>
      <c r="F108" s="267"/>
      <c r="G108" s="1399"/>
      <c r="H108" s="1408"/>
      <c r="I108" s="1400"/>
      <c r="J108" s="1380"/>
      <c r="K108" s="1380"/>
      <c r="L108" s="1380"/>
      <c r="M108" s="655"/>
      <c r="N108" s="655"/>
      <c r="O108" s="655"/>
      <c r="P108" s="655"/>
      <c r="Q108" s="266"/>
      <c r="R108" s="266"/>
      <c r="S108" s="268"/>
      <c r="T108" s="269" t="e">
        <f>VLOOKUP(Q108,[71]Listas!$D$6:$E$10,2,0)</f>
        <v>#N/A</v>
      </c>
      <c r="U108" s="269" t="e">
        <f>HLOOKUP(R108,[71]Listas!$F$4:$J$5,2,0)</f>
        <v>#N/A</v>
      </c>
      <c r="V108" s="270" t="e">
        <f>INDEX([71]Listas!$F$6:$J$10,MATCH(Q108,[71]Listas!$D$6:$D$10,0),MATCH(R108,[71]Listas!$F$4:$J$4,0))</f>
        <v>#N/A</v>
      </c>
      <c r="W108" s="268"/>
      <c r="X108" s="1399"/>
      <c r="Y108" s="1408"/>
      <c r="Z108" s="1400"/>
      <c r="AA108" s="1063"/>
      <c r="AB108" s="267"/>
      <c r="AC108" s="259"/>
      <c r="AD108" s="655"/>
      <c r="AE108" s="267"/>
      <c r="AF108" s="268"/>
      <c r="AG108" s="269">
        <f t="shared" si="15"/>
        <v>0</v>
      </c>
      <c r="AH108" s="271" t="e">
        <f t="shared" si="16"/>
        <v>#N/A</v>
      </c>
      <c r="AI108" s="272" t="e">
        <f>IF(AH108&lt;=1,"Remota",VLOOKUP(AH108,[71]Listas!$C$6:$D$10,2,0))</f>
        <v>#N/A</v>
      </c>
      <c r="AJ108" s="271" t="e">
        <f t="shared" si="17"/>
        <v>#N/A</v>
      </c>
      <c r="AK108" s="272" t="e">
        <f>IF(AJ108&lt;=1,"Insignificante",HLOOKUP(AJ108,[71]Listas!$F$3:$J$4,2,0))</f>
        <v>#N/A</v>
      </c>
      <c r="AL108" s="273" t="e">
        <f t="shared" si="18"/>
        <v>#N/A</v>
      </c>
      <c r="AM108" s="270" t="e">
        <f>INDEX([71]Listas!$F$6:$J$10,MATCH(AI108,[71]Listas!$D$6:$D$10,0),MATCH(AK108,[71]Listas!$F$4:$J$4,0))</f>
        <v>#N/A</v>
      </c>
      <c r="AN108" s="259"/>
      <c r="AO108" s="259"/>
      <c r="AP108" s="659"/>
      <c r="AQ108" s="259"/>
      <c r="AR108" s="259" t="s">
        <v>2343</v>
      </c>
      <c r="AS108" s="655"/>
      <c r="AT108" s="259"/>
      <c r="AU108" s="259"/>
      <c r="AV108" s="261"/>
      <c r="AW108" s="261"/>
      <c r="AX108" s="655"/>
      <c r="AY108" s="262"/>
    </row>
    <row r="109" spans="1:51" s="260" customFormat="1" ht="103.5" hidden="1" customHeight="1">
      <c r="A109" s="655"/>
      <c r="B109" s="266"/>
      <c r="C109" s="1399"/>
      <c r="D109" s="1408"/>
      <c r="E109" s="1400"/>
      <c r="F109" s="267"/>
      <c r="G109" s="1399"/>
      <c r="H109" s="1408"/>
      <c r="I109" s="1400"/>
      <c r="J109" s="1380"/>
      <c r="K109" s="1380"/>
      <c r="L109" s="1380"/>
      <c r="M109" s="655"/>
      <c r="N109" s="655"/>
      <c r="O109" s="655"/>
      <c r="P109" s="655"/>
      <c r="Q109" s="266"/>
      <c r="R109" s="266"/>
      <c r="S109" s="268"/>
      <c r="T109" s="269" t="e">
        <f>VLOOKUP(Q109,[71]Listas!$D$6:$E$10,2,0)</f>
        <v>#N/A</v>
      </c>
      <c r="U109" s="269" t="e">
        <f>HLOOKUP(R109,[71]Listas!$F$4:$J$5,2,0)</f>
        <v>#N/A</v>
      </c>
      <c r="V109" s="270" t="e">
        <f>INDEX([71]Listas!$F$6:$J$10,MATCH(Q109,[71]Listas!$D$6:$D$10,0),MATCH(R109,[71]Listas!$F$4:$J$4,0))</f>
        <v>#N/A</v>
      </c>
      <c r="W109" s="268"/>
      <c r="X109" s="1399"/>
      <c r="Y109" s="1408"/>
      <c r="Z109" s="1400"/>
      <c r="AA109" s="1063"/>
      <c r="AB109" s="267"/>
      <c r="AC109" s="259"/>
      <c r="AD109" s="655"/>
      <c r="AE109" s="267"/>
      <c r="AF109" s="268"/>
      <c r="AG109" s="269">
        <f t="shared" si="15"/>
        <v>0</v>
      </c>
      <c r="AH109" s="271" t="e">
        <f t="shared" si="16"/>
        <v>#N/A</v>
      </c>
      <c r="AI109" s="272" t="e">
        <f>IF(AH109&lt;=1,"Remota",VLOOKUP(AH109,[71]Listas!$C$6:$D$10,2,0))</f>
        <v>#N/A</v>
      </c>
      <c r="AJ109" s="271" t="e">
        <f t="shared" si="17"/>
        <v>#N/A</v>
      </c>
      <c r="AK109" s="272" t="e">
        <f>IF(AJ109&lt;=1,"Insignificante",HLOOKUP(AJ109,[71]Listas!$F$3:$J$4,2,0))</f>
        <v>#N/A</v>
      </c>
      <c r="AL109" s="273" t="e">
        <f t="shared" si="18"/>
        <v>#N/A</v>
      </c>
      <c r="AM109" s="270" t="e">
        <f>INDEX([71]Listas!$F$6:$J$10,MATCH(AI109,[71]Listas!$D$6:$D$10,0),MATCH(AK109,[71]Listas!$F$4:$J$4,0))</f>
        <v>#N/A</v>
      </c>
      <c r="AN109" s="259"/>
      <c r="AO109" s="259"/>
      <c r="AP109" s="659"/>
      <c r="AQ109" s="259"/>
      <c r="AR109" s="259" t="s">
        <v>2343</v>
      </c>
      <c r="AS109" s="655"/>
      <c r="AT109" s="259"/>
      <c r="AU109" s="259"/>
      <c r="AV109" s="261"/>
      <c r="AW109" s="261"/>
      <c r="AX109" s="655"/>
      <c r="AY109" s="262"/>
    </row>
    <row r="110" spans="1:51" s="260" customFormat="1" ht="103.5" hidden="1" customHeight="1">
      <c r="A110" s="655"/>
      <c r="B110" s="266"/>
      <c r="C110" s="1399"/>
      <c r="D110" s="1408"/>
      <c r="E110" s="1400"/>
      <c r="F110" s="267"/>
      <c r="G110" s="1399"/>
      <c r="H110" s="1408"/>
      <c r="I110" s="1400"/>
      <c r="J110" s="1380"/>
      <c r="K110" s="1380"/>
      <c r="L110" s="1380"/>
      <c r="M110" s="655"/>
      <c r="N110" s="655"/>
      <c r="O110" s="655"/>
      <c r="P110" s="655"/>
      <c r="Q110" s="266"/>
      <c r="R110" s="266"/>
      <c r="S110" s="268"/>
      <c r="T110" s="269" t="e">
        <f>VLOOKUP(Q110,[71]Listas!$D$6:$E$10,2,0)</f>
        <v>#N/A</v>
      </c>
      <c r="U110" s="269" t="e">
        <f>HLOOKUP(R110,[71]Listas!$F$4:$J$5,2,0)</f>
        <v>#N/A</v>
      </c>
      <c r="V110" s="270" t="e">
        <f>INDEX([71]Listas!$F$6:$J$10,MATCH(Q110,[71]Listas!$D$6:$D$10,0),MATCH(R110,[71]Listas!$F$4:$J$4,0))</f>
        <v>#N/A</v>
      </c>
      <c r="W110" s="268"/>
      <c r="X110" s="1399"/>
      <c r="Y110" s="1408"/>
      <c r="Z110" s="1400"/>
      <c r="AA110" s="1063"/>
      <c r="AB110" s="267"/>
      <c r="AC110" s="259"/>
      <c r="AD110" s="655"/>
      <c r="AE110" s="267"/>
      <c r="AF110" s="268"/>
      <c r="AG110" s="269">
        <f t="shared" si="15"/>
        <v>0</v>
      </c>
      <c r="AH110" s="271" t="e">
        <f t="shared" si="16"/>
        <v>#N/A</v>
      </c>
      <c r="AI110" s="272" t="e">
        <f>IF(AH110&lt;=1,"Remota",VLOOKUP(AH110,[71]Listas!$C$6:$D$10,2,0))</f>
        <v>#N/A</v>
      </c>
      <c r="AJ110" s="271" t="e">
        <f t="shared" si="17"/>
        <v>#N/A</v>
      </c>
      <c r="AK110" s="272" t="e">
        <f>IF(AJ110&lt;=1,"Insignificante",HLOOKUP(AJ110,[71]Listas!$F$3:$J$4,2,0))</f>
        <v>#N/A</v>
      </c>
      <c r="AL110" s="273" t="e">
        <f t="shared" si="18"/>
        <v>#N/A</v>
      </c>
      <c r="AM110" s="270" t="e">
        <f>INDEX([71]Listas!$F$6:$J$10,MATCH(AI110,[71]Listas!$D$6:$D$10,0),MATCH(AK110,[71]Listas!$F$4:$J$4,0))</f>
        <v>#N/A</v>
      </c>
      <c r="AN110" s="259"/>
      <c r="AO110" s="259"/>
      <c r="AP110" s="659"/>
      <c r="AQ110" s="259"/>
      <c r="AR110" s="259" t="s">
        <v>2343</v>
      </c>
      <c r="AS110" s="655"/>
      <c r="AT110" s="259"/>
      <c r="AU110" s="259"/>
      <c r="AV110" s="261"/>
      <c r="AW110" s="261"/>
      <c r="AX110" s="655"/>
      <c r="AY110" s="262"/>
    </row>
    <row r="111" spans="1:51" s="260" customFormat="1" ht="103.5" hidden="1" customHeight="1">
      <c r="A111" s="655"/>
      <c r="B111" s="266"/>
      <c r="C111" s="1399"/>
      <c r="D111" s="1408"/>
      <c r="E111" s="1400"/>
      <c r="F111" s="267"/>
      <c r="G111" s="1399"/>
      <c r="H111" s="1408"/>
      <c r="I111" s="1400"/>
      <c r="J111" s="1380"/>
      <c r="K111" s="1380"/>
      <c r="L111" s="1380"/>
      <c r="M111" s="655"/>
      <c r="N111" s="655"/>
      <c r="O111" s="655"/>
      <c r="P111" s="655"/>
      <c r="Q111" s="266"/>
      <c r="R111" s="266"/>
      <c r="S111" s="268"/>
      <c r="T111" s="269" t="e">
        <f>VLOOKUP(Q111,[71]Listas!$D$6:$E$10,2,0)</f>
        <v>#N/A</v>
      </c>
      <c r="U111" s="269" t="e">
        <f>HLOOKUP(R111,[71]Listas!$F$4:$J$5,2,0)</f>
        <v>#N/A</v>
      </c>
      <c r="V111" s="270" t="e">
        <f>INDEX([71]Listas!$F$6:$J$10,MATCH(Q111,[71]Listas!$D$6:$D$10,0),MATCH(R111,[71]Listas!$F$4:$J$4,0))</f>
        <v>#N/A</v>
      </c>
      <c r="W111" s="268"/>
      <c r="X111" s="1399"/>
      <c r="Y111" s="1408"/>
      <c r="Z111" s="1400"/>
      <c r="AA111" s="1063"/>
      <c r="AB111" s="267"/>
      <c r="AC111" s="259"/>
      <c r="AD111" s="655"/>
      <c r="AE111" s="267"/>
      <c r="AF111" s="268"/>
      <c r="AG111" s="269">
        <f t="shared" si="15"/>
        <v>0</v>
      </c>
      <c r="AH111" s="271" t="e">
        <f t="shared" si="16"/>
        <v>#N/A</v>
      </c>
      <c r="AI111" s="272" t="e">
        <f>IF(AH111&lt;=1,"Remota",VLOOKUP(AH111,[71]Listas!$C$6:$D$10,2,0))</f>
        <v>#N/A</v>
      </c>
      <c r="AJ111" s="271" t="e">
        <f t="shared" si="17"/>
        <v>#N/A</v>
      </c>
      <c r="AK111" s="272" t="e">
        <f>IF(AJ111&lt;=1,"Insignificante",HLOOKUP(AJ111,[71]Listas!$F$3:$J$4,2,0))</f>
        <v>#N/A</v>
      </c>
      <c r="AL111" s="273" t="e">
        <f t="shared" si="18"/>
        <v>#N/A</v>
      </c>
      <c r="AM111" s="270" t="e">
        <f>INDEX([71]Listas!$F$6:$J$10,MATCH(AI111,[71]Listas!$D$6:$D$10,0),MATCH(AK111,[71]Listas!$F$4:$J$4,0))</f>
        <v>#N/A</v>
      </c>
      <c r="AN111" s="259"/>
      <c r="AO111" s="259"/>
      <c r="AP111" s="659"/>
      <c r="AQ111" s="259"/>
      <c r="AR111" s="259" t="s">
        <v>2343</v>
      </c>
      <c r="AS111" s="655"/>
      <c r="AT111" s="259"/>
      <c r="AU111" s="259"/>
      <c r="AV111" s="261"/>
      <c r="AW111" s="261"/>
      <c r="AX111" s="655"/>
      <c r="AY111" s="262"/>
    </row>
    <row r="112" spans="1:51" s="260" customFormat="1" ht="103.5" hidden="1" customHeight="1">
      <c r="A112" s="655"/>
      <c r="B112" s="266"/>
      <c r="C112" s="1399"/>
      <c r="D112" s="1408"/>
      <c r="E112" s="1400"/>
      <c r="F112" s="267"/>
      <c r="G112" s="1399"/>
      <c r="H112" s="1408"/>
      <c r="I112" s="1400"/>
      <c r="J112" s="1380"/>
      <c r="K112" s="1380"/>
      <c r="L112" s="1380"/>
      <c r="M112" s="655"/>
      <c r="N112" s="655"/>
      <c r="O112" s="655"/>
      <c r="P112" s="655"/>
      <c r="Q112" s="266"/>
      <c r="R112" s="266"/>
      <c r="S112" s="268"/>
      <c r="T112" s="269" t="e">
        <f>VLOOKUP(Q112,[71]Listas!$D$6:$E$10,2,0)</f>
        <v>#N/A</v>
      </c>
      <c r="U112" s="269" t="e">
        <f>HLOOKUP(R112,[71]Listas!$F$4:$J$5,2,0)</f>
        <v>#N/A</v>
      </c>
      <c r="V112" s="270" t="e">
        <f>INDEX([71]Listas!$F$6:$J$10,MATCH(Q112,[71]Listas!$D$6:$D$10,0),MATCH(R112,[71]Listas!$F$4:$J$4,0))</f>
        <v>#N/A</v>
      </c>
      <c r="W112" s="268"/>
      <c r="X112" s="1399"/>
      <c r="Y112" s="1408"/>
      <c r="Z112" s="1400"/>
      <c r="AA112" s="1063"/>
      <c r="AB112" s="267"/>
      <c r="AC112" s="259"/>
      <c r="AD112" s="655"/>
      <c r="AE112" s="267"/>
      <c r="AF112" s="268"/>
      <c r="AG112" s="269">
        <f t="shared" si="15"/>
        <v>0</v>
      </c>
      <c r="AH112" s="271" t="e">
        <f t="shared" si="16"/>
        <v>#N/A</v>
      </c>
      <c r="AI112" s="272" t="e">
        <f>IF(AH112&lt;=1,"Remota",VLOOKUP(AH112,[71]Listas!$C$6:$D$10,2,0))</f>
        <v>#N/A</v>
      </c>
      <c r="AJ112" s="271" t="e">
        <f t="shared" si="17"/>
        <v>#N/A</v>
      </c>
      <c r="AK112" s="272" t="e">
        <f>IF(AJ112&lt;=1,"Insignificante",HLOOKUP(AJ112,[71]Listas!$F$3:$J$4,2,0))</f>
        <v>#N/A</v>
      </c>
      <c r="AL112" s="273" t="e">
        <f t="shared" si="18"/>
        <v>#N/A</v>
      </c>
      <c r="AM112" s="270" t="e">
        <f>INDEX([71]Listas!$F$6:$J$10,MATCH(AI112,[71]Listas!$D$6:$D$10,0),MATCH(AK112,[71]Listas!$F$4:$J$4,0))</f>
        <v>#N/A</v>
      </c>
      <c r="AN112" s="259"/>
      <c r="AO112" s="259"/>
      <c r="AP112" s="659"/>
      <c r="AQ112" s="259"/>
      <c r="AR112" s="259" t="s">
        <v>2343</v>
      </c>
      <c r="AS112" s="655"/>
      <c r="AT112" s="259"/>
      <c r="AU112" s="259"/>
      <c r="AV112" s="261"/>
      <c r="AW112" s="261"/>
      <c r="AX112" s="655"/>
      <c r="AY112" s="262"/>
    </row>
    <row r="113" spans="1:51" s="260" customFormat="1" ht="103.5" hidden="1" customHeight="1">
      <c r="A113" s="655"/>
      <c r="B113" s="266"/>
      <c r="C113" s="1399"/>
      <c r="D113" s="1408"/>
      <c r="E113" s="1400"/>
      <c r="F113" s="267"/>
      <c r="G113" s="1399"/>
      <c r="H113" s="1408"/>
      <c r="I113" s="1400"/>
      <c r="J113" s="1380"/>
      <c r="K113" s="1380"/>
      <c r="L113" s="1380"/>
      <c r="M113" s="655"/>
      <c r="N113" s="655"/>
      <c r="O113" s="655"/>
      <c r="P113" s="655"/>
      <c r="Q113" s="266"/>
      <c r="R113" s="266"/>
      <c r="S113" s="268"/>
      <c r="T113" s="269" t="e">
        <f>VLOOKUP(Q113,[71]Listas!$D$6:$E$10,2,0)</f>
        <v>#N/A</v>
      </c>
      <c r="U113" s="269" t="e">
        <f>HLOOKUP(R113,[71]Listas!$F$4:$J$5,2,0)</f>
        <v>#N/A</v>
      </c>
      <c r="V113" s="270" t="e">
        <f>INDEX([71]Listas!$F$6:$J$10,MATCH(Q113,[71]Listas!$D$6:$D$10,0),MATCH(R113,[71]Listas!$F$4:$J$4,0))</f>
        <v>#N/A</v>
      </c>
      <c r="W113" s="268"/>
      <c r="X113" s="1399"/>
      <c r="Y113" s="1408"/>
      <c r="Z113" s="1400"/>
      <c r="AA113" s="1063"/>
      <c r="AB113" s="267"/>
      <c r="AC113" s="259"/>
      <c r="AD113" s="655"/>
      <c r="AE113" s="267"/>
      <c r="AF113" s="268"/>
      <c r="AG113" s="269">
        <f t="shared" si="15"/>
        <v>0</v>
      </c>
      <c r="AH113" s="271" t="e">
        <f t="shared" si="16"/>
        <v>#N/A</v>
      </c>
      <c r="AI113" s="272" t="e">
        <f>IF(AH113&lt;=1,"Remota",VLOOKUP(AH113,[71]Listas!$C$6:$D$10,2,0))</f>
        <v>#N/A</v>
      </c>
      <c r="AJ113" s="271" t="e">
        <f t="shared" si="17"/>
        <v>#N/A</v>
      </c>
      <c r="AK113" s="272" t="e">
        <f>IF(AJ113&lt;=1,"Insignificante",HLOOKUP(AJ113,[71]Listas!$F$3:$J$4,2,0))</f>
        <v>#N/A</v>
      </c>
      <c r="AL113" s="273" t="e">
        <f t="shared" si="18"/>
        <v>#N/A</v>
      </c>
      <c r="AM113" s="270" t="e">
        <f>INDEX([71]Listas!$F$6:$J$10,MATCH(AI113,[71]Listas!$D$6:$D$10,0),MATCH(AK113,[71]Listas!$F$4:$J$4,0))</f>
        <v>#N/A</v>
      </c>
      <c r="AN113" s="259"/>
      <c r="AO113" s="259"/>
      <c r="AP113" s="659"/>
      <c r="AQ113" s="259"/>
      <c r="AR113" s="259" t="s">
        <v>2343</v>
      </c>
      <c r="AS113" s="655"/>
      <c r="AT113" s="259"/>
      <c r="AU113" s="259"/>
      <c r="AV113" s="261"/>
      <c r="AW113" s="261"/>
      <c r="AX113" s="655"/>
      <c r="AY113" s="262"/>
    </row>
    <row r="114" spans="1:51" s="260" customFormat="1" ht="103.5" hidden="1" customHeight="1">
      <c r="A114" s="655"/>
      <c r="B114" s="266"/>
      <c r="C114" s="1399"/>
      <c r="D114" s="1408"/>
      <c r="E114" s="1400"/>
      <c r="F114" s="267"/>
      <c r="G114" s="1399"/>
      <c r="H114" s="1408"/>
      <c r="I114" s="1400"/>
      <c r="J114" s="1380"/>
      <c r="K114" s="1380"/>
      <c r="L114" s="1380"/>
      <c r="M114" s="655"/>
      <c r="N114" s="655"/>
      <c r="O114" s="655"/>
      <c r="P114" s="655"/>
      <c r="Q114" s="266"/>
      <c r="R114" s="266"/>
      <c r="S114" s="268"/>
      <c r="T114" s="269" t="e">
        <f>VLOOKUP(Q114,[71]Listas!$D$6:$E$10,2,0)</f>
        <v>#N/A</v>
      </c>
      <c r="U114" s="269" t="e">
        <f>HLOOKUP(R114,[71]Listas!$F$4:$J$5,2,0)</f>
        <v>#N/A</v>
      </c>
      <c r="V114" s="270" t="e">
        <f>INDEX([71]Listas!$F$6:$J$10,MATCH(Q114,[71]Listas!$D$6:$D$10,0),MATCH(R114,[71]Listas!$F$4:$J$4,0))</f>
        <v>#N/A</v>
      </c>
      <c r="W114" s="268"/>
      <c r="X114" s="1399"/>
      <c r="Y114" s="1408"/>
      <c r="Z114" s="1400"/>
      <c r="AA114" s="1063"/>
      <c r="AB114" s="267"/>
      <c r="AC114" s="259"/>
      <c r="AD114" s="655"/>
      <c r="AE114" s="267"/>
      <c r="AF114" s="268"/>
      <c r="AG114" s="269">
        <f t="shared" si="15"/>
        <v>0</v>
      </c>
      <c r="AH114" s="271" t="e">
        <f t="shared" si="16"/>
        <v>#N/A</v>
      </c>
      <c r="AI114" s="272" t="e">
        <f>IF(AH114&lt;=1,"Remota",VLOOKUP(AH114,[71]Listas!$C$6:$D$10,2,0))</f>
        <v>#N/A</v>
      </c>
      <c r="AJ114" s="271" t="e">
        <f t="shared" si="17"/>
        <v>#N/A</v>
      </c>
      <c r="AK114" s="272" t="e">
        <f>IF(AJ114&lt;=1,"Insignificante",HLOOKUP(AJ114,[71]Listas!$F$3:$J$4,2,0))</f>
        <v>#N/A</v>
      </c>
      <c r="AL114" s="273" t="e">
        <f t="shared" si="18"/>
        <v>#N/A</v>
      </c>
      <c r="AM114" s="270" t="e">
        <f>INDEX([71]Listas!$F$6:$J$10,MATCH(AI114,[71]Listas!$D$6:$D$10,0),MATCH(AK114,[71]Listas!$F$4:$J$4,0))</f>
        <v>#N/A</v>
      </c>
      <c r="AN114" s="259"/>
      <c r="AO114" s="259"/>
      <c r="AP114" s="659"/>
      <c r="AQ114" s="259"/>
      <c r="AR114" s="259" t="s">
        <v>2343</v>
      </c>
      <c r="AS114" s="655"/>
      <c r="AT114" s="259"/>
      <c r="AU114" s="259"/>
      <c r="AV114" s="261"/>
      <c r="AW114" s="261"/>
      <c r="AX114" s="655"/>
      <c r="AY114" s="262"/>
    </row>
    <row r="115" spans="1:51" s="260" customFormat="1" ht="103.5" hidden="1" customHeight="1">
      <c r="A115" s="655"/>
      <c r="B115" s="266"/>
      <c r="C115" s="1399"/>
      <c r="D115" s="1408"/>
      <c r="E115" s="1400"/>
      <c r="F115" s="267"/>
      <c r="G115" s="1399"/>
      <c r="H115" s="1408"/>
      <c r="I115" s="1400"/>
      <c r="J115" s="1380"/>
      <c r="K115" s="1380"/>
      <c r="L115" s="1380"/>
      <c r="M115" s="655"/>
      <c r="N115" s="655"/>
      <c r="O115" s="655"/>
      <c r="P115" s="655"/>
      <c r="Q115" s="266"/>
      <c r="R115" s="266"/>
      <c r="S115" s="268"/>
      <c r="T115" s="269" t="e">
        <f>VLOOKUP(Q115,[71]Listas!$D$6:$E$10,2,0)</f>
        <v>#N/A</v>
      </c>
      <c r="U115" s="269" t="e">
        <f>HLOOKUP(R115,[71]Listas!$F$4:$J$5,2,0)</f>
        <v>#N/A</v>
      </c>
      <c r="V115" s="270" t="e">
        <f>INDEX([71]Listas!$F$6:$J$10,MATCH(Q115,[71]Listas!$D$6:$D$10,0),MATCH(R115,[71]Listas!$F$4:$J$4,0))</f>
        <v>#N/A</v>
      </c>
      <c r="W115" s="268"/>
      <c r="X115" s="1399"/>
      <c r="Y115" s="1408"/>
      <c r="Z115" s="1400"/>
      <c r="AA115" s="1063"/>
      <c r="AB115" s="267"/>
      <c r="AC115" s="259"/>
      <c r="AD115" s="655"/>
      <c r="AE115" s="267"/>
      <c r="AF115" s="268"/>
      <c r="AG115" s="269">
        <f t="shared" si="15"/>
        <v>0</v>
      </c>
      <c r="AH115" s="271" t="e">
        <f t="shared" si="16"/>
        <v>#N/A</v>
      </c>
      <c r="AI115" s="272" t="e">
        <f>IF(AH115&lt;=1,"Remota",VLOOKUP(AH115,[71]Listas!$C$6:$D$10,2,0))</f>
        <v>#N/A</v>
      </c>
      <c r="AJ115" s="271" t="e">
        <f t="shared" si="17"/>
        <v>#N/A</v>
      </c>
      <c r="AK115" s="272" t="e">
        <f>IF(AJ115&lt;=1,"Insignificante",HLOOKUP(AJ115,[71]Listas!$F$3:$J$4,2,0))</f>
        <v>#N/A</v>
      </c>
      <c r="AL115" s="273" t="e">
        <f t="shared" si="18"/>
        <v>#N/A</v>
      </c>
      <c r="AM115" s="270" t="e">
        <f>INDEX([71]Listas!$F$6:$J$10,MATCH(AI115,[71]Listas!$D$6:$D$10,0),MATCH(AK115,[71]Listas!$F$4:$J$4,0))</f>
        <v>#N/A</v>
      </c>
      <c r="AN115" s="259"/>
      <c r="AO115" s="259"/>
      <c r="AP115" s="659"/>
      <c r="AQ115" s="259"/>
      <c r="AR115" s="259" t="s">
        <v>2343</v>
      </c>
      <c r="AS115" s="655"/>
      <c r="AT115" s="259"/>
      <c r="AU115" s="259"/>
      <c r="AV115" s="261"/>
      <c r="AW115" s="261"/>
      <c r="AX115" s="655"/>
      <c r="AY115" s="262"/>
    </row>
    <row r="116" spans="1:51" s="260" customFormat="1" ht="103.5" hidden="1" customHeight="1">
      <c r="A116" s="655"/>
      <c r="B116" s="266"/>
      <c r="C116" s="1399"/>
      <c r="D116" s="1408"/>
      <c r="E116" s="1400"/>
      <c r="F116" s="267"/>
      <c r="G116" s="1399"/>
      <c r="H116" s="1408"/>
      <c r="I116" s="1400"/>
      <c r="J116" s="1380"/>
      <c r="K116" s="1380"/>
      <c r="L116" s="1380"/>
      <c r="M116" s="655"/>
      <c r="N116" s="655"/>
      <c r="O116" s="655"/>
      <c r="P116" s="655"/>
      <c r="Q116" s="266"/>
      <c r="R116" s="266"/>
      <c r="S116" s="268"/>
      <c r="T116" s="269" t="e">
        <f>VLOOKUP(Q116,[71]Listas!$D$6:$E$10,2,0)</f>
        <v>#N/A</v>
      </c>
      <c r="U116" s="269" t="e">
        <f>HLOOKUP(R116,[71]Listas!$F$4:$J$5,2,0)</f>
        <v>#N/A</v>
      </c>
      <c r="V116" s="270" t="e">
        <f>INDEX([71]Listas!$F$6:$J$10,MATCH(Q116,[71]Listas!$D$6:$D$10,0),MATCH(R116,[71]Listas!$F$4:$J$4,0))</f>
        <v>#N/A</v>
      </c>
      <c r="W116" s="268"/>
      <c r="X116" s="1399"/>
      <c r="Y116" s="1408"/>
      <c r="Z116" s="1400"/>
      <c r="AA116" s="1063"/>
      <c r="AB116" s="267"/>
      <c r="AC116" s="259"/>
      <c r="AD116" s="655"/>
      <c r="AE116" s="267"/>
      <c r="AF116" s="268"/>
      <c r="AG116" s="269">
        <f t="shared" si="15"/>
        <v>0</v>
      </c>
      <c r="AH116" s="271" t="e">
        <f t="shared" si="16"/>
        <v>#N/A</v>
      </c>
      <c r="AI116" s="272" t="e">
        <f>IF(AH116&lt;=1,"Remota",VLOOKUP(AH116,[71]Listas!$C$6:$D$10,2,0))</f>
        <v>#N/A</v>
      </c>
      <c r="AJ116" s="271" t="e">
        <f t="shared" si="17"/>
        <v>#N/A</v>
      </c>
      <c r="AK116" s="272" t="e">
        <f>IF(AJ116&lt;=1,"Insignificante",HLOOKUP(AJ116,[71]Listas!$F$3:$J$4,2,0))</f>
        <v>#N/A</v>
      </c>
      <c r="AL116" s="273" t="e">
        <f t="shared" si="18"/>
        <v>#N/A</v>
      </c>
      <c r="AM116" s="270" t="e">
        <f>INDEX([71]Listas!$F$6:$J$10,MATCH(AI116,[71]Listas!$D$6:$D$10,0),MATCH(AK116,[71]Listas!$F$4:$J$4,0))</f>
        <v>#N/A</v>
      </c>
      <c r="AN116" s="259"/>
      <c r="AO116" s="259"/>
      <c r="AP116" s="659"/>
      <c r="AQ116" s="259"/>
      <c r="AR116" s="259" t="s">
        <v>2343</v>
      </c>
      <c r="AS116" s="655"/>
      <c r="AT116" s="259"/>
      <c r="AU116" s="259"/>
      <c r="AV116" s="261"/>
      <c r="AW116" s="261"/>
      <c r="AX116" s="655"/>
      <c r="AY116" s="262"/>
    </row>
    <row r="117" spans="1:51" s="260" customFormat="1" ht="103.5" hidden="1" customHeight="1">
      <c r="A117" s="655"/>
      <c r="B117" s="266"/>
      <c r="C117" s="1399"/>
      <c r="D117" s="1408"/>
      <c r="E117" s="1400"/>
      <c r="F117" s="267"/>
      <c r="G117" s="1399"/>
      <c r="H117" s="1408"/>
      <c r="I117" s="1400"/>
      <c r="J117" s="1380"/>
      <c r="K117" s="1380"/>
      <c r="L117" s="1380"/>
      <c r="M117" s="655"/>
      <c r="N117" s="655"/>
      <c r="O117" s="655"/>
      <c r="P117" s="655"/>
      <c r="Q117" s="266"/>
      <c r="R117" s="266"/>
      <c r="S117" s="268"/>
      <c r="T117" s="269" t="e">
        <f>VLOOKUP(Q117,[71]Listas!$D$6:$E$10,2,0)</f>
        <v>#N/A</v>
      </c>
      <c r="U117" s="269" t="e">
        <f>HLOOKUP(R117,[71]Listas!$F$4:$J$5,2,0)</f>
        <v>#N/A</v>
      </c>
      <c r="V117" s="270" t="e">
        <f>INDEX([71]Listas!$F$6:$J$10,MATCH(Q117,[71]Listas!$D$6:$D$10,0),MATCH(R117,[71]Listas!$F$4:$J$4,0))</f>
        <v>#N/A</v>
      </c>
      <c r="W117" s="268"/>
      <c r="X117" s="1399"/>
      <c r="Y117" s="1408"/>
      <c r="Z117" s="1400"/>
      <c r="AA117" s="1063"/>
      <c r="AB117" s="267"/>
      <c r="AC117" s="259"/>
      <c r="AD117" s="655"/>
      <c r="AE117" s="267"/>
      <c r="AF117" s="268"/>
      <c r="AG117" s="269">
        <f t="shared" si="15"/>
        <v>0</v>
      </c>
      <c r="AH117" s="271" t="e">
        <f t="shared" si="16"/>
        <v>#N/A</v>
      </c>
      <c r="AI117" s="272" t="e">
        <f>IF(AH117&lt;=1,"Remota",VLOOKUP(AH117,[71]Listas!$C$6:$D$10,2,0))</f>
        <v>#N/A</v>
      </c>
      <c r="AJ117" s="271" t="e">
        <f t="shared" si="17"/>
        <v>#N/A</v>
      </c>
      <c r="AK117" s="272" t="e">
        <f>IF(AJ117&lt;=1,"Insignificante",HLOOKUP(AJ117,[71]Listas!$F$3:$J$4,2,0))</f>
        <v>#N/A</v>
      </c>
      <c r="AL117" s="273" t="e">
        <f t="shared" si="18"/>
        <v>#N/A</v>
      </c>
      <c r="AM117" s="270" t="e">
        <f>INDEX([71]Listas!$F$6:$J$10,MATCH(AI117,[71]Listas!$D$6:$D$10,0),MATCH(AK117,[71]Listas!$F$4:$J$4,0))</f>
        <v>#N/A</v>
      </c>
      <c r="AN117" s="259"/>
      <c r="AO117" s="259"/>
      <c r="AP117" s="659"/>
      <c r="AQ117" s="259"/>
      <c r="AR117" s="259" t="s">
        <v>2343</v>
      </c>
      <c r="AS117" s="655"/>
      <c r="AT117" s="259"/>
      <c r="AU117" s="259"/>
      <c r="AV117" s="261"/>
      <c r="AW117" s="261"/>
      <c r="AX117" s="655"/>
      <c r="AY117" s="262"/>
    </row>
    <row r="118" spans="1:51" s="260" customFormat="1" ht="103.5" hidden="1" customHeight="1">
      <c r="A118" s="655"/>
      <c r="B118" s="266"/>
      <c r="C118" s="1399"/>
      <c r="D118" s="1408"/>
      <c r="E118" s="1400"/>
      <c r="F118" s="267"/>
      <c r="G118" s="1399"/>
      <c r="H118" s="1408"/>
      <c r="I118" s="1400"/>
      <c r="J118" s="1380"/>
      <c r="K118" s="1380"/>
      <c r="L118" s="1380"/>
      <c r="M118" s="655"/>
      <c r="N118" s="655"/>
      <c r="O118" s="655"/>
      <c r="P118" s="655"/>
      <c r="Q118" s="266"/>
      <c r="R118" s="266"/>
      <c r="S118" s="268"/>
      <c r="T118" s="269" t="e">
        <f>VLOOKUP(Q118,[71]Listas!$D$6:$E$10,2,0)</f>
        <v>#N/A</v>
      </c>
      <c r="U118" s="269" t="e">
        <f>HLOOKUP(R118,[71]Listas!$F$4:$J$5,2,0)</f>
        <v>#N/A</v>
      </c>
      <c r="V118" s="270" t="e">
        <f>INDEX([71]Listas!$F$6:$J$10,MATCH(Q118,[71]Listas!$D$6:$D$10,0),MATCH(R118,[71]Listas!$F$4:$J$4,0))</f>
        <v>#N/A</v>
      </c>
      <c r="W118" s="268"/>
      <c r="X118" s="1399"/>
      <c r="Y118" s="1408"/>
      <c r="Z118" s="1400"/>
      <c r="AA118" s="1063"/>
      <c r="AB118" s="267"/>
      <c r="AC118" s="259"/>
      <c r="AD118" s="655"/>
      <c r="AE118" s="267"/>
      <c r="AF118" s="268"/>
      <c r="AG118" s="269">
        <f t="shared" si="15"/>
        <v>0</v>
      </c>
      <c r="AH118" s="271" t="e">
        <f t="shared" si="16"/>
        <v>#N/A</v>
      </c>
      <c r="AI118" s="272" t="e">
        <f>IF(AH118&lt;=1,"Remota",VLOOKUP(AH118,[71]Listas!$C$6:$D$10,2,0))</f>
        <v>#N/A</v>
      </c>
      <c r="AJ118" s="271" t="e">
        <f t="shared" si="17"/>
        <v>#N/A</v>
      </c>
      <c r="AK118" s="272" t="e">
        <f>IF(AJ118&lt;=1,"Insignificante",HLOOKUP(AJ118,[71]Listas!$F$3:$J$4,2,0))</f>
        <v>#N/A</v>
      </c>
      <c r="AL118" s="273" t="e">
        <f t="shared" si="18"/>
        <v>#N/A</v>
      </c>
      <c r="AM118" s="270" t="e">
        <f>INDEX([71]Listas!$F$6:$J$10,MATCH(AI118,[71]Listas!$D$6:$D$10,0),MATCH(AK118,[71]Listas!$F$4:$J$4,0))</f>
        <v>#N/A</v>
      </c>
      <c r="AN118" s="259"/>
      <c r="AO118" s="259"/>
      <c r="AP118" s="659"/>
      <c r="AQ118" s="259"/>
      <c r="AR118" s="259" t="s">
        <v>2343</v>
      </c>
      <c r="AS118" s="655"/>
      <c r="AT118" s="259"/>
      <c r="AU118" s="259"/>
      <c r="AV118" s="261"/>
      <c r="AW118" s="261"/>
      <c r="AX118" s="655"/>
      <c r="AY118" s="262"/>
    </row>
    <row r="119" spans="1:51" s="260" customFormat="1" ht="103.5" hidden="1" customHeight="1">
      <c r="A119" s="655"/>
      <c r="B119" s="266"/>
      <c r="C119" s="1399"/>
      <c r="D119" s="1408"/>
      <c r="E119" s="1400"/>
      <c r="F119" s="267"/>
      <c r="G119" s="1399"/>
      <c r="H119" s="1408"/>
      <c r="I119" s="1400"/>
      <c r="J119" s="1380"/>
      <c r="K119" s="1380"/>
      <c r="L119" s="1380"/>
      <c r="M119" s="655"/>
      <c r="N119" s="655"/>
      <c r="O119" s="655"/>
      <c r="P119" s="655"/>
      <c r="Q119" s="266"/>
      <c r="R119" s="266"/>
      <c r="S119" s="268"/>
      <c r="T119" s="269" t="e">
        <f>VLOOKUP(Q119,[71]Listas!$D$6:$E$10,2,0)</f>
        <v>#N/A</v>
      </c>
      <c r="U119" s="269" t="e">
        <f>HLOOKUP(R119,[71]Listas!$F$4:$J$5,2,0)</f>
        <v>#N/A</v>
      </c>
      <c r="V119" s="270" t="e">
        <f>INDEX([71]Listas!$F$6:$J$10,MATCH(Q119,[71]Listas!$D$6:$D$10,0),MATCH(R119,[71]Listas!$F$4:$J$4,0))</f>
        <v>#N/A</v>
      </c>
      <c r="W119" s="268"/>
      <c r="X119" s="1399"/>
      <c r="Y119" s="1408"/>
      <c r="Z119" s="1400"/>
      <c r="AA119" s="1063"/>
      <c r="AB119" s="267"/>
      <c r="AC119" s="259"/>
      <c r="AD119" s="655"/>
      <c r="AE119" s="267"/>
      <c r="AF119" s="268"/>
      <c r="AG119" s="269">
        <f t="shared" si="15"/>
        <v>0</v>
      </c>
      <c r="AH119" s="271" t="e">
        <f t="shared" si="16"/>
        <v>#N/A</v>
      </c>
      <c r="AI119" s="272" t="e">
        <f>IF(AH119&lt;=1,"Remota",VLOOKUP(AH119,[71]Listas!$C$6:$D$10,2,0))</f>
        <v>#N/A</v>
      </c>
      <c r="AJ119" s="271" t="e">
        <f t="shared" si="17"/>
        <v>#N/A</v>
      </c>
      <c r="AK119" s="272" t="e">
        <f>IF(AJ119&lt;=1,"Insignificante",HLOOKUP(AJ119,[71]Listas!$F$3:$J$4,2,0))</f>
        <v>#N/A</v>
      </c>
      <c r="AL119" s="273" t="e">
        <f t="shared" si="18"/>
        <v>#N/A</v>
      </c>
      <c r="AM119" s="270" t="e">
        <f>INDEX([71]Listas!$F$6:$J$10,MATCH(AI119,[71]Listas!$D$6:$D$10,0),MATCH(AK119,[71]Listas!$F$4:$J$4,0))</f>
        <v>#N/A</v>
      </c>
      <c r="AN119" s="259"/>
      <c r="AO119" s="259"/>
      <c r="AP119" s="659"/>
      <c r="AQ119" s="259"/>
      <c r="AR119" s="259" t="s">
        <v>2343</v>
      </c>
      <c r="AS119" s="655"/>
      <c r="AT119" s="259"/>
      <c r="AU119" s="259"/>
      <c r="AV119" s="261"/>
      <c r="AW119" s="261"/>
      <c r="AX119" s="655"/>
      <c r="AY119" s="262"/>
    </row>
    <row r="120" spans="1:51" s="260" customFormat="1" ht="103.5" hidden="1" customHeight="1">
      <c r="A120" s="655"/>
      <c r="B120" s="266"/>
      <c r="C120" s="1399"/>
      <c r="D120" s="1408"/>
      <c r="E120" s="1400"/>
      <c r="F120" s="267"/>
      <c r="G120" s="1399"/>
      <c r="H120" s="1408"/>
      <c r="I120" s="1400"/>
      <c r="J120" s="1380"/>
      <c r="K120" s="1380"/>
      <c r="L120" s="1380"/>
      <c r="M120" s="655"/>
      <c r="N120" s="655"/>
      <c r="O120" s="655"/>
      <c r="P120" s="655"/>
      <c r="Q120" s="266"/>
      <c r="R120" s="266"/>
      <c r="S120" s="268"/>
      <c r="T120" s="269" t="e">
        <f>VLOOKUP(Q120,[71]Listas!$D$6:$E$10,2,0)</f>
        <v>#N/A</v>
      </c>
      <c r="U120" s="269" t="e">
        <f>HLOOKUP(R120,[71]Listas!$F$4:$J$5,2,0)</f>
        <v>#N/A</v>
      </c>
      <c r="V120" s="270" t="e">
        <f>INDEX([71]Listas!$F$6:$J$10,MATCH(Q120,[71]Listas!$D$6:$D$10,0),MATCH(R120,[71]Listas!$F$4:$J$4,0))</f>
        <v>#N/A</v>
      </c>
      <c r="W120" s="268"/>
      <c r="X120" s="1399"/>
      <c r="Y120" s="1408"/>
      <c r="Z120" s="1400"/>
      <c r="AA120" s="1063"/>
      <c r="AB120" s="267"/>
      <c r="AC120" s="259"/>
      <c r="AD120" s="655"/>
      <c r="AE120" s="267"/>
      <c r="AF120" s="268"/>
      <c r="AG120" s="269">
        <f t="shared" si="15"/>
        <v>0</v>
      </c>
      <c r="AH120" s="271" t="e">
        <f t="shared" si="16"/>
        <v>#N/A</v>
      </c>
      <c r="AI120" s="272" t="e">
        <f>IF(AH120&lt;=1,"Remota",VLOOKUP(AH120,[71]Listas!$C$6:$D$10,2,0))</f>
        <v>#N/A</v>
      </c>
      <c r="AJ120" s="271" t="e">
        <f t="shared" si="17"/>
        <v>#N/A</v>
      </c>
      <c r="AK120" s="272" t="e">
        <f>IF(AJ120&lt;=1,"Insignificante",HLOOKUP(AJ120,[71]Listas!$F$3:$J$4,2,0))</f>
        <v>#N/A</v>
      </c>
      <c r="AL120" s="273" t="e">
        <f t="shared" si="18"/>
        <v>#N/A</v>
      </c>
      <c r="AM120" s="270" t="e">
        <f>INDEX([71]Listas!$F$6:$J$10,MATCH(AI120,[71]Listas!$D$6:$D$10,0),MATCH(AK120,[71]Listas!$F$4:$J$4,0))</f>
        <v>#N/A</v>
      </c>
      <c r="AN120" s="259"/>
      <c r="AO120" s="259"/>
      <c r="AP120" s="659"/>
      <c r="AQ120" s="259"/>
      <c r="AR120" s="259" t="s">
        <v>2343</v>
      </c>
      <c r="AS120" s="655"/>
      <c r="AT120" s="259"/>
      <c r="AU120" s="259"/>
      <c r="AV120" s="261"/>
      <c r="AW120" s="261"/>
      <c r="AX120" s="655"/>
      <c r="AY120" s="262"/>
    </row>
    <row r="121" spans="1:51" s="260" customFormat="1" ht="103.5" hidden="1" customHeight="1">
      <c r="A121" s="655"/>
      <c r="B121" s="266"/>
      <c r="C121" s="1399"/>
      <c r="D121" s="1408"/>
      <c r="E121" s="1400"/>
      <c r="F121" s="267"/>
      <c r="G121" s="1399"/>
      <c r="H121" s="1408"/>
      <c r="I121" s="1400"/>
      <c r="J121" s="1380"/>
      <c r="K121" s="1380"/>
      <c r="L121" s="1380"/>
      <c r="M121" s="655"/>
      <c r="N121" s="655"/>
      <c r="O121" s="655"/>
      <c r="P121" s="655"/>
      <c r="Q121" s="266"/>
      <c r="R121" s="266"/>
      <c r="S121" s="268"/>
      <c r="T121" s="269" t="e">
        <f>VLOOKUP(Q121,[71]Listas!$D$6:$E$10,2,0)</f>
        <v>#N/A</v>
      </c>
      <c r="U121" s="269" t="e">
        <f>HLOOKUP(R121,[71]Listas!$F$4:$J$5,2,0)</f>
        <v>#N/A</v>
      </c>
      <c r="V121" s="270" t="e">
        <f>INDEX([71]Listas!$F$6:$J$10,MATCH(Q121,[71]Listas!$D$6:$D$10,0),MATCH(R121,[71]Listas!$F$4:$J$4,0))</f>
        <v>#N/A</v>
      </c>
      <c r="W121" s="268"/>
      <c r="X121" s="1399"/>
      <c r="Y121" s="1408"/>
      <c r="Z121" s="1400"/>
      <c r="AA121" s="1063"/>
      <c r="AB121" s="267"/>
      <c r="AC121" s="259"/>
      <c r="AD121" s="655"/>
      <c r="AE121" s="267"/>
      <c r="AF121" s="268"/>
      <c r="AG121" s="269">
        <f t="shared" si="15"/>
        <v>0</v>
      </c>
      <c r="AH121" s="271" t="e">
        <f t="shared" si="16"/>
        <v>#N/A</v>
      </c>
      <c r="AI121" s="272" t="e">
        <f>IF(AH121&lt;=1,"Remota",VLOOKUP(AH121,[71]Listas!$C$6:$D$10,2,0))</f>
        <v>#N/A</v>
      </c>
      <c r="AJ121" s="271" t="e">
        <f t="shared" si="17"/>
        <v>#N/A</v>
      </c>
      <c r="AK121" s="272" t="e">
        <f>IF(AJ121&lt;=1,"Insignificante",HLOOKUP(AJ121,[71]Listas!$F$3:$J$4,2,0))</f>
        <v>#N/A</v>
      </c>
      <c r="AL121" s="273" t="e">
        <f t="shared" si="18"/>
        <v>#N/A</v>
      </c>
      <c r="AM121" s="270" t="e">
        <f>INDEX([71]Listas!$F$6:$J$10,MATCH(AI121,[71]Listas!$D$6:$D$10,0),MATCH(AK121,[71]Listas!$F$4:$J$4,0))</f>
        <v>#N/A</v>
      </c>
      <c r="AN121" s="259"/>
      <c r="AO121" s="259"/>
      <c r="AP121" s="659"/>
      <c r="AQ121" s="259"/>
      <c r="AR121" s="259" t="s">
        <v>2343</v>
      </c>
      <c r="AS121" s="655"/>
      <c r="AT121" s="259"/>
      <c r="AU121" s="259"/>
      <c r="AV121" s="261"/>
      <c r="AW121" s="261"/>
      <c r="AX121" s="655"/>
      <c r="AY121" s="262"/>
    </row>
    <row r="122" spans="1:51" s="260" customFormat="1" ht="103.5" hidden="1" customHeight="1">
      <c r="A122" s="655"/>
      <c r="B122" s="266"/>
      <c r="C122" s="1399"/>
      <c r="D122" s="1408"/>
      <c r="E122" s="1400"/>
      <c r="F122" s="267"/>
      <c r="G122" s="1399"/>
      <c r="H122" s="1408"/>
      <c r="I122" s="1400"/>
      <c r="J122" s="1380"/>
      <c r="K122" s="1380"/>
      <c r="L122" s="1380"/>
      <c r="M122" s="655"/>
      <c r="N122" s="655"/>
      <c r="O122" s="655"/>
      <c r="P122" s="655"/>
      <c r="Q122" s="266"/>
      <c r="R122" s="266"/>
      <c r="S122" s="268"/>
      <c r="T122" s="269" t="e">
        <f>VLOOKUP(Q122,[71]Listas!$D$6:$E$10,2,0)</f>
        <v>#N/A</v>
      </c>
      <c r="U122" s="269" t="e">
        <f>HLOOKUP(R122,[71]Listas!$F$4:$J$5,2,0)</f>
        <v>#N/A</v>
      </c>
      <c r="V122" s="270" t="e">
        <f>INDEX([71]Listas!$F$6:$J$10,MATCH(Q122,[71]Listas!$D$6:$D$10,0),MATCH(R122,[71]Listas!$F$4:$J$4,0))</f>
        <v>#N/A</v>
      </c>
      <c r="W122" s="268"/>
      <c r="X122" s="1399"/>
      <c r="Y122" s="1408"/>
      <c r="Z122" s="1400"/>
      <c r="AA122" s="1063"/>
      <c r="AB122" s="267"/>
      <c r="AC122" s="259"/>
      <c r="AD122" s="655"/>
      <c r="AE122" s="267"/>
      <c r="AF122" s="268"/>
      <c r="AG122" s="269">
        <f t="shared" si="15"/>
        <v>0</v>
      </c>
      <c r="AH122" s="271" t="e">
        <f t="shared" si="16"/>
        <v>#N/A</v>
      </c>
      <c r="AI122" s="272" t="e">
        <f>IF(AH122&lt;=1,"Remota",VLOOKUP(AH122,[71]Listas!$C$6:$D$10,2,0))</f>
        <v>#N/A</v>
      </c>
      <c r="AJ122" s="271" t="e">
        <f t="shared" si="17"/>
        <v>#N/A</v>
      </c>
      <c r="AK122" s="272" t="e">
        <f>IF(AJ122&lt;=1,"Insignificante",HLOOKUP(AJ122,[71]Listas!$F$3:$J$4,2,0))</f>
        <v>#N/A</v>
      </c>
      <c r="AL122" s="273" t="e">
        <f t="shared" si="18"/>
        <v>#N/A</v>
      </c>
      <c r="AM122" s="270" t="e">
        <f>INDEX([71]Listas!$F$6:$J$10,MATCH(AI122,[71]Listas!$D$6:$D$10,0),MATCH(AK122,[71]Listas!$F$4:$J$4,0))</f>
        <v>#N/A</v>
      </c>
      <c r="AN122" s="259"/>
      <c r="AO122" s="259"/>
      <c r="AP122" s="659"/>
      <c r="AQ122" s="259"/>
      <c r="AR122" s="259" t="s">
        <v>2343</v>
      </c>
      <c r="AS122" s="655"/>
      <c r="AT122" s="259"/>
      <c r="AU122" s="259"/>
      <c r="AV122" s="261"/>
      <c r="AW122" s="261"/>
      <c r="AX122" s="655"/>
      <c r="AY122" s="262"/>
    </row>
    <row r="123" spans="1:51" s="260" customFormat="1" ht="103.5" hidden="1" customHeight="1">
      <c r="A123" s="655"/>
      <c r="B123" s="266"/>
      <c r="C123" s="1399"/>
      <c r="D123" s="1408"/>
      <c r="E123" s="1400"/>
      <c r="F123" s="267"/>
      <c r="G123" s="1399"/>
      <c r="H123" s="1408"/>
      <c r="I123" s="1400"/>
      <c r="J123" s="1380"/>
      <c r="K123" s="1380"/>
      <c r="L123" s="1380"/>
      <c r="M123" s="655"/>
      <c r="N123" s="655"/>
      <c r="O123" s="655"/>
      <c r="P123" s="655"/>
      <c r="Q123" s="266"/>
      <c r="R123" s="266"/>
      <c r="S123" s="268"/>
      <c r="T123" s="269" t="e">
        <f>VLOOKUP(Q123,[71]Listas!$D$6:$E$10,2,0)</f>
        <v>#N/A</v>
      </c>
      <c r="U123" s="269" t="e">
        <f>HLOOKUP(R123,[71]Listas!$F$4:$J$5,2,0)</f>
        <v>#N/A</v>
      </c>
      <c r="V123" s="270" t="e">
        <f>INDEX([71]Listas!$F$6:$J$10,MATCH(Q123,[71]Listas!$D$6:$D$10,0),MATCH(R123,[71]Listas!$F$4:$J$4,0))</f>
        <v>#N/A</v>
      </c>
      <c r="W123" s="268"/>
      <c r="X123" s="1399"/>
      <c r="Y123" s="1408"/>
      <c r="Z123" s="1400"/>
      <c r="AA123" s="1063"/>
      <c r="AB123" s="267"/>
      <c r="AC123" s="259"/>
      <c r="AD123" s="655"/>
      <c r="AE123" s="267"/>
      <c r="AF123" s="268"/>
      <c r="AG123" s="269">
        <f t="shared" si="15"/>
        <v>0</v>
      </c>
      <c r="AH123" s="271" t="e">
        <f t="shared" si="16"/>
        <v>#N/A</v>
      </c>
      <c r="AI123" s="272" t="e">
        <f>IF(AH123&lt;=1,"Remota",VLOOKUP(AH123,[71]Listas!$C$6:$D$10,2,0))</f>
        <v>#N/A</v>
      </c>
      <c r="AJ123" s="271" t="e">
        <f t="shared" si="17"/>
        <v>#N/A</v>
      </c>
      <c r="AK123" s="272" t="e">
        <f>IF(AJ123&lt;=1,"Insignificante",HLOOKUP(AJ123,[71]Listas!$F$3:$J$4,2,0))</f>
        <v>#N/A</v>
      </c>
      <c r="AL123" s="273" t="e">
        <f t="shared" si="18"/>
        <v>#N/A</v>
      </c>
      <c r="AM123" s="270" t="e">
        <f>INDEX([71]Listas!$F$6:$J$10,MATCH(AI123,[71]Listas!$D$6:$D$10,0),MATCH(AK123,[71]Listas!$F$4:$J$4,0))</f>
        <v>#N/A</v>
      </c>
      <c r="AN123" s="259"/>
      <c r="AO123" s="259"/>
      <c r="AP123" s="659"/>
      <c r="AQ123" s="259"/>
      <c r="AR123" s="259" t="s">
        <v>2343</v>
      </c>
      <c r="AS123" s="655"/>
      <c r="AT123" s="259"/>
      <c r="AU123" s="259"/>
      <c r="AV123" s="261"/>
      <c r="AW123" s="261"/>
      <c r="AX123" s="655"/>
      <c r="AY123" s="262"/>
    </row>
    <row r="124" spans="1:51" s="260" customFormat="1" ht="103.5" hidden="1" customHeight="1">
      <c r="A124" s="655"/>
      <c r="B124" s="266"/>
      <c r="C124" s="1399"/>
      <c r="D124" s="1408"/>
      <c r="E124" s="1400"/>
      <c r="F124" s="267"/>
      <c r="G124" s="1399"/>
      <c r="H124" s="1408"/>
      <c r="I124" s="1400"/>
      <c r="J124" s="1380"/>
      <c r="K124" s="1380"/>
      <c r="L124" s="1380"/>
      <c r="M124" s="655"/>
      <c r="N124" s="655"/>
      <c r="O124" s="655"/>
      <c r="P124" s="655"/>
      <c r="Q124" s="266"/>
      <c r="R124" s="266"/>
      <c r="S124" s="268"/>
      <c r="T124" s="269" t="e">
        <f>VLOOKUP(Q124,[71]Listas!$D$6:$E$10,2,0)</f>
        <v>#N/A</v>
      </c>
      <c r="U124" s="269" t="e">
        <f>HLOOKUP(R124,[71]Listas!$F$4:$J$5,2,0)</f>
        <v>#N/A</v>
      </c>
      <c r="V124" s="270" t="e">
        <f>INDEX([71]Listas!$F$6:$J$10,MATCH(Q124,[71]Listas!$D$6:$D$10,0),MATCH(R124,[71]Listas!$F$4:$J$4,0))</f>
        <v>#N/A</v>
      </c>
      <c r="W124" s="268"/>
      <c r="X124" s="1399"/>
      <c r="Y124" s="1408"/>
      <c r="Z124" s="1400"/>
      <c r="AA124" s="1063"/>
      <c r="AB124" s="267"/>
      <c r="AC124" s="259"/>
      <c r="AD124" s="655"/>
      <c r="AE124" s="267"/>
      <c r="AF124" s="268"/>
      <c r="AG124" s="269">
        <f t="shared" si="15"/>
        <v>0</v>
      </c>
      <c r="AH124" s="271" t="e">
        <f t="shared" si="16"/>
        <v>#N/A</v>
      </c>
      <c r="AI124" s="272" t="e">
        <f>IF(AH124&lt;=1,"Remota",VLOOKUP(AH124,[71]Listas!$C$6:$D$10,2,0))</f>
        <v>#N/A</v>
      </c>
      <c r="AJ124" s="271" t="e">
        <f t="shared" si="17"/>
        <v>#N/A</v>
      </c>
      <c r="AK124" s="272" t="e">
        <f>IF(AJ124&lt;=1,"Insignificante",HLOOKUP(AJ124,[71]Listas!$F$3:$J$4,2,0))</f>
        <v>#N/A</v>
      </c>
      <c r="AL124" s="273" t="e">
        <f t="shared" si="18"/>
        <v>#N/A</v>
      </c>
      <c r="AM124" s="270" t="e">
        <f>INDEX([71]Listas!$F$6:$J$10,MATCH(AI124,[71]Listas!$D$6:$D$10,0),MATCH(AK124,[71]Listas!$F$4:$J$4,0))</f>
        <v>#N/A</v>
      </c>
      <c r="AN124" s="259"/>
      <c r="AO124" s="259"/>
      <c r="AP124" s="659"/>
      <c r="AQ124" s="259"/>
      <c r="AR124" s="259" t="s">
        <v>2343</v>
      </c>
      <c r="AS124" s="655"/>
      <c r="AT124" s="259"/>
      <c r="AU124" s="259"/>
      <c r="AV124" s="261"/>
      <c r="AW124" s="261"/>
      <c r="AX124" s="655"/>
      <c r="AY124" s="262"/>
    </row>
    <row r="125" spans="1:51" s="260" customFormat="1" ht="103.5" hidden="1" customHeight="1">
      <c r="A125" s="655"/>
      <c r="B125" s="266"/>
      <c r="C125" s="1399"/>
      <c r="D125" s="1408"/>
      <c r="E125" s="1400"/>
      <c r="F125" s="267"/>
      <c r="G125" s="1399"/>
      <c r="H125" s="1408"/>
      <c r="I125" s="1400"/>
      <c r="J125" s="1380"/>
      <c r="K125" s="1380"/>
      <c r="L125" s="1380"/>
      <c r="M125" s="655"/>
      <c r="N125" s="655"/>
      <c r="O125" s="655"/>
      <c r="P125" s="655"/>
      <c r="Q125" s="266"/>
      <c r="R125" s="266"/>
      <c r="S125" s="268"/>
      <c r="T125" s="269" t="e">
        <f>VLOOKUP(Q125,[71]Listas!$D$6:$E$10,2,0)</f>
        <v>#N/A</v>
      </c>
      <c r="U125" s="269" t="e">
        <f>HLOOKUP(R125,[71]Listas!$F$4:$J$5,2,0)</f>
        <v>#N/A</v>
      </c>
      <c r="V125" s="270" t="e">
        <f>INDEX([71]Listas!$F$6:$J$10,MATCH(Q125,[71]Listas!$D$6:$D$10,0),MATCH(R125,[71]Listas!$F$4:$J$4,0))</f>
        <v>#N/A</v>
      </c>
      <c r="W125" s="268"/>
      <c r="X125" s="1399"/>
      <c r="Y125" s="1408"/>
      <c r="Z125" s="1400"/>
      <c r="AA125" s="1063"/>
      <c r="AB125" s="267"/>
      <c r="AC125" s="259"/>
      <c r="AD125" s="655"/>
      <c r="AE125" s="267"/>
      <c r="AF125" s="268"/>
      <c r="AG125" s="269">
        <f t="shared" si="15"/>
        <v>0</v>
      </c>
      <c r="AH125" s="271" t="e">
        <f t="shared" si="16"/>
        <v>#N/A</v>
      </c>
      <c r="AI125" s="272" t="e">
        <f>IF(AH125&lt;=1,"Remota",VLOOKUP(AH125,[71]Listas!$C$6:$D$10,2,0))</f>
        <v>#N/A</v>
      </c>
      <c r="AJ125" s="271" t="e">
        <f t="shared" si="17"/>
        <v>#N/A</v>
      </c>
      <c r="AK125" s="272" t="e">
        <f>IF(AJ125&lt;=1,"Insignificante",HLOOKUP(AJ125,[71]Listas!$F$3:$J$4,2,0))</f>
        <v>#N/A</v>
      </c>
      <c r="AL125" s="273" t="e">
        <f t="shared" si="18"/>
        <v>#N/A</v>
      </c>
      <c r="AM125" s="270" t="e">
        <f>INDEX([71]Listas!$F$6:$J$10,MATCH(AI125,[71]Listas!$D$6:$D$10,0),MATCH(AK125,[71]Listas!$F$4:$J$4,0))</f>
        <v>#N/A</v>
      </c>
      <c r="AN125" s="259"/>
      <c r="AO125" s="259"/>
      <c r="AP125" s="659"/>
      <c r="AQ125" s="259"/>
      <c r="AR125" s="259" t="s">
        <v>2343</v>
      </c>
      <c r="AS125" s="655"/>
      <c r="AT125" s="259"/>
      <c r="AU125" s="259"/>
      <c r="AV125" s="261"/>
      <c r="AW125" s="261"/>
      <c r="AX125" s="655"/>
      <c r="AY125" s="262"/>
    </row>
    <row r="126" spans="1:51" s="260" customFormat="1" ht="103.5" hidden="1" customHeight="1">
      <c r="A126" s="655"/>
      <c r="B126" s="266"/>
      <c r="C126" s="1399"/>
      <c r="D126" s="1408"/>
      <c r="E126" s="1400"/>
      <c r="F126" s="267"/>
      <c r="G126" s="1399"/>
      <c r="H126" s="1408"/>
      <c r="I126" s="1400"/>
      <c r="J126" s="1380"/>
      <c r="K126" s="1380"/>
      <c r="L126" s="1380"/>
      <c r="M126" s="655"/>
      <c r="N126" s="655"/>
      <c r="O126" s="655"/>
      <c r="P126" s="655"/>
      <c r="Q126" s="266"/>
      <c r="R126" s="266"/>
      <c r="S126" s="268"/>
      <c r="T126" s="269" t="e">
        <f>VLOOKUP(Q126,[71]Listas!$D$6:$E$10,2,0)</f>
        <v>#N/A</v>
      </c>
      <c r="U126" s="269" t="e">
        <f>HLOOKUP(R126,[71]Listas!$F$4:$J$5,2,0)</f>
        <v>#N/A</v>
      </c>
      <c r="V126" s="270" t="e">
        <f>INDEX([71]Listas!$F$6:$J$10,MATCH(Q126,[71]Listas!$D$6:$D$10,0),MATCH(R126,[71]Listas!$F$4:$J$4,0))</f>
        <v>#N/A</v>
      </c>
      <c r="W126" s="268"/>
      <c r="X126" s="1399"/>
      <c r="Y126" s="1408"/>
      <c r="Z126" s="1400"/>
      <c r="AA126" s="1063"/>
      <c r="AB126" s="267"/>
      <c r="AC126" s="259"/>
      <c r="AD126" s="655"/>
      <c r="AE126" s="267"/>
      <c r="AF126" s="268"/>
      <c r="AG126" s="269">
        <f t="shared" si="15"/>
        <v>0</v>
      </c>
      <c r="AH126" s="271" t="e">
        <f t="shared" si="16"/>
        <v>#N/A</v>
      </c>
      <c r="AI126" s="272" t="e">
        <f>IF(AH126&lt;=1,"Remota",VLOOKUP(AH126,[71]Listas!$C$6:$D$10,2,0))</f>
        <v>#N/A</v>
      </c>
      <c r="AJ126" s="271" t="e">
        <f t="shared" si="17"/>
        <v>#N/A</v>
      </c>
      <c r="AK126" s="272" t="e">
        <f>IF(AJ126&lt;=1,"Insignificante",HLOOKUP(AJ126,[71]Listas!$F$3:$J$4,2,0))</f>
        <v>#N/A</v>
      </c>
      <c r="AL126" s="273" t="e">
        <f t="shared" si="18"/>
        <v>#N/A</v>
      </c>
      <c r="AM126" s="270" t="e">
        <f>INDEX([71]Listas!$F$6:$J$10,MATCH(AI126,[71]Listas!$D$6:$D$10,0),MATCH(AK126,[71]Listas!$F$4:$J$4,0))</f>
        <v>#N/A</v>
      </c>
      <c r="AN126" s="259"/>
      <c r="AO126" s="259"/>
      <c r="AP126" s="659"/>
      <c r="AQ126" s="259"/>
      <c r="AR126" s="259" t="s">
        <v>2343</v>
      </c>
      <c r="AS126" s="655"/>
      <c r="AT126" s="259"/>
      <c r="AU126" s="259"/>
      <c r="AV126" s="261"/>
      <c r="AW126" s="261"/>
      <c r="AX126" s="655"/>
      <c r="AY126" s="262"/>
    </row>
    <row r="127" spans="1:51" s="260" customFormat="1" ht="103.5" hidden="1" customHeight="1">
      <c r="A127" s="655"/>
      <c r="B127" s="266"/>
      <c r="C127" s="1399"/>
      <c r="D127" s="1408"/>
      <c r="E127" s="1400"/>
      <c r="F127" s="267"/>
      <c r="G127" s="1399"/>
      <c r="H127" s="1408"/>
      <c r="I127" s="1400"/>
      <c r="J127" s="1380"/>
      <c r="K127" s="1380"/>
      <c r="L127" s="1380"/>
      <c r="M127" s="655"/>
      <c r="N127" s="655"/>
      <c r="O127" s="655"/>
      <c r="P127" s="655"/>
      <c r="Q127" s="266"/>
      <c r="R127" s="266"/>
      <c r="S127" s="268"/>
      <c r="T127" s="269" t="e">
        <f>VLOOKUP(Q127,[71]Listas!$D$6:$E$10,2,0)</f>
        <v>#N/A</v>
      </c>
      <c r="U127" s="269" t="e">
        <f>HLOOKUP(R127,[71]Listas!$F$4:$J$5,2,0)</f>
        <v>#N/A</v>
      </c>
      <c r="V127" s="270" t="e">
        <f>INDEX([71]Listas!$F$6:$J$10,MATCH(Q127,[71]Listas!$D$6:$D$10,0),MATCH(R127,[71]Listas!$F$4:$J$4,0))</f>
        <v>#N/A</v>
      </c>
      <c r="W127" s="268"/>
      <c r="X127" s="1399"/>
      <c r="Y127" s="1408"/>
      <c r="Z127" s="1400"/>
      <c r="AA127" s="1063"/>
      <c r="AB127" s="267"/>
      <c r="AC127" s="259"/>
      <c r="AD127" s="655"/>
      <c r="AE127" s="267"/>
      <c r="AF127" s="268"/>
      <c r="AG127" s="269">
        <f t="shared" si="15"/>
        <v>0</v>
      </c>
      <c r="AH127" s="271" t="e">
        <f t="shared" si="16"/>
        <v>#N/A</v>
      </c>
      <c r="AI127" s="272" t="e">
        <f>IF(AH127&lt;=1,"Remota",VLOOKUP(AH127,[71]Listas!$C$6:$D$10,2,0))</f>
        <v>#N/A</v>
      </c>
      <c r="AJ127" s="271" t="e">
        <f t="shared" si="17"/>
        <v>#N/A</v>
      </c>
      <c r="AK127" s="272" t="e">
        <f>IF(AJ127&lt;=1,"Insignificante",HLOOKUP(AJ127,[71]Listas!$F$3:$J$4,2,0))</f>
        <v>#N/A</v>
      </c>
      <c r="AL127" s="273" t="e">
        <f t="shared" si="18"/>
        <v>#N/A</v>
      </c>
      <c r="AM127" s="270" t="e">
        <f>INDEX([71]Listas!$F$6:$J$10,MATCH(AI127,[71]Listas!$D$6:$D$10,0),MATCH(AK127,[71]Listas!$F$4:$J$4,0))</f>
        <v>#N/A</v>
      </c>
      <c r="AN127" s="259"/>
      <c r="AO127" s="259"/>
      <c r="AP127" s="659"/>
      <c r="AQ127" s="259"/>
      <c r="AR127" s="259" t="s">
        <v>2343</v>
      </c>
      <c r="AS127" s="655"/>
      <c r="AT127" s="259"/>
      <c r="AU127" s="259"/>
      <c r="AV127" s="261"/>
      <c r="AW127" s="261"/>
      <c r="AX127" s="655"/>
      <c r="AY127" s="262"/>
    </row>
    <row r="128" spans="1:51" s="260" customFormat="1" ht="103.5" hidden="1" customHeight="1">
      <c r="A128" s="655"/>
      <c r="B128" s="266"/>
      <c r="C128" s="1399"/>
      <c r="D128" s="1408"/>
      <c r="E128" s="1400"/>
      <c r="F128" s="267"/>
      <c r="G128" s="1399"/>
      <c r="H128" s="1408"/>
      <c r="I128" s="1400"/>
      <c r="J128" s="1380"/>
      <c r="K128" s="1380"/>
      <c r="L128" s="1380"/>
      <c r="M128" s="655"/>
      <c r="N128" s="655"/>
      <c r="O128" s="655"/>
      <c r="P128" s="655"/>
      <c r="Q128" s="266"/>
      <c r="R128" s="266"/>
      <c r="S128" s="268"/>
      <c r="T128" s="269" t="e">
        <f>VLOOKUP(Q128,[71]Listas!$D$6:$E$10,2,0)</f>
        <v>#N/A</v>
      </c>
      <c r="U128" s="269" t="e">
        <f>HLOOKUP(R128,[71]Listas!$F$4:$J$5,2,0)</f>
        <v>#N/A</v>
      </c>
      <c r="V128" s="270" t="e">
        <f>INDEX([71]Listas!$F$6:$J$10,MATCH(Q128,[71]Listas!$D$6:$D$10,0),MATCH(R128,[71]Listas!$F$4:$J$4,0))</f>
        <v>#N/A</v>
      </c>
      <c r="W128" s="268"/>
      <c r="X128" s="1399"/>
      <c r="Y128" s="1408"/>
      <c r="Z128" s="1400"/>
      <c r="AA128" s="1063"/>
      <c r="AB128" s="267"/>
      <c r="AC128" s="259"/>
      <c r="AD128" s="655"/>
      <c r="AE128" s="267"/>
      <c r="AF128" s="268"/>
      <c r="AG128" s="269">
        <f t="shared" si="15"/>
        <v>0</v>
      </c>
      <c r="AH128" s="271" t="e">
        <f t="shared" si="16"/>
        <v>#N/A</v>
      </c>
      <c r="AI128" s="272" t="e">
        <f>IF(AH128&lt;=1,"Remota",VLOOKUP(AH128,[71]Listas!$C$6:$D$10,2,0))</f>
        <v>#N/A</v>
      </c>
      <c r="AJ128" s="271" t="e">
        <f t="shared" si="17"/>
        <v>#N/A</v>
      </c>
      <c r="AK128" s="272" t="e">
        <f>IF(AJ128&lt;=1,"Insignificante",HLOOKUP(AJ128,[71]Listas!$F$3:$J$4,2,0))</f>
        <v>#N/A</v>
      </c>
      <c r="AL128" s="273" t="e">
        <f t="shared" si="18"/>
        <v>#N/A</v>
      </c>
      <c r="AM128" s="270" t="e">
        <f>INDEX([71]Listas!$F$6:$J$10,MATCH(AI128,[71]Listas!$D$6:$D$10,0),MATCH(AK128,[71]Listas!$F$4:$J$4,0))</f>
        <v>#N/A</v>
      </c>
      <c r="AN128" s="259"/>
      <c r="AO128" s="259"/>
      <c r="AP128" s="659"/>
      <c r="AQ128" s="259"/>
      <c r="AR128" s="259" t="s">
        <v>2343</v>
      </c>
      <c r="AS128" s="655"/>
      <c r="AT128" s="259"/>
      <c r="AU128" s="259"/>
      <c r="AV128" s="261"/>
      <c r="AW128" s="261"/>
      <c r="AX128" s="655"/>
      <c r="AY128" s="262"/>
    </row>
    <row r="129" spans="1:51" s="260" customFormat="1" ht="103.5" hidden="1" customHeight="1">
      <c r="A129" s="655"/>
      <c r="B129" s="266"/>
      <c r="C129" s="1399"/>
      <c r="D129" s="1408"/>
      <c r="E129" s="1400"/>
      <c r="F129" s="267"/>
      <c r="G129" s="1399"/>
      <c r="H129" s="1408"/>
      <c r="I129" s="1400"/>
      <c r="J129" s="1380"/>
      <c r="K129" s="1380"/>
      <c r="L129" s="1380"/>
      <c r="M129" s="655"/>
      <c r="N129" s="655"/>
      <c r="O129" s="655"/>
      <c r="P129" s="655"/>
      <c r="Q129" s="266"/>
      <c r="R129" s="266"/>
      <c r="S129" s="268"/>
      <c r="T129" s="269" t="e">
        <f>VLOOKUP(Q129,[71]Listas!$D$6:$E$10,2,0)</f>
        <v>#N/A</v>
      </c>
      <c r="U129" s="269" t="e">
        <f>HLOOKUP(R129,[71]Listas!$F$4:$J$5,2,0)</f>
        <v>#N/A</v>
      </c>
      <c r="V129" s="270" t="e">
        <f>INDEX([71]Listas!$F$6:$J$10,MATCH(Q129,[71]Listas!$D$6:$D$10,0),MATCH(R129,[71]Listas!$F$4:$J$4,0))</f>
        <v>#N/A</v>
      </c>
      <c r="W129" s="268"/>
      <c r="X129" s="1399"/>
      <c r="Y129" s="1408"/>
      <c r="Z129" s="1400"/>
      <c r="AA129" s="1063"/>
      <c r="AB129" s="267"/>
      <c r="AC129" s="259"/>
      <c r="AD129" s="655"/>
      <c r="AE129" s="267"/>
      <c r="AF129" s="268"/>
      <c r="AG129" s="269">
        <f t="shared" si="15"/>
        <v>0</v>
      </c>
      <c r="AH129" s="271" t="e">
        <f t="shared" si="16"/>
        <v>#N/A</v>
      </c>
      <c r="AI129" s="272" t="e">
        <f>IF(AH129&lt;=1,"Remota",VLOOKUP(AH129,[71]Listas!$C$6:$D$10,2,0))</f>
        <v>#N/A</v>
      </c>
      <c r="AJ129" s="271" t="e">
        <f t="shared" si="17"/>
        <v>#N/A</v>
      </c>
      <c r="AK129" s="272" t="e">
        <f>IF(AJ129&lt;=1,"Insignificante",HLOOKUP(AJ129,[71]Listas!$F$3:$J$4,2,0))</f>
        <v>#N/A</v>
      </c>
      <c r="AL129" s="273" t="e">
        <f t="shared" si="18"/>
        <v>#N/A</v>
      </c>
      <c r="AM129" s="270" t="e">
        <f>INDEX([71]Listas!$F$6:$J$10,MATCH(AI129,[71]Listas!$D$6:$D$10,0),MATCH(AK129,[71]Listas!$F$4:$J$4,0))</f>
        <v>#N/A</v>
      </c>
      <c r="AN129" s="259"/>
      <c r="AO129" s="259"/>
      <c r="AP129" s="659"/>
      <c r="AQ129" s="259"/>
      <c r="AR129" s="259" t="s">
        <v>2343</v>
      </c>
      <c r="AS129" s="655"/>
      <c r="AT129" s="259"/>
      <c r="AU129" s="259"/>
      <c r="AV129" s="261"/>
      <c r="AW129" s="261"/>
      <c r="AX129" s="655"/>
      <c r="AY129" s="262"/>
    </row>
    <row r="130" spans="1:51" s="260" customFormat="1" ht="103.5" hidden="1" customHeight="1">
      <c r="A130" s="655"/>
      <c r="B130" s="266"/>
      <c r="C130" s="1399"/>
      <c r="D130" s="1408"/>
      <c r="E130" s="1400"/>
      <c r="F130" s="267"/>
      <c r="G130" s="1399"/>
      <c r="H130" s="1408"/>
      <c r="I130" s="1400"/>
      <c r="J130" s="1380"/>
      <c r="K130" s="1380"/>
      <c r="L130" s="1380"/>
      <c r="M130" s="655"/>
      <c r="N130" s="655"/>
      <c r="O130" s="655"/>
      <c r="P130" s="655"/>
      <c r="Q130" s="266"/>
      <c r="R130" s="266"/>
      <c r="S130" s="268"/>
      <c r="T130" s="269" t="e">
        <f>VLOOKUP(Q130,[71]Listas!$D$6:$E$10,2,0)</f>
        <v>#N/A</v>
      </c>
      <c r="U130" s="269" t="e">
        <f>HLOOKUP(R130,[71]Listas!$F$4:$J$5,2,0)</f>
        <v>#N/A</v>
      </c>
      <c r="V130" s="270" t="e">
        <f>INDEX([71]Listas!$F$6:$J$10,MATCH(Q130,[71]Listas!$D$6:$D$10,0),MATCH(R130,[71]Listas!$F$4:$J$4,0))</f>
        <v>#N/A</v>
      </c>
      <c r="W130" s="268"/>
      <c r="X130" s="1399"/>
      <c r="Y130" s="1408"/>
      <c r="Z130" s="1400"/>
      <c r="AA130" s="1063"/>
      <c r="AB130" s="267"/>
      <c r="AC130" s="259"/>
      <c r="AD130" s="655"/>
      <c r="AE130" s="267"/>
      <c r="AF130" s="268"/>
      <c r="AG130" s="269">
        <f t="shared" si="15"/>
        <v>0</v>
      </c>
      <c r="AH130" s="271" t="e">
        <f t="shared" si="16"/>
        <v>#N/A</v>
      </c>
      <c r="AI130" s="272" t="e">
        <f>IF(AH130&lt;=1,"Remota",VLOOKUP(AH130,[71]Listas!$C$6:$D$10,2,0))</f>
        <v>#N/A</v>
      </c>
      <c r="AJ130" s="271" t="e">
        <f t="shared" si="17"/>
        <v>#N/A</v>
      </c>
      <c r="AK130" s="272" t="e">
        <f>IF(AJ130&lt;=1,"Insignificante",HLOOKUP(AJ130,[71]Listas!$F$3:$J$4,2,0))</f>
        <v>#N/A</v>
      </c>
      <c r="AL130" s="273" t="e">
        <f t="shared" si="18"/>
        <v>#N/A</v>
      </c>
      <c r="AM130" s="270" t="e">
        <f>INDEX([71]Listas!$F$6:$J$10,MATCH(AI130,[71]Listas!$D$6:$D$10,0),MATCH(AK130,[71]Listas!$F$4:$J$4,0))</f>
        <v>#N/A</v>
      </c>
      <c r="AN130" s="259"/>
      <c r="AO130" s="259"/>
      <c r="AP130" s="659"/>
      <c r="AQ130" s="259"/>
      <c r="AR130" s="259" t="s">
        <v>2343</v>
      </c>
      <c r="AS130" s="655"/>
      <c r="AT130" s="259"/>
      <c r="AU130" s="259"/>
      <c r="AV130" s="261"/>
      <c r="AW130" s="261"/>
      <c r="AX130" s="655"/>
      <c r="AY130" s="262"/>
    </row>
    <row r="131" spans="1:51" s="260" customFormat="1" ht="103.5" hidden="1" customHeight="1">
      <c r="A131" s="655"/>
      <c r="B131" s="266"/>
      <c r="C131" s="1399"/>
      <c r="D131" s="1408"/>
      <c r="E131" s="1400"/>
      <c r="F131" s="267"/>
      <c r="G131" s="1399"/>
      <c r="H131" s="1408"/>
      <c r="I131" s="1400"/>
      <c r="J131" s="1380"/>
      <c r="K131" s="1380"/>
      <c r="L131" s="1380"/>
      <c r="M131" s="655"/>
      <c r="N131" s="655"/>
      <c r="O131" s="655"/>
      <c r="P131" s="655"/>
      <c r="Q131" s="266"/>
      <c r="R131" s="266"/>
      <c r="S131" s="268"/>
      <c r="T131" s="269" t="e">
        <f>VLOOKUP(Q131,[71]Listas!$D$6:$E$10,2,0)</f>
        <v>#N/A</v>
      </c>
      <c r="U131" s="269" t="e">
        <f>HLOOKUP(R131,[71]Listas!$F$4:$J$5,2,0)</f>
        <v>#N/A</v>
      </c>
      <c r="V131" s="270" t="e">
        <f>INDEX([71]Listas!$F$6:$J$10,MATCH(Q131,[71]Listas!$D$6:$D$10,0),MATCH(R131,[71]Listas!$F$4:$J$4,0))</f>
        <v>#N/A</v>
      </c>
      <c r="W131" s="268"/>
      <c r="X131" s="1399"/>
      <c r="Y131" s="1408"/>
      <c r="Z131" s="1400"/>
      <c r="AA131" s="1063"/>
      <c r="AB131" s="267"/>
      <c r="AC131" s="259"/>
      <c r="AD131" s="655"/>
      <c r="AE131" s="267"/>
      <c r="AF131" s="268"/>
      <c r="AG131" s="269">
        <f t="shared" si="15"/>
        <v>0</v>
      </c>
      <c r="AH131" s="271" t="e">
        <f t="shared" si="16"/>
        <v>#N/A</v>
      </c>
      <c r="AI131" s="272" t="e">
        <f>IF(AH131&lt;=1,"Remota",VLOOKUP(AH131,[71]Listas!$C$6:$D$10,2,0))</f>
        <v>#N/A</v>
      </c>
      <c r="AJ131" s="271" t="e">
        <f t="shared" si="17"/>
        <v>#N/A</v>
      </c>
      <c r="AK131" s="272" t="e">
        <f>IF(AJ131&lt;=1,"Insignificante",HLOOKUP(AJ131,[71]Listas!$F$3:$J$4,2,0))</f>
        <v>#N/A</v>
      </c>
      <c r="AL131" s="273" t="e">
        <f t="shared" si="18"/>
        <v>#N/A</v>
      </c>
      <c r="AM131" s="270" t="e">
        <f>INDEX([71]Listas!$F$6:$J$10,MATCH(AI131,[71]Listas!$D$6:$D$10,0),MATCH(AK131,[71]Listas!$F$4:$J$4,0))</f>
        <v>#N/A</v>
      </c>
      <c r="AN131" s="259"/>
      <c r="AO131" s="259"/>
      <c r="AP131" s="659"/>
      <c r="AQ131" s="259"/>
      <c r="AR131" s="259" t="s">
        <v>2343</v>
      </c>
      <c r="AS131" s="655"/>
      <c r="AT131" s="259"/>
      <c r="AU131" s="259"/>
      <c r="AV131" s="261"/>
      <c r="AW131" s="261"/>
      <c r="AX131" s="655"/>
      <c r="AY131" s="262"/>
    </row>
    <row r="132" spans="1:51" s="260" customFormat="1" ht="103.5" hidden="1" customHeight="1">
      <c r="A132" s="655"/>
      <c r="B132" s="266"/>
      <c r="C132" s="1399"/>
      <c r="D132" s="1408"/>
      <c r="E132" s="1400"/>
      <c r="F132" s="267"/>
      <c r="G132" s="1399"/>
      <c r="H132" s="1408"/>
      <c r="I132" s="1400"/>
      <c r="J132" s="1380"/>
      <c r="K132" s="1380"/>
      <c r="L132" s="1380"/>
      <c r="M132" s="655"/>
      <c r="N132" s="655"/>
      <c r="O132" s="655"/>
      <c r="P132" s="655"/>
      <c r="Q132" s="266"/>
      <c r="R132" s="266"/>
      <c r="S132" s="268"/>
      <c r="T132" s="269" t="e">
        <f>VLOOKUP(Q132,[71]Listas!$D$6:$E$10,2,0)</f>
        <v>#N/A</v>
      </c>
      <c r="U132" s="269" t="e">
        <f>HLOOKUP(R132,[71]Listas!$F$4:$J$5,2,0)</f>
        <v>#N/A</v>
      </c>
      <c r="V132" s="270" t="e">
        <f>INDEX([71]Listas!$F$6:$J$10,MATCH(Q132,[71]Listas!$D$6:$D$10,0),MATCH(R132,[71]Listas!$F$4:$J$4,0))</f>
        <v>#N/A</v>
      </c>
      <c r="W132" s="268"/>
      <c r="X132" s="1399"/>
      <c r="Y132" s="1408"/>
      <c r="Z132" s="1400"/>
      <c r="AA132" s="1063"/>
      <c r="AB132" s="267"/>
      <c r="AC132" s="259"/>
      <c r="AD132" s="655"/>
      <c r="AE132" s="267"/>
      <c r="AF132" s="268"/>
      <c r="AG132" s="269">
        <f t="shared" si="15"/>
        <v>0</v>
      </c>
      <c r="AH132" s="271" t="e">
        <f t="shared" si="16"/>
        <v>#N/A</v>
      </c>
      <c r="AI132" s="272" t="e">
        <f>IF(AH132&lt;=1,"Remota",VLOOKUP(AH132,[71]Listas!$C$6:$D$10,2,0))</f>
        <v>#N/A</v>
      </c>
      <c r="AJ132" s="271" t="e">
        <f t="shared" si="17"/>
        <v>#N/A</v>
      </c>
      <c r="AK132" s="272" t="e">
        <f>IF(AJ132&lt;=1,"Insignificante",HLOOKUP(AJ132,[71]Listas!$F$3:$J$4,2,0))</f>
        <v>#N/A</v>
      </c>
      <c r="AL132" s="273" t="e">
        <f t="shared" si="18"/>
        <v>#N/A</v>
      </c>
      <c r="AM132" s="270" t="e">
        <f>INDEX([71]Listas!$F$6:$J$10,MATCH(AI132,[71]Listas!$D$6:$D$10,0),MATCH(AK132,[71]Listas!$F$4:$J$4,0))</f>
        <v>#N/A</v>
      </c>
      <c r="AN132" s="259"/>
      <c r="AO132" s="259"/>
      <c r="AP132" s="659"/>
      <c r="AQ132" s="259"/>
      <c r="AR132" s="259" t="s">
        <v>2343</v>
      </c>
      <c r="AS132" s="655"/>
      <c r="AT132" s="259"/>
      <c r="AU132" s="259"/>
      <c r="AV132" s="261"/>
      <c r="AW132" s="261"/>
      <c r="AX132" s="655"/>
      <c r="AY132" s="262"/>
    </row>
    <row r="133" spans="1:51" s="260" customFormat="1" ht="103.5" hidden="1" customHeight="1">
      <c r="A133" s="655"/>
      <c r="B133" s="266"/>
      <c r="C133" s="1399"/>
      <c r="D133" s="1408"/>
      <c r="E133" s="1400"/>
      <c r="F133" s="267"/>
      <c r="G133" s="1399"/>
      <c r="H133" s="1408"/>
      <c r="I133" s="1400"/>
      <c r="J133" s="1380"/>
      <c r="K133" s="1380"/>
      <c r="L133" s="1380"/>
      <c r="M133" s="655"/>
      <c r="N133" s="655"/>
      <c r="O133" s="655"/>
      <c r="P133" s="655"/>
      <c r="Q133" s="266"/>
      <c r="R133" s="266"/>
      <c r="S133" s="268"/>
      <c r="T133" s="269" t="e">
        <f>VLOOKUP(Q133,[71]Listas!$D$6:$E$10,2,0)</f>
        <v>#N/A</v>
      </c>
      <c r="U133" s="269" t="e">
        <f>HLOOKUP(R133,[71]Listas!$F$4:$J$5,2,0)</f>
        <v>#N/A</v>
      </c>
      <c r="V133" s="270" t="e">
        <f>INDEX([71]Listas!$F$6:$J$10,MATCH(Q133,[71]Listas!$D$6:$D$10,0),MATCH(R133,[71]Listas!$F$4:$J$4,0))</f>
        <v>#N/A</v>
      </c>
      <c r="W133" s="268"/>
      <c r="X133" s="1399"/>
      <c r="Y133" s="1408"/>
      <c r="Z133" s="1400"/>
      <c r="AA133" s="1063"/>
      <c r="AB133" s="267"/>
      <c r="AC133" s="259"/>
      <c r="AD133" s="655"/>
      <c r="AE133" s="267"/>
      <c r="AF133" s="268"/>
      <c r="AG133" s="269">
        <f t="shared" si="15"/>
        <v>0</v>
      </c>
      <c r="AH133" s="271" t="e">
        <f t="shared" si="16"/>
        <v>#N/A</v>
      </c>
      <c r="AI133" s="272" t="e">
        <f>IF(AH133&lt;=1,"Remota",VLOOKUP(AH133,[71]Listas!$C$6:$D$10,2,0))</f>
        <v>#N/A</v>
      </c>
      <c r="AJ133" s="271" t="e">
        <f t="shared" si="17"/>
        <v>#N/A</v>
      </c>
      <c r="AK133" s="272" t="e">
        <f>IF(AJ133&lt;=1,"Insignificante",HLOOKUP(AJ133,[71]Listas!$F$3:$J$4,2,0))</f>
        <v>#N/A</v>
      </c>
      <c r="AL133" s="273" t="e">
        <f t="shared" si="18"/>
        <v>#N/A</v>
      </c>
      <c r="AM133" s="270" t="e">
        <f>INDEX([71]Listas!$F$6:$J$10,MATCH(AI133,[71]Listas!$D$6:$D$10,0),MATCH(AK133,[71]Listas!$F$4:$J$4,0))</f>
        <v>#N/A</v>
      </c>
      <c r="AN133" s="259"/>
      <c r="AO133" s="259"/>
      <c r="AP133" s="659"/>
      <c r="AQ133" s="259"/>
      <c r="AR133" s="259" t="s">
        <v>2343</v>
      </c>
      <c r="AS133" s="655"/>
      <c r="AT133" s="259"/>
      <c r="AU133" s="259"/>
      <c r="AV133" s="261"/>
      <c r="AW133" s="261"/>
      <c r="AX133" s="655"/>
      <c r="AY133" s="262"/>
    </row>
    <row r="134" spans="1:51" s="260" customFormat="1" ht="103.5" hidden="1" customHeight="1">
      <c r="A134" s="655"/>
      <c r="B134" s="266"/>
      <c r="C134" s="1399"/>
      <c r="D134" s="1408"/>
      <c r="E134" s="1400"/>
      <c r="F134" s="267"/>
      <c r="G134" s="1399"/>
      <c r="H134" s="1408"/>
      <c r="I134" s="1400"/>
      <c r="J134" s="1380"/>
      <c r="K134" s="1380"/>
      <c r="L134" s="1380"/>
      <c r="M134" s="655"/>
      <c r="N134" s="655"/>
      <c r="O134" s="655"/>
      <c r="P134" s="655"/>
      <c r="Q134" s="266"/>
      <c r="R134" s="266"/>
      <c r="S134" s="268"/>
      <c r="T134" s="269" t="e">
        <f>VLOOKUP(Q134,[71]Listas!$D$6:$E$10,2,0)</f>
        <v>#N/A</v>
      </c>
      <c r="U134" s="269" t="e">
        <f>HLOOKUP(R134,[71]Listas!$F$4:$J$5,2,0)</f>
        <v>#N/A</v>
      </c>
      <c r="V134" s="270" t="e">
        <f>INDEX([71]Listas!$F$6:$J$10,MATCH(Q134,[71]Listas!$D$6:$D$10,0),MATCH(R134,[71]Listas!$F$4:$J$4,0))</f>
        <v>#N/A</v>
      </c>
      <c r="W134" s="268"/>
      <c r="X134" s="1399"/>
      <c r="Y134" s="1408"/>
      <c r="Z134" s="1400"/>
      <c r="AA134" s="1063"/>
      <c r="AB134" s="267"/>
      <c r="AC134" s="259"/>
      <c r="AD134" s="655"/>
      <c r="AE134" s="267"/>
      <c r="AF134" s="268"/>
      <c r="AG134" s="269">
        <f t="shared" si="15"/>
        <v>0</v>
      </c>
      <c r="AH134" s="271" t="e">
        <f t="shared" si="16"/>
        <v>#N/A</v>
      </c>
      <c r="AI134" s="272" t="e">
        <f>IF(AH134&lt;=1,"Remota",VLOOKUP(AH134,[71]Listas!$C$6:$D$10,2,0))</f>
        <v>#N/A</v>
      </c>
      <c r="AJ134" s="271" t="e">
        <f t="shared" si="17"/>
        <v>#N/A</v>
      </c>
      <c r="AK134" s="272" t="e">
        <f>IF(AJ134&lt;=1,"Insignificante",HLOOKUP(AJ134,[71]Listas!$F$3:$J$4,2,0))</f>
        <v>#N/A</v>
      </c>
      <c r="AL134" s="273" t="e">
        <f t="shared" si="18"/>
        <v>#N/A</v>
      </c>
      <c r="AM134" s="270" t="e">
        <f>INDEX([71]Listas!$F$6:$J$10,MATCH(AI134,[71]Listas!$D$6:$D$10,0),MATCH(AK134,[71]Listas!$F$4:$J$4,0))</f>
        <v>#N/A</v>
      </c>
      <c r="AN134" s="259"/>
      <c r="AO134" s="259"/>
      <c r="AP134" s="659"/>
      <c r="AQ134" s="259"/>
      <c r="AR134" s="259" t="s">
        <v>2343</v>
      </c>
      <c r="AS134" s="655"/>
      <c r="AT134" s="259"/>
      <c r="AU134" s="259"/>
      <c r="AV134" s="261"/>
      <c r="AW134" s="261"/>
      <c r="AX134" s="655"/>
      <c r="AY134" s="262"/>
    </row>
    <row r="135" spans="1:51" s="260" customFormat="1" ht="103.5" hidden="1" customHeight="1">
      <c r="A135" s="655"/>
      <c r="B135" s="266"/>
      <c r="C135" s="1399"/>
      <c r="D135" s="1408"/>
      <c r="E135" s="1400"/>
      <c r="F135" s="267"/>
      <c r="G135" s="1399"/>
      <c r="H135" s="1408"/>
      <c r="I135" s="1400"/>
      <c r="J135" s="1380"/>
      <c r="K135" s="1380"/>
      <c r="L135" s="1380"/>
      <c r="M135" s="655"/>
      <c r="N135" s="655"/>
      <c r="O135" s="655"/>
      <c r="P135" s="655"/>
      <c r="Q135" s="266"/>
      <c r="R135" s="266"/>
      <c r="S135" s="268"/>
      <c r="T135" s="269" t="e">
        <f>VLOOKUP(Q135,[71]Listas!$D$6:$E$10,2,0)</f>
        <v>#N/A</v>
      </c>
      <c r="U135" s="269" t="e">
        <f>HLOOKUP(R135,[71]Listas!$F$4:$J$5,2,0)</f>
        <v>#N/A</v>
      </c>
      <c r="V135" s="270" t="e">
        <f>INDEX([71]Listas!$F$6:$J$10,MATCH(Q135,[71]Listas!$D$6:$D$10,0),MATCH(R135,[71]Listas!$F$4:$J$4,0))</f>
        <v>#N/A</v>
      </c>
      <c r="W135" s="268"/>
      <c r="X135" s="1399"/>
      <c r="Y135" s="1408"/>
      <c r="Z135" s="1400"/>
      <c r="AA135" s="1063"/>
      <c r="AB135" s="267"/>
      <c r="AC135" s="259"/>
      <c r="AD135" s="655"/>
      <c r="AE135" s="267"/>
      <c r="AF135" s="268"/>
      <c r="AG135" s="269">
        <f t="shared" si="15"/>
        <v>0</v>
      </c>
      <c r="AH135" s="271" t="e">
        <f t="shared" si="16"/>
        <v>#N/A</v>
      </c>
      <c r="AI135" s="272" t="e">
        <f>IF(AH135&lt;=1,"Remota",VLOOKUP(AH135,[71]Listas!$C$6:$D$10,2,0))</f>
        <v>#N/A</v>
      </c>
      <c r="AJ135" s="271" t="e">
        <f t="shared" si="17"/>
        <v>#N/A</v>
      </c>
      <c r="AK135" s="272" t="e">
        <f>IF(AJ135&lt;=1,"Insignificante",HLOOKUP(AJ135,[71]Listas!$F$3:$J$4,2,0))</f>
        <v>#N/A</v>
      </c>
      <c r="AL135" s="273" t="e">
        <f t="shared" si="18"/>
        <v>#N/A</v>
      </c>
      <c r="AM135" s="270" t="e">
        <f>INDEX([71]Listas!$F$6:$J$10,MATCH(AI135,[71]Listas!$D$6:$D$10,0),MATCH(AK135,[71]Listas!$F$4:$J$4,0))</f>
        <v>#N/A</v>
      </c>
      <c r="AN135" s="259"/>
      <c r="AO135" s="259"/>
      <c r="AP135" s="659"/>
      <c r="AQ135" s="259"/>
      <c r="AR135" s="259" t="s">
        <v>2343</v>
      </c>
      <c r="AS135" s="655"/>
      <c r="AT135" s="259"/>
      <c r="AU135" s="259"/>
      <c r="AV135" s="261"/>
      <c r="AW135" s="261"/>
      <c r="AX135" s="655"/>
      <c r="AY135" s="262"/>
    </row>
    <row r="136" spans="1:51" s="260" customFormat="1" ht="103.5" hidden="1" customHeight="1">
      <c r="A136" s="655"/>
      <c r="B136" s="266"/>
      <c r="C136" s="1399"/>
      <c r="D136" s="1408"/>
      <c r="E136" s="1400"/>
      <c r="F136" s="267"/>
      <c r="G136" s="1399"/>
      <c r="H136" s="1408"/>
      <c r="I136" s="1400"/>
      <c r="J136" s="1380"/>
      <c r="K136" s="1380"/>
      <c r="L136" s="1380"/>
      <c r="M136" s="655"/>
      <c r="N136" s="655"/>
      <c r="O136" s="655"/>
      <c r="P136" s="655"/>
      <c r="Q136" s="266"/>
      <c r="R136" s="266"/>
      <c r="S136" s="268"/>
      <c r="T136" s="269" t="e">
        <f>VLOOKUP(Q136,[71]Listas!$D$6:$E$10,2,0)</f>
        <v>#N/A</v>
      </c>
      <c r="U136" s="269" t="e">
        <f>HLOOKUP(R136,[71]Listas!$F$4:$J$5,2,0)</f>
        <v>#N/A</v>
      </c>
      <c r="V136" s="270" t="e">
        <f>INDEX([71]Listas!$F$6:$J$10,MATCH(Q136,[71]Listas!$D$6:$D$10,0),MATCH(R136,[71]Listas!$F$4:$J$4,0))</f>
        <v>#N/A</v>
      </c>
      <c r="W136" s="268"/>
      <c r="X136" s="1399"/>
      <c r="Y136" s="1408"/>
      <c r="Z136" s="1400"/>
      <c r="AA136" s="1063"/>
      <c r="AB136" s="267"/>
      <c r="AC136" s="259"/>
      <c r="AD136" s="655"/>
      <c r="AE136" s="267"/>
      <c r="AF136" s="268"/>
      <c r="AG136" s="269">
        <f t="shared" si="15"/>
        <v>0</v>
      </c>
      <c r="AH136" s="271" t="e">
        <f t="shared" si="16"/>
        <v>#N/A</v>
      </c>
      <c r="AI136" s="272" t="e">
        <f>IF(AH136&lt;=1,"Remota",VLOOKUP(AH136,[71]Listas!$C$6:$D$10,2,0))</f>
        <v>#N/A</v>
      </c>
      <c r="AJ136" s="271" t="e">
        <f t="shared" si="17"/>
        <v>#N/A</v>
      </c>
      <c r="AK136" s="272" t="e">
        <f>IF(AJ136&lt;=1,"Insignificante",HLOOKUP(AJ136,[71]Listas!$F$3:$J$4,2,0))</f>
        <v>#N/A</v>
      </c>
      <c r="AL136" s="273" t="e">
        <f t="shared" si="18"/>
        <v>#N/A</v>
      </c>
      <c r="AM136" s="270" t="e">
        <f>INDEX([71]Listas!$F$6:$J$10,MATCH(AI136,[71]Listas!$D$6:$D$10,0),MATCH(AK136,[71]Listas!$F$4:$J$4,0))</f>
        <v>#N/A</v>
      </c>
      <c r="AN136" s="259"/>
      <c r="AO136" s="259"/>
      <c r="AP136" s="659"/>
      <c r="AQ136" s="259"/>
      <c r="AR136" s="259" t="s">
        <v>2343</v>
      </c>
      <c r="AS136" s="655"/>
      <c r="AT136" s="259"/>
      <c r="AU136" s="259"/>
      <c r="AV136" s="261"/>
      <c r="AW136" s="261"/>
      <c r="AX136" s="655"/>
      <c r="AY136" s="262"/>
    </row>
    <row r="137" spans="1:51" s="260" customFormat="1" ht="103.5" hidden="1" customHeight="1">
      <c r="A137" s="655"/>
      <c r="B137" s="266"/>
      <c r="C137" s="1399"/>
      <c r="D137" s="1408"/>
      <c r="E137" s="1400"/>
      <c r="F137" s="267"/>
      <c r="G137" s="1399"/>
      <c r="H137" s="1408"/>
      <c r="I137" s="1400"/>
      <c r="J137" s="1380"/>
      <c r="K137" s="1380"/>
      <c r="L137" s="1380"/>
      <c r="M137" s="655"/>
      <c r="N137" s="655"/>
      <c r="O137" s="655"/>
      <c r="P137" s="655"/>
      <c r="Q137" s="266"/>
      <c r="R137" s="266"/>
      <c r="S137" s="268"/>
      <c r="T137" s="269" t="e">
        <f>VLOOKUP(Q137,[71]Listas!$D$6:$E$10,2,0)</f>
        <v>#N/A</v>
      </c>
      <c r="U137" s="269" t="e">
        <f>HLOOKUP(R137,[71]Listas!$F$4:$J$5,2,0)</f>
        <v>#N/A</v>
      </c>
      <c r="V137" s="270" t="e">
        <f>INDEX([71]Listas!$F$6:$J$10,MATCH(Q137,[71]Listas!$D$6:$D$10,0),MATCH(R137,[71]Listas!$F$4:$J$4,0))</f>
        <v>#N/A</v>
      </c>
      <c r="W137" s="268"/>
      <c r="X137" s="1399"/>
      <c r="Y137" s="1408"/>
      <c r="Z137" s="1400"/>
      <c r="AA137" s="1063"/>
      <c r="AB137" s="267"/>
      <c r="AC137" s="259"/>
      <c r="AD137" s="655"/>
      <c r="AE137" s="267"/>
      <c r="AF137" s="268"/>
      <c r="AG137" s="269">
        <f t="shared" si="15"/>
        <v>0</v>
      </c>
      <c r="AH137" s="271" t="e">
        <f t="shared" si="16"/>
        <v>#N/A</v>
      </c>
      <c r="AI137" s="272" t="e">
        <f>IF(AH137&lt;=1,"Remota",VLOOKUP(AH137,[71]Listas!$C$6:$D$10,2,0))</f>
        <v>#N/A</v>
      </c>
      <c r="AJ137" s="271" t="e">
        <f t="shared" si="17"/>
        <v>#N/A</v>
      </c>
      <c r="AK137" s="272" t="e">
        <f>IF(AJ137&lt;=1,"Insignificante",HLOOKUP(AJ137,[71]Listas!$F$3:$J$4,2,0))</f>
        <v>#N/A</v>
      </c>
      <c r="AL137" s="273" t="e">
        <f t="shared" si="18"/>
        <v>#N/A</v>
      </c>
      <c r="AM137" s="270" t="e">
        <f>INDEX([71]Listas!$F$6:$J$10,MATCH(AI137,[71]Listas!$D$6:$D$10,0),MATCH(AK137,[71]Listas!$F$4:$J$4,0))</f>
        <v>#N/A</v>
      </c>
      <c r="AN137" s="259"/>
      <c r="AO137" s="259"/>
      <c r="AP137" s="659"/>
      <c r="AQ137" s="259"/>
      <c r="AR137" s="259" t="s">
        <v>2343</v>
      </c>
      <c r="AS137" s="655"/>
      <c r="AT137" s="259"/>
      <c r="AU137" s="259"/>
      <c r="AV137" s="261"/>
      <c r="AW137" s="261"/>
      <c r="AX137" s="655"/>
      <c r="AY137" s="262"/>
    </row>
    <row r="138" spans="1:51" s="260" customFormat="1" ht="103.5" hidden="1" customHeight="1">
      <c r="A138" s="655"/>
      <c r="B138" s="266"/>
      <c r="C138" s="1399"/>
      <c r="D138" s="1408"/>
      <c r="E138" s="1400"/>
      <c r="F138" s="267"/>
      <c r="G138" s="1399"/>
      <c r="H138" s="1408"/>
      <c r="I138" s="1400"/>
      <c r="J138" s="1380"/>
      <c r="K138" s="1380"/>
      <c r="L138" s="1380"/>
      <c r="M138" s="655"/>
      <c r="N138" s="655"/>
      <c r="O138" s="655"/>
      <c r="P138" s="655"/>
      <c r="Q138" s="266"/>
      <c r="R138" s="266"/>
      <c r="S138" s="268"/>
      <c r="T138" s="269" t="e">
        <f>VLOOKUP(Q138,[71]Listas!$D$6:$E$10,2,0)</f>
        <v>#N/A</v>
      </c>
      <c r="U138" s="269" t="e">
        <f>HLOOKUP(R138,[71]Listas!$F$4:$J$5,2,0)</f>
        <v>#N/A</v>
      </c>
      <c r="V138" s="270" t="e">
        <f>INDEX([71]Listas!$F$6:$J$10,MATCH(Q138,[71]Listas!$D$6:$D$10,0),MATCH(R138,[71]Listas!$F$4:$J$4,0))</f>
        <v>#N/A</v>
      </c>
      <c r="W138" s="268"/>
      <c r="X138" s="1399"/>
      <c r="Y138" s="1408"/>
      <c r="Z138" s="1400"/>
      <c r="AA138" s="1063"/>
      <c r="AB138" s="267"/>
      <c r="AC138" s="259"/>
      <c r="AD138" s="655"/>
      <c r="AE138" s="267"/>
      <c r="AF138" s="268"/>
      <c r="AG138" s="269">
        <f t="shared" si="15"/>
        <v>0</v>
      </c>
      <c r="AH138" s="271" t="e">
        <f t="shared" si="16"/>
        <v>#N/A</v>
      </c>
      <c r="AI138" s="272" t="e">
        <f>IF(AH138&lt;=1,"Remota",VLOOKUP(AH138,[71]Listas!$C$6:$D$10,2,0))</f>
        <v>#N/A</v>
      </c>
      <c r="AJ138" s="271" t="e">
        <f t="shared" si="17"/>
        <v>#N/A</v>
      </c>
      <c r="AK138" s="272" t="e">
        <f>IF(AJ138&lt;=1,"Insignificante",HLOOKUP(AJ138,[71]Listas!$F$3:$J$4,2,0))</f>
        <v>#N/A</v>
      </c>
      <c r="AL138" s="273" t="e">
        <f t="shared" si="18"/>
        <v>#N/A</v>
      </c>
      <c r="AM138" s="270" t="e">
        <f>INDEX([71]Listas!$F$6:$J$10,MATCH(AI138,[71]Listas!$D$6:$D$10,0),MATCH(AK138,[71]Listas!$F$4:$J$4,0))</f>
        <v>#N/A</v>
      </c>
      <c r="AN138" s="259"/>
      <c r="AO138" s="259"/>
      <c r="AP138" s="659"/>
      <c r="AQ138" s="259"/>
      <c r="AR138" s="259" t="s">
        <v>2343</v>
      </c>
      <c r="AS138" s="655"/>
      <c r="AT138" s="259"/>
      <c r="AU138" s="259"/>
      <c r="AV138" s="261"/>
      <c r="AW138" s="261"/>
      <c r="AX138" s="655"/>
      <c r="AY138" s="262"/>
    </row>
    <row r="139" spans="1:51" s="260" customFormat="1" ht="103.5" hidden="1" customHeight="1">
      <c r="A139" s="655"/>
      <c r="B139" s="266"/>
      <c r="C139" s="1399"/>
      <c r="D139" s="1408"/>
      <c r="E139" s="1400"/>
      <c r="F139" s="267"/>
      <c r="G139" s="1399"/>
      <c r="H139" s="1408"/>
      <c r="I139" s="1400"/>
      <c r="J139" s="1380"/>
      <c r="K139" s="1380"/>
      <c r="L139" s="1380"/>
      <c r="M139" s="655"/>
      <c r="N139" s="655"/>
      <c r="O139" s="655"/>
      <c r="P139" s="655"/>
      <c r="Q139" s="266"/>
      <c r="R139" s="266"/>
      <c r="S139" s="268"/>
      <c r="T139" s="269" t="e">
        <f>VLOOKUP(Q139,[71]Listas!$D$6:$E$10,2,0)</f>
        <v>#N/A</v>
      </c>
      <c r="U139" s="269" t="e">
        <f>HLOOKUP(R139,[71]Listas!$F$4:$J$5,2,0)</f>
        <v>#N/A</v>
      </c>
      <c r="V139" s="270" t="e">
        <f>INDEX([71]Listas!$F$6:$J$10,MATCH(Q139,[71]Listas!$D$6:$D$10,0),MATCH(R139,[71]Listas!$F$4:$J$4,0))</f>
        <v>#N/A</v>
      </c>
      <c r="W139" s="268"/>
      <c r="X139" s="1399"/>
      <c r="Y139" s="1408"/>
      <c r="Z139" s="1400"/>
      <c r="AA139" s="1063"/>
      <c r="AB139" s="267"/>
      <c r="AC139" s="259"/>
      <c r="AD139" s="655"/>
      <c r="AE139" s="267"/>
      <c r="AF139" s="268"/>
      <c r="AG139" s="269">
        <f t="shared" si="15"/>
        <v>0</v>
      </c>
      <c r="AH139" s="271" t="e">
        <f t="shared" si="16"/>
        <v>#N/A</v>
      </c>
      <c r="AI139" s="272" t="e">
        <f>IF(AH139&lt;=1,"Remota",VLOOKUP(AH139,[71]Listas!$C$6:$D$10,2,0))</f>
        <v>#N/A</v>
      </c>
      <c r="AJ139" s="271" t="e">
        <f t="shared" si="17"/>
        <v>#N/A</v>
      </c>
      <c r="AK139" s="272" t="e">
        <f>IF(AJ139&lt;=1,"Insignificante",HLOOKUP(AJ139,[71]Listas!$F$3:$J$4,2,0))</f>
        <v>#N/A</v>
      </c>
      <c r="AL139" s="273" t="e">
        <f t="shared" si="18"/>
        <v>#N/A</v>
      </c>
      <c r="AM139" s="270" t="e">
        <f>INDEX([71]Listas!$F$6:$J$10,MATCH(AI139,[71]Listas!$D$6:$D$10,0),MATCH(AK139,[71]Listas!$F$4:$J$4,0))</f>
        <v>#N/A</v>
      </c>
      <c r="AN139" s="259"/>
      <c r="AO139" s="259"/>
      <c r="AP139" s="659"/>
      <c r="AQ139" s="259"/>
      <c r="AR139" s="259" t="s">
        <v>2343</v>
      </c>
      <c r="AS139" s="655"/>
      <c r="AT139" s="259"/>
      <c r="AU139" s="259"/>
      <c r="AV139" s="261"/>
      <c r="AW139" s="261"/>
      <c r="AX139" s="655"/>
      <c r="AY139" s="262"/>
    </row>
    <row r="140" spans="1:51" s="260" customFormat="1" ht="103.5" hidden="1" customHeight="1">
      <c r="A140" s="655"/>
      <c r="B140" s="266"/>
      <c r="C140" s="1399"/>
      <c r="D140" s="1408"/>
      <c r="E140" s="1400"/>
      <c r="F140" s="267"/>
      <c r="G140" s="1399"/>
      <c r="H140" s="1408"/>
      <c r="I140" s="1400"/>
      <c r="J140" s="1380"/>
      <c r="K140" s="1380"/>
      <c r="L140" s="1380"/>
      <c r="M140" s="655"/>
      <c r="N140" s="655"/>
      <c r="O140" s="655"/>
      <c r="P140" s="655"/>
      <c r="Q140" s="266"/>
      <c r="R140" s="266"/>
      <c r="S140" s="268"/>
      <c r="T140" s="269" t="e">
        <f>VLOOKUP(Q140,[71]Listas!$D$6:$E$10,2,0)</f>
        <v>#N/A</v>
      </c>
      <c r="U140" s="269" t="e">
        <f>HLOOKUP(R140,[71]Listas!$F$4:$J$5,2,0)</f>
        <v>#N/A</v>
      </c>
      <c r="V140" s="270" t="e">
        <f>INDEX([71]Listas!$F$6:$J$10,MATCH(Q140,[71]Listas!$D$6:$D$10,0),MATCH(R140,[71]Listas!$F$4:$J$4,0))</f>
        <v>#N/A</v>
      </c>
      <c r="W140" s="268"/>
      <c r="X140" s="1399"/>
      <c r="Y140" s="1408"/>
      <c r="Z140" s="1400"/>
      <c r="AA140" s="1063"/>
      <c r="AB140" s="267"/>
      <c r="AC140" s="259"/>
      <c r="AD140" s="655"/>
      <c r="AE140" s="267"/>
      <c r="AF140" s="268"/>
      <c r="AG140" s="269">
        <f t="shared" si="15"/>
        <v>0</v>
      </c>
      <c r="AH140" s="271" t="e">
        <f t="shared" si="16"/>
        <v>#N/A</v>
      </c>
      <c r="AI140" s="272" t="e">
        <f>IF(AH140&lt;=1,"Remota",VLOOKUP(AH140,[71]Listas!$C$6:$D$10,2,0))</f>
        <v>#N/A</v>
      </c>
      <c r="AJ140" s="271" t="e">
        <f t="shared" si="17"/>
        <v>#N/A</v>
      </c>
      <c r="AK140" s="272" t="e">
        <f>IF(AJ140&lt;=1,"Insignificante",HLOOKUP(AJ140,[71]Listas!$F$3:$J$4,2,0))</f>
        <v>#N/A</v>
      </c>
      <c r="AL140" s="273" t="e">
        <f t="shared" si="18"/>
        <v>#N/A</v>
      </c>
      <c r="AM140" s="270" t="e">
        <f>INDEX([71]Listas!$F$6:$J$10,MATCH(AI140,[71]Listas!$D$6:$D$10,0),MATCH(AK140,[71]Listas!$F$4:$J$4,0))</f>
        <v>#N/A</v>
      </c>
      <c r="AN140" s="259"/>
      <c r="AO140" s="259"/>
      <c r="AP140" s="659"/>
      <c r="AQ140" s="259"/>
      <c r="AR140" s="259" t="s">
        <v>2343</v>
      </c>
      <c r="AS140" s="655"/>
      <c r="AT140" s="259"/>
      <c r="AU140" s="259"/>
      <c r="AV140" s="261"/>
      <c r="AW140" s="261"/>
      <c r="AX140" s="655"/>
      <c r="AY140" s="262"/>
    </row>
    <row r="141" spans="1:51" s="260" customFormat="1" ht="103.5" hidden="1" customHeight="1">
      <c r="A141" s="655"/>
      <c r="B141" s="266"/>
      <c r="C141" s="1399"/>
      <c r="D141" s="1408"/>
      <c r="E141" s="1400"/>
      <c r="F141" s="267"/>
      <c r="G141" s="1399"/>
      <c r="H141" s="1408"/>
      <c r="I141" s="1400"/>
      <c r="J141" s="1380"/>
      <c r="K141" s="1380"/>
      <c r="L141" s="1380"/>
      <c r="M141" s="655"/>
      <c r="N141" s="655"/>
      <c r="O141" s="655"/>
      <c r="P141" s="655"/>
      <c r="Q141" s="266"/>
      <c r="R141" s="266"/>
      <c r="S141" s="268"/>
      <c r="T141" s="269" t="e">
        <f>VLOOKUP(Q141,[71]Listas!$D$6:$E$10,2,0)</f>
        <v>#N/A</v>
      </c>
      <c r="U141" s="269" t="e">
        <f>HLOOKUP(R141,[71]Listas!$F$4:$J$5,2,0)</f>
        <v>#N/A</v>
      </c>
      <c r="V141" s="270" t="e">
        <f>INDEX([71]Listas!$F$6:$J$10,MATCH(Q141,[71]Listas!$D$6:$D$10,0),MATCH(R141,[71]Listas!$F$4:$J$4,0))</f>
        <v>#N/A</v>
      </c>
      <c r="W141" s="268"/>
      <c r="X141" s="1399"/>
      <c r="Y141" s="1408"/>
      <c r="Z141" s="1400"/>
      <c r="AA141" s="1063"/>
      <c r="AB141" s="267"/>
      <c r="AC141" s="259"/>
      <c r="AD141" s="655"/>
      <c r="AE141" s="267"/>
      <c r="AF141" s="268"/>
      <c r="AG141" s="269">
        <f t="shared" si="15"/>
        <v>0</v>
      </c>
      <c r="AH141" s="271" t="e">
        <f t="shared" si="16"/>
        <v>#N/A</v>
      </c>
      <c r="AI141" s="272" t="e">
        <f>IF(AH141&lt;=1,"Remota",VLOOKUP(AH141,[71]Listas!$C$6:$D$10,2,0))</f>
        <v>#N/A</v>
      </c>
      <c r="AJ141" s="271" t="e">
        <f t="shared" si="17"/>
        <v>#N/A</v>
      </c>
      <c r="AK141" s="272" t="e">
        <f>IF(AJ141&lt;=1,"Insignificante",HLOOKUP(AJ141,[71]Listas!$F$3:$J$4,2,0))</f>
        <v>#N/A</v>
      </c>
      <c r="AL141" s="273" t="e">
        <f t="shared" si="18"/>
        <v>#N/A</v>
      </c>
      <c r="AM141" s="270" t="e">
        <f>INDEX([71]Listas!$F$6:$J$10,MATCH(AI141,[71]Listas!$D$6:$D$10,0),MATCH(AK141,[71]Listas!$F$4:$J$4,0))</f>
        <v>#N/A</v>
      </c>
      <c r="AN141" s="259"/>
      <c r="AO141" s="259"/>
      <c r="AP141" s="659"/>
      <c r="AQ141" s="259"/>
      <c r="AR141" s="259" t="s">
        <v>2343</v>
      </c>
      <c r="AS141" s="655"/>
      <c r="AT141" s="259"/>
      <c r="AU141" s="259"/>
      <c r="AV141" s="261"/>
      <c r="AW141" s="261"/>
      <c r="AX141" s="655"/>
      <c r="AY141" s="262"/>
    </row>
    <row r="142" spans="1:51" s="260" customFormat="1" ht="103.5" hidden="1" customHeight="1">
      <c r="A142" s="655"/>
      <c r="B142" s="266"/>
      <c r="C142" s="1399"/>
      <c r="D142" s="1408"/>
      <c r="E142" s="1400"/>
      <c r="F142" s="267"/>
      <c r="G142" s="1399"/>
      <c r="H142" s="1408"/>
      <c r="I142" s="1400"/>
      <c r="J142" s="1380"/>
      <c r="K142" s="1380"/>
      <c r="L142" s="1380"/>
      <c r="M142" s="655"/>
      <c r="N142" s="655"/>
      <c r="O142" s="655"/>
      <c r="P142" s="655"/>
      <c r="Q142" s="266"/>
      <c r="R142" s="266"/>
      <c r="S142" s="268"/>
      <c r="T142" s="269" t="e">
        <f>VLOOKUP(Q142,[71]Listas!$D$6:$E$10,2,0)</f>
        <v>#N/A</v>
      </c>
      <c r="U142" s="269" t="e">
        <f>HLOOKUP(R142,[71]Listas!$F$4:$J$5,2,0)</f>
        <v>#N/A</v>
      </c>
      <c r="V142" s="270" t="e">
        <f>INDEX([71]Listas!$F$6:$J$10,MATCH(Q142,[71]Listas!$D$6:$D$10,0),MATCH(R142,[71]Listas!$F$4:$J$4,0))</f>
        <v>#N/A</v>
      </c>
      <c r="W142" s="268"/>
      <c r="X142" s="1399"/>
      <c r="Y142" s="1408"/>
      <c r="Z142" s="1400"/>
      <c r="AA142" s="1063"/>
      <c r="AB142" s="267"/>
      <c r="AC142" s="259"/>
      <c r="AD142" s="655"/>
      <c r="AE142" s="267"/>
      <c r="AF142" s="268"/>
      <c r="AG142" s="269">
        <f t="shared" si="15"/>
        <v>0</v>
      </c>
      <c r="AH142" s="271" t="e">
        <f t="shared" si="16"/>
        <v>#N/A</v>
      </c>
      <c r="AI142" s="272" t="e">
        <f>IF(AH142&lt;=1,"Remota",VLOOKUP(AH142,[71]Listas!$C$6:$D$10,2,0))</f>
        <v>#N/A</v>
      </c>
      <c r="AJ142" s="271" t="e">
        <f t="shared" si="17"/>
        <v>#N/A</v>
      </c>
      <c r="AK142" s="272" t="e">
        <f>IF(AJ142&lt;=1,"Insignificante",HLOOKUP(AJ142,[71]Listas!$F$3:$J$4,2,0))</f>
        <v>#N/A</v>
      </c>
      <c r="AL142" s="273" t="e">
        <f t="shared" si="18"/>
        <v>#N/A</v>
      </c>
      <c r="AM142" s="270" t="e">
        <f>INDEX([71]Listas!$F$6:$J$10,MATCH(AI142,[71]Listas!$D$6:$D$10,0),MATCH(AK142,[71]Listas!$F$4:$J$4,0))</f>
        <v>#N/A</v>
      </c>
      <c r="AN142" s="259"/>
      <c r="AO142" s="259"/>
      <c r="AP142" s="659"/>
      <c r="AQ142" s="259"/>
      <c r="AR142" s="259" t="s">
        <v>2343</v>
      </c>
      <c r="AS142" s="655"/>
      <c r="AT142" s="259"/>
      <c r="AU142" s="259"/>
      <c r="AV142" s="261"/>
      <c r="AW142" s="261"/>
      <c r="AX142" s="655"/>
      <c r="AY142" s="262"/>
    </row>
    <row r="143" spans="1:51" s="260" customFormat="1" ht="103.5" hidden="1" customHeight="1">
      <c r="A143" s="655"/>
      <c r="B143" s="266"/>
      <c r="C143" s="1399"/>
      <c r="D143" s="1408"/>
      <c r="E143" s="1400"/>
      <c r="F143" s="267"/>
      <c r="G143" s="1399"/>
      <c r="H143" s="1408"/>
      <c r="I143" s="1400"/>
      <c r="J143" s="1380"/>
      <c r="K143" s="1380"/>
      <c r="L143" s="1380"/>
      <c r="M143" s="655"/>
      <c r="N143" s="655"/>
      <c r="O143" s="655"/>
      <c r="P143" s="655"/>
      <c r="Q143" s="266"/>
      <c r="R143" s="266"/>
      <c r="S143" s="268"/>
      <c r="T143" s="269" t="e">
        <f>VLOOKUP(Q143,[71]Listas!$D$6:$E$10,2,0)</f>
        <v>#N/A</v>
      </c>
      <c r="U143" s="269" t="e">
        <f>HLOOKUP(R143,[71]Listas!$F$4:$J$5,2,0)</f>
        <v>#N/A</v>
      </c>
      <c r="V143" s="270" t="e">
        <f>INDEX([71]Listas!$F$6:$J$10,MATCH(Q143,[71]Listas!$D$6:$D$10,0),MATCH(R143,[71]Listas!$F$4:$J$4,0))</f>
        <v>#N/A</v>
      </c>
      <c r="W143" s="268"/>
      <c r="X143" s="1399"/>
      <c r="Y143" s="1408"/>
      <c r="Z143" s="1400"/>
      <c r="AA143" s="1063"/>
      <c r="AB143" s="267"/>
      <c r="AC143" s="259"/>
      <c r="AD143" s="655"/>
      <c r="AE143" s="267"/>
      <c r="AF143" s="268"/>
      <c r="AG143" s="269">
        <f t="shared" si="15"/>
        <v>0</v>
      </c>
      <c r="AH143" s="271" t="e">
        <f t="shared" si="16"/>
        <v>#N/A</v>
      </c>
      <c r="AI143" s="272" t="e">
        <f>IF(AH143&lt;=1,"Remota",VLOOKUP(AH143,[71]Listas!$C$6:$D$10,2,0))</f>
        <v>#N/A</v>
      </c>
      <c r="AJ143" s="271" t="e">
        <f t="shared" si="17"/>
        <v>#N/A</v>
      </c>
      <c r="AK143" s="272" t="e">
        <f>IF(AJ143&lt;=1,"Insignificante",HLOOKUP(AJ143,[71]Listas!$F$3:$J$4,2,0))</f>
        <v>#N/A</v>
      </c>
      <c r="AL143" s="273" t="e">
        <f t="shared" si="18"/>
        <v>#N/A</v>
      </c>
      <c r="AM143" s="270" t="e">
        <f>INDEX([71]Listas!$F$6:$J$10,MATCH(AI143,[71]Listas!$D$6:$D$10,0),MATCH(AK143,[71]Listas!$F$4:$J$4,0))</f>
        <v>#N/A</v>
      </c>
      <c r="AN143" s="259"/>
      <c r="AO143" s="259"/>
      <c r="AP143" s="659"/>
      <c r="AQ143" s="259"/>
      <c r="AR143" s="259" t="s">
        <v>2343</v>
      </c>
      <c r="AS143" s="655"/>
      <c r="AT143" s="259"/>
      <c r="AU143" s="259"/>
      <c r="AV143" s="261"/>
      <c r="AW143" s="261"/>
      <c r="AX143" s="655"/>
      <c r="AY143" s="262"/>
    </row>
    <row r="144" spans="1:51" s="260" customFormat="1" ht="103.5" hidden="1" customHeight="1">
      <c r="A144" s="655"/>
      <c r="B144" s="266"/>
      <c r="C144" s="1399"/>
      <c r="D144" s="1408"/>
      <c r="E144" s="1400"/>
      <c r="F144" s="267"/>
      <c r="G144" s="1399"/>
      <c r="H144" s="1408"/>
      <c r="I144" s="1400"/>
      <c r="J144" s="1380"/>
      <c r="K144" s="1380"/>
      <c r="L144" s="1380"/>
      <c r="M144" s="655"/>
      <c r="N144" s="655"/>
      <c r="O144" s="655"/>
      <c r="P144" s="655"/>
      <c r="Q144" s="266"/>
      <c r="R144" s="266"/>
      <c r="S144" s="268"/>
      <c r="T144" s="269" t="e">
        <f>VLOOKUP(Q144,[71]Listas!$D$6:$E$10,2,0)</f>
        <v>#N/A</v>
      </c>
      <c r="U144" s="269" t="e">
        <f>HLOOKUP(R144,[71]Listas!$F$4:$J$5,2,0)</f>
        <v>#N/A</v>
      </c>
      <c r="V144" s="270" t="e">
        <f>INDEX([71]Listas!$F$6:$J$10,MATCH(Q144,[71]Listas!$D$6:$D$10,0),MATCH(R144,[71]Listas!$F$4:$J$4,0))</f>
        <v>#N/A</v>
      </c>
      <c r="W144" s="268"/>
      <c r="X144" s="1399"/>
      <c r="Y144" s="1408"/>
      <c r="Z144" s="1400"/>
      <c r="AA144" s="1063"/>
      <c r="AB144" s="267"/>
      <c r="AC144" s="259"/>
      <c r="AD144" s="655"/>
      <c r="AE144" s="267"/>
      <c r="AF144" s="268"/>
      <c r="AG144" s="269">
        <f t="shared" si="15"/>
        <v>0</v>
      </c>
      <c r="AH144" s="271" t="e">
        <f t="shared" si="16"/>
        <v>#N/A</v>
      </c>
      <c r="AI144" s="272" t="e">
        <f>IF(AH144&lt;=1,"Remota",VLOOKUP(AH144,[71]Listas!$C$6:$D$10,2,0))</f>
        <v>#N/A</v>
      </c>
      <c r="AJ144" s="271" t="e">
        <f t="shared" si="17"/>
        <v>#N/A</v>
      </c>
      <c r="AK144" s="272" t="e">
        <f>IF(AJ144&lt;=1,"Insignificante",HLOOKUP(AJ144,[71]Listas!$F$3:$J$4,2,0))</f>
        <v>#N/A</v>
      </c>
      <c r="AL144" s="273" t="e">
        <f t="shared" si="18"/>
        <v>#N/A</v>
      </c>
      <c r="AM144" s="270" t="e">
        <f>INDEX([71]Listas!$F$6:$J$10,MATCH(AI144,[71]Listas!$D$6:$D$10,0),MATCH(AK144,[71]Listas!$F$4:$J$4,0))</f>
        <v>#N/A</v>
      </c>
      <c r="AN144" s="259"/>
      <c r="AO144" s="259"/>
      <c r="AP144" s="659"/>
      <c r="AQ144" s="259"/>
      <c r="AR144" s="259" t="s">
        <v>2343</v>
      </c>
      <c r="AS144" s="655"/>
      <c r="AT144" s="259"/>
      <c r="AU144" s="259"/>
      <c r="AV144" s="261"/>
      <c r="AW144" s="261"/>
      <c r="AX144" s="655"/>
      <c r="AY144" s="262"/>
    </row>
    <row r="145" spans="1:51" s="260" customFormat="1" ht="103.5" hidden="1" customHeight="1">
      <c r="A145" s="655"/>
      <c r="B145" s="266"/>
      <c r="C145" s="1399"/>
      <c r="D145" s="1408"/>
      <c r="E145" s="1400"/>
      <c r="F145" s="267"/>
      <c r="G145" s="1399"/>
      <c r="H145" s="1408"/>
      <c r="I145" s="1400"/>
      <c r="J145" s="1380"/>
      <c r="K145" s="1380"/>
      <c r="L145" s="1380"/>
      <c r="M145" s="655"/>
      <c r="N145" s="655"/>
      <c r="O145" s="655"/>
      <c r="P145" s="655"/>
      <c r="Q145" s="266"/>
      <c r="R145" s="266"/>
      <c r="S145" s="268"/>
      <c r="T145" s="269" t="e">
        <f>VLOOKUP(Q145,[71]Listas!$D$6:$E$10,2,0)</f>
        <v>#N/A</v>
      </c>
      <c r="U145" s="269" t="e">
        <f>HLOOKUP(R145,[71]Listas!$F$4:$J$5,2,0)</f>
        <v>#N/A</v>
      </c>
      <c r="V145" s="270" t="e">
        <f>INDEX([71]Listas!$F$6:$J$10,MATCH(Q145,[71]Listas!$D$6:$D$10,0),MATCH(R145,[71]Listas!$F$4:$J$4,0))</f>
        <v>#N/A</v>
      </c>
      <c r="W145" s="268"/>
      <c r="X145" s="1399"/>
      <c r="Y145" s="1408"/>
      <c r="Z145" s="1400"/>
      <c r="AA145" s="1063"/>
      <c r="AB145" s="267"/>
      <c r="AC145" s="259"/>
      <c r="AD145" s="655"/>
      <c r="AE145" s="267"/>
      <c r="AF145" s="268"/>
      <c r="AG145" s="269">
        <f t="shared" si="15"/>
        <v>0</v>
      </c>
      <c r="AH145" s="271" t="e">
        <f t="shared" si="16"/>
        <v>#N/A</v>
      </c>
      <c r="AI145" s="272" t="e">
        <f>IF(AH145&lt;=1,"Remota",VLOOKUP(AH145,[71]Listas!$C$6:$D$10,2,0))</f>
        <v>#N/A</v>
      </c>
      <c r="AJ145" s="271" t="e">
        <f t="shared" si="17"/>
        <v>#N/A</v>
      </c>
      <c r="AK145" s="272" t="e">
        <f>IF(AJ145&lt;=1,"Insignificante",HLOOKUP(AJ145,[71]Listas!$F$3:$J$4,2,0))</f>
        <v>#N/A</v>
      </c>
      <c r="AL145" s="273" t="e">
        <f t="shared" si="18"/>
        <v>#N/A</v>
      </c>
      <c r="AM145" s="270" t="e">
        <f>INDEX([71]Listas!$F$6:$J$10,MATCH(AI145,[71]Listas!$D$6:$D$10,0),MATCH(AK145,[71]Listas!$F$4:$J$4,0))</f>
        <v>#N/A</v>
      </c>
      <c r="AN145" s="259"/>
      <c r="AO145" s="259"/>
      <c r="AP145" s="659"/>
      <c r="AQ145" s="259"/>
      <c r="AR145" s="259" t="s">
        <v>2343</v>
      </c>
      <c r="AS145" s="655"/>
      <c r="AT145" s="259"/>
      <c r="AU145" s="259"/>
      <c r="AV145" s="261"/>
      <c r="AW145" s="261"/>
      <c r="AX145" s="655"/>
      <c r="AY145" s="262"/>
    </row>
    <row r="146" spans="1:51" s="260" customFormat="1" ht="103.5" hidden="1" customHeight="1">
      <c r="A146" s="655"/>
      <c r="B146" s="266"/>
      <c r="C146" s="1399"/>
      <c r="D146" s="1408"/>
      <c r="E146" s="1400"/>
      <c r="F146" s="267"/>
      <c r="G146" s="1399"/>
      <c r="H146" s="1408"/>
      <c r="I146" s="1400"/>
      <c r="J146" s="1380"/>
      <c r="K146" s="1380"/>
      <c r="L146" s="1380"/>
      <c r="M146" s="655"/>
      <c r="N146" s="655"/>
      <c r="O146" s="655"/>
      <c r="P146" s="655"/>
      <c r="Q146" s="266"/>
      <c r="R146" s="266"/>
      <c r="S146" s="268"/>
      <c r="T146" s="269" t="e">
        <f>VLOOKUP(Q146,[71]Listas!$D$6:$E$10,2,0)</f>
        <v>#N/A</v>
      </c>
      <c r="U146" s="269" t="e">
        <f>HLOOKUP(R146,[71]Listas!$F$4:$J$5,2,0)</f>
        <v>#N/A</v>
      </c>
      <c r="V146" s="270" t="e">
        <f>INDEX([71]Listas!$F$6:$J$10,MATCH(Q146,[71]Listas!$D$6:$D$10,0),MATCH(R146,[71]Listas!$F$4:$J$4,0))</f>
        <v>#N/A</v>
      </c>
      <c r="W146" s="268"/>
      <c r="X146" s="1399"/>
      <c r="Y146" s="1408"/>
      <c r="Z146" s="1400"/>
      <c r="AA146" s="1063"/>
      <c r="AB146" s="267"/>
      <c r="AC146" s="259"/>
      <c r="AD146" s="655"/>
      <c r="AE146" s="267"/>
      <c r="AF146" s="268"/>
      <c r="AG146" s="269">
        <f t="shared" si="15"/>
        <v>0</v>
      </c>
      <c r="AH146" s="271" t="e">
        <f t="shared" si="16"/>
        <v>#N/A</v>
      </c>
      <c r="AI146" s="272" t="e">
        <f>IF(AH146&lt;=1,"Remota",VLOOKUP(AH146,[71]Listas!$C$6:$D$10,2,0))</f>
        <v>#N/A</v>
      </c>
      <c r="AJ146" s="271" t="e">
        <f t="shared" si="17"/>
        <v>#N/A</v>
      </c>
      <c r="AK146" s="272" t="e">
        <f>IF(AJ146&lt;=1,"Insignificante",HLOOKUP(AJ146,[71]Listas!$F$3:$J$4,2,0))</f>
        <v>#N/A</v>
      </c>
      <c r="AL146" s="273" t="e">
        <f t="shared" si="18"/>
        <v>#N/A</v>
      </c>
      <c r="AM146" s="270" t="e">
        <f>INDEX([71]Listas!$F$6:$J$10,MATCH(AI146,[71]Listas!$D$6:$D$10,0),MATCH(AK146,[71]Listas!$F$4:$J$4,0))</f>
        <v>#N/A</v>
      </c>
      <c r="AN146" s="259"/>
      <c r="AO146" s="259"/>
      <c r="AP146" s="659"/>
      <c r="AQ146" s="259"/>
      <c r="AR146" s="259" t="s">
        <v>2343</v>
      </c>
      <c r="AS146" s="655"/>
      <c r="AT146" s="259"/>
      <c r="AU146" s="259"/>
      <c r="AV146" s="261"/>
      <c r="AW146" s="261"/>
      <c r="AX146" s="655"/>
      <c r="AY146" s="262"/>
    </row>
    <row r="147" spans="1:51" s="260" customFormat="1" ht="103.5" hidden="1" customHeight="1">
      <c r="A147" s="655"/>
      <c r="B147" s="266"/>
      <c r="C147" s="1399"/>
      <c r="D147" s="1408"/>
      <c r="E147" s="1400"/>
      <c r="F147" s="267"/>
      <c r="G147" s="1399"/>
      <c r="H147" s="1408"/>
      <c r="I147" s="1400"/>
      <c r="J147" s="1380"/>
      <c r="K147" s="1380"/>
      <c r="L147" s="1380"/>
      <c r="M147" s="655"/>
      <c r="N147" s="655"/>
      <c r="O147" s="655"/>
      <c r="P147" s="655"/>
      <c r="Q147" s="266"/>
      <c r="R147" s="266"/>
      <c r="S147" s="268"/>
      <c r="T147" s="269" t="e">
        <f>VLOOKUP(Q147,[71]Listas!$D$6:$E$10,2,0)</f>
        <v>#N/A</v>
      </c>
      <c r="U147" s="269" t="e">
        <f>HLOOKUP(R147,[71]Listas!$F$4:$J$5,2,0)</f>
        <v>#N/A</v>
      </c>
      <c r="V147" s="270" t="e">
        <f>INDEX([71]Listas!$F$6:$J$10,MATCH(Q147,[71]Listas!$D$6:$D$10,0),MATCH(R147,[71]Listas!$F$4:$J$4,0))</f>
        <v>#N/A</v>
      </c>
      <c r="W147" s="268"/>
      <c r="X147" s="1399"/>
      <c r="Y147" s="1408"/>
      <c r="Z147" s="1400"/>
      <c r="AA147" s="1063"/>
      <c r="AB147" s="267"/>
      <c r="AC147" s="259"/>
      <c r="AD147" s="655"/>
      <c r="AE147" s="267"/>
      <c r="AF147" s="268"/>
      <c r="AG147" s="269">
        <f t="shared" si="15"/>
        <v>0</v>
      </c>
      <c r="AH147" s="271" t="e">
        <f t="shared" si="16"/>
        <v>#N/A</v>
      </c>
      <c r="AI147" s="272" t="e">
        <f>IF(AH147&lt;=1,"Remota",VLOOKUP(AH147,[71]Listas!$C$6:$D$10,2,0))</f>
        <v>#N/A</v>
      </c>
      <c r="AJ147" s="271" t="e">
        <f t="shared" si="17"/>
        <v>#N/A</v>
      </c>
      <c r="AK147" s="272" t="e">
        <f>IF(AJ147&lt;=1,"Insignificante",HLOOKUP(AJ147,[71]Listas!$F$3:$J$4,2,0))</f>
        <v>#N/A</v>
      </c>
      <c r="AL147" s="273" t="e">
        <f t="shared" si="18"/>
        <v>#N/A</v>
      </c>
      <c r="AM147" s="270" t="e">
        <f>INDEX([71]Listas!$F$6:$J$10,MATCH(AI147,[71]Listas!$D$6:$D$10,0),MATCH(AK147,[71]Listas!$F$4:$J$4,0))</f>
        <v>#N/A</v>
      </c>
      <c r="AN147" s="259"/>
      <c r="AO147" s="259"/>
      <c r="AP147" s="659"/>
      <c r="AQ147" s="259"/>
      <c r="AR147" s="259" t="s">
        <v>2343</v>
      </c>
      <c r="AS147" s="655"/>
      <c r="AT147" s="259"/>
      <c r="AU147" s="259"/>
      <c r="AV147" s="261"/>
      <c r="AW147" s="261"/>
      <c r="AX147" s="655"/>
      <c r="AY147" s="262"/>
    </row>
    <row r="148" spans="1:51" s="260" customFormat="1" ht="103.5" hidden="1" customHeight="1">
      <c r="A148" s="655"/>
      <c r="B148" s="266"/>
      <c r="C148" s="1399"/>
      <c r="D148" s="1408"/>
      <c r="E148" s="1400"/>
      <c r="F148" s="267"/>
      <c r="G148" s="1399"/>
      <c r="H148" s="1408"/>
      <c r="I148" s="1400"/>
      <c r="J148" s="1380"/>
      <c r="K148" s="1380"/>
      <c r="L148" s="1380"/>
      <c r="M148" s="655"/>
      <c r="N148" s="655"/>
      <c r="O148" s="655"/>
      <c r="P148" s="655"/>
      <c r="Q148" s="266"/>
      <c r="R148" s="266"/>
      <c r="S148" s="268"/>
      <c r="T148" s="269" t="e">
        <f>VLOOKUP(Q148,[71]Listas!$D$6:$E$10,2,0)</f>
        <v>#N/A</v>
      </c>
      <c r="U148" s="269" t="e">
        <f>HLOOKUP(R148,[71]Listas!$F$4:$J$5,2,0)</f>
        <v>#N/A</v>
      </c>
      <c r="V148" s="270" t="e">
        <f>INDEX([71]Listas!$F$6:$J$10,MATCH(Q148,[71]Listas!$D$6:$D$10,0),MATCH(R148,[71]Listas!$F$4:$J$4,0))</f>
        <v>#N/A</v>
      </c>
      <c r="W148" s="268"/>
      <c r="X148" s="1399"/>
      <c r="Y148" s="1408"/>
      <c r="Z148" s="1400"/>
      <c r="AA148" s="1063"/>
      <c r="AB148" s="267"/>
      <c r="AC148" s="259"/>
      <c r="AD148" s="655"/>
      <c r="AE148" s="267"/>
      <c r="AF148" s="268"/>
      <c r="AG148" s="269">
        <f t="shared" si="15"/>
        <v>0</v>
      </c>
      <c r="AH148" s="271" t="e">
        <f t="shared" si="16"/>
        <v>#N/A</v>
      </c>
      <c r="AI148" s="272" t="e">
        <f>IF(AH148&lt;=1,"Remota",VLOOKUP(AH148,[71]Listas!$C$6:$D$10,2,0))</f>
        <v>#N/A</v>
      </c>
      <c r="AJ148" s="271" t="e">
        <f t="shared" si="17"/>
        <v>#N/A</v>
      </c>
      <c r="AK148" s="272" t="e">
        <f>IF(AJ148&lt;=1,"Insignificante",HLOOKUP(AJ148,[71]Listas!$F$3:$J$4,2,0))</f>
        <v>#N/A</v>
      </c>
      <c r="AL148" s="273" t="e">
        <f t="shared" si="18"/>
        <v>#N/A</v>
      </c>
      <c r="AM148" s="270" t="e">
        <f>INDEX([71]Listas!$F$6:$J$10,MATCH(AI148,[71]Listas!$D$6:$D$10,0),MATCH(AK148,[71]Listas!$F$4:$J$4,0))</f>
        <v>#N/A</v>
      </c>
      <c r="AN148" s="259"/>
      <c r="AO148" s="259"/>
      <c r="AP148" s="659"/>
      <c r="AQ148" s="259"/>
      <c r="AR148" s="259" t="s">
        <v>2343</v>
      </c>
      <c r="AS148" s="655"/>
      <c r="AT148" s="259"/>
      <c r="AU148" s="259"/>
      <c r="AV148" s="261"/>
      <c r="AW148" s="261"/>
      <c r="AX148" s="655"/>
      <c r="AY148" s="262"/>
    </row>
    <row r="149" spans="1:51" s="260" customFormat="1" ht="103.5" hidden="1" customHeight="1">
      <c r="A149" s="655"/>
      <c r="B149" s="266"/>
      <c r="C149" s="1399"/>
      <c r="D149" s="1408"/>
      <c r="E149" s="1400"/>
      <c r="F149" s="267"/>
      <c r="G149" s="1399"/>
      <c r="H149" s="1408"/>
      <c r="I149" s="1400"/>
      <c r="J149" s="1380"/>
      <c r="K149" s="1380"/>
      <c r="L149" s="1380"/>
      <c r="M149" s="655"/>
      <c r="N149" s="655"/>
      <c r="O149" s="655"/>
      <c r="P149" s="655"/>
      <c r="Q149" s="266"/>
      <c r="R149" s="266"/>
      <c r="S149" s="268"/>
      <c r="T149" s="269" t="e">
        <f>VLOOKUP(Q149,[71]Listas!$D$6:$E$10,2,0)</f>
        <v>#N/A</v>
      </c>
      <c r="U149" s="269" t="e">
        <f>HLOOKUP(R149,[71]Listas!$F$4:$J$5,2,0)</f>
        <v>#N/A</v>
      </c>
      <c r="V149" s="270" t="e">
        <f>INDEX([71]Listas!$F$6:$J$10,MATCH(Q149,[71]Listas!$D$6:$D$10,0),MATCH(R149,[71]Listas!$F$4:$J$4,0))</f>
        <v>#N/A</v>
      </c>
      <c r="W149" s="268"/>
      <c r="X149" s="1399"/>
      <c r="Y149" s="1408"/>
      <c r="Z149" s="1400"/>
      <c r="AA149" s="1063"/>
      <c r="AB149" s="267"/>
      <c r="AC149" s="259"/>
      <c r="AD149" s="655"/>
      <c r="AE149" s="267"/>
      <c r="AF149" s="268"/>
      <c r="AG149" s="269">
        <f t="shared" si="15"/>
        <v>0</v>
      </c>
      <c r="AH149" s="271" t="e">
        <f t="shared" si="16"/>
        <v>#N/A</v>
      </c>
      <c r="AI149" s="272" t="e">
        <f>IF(AH149&lt;=1,"Remota",VLOOKUP(AH149,[71]Listas!$C$6:$D$10,2,0))</f>
        <v>#N/A</v>
      </c>
      <c r="AJ149" s="271" t="e">
        <f t="shared" si="17"/>
        <v>#N/A</v>
      </c>
      <c r="AK149" s="272" t="e">
        <f>IF(AJ149&lt;=1,"Insignificante",HLOOKUP(AJ149,[71]Listas!$F$3:$J$4,2,0))</f>
        <v>#N/A</v>
      </c>
      <c r="AL149" s="273" t="e">
        <f t="shared" si="18"/>
        <v>#N/A</v>
      </c>
      <c r="AM149" s="270" t="e">
        <f>INDEX([71]Listas!$F$6:$J$10,MATCH(AI149,[71]Listas!$D$6:$D$10,0),MATCH(AK149,[71]Listas!$F$4:$J$4,0))</f>
        <v>#N/A</v>
      </c>
      <c r="AN149" s="259"/>
      <c r="AO149" s="259"/>
      <c r="AP149" s="659"/>
      <c r="AQ149" s="259"/>
      <c r="AR149" s="259" t="s">
        <v>2343</v>
      </c>
      <c r="AS149" s="655"/>
      <c r="AT149" s="259"/>
      <c r="AU149" s="259"/>
      <c r="AV149" s="261"/>
      <c r="AW149" s="261"/>
      <c r="AX149" s="655"/>
      <c r="AY149" s="262"/>
    </row>
    <row r="150" spans="1:51" s="260" customFormat="1" ht="103.5" hidden="1" customHeight="1">
      <c r="A150" s="655"/>
      <c r="B150" s="266"/>
      <c r="C150" s="1399"/>
      <c r="D150" s="1408"/>
      <c r="E150" s="1400"/>
      <c r="F150" s="267"/>
      <c r="G150" s="1399"/>
      <c r="H150" s="1408"/>
      <c r="I150" s="1400"/>
      <c r="J150" s="1380"/>
      <c r="K150" s="1380"/>
      <c r="L150" s="1380"/>
      <c r="M150" s="655"/>
      <c r="N150" s="655"/>
      <c r="O150" s="655"/>
      <c r="P150" s="655"/>
      <c r="Q150" s="266"/>
      <c r="R150" s="266"/>
      <c r="S150" s="268"/>
      <c r="T150" s="269" t="e">
        <f>VLOOKUP(Q150,[71]Listas!$D$6:$E$10,2,0)</f>
        <v>#N/A</v>
      </c>
      <c r="U150" s="269" t="e">
        <f>HLOOKUP(R150,[71]Listas!$F$4:$J$5,2,0)</f>
        <v>#N/A</v>
      </c>
      <c r="V150" s="270" t="e">
        <f>INDEX([71]Listas!$F$6:$J$10,MATCH(Q150,[71]Listas!$D$6:$D$10,0),MATCH(R150,[71]Listas!$F$4:$J$4,0))</f>
        <v>#N/A</v>
      </c>
      <c r="W150" s="268"/>
      <c r="X150" s="1399"/>
      <c r="Y150" s="1408"/>
      <c r="Z150" s="1400"/>
      <c r="AA150" s="1063"/>
      <c r="AB150" s="267"/>
      <c r="AC150" s="259"/>
      <c r="AD150" s="655"/>
      <c r="AE150" s="267"/>
      <c r="AF150" s="268"/>
      <c r="AG150" s="269">
        <f t="shared" ref="AG150:AG167" si="19">IF(AD150&lt;=33,0,IF(AD150&gt;81,2,1))</f>
        <v>0</v>
      </c>
      <c r="AH150" s="271" t="e">
        <f t="shared" ref="AH150:AH167" si="20">IF(OR(AE150="Probabilidad",AE150="Ambos"),T150-AG150,T150)</f>
        <v>#N/A</v>
      </c>
      <c r="AI150" s="272" t="e">
        <f>IF(AH150&lt;=1,"Remota",VLOOKUP(AH150,[71]Listas!$C$6:$D$10,2,0))</f>
        <v>#N/A</v>
      </c>
      <c r="AJ150" s="271" t="e">
        <f t="shared" ref="AJ150:AJ167" si="21">IF(OR(AE150="Impacto",AE150="Ambos"),U150-AG150,U150)</f>
        <v>#N/A</v>
      </c>
      <c r="AK150" s="272" t="e">
        <f>IF(AJ150&lt;=1,"Insignificante",HLOOKUP(AJ150,[71]Listas!$F$3:$J$4,2,0))</f>
        <v>#N/A</v>
      </c>
      <c r="AL150" s="273" t="e">
        <f t="shared" ref="AL150:AL167" si="22">AH150*AJ150</f>
        <v>#N/A</v>
      </c>
      <c r="AM150" s="270" t="e">
        <f>INDEX([71]Listas!$F$6:$J$10,MATCH(AI150,[71]Listas!$D$6:$D$10,0),MATCH(AK150,[71]Listas!$F$4:$J$4,0))</f>
        <v>#N/A</v>
      </c>
      <c r="AN150" s="259"/>
      <c r="AO150" s="259"/>
      <c r="AP150" s="659"/>
      <c r="AQ150" s="259"/>
      <c r="AR150" s="259" t="s">
        <v>2343</v>
      </c>
      <c r="AS150" s="655"/>
      <c r="AT150" s="259"/>
      <c r="AU150" s="259"/>
      <c r="AV150" s="261"/>
      <c r="AW150" s="261"/>
      <c r="AX150" s="655"/>
      <c r="AY150" s="262"/>
    </row>
    <row r="151" spans="1:51" s="260" customFormat="1" ht="103.5" hidden="1" customHeight="1">
      <c r="A151" s="655"/>
      <c r="B151" s="266"/>
      <c r="C151" s="1399"/>
      <c r="D151" s="1408"/>
      <c r="E151" s="1400"/>
      <c r="F151" s="267"/>
      <c r="G151" s="1399"/>
      <c r="H151" s="1408"/>
      <c r="I151" s="1400"/>
      <c r="J151" s="1380"/>
      <c r="K151" s="1380"/>
      <c r="L151" s="1380"/>
      <c r="M151" s="655"/>
      <c r="N151" s="655"/>
      <c r="O151" s="655"/>
      <c r="P151" s="655"/>
      <c r="Q151" s="266"/>
      <c r="R151" s="266"/>
      <c r="S151" s="268"/>
      <c r="T151" s="269" t="e">
        <f>VLOOKUP(Q151,[71]Listas!$D$6:$E$10,2,0)</f>
        <v>#N/A</v>
      </c>
      <c r="U151" s="269" t="e">
        <f>HLOOKUP(R151,[71]Listas!$F$4:$J$5,2,0)</f>
        <v>#N/A</v>
      </c>
      <c r="V151" s="270" t="e">
        <f>INDEX([71]Listas!$F$6:$J$10,MATCH(Q151,[71]Listas!$D$6:$D$10,0),MATCH(R151,[71]Listas!$F$4:$J$4,0))</f>
        <v>#N/A</v>
      </c>
      <c r="W151" s="268"/>
      <c r="X151" s="1399"/>
      <c r="Y151" s="1408"/>
      <c r="Z151" s="1400"/>
      <c r="AA151" s="1063"/>
      <c r="AB151" s="267"/>
      <c r="AC151" s="259"/>
      <c r="AD151" s="655"/>
      <c r="AE151" s="267"/>
      <c r="AF151" s="268"/>
      <c r="AG151" s="269">
        <f t="shared" si="19"/>
        <v>0</v>
      </c>
      <c r="AH151" s="271" t="e">
        <f t="shared" si="20"/>
        <v>#N/A</v>
      </c>
      <c r="AI151" s="272" t="e">
        <f>IF(AH151&lt;=1,"Remota",VLOOKUP(AH151,[71]Listas!$C$6:$D$10,2,0))</f>
        <v>#N/A</v>
      </c>
      <c r="AJ151" s="271" t="e">
        <f t="shared" si="21"/>
        <v>#N/A</v>
      </c>
      <c r="AK151" s="272" t="e">
        <f>IF(AJ151&lt;=1,"Insignificante",HLOOKUP(AJ151,[71]Listas!$F$3:$J$4,2,0))</f>
        <v>#N/A</v>
      </c>
      <c r="AL151" s="273" t="e">
        <f t="shared" si="22"/>
        <v>#N/A</v>
      </c>
      <c r="AM151" s="270" t="e">
        <f>INDEX([71]Listas!$F$6:$J$10,MATCH(AI151,[71]Listas!$D$6:$D$10,0),MATCH(AK151,[71]Listas!$F$4:$J$4,0))</f>
        <v>#N/A</v>
      </c>
      <c r="AN151" s="259"/>
      <c r="AO151" s="259"/>
      <c r="AP151" s="659"/>
      <c r="AQ151" s="259"/>
      <c r="AR151" s="259" t="s">
        <v>2343</v>
      </c>
      <c r="AS151" s="655"/>
      <c r="AT151" s="259"/>
      <c r="AU151" s="259"/>
      <c r="AV151" s="261"/>
      <c r="AW151" s="261"/>
      <c r="AX151" s="655"/>
      <c r="AY151" s="262"/>
    </row>
    <row r="152" spans="1:51" s="260" customFormat="1" ht="103.5" hidden="1" customHeight="1">
      <c r="A152" s="655"/>
      <c r="B152" s="266"/>
      <c r="C152" s="1399"/>
      <c r="D152" s="1408"/>
      <c r="E152" s="1400"/>
      <c r="F152" s="267"/>
      <c r="G152" s="1399"/>
      <c r="H152" s="1408"/>
      <c r="I152" s="1400"/>
      <c r="J152" s="1380"/>
      <c r="K152" s="1380"/>
      <c r="L152" s="1380"/>
      <c r="M152" s="655"/>
      <c r="N152" s="655"/>
      <c r="O152" s="655"/>
      <c r="P152" s="655"/>
      <c r="Q152" s="266"/>
      <c r="R152" s="266"/>
      <c r="S152" s="268"/>
      <c r="T152" s="269" t="e">
        <f>VLOOKUP(Q152,[71]Listas!$D$6:$E$10,2,0)</f>
        <v>#N/A</v>
      </c>
      <c r="U152" s="269" t="e">
        <f>HLOOKUP(R152,[71]Listas!$F$4:$J$5,2,0)</f>
        <v>#N/A</v>
      </c>
      <c r="V152" s="270" t="e">
        <f>INDEX([71]Listas!$F$6:$J$10,MATCH(Q152,[71]Listas!$D$6:$D$10,0),MATCH(R152,[71]Listas!$F$4:$J$4,0))</f>
        <v>#N/A</v>
      </c>
      <c r="W152" s="268"/>
      <c r="X152" s="1399"/>
      <c r="Y152" s="1408"/>
      <c r="Z152" s="1400"/>
      <c r="AA152" s="1063"/>
      <c r="AB152" s="267"/>
      <c r="AC152" s="259"/>
      <c r="AD152" s="655"/>
      <c r="AE152" s="267"/>
      <c r="AF152" s="268"/>
      <c r="AG152" s="269">
        <f t="shared" si="19"/>
        <v>0</v>
      </c>
      <c r="AH152" s="271" t="e">
        <f t="shared" si="20"/>
        <v>#N/A</v>
      </c>
      <c r="AI152" s="272" t="e">
        <f>IF(AH152&lt;=1,"Remota",VLOOKUP(AH152,[71]Listas!$C$6:$D$10,2,0))</f>
        <v>#N/A</v>
      </c>
      <c r="AJ152" s="271" t="e">
        <f t="shared" si="21"/>
        <v>#N/A</v>
      </c>
      <c r="AK152" s="272" t="e">
        <f>IF(AJ152&lt;=1,"Insignificante",HLOOKUP(AJ152,[71]Listas!$F$3:$J$4,2,0))</f>
        <v>#N/A</v>
      </c>
      <c r="AL152" s="273" t="e">
        <f t="shared" si="22"/>
        <v>#N/A</v>
      </c>
      <c r="AM152" s="270" t="e">
        <f>INDEX([71]Listas!$F$6:$J$10,MATCH(AI152,[71]Listas!$D$6:$D$10,0),MATCH(AK152,[71]Listas!$F$4:$J$4,0))</f>
        <v>#N/A</v>
      </c>
      <c r="AN152" s="259"/>
      <c r="AO152" s="259"/>
      <c r="AP152" s="659"/>
      <c r="AQ152" s="259"/>
      <c r="AR152" s="259" t="s">
        <v>2343</v>
      </c>
      <c r="AS152" s="655"/>
      <c r="AT152" s="259"/>
      <c r="AU152" s="259"/>
      <c r="AV152" s="261"/>
      <c r="AW152" s="261"/>
      <c r="AX152" s="655"/>
      <c r="AY152" s="262"/>
    </row>
    <row r="153" spans="1:51" s="260" customFormat="1" ht="103.5" hidden="1" customHeight="1">
      <c r="A153" s="655"/>
      <c r="B153" s="266"/>
      <c r="C153" s="1399"/>
      <c r="D153" s="1408"/>
      <c r="E153" s="1400"/>
      <c r="F153" s="267"/>
      <c r="G153" s="1399"/>
      <c r="H153" s="1408"/>
      <c r="I153" s="1400"/>
      <c r="J153" s="1380"/>
      <c r="K153" s="1380"/>
      <c r="L153" s="1380"/>
      <c r="M153" s="655"/>
      <c r="N153" s="655"/>
      <c r="O153" s="655"/>
      <c r="P153" s="655"/>
      <c r="Q153" s="266"/>
      <c r="R153" s="266"/>
      <c r="S153" s="268"/>
      <c r="T153" s="269" t="e">
        <f>VLOOKUP(Q153,[71]Listas!$D$6:$E$10,2,0)</f>
        <v>#N/A</v>
      </c>
      <c r="U153" s="269" t="e">
        <f>HLOOKUP(R153,[71]Listas!$F$4:$J$5,2,0)</f>
        <v>#N/A</v>
      </c>
      <c r="V153" s="270" t="e">
        <f>INDEX([71]Listas!$F$6:$J$10,MATCH(Q153,[71]Listas!$D$6:$D$10,0),MATCH(R153,[71]Listas!$F$4:$J$4,0))</f>
        <v>#N/A</v>
      </c>
      <c r="W153" s="268"/>
      <c r="X153" s="1399"/>
      <c r="Y153" s="1408"/>
      <c r="Z153" s="1400"/>
      <c r="AA153" s="1063"/>
      <c r="AB153" s="267"/>
      <c r="AC153" s="259"/>
      <c r="AD153" s="655"/>
      <c r="AE153" s="267"/>
      <c r="AF153" s="268"/>
      <c r="AG153" s="269">
        <f t="shared" si="19"/>
        <v>0</v>
      </c>
      <c r="AH153" s="271" t="e">
        <f t="shared" si="20"/>
        <v>#N/A</v>
      </c>
      <c r="AI153" s="272" t="e">
        <f>IF(AH153&lt;=1,"Remota",VLOOKUP(AH153,[71]Listas!$C$6:$D$10,2,0))</f>
        <v>#N/A</v>
      </c>
      <c r="AJ153" s="271" t="e">
        <f t="shared" si="21"/>
        <v>#N/A</v>
      </c>
      <c r="AK153" s="272" t="e">
        <f>IF(AJ153&lt;=1,"Insignificante",HLOOKUP(AJ153,[71]Listas!$F$3:$J$4,2,0))</f>
        <v>#N/A</v>
      </c>
      <c r="AL153" s="273" t="e">
        <f t="shared" si="22"/>
        <v>#N/A</v>
      </c>
      <c r="AM153" s="270" t="e">
        <f>INDEX([71]Listas!$F$6:$J$10,MATCH(AI153,[71]Listas!$D$6:$D$10,0),MATCH(AK153,[71]Listas!$F$4:$J$4,0))</f>
        <v>#N/A</v>
      </c>
      <c r="AN153" s="259"/>
      <c r="AO153" s="259"/>
      <c r="AP153" s="659"/>
      <c r="AQ153" s="259"/>
      <c r="AR153" s="259" t="s">
        <v>2343</v>
      </c>
      <c r="AS153" s="655"/>
      <c r="AT153" s="259"/>
      <c r="AU153" s="259"/>
      <c r="AV153" s="261"/>
      <c r="AW153" s="261"/>
      <c r="AX153" s="655"/>
      <c r="AY153" s="262"/>
    </row>
    <row r="154" spans="1:51" s="260" customFormat="1" ht="103.5" hidden="1" customHeight="1">
      <c r="A154" s="655"/>
      <c r="B154" s="266"/>
      <c r="C154" s="1399"/>
      <c r="D154" s="1408"/>
      <c r="E154" s="1400"/>
      <c r="F154" s="267"/>
      <c r="G154" s="1399"/>
      <c r="H154" s="1408"/>
      <c r="I154" s="1400"/>
      <c r="J154" s="1380"/>
      <c r="K154" s="1380"/>
      <c r="L154" s="1380"/>
      <c r="M154" s="655"/>
      <c r="N154" s="655"/>
      <c r="O154" s="655"/>
      <c r="P154" s="655"/>
      <c r="Q154" s="266"/>
      <c r="R154" s="266"/>
      <c r="S154" s="268"/>
      <c r="T154" s="269" t="e">
        <f>VLOOKUP(Q154,[71]Listas!$D$6:$E$10,2,0)</f>
        <v>#N/A</v>
      </c>
      <c r="U154" s="269" t="e">
        <f>HLOOKUP(R154,[71]Listas!$F$4:$J$5,2,0)</f>
        <v>#N/A</v>
      </c>
      <c r="V154" s="270" t="e">
        <f>INDEX([71]Listas!$F$6:$J$10,MATCH(Q154,[71]Listas!$D$6:$D$10,0),MATCH(R154,[71]Listas!$F$4:$J$4,0))</f>
        <v>#N/A</v>
      </c>
      <c r="W154" s="268"/>
      <c r="X154" s="1399"/>
      <c r="Y154" s="1408"/>
      <c r="Z154" s="1400"/>
      <c r="AA154" s="1063"/>
      <c r="AB154" s="267"/>
      <c r="AC154" s="259"/>
      <c r="AD154" s="655"/>
      <c r="AE154" s="267"/>
      <c r="AF154" s="268"/>
      <c r="AG154" s="269">
        <f t="shared" si="19"/>
        <v>0</v>
      </c>
      <c r="AH154" s="271" t="e">
        <f t="shared" si="20"/>
        <v>#N/A</v>
      </c>
      <c r="AI154" s="272" t="e">
        <f>IF(AH154&lt;=1,"Remota",VLOOKUP(AH154,[71]Listas!$C$6:$D$10,2,0))</f>
        <v>#N/A</v>
      </c>
      <c r="AJ154" s="271" t="e">
        <f t="shared" si="21"/>
        <v>#N/A</v>
      </c>
      <c r="AK154" s="272" t="e">
        <f>IF(AJ154&lt;=1,"Insignificante",HLOOKUP(AJ154,[71]Listas!$F$3:$J$4,2,0))</f>
        <v>#N/A</v>
      </c>
      <c r="AL154" s="273" t="e">
        <f t="shared" si="22"/>
        <v>#N/A</v>
      </c>
      <c r="AM154" s="270" t="e">
        <f>INDEX([71]Listas!$F$6:$J$10,MATCH(AI154,[71]Listas!$D$6:$D$10,0),MATCH(AK154,[71]Listas!$F$4:$J$4,0))</f>
        <v>#N/A</v>
      </c>
      <c r="AN154" s="259"/>
      <c r="AO154" s="259"/>
      <c r="AP154" s="659"/>
      <c r="AQ154" s="259"/>
      <c r="AR154" s="259" t="s">
        <v>2343</v>
      </c>
      <c r="AS154" s="655"/>
      <c r="AT154" s="259"/>
      <c r="AU154" s="259"/>
      <c r="AV154" s="261"/>
      <c r="AW154" s="261"/>
      <c r="AX154" s="655"/>
      <c r="AY154" s="262"/>
    </row>
    <row r="155" spans="1:51" s="260" customFormat="1" ht="103.5" hidden="1" customHeight="1">
      <c r="A155" s="655"/>
      <c r="B155" s="266"/>
      <c r="C155" s="1399"/>
      <c r="D155" s="1408"/>
      <c r="E155" s="1400"/>
      <c r="F155" s="267"/>
      <c r="G155" s="1399"/>
      <c r="H155" s="1408"/>
      <c r="I155" s="1400"/>
      <c r="J155" s="1380"/>
      <c r="K155" s="1380"/>
      <c r="L155" s="1380"/>
      <c r="M155" s="655"/>
      <c r="N155" s="655"/>
      <c r="O155" s="655"/>
      <c r="P155" s="655"/>
      <c r="Q155" s="266"/>
      <c r="R155" s="266"/>
      <c r="S155" s="268"/>
      <c r="T155" s="269" t="e">
        <f>VLOOKUP(Q155,[71]Listas!$D$6:$E$10,2,0)</f>
        <v>#N/A</v>
      </c>
      <c r="U155" s="269" t="e">
        <f>HLOOKUP(R155,[71]Listas!$F$4:$J$5,2,0)</f>
        <v>#N/A</v>
      </c>
      <c r="V155" s="270" t="e">
        <f>INDEX([71]Listas!$F$6:$J$10,MATCH(Q155,[71]Listas!$D$6:$D$10,0),MATCH(R155,[71]Listas!$F$4:$J$4,0))</f>
        <v>#N/A</v>
      </c>
      <c r="W155" s="268"/>
      <c r="X155" s="1399"/>
      <c r="Y155" s="1408"/>
      <c r="Z155" s="1400"/>
      <c r="AA155" s="1063"/>
      <c r="AB155" s="267"/>
      <c r="AC155" s="259"/>
      <c r="AD155" s="655"/>
      <c r="AE155" s="267"/>
      <c r="AF155" s="268"/>
      <c r="AG155" s="269">
        <f t="shared" si="19"/>
        <v>0</v>
      </c>
      <c r="AH155" s="271" t="e">
        <f t="shared" si="20"/>
        <v>#N/A</v>
      </c>
      <c r="AI155" s="272" t="e">
        <f>IF(AH155&lt;=1,"Remota",VLOOKUP(AH155,[71]Listas!$C$6:$D$10,2,0))</f>
        <v>#N/A</v>
      </c>
      <c r="AJ155" s="271" t="e">
        <f t="shared" si="21"/>
        <v>#N/A</v>
      </c>
      <c r="AK155" s="272" t="e">
        <f>IF(AJ155&lt;=1,"Insignificante",HLOOKUP(AJ155,[71]Listas!$F$3:$J$4,2,0))</f>
        <v>#N/A</v>
      </c>
      <c r="AL155" s="273" t="e">
        <f t="shared" si="22"/>
        <v>#N/A</v>
      </c>
      <c r="AM155" s="270" t="e">
        <f>INDEX([71]Listas!$F$6:$J$10,MATCH(AI155,[71]Listas!$D$6:$D$10,0),MATCH(AK155,[71]Listas!$F$4:$J$4,0))</f>
        <v>#N/A</v>
      </c>
      <c r="AN155" s="259"/>
      <c r="AO155" s="259"/>
      <c r="AP155" s="659"/>
      <c r="AQ155" s="259"/>
      <c r="AR155" s="259" t="s">
        <v>2343</v>
      </c>
      <c r="AS155" s="655"/>
      <c r="AT155" s="259"/>
      <c r="AU155" s="259"/>
      <c r="AV155" s="261"/>
      <c r="AW155" s="261"/>
      <c r="AX155" s="655"/>
      <c r="AY155" s="262"/>
    </row>
    <row r="156" spans="1:51" s="260" customFormat="1" ht="103.5" hidden="1" customHeight="1">
      <c r="A156" s="655"/>
      <c r="B156" s="266"/>
      <c r="C156" s="1399"/>
      <c r="D156" s="1408"/>
      <c r="E156" s="1400"/>
      <c r="F156" s="267"/>
      <c r="G156" s="1399"/>
      <c r="H156" s="1408"/>
      <c r="I156" s="1400"/>
      <c r="J156" s="1380"/>
      <c r="K156" s="1380"/>
      <c r="L156" s="1380"/>
      <c r="M156" s="655"/>
      <c r="N156" s="655"/>
      <c r="O156" s="655"/>
      <c r="P156" s="655"/>
      <c r="Q156" s="266"/>
      <c r="R156" s="266"/>
      <c r="S156" s="268"/>
      <c r="T156" s="269" t="e">
        <f>VLOOKUP(Q156,[71]Listas!$D$6:$E$10,2,0)</f>
        <v>#N/A</v>
      </c>
      <c r="U156" s="269" t="e">
        <f>HLOOKUP(R156,[71]Listas!$F$4:$J$5,2,0)</f>
        <v>#N/A</v>
      </c>
      <c r="V156" s="270" t="e">
        <f>INDEX([71]Listas!$F$6:$J$10,MATCH(Q156,[71]Listas!$D$6:$D$10,0),MATCH(R156,[71]Listas!$F$4:$J$4,0))</f>
        <v>#N/A</v>
      </c>
      <c r="W156" s="268"/>
      <c r="X156" s="1399"/>
      <c r="Y156" s="1408"/>
      <c r="Z156" s="1400"/>
      <c r="AA156" s="1063"/>
      <c r="AB156" s="267"/>
      <c r="AC156" s="259"/>
      <c r="AD156" s="655"/>
      <c r="AE156" s="267"/>
      <c r="AF156" s="268"/>
      <c r="AG156" s="269">
        <f t="shared" si="19"/>
        <v>0</v>
      </c>
      <c r="AH156" s="271" t="e">
        <f t="shared" si="20"/>
        <v>#N/A</v>
      </c>
      <c r="AI156" s="272" t="e">
        <f>IF(AH156&lt;=1,"Remota",VLOOKUP(AH156,[71]Listas!$C$6:$D$10,2,0))</f>
        <v>#N/A</v>
      </c>
      <c r="AJ156" s="271" t="e">
        <f t="shared" si="21"/>
        <v>#N/A</v>
      </c>
      <c r="AK156" s="272" t="e">
        <f>IF(AJ156&lt;=1,"Insignificante",HLOOKUP(AJ156,[71]Listas!$F$3:$J$4,2,0))</f>
        <v>#N/A</v>
      </c>
      <c r="AL156" s="273" t="e">
        <f t="shared" si="22"/>
        <v>#N/A</v>
      </c>
      <c r="AM156" s="270" t="e">
        <f>INDEX([71]Listas!$F$6:$J$10,MATCH(AI156,[71]Listas!$D$6:$D$10,0),MATCH(AK156,[71]Listas!$F$4:$J$4,0))</f>
        <v>#N/A</v>
      </c>
      <c r="AN156" s="259"/>
      <c r="AO156" s="259"/>
      <c r="AP156" s="659"/>
      <c r="AQ156" s="259"/>
      <c r="AR156" s="259" t="s">
        <v>2343</v>
      </c>
      <c r="AS156" s="655"/>
      <c r="AT156" s="259"/>
      <c r="AU156" s="259"/>
      <c r="AV156" s="261"/>
      <c r="AW156" s="261"/>
      <c r="AX156" s="655"/>
      <c r="AY156" s="262"/>
    </row>
    <row r="157" spans="1:51" s="260" customFormat="1" ht="103.5" hidden="1" customHeight="1">
      <c r="A157" s="655"/>
      <c r="B157" s="266"/>
      <c r="C157" s="1399"/>
      <c r="D157" s="1408"/>
      <c r="E157" s="1400"/>
      <c r="F157" s="267"/>
      <c r="G157" s="1399"/>
      <c r="H157" s="1408"/>
      <c r="I157" s="1400"/>
      <c r="J157" s="1380"/>
      <c r="K157" s="1380"/>
      <c r="L157" s="1380"/>
      <c r="M157" s="655"/>
      <c r="N157" s="655"/>
      <c r="O157" s="655"/>
      <c r="P157" s="655"/>
      <c r="Q157" s="266"/>
      <c r="R157" s="266"/>
      <c r="S157" s="268"/>
      <c r="T157" s="269" t="e">
        <f>VLOOKUP(Q157,[71]Listas!$D$6:$E$10,2,0)</f>
        <v>#N/A</v>
      </c>
      <c r="U157" s="269" t="e">
        <f>HLOOKUP(R157,[71]Listas!$F$4:$J$5,2,0)</f>
        <v>#N/A</v>
      </c>
      <c r="V157" s="270" t="e">
        <f>INDEX([71]Listas!$F$6:$J$10,MATCH(Q157,[71]Listas!$D$6:$D$10,0),MATCH(R157,[71]Listas!$F$4:$J$4,0))</f>
        <v>#N/A</v>
      </c>
      <c r="W157" s="268"/>
      <c r="X157" s="1399"/>
      <c r="Y157" s="1408"/>
      <c r="Z157" s="1400"/>
      <c r="AA157" s="1063"/>
      <c r="AB157" s="267"/>
      <c r="AC157" s="259"/>
      <c r="AD157" s="655"/>
      <c r="AE157" s="267"/>
      <c r="AF157" s="268"/>
      <c r="AG157" s="269">
        <f t="shared" si="19"/>
        <v>0</v>
      </c>
      <c r="AH157" s="271" t="e">
        <f t="shared" si="20"/>
        <v>#N/A</v>
      </c>
      <c r="AI157" s="272" t="e">
        <f>IF(AH157&lt;=1,"Remota",VLOOKUP(AH157,[71]Listas!$C$6:$D$10,2,0))</f>
        <v>#N/A</v>
      </c>
      <c r="AJ157" s="271" t="e">
        <f t="shared" si="21"/>
        <v>#N/A</v>
      </c>
      <c r="AK157" s="272" t="e">
        <f>IF(AJ157&lt;=1,"Insignificante",HLOOKUP(AJ157,[71]Listas!$F$3:$J$4,2,0))</f>
        <v>#N/A</v>
      </c>
      <c r="AL157" s="273" t="e">
        <f t="shared" si="22"/>
        <v>#N/A</v>
      </c>
      <c r="AM157" s="270" t="e">
        <f>INDEX([71]Listas!$F$6:$J$10,MATCH(AI157,[71]Listas!$D$6:$D$10,0),MATCH(AK157,[71]Listas!$F$4:$J$4,0))</f>
        <v>#N/A</v>
      </c>
      <c r="AN157" s="259"/>
      <c r="AO157" s="259"/>
      <c r="AP157" s="659"/>
      <c r="AQ157" s="259"/>
      <c r="AR157" s="259" t="s">
        <v>2343</v>
      </c>
      <c r="AS157" s="655"/>
      <c r="AT157" s="259"/>
      <c r="AU157" s="259"/>
      <c r="AV157" s="261"/>
      <c r="AW157" s="261"/>
      <c r="AX157" s="655"/>
      <c r="AY157" s="262"/>
    </row>
    <row r="158" spans="1:51" s="260" customFormat="1" ht="103.5" hidden="1" customHeight="1">
      <c r="A158" s="655"/>
      <c r="B158" s="266"/>
      <c r="C158" s="1399"/>
      <c r="D158" s="1408"/>
      <c r="E158" s="1400"/>
      <c r="F158" s="267"/>
      <c r="G158" s="1399"/>
      <c r="H158" s="1408"/>
      <c r="I158" s="1400"/>
      <c r="J158" s="1380"/>
      <c r="K158" s="1380"/>
      <c r="L158" s="1380"/>
      <c r="M158" s="655"/>
      <c r="N158" s="655"/>
      <c r="O158" s="655"/>
      <c r="P158" s="655"/>
      <c r="Q158" s="266"/>
      <c r="R158" s="266"/>
      <c r="S158" s="268"/>
      <c r="T158" s="269" t="e">
        <f>VLOOKUP(Q158,[71]Listas!$D$6:$E$10,2,0)</f>
        <v>#N/A</v>
      </c>
      <c r="U158" s="269" t="e">
        <f>HLOOKUP(R158,[71]Listas!$F$4:$J$5,2,0)</f>
        <v>#N/A</v>
      </c>
      <c r="V158" s="270" t="e">
        <f>INDEX([71]Listas!$F$6:$J$10,MATCH(Q158,[71]Listas!$D$6:$D$10,0),MATCH(R158,[71]Listas!$F$4:$J$4,0))</f>
        <v>#N/A</v>
      </c>
      <c r="W158" s="268"/>
      <c r="X158" s="1399"/>
      <c r="Y158" s="1408"/>
      <c r="Z158" s="1400"/>
      <c r="AA158" s="1063"/>
      <c r="AB158" s="267"/>
      <c r="AC158" s="259"/>
      <c r="AD158" s="655"/>
      <c r="AE158" s="267"/>
      <c r="AF158" s="268"/>
      <c r="AG158" s="269">
        <f t="shared" si="19"/>
        <v>0</v>
      </c>
      <c r="AH158" s="271" t="e">
        <f t="shared" si="20"/>
        <v>#N/A</v>
      </c>
      <c r="AI158" s="272" t="e">
        <f>IF(AH158&lt;=1,"Remota",VLOOKUP(AH158,[71]Listas!$C$6:$D$10,2,0))</f>
        <v>#N/A</v>
      </c>
      <c r="AJ158" s="271" t="e">
        <f t="shared" si="21"/>
        <v>#N/A</v>
      </c>
      <c r="AK158" s="272" t="e">
        <f>IF(AJ158&lt;=1,"Insignificante",HLOOKUP(AJ158,[71]Listas!$F$3:$J$4,2,0))</f>
        <v>#N/A</v>
      </c>
      <c r="AL158" s="273" t="e">
        <f t="shared" si="22"/>
        <v>#N/A</v>
      </c>
      <c r="AM158" s="270" t="e">
        <f>INDEX([71]Listas!$F$6:$J$10,MATCH(AI158,[71]Listas!$D$6:$D$10,0),MATCH(AK158,[71]Listas!$F$4:$J$4,0))</f>
        <v>#N/A</v>
      </c>
      <c r="AN158" s="259"/>
      <c r="AO158" s="259"/>
      <c r="AP158" s="659"/>
      <c r="AQ158" s="259"/>
      <c r="AR158" s="259" t="s">
        <v>2343</v>
      </c>
      <c r="AS158" s="655"/>
      <c r="AT158" s="259"/>
      <c r="AU158" s="259"/>
      <c r="AV158" s="261"/>
      <c r="AW158" s="261"/>
      <c r="AX158" s="655"/>
      <c r="AY158" s="262"/>
    </row>
    <row r="159" spans="1:51" s="260" customFormat="1" ht="103.5" hidden="1" customHeight="1">
      <c r="A159" s="655"/>
      <c r="B159" s="266"/>
      <c r="C159" s="1399"/>
      <c r="D159" s="1408"/>
      <c r="E159" s="1400"/>
      <c r="F159" s="267"/>
      <c r="G159" s="1399"/>
      <c r="H159" s="1408"/>
      <c r="I159" s="1400"/>
      <c r="J159" s="1380"/>
      <c r="K159" s="1380"/>
      <c r="L159" s="1380"/>
      <c r="M159" s="655"/>
      <c r="N159" s="655"/>
      <c r="O159" s="655"/>
      <c r="P159" s="655"/>
      <c r="Q159" s="266"/>
      <c r="R159" s="266"/>
      <c r="S159" s="268"/>
      <c r="T159" s="269" t="e">
        <f>VLOOKUP(Q159,[71]Listas!$D$6:$E$10,2,0)</f>
        <v>#N/A</v>
      </c>
      <c r="U159" s="269" t="e">
        <f>HLOOKUP(R159,[71]Listas!$F$4:$J$5,2,0)</f>
        <v>#N/A</v>
      </c>
      <c r="V159" s="270" t="e">
        <f>INDEX([71]Listas!$F$6:$J$10,MATCH(Q159,[71]Listas!$D$6:$D$10,0),MATCH(R159,[71]Listas!$F$4:$J$4,0))</f>
        <v>#N/A</v>
      </c>
      <c r="W159" s="268"/>
      <c r="X159" s="1399"/>
      <c r="Y159" s="1408"/>
      <c r="Z159" s="1400"/>
      <c r="AA159" s="1063"/>
      <c r="AB159" s="267"/>
      <c r="AC159" s="259"/>
      <c r="AD159" s="655"/>
      <c r="AE159" s="267"/>
      <c r="AF159" s="268"/>
      <c r="AG159" s="269">
        <f t="shared" si="19"/>
        <v>0</v>
      </c>
      <c r="AH159" s="271" t="e">
        <f t="shared" si="20"/>
        <v>#N/A</v>
      </c>
      <c r="AI159" s="272" t="e">
        <f>IF(AH159&lt;=1,"Remota",VLOOKUP(AH159,[71]Listas!$C$6:$D$10,2,0))</f>
        <v>#N/A</v>
      </c>
      <c r="AJ159" s="271" t="e">
        <f t="shared" si="21"/>
        <v>#N/A</v>
      </c>
      <c r="AK159" s="272" t="e">
        <f>IF(AJ159&lt;=1,"Insignificante",HLOOKUP(AJ159,[71]Listas!$F$3:$J$4,2,0))</f>
        <v>#N/A</v>
      </c>
      <c r="AL159" s="273" t="e">
        <f t="shared" si="22"/>
        <v>#N/A</v>
      </c>
      <c r="AM159" s="270" t="e">
        <f>INDEX([71]Listas!$F$6:$J$10,MATCH(AI159,[71]Listas!$D$6:$D$10,0),MATCH(AK159,[71]Listas!$F$4:$J$4,0))</f>
        <v>#N/A</v>
      </c>
      <c r="AN159" s="259"/>
      <c r="AO159" s="259"/>
      <c r="AP159" s="659"/>
      <c r="AQ159" s="259"/>
      <c r="AR159" s="259" t="s">
        <v>2343</v>
      </c>
      <c r="AS159" s="655"/>
      <c r="AT159" s="259"/>
      <c r="AU159" s="259"/>
      <c r="AV159" s="261"/>
      <c r="AW159" s="261"/>
      <c r="AX159" s="655"/>
      <c r="AY159" s="262"/>
    </row>
    <row r="160" spans="1:51" s="260" customFormat="1" ht="103.5" hidden="1" customHeight="1">
      <c r="A160" s="655"/>
      <c r="B160" s="266"/>
      <c r="C160" s="1399"/>
      <c r="D160" s="1408"/>
      <c r="E160" s="1400"/>
      <c r="F160" s="267"/>
      <c r="G160" s="1399"/>
      <c r="H160" s="1408"/>
      <c r="I160" s="1400"/>
      <c r="J160" s="1380"/>
      <c r="K160" s="1380"/>
      <c r="L160" s="1380"/>
      <c r="M160" s="655"/>
      <c r="N160" s="655"/>
      <c r="O160" s="655"/>
      <c r="P160" s="655"/>
      <c r="Q160" s="266"/>
      <c r="R160" s="266"/>
      <c r="S160" s="268"/>
      <c r="T160" s="269" t="e">
        <f>VLOOKUP(Q160,[71]Listas!$D$6:$E$10,2,0)</f>
        <v>#N/A</v>
      </c>
      <c r="U160" s="269" t="e">
        <f>HLOOKUP(R160,[71]Listas!$F$4:$J$5,2,0)</f>
        <v>#N/A</v>
      </c>
      <c r="V160" s="270" t="e">
        <f>INDEX([71]Listas!$F$6:$J$10,MATCH(Q160,[71]Listas!$D$6:$D$10,0),MATCH(R160,[71]Listas!$F$4:$J$4,0))</f>
        <v>#N/A</v>
      </c>
      <c r="W160" s="268"/>
      <c r="X160" s="1399"/>
      <c r="Y160" s="1408"/>
      <c r="Z160" s="1400"/>
      <c r="AA160" s="1063"/>
      <c r="AB160" s="267"/>
      <c r="AC160" s="259"/>
      <c r="AD160" s="655"/>
      <c r="AE160" s="267"/>
      <c r="AF160" s="268"/>
      <c r="AG160" s="269">
        <f t="shared" si="19"/>
        <v>0</v>
      </c>
      <c r="AH160" s="271" t="e">
        <f t="shared" si="20"/>
        <v>#N/A</v>
      </c>
      <c r="AI160" s="272" t="e">
        <f>IF(AH160&lt;=1,"Remota",VLOOKUP(AH160,[71]Listas!$C$6:$D$10,2,0))</f>
        <v>#N/A</v>
      </c>
      <c r="AJ160" s="271" t="e">
        <f t="shared" si="21"/>
        <v>#N/A</v>
      </c>
      <c r="AK160" s="272" t="e">
        <f>IF(AJ160&lt;=1,"Insignificante",HLOOKUP(AJ160,[71]Listas!$F$3:$J$4,2,0))</f>
        <v>#N/A</v>
      </c>
      <c r="AL160" s="273" t="e">
        <f t="shared" si="22"/>
        <v>#N/A</v>
      </c>
      <c r="AM160" s="270" t="e">
        <f>INDEX([71]Listas!$F$6:$J$10,MATCH(AI160,[71]Listas!$D$6:$D$10,0),MATCH(AK160,[71]Listas!$F$4:$J$4,0))</f>
        <v>#N/A</v>
      </c>
      <c r="AN160" s="259"/>
      <c r="AO160" s="259"/>
      <c r="AP160" s="659"/>
      <c r="AQ160" s="259"/>
      <c r="AR160" s="259" t="s">
        <v>2343</v>
      </c>
      <c r="AS160" s="655"/>
      <c r="AT160" s="259"/>
      <c r="AU160" s="259"/>
      <c r="AV160" s="261"/>
      <c r="AW160" s="261"/>
      <c r="AX160" s="655"/>
      <c r="AY160" s="262"/>
    </row>
    <row r="161" spans="1:1027" s="260" customFormat="1" ht="103.5" hidden="1" customHeight="1">
      <c r="A161" s="655"/>
      <c r="B161" s="266"/>
      <c r="C161" s="1399"/>
      <c r="D161" s="1408"/>
      <c r="E161" s="1400"/>
      <c r="F161" s="267"/>
      <c r="G161" s="1399"/>
      <c r="H161" s="1408"/>
      <c r="I161" s="1400"/>
      <c r="J161" s="1380"/>
      <c r="K161" s="1380"/>
      <c r="L161" s="1380"/>
      <c r="M161" s="655"/>
      <c r="N161" s="655"/>
      <c r="O161" s="655"/>
      <c r="P161" s="655"/>
      <c r="Q161" s="266"/>
      <c r="R161" s="266"/>
      <c r="S161" s="268"/>
      <c r="T161" s="269" t="e">
        <f>VLOOKUP(Q161,[71]Listas!$D$6:$E$10,2,0)</f>
        <v>#N/A</v>
      </c>
      <c r="U161" s="269" t="e">
        <f>HLOOKUP(R161,[71]Listas!$F$4:$J$5,2,0)</f>
        <v>#N/A</v>
      </c>
      <c r="V161" s="270" t="e">
        <f>INDEX([71]Listas!$F$6:$J$10,MATCH(Q161,[71]Listas!$D$6:$D$10,0),MATCH(R161,[71]Listas!$F$4:$J$4,0))</f>
        <v>#N/A</v>
      </c>
      <c r="W161" s="268"/>
      <c r="X161" s="1399"/>
      <c r="Y161" s="1408"/>
      <c r="Z161" s="1400"/>
      <c r="AA161" s="1063"/>
      <c r="AB161" s="267"/>
      <c r="AC161" s="259"/>
      <c r="AD161" s="655"/>
      <c r="AE161" s="267"/>
      <c r="AF161" s="268"/>
      <c r="AG161" s="269">
        <f t="shared" si="19"/>
        <v>0</v>
      </c>
      <c r="AH161" s="271" t="e">
        <f t="shared" si="20"/>
        <v>#N/A</v>
      </c>
      <c r="AI161" s="272" t="e">
        <f>IF(AH161&lt;=1,"Remota",VLOOKUP(AH161,[71]Listas!$C$6:$D$10,2,0))</f>
        <v>#N/A</v>
      </c>
      <c r="AJ161" s="271" t="e">
        <f t="shared" si="21"/>
        <v>#N/A</v>
      </c>
      <c r="AK161" s="272" t="e">
        <f>IF(AJ161&lt;=1,"Insignificante",HLOOKUP(AJ161,[71]Listas!$F$3:$J$4,2,0))</f>
        <v>#N/A</v>
      </c>
      <c r="AL161" s="273" t="e">
        <f t="shared" si="22"/>
        <v>#N/A</v>
      </c>
      <c r="AM161" s="270" t="e">
        <f>INDEX([71]Listas!$F$6:$J$10,MATCH(AI161,[71]Listas!$D$6:$D$10,0),MATCH(AK161,[71]Listas!$F$4:$J$4,0))</f>
        <v>#N/A</v>
      </c>
      <c r="AN161" s="259"/>
      <c r="AO161" s="259"/>
      <c r="AP161" s="659"/>
      <c r="AQ161" s="259"/>
      <c r="AR161" s="259" t="s">
        <v>2343</v>
      </c>
      <c r="AS161" s="655"/>
      <c r="AT161" s="259"/>
      <c r="AU161" s="259"/>
      <c r="AV161" s="261"/>
      <c r="AW161" s="261"/>
      <c r="AX161" s="655"/>
      <c r="AY161" s="262"/>
    </row>
    <row r="162" spans="1:1027" s="260" customFormat="1" ht="103.5" hidden="1" customHeight="1">
      <c r="A162" s="655"/>
      <c r="B162" s="266"/>
      <c r="C162" s="1399"/>
      <c r="D162" s="1408"/>
      <c r="E162" s="1400"/>
      <c r="F162" s="267"/>
      <c r="G162" s="1399"/>
      <c r="H162" s="1408"/>
      <c r="I162" s="1400"/>
      <c r="J162" s="1380"/>
      <c r="K162" s="1380"/>
      <c r="L162" s="1380"/>
      <c r="M162" s="655"/>
      <c r="N162" s="655"/>
      <c r="O162" s="655"/>
      <c r="P162" s="655"/>
      <c r="Q162" s="266"/>
      <c r="R162" s="266"/>
      <c r="S162" s="268"/>
      <c r="T162" s="269" t="e">
        <f>VLOOKUP(Q162,[71]Listas!$D$6:$E$10,2,0)</f>
        <v>#N/A</v>
      </c>
      <c r="U162" s="269" t="e">
        <f>HLOOKUP(R162,[71]Listas!$F$4:$J$5,2,0)</f>
        <v>#N/A</v>
      </c>
      <c r="V162" s="270" t="e">
        <f>INDEX([71]Listas!$F$6:$J$10,MATCH(Q162,[71]Listas!$D$6:$D$10,0),MATCH(R162,[71]Listas!$F$4:$J$4,0))</f>
        <v>#N/A</v>
      </c>
      <c r="W162" s="268"/>
      <c r="X162" s="1399"/>
      <c r="Y162" s="1408"/>
      <c r="Z162" s="1400"/>
      <c r="AA162" s="1063"/>
      <c r="AB162" s="267"/>
      <c r="AC162" s="259"/>
      <c r="AD162" s="655"/>
      <c r="AE162" s="267"/>
      <c r="AF162" s="268"/>
      <c r="AG162" s="269">
        <f t="shared" si="19"/>
        <v>0</v>
      </c>
      <c r="AH162" s="271" t="e">
        <f t="shared" si="20"/>
        <v>#N/A</v>
      </c>
      <c r="AI162" s="272" t="e">
        <f>IF(AH162&lt;=1,"Remota",VLOOKUP(AH162,[71]Listas!$C$6:$D$10,2,0))</f>
        <v>#N/A</v>
      </c>
      <c r="AJ162" s="271" t="e">
        <f t="shared" si="21"/>
        <v>#N/A</v>
      </c>
      <c r="AK162" s="272" t="e">
        <f>IF(AJ162&lt;=1,"Insignificante",HLOOKUP(AJ162,[71]Listas!$F$3:$J$4,2,0))</f>
        <v>#N/A</v>
      </c>
      <c r="AL162" s="273" t="e">
        <f t="shared" si="22"/>
        <v>#N/A</v>
      </c>
      <c r="AM162" s="270" t="e">
        <f>INDEX([71]Listas!$F$6:$J$10,MATCH(AI162,[71]Listas!$D$6:$D$10,0),MATCH(AK162,[71]Listas!$F$4:$J$4,0))</f>
        <v>#N/A</v>
      </c>
      <c r="AN162" s="259"/>
      <c r="AO162" s="259"/>
      <c r="AP162" s="659"/>
      <c r="AQ162" s="259"/>
      <c r="AR162" s="259" t="s">
        <v>2343</v>
      </c>
      <c r="AS162" s="655"/>
      <c r="AT162" s="259"/>
      <c r="AU162" s="259"/>
      <c r="AV162" s="261"/>
      <c r="AW162" s="261"/>
      <c r="AX162" s="655"/>
      <c r="AY162" s="262"/>
    </row>
    <row r="163" spans="1:1027" s="260" customFormat="1" ht="103.5" hidden="1" customHeight="1">
      <c r="A163" s="655"/>
      <c r="B163" s="266"/>
      <c r="C163" s="1399"/>
      <c r="D163" s="1408"/>
      <c r="E163" s="1400"/>
      <c r="F163" s="267"/>
      <c r="G163" s="1399"/>
      <c r="H163" s="1408"/>
      <c r="I163" s="1400"/>
      <c r="J163" s="1380"/>
      <c r="K163" s="1380"/>
      <c r="L163" s="1380"/>
      <c r="M163" s="655"/>
      <c r="N163" s="655"/>
      <c r="O163" s="655"/>
      <c r="P163" s="655"/>
      <c r="Q163" s="266"/>
      <c r="R163" s="266"/>
      <c r="S163" s="268"/>
      <c r="T163" s="269" t="e">
        <f>VLOOKUP(Q163,[71]Listas!$D$6:$E$10,2,0)</f>
        <v>#N/A</v>
      </c>
      <c r="U163" s="269" t="e">
        <f>HLOOKUP(R163,[71]Listas!$F$4:$J$5,2,0)</f>
        <v>#N/A</v>
      </c>
      <c r="V163" s="270" t="e">
        <f>INDEX([71]Listas!$F$6:$J$10,MATCH(Q163,[71]Listas!$D$6:$D$10,0),MATCH(R163,[71]Listas!$F$4:$J$4,0))</f>
        <v>#N/A</v>
      </c>
      <c r="W163" s="268"/>
      <c r="X163" s="1399"/>
      <c r="Y163" s="1408"/>
      <c r="Z163" s="1400"/>
      <c r="AA163" s="1063"/>
      <c r="AB163" s="267"/>
      <c r="AC163" s="259"/>
      <c r="AD163" s="655"/>
      <c r="AE163" s="267"/>
      <c r="AF163" s="268"/>
      <c r="AG163" s="269">
        <f t="shared" si="19"/>
        <v>0</v>
      </c>
      <c r="AH163" s="271" t="e">
        <f t="shared" si="20"/>
        <v>#N/A</v>
      </c>
      <c r="AI163" s="272" t="e">
        <f>IF(AH163&lt;=1,"Remota",VLOOKUP(AH163,[71]Listas!$C$6:$D$10,2,0))</f>
        <v>#N/A</v>
      </c>
      <c r="AJ163" s="271" t="e">
        <f t="shared" si="21"/>
        <v>#N/A</v>
      </c>
      <c r="AK163" s="272" t="e">
        <f>IF(AJ163&lt;=1,"Insignificante",HLOOKUP(AJ163,[71]Listas!$F$3:$J$4,2,0))</f>
        <v>#N/A</v>
      </c>
      <c r="AL163" s="273" t="e">
        <f t="shared" si="22"/>
        <v>#N/A</v>
      </c>
      <c r="AM163" s="270" t="e">
        <f>INDEX([71]Listas!$F$6:$J$10,MATCH(AI163,[71]Listas!$D$6:$D$10,0),MATCH(AK163,[71]Listas!$F$4:$J$4,0))</f>
        <v>#N/A</v>
      </c>
      <c r="AN163" s="259"/>
      <c r="AO163" s="259"/>
      <c r="AP163" s="659"/>
      <c r="AQ163" s="259"/>
      <c r="AR163" s="259" t="s">
        <v>2343</v>
      </c>
      <c r="AS163" s="655"/>
      <c r="AT163" s="259"/>
      <c r="AU163" s="259"/>
      <c r="AV163" s="261"/>
      <c r="AW163" s="261"/>
      <c r="AX163" s="655"/>
      <c r="AY163" s="262"/>
    </row>
    <row r="164" spans="1:1027" s="260" customFormat="1" ht="103.5" hidden="1" customHeight="1">
      <c r="A164" s="655"/>
      <c r="B164" s="266"/>
      <c r="C164" s="1399"/>
      <c r="D164" s="1408"/>
      <c r="E164" s="1400"/>
      <c r="F164" s="267"/>
      <c r="G164" s="1399"/>
      <c r="H164" s="1408"/>
      <c r="I164" s="1400"/>
      <c r="J164" s="1380"/>
      <c r="K164" s="1380"/>
      <c r="L164" s="1380"/>
      <c r="M164" s="655"/>
      <c r="N164" s="655"/>
      <c r="O164" s="655"/>
      <c r="P164" s="655"/>
      <c r="Q164" s="266"/>
      <c r="R164" s="266"/>
      <c r="S164" s="268"/>
      <c r="T164" s="269" t="e">
        <f>VLOOKUP(Q164,[71]Listas!$D$6:$E$10,2,0)</f>
        <v>#N/A</v>
      </c>
      <c r="U164" s="269" t="e">
        <f>HLOOKUP(R164,[71]Listas!$F$4:$J$5,2,0)</f>
        <v>#N/A</v>
      </c>
      <c r="V164" s="270" t="e">
        <f>INDEX([71]Listas!$F$6:$J$10,MATCH(Q164,[71]Listas!$D$6:$D$10,0),MATCH(R164,[71]Listas!$F$4:$J$4,0))</f>
        <v>#N/A</v>
      </c>
      <c r="W164" s="268"/>
      <c r="X164" s="1399"/>
      <c r="Y164" s="1408"/>
      <c r="Z164" s="1400"/>
      <c r="AA164" s="1063"/>
      <c r="AB164" s="267"/>
      <c r="AC164" s="259"/>
      <c r="AD164" s="655"/>
      <c r="AE164" s="267"/>
      <c r="AF164" s="268"/>
      <c r="AG164" s="269">
        <f t="shared" si="19"/>
        <v>0</v>
      </c>
      <c r="AH164" s="271" t="e">
        <f t="shared" si="20"/>
        <v>#N/A</v>
      </c>
      <c r="AI164" s="272" t="e">
        <f>IF(AH164&lt;=1,"Remota",VLOOKUP(AH164,[71]Listas!$C$6:$D$10,2,0))</f>
        <v>#N/A</v>
      </c>
      <c r="AJ164" s="271" t="e">
        <f t="shared" si="21"/>
        <v>#N/A</v>
      </c>
      <c r="AK164" s="272" t="e">
        <f>IF(AJ164&lt;=1,"Insignificante",HLOOKUP(AJ164,[71]Listas!$F$3:$J$4,2,0))</f>
        <v>#N/A</v>
      </c>
      <c r="AL164" s="273" t="e">
        <f t="shared" si="22"/>
        <v>#N/A</v>
      </c>
      <c r="AM164" s="270" t="e">
        <f>INDEX([71]Listas!$F$6:$J$10,MATCH(AI164,[71]Listas!$D$6:$D$10,0),MATCH(AK164,[71]Listas!$F$4:$J$4,0))</f>
        <v>#N/A</v>
      </c>
      <c r="AN164" s="259"/>
      <c r="AO164" s="259"/>
      <c r="AP164" s="659"/>
      <c r="AQ164" s="259"/>
      <c r="AR164" s="259" t="s">
        <v>2343</v>
      </c>
      <c r="AS164" s="655"/>
      <c r="AT164" s="259"/>
      <c r="AU164" s="259"/>
      <c r="AV164" s="261"/>
      <c r="AW164" s="261"/>
      <c r="AX164" s="655"/>
      <c r="AY164" s="262"/>
    </row>
    <row r="165" spans="1:1027" s="260" customFormat="1" ht="103.5" hidden="1" customHeight="1">
      <c r="A165" s="655"/>
      <c r="B165" s="266"/>
      <c r="C165" s="1399"/>
      <c r="D165" s="1408"/>
      <c r="E165" s="1400"/>
      <c r="F165" s="267"/>
      <c r="G165" s="1399"/>
      <c r="H165" s="1408"/>
      <c r="I165" s="1400"/>
      <c r="J165" s="1380"/>
      <c r="K165" s="1380"/>
      <c r="L165" s="1380"/>
      <c r="M165" s="655"/>
      <c r="N165" s="655"/>
      <c r="O165" s="655"/>
      <c r="P165" s="655"/>
      <c r="Q165" s="266"/>
      <c r="R165" s="266"/>
      <c r="S165" s="268"/>
      <c r="T165" s="269" t="e">
        <f>VLOOKUP(Q165,[71]Listas!$D$6:$E$10,2,0)</f>
        <v>#N/A</v>
      </c>
      <c r="U165" s="269" t="e">
        <f>HLOOKUP(R165,[71]Listas!$F$4:$J$5,2,0)</f>
        <v>#N/A</v>
      </c>
      <c r="V165" s="270" t="e">
        <f>INDEX([71]Listas!$F$6:$J$10,MATCH(Q165,[71]Listas!$D$6:$D$10,0),MATCH(R165,[71]Listas!$F$4:$J$4,0))</f>
        <v>#N/A</v>
      </c>
      <c r="W165" s="268"/>
      <c r="X165" s="1399"/>
      <c r="Y165" s="1408"/>
      <c r="Z165" s="1400"/>
      <c r="AA165" s="1063"/>
      <c r="AB165" s="267"/>
      <c r="AC165" s="259"/>
      <c r="AD165" s="655"/>
      <c r="AE165" s="267"/>
      <c r="AF165" s="268"/>
      <c r="AG165" s="269">
        <f t="shared" si="19"/>
        <v>0</v>
      </c>
      <c r="AH165" s="271" t="e">
        <f t="shared" si="20"/>
        <v>#N/A</v>
      </c>
      <c r="AI165" s="272" t="e">
        <f>IF(AH165&lt;=1,"Remota",VLOOKUP(AH165,[71]Listas!$C$6:$D$10,2,0))</f>
        <v>#N/A</v>
      </c>
      <c r="AJ165" s="271" t="e">
        <f t="shared" si="21"/>
        <v>#N/A</v>
      </c>
      <c r="AK165" s="272" t="e">
        <f>IF(AJ165&lt;=1,"Insignificante",HLOOKUP(AJ165,[71]Listas!$F$3:$J$4,2,0))</f>
        <v>#N/A</v>
      </c>
      <c r="AL165" s="273" t="e">
        <f t="shared" si="22"/>
        <v>#N/A</v>
      </c>
      <c r="AM165" s="270" t="e">
        <f>INDEX([71]Listas!$F$6:$J$10,MATCH(AI165,[71]Listas!$D$6:$D$10,0),MATCH(AK165,[71]Listas!$F$4:$J$4,0))</f>
        <v>#N/A</v>
      </c>
      <c r="AN165" s="259"/>
      <c r="AO165" s="259"/>
      <c r="AP165" s="659"/>
      <c r="AQ165" s="259"/>
      <c r="AR165" s="259" t="s">
        <v>2343</v>
      </c>
      <c r="AS165" s="655"/>
      <c r="AT165" s="259"/>
      <c r="AU165" s="259"/>
      <c r="AV165" s="261"/>
      <c r="AW165" s="261"/>
      <c r="AX165" s="655"/>
      <c r="AY165" s="262"/>
    </row>
    <row r="166" spans="1:1027" s="260" customFormat="1" ht="103.5" hidden="1" customHeight="1">
      <c r="A166" s="655"/>
      <c r="B166" s="266"/>
      <c r="C166" s="1399"/>
      <c r="D166" s="1408"/>
      <c r="E166" s="1400"/>
      <c r="F166" s="267"/>
      <c r="G166" s="1399"/>
      <c r="H166" s="1408"/>
      <c r="I166" s="1400"/>
      <c r="J166" s="1380"/>
      <c r="K166" s="1380"/>
      <c r="L166" s="1380"/>
      <c r="M166" s="655"/>
      <c r="N166" s="655"/>
      <c r="O166" s="655"/>
      <c r="P166" s="655"/>
      <c r="Q166" s="266"/>
      <c r="R166" s="266"/>
      <c r="S166" s="268"/>
      <c r="T166" s="269" t="e">
        <f>VLOOKUP(Q166,[71]Listas!$D$6:$E$10,2,0)</f>
        <v>#N/A</v>
      </c>
      <c r="U166" s="269" t="e">
        <f>HLOOKUP(R166,[71]Listas!$F$4:$J$5,2,0)</f>
        <v>#N/A</v>
      </c>
      <c r="V166" s="270" t="e">
        <f>INDEX([71]Listas!$F$6:$J$10,MATCH(Q166,[71]Listas!$D$6:$D$10,0),MATCH(R166,[71]Listas!$F$4:$J$4,0))</f>
        <v>#N/A</v>
      </c>
      <c r="W166" s="268"/>
      <c r="X166" s="1399"/>
      <c r="Y166" s="1408"/>
      <c r="Z166" s="1400"/>
      <c r="AA166" s="1063"/>
      <c r="AB166" s="267"/>
      <c r="AC166" s="259"/>
      <c r="AD166" s="655"/>
      <c r="AE166" s="267"/>
      <c r="AF166" s="268"/>
      <c r="AG166" s="269">
        <f t="shared" si="19"/>
        <v>0</v>
      </c>
      <c r="AH166" s="271" t="e">
        <f t="shared" si="20"/>
        <v>#N/A</v>
      </c>
      <c r="AI166" s="272" t="e">
        <f>IF(AH166&lt;=1,"Remota",VLOOKUP(AH166,[71]Listas!$C$6:$D$10,2,0))</f>
        <v>#N/A</v>
      </c>
      <c r="AJ166" s="271" t="e">
        <f t="shared" si="21"/>
        <v>#N/A</v>
      </c>
      <c r="AK166" s="272" t="e">
        <f>IF(AJ166&lt;=1,"Insignificante",HLOOKUP(AJ166,[71]Listas!$F$3:$J$4,2,0))</f>
        <v>#N/A</v>
      </c>
      <c r="AL166" s="273" t="e">
        <f t="shared" si="22"/>
        <v>#N/A</v>
      </c>
      <c r="AM166" s="270" t="e">
        <f>INDEX([71]Listas!$F$6:$J$10,MATCH(AI166,[71]Listas!$D$6:$D$10,0),MATCH(AK166,[71]Listas!$F$4:$J$4,0))</f>
        <v>#N/A</v>
      </c>
      <c r="AN166" s="259"/>
      <c r="AO166" s="259"/>
      <c r="AP166" s="659"/>
      <c r="AQ166" s="259"/>
      <c r="AR166" s="259" t="s">
        <v>2343</v>
      </c>
      <c r="AS166" s="655"/>
      <c r="AT166" s="259"/>
      <c r="AU166" s="259"/>
      <c r="AV166" s="261"/>
      <c r="AW166" s="261"/>
      <c r="AX166" s="655"/>
      <c r="AY166" s="262"/>
    </row>
    <row r="167" spans="1:1027" s="260" customFormat="1" ht="103.5" hidden="1" customHeight="1">
      <c r="A167" s="655"/>
      <c r="B167" s="266"/>
      <c r="C167" s="1399"/>
      <c r="D167" s="1408"/>
      <c r="E167" s="1400"/>
      <c r="F167" s="267"/>
      <c r="G167" s="1399"/>
      <c r="H167" s="1408"/>
      <c r="I167" s="1400"/>
      <c r="J167" s="1380"/>
      <c r="K167" s="1380"/>
      <c r="L167" s="1380"/>
      <c r="M167" s="655"/>
      <c r="N167" s="655"/>
      <c r="O167" s="655"/>
      <c r="P167" s="655"/>
      <c r="Q167" s="266"/>
      <c r="R167" s="266"/>
      <c r="S167" s="268"/>
      <c r="T167" s="269" t="e">
        <f>VLOOKUP(Q167,[71]Listas!$D$6:$E$10,2,0)</f>
        <v>#N/A</v>
      </c>
      <c r="U167" s="269" t="e">
        <f>HLOOKUP(R167,[71]Listas!$F$4:$J$5,2,0)</f>
        <v>#N/A</v>
      </c>
      <c r="V167" s="270" t="e">
        <f>INDEX([71]Listas!$F$6:$J$10,MATCH(Q167,[71]Listas!$D$6:$D$10,0),MATCH(R167,[71]Listas!$F$4:$J$4,0))</f>
        <v>#N/A</v>
      </c>
      <c r="W167" s="268"/>
      <c r="X167" s="1399"/>
      <c r="Y167" s="1408"/>
      <c r="Z167" s="1400"/>
      <c r="AA167" s="1063"/>
      <c r="AB167" s="267"/>
      <c r="AC167" s="259"/>
      <c r="AD167" s="655"/>
      <c r="AE167" s="267"/>
      <c r="AF167" s="268"/>
      <c r="AG167" s="269">
        <f t="shared" si="19"/>
        <v>0</v>
      </c>
      <c r="AH167" s="271" t="e">
        <f t="shared" si="20"/>
        <v>#N/A</v>
      </c>
      <c r="AI167" s="272" t="e">
        <f>IF(AH167&lt;=1,"Remota",VLOOKUP(AH167,[71]Listas!$C$6:$D$10,2,0))</f>
        <v>#N/A</v>
      </c>
      <c r="AJ167" s="271" t="e">
        <f t="shared" si="21"/>
        <v>#N/A</v>
      </c>
      <c r="AK167" s="272" t="e">
        <f>IF(AJ167&lt;=1,"Insignificante",HLOOKUP(AJ167,[71]Listas!$F$3:$J$4,2,0))</f>
        <v>#N/A</v>
      </c>
      <c r="AL167" s="273" t="e">
        <f t="shared" si="22"/>
        <v>#N/A</v>
      </c>
      <c r="AM167" s="270" t="e">
        <f>INDEX([71]Listas!$F$6:$J$10,MATCH(AI167,[71]Listas!$D$6:$D$10,0),MATCH(AK167,[71]Listas!$F$4:$J$4,0))</f>
        <v>#N/A</v>
      </c>
      <c r="AN167" s="259"/>
      <c r="AO167" s="259"/>
      <c r="AP167" s="659"/>
      <c r="AQ167" s="259"/>
      <c r="AR167" s="259" t="s">
        <v>2343</v>
      </c>
      <c r="AS167" s="655"/>
      <c r="AT167" s="259"/>
      <c r="AU167" s="259"/>
      <c r="AV167" s="261"/>
      <c r="AW167" s="261"/>
      <c r="AX167" s="655"/>
      <c r="AY167" s="262"/>
    </row>
    <row r="168" spans="1:1027" ht="5.25" customHeight="1">
      <c r="A168" s="275"/>
      <c r="B168" s="276"/>
      <c r="C168" s="276"/>
      <c r="D168" s="276"/>
      <c r="E168" s="275"/>
      <c r="F168" s="275"/>
      <c r="G168" s="277"/>
      <c r="H168" s="277"/>
      <c r="I168" s="277"/>
      <c r="J168" s="275"/>
      <c r="K168" s="275"/>
      <c r="L168" s="278"/>
      <c r="M168" s="278"/>
      <c r="N168" s="278"/>
      <c r="O168" s="278"/>
      <c r="P168" s="278"/>
      <c r="Q168" s="278"/>
      <c r="R168" s="278"/>
      <c r="S168" s="278"/>
      <c r="T168" s="278"/>
      <c r="U168" s="278"/>
      <c r="V168" s="275"/>
      <c r="W168" s="275"/>
      <c r="X168" s="277"/>
      <c r="Y168" s="277"/>
      <c r="Z168" s="277"/>
      <c r="AA168" s="277"/>
      <c r="AB168" s="277"/>
      <c r="AC168" s="277"/>
      <c r="AD168" s="275"/>
      <c r="AE168" s="275"/>
      <c r="AF168" s="275"/>
      <c r="AG168" s="275"/>
      <c r="AH168" s="275"/>
      <c r="AI168" s="275"/>
      <c r="AJ168" s="275"/>
      <c r="AK168" s="275"/>
      <c r="AL168" s="275"/>
      <c r="AM168" s="279"/>
      <c r="AN168" s="262"/>
      <c r="AO168" s="262"/>
      <c r="AP168" s="262"/>
      <c r="AQ168" s="262"/>
      <c r="AR168" s="262"/>
      <c r="AS168" s="262"/>
      <c r="AT168" s="262"/>
      <c r="AU168" s="262"/>
      <c r="AV168" s="262"/>
      <c r="AW168" s="262"/>
      <c r="AX168" s="262"/>
      <c r="AY168" s="262"/>
      <c r="AZ168" s="236"/>
      <c r="BA168" s="236"/>
      <c r="BB168" s="236"/>
      <c r="BC168" s="236"/>
      <c r="BD168" s="236"/>
      <c r="BE168" s="236"/>
      <c r="BF168" s="236"/>
      <c r="BG168" s="236"/>
      <c r="BH168" s="236"/>
      <c r="BI168" s="236"/>
      <c r="BJ168" s="236"/>
      <c r="BK168" s="236"/>
      <c r="BL168" s="236"/>
      <c r="BM168" s="236"/>
      <c r="BN168" s="236"/>
      <c r="BO168" s="236"/>
      <c r="BP168" s="236"/>
      <c r="BQ168" s="236"/>
      <c r="BR168" s="236"/>
      <c r="BS168" s="236"/>
      <c r="BT168" s="236"/>
      <c r="BU168" s="236"/>
      <c r="BV168" s="236"/>
      <c r="BW168" s="236"/>
      <c r="BX168" s="236"/>
      <c r="BY168" s="236"/>
      <c r="BZ168" s="236"/>
      <c r="CA168" s="236"/>
      <c r="CB168" s="236"/>
      <c r="CC168" s="236"/>
      <c r="CD168" s="236"/>
      <c r="CE168" s="236"/>
      <c r="CF168" s="236"/>
      <c r="CG168" s="236"/>
      <c r="CH168" s="236"/>
      <c r="CI168" s="236"/>
      <c r="CJ168" s="236"/>
      <c r="CK168" s="236"/>
      <c r="CL168" s="236"/>
      <c r="CM168" s="236"/>
      <c r="CN168" s="236"/>
      <c r="CO168" s="236"/>
      <c r="CP168" s="236"/>
      <c r="CQ168" s="236"/>
      <c r="CR168" s="236"/>
      <c r="CS168" s="236"/>
      <c r="CT168" s="236"/>
      <c r="CU168" s="236"/>
      <c r="CV168" s="236"/>
      <c r="CW168" s="236"/>
      <c r="CX168" s="236"/>
      <c r="CY168" s="236"/>
      <c r="CZ168" s="236"/>
      <c r="DA168" s="236"/>
      <c r="DB168" s="236"/>
      <c r="DC168" s="236"/>
      <c r="DD168" s="236"/>
      <c r="DE168" s="236"/>
      <c r="DF168" s="236"/>
      <c r="DG168" s="236"/>
      <c r="DH168" s="236"/>
      <c r="DI168" s="236"/>
      <c r="DJ168" s="236"/>
      <c r="DK168" s="236"/>
      <c r="DL168" s="236"/>
      <c r="DM168" s="236"/>
      <c r="DN168" s="236"/>
      <c r="DO168" s="236"/>
      <c r="DP168" s="236"/>
      <c r="DQ168" s="236"/>
      <c r="DR168" s="236"/>
      <c r="DS168" s="236"/>
      <c r="DT168" s="236"/>
      <c r="DU168" s="236"/>
      <c r="DV168" s="236"/>
      <c r="DW168" s="236"/>
      <c r="DX168" s="236"/>
      <c r="DY168" s="236"/>
      <c r="DZ168" s="236"/>
      <c r="EA168" s="236"/>
      <c r="EB168" s="236"/>
      <c r="EC168" s="236"/>
      <c r="ED168" s="236"/>
      <c r="EE168" s="236"/>
      <c r="EF168" s="236"/>
      <c r="EG168" s="236"/>
      <c r="EH168" s="236"/>
      <c r="EI168" s="236"/>
      <c r="EJ168" s="236"/>
      <c r="EK168" s="236"/>
      <c r="EL168" s="236"/>
      <c r="EM168" s="236"/>
      <c r="EN168" s="236"/>
      <c r="EO168" s="236"/>
      <c r="EP168" s="236"/>
      <c r="EQ168" s="236"/>
      <c r="ER168" s="236"/>
      <c r="ES168" s="236"/>
      <c r="ET168" s="236"/>
      <c r="EU168" s="236"/>
      <c r="EV168" s="236"/>
      <c r="EW168" s="236"/>
      <c r="EX168" s="236"/>
      <c r="EY168" s="236"/>
      <c r="EZ168" s="236"/>
      <c r="FA168" s="236"/>
      <c r="FB168" s="236"/>
      <c r="FC168" s="236"/>
      <c r="FD168" s="236"/>
      <c r="FE168" s="236"/>
      <c r="FF168" s="236"/>
      <c r="FG168" s="236"/>
      <c r="FH168" s="236"/>
      <c r="FI168" s="236"/>
      <c r="FJ168" s="236"/>
      <c r="FK168" s="236"/>
      <c r="FL168" s="236"/>
      <c r="FM168" s="236"/>
      <c r="FN168" s="236"/>
      <c r="FO168" s="236"/>
      <c r="FP168" s="236"/>
      <c r="FQ168" s="236"/>
      <c r="FR168" s="236"/>
      <c r="FS168" s="236"/>
      <c r="FT168" s="236"/>
      <c r="FU168" s="236"/>
      <c r="FV168" s="236"/>
      <c r="FW168" s="236"/>
      <c r="FX168" s="236"/>
      <c r="FY168" s="236"/>
      <c r="FZ168" s="236"/>
      <c r="GA168" s="236"/>
      <c r="GB168" s="236"/>
      <c r="GC168" s="236"/>
      <c r="GD168" s="236"/>
      <c r="GE168" s="236"/>
      <c r="GF168" s="236"/>
      <c r="GG168" s="236"/>
      <c r="GH168" s="236"/>
      <c r="GI168" s="236"/>
      <c r="GJ168" s="236"/>
      <c r="GK168" s="236"/>
      <c r="GL168" s="236"/>
      <c r="GM168" s="236"/>
      <c r="GN168" s="236"/>
      <c r="GO168" s="236"/>
      <c r="GP168" s="236"/>
      <c r="GQ168" s="236"/>
      <c r="GR168" s="236"/>
      <c r="GS168" s="236"/>
      <c r="GT168" s="236"/>
      <c r="GU168" s="236"/>
      <c r="GV168" s="236"/>
      <c r="GW168" s="236"/>
      <c r="GX168" s="236"/>
      <c r="GY168" s="236"/>
      <c r="GZ168" s="236"/>
      <c r="HA168" s="236"/>
      <c r="HB168" s="236"/>
      <c r="HC168" s="236"/>
      <c r="HD168" s="236"/>
      <c r="HE168" s="236"/>
      <c r="HF168" s="236"/>
      <c r="HG168" s="236"/>
      <c r="HH168" s="236"/>
      <c r="HI168" s="236"/>
      <c r="HJ168" s="236"/>
      <c r="HK168" s="236"/>
      <c r="HL168" s="236"/>
      <c r="HM168" s="236"/>
      <c r="HN168" s="236"/>
      <c r="HO168" s="236"/>
      <c r="HP168" s="236"/>
      <c r="HQ168" s="236"/>
      <c r="HR168" s="236"/>
      <c r="HS168" s="236"/>
      <c r="HT168" s="236"/>
      <c r="HU168" s="236"/>
      <c r="HV168" s="236"/>
      <c r="HW168" s="236"/>
      <c r="HX168" s="236"/>
      <c r="HY168" s="236"/>
      <c r="HZ168" s="236"/>
      <c r="IA168" s="236"/>
      <c r="IB168" s="236"/>
      <c r="IC168" s="236"/>
      <c r="ID168" s="236"/>
      <c r="IE168" s="236"/>
      <c r="IF168" s="236"/>
      <c r="IG168" s="236"/>
      <c r="IH168" s="236"/>
      <c r="II168" s="236"/>
      <c r="IJ168" s="236"/>
      <c r="IK168" s="236"/>
      <c r="IL168" s="236"/>
      <c r="IM168" s="236"/>
      <c r="IN168" s="236"/>
      <c r="IO168" s="236"/>
      <c r="IP168" s="236"/>
      <c r="IQ168" s="236"/>
      <c r="IR168" s="236"/>
      <c r="IS168" s="236"/>
      <c r="IT168" s="236"/>
      <c r="IU168" s="236"/>
      <c r="IV168" s="236"/>
      <c r="IW168" s="236"/>
      <c r="IX168" s="236"/>
      <c r="IY168" s="236"/>
      <c r="IZ168" s="236"/>
      <c r="JA168" s="236"/>
      <c r="JB168" s="236"/>
      <c r="JC168" s="236"/>
      <c r="JD168" s="236"/>
      <c r="JE168" s="236"/>
      <c r="JF168" s="236"/>
      <c r="JG168" s="236"/>
      <c r="JH168" s="236"/>
      <c r="JI168" s="236"/>
      <c r="JJ168" s="236"/>
      <c r="JK168" s="236"/>
      <c r="JL168" s="236"/>
      <c r="JM168" s="236"/>
      <c r="JN168" s="236"/>
      <c r="JO168" s="236"/>
      <c r="JP168" s="236"/>
      <c r="JQ168" s="236"/>
      <c r="JR168" s="236"/>
      <c r="JS168" s="236"/>
      <c r="JT168" s="236"/>
      <c r="JU168" s="236"/>
      <c r="JV168" s="236"/>
      <c r="JW168" s="236"/>
      <c r="JX168" s="236"/>
      <c r="JY168" s="236"/>
      <c r="JZ168" s="236"/>
      <c r="KA168" s="236"/>
      <c r="KB168" s="236"/>
      <c r="KC168" s="236"/>
      <c r="KD168" s="236"/>
      <c r="KE168" s="236"/>
      <c r="KF168" s="236"/>
      <c r="KG168" s="236"/>
      <c r="KH168" s="236"/>
      <c r="KI168" s="236"/>
      <c r="KJ168" s="236"/>
      <c r="KK168" s="236"/>
      <c r="KL168" s="236"/>
      <c r="KM168" s="236"/>
      <c r="KN168" s="236"/>
      <c r="KO168" s="236"/>
      <c r="KP168" s="236"/>
      <c r="KQ168" s="236"/>
      <c r="KR168" s="236"/>
      <c r="KS168" s="236"/>
      <c r="KT168" s="236"/>
      <c r="KU168" s="236"/>
      <c r="KV168" s="236"/>
      <c r="KW168" s="236"/>
      <c r="KX168" s="236"/>
      <c r="KY168" s="236"/>
      <c r="KZ168" s="236"/>
      <c r="LA168" s="236"/>
      <c r="LB168" s="236"/>
      <c r="LC168" s="236"/>
      <c r="LD168" s="236"/>
      <c r="LE168" s="236"/>
      <c r="LF168" s="236"/>
      <c r="LG168" s="236"/>
      <c r="LH168" s="236"/>
      <c r="LI168" s="236"/>
      <c r="LJ168" s="236"/>
      <c r="LK168" s="236"/>
      <c r="LL168" s="236"/>
      <c r="LM168" s="236"/>
      <c r="LN168" s="236"/>
      <c r="LO168" s="236"/>
      <c r="LP168" s="236"/>
      <c r="LQ168" s="236"/>
      <c r="LR168" s="236"/>
      <c r="LS168" s="236"/>
      <c r="LT168" s="236"/>
      <c r="LU168" s="236"/>
      <c r="LV168" s="236"/>
      <c r="LW168" s="236"/>
      <c r="LX168" s="236"/>
      <c r="LY168" s="236"/>
      <c r="LZ168" s="236"/>
      <c r="MA168" s="236"/>
      <c r="MB168" s="236"/>
      <c r="MC168" s="236"/>
      <c r="MD168" s="236"/>
      <c r="ME168" s="236"/>
      <c r="MF168" s="236"/>
      <c r="MG168" s="236"/>
      <c r="MH168" s="236"/>
      <c r="MI168" s="236"/>
      <c r="MJ168" s="236"/>
      <c r="MK168" s="236"/>
      <c r="ML168" s="236"/>
      <c r="MM168" s="236"/>
      <c r="MN168" s="236"/>
      <c r="MO168" s="236"/>
      <c r="MP168" s="236"/>
      <c r="MQ168" s="236"/>
      <c r="MR168" s="236"/>
      <c r="MS168" s="236"/>
      <c r="MT168" s="236"/>
      <c r="MU168" s="236"/>
      <c r="MV168" s="236"/>
      <c r="MW168" s="236"/>
      <c r="MX168" s="236"/>
      <c r="MY168" s="236"/>
      <c r="MZ168" s="236"/>
      <c r="NA168" s="236"/>
      <c r="NB168" s="236"/>
      <c r="NC168" s="236"/>
      <c r="ND168" s="236"/>
      <c r="NE168" s="236"/>
      <c r="NF168" s="236"/>
      <c r="NG168" s="236"/>
      <c r="NH168" s="236"/>
      <c r="NI168" s="236"/>
      <c r="NJ168" s="236"/>
      <c r="NK168" s="236"/>
      <c r="NL168" s="236"/>
      <c r="NM168" s="236"/>
      <c r="NN168" s="236"/>
      <c r="NO168" s="236"/>
      <c r="NP168" s="236"/>
      <c r="NQ168" s="236"/>
      <c r="NR168" s="236"/>
      <c r="NS168" s="236"/>
      <c r="NT168" s="236"/>
      <c r="NU168" s="236"/>
      <c r="NV168" s="236"/>
      <c r="NW168" s="236"/>
      <c r="NX168" s="236"/>
      <c r="NY168" s="236"/>
      <c r="NZ168" s="236"/>
      <c r="OA168" s="236"/>
      <c r="OB168" s="236"/>
      <c r="OC168" s="236"/>
      <c r="OD168" s="236"/>
      <c r="OE168" s="236"/>
      <c r="OF168" s="236"/>
      <c r="OG168" s="236"/>
      <c r="OH168" s="236"/>
      <c r="OI168" s="236"/>
      <c r="OJ168" s="236"/>
      <c r="OK168" s="236"/>
      <c r="OL168" s="236"/>
      <c r="OM168" s="236"/>
      <c r="ON168" s="236"/>
      <c r="OO168" s="236"/>
      <c r="OP168" s="236"/>
      <c r="OQ168" s="236"/>
      <c r="OR168" s="236"/>
      <c r="OS168" s="236"/>
      <c r="OT168" s="236"/>
      <c r="OU168" s="236"/>
      <c r="OV168" s="236"/>
      <c r="OW168" s="236"/>
      <c r="OX168" s="236"/>
      <c r="OY168" s="236"/>
      <c r="OZ168" s="236"/>
      <c r="PA168" s="236"/>
      <c r="PB168" s="236"/>
      <c r="PC168" s="236"/>
      <c r="PD168" s="236"/>
      <c r="PE168" s="236"/>
      <c r="PF168" s="236"/>
      <c r="PG168" s="236"/>
      <c r="PH168" s="236"/>
      <c r="PI168" s="236"/>
      <c r="PJ168" s="236"/>
      <c r="PK168" s="236"/>
      <c r="PL168" s="236"/>
      <c r="PM168" s="236"/>
      <c r="PN168" s="236"/>
      <c r="PO168" s="236"/>
      <c r="PP168" s="236"/>
      <c r="PQ168" s="236"/>
      <c r="PR168" s="236"/>
      <c r="PS168" s="236"/>
      <c r="PT168" s="236"/>
      <c r="PU168" s="236"/>
      <c r="PV168" s="236"/>
      <c r="PW168" s="236"/>
      <c r="PX168" s="236"/>
      <c r="PY168" s="236"/>
      <c r="PZ168" s="236"/>
      <c r="QA168" s="236"/>
      <c r="QB168" s="236"/>
      <c r="QC168" s="236"/>
      <c r="QD168" s="236"/>
      <c r="QE168" s="236"/>
      <c r="QF168" s="236"/>
      <c r="QG168" s="236"/>
      <c r="QH168" s="236"/>
      <c r="QI168" s="236"/>
      <c r="QJ168" s="236"/>
      <c r="QK168" s="236"/>
      <c r="QL168" s="236"/>
      <c r="QM168" s="236"/>
      <c r="QN168" s="236"/>
      <c r="QO168" s="236"/>
      <c r="QP168" s="236"/>
      <c r="QQ168" s="236"/>
      <c r="QR168" s="236"/>
      <c r="QS168" s="236"/>
      <c r="QT168" s="236"/>
      <c r="QU168" s="236"/>
      <c r="QV168" s="236"/>
      <c r="QW168" s="236"/>
      <c r="QX168" s="236"/>
      <c r="QY168" s="236"/>
      <c r="QZ168" s="236"/>
      <c r="RA168" s="236"/>
      <c r="RB168" s="236"/>
      <c r="RC168" s="236"/>
      <c r="RD168" s="236"/>
      <c r="RE168" s="236"/>
      <c r="RF168" s="236"/>
      <c r="RG168" s="236"/>
      <c r="RH168" s="236"/>
      <c r="RI168" s="236"/>
      <c r="RJ168" s="236"/>
      <c r="RK168" s="236"/>
      <c r="RL168" s="236"/>
      <c r="RM168" s="236"/>
      <c r="RN168" s="236"/>
      <c r="RO168" s="236"/>
      <c r="RP168" s="236"/>
      <c r="RQ168" s="236"/>
      <c r="RR168" s="236"/>
      <c r="RS168" s="236"/>
      <c r="RT168" s="236"/>
      <c r="RU168" s="236"/>
      <c r="RV168" s="236"/>
      <c r="RW168" s="236"/>
      <c r="RX168" s="236"/>
      <c r="RY168" s="236"/>
      <c r="RZ168" s="236"/>
      <c r="SA168" s="236"/>
      <c r="SB168" s="236"/>
      <c r="SC168" s="236"/>
      <c r="SD168" s="236"/>
      <c r="SE168" s="236"/>
      <c r="SF168" s="236"/>
      <c r="SG168" s="236"/>
      <c r="SH168" s="236"/>
      <c r="SI168" s="236"/>
      <c r="SJ168" s="236"/>
      <c r="SK168" s="236"/>
      <c r="SL168" s="236"/>
      <c r="SM168" s="236"/>
      <c r="SN168" s="236"/>
      <c r="SO168" s="236"/>
      <c r="SP168" s="236"/>
      <c r="SQ168" s="236"/>
      <c r="SR168" s="236"/>
      <c r="SS168" s="236"/>
      <c r="ST168" s="236"/>
      <c r="SU168" s="236"/>
      <c r="SV168" s="236"/>
      <c r="SW168" s="236"/>
      <c r="SX168" s="236"/>
      <c r="SY168" s="236"/>
      <c r="SZ168" s="236"/>
      <c r="TA168" s="236"/>
      <c r="TB168" s="236"/>
      <c r="TC168" s="236"/>
      <c r="TD168" s="236"/>
      <c r="TE168" s="236"/>
      <c r="TF168" s="236"/>
      <c r="TG168" s="236"/>
      <c r="TH168" s="236"/>
      <c r="TI168" s="236"/>
      <c r="TJ168" s="236"/>
      <c r="TK168" s="236"/>
      <c r="TL168" s="236"/>
      <c r="TM168" s="236"/>
      <c r="TN168" s="236"/>
      <c r="TO168" s="236"/>
      <c r="TP168" s="236"/>
      <c r="TQ168" s="236"/>
      <c r="TR168" s="236"/>
      <c r="TS168" s="236"/>
      <c r="TT168" s="236"/>
      <c r="TU168" s="236"/>
      <c r="TV168" s="236"/>
      <c r="TW168" s="236"/>
      <c r="TX168" s="236"/>
      <c r="TY168" s="236"/>
      <c r="TZ168" s="236"/>
      <c r="UA168" s="236"/>
      <c r="UB168" s="236"/>
      <c r="UC168" s="236"/>
      <c r="UD168" s="236"/>
      <c r="UE168" s="236"/>
      <c r="UF168" s="236"/>
      <c r="UG168" s="236"/>
      <c r="UH168" s="236"/>
      <c r="UI168" s="236"/>
      <c r="UJ168" s="236"/>
      <c r="UK168" s="236"/>
      <c r="UL168" s="236"/>
      <c r="UM168" s="236"/>
      <c r="UN168" s="236"/>
      <c r="UO168" s="236"/>
      <c r="UP168" s="236"/>
      <c r="UQ168" s="236"/>
      <c r="UR168" s="236"/>
      <c r="US168" s="236"/>
      <c r="UT168" s="236"/>
      <c r="UU168" s="236"/>
      <c r="UV168" s="236"/>
      <c r="UW168" s="236"/>
      <c r="UX168" s="236"/>
      <c r="UY168" s="236"/>
      <c r="UZ168" s="236"/>
      <c r="VA168" s="236"/>
      <c r="VB168" s="236"/>
      <c r="VC168" s="236"/>
      <c r="VD168" s="236"/>
      <c r="VE168" s="236"/>
      <c r="VF168" s="236"/>
      <c r="VG168" s="236"/>
      <c r="VH168" s="236"/>
      <c r="VI168" s="236"/>
      <c r="VJ168" s="236"/>
      <c r="VK168" s="236"/>
      <c r="VL168" s="236"/>
      <c r="VM168" s="236"/>
      <c r="VN168" s="236"/>
      <c r="VO168" s="236"/>
      <c r="VP168" s="236"/>
      <c r="VQ168" s="236"/>
      <c r="VR168" s="236"/>
      <c r="VS168" s="236"/>
      <c r="VT168" s="236"/>
      <c r="VU168" s="236"/>
      <c r="VV168" s="236"/>
      <c r="VW168" s="236"/>
      <c r="VX168" s="236"/>
      <c r="VY168" s="236"/>
      <c r="VZ168" s="236"/>
      <c r="WA168" s="236"/>
      <c r="WB168" s="236"/>
      <c r="WC168" s="236"/>
      <c r="WD168" s="236"/>
      <c r="WE168" s="236"/>
      <c r="WF168" s="236"/>
      <c r="WG168" s="236"/>
      <c r="WH168" s="236"/>
      <c r="WI168" s="236"/>
      <c r="WJ168" s="236"/>
      <c r="WK168" s="236"/>
      <c r="WL168" s="236"/>
      <c r="WM168" s="236"/>
      <c r="WN168" s="236"/>
      <c r="WO168" s="236"/>
      <c r="WP168" s="236"/>
      <c r="WQ168" s="236"/>
      <c r="WR168" s="236"/>
      <c r="WS168" s="236"/>
      <c r="WT168" s="236"/>
      <c r="WU168" s="236"/>
      <c r="WV168" s="236"/>
      <c r="WW168" s="236"/>
      <c r="WX168" s="236"/>
      <c r="WY168" s="236"/>
      <c r="WZ168" s="236"/>
      <c r="XA168" s="236"/>
      <c r="XB168" s="236"/>
      <c r="XC168" s="236"/>
      <c r="XD168" s="236"/>
      <c r="XE168" s="236"/>
      <c r="XF168" s="236"/>
      <c r="XG168" s="236"/>
      <c r="XH168" s="236"/>
      <c r="XI168" s="236"/>
      <c r="XJ168" s="236"/>
      <c r="XK168" s="236"/>
      <c r="XL168" s="236"/>
      <c r="XM168" s="236"/>
      <c r="XN168" s="236"/>
      <c r="XO168" s="236"/>
      <c r="XP168" s="236"/>
      <c r="XQ168" s="236"/>
      <c r="XR168" s="236"/>
      <c r="XS168" s="236"/>
      <c r="XT168" s="236"/>
      <c r="XU168" s="236"/>
      <c r="XV168" s="236"/>
      <c r="XW168" s="236"/>
      <c r="XX168" s="236"/>
      <c r="XY168" s="236"/>
      <c r="XZ168" s="236"/>
      <c r="YA168" s="236"/>
      <c r="YB168" s="236"/>
      <c r="YC168" s="236"/>
      <c r="YD168" s="236"/>
      <c r="YE168" s="236"/>
      <c r="YF168" s="236"/>
      <c r="YG168" s="236"/>
      <c r="YH168" s="236"/>
      <c r="YI168" s="236"/>
      <c r="YJ168" s="236"/>
      <c r="YK168" s="236"/>
      <c r="YL168" s="236"/>
      <c r="YM168" s="236"/>
      <c r="YN168" s="236"/>
      <c r="YO168" s="236"/>
      <c r="YP168" s="236"/>
      <c r="YQ168" s="236"/>
      <c r="YR168" s="236"/>
      <c r="YS168" s="236"/>
      <c r="YT168" s="236"/>
      <c r="YU168" s="236"/>
      <c r="YV168" s="236"/>
      <c r="YW168" s="236"/>
      <c r="YX168" s="236"/>
      <c r="YY168" s="236"/>
      <c r="YZ168" s="236"/>
      <c r="ZA168" s="236"/>
      <c r="ZB168" s="236"/>
      <c r="ZC168" s="236"/>
      <c r="ZD168" s="236"/>
      <c r="ZE168" s="236"/>
      <c r="ZF168" s="236"/>
      <c r="ZG168" s="236"/>
      <c r="ZH168" s="236"/>
      <c r="ZI168" s="236"/>
      <c r="ZJ168" s="236"/>
      <c r="ZK168" s="236"/>
      <c r="ZL168" s="236"/>
      <c r="ZM168" s="236"/>
      <c r="ZN168" s="236"/>
      <c r="ZO168" s="236"/>
      <c r="ZP168" s="236"/>
      <c r="ZQ168" s="236"/>
      <c r="ZR168" s="236"/>
      <c r="ZS168" s="236"/>
      <c r="ZT168" s="236"/>
      <c r="ZU168" s="236"/>
      <c r="ZV168" s="236"/>
      <c r="ZW168" s="236"/>
      <c r="ZX168" s="236"/>
      <c r="ZY168" s="236"/>
      <c r="ZZ168" s="236"/>
      <c r="AAA168" s="236"/>
      <c r="AAB168" s="236"/>
      <c r="AAC168" s="236"/>
      <c r="AAD168" s="236"/>
      <c r="AAE168" s="236"/>
      <c r="AAF168" s="236"/>
      <c r="AAG168" s="236"/>
      <c r="AAH168" s="236"/>
      <c r="AAI168" s="236"/>
      <c r="AAJ168" s="236"/>
      <c r="AAK168" s="236"/>
      <c r="AAL168" s="236"/>
      <c r="AAM168" s="236"/>
      <c r="AAN168" s="236"/>
      <c r="AAO168" s="236"/>
      <c r="AAP168" s="236"/>
      <c r="AAQ168" s="236"/>
      <c r="AAR168" s="236"/>
      <c r="AAS168" s="236"/>
      <c r="AAT168" s="236"/>
      <c r="AAU168" s="236"/>
      <c r="AAV168" s="236"/>
      <c r="AAW168" s="236"/>
      <c r="AAX168" s="236"/>
      <c r="AAY168" s="236"/>
      <c r="AAZ168" s="236"/>
      <c r="ABA168" s="236"/>
      <c r="ABB168" s="236"/>
      <c r="ABC168" s="236"/>
      <c r="ABD168" s="236"/>
      <c r="ABE168" s="236"/>
      <c r="ABF168" s="236"/>
      <c r="ABG168" s="236"/>
      <c r="ABH168" s="236"/>
      <c r="ABI168" s="236"/>
      <c r="ABJ168" s="236"/>
      <c r="ABK168" s="236"/>
      <c r="ABL168" s="236"/>
      <c r="ABM168" s="236"/>
      <c r="ABN168" s="236"/>
      <c r="ABO168" s="236"/>
      <c r="ABP168" s="236"/>
      <c r="ABQ168" s="236"/>
      <c r="ABR168" s="236"/>
      <c r="ABS168" s="236"/>
      <c r="ABT168" s="236"/>
      <c r="ABU168" s="236"/>
      <c r="ABV168" s="236"/>
      <c r="ABW168" s="236"/>
      <c r="ABX168" s="236"/>
      <c r="ABY168" s="236"/>
      <c r="ABZ168" s="236"/>
      <c r="ACA168" s="236"/>
      <c r="ACB168" s="236"/>
      <c r="ACC168" s="236"/>
      <c r="ACD168" s="236"/>
      <c r="ACE168" s="236"/>
      <c r="ACF168" s="236"/>
      <c r="ACG168" s="236"/>
      <c r="ACH168" s="236"/>
      <c r="ACI168" s="236"/>
      <c r="ACJ168" s="236"/>
      <c r="ACK168" s="236"/>
      <c r="ACL168" s="236"/>
      <c r="ACM168" s="236"/>
      <c r="ACN168" s="236"/>
      <c r="ACO168" s="236"/>
      <c r="ACP168" s="236"/>
      <c r="ACQ168" s="236"/>
      <c r="ACR168" s="236"/>
      <c r="ACS168" s="236"/>
      <c r="ACT168" s="236"/>
      <c r="ACU168" s="236"/>
      <c r="ACV168" s="236"/>
      <c r="ACW168" s="236"/>
      <c r="ACX168" s="236"/>
      <c r="ACY168" s="236"/>
      <c r="ACZ168" s="236"/>
      <c r="ADA168" s="236"/>
      <c r="ADB168" s="236"/>
      <c r="ADC168" s="236"/>
      <c r="ADD168" s="236"/>
      <c r="ADE168" s="236"/>
      <c r="ADF168" s="236"/>
      <c r="ADG168" s="236"/>
      <c r="ADH168" s="236"/>
      <c r="ADI168" s="236"/>
      <c r="ADJ168" s="236"/>
      <c r="ADK168" s="236"/>
      <c r="ADL168" s="236"/>
      <c r="ADM168" s="236"/>
      <c r="ADN168" s="236"/>
      <c r="ADO168" s="236"/>
      <c r="ADP168" s="236"/>
      <c r="ADQ168" s="236"/>
      <c r="ADR168" s="236"/>
      <c r="ADS168" s="236"/>
      <c r="ADT168" s="236"/>
      <c r="ADU168" s="236"/>
      <c r="ADV168" s="236"/>
      <c r="ADW168" s="236"/>
      <c r="ADX168" s="236"/>
      <c r="ADY168" s="236"/>
      <c r="ADZ168" s="236"/>
      <c r="AEA168" s="236"/>
      <c r="AEB168" s="236"/>
      <c r="AEC168" s="236"/>
      <c r="AED168" s="236"/>
      <c r="AEE168" s="236"/>
      <c r="AEF168" s="236"/>
      <c r="AEG168" s="236"/>
      <c r="AEH168" s="236"/>
      <c r="AEI168" s="236"/>
      <c r="AEJ168" s="236"/>
      <c r="AEK168" s="236"/>
      <c r="AEL168" s="236"/>
      <c r="AEM168" s="236"/>
      <c r="AEN168" s="236"/>
      <c r="AEO168" s="236"/>
      <c r="AEP168" s="236"/>
      <c r="AEQ168" s="236"/>
      <c r="AER168" s="236"/>
      <c r="AES168" s="236"/>
      <c r="AET168" s="236"/>
      <c r="AEU168" s="236"/>
      <c r="AEV168" s="236"/>
      <c r="AEW168" s="236"/>
      <c r="AEX168" s="236"/>
      <c r="AEY168" s="236"/>
      <c r="AEZ168" s="236"/>
      <c r="AFA168" s="236"/>
      <c r="AFB168" s="236"/>
      <c r="AFC168" s="236"/>
      <c r="AFD168" s="236"/>
      <c r="AFE168" s="236"/>
      <c r="AFF168" s="236"/>
      <c r="AFG168" s="236"/>
      <c r="AFH168" s="236"/>
      <c r="AFI168" s="236"/>
      <c r="AFJ168" s="236"/>
      <c r="AFK168" s="236"/>
      <c r="AFL168" s="236"/>
      <c r="AFM168" s="236"/>
      <c r="AFN168" s="236"/>
      <c r="AFO168" s="236"/>
      <c r="AFP168" s="236"/>
      <c r="AFQ168" s="236"/>
      <c r="AFR168" s="236"/>
      <c r="AFS168" s="236"/>
      <c r="AFT168" s="236"/>
      <c r="AFU168" s="236"/>
      <c r="AFV168" s="236"/>
      <c r="AFW168" s="236"/>
      <c r="AFX168" s="236"/>
      <c r="AFY168" s="236"/>
      <c r="AFZ168" s="236"/>
      <c r="AGA168" s="236"/>
      <c r="AGB168" s="236"/>
      <c r="AGC168" s="236"/>
      <c r="AGD168" s="236"/>
      <c r="AGE168" s="236"/>
      <c r="AGF168" s="236"/>
      <c r="AGG168" s="236"/>
      <c r="AGH168" s="236"/>
      <c r="AGI168" s="236"/>
      <c r="AGJ168" s="236"/>
      <c r="AGK168" s="236"/>
      <c r="AGL168" s="236"/>
      <c r="AGM168" s="236"/>
      <c r="AGN168" s="236"/>
      <c r="AGO168" s="236"/>
      <c r="AGP168" s="236"/>
      <c r="AGQ168" s="236"/>
      <c r="AGR168" s="236"/>
      <c r="AGS168" s="236"/>
      <c r="AGT168" s="236"/>
      <c r="AGU168" s="236"/>
      <c r="AGV168" s="236"/>
      <c r="AGW168" s="236"/>
      <c r="AGX168" s="236"/>
      <c r="AGY168" s="236"/>
      <c r="AGZ168" s="236"/>
      <c r="AHA168" s="236"/>
      <c r="AHB168" s="236"/>
      <c r="AHC168" s="236"/>
      <c r="AHD168" s="236"/>
      <c r="AHE168" s="236"/>
      <c r="AHF168" s="236"/>
      <c r="AHG168" s="236"/>
      <c r="AHH168" s="236"/>
      <c r="AHI168" s="236"/>
      <c r="AHJ168" s="236"/>
      <c r="AHK168" s="236"/>
      <c r="AHL168" s="236"/>
      <c r="AHM168" s="236"/>
      <c r="AHN168" s="236"/>
      <c r="AHO168" s="236"/>
      <c r="AHP168" s="236"/>
      <c r="AHQ168" s="236"/>
      <c r="AHR168" s="236"/>
      <c r="AHS168" s="236"/>
      <c r="AHT168" s="236"/>
      <c r="AHU168" s="236"/>
      <c r="AHV168" s="236"/>
      <c r="AHW168" s="236"/>
      <c r="AHX168" s="236"/>
      <c r="AHY168" s="236"/>
      <c r="AHZ168" s="236"/>
      <c r="AIA168" s="236"/>
      <c r="AIB168" s="236"/>
      <c r="AIC168" s="236"/>
      <c r="AID168" s="236"/>
      <c r="AIE168" s="236"/>
      <c r="AIF168" s="236"/>
      <c r="AIG168" s="236"/>
      <c r="AIH168" s="236"/>
      <c r="AII168" s="236"/>
      <c r="AIJ168" s="236"/>
      <c r="AIK168" s="236"/>
      <c r="AIL168" s="236"/>
      <c r="AIM168" s="236"/>
      <c r="AIN168" s="236"/>
      <c r="AIO168" s="236"/>
      <c r="AIP168" s="236"/>
      <c r="AIQ168" s="236"/>
      <c r="AIR168" s="236"/>
      <c r="AIS168" s="236"/>
      <c r="AIT168" s="236"/>
      <c r="AIU168" s="236"/>
      <c r="AIV168" s="236"/>
      <c r="AIW168" s="236"/>
      <c r="AIX168" s="236"/>
      <c r="AIY168" s="236"/>
      <c r="AIZ168" s="236"/>
      <c r="AJA168" s="236"/>
      <c r="AJB168" s="236"/>
      <c r="AJC168" s="236"/>
      <c r="AJD168" s="236"/>
      <c r="AJE168" s="236"/>
      <c r="AJF168" s="236"/>
      <c r="AJG168" s="236"/>
      <c r="AJH168" s="236"/>
      <c r="AJI168" s="236"/>
      <c r="AJJ168" s="236"/>
      <c r="AJK168" s="236"/>
      <c r="AJL168" s="236"/>
      <c r="AJM168" s="236"/>
      <c r="AJN168" s="236"/>
      <c r="AJO168" s="236"/>
      <c r="AJP168" s="236"/>
      <c r="AJQ168" s="236"/>
      <c r="AJR168" s="236"/>
      <c r="AJS168" s="236"/>
      <c r="AJT168" s="236"/>
      <c r="AJU168" s="236"/>
      <c r="AJV168" s="236"/>
      <c r="AJW168" s="236"/>
      <c r="AJX168" s="236"/>
      <c r="AJY168" s="236"/>
      <c r="AJZ168" s="236"/>
      <c r="AKA168" s="236"/>
      <c r="AKB168" s="236"/>
      <c r="AKC168" s="236"/>
      <c r="AKD168" s="236"/>
      <c r="AKE168" s="236"/>
      <c r="AKF168" s="236"/>
      <c r="AKG168" s="236"/>
      <c r="AKH168" s="236"/>
      <c r="AKI168" s="236"/>
      <c r="AKJ168" s="236"/>
      <c r="AKK168" s="236"/>
      <c r="AKL168" s="236"/>
      <c r="AKM168" s="236"/>
      <c r="AKN168" s="236"/>
      <c r="AKO168" s="236"/>
      <c r="AKP168" s="236"/>
      <c r="AKQ168" s="236"/>
      <c r="AKR168" s="236"/>
      <c r="AKS168" s="236"/>
      <c r="AKT168" s="236"/>
      <c r="AKU168" s="236"/>
      <c r="AKV168" s="236"/>
      <c r="AKW168" s="236"/>
      <c r="AKX168" s="236"/>
      <c r="AKY168" s="236"/>
      <c r="AKZ168" s="236"/>
      <c r="ALA168" s="236"/>
      <c r="ALB168" s="236"/>
      <c r="ALC168" s="236"/>
      <c r="ALD168" s="236"/>
      <c r="ALE168" s="236"/>
      <c r="ALF168" s="236"/>
      <c r="ALG168" s="236"/>
      <c r="ALH168" s="236"/>
      <c r="ALI168" s="236"/>
      <c r="ALJ168" s="236"/>
      <c r="ALK168" s="236"/>
      <c r="ALL168" s="236"/>
      <c r="ALM168" s="236"/>
      <c r="ALN168" s="236"/>
      <c r="ALO168" s="236"/>
      <c r="ALP168" s="236"/>
      <c r="ALQ168" s="236"/>
      <c r="ALR168" s="236"/>
      <c r="ALS168" s="236"/>
      <c r="ALT168" s="236"/>
      <c r="ALU168" s="236"/>
      <c r="ALV168" s="236"/>
      <c r="ALW168" s="236"/>
      <c r="ALX168" s="236"/>
      <c r="ALY168" s="236"/>
      <c r="ALZ168" s="236"/>
      <c r="AMA168" s="236"/>
      <c r="AMB168" s="236"/>
      <c r="AMC168" s="236"/>
      <c r="AMD168" s="236"/>
      <c r="AME168" s="236"/>
      <c r="AMF168" s="236"/>
      <c r="AMG168" s="236"/>
      <c r="AMH168" s="236"/>
      <c r="AMI168" s="236"/>
      <c r="AMJ168" s="236"/>
      <c r="AMK168" s="236"/>
      <c r="AML168" s="236"/>
      <c r="AMM168" s="236"/>
    </row>
    <row r="169" spans="1:1027" ht="59.25" customHeight="1">
      <c r="A169" s="1585" t="s">
        <v>3842</v>
      </c>
      <c r="B169" s="1586"/>
      <c r="C169" s="1586"/>
      <c r="D169" s="1586"/>
      <c r="E169" s="1586"/>
      <c r="F169" s="1586"/>
      <c r="G169" s="1586"/>
      <c r="H169" s="1586"/>
      <c r="I169" s="1586"/>
      <c r="J169" s="1586"/>
      <c r="K169" s="1586"/>
      <c r="L169" s="1587"/>
      <c r="M169" s="275"/>
      <c r="N169" s="280" t="s">
        <v>650</v>
      </c>
      <c r="O169" s="280"/>
      <c r="P169" s="281"/>
      <c r="Q169" s="281"/>
      <c r="R169" s="281"/>
      <c r="S169" s="281"/>
      <c r="T169" s="281"/>
      <c r="U169" s="281"/>
      <c r="V169" s="281"/>
      <c r="W169" s="281"/>
      <c r="X169" s="282"/>
      <c r="Y169" s="282"/>
      <c r="Z169" s="282"/>
      <c r="AA169" s="282"/>
      <c r="AB169" s="282"/>
      <c r="AC169" s="282"/>
      <c r="AD169" s="281"/>
      <c r="AE169" s="281"/>
      <c r="AF169" s="281"/>
      <c r="AG169" s="281"/>
      <c r="AH169" s="281"/>
      <c r="AI169" s="281"/>
      <c r="AJ169" s="275"/>
      <c r="AK169" s="275"/>
      <c r="AL169" s="275"/>
      <c r="AM169" s="279"/>
      <c r="AN169" s="262"/>
      <c r="AO169" s="262"/>
      <c r="AP169" s="262"/>
      <c r="AQ169" s="262"/>
      <c r="AR169" s="262"/>
      <c r="AS169" s="262"/>
      <c r="AT169" s="262"/>
      <c r="AU169" s="262"/>
      <c r="AV169" s="262"/>
      <c r="AW169" s="262"/>
      <c r="AX169" s="262"/>
      <c r="AY169" s="236"/>
      <c r="AZ169" s="236"/>
      <c r="BA169" s="236"/>
      <c r="BB169" s="236"/>
      <c r="BC169" s="236"/>
      <c r="BD169" s="236"/>
      <c r="BE169" s="236"/>
      <c r="BF169" s="236"/>
      <c r="BG169" s="236"/>
      <c r="BH169" s="236"/>
      <c r="BI169" s="236"/>
      <c r="BJ169" s="236"/>
      <c r="BK169" s="236"/>
      <c r="BL169" s="236"/>
      <c r="BM169" s="236"/>
      <c r="BN169" s="236"/>
      <c r="BO169" s="236"/>
      <c r="BP169" s="236"/>
      <c r="BQ169" s="236"/>
      <c r="BR169" s="236"/>
      <c r="BS169" s="236"/>
      <c r="BT169" s="236"/>
      <c r="BU169" s="236"/>
      <c r="BV169" s="236"/>
      <c r="BW169" s="236"/>
      <c r="BX169" s="236"/>
      <c r="BY169" s="236"/>
      <c r="BZ169" s="236"/>
      <c r="CA169" s="236"/>
      <c r="CB169" s="236"/>
      <c r="CC169" s="236"/>
      <c r="CD169" s="236"/>
      <c r="CE169" s="236"/>
      <c r="CF169" s="236"/>
      <c r="CG169" s="236"/>
      <c r="CH169" s="236"/>
      <c r="CI169" s="236"/>
      <c r="CJ169" s="236"/>
      <c r="CK169" s="236"/>
      <c r="CL169" s="236"/>
      <c r="CM169" s="236"/>
      <c r="CN169" s="236"/>
      <c r="CO169" s="236"/>
      <c r="CP169" s="236"/>
      <c r="CQ169" s="236"/>
      <c r="CR169" s="236"/>
      <c r="CS169" s="236"/>
      <c r="CT169" s="236"/>
      <c r="CU169" s="236"/>
      <c r="CV169" s="236"/>
      <c r="CW169" s="236"/>
      <c r="CX169" s="236"/>
      <c r="CY169" s="236"/>
      <c r="CZ169" s="236"/>
      <c r="DA169" s="236"/>
      <c r="DB169" s="236"/>
      <c r="DC169" s="236"/>
      <c r="DD169" s="236"/>
      <c r="DE169" s="236"/>
      <c r="DF169" s="236"/>
      <c r="DG169" s="236"/>
      <c r="DH169" s="236"/>
      <c r="DI169" s="236"/>
      <c r="DJ169" s="236"/>
      <c r="DK169" s="236"/>
      <c r="DL169" s="236"/>
      <c r="DM169" s="236"/>
      <c r="DN169" s="236"/>
      <c r="DO169" s="236"/>
      <c r="DP169" s="236"/>
      <c r="DQ169" s="236"/>
      <c r="DR169" s="236"/>
      <c r="DS169" s="236"/>
      <c r="DT169" s="236"/>
      <c r="DU169" s="236"/>
      <c r="DV169" s="236"/>
      <c r="DW169" s="236"/>
      <c r="DX169" s="236"/>
      <c r="DY169" s="236"/>
      <c r="DZ169" s="236"/>
      <c r="EA169" s="236"/>
      <c r="EB169" s="236"/>
      <c r="EC169" s="236"/>
      <c r="ED169" s="236"/>
      <c r="EE169" s="236"/>
      <c r="EF169" s="236"/>
      <c r="EG169" s="236"/>
      <c r="EH169" s="236"/>
      <c r="EI169" s="236"/>
      <c r="EJ169" s="236"/>
      <c r="EK169" s="236"/>
      <c r="EL169" s="236"/>
      <c r="EM169" s="236"/>
      <c r="EN169" s="236"/>
      <c r="EO169" s="236"/>
      <c r="EP169" s="236"/>
      <c r="EQ169" s="236"/>
      <c r="ER169" s="236"/>
      <c r="ES169" s="236"/>
      <c r="ET169" s="236"/>
      <c r="EU169" s="236"/>
      <c r="EV169" s="236"/>
      <c r="EW169" s="236"/>
      <c r="EX169" s="236"/>
      <c r="EY169" s="236"/>
      <c r="EZ169" s="236"/>
      <c r="FA169" s="236"/>
      <c r="FB169" s="236"/>
      <c r="FC169" s="236"/>
      <c r="FD169" s="236"/>
      <c r="FE169" s="236"/>
      <c r="FF169" s="236"/>
      <c r="FG169" s="236"/>
      <c r="FH169" s="236"/>
      <c r="FI169" s="236"/>
      <c r="FJ169" s="236"/>
      <c r="FK169" s="236"/>
      <c r="FL169" s="236"/>
      <c r="FM169" s="236"/>
      <c r="FN169" s="236"/>
      <c r="FO169" s="236"/>
      <c r="FP169" s="236"/>
      <c r="FQ169" s="236"/>
      <c r="FR169" s="236"/>
      <c r="FS169" s="236"/>
      <c r="FT169" s="236"/>
      <c r="FU169" s="236"/>
      <c r="FV169" s="236"/>
      <c r="FW169" s="236"/>
      <c r="FX169" s="236"/>
      <c r="FY169" s="236"/>
      <c r="FZ169" s="236"/>
      <c r="GA169" s="236"/>
      <c r="GB169" s="236"/>
      <c r="GC169" s="236"/>
      <c r="GD169" s="236"/>
      <c r="GE169" s="236"/>
      <c r="GF169" s="236"/>
      <c r="GG169" s="236"/>
      <c r="GH169" s="236"/>
      <c r="GI169" s="236"/>
      <c r="GJ169" s="236"/>
      <c r="GK169" s="236"/>
      <c r="GL169" s="236"/>
      <c r="GM169" s="236"/>
      <c r="GN169" s="236"/>
      <c r="GO169" s="236"/>
      <c r="GP169" s="236"/>
      <c r="GQ169" s="236"/>
      <c r="GR169" s="236"/>
      <c r="GS169" s="236"/>
      <c r="GT169" s="236"/>
      <c r="GU169" s="236"/>
      <c r="GV169" s="236"/>
      <c r="GW169" s="236"/>
      <c r="GX169" s="236"/>
      <c r="GY169" s="236"/>
      <c r="GZ169" s="236"/>
      <c r="HA169" s="236"/>
      <c r="HB169" s="236"/>
      <c r="HC169" s="236"/>
      <c r="HD169" s="236"/>
      <c r="HE169" s="236"/>
      <c r="HF169" s="236"/>
      <c r="HG169" s="236"/>
      <c r="HH169" s="236"/>
      <c r="HI169" s="236"/>
      <c r="HJ169" s="236"/>
      <c r="HK169" s="236"/>
      <c r="HL169" s="236"/>
      <c r="HM169" s="236"/>
      <c r="HN169" s="236"/>
      <c r="HO169" s="236"/>
      <c r="HP169" s="236"/>
      <c r="HQ169" s="236"/>
      <c r="HR169" s="236"/>
      <c r="HS169" s="236"/>
      <c r="HT169" s="236"/>
      <c r="HU169" s="236"/>
      <c r="HV169" s="236"/>
      <c r="HW169" s="236"/>
      <c r="HX169" s="236"/>
      <c r="HY169" s="236"/>
      <c r="HZ169" s="236"/>
      <c r="IA169" s="236"/>
      <c r="IB169" s="236"/>
      <c r="IC169" s="236"/>
      <c r="ID169" s="236"/>
      <c r="IE169" s="236"/>
      <c r="IF169" s="236"/>
      <c r="IG169" s="236"/>
      <c r="IH169" s="236"/>
      <c r="II169" s="236"/>
      <c r="IJ169" s="236"/>
      <c r="IK169" s="236"/>
      <c r="IL169" s="236"/>
      <c r="IM169" s="236"/>
      <c r="IN169" s="236"/>
      <c r="IO169" s="236"/>
      <c r="IP169" s="236"/>
      <c r="IQ169" s="236"/>
      <c r="IR169" s="236"/>
      <c r="IS169" s="236"/>
      <c r="IT169" s="236"/>
      <c r="IU169" s="236"/>
      <c r="IV169" s="236"/>
      <c r="IW169" s="236"/>
      <c r="IX169" s="236"/>
      <c r="IY169" s="236"/>
      <c r="IZ169" s="236"/>
      <c r="JA169" s="236"/>
      <c r="JB169" s="236"/>
      <c r="JC169" s="236"/>
      <c r="JD169" s="236"/>
      <c r="JE169" s="236"/>
      <c r="JF169" s="236"/>
      <c r="JG169" s="236"/>
      <c r="JH169" s="236"/>
      <c r="JI169" s="236"/>
      <c r="JJ169" s="236"/>
      <c r="JK169" s="236"/>
      <c r="JL169" s="236"/>
      <c r="JM169" s="236"/>
      <c r="JN169" s="236"/>
      <c r="JO169" s="236"/>
      <c r="JP169" s="236"/>
      <c r="JQ169" s="236"/>
      <c r="JR169" s="236"/>
      <c r="JS169" s="236"/>
      <c r="JT169" s="236"/>
      <c r="JU169" s="236"/>
      <c r="JV169" s="236"/>
      <c r="JW169" s="236"/>
      <c r="JX169" s="236"/>
      <c r="JY169" s="236"/>
      <c r="JZ169" s="236"/>
      <c r="KA169" s="236"/>
      <c r="KB169" s="236"/>
      <c r="KC169" s="236"/>
      <c r="KD169" s="236"/>
      <c r="KE169" s="236"/>
      <c r="KF169" s="236"/>
      <c r="KG169" s="236"/>
      <c r="KH169" s="236"/>
      <c r="KI169" s="236"/>
      <c r="KJ169" s="236"/>
      <c r="KK169" s="236"/>
      <c r="KL169" s="236"/>
      <c r="KM169" s="236"/>
      <c r="KN169" s="236"/>
      <c r="KO169" s="236"/>
      <c r="KP169" s="236"/>
      <c r="KQ169" s="236"/>
      <c r="KR169" s="236"/>
      <c r="KS169" s="236"/>
      <c r="KT169" s="236"/>
      <c r="KU169" s="236"/>
      <c r="KV169" s="236"/>
      <c r="KW169" s="236"/>
      <c r="KX169" s="236"/>
      <c r="KY169" s="236"/>
      <c r="KZ169" s="236"/>
      <c r="LA169" s="236"/>
      <c r="LB169" s="236"/>
      <c r="LC169" s="236"/>
      <c r="LD169" s="236"/>
      <c r="LE169" s="236"/>
      <c r="LF169" s="236"/>
      <c r="LG169" s="236"/>
      <c r="LH169" s="236"/>
      <c r="LI169" s="236"/>
      <c r="LJ169" s="236"/>
      <c r="LK169" s="236"/>
      <c r="LL169" s="236"/>
      <c r="LM169" s="236"/>
      <c r="LN169" s="236"/>
      <c r="LO169" s="236"/>
      <c r="LP169" s="236"/>
      <c r="LQ169" s="236"/>
      <c r="LR169" s="236"/>
      <c r="LS169" s="236"/>
      <c r="LT169" s="236"/>
      <c r="LU169" s="236"/>
      <c r="LV169" s="236"/>
      <c r="LW169" s="236"/>
      <c r="LX169" s="236"/>
      <c r="LY169" s="236"/>
      <c r="LZ169" s="236"/>
      <c r="MA169" s="236"/>
      <c r="MB169" s="236"/>
      <c r="MC169" s="236"/>
      <c r="MD169" s="236"/>
      <c r="ME169" s="236"/>
      <c r="MF169" s="236"/>
      <c r="MG169" s="236"/>
      <c r="MH169" s="236"/>
      <c r="MI169" s="236"/>
      <c r="MJ169" s="236"/>
      <c r="MK169" s="236"/>
      <c r="ML169" s="236"/>
      <c r="MM169" s="236"/>
      <c r="MN169" s="236"/>
      <c r="MO169" s="236"/>
      <c r="MP169" s="236"/>
      <c r="MQ169" s="236"/>
      <c r="MR169" s="236"/>
      <c r="MS169" s="236"/>
      <c r="MT169" s="236"/>
      <c r="MU169" s="236"/>
      <c r="MV169" s="236"/>
      <c r="MW169" s="236"/>
      <c r="MX169" s="236"/>
      <c r="MY169" s="236"/>
      <c r="MZ169" s="236"/>
      <c r="NA169" s="236"/>
      <c r="NB169" s="236"/>
      <c r="NC169" s="236"/>
      <c r="ND169" s="236"/>
      <c r="NE169" s="236"/>
      <c r="NF169" s="236"/>
      <c r="NG169" s="236"/>
      <c r="NH169" s="236"/>
      <c r="NI169" s="236"/>
      <c r="NJ169" s="236"/>
      <c r="NK169" s="236"/>
      <c r="NL169" s="236"/>
      <c r="NM169" s="236"/>
      <c r="NN169" s="236"/>
      <c r="NO169" s="236"/>
      <c r="NP169" s="236"/>
      <c r="NQ169" s="236"/>
      <c r="NR169" s="236"/>
      <c r="NS169" s="236"/>
      <c r="NT169" s="236"/>
      <c r="NU169" s="236"/>
      <c r="NV169" s="236"/>
      <c r="NW169" s="236"/>
      <c r="NX169" s="236"/>
      <c r="NY169" s="236"/>
      <c r="NZ169" s="236"/>
      <c r="OA169" s="236"/>
      <c r="OB169" s="236"/>
      <c r="OC169" s="236"/>
      <c r="OD169" s="236"/>
      <c r="OE169" s="236"/>
      <c r="OF169" s="236"/>
      <c r="OG169" s="236"/>
      <c r="OH169" s="236"/>
      <c r="OI169" s="236"/>
      <c r="OJ169" s="236"/>
      <c r="OK169" s="236"/>
      <c r="OL169" s="236"/>
      <c r="OM169" s="236"/>
      <c r="ON169" s="236"/>
      <c r="OO169" s="236"/>
      <c r="OP169" s="236"/>
      <c r="OQ169" s="236"/>
      <c r="OR169" s="236"/>
      <c r="OS169" s="236"/>
      <c r="OT169" s="236"/>
      <c r="OU169" s="236"/>
      <c r="OV169" s="236"/>
      <c r="OW169" s="236"/>
      <c r="OX169" s="236"/>
      <c r="OY169" s="236"/>
      <c r="OZ169" s="236"/>
      <c r="PA169" s="236"/>
      <c r="PB169" s="236"/>
      <c r="PC169" s="236"/>
      <c r="PD169" s="236"/>
      <c r="PE169" s="236"/>
      <c r="PF169" s="236"/>
      <c r="PG169" s="236"/>
      <c r="PH169" s="236"/>
      <c r="PI169" s="236"/>
      <c r="PJ169" s="236"/>
      <c r="PK169" s="236"/>
      <c r="PL169" s="236"/>
      <c r="PM169" s="236"/>
      <c r="PN169" s="236"/>
      <c r="PO169" s="236"/>
      <c r="PP169" s="236"/>
      <c r="PQ169" s="236"/>
      <c r="PR169" s="236"/>
      <c r="PS169" s="236"/>
      <c r="PT169" s="236"/>
      <c r="PU169" s="236"/>
      <c r="PV169" s="236"/>
      <c r="PW169" s="236"/>
      <c r="PX169" s="236"/>
      <c r="PY169" s="236"/>
      <c r="PZ169" s="236"/>
      <c r="QA169" s="236"/>
      <c r="QB169" s="236"/>
      <c r="QC169" s="236"/>
      <c r="QD169" s="236"/>
      <c r="QE169" s="236"/>
      <c r="QF169" s="236"/>
      <c r="QG169" s="236"/>
      <c r="QH169" s="236"/>
      <c r="QI169" s="236"/>
      <c r="QJ169" s="236"/>
      <c r="QK169" s="236"/>
      <c r="QL169" s="236"/>
      <c r="QM169" s="236"/>
      <c r="QN169" s="236"/>
      <c r="QO169" s="236"/>
      <c r="QP169" s="236"/>
      <c r="QQ169" s="236"/>
      <c r="QR169" s="236"/>
      <c r="QS169" s="236"/>
      <c r="QT169" s="236"/>
      <c r="QU169" s="236"/>
      <c r="QV169" s="236"/>
      <c r="QW169" s="236"/>
      <c r="QX169" s="236"/>
      <c r="QY169" s="236"/>
      <c r="QZ169" s="236"/>
      <c r="RA169" s="236"/>
      <c r="RB169" s="236"/>
      <c r="RC169" s="236"/>
      <c r="RD169" s="236"/>
      <c r="RE169" s="236"/>
      <c r="RF169" s="236"/>
      <c r="RG169" s="236"/>
      <c r="RH169" s="236"/>
      <c r="RI169" s="236"/>
      <c r="RJ169" s="236"/>
      <c r="RK169" s="236"/>
      <c r="RL169" s="236"/>
      <c r="RM169" s="236"/>
      <c r="RN169" s="236"/>
      <c r="RO169" s="236"/>
      <c r="RP169" s="236"/>
      <c r="RQ169" s="236"/>
      <c r="RR169" s="236"/>
      <c r="RS169" s="236"/>
      <c r="RT169" s="236"/>
      <c r="RU169" s="236"/>
      <c r="RV169" s="236"/>
      <c r="RW169" s="236"/>
      <c r="RX169" s="236"/>
      <c r="RY169" s="236"/>
      <c r="RZ169" s="236"/>
      <c r="SA169" s="236"/>
      <c r="SB169" s="236"/>
      <c r="SC169" s="236"/>
      <c r="SD169" s="236"/>
      <c r="SE169" s="236"/>
      <c r="SF169" s="236"/>
      <c r="SG169" s="236"/>
      <c r="SH169" s="236"/>
      <c r="SI169" s="236"/>
      <c r="SJ169" s="236"/>
      <c r="SK169" s="236"/>
      <c r="SL169" s="236"/>
      <c r="SM169" s="236"/>
      <c r="SN169" s="236"/>
      <c r="SO169" s="236"/>
      <c r="SP169" s="236"/>
      <c r="SQ169" s="236"/>
      <c r="SR169" s="236"/>
      <c r="SS169" s="236"/>
      <c r="ST169" s="236"/>
      <c r="SU169" s="236"/>
      <c r="SV169" s="236"/>
      <c r="SW169" s="236"/>
      <c r="SX169" s="236"/>
      <c r="SY169" s="236"/>
      <c r="SZ169" s="236"/>
      <c r="TA169" s="236"/>
      <c r="TB169" s="236"/>
      <c r="TC169" s="236"/>
      <c r="TD169" s="236"/>
      <c r="TE169" s="236"/>
      <c r="TF169" s="236"/>
      <c r="TG169" s="236"/>
      <c r="TH169" s="236"/>
      <c r="TI169" s="236"/>
      <c r="TJ169" s="236"/>
      <c r="TK169" s="236"/>
      <c r="TL169" s="236"/>
      <c r="TM169" s="236"/>
      <c r="TN169" s="236"/>
      <c r="TO169" s="236"/>
      <c r="TP169" s="236"/>
      <c r="TQ169" s="236"/>
      <c r="TR169" s="236"/>
      <c r="TS169" s="236"/>
      <c r="TT169" s="236"/>
      <c r="TU169" s="236"/>
      <c r="TV169" s="236"/>
      <c r="TW169" s="236"/>
      <c r="TX169" s="236"/>
      <c r="TY169" s="236"/>
      <c r="TZ169" s="236"/>
      <c r="UA169" s="236"/>
      <c r="UB169" s="236"/>
      <c r="UC169" s="236"/>
      <c r="UD169" s="236"/>
      <c r="UE169" s="236"/>
      <c r="UF169" s="236"/>
      <c r="UG169" s="236"/>
      <c r="UH169" s="236"/>
      <c r="UI169" s="236"/>
      <c r="UJ169" s="236"/>
      <c r="UK169" s="236"/>
      <c r="UL169" s="236"/>
      <c r="UM169" s="236"/>
      <c r="UN169" s="236"/>
      <c r="UO169" s="236"/>
      <c r="UP169" s="236"/>
      <c r="UQ169" s="236"/>
      <c r="UR169" s="236"/>
      <c r="US169" s="236"/>
      <c r="UT169" s="236"/>
      <c r="UU169" s="236"/>
      <c r="UV169" s="236"/>
      <c r="UW169" s="236"/>
      <c r="UX169" s="236"/>
      <c r="UY169" s="236"/>
      <c r="UZ169" s="236"/>
      <c r="VA169" s="236"/>
      <c r="VB169" s="236"/>
      <c r="VC169" s="236"/>
      <c r="VD169" s="236"/>
      <c r="VE169" s="236"/>
      <c r="VF169" s="236"/>
      <c r="VG169" s="236"/>
      <c r="VH169" s="236"/>
      <c r="VI169" s="236"/>
      <c r="VJ169" s="236"/>
      <c r="VK169" s="236"/>
      <c r="VL169" s="236"/>
      <c r="VM169" s="236"/>
      <c r="VN169" s="236"/>
      <c r="VO169" s="236"/>
      <c r="VP169" s="236"/>
      <c r="VQ169" s="236"/>
      <c r="VR169" s="236"/>
      <c r="VS169" s="236"/>
      <c r="VT169" s="236"/>
      <c r="VU169" s="236"/>
      <c r="VV169" s="236"/>
      <c r="VW169" s="236"/>
      <c r="VX169" s="236"/>
      <c r="VY169" s="236"/>
      <c r="VZ169" s="236"/>
      <c r="WA169" s="236"/>
      <c r="WB169" s="236"/>
      <c r="WC169" s="236"/>
      <c r="WD169" s="236"/>
      <c r="WE169" s="236"/>
      <c r="WF169" s="236"/>
      <c r="WG169" s="236"/>
      <c r="WH169" s="236"/>
      <c r="WI169" s="236"/>
      <c r="WJ169" s="236"/>
      <c r="WK169" s="236"/>
      <c r="WL169" s="236"/>
      <c r="WM169" s="236"/>
      <c r="WN169" s="236"/>
      <c r="WO169" s="236"/>
      <c r="WP169" s="236"/>
      <c r="WQ169" s="236"/>
      <c r="WR169" s="236"/>
      <c r="WS169" s="236"/>
      <c r="WT169" s="236"/>
      <c r="WU169" s="236"/>
      <c r="WV169" s="236"/>
      <c r="WW169" s="236"/>
      <c r="WX169" s="236"/>
      <c r="WY169" s="236"/>
      <c r="WZ169" s="236"/>
      <c r="XA169" s="236"/>
      <c r="XB169" s="236"/>
      <c r="XC169" s="236"/>
      <c r="XD169" s="236"/>
      <c r="XE169" s="236"/>
      <c r="XF169" s="236"/>
      <c r="XG169" s="236"/>
      <c r="XH169" s="236"/>
      <c r="XI169" s="236"/>
      <c r="XJ169" s="236"/>
      <c r="XK169" s="236"/>
      <c r="XL169" s="236"/>
      <c r="XM169" s="236"/>
      <c r="XN169" s="236"/>
      <c r="XO169" s="236"/>
      <c r="XP169" s="236"/>
      <c r="XQ169" s="236"/>
      <c r="XR169" s="236"/>
      <c r="XS169" s="236"/>
      <c r="XT169" s="236"/>
      <c r="XU169" s="236"/>
      <c r="XV169" s="236"/>
      <c r="XW169" s="236"/>
      <c r="XX169" s="236"/>
      <c r="XY169" s="236"/>
      <c r="XZ169" s="236"/>
      <c r="YA169" s="236"/>
      <c r="YB169" s="236"/>
      <c r="YC169" s="236"/>
      <c r="YD169" s="236"/>
      <c r="YE169" s="236"/>
      <c r="YF169" s="236"/>
      <c r="YG169" s="236"/>
      <c r="YH169" s="236"/>
      <c r="YI169" s="236"/>
      <c r="YJ169" s="236"/>
      <c r="YK169" s="236"/>
      <c r="YL169" s="236"/>
      <c r="YM169" s="236"/>
      <c r="YN169" s="236"/>
      <c r="YO169" s="236"/>
      <c r="YP169" s="236"/>
      <c r="YQ169" s="236"/>
      <c r="YR169" s="236"/>
      <c r="YS169" s="236"/>
      <c r="YT169" s="236"/>
      <c r="YU169" s="236"/>
      <c r="YV169" s="236"/>
      <c r="YW169" s="236"/>
      <c r="YX169" s="236"/>
      <c r="YY169" s="236"/>
      <c r="YZ169" s="236"/>
      <c r="ZA169" s="236"/>
      <c r="ZB169" s="236"/>
      <c r="ZC169" s="236"/>
      <c r="ZD169" s="236"/>
      <c r="ZE169" s="236"/>
      <c r="ZF169" s="236"/>
      <c r="ZG169" s="236"/>
      <c r="ZH169" s="236"/>
      <c r="ZI169" s="236"/>
      <c r="ZJ169" s="236"/>
      <c r="ZK169" s="236"/>
      <c r="ZL169" s="236"/>
      <c r="ZM169" s="236"/>
      <c r="ZN169" s="236"/>
      <c r="ZO169" s="236"/>
      <c r="ZP169" s="236"/>
      <c r="ZQ169" s="236"/>
      <c r="ZR169" s="236"/>
      <c r="ZS169" s="236"/>
      <c r="ZT169" s="236"/>
      <c r="ZU169" s="236"/>
      <c r="ZV169" s="236"/>
      <c r="ZW169" s="236"/>
      <c r="ZX169" s="236"/>
      <c r="ZY169" s="236"/>
      <c r="ZZ169" s="236"/>
      <c r="AAA169" s="236"/>
      <c r="AAB169" s="236"/>
      <c r="AAC169" s="236"/>
      <c r="AAD169" s="236"/>
      <c r="AAE169" s="236"/>
      <c r="AAF169" s="236"/>
      <c r="AAG169" s="236"/>
      <c r="AAH169" s="236"/>
      <c r="AAI169" s="236"/>
      <c r="AAJ169" s="236"/>
      <c r="AAK169" s="236"/>
      <c r="AAL169" s="236"/>
      <c r="AAM169" s="236"/>
      <c r="AAN169" s="236"/>
      <c r="AAO169" s="236"/>
      <c r="AAP169" s="236"/>
      <c r="AAQ169" s="236"/>
      <c r="AAR169" s="236"/>
      <c r="AAS169" s="236"/>
      <c r="AAT169" s="236"/>
      <c r="AAU169" s="236"/>
      <c r="AAV169" s="236"/>
      <c r="AAW169" s="236"/>
      <c r="AAX169" s="236"/>
      <c r="AAY169" s="236"/>
      <c r="AAZ169" s="236"/>
      <c r="ABA169" s="236"/>
      <c r="ABB169" s="236"/>
      <c r="ABC169" s="236"/>
      <c r="ABD169" s="236"/>
      <c r="ABE169" s="236"/>
      <c r="ABF169" s="236"/>
      <c r="ABG169" s="236"/>
      <c r="ABH169" s="236"/>
      <c r="ABI169" s="236"/>
      <c r="ABJ169" s="236"/>
      <c r="ABK169" s="236"/>
      <c r="ABL169" s="236"/>
      <c r="ABM169" s="236"/>
      <c r="ABN169" s="236"/>
      <c r="ABO169" s="236"/>
      <c r="ABP169" s="236"/>
      <c r="ABQ169" s="236"/>
      <c r="ABR169" s="236"/>
      <c r="ABS169" s="236"/>
      <c r="ABT169" s="236"/>
      <c r="ABU169" s="236"/>
      <c r="ABV169" s="236"/>
      <c r="ABW169" s="236"/>
      <c r="ABX169" s="236"/>
      <c r="ABY169" s="236"/>
      <c r="ABZ169" s="236"/>
      <c r="ACA169" s="236"/>
      <c r="ACB169" s="236"/>
      <c r="ACC169" s="236"/>
      <c r="ACD169" s="236"/>
      <c r="ACE169" s="236"/>
      <c r="ACF169" s="236"/>
      <c r="ACG169" s="236"/>
      <c r="ACH169" s="236"/>
      <c r="ACI169" s="236"/>
      <c r="ACJ169" s="236"/>
      <c r="ACK169" s="236"/>
      <c r="ACL169" s="236"/>
      <c r="ACM169" s="236"/>
      <c r="ACN169" s="236"/>
      <c r="ACO169" s="236"/>
      <c r="ACP169" s="236"/>
      <c r="ACQ169" s="236"/>
      <c r="ACR169" s="236"/>
      <c r="ACS169" s="236"/>
      <c r="ACT169" s="236"/>
      <c r="ACU169" s="236"/>
      <c r="ACV169" s="236"/>
      <c r="ACW169" s="236"/>
      <c r="ACX169" s="236"/>
      <c r="ACY169" s="236"/>
      <c r="ACZ169" s="236"/>
      <c r="ADA169" s="236"/>
      <c r="ADB169" s="236"/>
      <c r="ADC169" s="236"/>
      <c r="ADD169" s="236"/>
      <c r="ADE169" s="236"/>
      <c r="ADF169" s="236"/>
      <c r="ADG169" s="236"/>
      <c r="ADH169" s="236"/>
      <c r="ADI169" s="236"/>
      <c r="ADJ169" s="236"/>
      <c r="ADK169" s="236"/>
      <c r="ADL169" s="236"/>
      <c r="ADM169" s="236"/>
      <c r="ADN169" s="236"/>
      <c r="ADO169" s="236"/>
      <c r="ADP169" s="236"/>
      <c r="ADQ169" s="236"/>
      <c r="ADR169" s="236"/>
      <c r="ADS169" s="236"/>
      <c r="ADT169" s="236"/>
      <c r="ADU169" s="236"/>
      <c r="ADV169" s="236"/>
      <c r="ADW169" s="236"/>
      <c r="ADX169" s="236"/>
      <c r="ADY169" s="236"/>
      <c r="ADZ169" s="236"/>
      <c r="AEA169" s="236"/>
      <c r="AEB169" s="236"/>
      <c r="AEC169" s="236"/>
      <c r="AED169" s="236"/>
      <c r="AEE169" s="236"/>
      <c r="AEF169" s="236"/>
      <c r="AEG169" s="236"/>
      <c r="AEH169" s="236"/>
      <c r="AEI169" s="236"/>
      <c r="AEJ169" s="236"/>
      <c r="AEK169" s="236"/>
      <c r="AEL169" s="236"/>
      <c r="AEM169" s="236"/>
      <c r="AEN169" s="236"/>
      <c r="AEO169" s="236"/>
      <c r="AEP169" s="236"/>
      <c r="AEQ169" s="236"/>
      <c r="AER169" s="236"/>
      <c r="AES169" s="236"/>
      <c r="AET169" s="236"/>
      <c r="AEU169" s="236"/>
      <c r="AEV169" s="236"/>
      <c r="AEW169" s="236"/>
      <c r="AEX169" s="236"/>
      <c r="AEY169" s="236"/>
      <c r="AEZ169" s="236"/>
      <c r="AFA169" s="236"/>
      <c r="AFB169" s="236"/>
      <c r="AFC169" s="236"/>
      <c r="AFD169" s="236"/>
      <c r="AFE169" s="236"/>
      <c r="AFF169" s="236"/>
      <c r="AFG169" s="236"/>
      <c r="AFH169" s="236"/>
      <c r="AFI169" s="236"/>
      <c r="AFJ169" s="236"/>
      <c r="AFK169" s="236"/>
      <c r="AFL169" s="236"/>
      <c r="AFM169" s="236"/>
      <c r="AFN169" s="236"/>
      <c r="AFO169" s="236"/>
      <c r="AFP169" s="236"/>
      <c r="AFQ169" s="236"/>
      <c r="AFR169" s="236"/>
      <c r="AFS169" s="236"/>
      <c r="AFT169" s="236"/>
      <c r="AFU169" s="236"/>
      <c r="AFV169" s="236"/>
      <c r="AFW169" s="236"/>
      <c r="AFX169" s="236"/>
      <c r="AFY169" s="236"/>
      <c r="AFZ169" s="236"/>
      <c r="AGA169" s="236"/>
      <c r="AGB169" s="236"/>
      <c r="AGC169" s="236"/>
      <c r="AGD169" s="236"/>
      <c r="AGE169" s="236"/>
      <c r="AGF169" s="236"/>
      <c r="AGG169" s="236"/>
      <c r="AGH169" s="236"/>
      <c r="AGI169" s="236"/>
      <c r="AGJ169" s="236"/>
      <c r="AGK169" s="236"/>
      <c r="AGL169" s="236"/>
      <c r="AGM169" s="236"/>
      <c r="AGN169" s="236"/>
      <c r="AGO169" s="236"/>
      <c r="AGP169" s="236"/>
      <c r="AGQ169" s="236"/>
      <c r="AGR169" s="236"/>
      <c r="AGS169" s="236"/>
      <c r="AGT169" s="236"/>
      <c r="AGU169" s="236"/>
      <c r="AGV169" s="236"/>
      <c r="AGW169" s="236"/>
      <c r="AGX169" s="236"/>
      <c r="AGY169" s="236"/>
      <c r="AGZ169" s="236"/>
      <c r="AHA169" s="236"/>
      <c r="AHB169" s="236"/>
      <c r="AHC169" s="236"/>
      <c r="AHD169" s="236"/>
      <c r="AHE169" s="236"/>
      <c r="AHF169" s="236"/>
      <c r="AHG169" s="236"/>
      <c r="AHH169" s="236"/>
      <c r="AHI169" s="236"/>
      <c r="AHJ169" s="236"/>
      <c r="AHK169" s="236"/>
      <c r="AHL169" s="236"/>
      <c r="AHM169" s="236"/>
      <c r="AHN169" s="236"/>
      <c r="AHO169" s="236"/>
      <c r="AHP169" s="236"/>
      <c r="AHQ169" s="236"/>
      <c r="AHR169" s="236"/>
      <c r="AHS169" s="236"/>
      <c r="AHT169" s="236"/>
      <c r="AHU169" s="236"/>
      <c r="AHV169" s="236"/>
      <c r="AHW169" s="236"/>
      <c r="AHX169" s="236"/>
      <c r="AHY169" s="236"/>
      <c r="AHZ169" s="236"/>
      <c r="AIA169" s="236"/>
      <c r="AIB169" s="236"/>
      <c r="AIC169" s="236"/>
      <c r="AID169" s="236"/>
      <c r="AIE169" s="236"/>
      <c r="AIF169" s="236"/>
      <c r="AIG169" s="236"/>
      <c r="AIH169" s="236"/>
      <c r="AII169" s="236"/>
      <c r="AIJ169" s="236"/>
      <c r="AIK169" s="236"/>
      <c r="AIL169" s="236"/>
      <c r="AIM169" s="236"/>
      <c r="AIN169" s="236"/>
      <c r="AIO169" s="236"/>
      <c r="AIP169" s="236"/>
      <c r="AIQ169" s="236"/>
      <c r="AIR169" s="236"/>
      <c r="AIS169" s="236"/>
      <c r="AIT169" s="236"/>
      <c r="AIU169" s="236"/>
      <c r="AIV169" s="236"/>
      <c r="AIW169" s="236"/>
      <c r="AIX169" s="236"/>
      <c r="AIY169" s="236"/>
      <c r="AIZ169" s="236"/>
      <c r="AJA169" s="236"/>
      <c r="AJB169" s="236"/>
      <c r="AJC169" s="236"/>
      <c r="AJD169" s="236"/>
      <c r="AJE169" s="236"/>
      <c r="AJF169" s="236"/>
      <c r="AJG169" s="236"/>
      <c r="AJH169" s="236"/>
      <c r="AJI169" s="236"/>
      <c r="AJJ169" s="236"/>
      <c r="AJK169" s="236"/>
      <c r="AJL169" s="236"/>
      <c r="AJM169" s="236"/>
      <c r="AJN169" s="236"/>
      <c r="AJO169" s="236"/>
      <c r="AJP169" s="236"/>
      <c r="AJQ169" s="236"/>
      <c r="AJR169" s="236"/>
      <c r="AJS169" s="236"/>
      <c r="AJT169" s="236"/>
      <c r="AJU169" s="236"/>
      <c r="AJV169" s="236"/>
      <c r="AJW169" s="236"/>
      <c r="AJX169" s="236"/>
      <c r="AJY169" s="236"/>
      <c r="AJZ169" s="236"/>
      <c r="AKA169" s="236"/>
      <c r="AKB169" s="236"/>
      <c r="AKC169" s="236"/>
      <c r="AKD169" s="236"/>
      <c r="AKE169" s="236"/>
      <c r="AKF169" s="236"/>
      <c r="AKG169" s="236"/>
      <c r="AKH169" s="236"/>
      <c r="AKI169" s="236"/>
      <c r="AKJ169" s="236"/>
      <c r="AKK169" s="236"/>
      <c r="AKL169" s="236"/>
      <c r="AKM169" s="236"/>
      <c r="AKN169" s="236"/>
      <c r="AKO169" s="236"/>
      <c r="AKP169" s="236"/>
      <c r="AKQ169" s="236"/>
      <c r="AKR169" s="236"/>
      <c r="AKS169" s="236"/>
      <c r="AKT169" s="236"/>
      <c r="AKU169" s="236"/>
      <c r="AKV169" s="236"/>
      <c r="AKW169" s="236"/>
      <c r="AKX169" s="236"/>
      <c r="AKY169" s="236"/>
      <c r="AKZ169" s="236"/>
      <c r="ALA169" s="236"/>
      <c r="ALB169" s="236"/>
      <c r="ALC169" s="236"/>
      <c r="ALD169" s="236"/>
      <c r="ALE169" s="236"/>
      <c r="ALF169" s="236"/>
      <c r="ALG169" s="236"/>
      <c r="ALH169" s="236"/>
      <c r="ALI169" s="236"/>
      <c r="ALJ169" s="236"/>
      <c r="ALK169" s="236"/>
      <c r="ALL169" s="236"/>
      <c r="ALM169" s="236"/>
      <c r="ALN169" s="236"/>
      <c r="ALO169" s="236"/>
      <c r="ALP169" s="236"/>
      <c r="ALQ169" s="236"/>
      <c r="ALR169" s="236"/>
      <c r="ALS169" s="236"/>
      <c r="ALT169" s="236"/>
      <c r="ALU169" s="236"/>
      <c r="ALV169" s="236"/>
      <c r="ALW169" s="236"/>
      <c r="ALX169" s="236"/>
      <c r="ALY169" s="236"/>
      <c r="ALZ169" s="236"/>
      <c r="AMA169" s="236"/>
      <c r="AMB169" s="236"/>
      <c r="AMC169" s="236"/>
      <c r="AMD169" s="236"/>
      <c r="AME169" s="236"/>
      <c r="AMF169" s="236"/>
      <c r="AMG169" s="236"/>
      <c r="AMH169" s="236"/>
      <c r="AMI169" s="236"/>
      <c r="AMJ169" s="236"/>
      <c r="AMK169" s="236"/>
      <c r="AML169" s="236"/>
      <c r="AMM169" s="236"/>
    </row>
    <row r="170" spans="1:1027" ht="32.25" customHeight="1">
      <c r="A170" s="1588"/>
      <c r="B170" s="1589"/>
      <c r="C170" s="1589"/>
      <c r="D170" s="1589"/>
      <c r="E170" s="1589"/>
      <c r="F170" s="1589"/>
      <c r="G170" s="1589"/>
      <c r="H170" s="1589"/>
      <c r="I170" s="1589"/>
      <c r="J170" s="1589"/>
      <c r="K170" s="1589"/>
      <c r="L170" s="1590"/>
      <c r="M170" s="283"/>
      <c r="N170" s="1392" t="s">
        <v>278</v>
      </c>
      <c r="O170" s="1393"/>
      <c r="P170" s="1393"/>
      <c r="Q170" s="1393"/>
      <c r="R170" s="1394"/>
      <c r="S170" s="284"/>
      <c r="T170" s="284"/>
      <c r="U170" s="284"/>
      <c r="V170" s="1392" t="s">
        <v>170</v>
      </c>
      <c r="W170" s="1393"/>
      <c r="X170" s="1393"/>
      <c r="Y170" s="1393"/>
      <c r="Z170" s="1394"/>
      <c r="AA170" s="1065"/>
      <c r="AB170" s="1392" t="s">
        <v>171</v>
      </c>
      <c r="AC170" s="1394"/>
      <c r="AD170" s="1392" t="s">
        <v>172</v>
      </c>
      <c r="AE170" s="1393"/>
      <c r="AF170" s="1393"/>
      <c r="AG170" s="1393"/>
      <c r="AH170" s="1393"/>
      <c r="AI170" s="1393"/>
      <c r="AJ170" s="1393"/>
      <c r="AK170" s="1393"/>
      <c r="AL170" s="1393"/>
      <c r="AM170" s="1394"/>
      <c r="AN170" s="262"/>
      <c r="AO170" s="262"/>
      <c r="AP170" s="262"/>
      <c r="AQ170" s="262"/>
      <c r="AR170" s="262"/>
      <c r="AS170" s="262"/>
      <c r="AT170" s="262"/>
      <c r="AU170" s="262"/>
      <c r="AV170" s="262"/>
      <c r="AW170" s="262"/>
      <c r="AX170" s="262"/>
      <c r="AY170" s="236"/>
      <c r="AZ170" s="236"/>
      <c r="BA170" s="236"/>
      <c r="BB170" s="236"/>
      <c r="BC170" s="236"/>
      <c r="BD170" s="236"/>
      <c r="BE170" s="236"/>
      <c r="BF170" s="236"/>
      <c r="BG170" s="236"/>
      <c r="BH170" s="236"/>
      <c r="BI170" s="236"/>
      <c r="BJ170" s="236"/>
      <c r="BK170" s="236"/>
      <c r="BL170" s="236"/>
      <c r="BM170" s="236"/>
      <c r="BN170" s="236"/>
      <c r="BO170" s="236"/>
      <c r="BP170" s="236"/>
      <c r="BQ170" s="236"/>
      <c r="BR170" s="236"/>
      <c r="BS170" s="236"/>
      <c r="BT170" s="236"/>
      <c r="BU170" s="236"/>
      <c r="BV170" s="236"/>
      <c r="BW170" s="236"/>
      <c r="BX170" s="236"/>
      <c r="BY170" s="236"/>
      <c r="BZ170" s="236"/>
      <c r="CA170" s="236"/>
      <c r="CB170" s="236"/>
      <c r="CC170" s="236"/>
      <c r="CD170" s="236"/>
      <c r="CE170" s="236"/>
      <c r="CF170" s="236"/>
      <c r="CG170" s="236"/>
      <c r="CH170" s="236"/>
      <c r="CI170" s="236"/>
      <c r="CJ170" s="236"/>
      <c r="CK170" s="236"/>
      <c r="CL170" s="236"/>
      <c r="CM170" s="236"/>
      <c r="CN170" s="236"/>
      <c r="CO170" s="236"/>
      <c r="CP170" s="236"/>
      <c r="CQ170" s="236"/>
      <c r="CR170" s="236"/>
      <c r="CS170" s="236"/>
      <c r="CT170" s="236"/>
      <c r="CU170" s="236"/>
      <c r="CV170" s="236"/>
      <c r="CW170" s="236"/>
      <c r="CX170" s="236"/>
      <c r="CY170" s="236"/>
      <c r="CZ170" s="236"/>
      <c r="DA170" s="236"/>
      <c r="DB170" s="236"/>
      <c r="DC170" s="236"/>
      <c r="DD170" s="236"/>
      <c r="DE170" s="236"/>
      <c r="DF170" s="236"/>
      <c r="DG170" s="236"/>
      <c r="DH170" s="236"/>
      <c r="DI170" s="236"/>
      <c r="DJ170" s="236"/>
      <c r="DK170" s="236"/>
      <c r="DL170" s="236"/>
      <c r="DM170" s="236"/>
      <c r="DN170" s="236"/>
      <c r="DO170" s="236"/>
      <c r="DP170" s="236"/>
      <c r="DQ170" s="236"/>
      <c r="DR170" s="236"/>
      <c r="DS170" s="236"/>
      <c r="DT170" s="236"/>
      <c r="DU170" s="236"/>
      <c r="DV170" s="236"/>
      <c r="DW170" s="236"/>
      <c r="DX170" s="236"/>
      <c r="DY170" s="236"/>
      <c r="DZ170" s="236"/>
      <c r="EA170" s="236"/>
      <c r="EB170" s="236"/>
      <c r="EC170" s="236"/>
      <c r="ED170" s="236"/>
      <c r="EE170" s="236"/>
      <c r="EF170" s="236"/>
      <c r="EG170" s="236"/>
      <c r="EH170" s="236"/>
      <c r="EI170" s="236"/>
      <c r="EJ170" s="236"/>
      <c r="EK170" s="236"/>
      <c r="EL170" s="236"/>
      <c r="EM170" s="236"/>
      <c r="EN170" s="236"/>
      <c r="EO170" s="236"/>
      <c r="EP170" s="236"/>
      <c r="EQ170" s="236"/>
      <c r="ER170" s="236"/>
      <c r="ES170" s="236"/>
      <c r="ET170" s="236"/>
      <c r="EU170" s="236"/>
      <c r="EV170" s="236"/>
      <c r="EW170" s="236"/>
      <c r="EX170" s="236"/>
      <c r="EY170" s="236"/>
      <c r="EZ170" s="236"/>
      <c r="FA170" s="236"/>
      <c r="FB170" s="236"/>
      <c r="FC170" s="236"/>
      <c r="FD170" s="236"/>
      <c r="FE170" s="236"/>
      <c r="FF170" s="236"/>
      <c r="FG170" s="236"/>
      <c r="FH170" s="236"/>
      <c r="FI170" s="236"/>
      <c r="FJ170" s="236"/>
      <c r="FK170" s="236"/>
      <c r="FL170" s="236"/>
      <c r="FM170" s="236"/>
      <c r="FN170" s="236"/>
      <c r="FO170" s="236"/>
      <c r="FP170" s="236"/>
      <c r="FQ170" s="236"/>
      <c r="FR170" s="236"/>
      <c r="FS170" s="236"/>
      <c r="FT170" s="236"/>
      <c r="FU170" s="236"/>
      <c r="FV170" s="236"/>
      <c r="FW170" s="236"/>
      <c r="FX170" s="236"/>
      <c r="FY170" s="236"/>
      <c r="FZ170" s="236"/>
      <c r="GA170" s="236"/>
      <c r="GB170" s="236"/>
      <c r="GC170" s="236"/>
      <c r="GD170" s="236"/>
      <c r="GE170" s="236"/>
      <c r="GF170" s="236"/>
      <c r="GG170" s="236"/>
      <c r="GH170" s="236"/>
      <c r="GI170" s="236"/>
      <c r="GJ170" s="236"/>
      <c r="GK170" s="236"/>
      <c r="GL170" s="236"/>
      <c r="GM170" s="236"/>
      <c r="GN170" s="236"/>
      <c r="GO170" s="236"/>
      <c r="GP170" s="236"/>
      <c r="GQ170" s="236"/>
      <c r="GR170" s="236"/>
      <c r="GS170" s="236"/>
      <c r="GT170" s="236"/>
      <c r="GU170" s="236"/>
      <c r="GV170" s="236"/>
      <c r="GW170" s="236"/>
      <c r="GX170" s="236"/>
      <c r="GY170" s="236"/>
      <c r="GZ170" s="236"/>
      <c r="HA170" s="236"/>
      <c r="HB170" s="236"/>
      <c r="HC170" s="236"/>
      <c r="HD170" s="236"/>
      <c r="HE170" s="236"/>
      <c r="HF170" s="236"/>
      <c r="HG170" s="236"/>
      <c r="HH170" s="236"/>
      <c r="HI170" s="236"/>
      <c r="HJ170" s="236"/>
      <c r="HK170" s="236"/>
      <c r="HL170" s="236"/>
      <c r="HM170" s="236"/>
      <c r="HN170" s="236"/>
      <c r="HO170" s="236"/>
      <c r="HP170" s="236"/>
      <c r="HQ170" s="236"/>
      <c r="HR170" s="236"/>
      <c r="HS170" s="236"/>
      <c r="HT170" s="236"/>
      <c r="HU170" s="236"/>
      <c r="HV170" s="236"/>
      <c r="HW170" s="236"/>
      <c r="HX170" s="236"/>
      <c r="HY170" s="236"/>
      <c r="HZ170" s="236"/>
      <c r="IA170" s="236"/>
      <c r="IB170" s="236"/>
      <c r="IC170" s="236"/>
      <c r="ID170" s="236"/>
      <c r="IE170" s="236"/>
      <c r="IF170" s="236"/>
      <c r="IG170" s="236"/>
      <c r="IH170" s="236"/>
      <c r="II170" s="236"/>
      <c r="IJ170" s="236"/>
      <c r="IK170" s="236"/>
      <c r="IL170" s="236"/>
      <c r="IM170" s="236"/>
      <c r="IN170" s="236"/>
      <c r="IO170" s="236"/>
      <c r="IP170" s="236"/>
      <c r="IQ170" s="236"/>
      <c r="IR170" s="236"/>
      <c r="IS170" s="236"/>
      <c r="IT170" s="236"/>
      <c r="IU170" s="236"/>
      <c r="IV170" s="236"/>
      <c r="IW170" s="236"/>
      <c r="IX170" s="236"/>
      <c r="IY170" s="236"/>
      <c r="IZ170" s="236"/>
      <c r="JA170" s="236"/>
      <c r="JB170" s="236"/>
      <c r="JC170" s="236"/>
      <c r="JD170" s="236"/>
      <c r="JE170" s="236"/>
      <c r="JF170" s="236"/>
      <c r="JG170" s="236"/>
      <c r="JH170" s="236"/>
      <c r="JI170" s="236"/>
      <c r="JJ170" s="236"/>
      <c r="JK170" s="236"/>
      <c r="JL170" s="236"/>
      <c r="JM170" s="236"/>
      <c r="JN170" s="236"/>
      <c r="JO170" s="236"/>
      <c r="JP170" s="236"/>
      <c r="JQ170" s="236"/>
      <c r="JR170" s="236"/>
      <c r="JS170" s="236"/>
      <c r="JT170" s="236"/>
      <c r="JU170" s="236"/>
      <c r="JV170" s="236"/>
      <c r="JW170" s="236"/>
      <c r="JX170" s="236"/>
      <c r="JY170" s="236"/>
      <c r="JZ170" s="236"/>
      <c r="KA170" s="236"/>
      <c r="KB170" s="236"/>
      <c r="KC170" s="236"/>
      <c r="KD170" s="236"/>
      <c r="KE170" s="236"/>
      <c r="KF170" s="236"/>
      <c r="KG170" s="236"/>
      <c r="KH170" s="236"/>
      <c r="KI170" s="236"/>
      <c r="KJ170" s="236"/>
      <c r="KK170" s="236"/>
      <c r="KL170" s="236"/>
      <c r="KM170" s="236"/>
      <c r="KN170" s="236"/>
      <c r="KO170" s="236"/>
      <c r="KP170" s="236"/>
      <c r="KQ170" s="236"/>
      <c r="KR170" s="236"/>
      <c r="KS170" s="236"/>
      <c r="KT170" s="236"/>
      <c r="KU170" s="236"/>
      <c r="KV170" s="236"/>
      <c r="KW170" s="236"/>
      <c r="KX170" s="236"/>
      <c r="KY170" s="236"/>
      <c r="KZ170" s="236"/>
      <c r="LA170" s="236"/>
      <c r="LB170" s="236"/>
      <c r="LC170" s="236"/>
      <c r="LD170" s="236"/>
      <c r="LE170" s="236"/>
      <c r="LF170" s="236"/>
      <c r="LG170" s="236"/>
      <c r="LH170" s="236"/>
      <c r="LI170" s="236"/>
      <c r="LJ170" s="236"/>
      <c r="LK170" s="236"/>
      <c r="LL170" s="236"/>
      <c r="LM170" s="236"/>
      <c r="LN170" s="236"/>
      <c r="LO170" s="236"/>
      <c r="LP170" s="236"/>
      <c r="LQ170" s="236"/>
      <c r="LR170" s="236"/>
      <c r="LS170" s="236"/>
      <c r="LT170" s="236"/>
      <c r="LU170" s="236"/>
      <c r="LV170" s="236"/>
      <c r="LW170" s="236"/>
      <c r="LX170" s="236"/>
      <c r="LY170" s="236"/>
      <c r="LZ170" s="236"/>
      <c r="MA170" s="236"/>
      <c r="MB170" s="236"/>
      <c r="MC170" s="236"/>
      <c r="MD170" s="236"/>
      <c r="ME170" s="236"/>
      <c r="MF170" s="236"/>
      <c r="MG170" s="236"/>
      <c r="MH170" s="236"/>
      <c r="MI170" s="236"/>
      <c r="MJ170" s="236"/>
      <c r="MK170" s="236"/>
      <c r="ML170" s="236"/>
      <c r="MM170" s="236"/>
      <c r="MN170" s="236"/>
      <c r="MO170" s="236"/>
      <c r="MP170" s="236"/>
      <c r="MQ170" s="236"/>
      <c r="MR170" s="236"/>
      <c r="MS170" s="236"/>
      <c r="MT170" s="236"/>
      <c r="MU170" s="236"/>
      <c r="MV170" s="236"/>
      <c r="MW170" s="236"/>
      <c r="MX170" s="236"/>
      <c r="MY170" s="236"/>
      <c r="MZ170" s="236"/>
      <c r="NA170" s="236"/>
      <c r="NB170" s="236"/>
      <c r="NC170" s="236"/>
      <c r="ND170" s="236"/>
      <c r="NE170" s="236"/>
      <c r="NF170" s="236"/>
      <c r="NG170" s="236"/>
      <c r="NH170" s="236"/>
      <c r="NI170" s="236"/>
      <c r="NJ170" s="236"/>
      <c r="NK170" s="236"/>
      <c r="NL170" s="236"/>
      <c r="NM170" s="236"/>
      <c r="NN170" s="236"/>
      <c r="NO170" s="236"/>
      <c r="NP170" s="236"/>
      <c r="NQ170" s="236"/>
      <c r="NR170" s="236"/>
      <c r="NS170" s="236"/>
      <c r="NT170" s="236"/>
      <c r="NU170" s="236"/>
      <c r="NV170" s="236"/>
      <c r="NW170" s="236"/>
      <c r="NX170" s="236"/>
      <c r="NY170" s="236"/>
      <c r="NZ170" s="236"/>
      <c r="OA170" s="236"/>
      <c r="OB170" s="236"/>
      <c r="OC170" s="236"/>
      <c r="OD170" s="236"/>
      <c r="OE170" s="236"/>
      <c r="OF170" s="236"/>
      <c r="OG170" s="236"/>
      <c r="OH170" s="236"/>
      <c r="OI170" s="236"/>
      <c r="OJ170" s="236"/>
      <c r="OK170" s="236"/>
      <c r="OL170" s="236"/>
      <c r="OM170" s="236"/>
      <c r="ON170" s="236"/>
      <c r="OO170" s="236"/>
      <c r="OP170" s="236"/>
      <c r="OQ170" s="236"/>
      <c r="OR170" s="236"/>
      <c r="OS170" s="236"/>
      <c r="OT170" s="236"/>
      <c r="OU170" s="236"/>
      <c r="OV170" s="236"/>
      <c r="OW170" s="236"/>
      <c r="OX170" s="236"/>
      <c r="OY170" s="236"/>
      <c r="OZ170" s="236"/>
      <c r="PA170" s="236"/>
      <c r="PB170" s="236"/>
      <c r="PC170" s="236"/>
      <c r="PD170" s="236"/>
      <c r="PE170" s="236"/>
      <c r="PF170" s="236"/>
      <c r="PG170" s="236"/>
      <c r="PH170" s="236"/>
      <c r="PI170" s="236"/>
      <c r="PJ170" s="236"/>
      <c r="PK170" s="236"/>
      <c r="PL170" s="236"/>
      <c r="PM170" s="236"/>
      <c r="PN170" s="236"/>
      <c r="PO170" s="236"/>
      <c r="PP170" s="236"/>
      <c r="PQ170" s="236"/>
      <c r="PR170" s="236"/>
      <c r="PS170" s="236"/>
      <c r="PT170" s="236"/>
      <c r="PU170" s="236"/>
      <c r="PV170" s="236"/>
      <c r="PW170" s="236"/>
      <c r="PX170" s="236"/>
      <c r="PY170" s="236"/>
      <c r="PZ170" s="236"/>
      <c r="QA170" s="236"/>
      <c r="QB170" s="236"/>
      <c r="QC170" s="236"/>
      <c r="QD170" s="236"/>
      <c r="QE170" s="236"/>
      <c r="QF170" s="236"/>
      <c r="QG170" s="236"/>
      <c r="QH170" s="236"/>
      <c r="QI170" s="236"/>
      <c r="QJ170" s="236"/>
      <c r="QK170" s="236"/>
      <c r="QL170" s="236"/>
      <c r="QM170" s="236"/>
      <c r="QN170" s="236"/>
      <c r="QO170" s="236"/>
      <c r="QP170" s="236"/>
      <c r="QQ170" s="236"/>
      <c r="QR170" s="236"/>
      <c r="QS170" s="236"/>
      <c r="QT170" s="236"/>
      <c r="QU170" s="236"/>
      <c r="QV170" s="236"/>
      <c r="QW170" s="236"/>
      <c r="QX170" s="236"/>
      <c r="QY170" s="236"/>
      <c r="QZ170" s="236"/>
      <c r="RA170" s="236"/>
      <c r="RB170" s="236"/>
      <c r="RC170" s="236"/>
      <c r="RD170" s="236"/>
      <c r="RE170" s="236"/>
      <c r="RF170" s="236"/>
      <c r="RG170" s="236"/>
      <c r="RH170" s="236"/>
      <c r="RI170" s="236"/>
      <c r="RJ170" s="236"/>
      <c r="RK170" s="236"/>
      <c r="RL170" s="236"/>
      <c r="RM170" s="236"/>
      <c r="RN170" s="236"/>
      <c r="RO170" s="236"/>
      <c r="RP170" s="236"/>
      <c r="RQ170" s="236"/>
      <c r="RR170" s="236"/>
      <c r="RS170" s="236"/>
      <c r="RT170" s="236"/>
      <c r="RU170" s="236"/>
      <c r="RV170" s="236"/>
      <c r="RW170" s="236"/>
      <c r="RX170" s="236"/>
      <c r="RY170" s="236"/>
      <c r="RZ170" s="236"/>
      <c r="SA170" s="236"/>
      <c r="SB170" s="236"/>
      <c r="SC170" s="236"/>
      <c r="SD170" s="236"/>
      <c r="SE170" s="236"/>
      <c r="SF170" s="236"/>
      <c r="SG170" s="236"/>
      <c r="SH170" s="236"/>
      <c r="SI170" s="236"/>
      <c r="SJ170" s="236"/>
      <c r="SK170" s="236"/>
      <c r="SL170" s="236"/>
      <c r="SM170" s="236"/>
      <c r="SN170" s="236"/>
      <c r="SO170" s="236"/>
      <c r="SP170" s="236"/>
      <c r="SQ170" s="236"/>
      <c r="SR170" s="236"/>
      <c r="SS170" s="236"/>
      <c r="ST170" s="236"/>
      <c r="SU170" s="236"/>
      <c r="SV170" s="236"/>
      <c r="SW170" s="236"/>
      <c r="SX170" s="236"/>
      <c r="SY170" s="236"/>
      <c r="SZ170" s="236"/>
      <c r="TA170" s="236"/>
      <c r="TB170" s="236"/>
      <c r="TC170" s="236"/>
      <c r="TD170" s="236"/>
      <c r="TE170" s="236"/>
      <c r="TF170" s="236"/>
      <c r="TG170" s="236"/>
      <c r="TH170" s="236"/>
      <c r="TI170" s="236"/>
      <c r="TJ170" s="236"/>
      <c r="TK170" s="236"/>
      <c r="TL170" s="236"/>
      <c r="TM170" s="236"/>
      <c r="TN170" s="236"/>
      <c r="TO170" s="236"/>
      <c r="TP170" s="236"/>
      <c r="TQ170" s="236"/>
      <c r="TR170" s="236"/>
      <c r="TS170" s="236"/>
      <c r="TT170" s="236"/>
      <c r="TU170" s="236"/>
      <c r="TV170" s="236"/>
      <c r="TW170" s="236"/>
      <c r="TX170" s="236"/>
      <c r="TY170" s="236"/>
      <c r="TZ170" s="236"/>
      <c r="UA170" s="236"/>
      <c r="UB170" s="236"/>
      <c r="UC170" s="236"/>
      <c r="UD170" s="236"/>
      <c r="UE170" s="236"/>
      <c r="UF170" s="236"/>
      <c r="UG170" s="236"/>
      <c r="UH170" s="236"/>
      <c r="UI170" s="236"/>
      <c r="UJ170" s="236"/>
      <c r="UK170" s="236"/>
      <c r="UL170" s="236"/>
      <c r="UM170" s="236"/>
      <c r="UN170" s="236"/>
      <c r="UO170" s="236"/>
      <c r="UP170" s="236"/>
      <c r="UQ170" s="236"/>
      <c r="UR170" s="236"/>
      <c r="US170" s="236"/>
      <c r="UT170" s="236"/>
      <c r="UU170" s="236"/>
      <c r="UV170" s="236"/>
      <c r="UW170" s="236"/>
      <c r="UX170" s="236"/>
      <c r="UY170" s="236"/>
      <c r="UZ170" s="236"/>
      <c r="VA170" s="236"/>
      <c r="VB170" s="236"/>
      <c r="VC170" s="236"/>
      <c r="VD170" s="236"/>
      <c r="VE170" s="236"/>
      <c r="VF170" s="236"/>
      <c r="VG170" s="236"/>
      <c r="VH170" s="236"/>
      <c r="VI170" s="236"/>
      <c r="VJ170" s="236"/>
      <c r="VK170" s="236"/>
      <c r="VL170" s="236"/>
      <c r="VM170" s="236"/>
      <c r="VN170" s="236"/>
      <c r="VO170" s="236"/>
      <c r="VP170" s="236"/>
      <c r="VQ170" s="236"/>
      <c r="VR170" s="236"/>
      <c r="VS170" s="236"/>
      <c r="VT170" s="236"/>
      <c r="VU170" s="236"/>
      <c r="VV170" s="236"/>
      <c r="VW170" s="236"/>
      <c r="VX170" s="236"/>
      <c r="VY170" s="236"/>
      <c r="VZ170" s="236"/>
      <c r="WA170" s="236"/>
      <c r="WB170" s="236"/>
      <c r="WC170" s="236"/>
      <c r="WD170" s="236"/>
      <c r="WE170" s="236"/>
      <c r="WF170" s="236"/>
      <c r="WG170" s="236"/>
      <c r="WH170" s="236"/>
      <c r="WI170" s="236"/>
      <c r="WJ170" s="236"/>
      <c r="WK170" s="236"/>
      <c r="WL170" s="236"/>
      <c r="WM170" s="236"/>
      <c r="WN170" s="236"/>
      <c r="WO170" s="236"/>
      <c r="WP170" s="236"/>
      <c r="WQ170" s="236"/>
      <c r="WR170" s="236"/>
      <c r="WS170" s="236"/>
      <c r="WT170" s="236"/>
      <c r="WU170" s="236"/>
      <c r="WV170" s="236"/>
      <c r="WW170" s="236"/>
      <c r="WX170" s="236"/>
      <c r="WY170" s="236"/>
      <c r="WZ170" s="236"/>
      <c r="XA170" s="236"/>
      <c r="XB170" s="236"/>
      <c r="XC170" s="236"/>
      <c r="XD170" s="236"/>
      <c r="XE170" s="236"/>
      <c r="XF170" s="236"/>
      <c r="XG170" s="236"/>
      <c r="XH170" s="236"/>
      <c r="XI170" s="236"/>
      <c r="XJ170" s="236"/>
      <c r="XK170" s="236"/>
      <c r="XL170" s="236"/>
      <c r="XM170" s="236"/>
      <c r="XN170" s="236"/>
      <c r="XO170" s="236"/>
      <c r="XP170" s="236"/>
      <c r="XQ170" s="236"/>
      <c r="XR170" s="236"/>
      <c r="XS170" s="236"/>
      <c r="XT170" s="236"/>
      <c r="XU170" s="236"/>
      <c r="XV170" s="236"/>
      <c r="XW170" s="236"/>
      <c r="XX170" s="236"/>
      <c r="XY170" s="236"/>
      <c r="XZ170" s="236"/>
      <c r="YA170" s="236"/>
      <c r="YB170" s="236"/>
      <c r="YC170" s="236"/>
      <c r="YD170" s="236"/>
      <c r="YE170" s="236"/>
      <c r="YF170" s="236"/>
      <c r="YG170" s="236"/>
      <c r="YH170" s="236"/>
      <c r="YI170" s="236"/>
      <c r="YJ170" s="236"/>
      <c r="YK170" s="236"/>
      <c r="YL170" s="236"/>
      <c r="YM170" s="236"/>
      <c r="YN170" s="236"/>
      <c r="YO170" s="236"/>
      <c r="YP170" s="236"/>
      <c r="YQ170" s="236"/>
      <c r="YR170" s="236"/>
      <c r="YS170" s="236"/>
      <c r="YT170" s="236"/>
      <c r="YU170" s="236"/>
      <c r="YV170" s="236"/>
      <c r="YW170" s="236"/>
      <c r="YX170" s="236"/>
      <c r="YY170" s="236"/>
      <c r="YZ170" s="236"/>
      <c r="ZA170" s="236"/>
      <c r="ZB170" s="236"/>
      <c r="ZC170" s="236"/>
      <c r="ZD170" s="236"/>
      <c r="ZE170" s="236"/>
      <c r="ZF170" s="236"/>
      <c r="ZG170" s="236"/>
      <c r="ZH170" s="236"/>
      <c r="ZI170" s="236"/>
      <c r="ZJ170" s="236"/>
      <c r="ZK170" s="236"/>
      <c r="ZL170" s="236"/>
      <c r="ZM170" s="236"/>
      <c r="ZN170" s="236"/>
      <c r="ZO170" s="236"/>
      <c r="ZP170" s="236"/>
      <c r="ZQ170" s="236"/>
      <c r="ZR170" s="236"/>
      <c r="ZS170" s="236"/>
      <c r="ZT170" s="236"/>
      <c r="ZU170" s="236"/>
      <c r="ZV170" s="236"/>
      <c r="ZW170" s="236"/>
      <c r="ZX170" s="236"/>
      <c r="ZY170" s="236"/>
      <c r="ZZ170" s="236"/>
      <c r="AAA170" s="236"/>
      <c r="AAB170" s="236"/>
      <c r="AAC170" s="236"/>
      <c r="AAD170" s="236"/>
      <c r="AAE170" s="236"/>
      <c r="AAF170" s="236"/>
      <c r="AAG170" s="236"/>
      <c r="AAH170" s="236"/>
      <c r="AAI170" s="236"/>
      <c r="AAJ170" s="236"/>
      <c r="AAK170" s="236"/>
      <c r="AAL170" s="236"/>
      <c r="AAM170" s="236"/>
      <c r="AAN170" s="236"/>
      <c r="AAO170" s="236"/>
      <c r="AAP170" s="236"/>
      <c r="AAQ170" s="236"/>
      <c r="AAR170" s="236"/>
      <c r="AAS170" s="236"/>
      <c r="AAT170" s="236"/>
      <c r="AAU170" s="236"/>
      <c r="AAV170" s="236"/>
      <c r="AAW170" s="236"/>
      <c r="AAX170" s="236"/>
      <c r="AAY170" s="236"/>
      <c r="AAZ170" s="236"/>
      <c r="ABA170" s="236"/>
      <c r="ABB170" s="236"/>
      <c r="ABC170" s="236"/>
      <c r="ABD170" s="236"/>
      <c r="ABE170" s="236"/>
      <c r="ABF170" s="236"/>
      <c r="ABG170" s="236"/>
      <c r="ABH170" s="236"/>
      <c r="ABI170" s="236"/>
      <c r="ABJ170" s="236"/>
      <c r="ABK170" s="236"/>
      <c r="ABL170" s="236"/>
      <c r="ABM170" s="236"/>
      <c r="ABN170" s="236"/>
      <c r="ABO170" s="236"/>
      <c r="ABP170" s="236"/>
      <c r="ABQ170" s="236"/>
      <c r="ABR170" s="236"/>
      <c r="ABS170" s="236"/>
      <c r="ABT170" s="236"/>
      <c r="ABU170" s="236"/>
      <c r="ABV170" s="236"/>
      <c r="ABW170" s="236"/>
      <c r="ABX170" s="236"/>
      <c r="ABY170" s="236"/>
      <c r="ABZ170" s="236"/>
      <c r="ACA170" s="236"/>
      <c r="ACB170" s="236"/>
      <c r="ACC170" s="236"/>
      <c r="ACD170" s="236"/>
      <c r="ACE170" s="236"/>
      <c r="ACF170" s="236"/>
      <c r="ACG170" s="236"/>
      <c r="ACH170" s="236"/>
      <c r="ACI170" s="236"/>
      <c r="ACJ170" s="236"/>
      <c r="ACK170" s="236"/>
      <c r="ACL170" s="236"/>
      <c r="ACM170" s="236"/>
      <c r="ACN170" s="236"/>
      <c r="ACO170" s="236"/>
      <c r="ACP170" s="236"/>
      <c r="ACQ170" s="236"/>
      <c r="ACR170" s="236"/>
      <c r="ACS170" s="236"/>
      <c r="ACT170" s="236"/>
      <c r="ACU170" s="236"/>
      <c r="ACV170" s="236"/>
      <c r="ACW170" s="236"/>
      <c r="ACX170" s="236"/>
      <c r="ACY170" s="236"/>
      <c r="ACZ170" s="236"/>
      <c r="ADA170" s="236"/>
      <c r="ADB170" s="236"/>
      <c r="ADC170" s="236"/>
      <c r="ADD170" s="236"/>
      <c r="ADE170" s="236"/>
      <c r="ADF170" s="236"/>
      <c r="ADG170" s="236"/>
      <c r="ADH170" s="236"/>
      <c r="ADI170" s="236"/>
      <c r="ADJ170" s="236"/>
      <c r="ADK170" s="236"/>
      <c r="ADL170" s="236"/>
      <c r="ADM170" s="236"/>
      <c r="ADN170" s="236"/>
      <c r="ADO170" s="236"/>
      <c r="ADP170" s="236"/>
      <c r="ADQ170" s="236"/>
      <c r="ADR170" s="236"/>
      <c r="ADS170" s="236"/>
      <c r="ADT170" s="236"/>
      <c r="ADU170" s="236"/>
      <c r="ADV170" s="236"/>
      <c r="ADW170" s="236"/>
      <c r="ADX170" s="236"/>
      <c r="ADY170" s="236"/>
      <c r="ADZ170" s="236"/>
      <c r="AEA170" s="236"/>
      <c r="AEB170" s="236"/>
      <c r="AEC170" s="236"/>
      <c r="AED170" s="236"/>
      <c r="AEE170" s="236"/>
      <c r="AEF170" s="236"/>
      <c r="AEG170" s="236"/>
      <c r="AEH170" s="236"/>
      <c r="AEI170" s="236"/>
      <c r="AEJ170" s="236"/>
      <c r="AEK170" s="236"/>
      <c r="AEL170" s="236"/>
      <c r="AEM170" s="236"/>
      <c r="AEN170" s="236"/>
      <c r="AEO170" s="236"/>
      <c r="AEP170" s="236"/>
      <c r="AEQ170" s="236"/>
      <c r="AER170" s="236"/>
      <c r="AES170" s="236"/>
      <c r="AET170" s="236"/>
      <c r="AEU170" s="236"/>
      <c r="AEV170" s="236"/>
      <c r="AEW170" s="236"/>
      <c r="AEX170" s="236"/>
      <c r="AEY170" s="236"/>
      <c r="AEZ170" s="236"/>
      <c r="AFA170" s="236"/>
      <c r="AFB170" s="236"/>
      <c r="AFC170" s="236"/>
      <c r="AFD170" s="236"/>
      <c r="AFE170" s="236"/>
      <c r="AFF170" s="236"/>
      <c r="AFG170" s="236"/>
      <c r="AFH170" s="236"/>
      <c r="AFI170" s="236"/>
      <c r="AFJ170" s="236"/>
      <c r="AFK170" s="236"/>
      <c r="AFL170" s="236"/>
      <c r="AFM170" s="236"/>
      <c r="AFN170" s="236"/>
      <c r="AFO170" s="236"/>
      <c r="AFP170" s="236"/>
      <c r="AFQ170" s="236"/>
      <c r="AFR170" s="236"/>
      <c r="AFS170" s="236"/>
      <c r="AFT170" s="236"/>
      <c r="AFU170" s="236"/>
      <c r="AFV170" s="236"/>
      <c r="AFW170" s="236"/>
      <c r="AFX170" s="236"/>
      <c r="AFY170" s="236"/>
      <c r="AFZ170" s="236"/>
      <c r="AGA170" s="236"/>
      <c r="AGB170" s="236"/>
      <c r="AGC170" s="236"/>
      <c r="AGD170" s="236"/>
      <c r="AGE170" s="236"/>
      <c r="AGF170" s="236"/>
      <c r="AGG170" s="236"/>
      <c r="AGH170" s="236"/>
      <c r="AGI170" s="236"/>
      <c r="AGJ170" s="236"/>
      <c r="AGK170" s="236"/>
      <c r="AGL170" s="236"/>
      <c r="AGM170" s="236"/>
      <c r="AGN170" s="236"/>
      <c r="AGO170" s="236"/>
      <c r="AGP170" s="236"/>
      <c r="AGQ170" s="236"/>
      <c r="AGR170" s="236"/>
      <c r="AGS170" s="236"/>
      <c r="AGT170" s="236"/>
      <c r="AGU170" s="236"/>
      <c r="AGV170" s="236"/>
      <c r="AGW170" s="236"/>
      <c r="AGX170" s="236"/>
      <c r="AGY170" s="236"/>
      <c r="AGZ170" s="236"/>
      <c r="AHA170" s="236"/>
      <c r="AHB170" s="236"/>
      <c r="AHC170" s="236"/>
      <c r="AHD170" s="236"/>
      <c r="AHE170" s="236"/>
      <c r="AHF170" s="236"/>
      <c r="AHG170" s="236"/>
      <c r="AHH170" s="236"/>
      <c r="AHI170" s="236"/>
      <c r="AHJ170" s="236"/>
      <c r="AHK170" s="236"/>
      <c r="AHL170" s="236"/>
      <c r="AHM170" s="236"/>
      <c r="AHN170" s="236"/>
      <c r="AHO170" s="236"/>
      <c r="AHP170" s="236"/>
      <c r="AHQ170" s="236"/>
      <c r="AHR170" s="236"/>
      <c r="AHS170" s="236"/>
      <c r="AHT170" s="236"/>
      <c r="AHU170" s="236"/>
      <c r="AHV170" s="236"/>
      <c r="AHW170" s="236"/>
      <c r="AHX170" s="236"/>
      <c r="AHY170" s="236"/>
      <c r="AHZ170" s="236"/>
      <c r="AIA170" s="236"/>
      <c r="AIB170" s="236"/>
      <c r="AIC170" s="236"/>
      <c r="AID170" s="236"/>
      <c r="AIE170" s="236"/>
      <c r="AIF170" s="236"/>
      <c r="AIG170" s="236"/>
      <c r="AIH170" s="236"/>
      <c r="AII170" s="236"/>
      <c r="AIJ170" s="236"/>
      <c r="AIK170" s="236"/>
      <c r="AIL170" s="236"/>
      <c r="AIM170" s="236"/>
      <c r="AIN170" s="236"/>
      <c r="AIO170" s="236"/>
      <c r="AIP170" s="236"/>
      <c r="AIQ170" s="236"/>
      <c r="AIR170" s="236"/>
      <c r="AIS170" s="236"/>
      <c r="AIT170" s="236"/>
      <c r="AIU170" s="236"/>
      <c r="AIV170" s="236"/>
      <c r="AIW170" s="236"/>
      <c r="AIX170" s="236"/>
      <c r="AIY170" s="236"/>
      <c r="AIZ170" s="236"/>
      <c r="AJA170" s="236"/>
      <c r="AJB170" s="236"/>
      <c r="AJC170" s="236"/>
      <c r="AJD170" s="236"/>
      <c r="AJE170" s="236"/>
      <c r="AJF170" s="236"/>
      <c r="AJG170" s="236"/>
      <c r="AJH170" s="236"/>
      <c r="AJI170" s="236"/>
      <c r="AJJ170" s="236"/>
      <c r="AJK170" s="236"/>
      <c r="AJL170" s="236"/>
      <c r="AJM170" s="236"/>
      <c r="AJN170" s="236"/>
      <c r="AJO170" s="236"/>
      <c r="AJP170" s="236"/>
      <c r="AJQ170" s="236"/>
      <c r="AJR170" s="236"/>
      <c r="AJS170" s="236"/>
      <c r="AJT170" s="236"/>
      <c r="AJU170" s="236"/>
      <c r="AJV170" s="236"/>
      <c r="AJW170" s="236"/>
      <c r="AJX170" s="236"/>
      <c r="AJY170" s="236"/>
      <c r="AJZ170" s="236"/>
      <c r="AKA170" s="236"/>
      <c r="AKB170" s="236"/>
      <c r="AKC170" s="236"/>
      <c r="AKD170" s="236"/>
      <c r="AKE170" s="236"/>
      <c r="AKF170" s="236"/>
      <c r="AKG170" s="236"/>
      <c r="AKH170" s="236"/>
      <c r="AKI170" s="236"/>
      <c r="AKJ170" s="236"/>
      <c r="AKK170" s="236"/>
      <c r="AKL170" s="236"/>
      <c r="AKM170" s="236"/>
      <c r="AKN170" s="236"/>
      <c r="AKO170" s="236"/>
      <c r="AKP170" s="236"/>
      <c r="AKQ170" s="236"/>
      <c r="AKR170" s="236"/>
      <c r="AKS170" s="236"/>
      <c r="AKT170" s="236"/>
      <c r="AKU170" s="236"/>
      <c r="AKV170" s="236"/>
      <c r="AKW170" s="236"/>
      <c r="AKX170" s="236"/>
      <c r="AKY170" s="236"/>
      <c r="AKZ170" s="236"/>
      <c r="ALA170" s="236"/>
      <c r="ALB170" s="236"/>
      <c r="ALC170" s="236"/>
      <c r="ALD170" s="236"/>
      <c r="ALE170" s="236"/>
      <c r="ALF170" s="236"/>
      <c r="ALG170" s="236"/>
      <c r="ALH170" s="236"/>
      <c r="ALI170" s="236"/>
      <c r="ALJ170" s="236"/>
      <c r="ALK170" s="236"/>
      <c r="ALL170" s="236"/>
      <c r="ALM170" s="236"/>
      <c r="ALN170" s="236"/>
      <c r="ALO170" s="236"/>
      <c r="ALP170" s="236"/>
      <c r="ALQ170" s="236"/>
      <c r="ALR170" s="236"/>
      <c r="ALS170" s="236"/>
      <c r="ALT170" s="236"/>
      <c r="ALU170" s="236"/>
      <c r="ALV170" s="236"/>
      <c r="ALW170" s="236"/>
      <c r="ALX170" s="236"/>
      <c r="ALY170" s="236"/>
      <c r="ALZ170" s="236"/>
      <c r="AMA170" s="236"/>
      <c r="AMB170" s="236"/>
      <c r="AMC170" s="236"/>
      <c r="AMD170" s="236"/>
      <c r="AME170" s="236"/>
      <c r="AMF170" s="236"/>
      <c r="AMG170" s="236"/>
      <c r="AMH170" s="236"/>
      <c r="AMI170" s="236"/>
      <c r="AMJ170" s="236"/>
      <c r="AMK170" s="236"/>
      <c r="AML170" s="236"/>
      <c r="AMM170" s="236"/>
    </row>
    <row r="171" spans="1:1027" s="243" customFormat="1" ht="30" customHeight="1">
      <c r="A171" s="1588"/>
      <c r="B171" s="1589"/>
      <c r="C171" s="1589"/>
      <c r="D171" s="1589"/>
      <c r="E171" s="1589"/>
      <c r="F171" s="1589"/>
      <c r="G171" s="1589"/>
      <c r="H171" s="1589"/>
      <c r="I171" s="1589"/>
      <c r="J171" s="1589"/>
      <c r="K171" s="1589"/>
      <c r="L171" s="1590"/>
      <c r="M171" s="285"/>
      <c r="N171" s="1396" t="s">
        <v>173</v>
      </c>
      <c r="O171" s="1397"/>
      <c r="P171" s="1397"/>
      <c r="Q171" s="1397"/>
      <c r="R171" s="1398"/>
      <c r="S171" s="286"/>
      <c r="T171" s="286"/>
      <c r="U171" s="286"/>
      <c r="V171" s="1409" t="s">
        <v>2447</v>
      </c>
      <c r="W171" s="1410"/>
      <c r="X171" s="1410"/>
      <c r="Y171" s="1410"/>
      <c r="Z171" s="1411"/>
      <c r="AA171" s="1077"/>
      <c r="AB171" s="1342" t="s">
        <v>2448</v>
      </c>
      <c r="AC171" s="1344"/>
      <c r="AD171" s="1396"/>
      <c r="AE171" s="1397"/>
      <c r="AF171" s="1397"/>
      <c r="AG171" s="1397"/>
      <c r="AH171" s="1397"/>
      <c r="AI171" s="1397"/>
      <c r="AJ171" s="1397"/>
      <c r="AK171" s="1397"/>
      <c r="AL171" s="1397"/>
      <c r="AM171" s="1398"/>
      <c r="AN171" s="245"/>
      <c r="AO171" s="245"/>
      <c r="AP171" s="245"/>
      <c r="AQ171" s="245"/>
      <c r="AR171" s="245"/>
      <c r="AS171" s="245"/>
      <c r="AT171" s="245"/>
      <c r="AU171" s="245"/>
      <c r="AV171" s="245"/>
      <c r="AW171" s="245"/>
      <c r="AX171" s="245"/>
    </row>
    <row r="172" spans="1:1027" s="243" customFormat="1" ht="30" customHeight="1">
      <c r="A172" s="1588"/>
      <c r="B172" s="1589"/>
      <c r="C172" s="1589"/>
      <c r="D172" s="1589"/>
      <c r="E172" s="1589"/>
      <c r="F172" s="1589"/>
      <c r="G172" s="1589"/>
      <c r="H172" s="1589"/>
      <c r="I172" s="1589"/>
      <c r="J172" s="1589"/>
      <c r="K172" s="1589"/>
      <c r="L172" s="1590"/>
      <c r="M172" s="285"/>
      <c r="N172" s="1396" t="s">
        <v>168</v>
      </c>
      <c r="O172" s="1397"/>
      <c r="P172" s="1397"/>
      <c r="Q172" s="1397"/>
      <c r="R172" s="1398"/>
      <c r="S172" s="286"/>
      <c r="T172" s="286"/>
      <c r="U172" s="286"/>
      <c r="V172" s="1409" t="s">
        <v>1137</v>
      </c>
      <c r="W172" s="1410"/>
      <c r="X172" s="1410"/>
      <c r="Y172" s="1410"/>
      <c r="Z172" s="1411"/>
      <c r="AA172" s="1077"/>
      <c r="AB172" s="1342" t="s">
        <v>930</v>
      </c>
      <c r="AC172" s="1344"/>
      <c r="AD172" s="1396"/>
      <c r="AE172" s="1397"/>
      <c r="AF172" s="1397"/>
      <c r="AG172" s="1397"/>
      <c r="AH172" s="1397"/>
      <c r="AI172" s="1397"/>
      <c r="AJ172" s="1397"/>
      <c r="AK172" s="1397"/>
      <c r="AL172" s="1397"/>
      <c r="AM172" s="1398"/>
      <c r="AN172" s="245"/>
      <c r="AO172" s="245"/>
      <c r="AP172" s="245"/>
      <c r="AQ172" s="245"/>
      <c r="AR172" s="245"/>
      <c r="AS172" s="245"/>
      <c r="AT172" s="245"/>
      <c r="AU172" s="245"/>
      <c r="AV172" s="245"/>
      <c r="AW172" s="245"/>
      <c r="AX172" s="245"/>
    </row>
    <row r="173" spans="1:1027" s="243" customFormat="1" ht="30" customHeight="1">
      <c r="A173" s="300"/>
      <c r="B173" s="300"/>
      <c r="C173" s="300"/>
      <c r="D173" s="300"/>
      <c r="E173" s="300"/>
      <c r="F173" s="300"/>
      <c r="G173" s="300"/>
      <c r="H173" s="300"/>
      <c r="I173" s="300"/>
      <c r="J173" s="300"/>
      <c r="K173" s="300"/>
      <c r="L173" s="300"/>
      <c r="M173" s="285"/>
      <c r="N173" s="1403"/>
      <c r="O173" s="1403"/>
      <c r="P173" s="1403"/>
      <c r="Q173" s="1403"/>
      <c r="R173" s="1403"/>
      <c r="S173" s="288"/>
      <c r="T173" s="288"/>
      <c r="U173" s="288"/>
      <c r="V173" s="1403"/>
      <c r="W173" s="1403"/>
      <c r="X173" s="1403"/>
      <c r="Y173" s="1403"/>
      <c r="Z173" s="1403"/>
      <c r="AA173" s="1064"/>
      <c r="AB173" s="654"/>
      <c r="AC173" s="654"/>
      <c r="AD173" s="288"/>
      <c r="AE173" s="288"/>
      <c r="AF173" s="288"/>
      <c r="AG173" s="288"/>
      <c r="AH173" s="288"/>
      <c r="AI173" s="288"/>
      <c r="AJ173" s="288"/>
      <c r="AK173" s="288"/>
      <c r="AL173" s="288"/>
      <c r="AM173" s="288"/>
      <c r="AN173" s="245"/>
      <c r="AO173" s="245"/>
      <c r="AP173" s="245"/>
      <c r="AQ173" s="245"/>
      <c r="AR173" s="245"/>
      <c r="AS173" s="245"/>
      <c r="AT173" s="245"/>
      <c r="AU173" s="245"/>
      <c r="AV173" s="245"/>
      <c r="AW173" s="245"/>
      <c r="AX173" s="245"/>
    </row>
    <row r="174" spans="1:1027">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c r="AW174" s="233"/>
      <c r="AX174" s="233"/>
    </row>
    <row r="175" spans="1:1027">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row>
  </sheetData>
  <sheetProtection formatCells="0" formatColumns="0" formatRows="0" insertRows="0" deleteColumns="0" sort="0" autoFilter="0"/>
  <mergeCells count="786">
    <mergeCell ref="AA27:AA31"/>
    <mergeCell ref="AA32:AA36"/>
    <mergeCell ref="AB172:AC172"/>
    <mergeCell ref="AD172:AM172"/>
    <mergeCell ref="N173:R173"/>
    <mergeCell ref="V173:Z173"/>
    <mergeCell ref="AB170:AC170"/>
    <mergeCell ref="AD170:AM170"/>
    <mergeCell ref="N171:R171"/>
    <mergeCell ref="V171:Z171"/>
    <mergeCell ref="AB171:AC171"/>
    <mergeCell ref="AD171:AM171"/>
    <mergeCell ref="C167:E167"/>
    <mergeCell ref="G167:I167"/>
    <mergeCell ref="J167:L167"/>
    <mergeCell ref="X167:Z167"/>
    <mergeCell ref="A169:L172"/>
    <mergeCell ref="N170:R170"/>
    <mergeCell ref="V170:Z170"/>
    <mergeCell ref="N172:R172"/>
    <mergeCell ref="V172:Z172"/>
    <mergeCell ref="C165:E165"/>
    <mergeCell ref="G165:I165"/>
    <mergeCell ref="J165:L165"/>
    <mergeCell ref="X165:Z165"/>
    <mergeCell ref="C166:E166"/>
    <mergeCell ref="G166:I166"/>
    <mergeCell ref="J166:L166"/>
    <mergeCell ref="X166:Z166"/>
    <mergeCell ref="C163:E163"/>
    <mergeCell ref="G163:I163"/>
    <mergeCell ref="J163:L163"/>
    <mergeCell ref="X163:Z163"/>
    <mergeCell ref="C164:E164"/>
    <mergeCell ref="G164:I164"/>
    <mergeCell ref="J164:L164"/>
    <mergeCell ref="X164:Z164"/>
    <mergeCell ref="C161:E161"/>
    <mergeCell ref="G161:I161"/>
    <mergeCell ref="J161:L161"/>
    <mergeCell ref="X161:Z161"/>
    <mergeCell ref="C162:E162"/>
    <mergeCell ref="G162:I162"/>
    <mergeCell ref="J162:L162"/>
    <mergeCell ref="X162:Z162"/>
    <mergeCell ref="C159:E159"/>
    <mergeCell ref="G159:I159"/>
    <mergeCell ref="J159:L159"/>
    <mergeCell ref="X159:Z159"/>
    <mergeCell ref="C160:E160"/>
    <mergeCell ref="G160:I160"/>
    <mergeCell ref="J160:L160"/>
    <mergeCell ref="X160:Z160"/>
    <mergeCell ref="C157:E157"/>
    <mergeCell ref="G157:I157"/>
    <mergeCell ref="J157:L157"/>
    <mergeCell ref="X157:Z157"/>
    <mergeCell ref="C158:E158"/>
    <mergeCell ref="G158:I158"/>
    <mergeCell ref="J158:L158"/>
    <mergeCell ref="X158:Z158"/>
    <mergeCell ref="C155:E155"/>
    <mergeCell ref="G155:I155"/>
    <mergeCell ref="J155:L155"/>
    <mergeCell ref="X155:Z155"/>
    <mergeCell ref="C156:E156"/>
    <mergeCell ref="G156:I156"/>
    <mergeCell ref="J156:L156"/>
    <mergeCell ref="X156:Z156"/>
    <mergeCell ref="C153:E153"/>
    <mergeCell ref="G153:I153"/>
    <mergeCell ref="J153:L153"/>
    <mergeCell ref="X153:Z153"/>
    <mergeCell ref="C154:E154"/>
    <mergeCell ref="G154:I154"/>
    <mergeCell ref="J154:L154"/>
    <mergeCell ref="X154:Z154"/>
    <mergeCell ref="C151:E151"/>
    <mergeCell ref="G151:I151"/>
    <mergeCell ref="J151:L151"/>
    <mergeCell ref="X151:Z151"/>
    <mergeCell ref="C152:E152"/>
    <mergeCell ref="G152:I152"/>
    <mergeCell ref="J152:L152"/>
    <mergeCell ref="X152:Z152"/>
    <mergeCell ref="C149:E149"/>
    <mergeCell ref="G149:I149"/>
    <mergeCell ref="J149:L149"/>
    <mergeCell ref="X149:Z149"/>
    <mergeCell ref="C150:E150"/>
    <mergeCell ref="G150:I150"/>
    <mergeCell ref="J150:L150"/>
    <mergeCell ref="X150:Z150"/>
    <mergeCell ref="C147:E147"/>
    <mergeCell ref="G147:I147"/>
    <mergeCell ref="J147:L147"/>
    <mergeCell ref="X147:Z147"/>
    <mergeCell ref="C148:E148"/>
    <mergeCell ref="G148:I148"/>
    <mergeCell ref="J148:L148"/>
    <mergeCell ref="X148:Z148"/>
    <mergeCell ref="C145:E145"/>
    <mergeCell ref="G145:I145"/>
    <mergeCell ref="J145:L145"/>
    <mergeCell ref="X145:Z145"/>
    <mergeCell ref="C146:E146"/>
    <mergeCell ref="G146:I146"/>
    <mergeCell ref="J146:L146"/>
    <mergeCell ref="X146:Z146"/>
    <mergeCell ref="C143:E143"/>
    <mergeCell ref="G143:I143"/>
    <mergeCell ref="J143:L143"/>
    <mergeCell ref="X143:Z143"/>
    <mergeCell ref="C144:E144"/>
    <mergeCell ref="G144:I144"/>
    <mergeCell ref="J144:L144"/>
    <mergeCell ref="X144:Z144"/>
    <mergeCell ref="C141:E141"/>
    <mergeCell ref="G141:I141"/>
    <mergeCell ref="J141:L141"/>
    <mergeCell ref="X141:Z141"/>
    <mergeCell ref="C142:E142"/>
    <mergeCell ref="G142:I142"/>
    <mergeCell ref="J142:L142"/>
    <mergeCell ref="X142:Z142"/>
    <mergeCell ref="C139:E139"/>
    <mergeCell ref="G139:I139"/>
    <mergeCell ref="J139:L139"/>
    <mergeCell ref="X139:Z139"/>
    <mergeCell ref="C140:E140"/>
    <mergeCell ref="G140:I140"/>
    <mergeCell ref="J140:L140"/>
    <mergeCell ref="X140:Z140"/>
    <mergeCell ref="C137:E137"/>
    <mergeCell ref="G137:I137"/>
    <mergeCell ref="J137:L137"/>
    <mergeCell ref="X137:Z137"/>
    <mergeCell ref="C138:E138"/>
    <mergeCell ref="G138:I138"/>
    <mergeCell ref="J138:L138"/>
    <mergeCell ref="X138:Z138"/>
    <mergeCell ref="C135:E135"/>
    <mergeCell ref="G135:I135"/>
    <mergeCell ref="J135:L135"/>
    <mergeCell ref="X135:Z135"/>
    <mergeCell ref="C136:E136"/>
    <mergeCell ref="G136:I136"/>
    <mergeCell ref="J136:L136"/>
    <mergeCell ref="X136:Z136"/>
    <mergeCell ref="C133:E133"/>
    <mergeCell ref="G133:I133"/>
    <mergeCell ref="J133:L133"/>
    <mergeCell ref="X133:Z133"/>
    <mergeCell ref="C134:E134"/>
    <mergeCell ref="G134:I134"/>
    <mergeCell ref="J134:L134"/>
    <mergeCell ref="X134:Z134"/>
    <mergeCell ref="C131:E131"/>
    <mergeCell ref="G131:I131"/>
    <mergeCell ref="J131:L131"/>
    <mergeCell ref="X131:Z131"/>
    <mergeCell ref="C132:E132"/>
    <mergeCell ref="G132:I132"/>
    <mergeCell ref="J132:L132"/>
    <mergeCell ref="X132:Z132"/>
    <mergeCell ref="C129:E129"/>
    <mergeCell ref="G129:I129"/>
    <mergeCell ref="J129:L129"/>
    <mergeCell ref="X129:Z129"/>
    <mergeCell ref="C130:E130"/>
    <mergeCell ref="G130:I130"/>
    <mergeCell ref="J130:L130"/>
    <mergeCell ref="X130:Z130"/>
    <mergeCell ref="C127:E127"/>
    <mergeCell ref="G127:I127"/>
    <mergeCell ref="J127:L127"/>
    <mergeCell ref="X127:Z127"/>
    <mergeCell ref="C128:E128"/>
    <mergeCell ref="G128:I128"/>
    <mergeCell ref="J128:L128"/>
    <mergeCell ref="X128:Z128"/>
    <mergeCell ref="C125:E125"/>
    <mergeCell ref="G125:I125"/>
    <mergeCell ref="J125:L125"/>
    <mergeCell ref="X125:Z125"/>
    <mergeCell ref="C126:E126"/>
    <mergeCell ref="G126:I126"/>
    <mergeCell ref="J126:L126"/>
    <mergeCell ref="X126:Z126"/>
    <mergeCell ref="C123:E123"/>
    <mergeCell ref="G123:I123"/>
    <mergeCell ref="J123:L123"/>
    <mergeCell ref="X123:Z123"/>
    <mergeCell ref="C124:E124"/>
    <mergeCell ref="G124:I124"/>
    <mergeCell ref="J124:L124"/>
    <mergeCell ref="X124:Z124"/>
    <mergeCell ref="C121:E121"/>
    <mergeCell ref="G121:I121"/>
    <mergeCell ref="J121:L121"/>
    <mergeCell ref="X121:Z121"/>
    <mergeCell ref="C122:E122"/>
    <mergeCell ref="G122:I122"/>
    <mergeCell ref="J122:L122"/>
    <mergeCell ref="X122:Z122"/>
    <mergeCell ref="C119:E119"/>
    <mergeCell ref="G119:I119"/>
    <mergeCell ref="J119:L119"/>
    <mergeCell ref="X119:Z119"/>
    <mergeCell ref="C120:E120"/>
    <mergeCell ref="G120:I120"/>
    <mergeCell ref="J120:L120"/>
    <mergeCell ref="X120:Z120"/>
    <mergeCell ref="C117:E117"/>
    <mergeCell ref="G117:I117"/>
    <mergeCell ref="J117:L117"/>
    <mergeCell ref="X117:Z117"/>
    <mergeCell ref="C118:E118"/>
    <mergeCell ref="G118:I118"/>
    <mergeCell ref="J118:L118"/>
    <mergeCell ref="X118:Z118"/>
    <mergeCell ref="C115:E115"/>
    <mergeCell ref="G115:I115"/>
    <mergeCell ref="J115:L115"/>
    <mergeCell ref="X115:Z115"/>
    <mergeCell ref="C116:E116"/>
    <mergeCell ref="G116:I116"/>
    <mergeCell ref="J116:L116"/>
    <mergeCell ref="X116:Z116"/>
    <mergeCell ref="C113:E113"/>
    <mergeCell ref="G113:I113"/>
    <mergeCell ref="J113:L113"/>
    <mergeCell ref="X113:Z113"/>
    <mergeCell ref="C114:E114"/>
    <mergeCell ref="G114:I114"/>
    <mergeCell ref="J114:L114"/>
    <mergeCell ref="X114:Z114"/>
    <mergeCell ref="C111:E111"/>
    <mergeCell ref="G111:I111"/>
    <mergeCell ref="J111:L111"/>
    <mergeCell ref="X111:Z111"/>
    <mergeCell ref="C112:E112"/>
    <mergeCell ref="G112:I112"/>
    <mergeCell ref="J112:L112"/>
    <mergeCell ref="X112:Z112"/>
    <mergeCell ref="C109:E109"/>
    <mergeCell ref="G109:I109"/>
    <mergeCell ref="J109:L109"/>
    <mergeCell ref="X109:Z109"/>
    <mergeCell ref="C110:E110"/>
    <mergeCell ref="G110:I110"/>
    <mergeCell ref="J110:L110"/>
    <mergeCell ref="X110:Z110"/>
    <mergeCell ref="C107:E107"/>
    <mergeCell ref="G107:I107"/>
    <mergeCell ref="J107:L107"/>
    <mergeCell ref="X107:Z107"/>
    <mergeCell ref="C108:E108"/>
    <mergeCell ref="G108:I108"/>
    <mergeCell ref="J108:L108"/>
    <mergeCell ref="X108:Z108"/>
    <mergeCell ref="C105:E105"/>
    <mergeCell ref="G105:I105"/>
    <mergeCell ref="J105:L105"/>
    <mergeCell ref="X105:Z105"/>
    <mergeCell ref="C106:E106"/>
    <mergeCell ref="G106:I106"/>
    <mergeCell ref="J106:L106"/>
    <mergeCell ref="X106:Z106"/>
    <mergeCell ref="C103:E103"/>
    <mergeCell ref="G103:I103"/>
    <mergeCell ref="J103:L103"/>
    <mergeCell ref="X103:Z103"/>
    <mergeCell ref="C104:E104"/>
    <mergeCell ref="G104:I104"/>
    <mergeCell ref="J104:L104"/>
    <mergeCell ref="X104:Z104"/>
    <mergeCell ref="C101:E101"/>
    <mergeCell ref="G101:I101"/>
    <mergeCell ref="J101:L101"/>
    <mergeCell ref="X101:Z101"/>
    <mergeCell ref="C102:E102"/>
    <mergeCell ref="G102:I102"/>
    <mergeCell ref="J102:L102"/>
    <mergeCell ref="X102:Z102"/>
    <mergeCell ref="C99:E99"/>
    <mergeCell ref="G99:I99"/>
    <mergeCell ref="J99:L99"/>
    <mergeCell ref="X99:Z99"/>
    <mergeCell ref="C100:E100"/>
    <mergeCell ref="G100:I100"/>
    <mergeCell ref="J100:L100"/>
    <mergeCell ref="X100:Z100"/>
    <mergeCell ref="C97:E97"/>
    <mergeCell ref="G97:I97"/>
    <mergeCell ref="J97:L97"/>
    <mergeCell ref="X97:Z97"/>
    <mergeCell ref="C98:E98"/>
    <mergeCell ref="G98:I98"/>
    <mergeCell ref="J98:L98"/>
    <mergeCell ref="X98:Z98"/>
    <mergeCell ref="C95:E95"/>
    <mergeCell ref="G95:I95"/>
    <mergeCell ref="J95:L95"/>
    <mergeCell ref="X95:Z95"/>
    <mergeCell ref="C96:E96"/>
    <mergeCell ref="G96:I96"/>
    <mergeCell ref="J96:L96"/>
    <mergeCell ref="X96:Z96"/>
    <mergeCell ref="C93:E93"/>
    <mergeCell ref="G93:I93"/>
    <mergeCell ref="J93:L93"/>
    <mergeCell ref="X93:Z93"/>
    <mergeCell ref="C94:E94"/>
    <mergeCell ref="G94:I94"/>
    <mergeCell ref="J94:L94"/>
    <mergeCell ref="X94:Z94"/>
    <mergeCell ref="C91:E91"/>
    <mergeCell ref="G91:I91"/>
    <mergeCell ref="J91:L91"/>
    <mergeCell ref="X91:Z91"/>
    <mergeCell ref="C92:E92"/>
    <mergeCell ref="G92:I92"/>
    <mergeCell ref="J92:L92"/>
    <mergeCell ref="X92:Z92"/>
    <mergeCell ref="C89:E89"/>
    <mergeCell ref="G89:I89"/>
    <mergeCell ref="J89:L89"/>
    <mergeCell ref="X89:Z89"/>
    <mergeCell ref="C90:E90"/>
    <mergeCell ref="G90:I90"/>
    <mergeCell ref="J90:L90"/>
    <mergeCell ref="X90:Z90"/>
    <mergeCell ref="C87:E87"/>
    <mergeCell ref="G87:I87"/>
    <mergeCell ref="J87:L87"/>
    <mergeCell ref="X87:Z87"/>
    <mergeCell ref="C88:E88"/>
    <mergeCell ref="G88:I88"/>
    <mergeCell ref="J88:L88"/>
    <mergeCell ref="X88:Z88"/>
    <mergeCell ref="C85:E85"/>
    <mergeCell ref="G85:I85"/>
    <mergeCell ref="J85:L85"/>
    <mergeCell ref="X85:Z85"/>
    <mergeCell ref="C86:E86"/>
    <mergeCell ref="G86:I86"/>
    <mergeCell ref="J86:L86"/>
    <mergeCell ref="X86:Z86"/>
    <mergeCell ref="C83:E83"/>
    <mergeCell ref="G83:I83"/>
    <mergeCell ref="J83:L83"/>
    <mergeCell ref="X83:Z83"/>
    <mergeCell ref="C84:E84"/>
    <mergeCell ref="G84:I84"/>
    <mergeCell ref="J84:L84"/>
    <mergeCell ref="X84:Z84"/>
    <mergeCell ref="C81:E81"/>
    <mergeCell ref="G81:I81"/>
    <mergeCell ref="J81:L81"/>
    <mergeCell ref="X81:Z81"/>
    <mergeCell ref="C82:E82"/>
    <mergeCell ref="G82:I82"/>
    <mergeCell ref="J82:L82"/>
    <mergeCell ref="X82:Z82"/>
    <mergeCell ref="C79:E79"/>
    <mergeCell ref="G79:I79"/>
    <mergeCell ref="J79:L79"/>
    <mergeCell ref="X79:Z79"/>
    <mergeCell ref="C80:E80"/>
    <mergeCell ref="G80:I80"/>
    <mergeCell ref="J80:L80"/>
    <mergeCell ref="X80:Z80"/>
    <mergeCell ref="C77:E77"/>
    <mergeCell ref="G77:I77"/>
    <mergeCell ref="J77:L77"/>
    <mergeCell ref="X77:Z77"/>
    <mergeCell ref="C78:E78"/>
    <mergeCell ref="G78:I78"/>
    <mergeCell ref="J78:L78"/>
    <mergeCell ref="X78:Z78"/>
    <mergeCell ref="C75:E75"/>
    <mergeCell ref="G75:I75"/>
    <mergeCell ref="J75:L75"/>
    <mergeCell ref="X75:Z75"/>
    <mergeCell ref="C76:E76"/>
    <mergeCell ref="G76:I76"/>
    <mergeCell ref="J76:L76"/>
    <mergeCell ref="X76:Z76"/>
    <mergeCell ref="C73:E73"/>
    <mergeCell ref="G73:I73"/>
    <mergeCell ref="J73:L73"/>
    <mergeCell ref="X73:Z73"/>
    <mergeCell ref="C74:E74"/>
    <mergeCell ref="G74:I74"/>
    <mergeCell ref="J74:L74"/>
    <mergeCell ref="X74:Z74"/>
    <mergeCell ref="C71:E71"/>
    <mergeCell ref="G71:I71"/>
    <mergeCell ref="J71:L71"/>
    <mergeCell ref="X71:Z71"/>
    <mergeCell ref="C72:E72"/>
    <mergeCell ref="G72:I72"/>
    <mergeCell ref="J72:L72"/>
    <mergeCell ref="X72:Z72"/>
    <mergeCell ref="C69:E69"/>
    <mergeCell ref="G69:I69"/>
    <mergeCell ref="J69:L69"/>
    <mergeCell ref="X69:Z69"/>
    <mergeCell ref="C70:E70"/>
    <mergeCell ref="G70:I70"/>
    <mergeCell ref="J70:L70"/>
    <mergeCell ref="X70:Z70"/>
    <mergeCell ref="C67:E67"/>
    <mergeCell ref="G67:I67"/>
    <mergeCell ref="J67:L67"/>
    <mergeCell ref="X67:Z67"/>
    <mergeCell ref="C68:E68"/>
    <mergeCell ref="G68:I68"/>
    <mergeCell ref="J68:L68"/>
    <mergeCell ref="X68:Z68"/>
    <mergeCell ref="C65:E65"/>
    <mergeCell ref="G65:I65"/>
    <mergeCell ref="J65:L65"/>
    <mergeCell ref="X65:Z65"/>
    <mergeCell ref="C66:E66"/>
    <mergeCell ref="G66:I66"/>
    <mergeCell ref="J66:L66"/>
    <mergeCell ref="X66:Z66"/>
    <mergeCell ref="C63:E63"/>
    <mergeCell ref="G63:I63"/>
    <mergeCell ref="J63:L63"/>
    <mergeCell ref="X63:Z63"/>
    <mergeCell ref="C64:E64"/>
    <mergeCell ref="G64:I64"/>
    <mergeCell ref="J64:L64"/>
    <mergeCell ref="X64:Z64"/>
    <mergeCell ref="C61:E61"/>
    <mergeCell ref="G61:I61"/>
    <mergeCell ref="J61:L61"/>
    <mergeCell ref="X61:Z61"/>
    <mergeCell ref="C62:E62"/>
    <mergeCell ref="G62:I62"/>
    <mergeCell ref="J62:L62"/>
    <mergeCell ref="X62:Z62"/>
    <mergeCell ref="C59:E59"/>
    <mergeCell ref="G59:I59"/>
    <mergeCell ref="J59:L59"/>
    <mergeCell ref="X59:Z59"/>
    <mergeCell ref="C60:E60"/>
    <mergeCell ref="G60:I60"/>
    <mergeCell ref="J60:L60"/>
    <mergeCell ref="X60:Z60"/>
    <mergeCell ref="C57:E57"/>
    <mergeCell ref="G57:I57"/>
    <mergeCell ref="J57:L57"/>
    <mergeCell ref="X57:Z57"/>
    <mergeCell ref="C58:E58"/>
    <mergeCell ref="G58:I58"/>
    <mergeCell ref="J58:L58"/>
    <mergeCell ref="X58:Z58"/>
    <mergeCell ref="C55:E55"/>
    <mergeCell ref="G55:I55"/>
    <mergeCell ref="J55:L55"/>
    <mergeCell ref="X55:Z55"/>
    <mergeCell ref="C56:E56"/>
    <mergeCell ref="G56:I56"/>
    <mergeCell ref="J56:L56"/>
    <mergeCell ref="X56:Z56"/>
    <mergeCell ref="C53:E53"/>
    <mergeCell ref="G53:I53"/>
    <mergeCell ref="J53:L53"/>
    <mergeCell ref="X53:Z53"/>
    <mergeCell ref="C54:E54"/>
    <mergeCell ref="G54:I54"/>
    <mergeCell ref="J54:L54"/>
    <mergeCell ref="X54:Z54"/>
    <mergeCell ref="C51:E51"/>
    <mergeCell ref="G51:I51"/>
    <mergeCell ref="J51:L51"/>
    <mergeCell ref="X51:Z51"/>
    <mergeCell ref="C52:E52"/>
    <mergeCell ref="G52:I52"/>
    <mergeCell ref="J52:L52"/>
    <mergeCell ref="X52:Z52"/>
    <mergeCell ref="C49:E49"/>
    <mergeCell ref="G49:I49"/>
    <mergeCell ref="J49:L49"/>
    <mergeCell ref="X49:Z49"/>
    <mergeCell ref="C50:E50"/>
    <mergeCell ref="G50:I50"/>
    <mergeCell ref="J50:L50"/>
    <mergeCell ref="X50:Z50"/>
    <mergeCell ref="C47:E47"/>
    <mergeCell ref="G47:I47"/>
    <mergeCell ref="J47:L47"/>
    <mergeCell ref="X47:Z47"/>
    <mergeCell ref="C48:E48"/>
    <mergeCell ref="G48:I48"/>
    <mergeCell ref="J48:L48"/>
    <mergeCell ref="X48:Z48"/>
    <mergeCell ref="C45:E45"/>
    <mergeCell ref="G45:I45"/>
    <mergeCell ref="J45:L45"/>
    <mergeCell ref="X45:Z45"/>
    <mergeCell ref="C46:E46"/>
    <mergeCell ref="G46:I46"/>
    <mergeCell ref="J46:L46"/>
    <mergeCell ref="X46:Z46"/>
    <mergeCell ref="C43:E43"/>
    <mergeCell ref="G43:I43"/>
    <mergeCell ref="J43:L43"/>
    <mergeCell ref="X43:Z43"/>
    <mergeCell ref="C44:E44"/>
    <mergeCell ref="G44:I44"/>
    <mergeCell ref="J44:L44"/>
    <mergeCell ref="X44:Z44"/>
    <mergeCell ref="C41:E41"/>
    <mergeCell ref="G41:I41"/>
    <mergeCell ref="J41:L41"/>
    <mergeCell ref="X41:Z41"/>
    <mergeCell ref="C42:E42"/>
    <mergeCell ref="G42:I42"/>
    <mergeCell ref="J42:L42"/>
    <mergeCell ref="X42:Z42"/>
    <mergeCell ref="C39:E39"/>
    <mergeCell ref="G39:I39"/>
    <mergeCell ref="J39:L39"/>
    <mergeCell ref="X39:Z39"/>
    <mergeCell ref="C40:E40"/>
    <mergeCell ref="G40:I40"/>
    <mergeCell ref="J40:L40"/>
    <mergeCell ref="X40:Z40"/>
    <mergeCell ref="C37:E37"/>
    <mergeCell ref="G37:I37"/>
    <mergeCell ref="J37:L37"/>
    <mergeCell ref="X37:Z37"/>
    <mergeCell ref="C38:E38"/>
    <mergeCell ref="G38:I38"/>
    <mergeCell ref="J38:L38"/>
    <mergeCell ref="X38:Z38"/>
    <mergeCell ref="AS32:AS36"/>
    <mergeCell ref="AB32:AB36"/>
    <mergeCell ref="AC32:AC36"/>
    <mergeCell ref="AD32:AD36"/>
    <mergeCell ref="AE32:AE36"/>
    <mergeCell ref="AI32:AI36"/>
    <mergeCell ref="AK32:AK36"/>
    <mergeCell ref="O32:O36"/>
    <mergeCell ref="P32:P36"/>
    <mergeCell ref="Q32:Q36"/>
    <mergeCell ref="R32:R36"/>
    <mergeCell ref="V32:V36"/>
    <mergeCell ref="W32:Z36"/>
    <mergeCell ref="AT32:AT36"/>
    <mergeCell ref="AU32:AU36"/>
    <mergeCell ref="AV32:AV36"/>
    <mergeCell ref="AW32:AW36"/>
    <mergeCell ref="AX32:AX36"/>
    <mergeCell ref="AM32:AM36"/>
    <mergeCell ref="AN32:AN36"/>
    <mergeCell ref="AO32:AO36"/>
    <mergeCell ref="AP32:AP36"/>
    <mergeCell ref="AQ32:AQ36"/>
    <mergeCell ref="AR32:AR36"/>
    <mergeCell ref="A32:A36"/>
    <mergeCell ref="B32:B36"/>
    <mergeCell ref="C32:E36"/>
    <mergeCell ref="F32:F36"/>
    <mergeCell ref="G32:I32"/>
    <mergeCell ref="J32:L36"/>
    <mergeCell ref="G33:I33"/>
    <mergeCell ref="G34:I34"/>
    <mergeCell ref="G35:I35"/>
    <mergeCell ref="G36:I36"/>
    <mergeCell ref="AW27:AW31"/>
    <mergeCell ref="AX27:AX31"/>
    <mergeCell ref="G28:I28"/>
    <mergeCell ref="G29:I29"/>
    <mergeCell ref="G30:I30"/>
    <mergeCell ref="G31:I31"/>
    <mergeCell ref="AQ27:AQ31"/>
    <mergeCell ref="AR27:AR31"/>
    <mergeCell ref="AS27:AS31"/>
    <mergeCell ref="AT27:AT31"/>
    <mergeCell ref="AU27:AU31"/>
    <mergeCell ref="AV27:AV31"/>
    <mergeCell ref="AI27:AI31"/>
    <mergeCell ref="AK27:AK31"/>
    <mergeCell ref="AM27:AM31"/>
    <mergeCell ref="AN27:AN31"/>
    <mergeCell ref="AO27:AO31"/>
    <mergeCell ref="AP27:AP31"/>
    <mergeCell ref="V27:V31"/>
    <mergeCell ref="W27:Z31"/>
    <mergeCell ref="AB27:AB31"/>
    <mergeCell ref="AC27:AC31"/>
    <mergeCell ref="AD27:AD31"/>
    <mergeCell ref="AE27:AE31"/>
    <mergeCell ref="M27:M31"/>
    <mergeCell ref="N27:N31"/>
    <mergeCell ref="O27:O31"/>
    <mergeCell ref="P27:P31"/>
    <mergeCell ref="Q27:Q31"/>
    <mergeCell ref="R27:R31"/>
    <mergeCell ref="A27:A31"/>
    <mergeCell ref="B27:B31"/>
    <mergeCell ref="C27:E31"/>
    <mergeCell ref="F27:F31"/>
    <mergeCell ref="G27:I27"/>
    <mergeCell ref="J27:L31"/>
    <mergeCell ref="AX18:AX26"/>
    <mergeCell ref="G20:I21"/>
    <mergeCell ref="G22:I22"/>
    <mergeCell ref="G23:I23"/>
    <mergeCell ref="G24:I24"/>
    <mergeCell ref="G25:I25"/>
    <mergeCell ref="G26:I26"/>
    <mergeCell ref="AR18:AR26"/>
    <mergeCell ref="AS18:AS26"/>
    <mergeCell ref="AT18:AT26"/>
    <mergeCell ref="AU18:AU26"/>
    <mergeCell ref="AV18:AV26"/>
    <mergeCell ref="AW18:AW26"/>
    <mergeCell ref="AL18:AL26"/>
    <mergeCell ref="AM18:AM26"/>
    <mergeCell ref="AN18:AN26"/>
    <mergeCell ref="AO18:AO26"/>
    <mergeCell ref="AP18:AP26"/>
    <mergeCell ref="AQ18:AQ26"/>
    <mergeCell ref="AF18:AF26"/>
    <mergeCell ref="AG18:AG26"/>
    <mergeCell ref="AH18:AH26"/>
    <mergeCell ref="AI18:AI26"/>
    <mergeCell ref="AJ18:AJ26"/>
    <mergeCell ref="AK18:AK26"/>
    <mergeCell ref="V18:V26"/>
    <mergeCell ref="W18:Z26"/>
    <mergeCell ref="AB18:AB26"/>
    <mergeCell ref="AC18:AC26"/>
    <mergeCell ref="AD18:AD26"/>
    <mergeCell ref="AE18:AE26"/>
    <mergeCell ref="M18:M26"/>
    <mergeCell ref="N18:N26"/>
    <mergeCell ref="O18:O26"/>
    <mergeCell ref="P18:P26"/>
    <mergeCell ref="Q18:Q26"/>
    <mergeCell ref="R18:R26"/>
    <mergeCell ref="AA18:AA26"/>
    <mergeCell ref="A18:A26"/>
    <mergeCell ref="B18:B26"/>
    <mergeCell ref="C18:E26"/>
    <mergeCell ref="F18:F26"/>
    <mergeCell ref="G18:I19"/>
    <mergeCell ref="J18:L26"/>
    <mergeCell ref="J16:L16"/>
    <mergeCell ref="X16:Z16"/>
    <mergeCell ref="C17:E17"/>
    <mergeCell ref="G17:I17"/>
    <mergeCell ref="J17:L17"/>
    <mergeCell ref="X17:Z17"/>
    <mergeCell ref="G12:I12"/>
    <mergeCell ref="G13:I13"/>
    <mergeCell ref="G14:I14"/>
    <mergeCell ref="G15:I15"/>
    <mergeCell ref="C16:E16"/>
    <mergeCell ref="G16:I16"/>
    <mergeCell ref="AS11:AS15"/>
    <mergeCell ref="AT11:AT15"/>
    <mergeCell ref="AU11:AU15"/>
    <mergeCell ref="AB11:AB15"/>
    <mergeCell ref="AC11:AC15"/>
    <mergeCell ref="AD11:AD15"/>
    <mergeCell ref="AE11:AE15"/>
    <mergeCell ref="AI11:AI15"/>
    <mergeCell ref="AK11:AK15"/>
    <mergeCell ref="O11:O15"/>
    <mergeCell ref="P11:P15"/>
    <mergeCell ref="Q11:Q15"/>
    <mergeCell ref="R11:R15"/>
    <mergeCell ref="V11:V15"/>
    <mergeCell ref="X11:Z15"/>
    <mergeCell ref="AA11:AA15"/>
    <mergeCell ref="X9:Z10"/>
    <mergeCell ref="AV11:AV15"/>
    <mergeCell ref="AW11:AW15"/>
    <mergeCell ref="AX11:AX15"/>
    <mergeCell ref="AM11:AM15"/>
    <mergeCell ref="AN11:AN15"/>
    <mergeCell ref="AO11:AO15"/>
    <mergeCell ref="AP11:AP15"/>
    <mergeCell ref="AQ11:AQ15"/>
    <mergeCell ref="AR11:AR15"/>
    <mergeCell ref="R9:R10"/>
    <mergeCell ref="AW9:AW10"/>
    <mergeCell ref="AX9:AX10"/>
    <mergeCell ref="A11:A15"/>
    <mergeCell ref="B11:B15"/>
    <mergeCell ref="C11:E15"/>
    <mergeCell ref="F11:F15"/>
    <mergeCell ref="G11:I11"/>
    <mergeCell ref="J11:L15"/>
    <mergeCell ref="M11:M15"/>
    <mergeCell ref="N11:N15"/>
    <mergeCell ref="AQ9:AQ10"/>
    <mergeCell ref="AR9:AR10"/>
    <mergeCell ref="AS9:AS10"/>
    <mergeCell ref="AT9:AT10"/>
    <mergeCell ref="AU9:AU10"/>
    <mergeCell ref="AV9:AV10"/>
    <mergeCell ref="AI9:AI10"/>
    <mergeCell ref="AK9:AK10"/>
    <mergeCell ref="AM9:AM10"/>
    <mergeCell ref="AN9:AN10"/>
    <mergeCell ref="AO9:AO10"/>
    <mergeCell ref="AP9:AP10"/>
    <mergeCell ref="V9:V10"/>
    <mergeCell ref="A9:A10"/>
    <mergeCell ref="B9:B10"/>
    <mergeCell ref="C9:E10"/>
    <mergeCell ref="F9:F10"/>
    <mergeCell ref="G9:I10"/>
    <mergeCell ref="J9:L10"/>
    <mergeCell ref="AO7:AO8"/>
    <mergeCell ref="AP7:AP8"/>
    <mergeCell ref="AQ7:AQ8"/>
    <mergeCell ref="AB7:AB8"/>
    <mergeCell ref="AC7:AC8"/>
    <mergeCell ref="AD7:AD8"/>
    <mergeCell ref="AE7:AE8"/>
    <mergeCell ref="AI7:AM7"/>
    <mergeCell ref="AN7:AN8"/>
    <mergeCell ref="AB9:AB10"/>
    <mergeCell ref="AC9:AC10"/>
    <mergeCell ref="AD9:AD10"/>
    <mergeCell ref="AE9:AE10"/>
    <mergeCell ref="M9:M10"/>
    <mergeCell ref="N9:N10"/>
    <mergeCell ref="O9:O10"/>
    <mergeCell ref="P9:P10"/>
    <mergeCell ref="Q9:Q10"/>
    <mergeCell ref="AT6:AX6"/>
    <mergeCell ref="A7:A8"/>
    <mergeCell ref="B7:B8"/>
    <mergeCell ref="C7:E8"/>
    <mergeCell ref="F7:F8"/>
    <mergeCell ref="G7:I8"/>
    <mergeCell ref="J7:L8"/>
    <mergeCell ref="M7:P7"/>
    <mergeCell ref="Q7:V7"/>
    <mergeCell ref="X7:Z8"/>
    <mergeCell ref="AU7:AU8"/>
    <mergeCell ref="AV7:AV8"/>
    <mergeCell ref="AW7:AW8"/>
    <mergeCell ref="AX7:AX8"/>
    <mergeCell ref="AR7:AR8"/>
    <mergeCell ref="AS7:AS8"/>
    <mergeCell ref="AT7:AT8"/>
    <mergeCell ref="A6:P6"/>
    <mergeCell ref="Q6:V6"/>
    <mergeCell ref="X6:AM6"/>
    <mergeCell ref="AA7:AA8"/>
    <mergeCell ref="AW1:AX4"/>
    <mergeCell ref="G2:V2"/>
    <mergeCell ref="AP2:AQ2"/>
    <mergeCell ref="AR2:AS2"/>
    <mergeCell ref="A3:A4"/>
    <mergeCell ref="G3:H3"/>
    <mergeCell ref="I3:N3"/>
    <mergeCell ref="O3:V3"/>
    <mergeCell ref="Z3:AB4"/>
    <mergeCell ref="AC3:AC4"/>
    <mergeCell ref="G1:V1"/>
    <mergeCell ref="X1:Y4"/>
    <mergeCell ref="Z1:AB2"/>
    <mergeCell ref="AC1:AC2"/>
    <mergeCell ref="AD1:AN2"/>
    <mergeCell ref="AP1:AS1"/>
    <mergeCell ref="AD3:AN4"/>
    <mergeCell ref="AP3:AQ3"/>
    <mergeCell ref="AR3:AS3"/>
    <mergeCell ref="G4:H4"/>
    <mergeCell ref="I4:N4"/>
    <mergeCell ref="O4:V4"/>
    <mergeCell ref="AP4:AQ4"/>
    <mergeCell ref="AR4:AS4"/>
  </mergeCells>
  <dataValidations count="6">
    <dataValidation type="list" allowBlank="1" showInputMessage="1" showErrorMessage="1" sqref="AS9 WNE9:WNE167 WXA9:WXA167 KO9:KO167 UK9:UK167 AEG9:AEG167 AOC9:AOC167 AXY9:AXY167 BHU9:BHU167 BRQ9:BRQ167 CBM9:CBM167 CLI9:CLI167 CVE9:CVE167 DFA9:DFA167 DOW9:DOW167 DYS9:DYS167 EIO9:EIO167 ESK9:ESK167 FCG9:FCG167 FMC9:FMC167 FVY9:FVY167 GFU9:GFU167 GPQ9:GPQ167 GZM9:GZM167 HJI9:HJI167 HTE9:HTE167 IDA9:IDA167 IMW9:IMW167 IWS9:IWS167 JGO9:JGO167 JQK9:JQK167 KAG9:KAG167 KKC9:KKC167 KTY9:KTY167 LDU9:LDU167 LNQ9:LNQ167 LXM9:LXM167 MHI9:MHI167 MRE9:MRE167 NBA9:NBA167 NKW9:NKW167 NUS9:NUS167 OEO9:OEO167 OOK9:OOK167 OYG9:OYG167 PIC9:PIC167 PRY9:PRY167 QBU9:QBU167 QLQ9:QLQ167 QVM9:QVM167 RFI9:RFI167 RPE9:RPE167 RZA9:RZA167 SIW9:SIW167 SSS9:SSS167 TCO9:TCO167 TMK9:TMK167 TWG9:TWG167 UGC9:UGC167 UPY9:UPY167 UZU9:UZU167 VJQ9:VJQ167 VTM9:VTM167 WDI9:WDI167 AS11:AS167">
      <formula1>SINO</formula1>
    </dataValidation>
    <dataValidation type="list" allowBlank="1" showInputMessage="1" showErrorMessage="1" sqref="Q37:Q167 Q9 Q11 Q27 Q32 WVZ9:WVZ167 WMD9:WMD167 JN9:JN167 TJ9:TJ167 ADF9:ADF167 ANB9:ANB167 AWX9:AWX167 BGT9:BGT167 BQP9:BQP167 CAL9:CAL167 CKH9:CKH167 CUD9:CUD167 DDZ9:DDZ167 DNV9:DNV167 DXR9:DXR167 EHN9:EHN167 ERJ9:ERJ167 FBF9:FBF167 FLB9:FLB167 FUX9:FUX167 GET9:GET167 GOP9:GOP167 GYL9:GYL167 HIH9:HIH167 HSD9:HSD167 IBZ9:IBZ167 ILV9:ILV167 IVR9:IVR167 JFN9:JFN167 JPJ9:JPJ167 JZF9:JZF167 KJB9:KJB167 KSX9:KSX167 LCT9:LCT167 LMP9:LMP167 LWL9:LWL167 MGH9:MGH167 MQD9:MQD167 MZZ9:MZZ167 NJV9:NJV167 NTR9:NTR167 ODN9:ODN167 ONJ9:ONJ167 OXF9:OXF167 PHB9:PHB167 PQX9:PQX167 QAT9:QAT167 QKP9:QKP167 QUL9:QUL167 REH9:REH167 ROD9:ROD167 RXZ9:RXZ167 SHV9:SHV167 SRR9:SRR167 TBN9:TBN167 TLJ9:TLJ167 TVF9:TVF167 UFB9:UFB167 UOX9:UOX167 UYT9:UYT167 VIP9:VIP167 VSL9:VSL167 WCH9:WCH167 Q16:Q18">
      <formula1>PROBAB</formula1>
    </dataValidation>
    <dataValidation type="list" allowBlank="1" showInputMessage="1" showErrorMessage="1" sqref="R37:R167 R9 R11 R27 R32 WWA9:WWA167 WME9:WME167 JO9:JO167 TK9:TK167 ADG9:ADG167 ANC9:ANC167 AWY9:AWY167 BGU9:BGU167 BQQ9:BQQ167 CAM9:CAM167 CKI9:CKI167 CUE9:CUE167 DEA9:DEA167 DNW9:DNW167 DXS9:DXS167 EHO9:EHO167 ERK9:ERK167 FBG9:FBG167 FLC9:FLC167 FUY9:FUY167 GEU9:GEU167 GOQ9:GOQ167 GYM9:GYM167 HII9:HII167 HSE9:HSE167 ICA9:ICA167 ILW9:ILW167 IVS9:IVS167 JFO9:JFO167 JPK9:JPK167 JZG9:JZG167 KJC9:KJC167 KSY9:KSY167 LCU9:LCU167 LMQ9:LMQ167 LWM9:LWM167 MGI9:MGI167 MQE9:MQE167 NAA9:NAA167 NJW9:NJW167 NTS9:NTS167 ODO9:ODO167 ONK9:ONK167 OXG9:OXG167 PHC9:PHC167 PQY9:PQY167 QAU9:QAU167 QKQ9:QKQ167 QUM9:QUM167 REI9:REI167 ROE9:ROE167 RYA9:RYA167 SHW9:SHW167 SRS9:SRS167 TBO9:TBO167 TLK9:TLK167 TVG9:TVG167 UFC9:UFC167 UOY9:UOY167 UYU9:UYU167 VIQ9:VIQ167 VSM9:VSM167 WCI9:WCI167 R16:R18">
      <formula1>IMPACTO</formula1>
    </dataValidation>
    <dataValidation type="list" showInputMessage="1" showErrorMessage="1" errorTitle="Rechazado" error="Solo son validadas las opciones de la lista" sqref="AE37:AE167 AE9 AE27 AE32 AE11 AE16:AE18 WWM9:WWM167 WMQ9:WMQ167 KA9:KA167 TW9:TW167 ADS9:ADS167 ANO9:ANO167 AXK9:AXK167 BHG9:BHG167 BRC9:BRC167 CAY9:CAY167 CKU9:CKU167 CUQ9:CUQ167 DEM9:DEM167 DOI9:DOI167 DYE9:DYE167 EIA9:EIA167 ERW9:ERW167 FBS9:FBS167 FLO9:FLO167 FVK9:FVK167 GFG9:GFG167 GPC9:GPC167 GYY9:GYY167 HIU9:HIU167 HSQ9:HSQ167 ICM9:ICM167 IMI9:IMI167 IWE9:IWE167 JGA9:JGA167 JPW9:JPW167 JZS9:JZS167 KJO9:KJO167 KTK9:KTK167 LDG9:LDG167 LNC9:LNC167 LWY9:LWY167 MGU9:MGU167 MQQ9:MQQ167 NAM9:NAM167 NKI9:NKI167 NUE9:NUE167 OEA9:OEA167 ONW9:ONW167 OXS9:OXS167 PHO9:PHO167 PRK9:PRK167 QBG9:QBG167 QLC9:QLC167 QUY9:QUY167 REU9:REU167 ROQ9:ROQ167 RYM9:RYM167 SII9:SII167 SSE9:SSE167 TCA9:TCA167 TLW9:TLW167 TVS9:TVS167 UFO9:UFO167 UPK9:UPK167 UZG9:UZG167 VJC9:VJC167 VSY9:VSY167 WCU9:WCU167">
      <formula1>Efecto</formula1>
    </dataValidation>
    <dataValidation showInputMessage="1" showErrorMessage="1" sqref="AG37:AK167 AH33:AH36 AI32:AK32 AF33:AF36 AI27:AK27 AG27:AH32 AF28:AF31 AF9:AK9 AF11:AK11 WWO9:WWS167 WMS9:WMW167 KC9:KG167 TY9:UC167 ADU9:ADY167 ANQ9:ANU167 AXM9:AXQ167 BHI9:BHM167 BRE9:BRI167 CBA9:CBE167 CKW9:CLA167 CUS9:CUW167 DEO9:DES167 DOK9:DOO167 DYG9:DYK167 EIC9:EIG167 ERY9:ESC167 FBU9:FBY167 FLQ9:FLU167 FVM9:FVQ167 GFI9:GFM167 GPE9:GPI167 GZA9:GZE167 HIW9:HJA167 HSS9:HSW167 ICO9:ICS167 IMK9:IMO167 IWG9:IWK167 JGC9:JGG167 JPY9:JQC167 JZU9:JZY167 KJQ9:KJU167 KTM9:KTQ167 LDI9:LDM167 LNE9:LNI167 LXA9:LXE167 MGW9:MHA167 MQS9:MQW167 NAO9:NAS167 NKK9:NKO167 NUG9:NUK167 OEC9:OEG167 ONY9:OOC167 OXU9:OXY167 PHQ9:PHU167 PRM9:PRQ167 QBI9:QBM167 QLE9:QLI167 QVA9:QVE167 REW9:RFA167 ROS9:ROW167 RYO9:RYS167 SIK9:SIO167 SSG9:SSK167 TCC9:TCG167 TLY9:TMC167 TVU9:TVY167 UFQ9:UFU167 UPM9:UPQ167 UZI9:UZM167 VJE9:VJI167 VTA9:VTE167 WCW9:WDA167 AF16:AK18"/>
    <dataValidation type="whole" allowBlank="1" showInputMessage="1" showErrorMessage="1" sqref="AD37:AD167 AD9 AD27 AD32 AD11 AD16:AD18 WWL9:WWL167 WMP9:WMP167 JZ9:JZ167 TV9:TV167 ADR9:ADR167 ANN9:ANN167 AXJ9:AXJ167 BHF9:BHF167 BRB9:BRB167 CAX9:CAX167 CKT9:CKT167 CUP9:CUP167 DEL9:DEL167 DOH9:DOH167 DYD9:DYD167 EHZ9:EHZ167 ERV9:ERV167 FBR9:FBR167 FLN9:FLN167 FVJ9:FVJ167 GFF9:GFF167 GPB9:GPB167 GYX9:GYX167 HIT9:HIT167 HSP9:HSP167 ICL9:ICL167 IMH9:IMH167 IWD9:IWD167 JFZ9:JFZ167 JPV9:JPV167 JZR9:JZR167 KJN9:KJN167 KTJ9:KTJ167 LDF9:LDF167 LNB9:LNB167 LWX9:LWX167 MGT9:MGT167 MQP9:MQP167 NAL9:NAL167 NKH9:NKH167 NUD9:NUD167 ODZ9:ODZ167 ONV9:ONV167 OXR9:OXR167 PHN9:PHN167 PRJ9:PRJ167 QBF9:QBF167 QLB9:QLB167 QUX9:QUX167 RET9:RET167 ROP9:ROP167 RYL9:RYL167 SIH9:SIH167 SSD9:SSD167 TBZ9:TBZ167 TLV9:TLV167 TVR9:TVR167 UFN9:UFN167 UPJ9:UPJ167 UZF9:UZF167 VJB9:VJB167 VSX9:VSX167 WCT9:WCT167">
      <formula1>0</formula1>
      <formula2>100</formula2>
    </dataValidation>
  </dataValidations>
  <printOptions horizontalCentered="1" verticalCentered="1"/>
  <pageMargins left="0.39370078740157483" right="0.39370078740157483" top="0.59055118110236227" bottom="0.59055118110236227" header="0.51181102362204722" footer="0.27559055118110237"/>
  <pageSetup paperSize="14" scale="35" firstPageNumber="0" orientation="landscape" r:id="rId1"/>
  <headerFooter>
    <oddFooter>&amp;L&amp;9Formato: FO-AC-07 Versión: 3&amp;C&amp;9Página &amp;P</oddFooter>
  </headerFooter>
  <rowBreaks count="1" manualBreakCount="1">
    <brk id="26" max="48"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AMM177"/>
  <sheetViews>
    <sheetView zoomScale="40" zoomScaleNormal="40" zoomScaleSheetLayoutView="100" zoomScalePageLayoutView="95" workbookViewId="0">
      <pane xSplit="2" ySplit="8" topLeftCell="C14" activePane="bottomRight" state="frozen"/>
      <selection pane="topRight" activeCell="C1" sqref="C1"/>
      <selection pane="bottomLeft" activeCell="A9" sqref="A9"/>
      <selection pane="bottomRight"/>
    </sheetView>
  </sheetViews>
  <sheetFormatPr baseColWidth="10" defaultRowHeight="12.75"/>
  <cols>
    <col min="1" max="1" width="35.5703125" style="235" customWidth="1"/>
    <col min="2" max="2" width="5.85546875" style="235" customWidth="1"/>
    <col min="3" max="4" width="6.5703125" style="235" customWidth="1"/>
    <col min="5" max="5" width="5.85546875" style="235" customWidth="1"/>
    <col min="6" max="6" width="13.42578125" style="235" customWidth="1"/>
    <col min="7" max="8" width="8.42578125" style="235" customWidth="1"/>
    <col min="9" max="9" width="18.140625" style="235" customWidth="1"/>
    <col min="10" max="10" width="2.5703125" style="235" customWidth="1"/>
    <col min="11" max="11" width="9.5703125" style="235" customWidth="1"/>
    <col min="12" max="12" width="25" style="235" customWidth="1"/>
    <col min="13" max="18" width="9" style="235" customWidth="1"/>
    <col min="19" max="21" width="6.7109375" style="235" hidden="1" customWidth="1"/>
    <col min="22" max="22" width="8.7109375" style="235" customWidth="1"/>
    <col min="23" max="23" width="5.42578125" style="235" hidden="1" customWidth="1"/>
    <col min="24" max="25" width="14.28515625" style="235" customWidth="1"/>
    <col min="26" max="27" width="30.42578125" style="235" customWidth="1"/>
    <col min="28" max="28" width="23.7109375" style="235" customWidth="1"/>
    <col min="29" max="29" width="23" style="235" customWidth="1"/>
    <col min="30" max="30" width="9.28515625" style="235" customWidth="1"/>
    <col min="31" max="31" width="7.85546875" style="235" customWidth="1"/>
    <col min="32" max="33" width="11.42578125" style="235" hidden="1" customWidth="1"/>
    <col min="34" max="34" width="1.7109375" style="235" hidden="1" customWidth="1"/>
    <col min="35" max="35" width="7.85546875" style="235" customWidth="1"/>
    <col min="36" max="36" width="7.85546875" style="235" hidden="1" customWidth="1"/>
    <col min="37" max="37" width="7.85546875" style="235" customWidth="1"/>
    <col min="38" max="38" width="7.85546875" style="235" hidden="1" customWidth="1"/>
    <col min="39" max="39" width="7.85546875" style="235" customWidth="1"/>
    <col min="40" max="40" width="34.28515625" style="235" customWidth="1"/>
    <col min="41" max="41" width="23.42578125" style="235" customWidth="1"/>
    <col min="42" max="42" width="11.140625" style="235" customWidth="1"/>
    <col min="43" max="43" width="50.42578125" style="235" customWidth="1"/>
    <col min="44" max="44" width="24.7109375" style="235" customWidth="1"/>
    <col min="45" max="45" width="19.42578125" style="235" customWidth="1"/>
    <col min="46" max="46" width="13" style="235" customWidth="1"/>
    <col min="47" max="48" width="15.5703125" style="235" customWidth="1"/>
    <col min="49" max="49" width="11.5703125" style="235" customWidth="1"/>
    <col min="50" max="50" width="15.5703125" style="235" customWidth="1"/>
    <col min="51" max="51" width="18.140625" style="235" customWidth="1"/>
    <col min="52"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38.25" customHeight="1" thickTop="1">
      <c r="A1" s="708"/>
      <c r="B1" s="708"/>
      <c r="C1" s="708"/>
      <c r="D1" s="708"/>
      <c r="E1" s="708"/>
      <c r="F1" s="708"/>
      <c r="G1" s="1715" t="s">
        <v>137</v>
      </c>
      <c r="H1" s="1716"/>
      <c r="I1" s="1716"/>
      <c r="J1" s="1716"/>
      <c r="K1" s="1716"/>
      <c r="L1" s="1716"/>
      <c r="M1" s="1716"/>
      <c r="N1" s="1716"/>
      <c r="O1" s="1716"/>
      <c r="P1" s="1716"/>
      <c r="Q1" s="1716"/>
      <c r="R1" s="1716"/>
      <c r="S1" s="1716"/>
      <c r="T1" s="1716"/>
      <c r="U1" s="1716"/>
      <c r="V1" s="1717"/>
      <c r="W1" s="709"/>
      <c r="X1" s="1718"/>
      <c r="Y1" s="1719"/>
      <c r="Z1" s="1724" t="s">
        <v>2347</v>
      </c>
      <c r="AA1" s="1724"/>
      <c r="AB1" s="1724"/>
      <c r="AC1" s="1725" t="s">
        <v>636</v>
      </c>
      <c r="AD1" s="1726" t="s">
        <v>1138</v>
      </c>
      <c r="AE1" s="1727"/>
      <c r="AF1" s="1727"/>
      <c r="AG1" s="1727"/>
      <c r="AH1" s="1727"/>
      <c r="AI1" s="1727"/>
      <c r="AJ1" s="1727"/>
      <c r="AK1" s="1727"/>
      <c r="AL1" s="1727"/>
      <c r="AM1" s="1727"/>
      <c r="AN1" s="1728"/>
      <c r="AO1" s="710"/>
      <c r="AP1" s="1732" t="s">
        <v>2320</v>
      </c>
      <c r="AQ1" s="1732"/>
      <c r="AR1" s="1732"/>
      <c r="AS1" s="1732"/>
      <c r="AT1" s="708"/>
      <c r="AU1" s="708"/>
      <c r="AV1" s="708"/>
      <c r="AW1" s="1695"/>
      <c r="AX1" s="1695"/>
      <c r="AY1" s="233"/>
    </row>
    <row r="2" spans="1:1027" ht="32.25" customHeight="1">
      <c r="A2" s="711" t="s">
        <v>2348</v>
      </c>
      <c r="B2" s="708"/>
      <c r="C2" s="708"/>
      <c r="D2" s="708"/>
      <c r="E2" s="708"/>
      <c r="F2" s="708"/>
      <c r="G2" s="1696" t="str">
        <f>UPPER([52]Control!A2)</f>
        <v xml:space="preserve">MATRIZ DE RIESGOS </v>
      </c>
      <c r="H2" s="1697"/>
      <c r="I2" s="1697"/>
      <c r="J2" s="1697"/>
      <c r="K2" s="1697"/>
      <c r="L2" s="1697"/>
      <c r="M2" s="1697"/>
      <c r="N2" s="1697"/>
      <c r="O2" s="1697"/>
      <c r="P2" s="1697"/>
      <c r="Q2" s="1697"/>
      <c r="R2" s="1697"/>
      <c r="S2" s="1697"/>
      <c r="T2" s="1697"/>
      <c r="U2" s="1697"/>
      <c r="V2" s="1698"/>
      <c r="W2" s="712"/>
      <c r="X2" s="1720"/>
      <c r="Y2" s="1721"/>
      <c r="Z2" s="1724"/>
      <c r="AA2" s="1724"/>
      <c r="AB2" s="1724"/>
      <c r="AC2" s="1714"/>
      <c r="AD2" s="1729"/>
      <c r="AE2" s="1730"/>
      <c r="AF2" s="1730"/>
      <c r="AG2" s="1730"/>
      <c r="AH2" s="1730"/>
      <c r="AI2" s="1730"/>
      <c r="AJ2" s="1730"/>
      <c r="AK2" s="1730"/>
      <c r="AL2" s="1730"/>
      <c r="AM2" s="1730"/>
      <c r="AN2" s="1731"/>
      <c r="AO2" s="710"/>
      <c r="AP2" s="1699" t="s">
        <v>138</v>
      </c>
      <c r="AQ2" s="1700"/>
      <c r="AR2" s="1701" t="str">
        <f>AD1</f>
        <v>PROCESO DE GESTION PREDIAL</v>
      </c>
      <c r="AS2" s="1702"/>
      <c r="AT2" s="708"/>
      <c r="AU2" s="708"/>
      <c r="AV2" s="708"/>
      <c r="AW2" s="1695"/>
      <c r="AX2" s="1695"/>
      <c r="AY2" s="233"/>
    </row>
    <row r="3" spans="1:1027" ht="33.75" customHeight="1">
      <c r="A3" s="1703">
        <v>2019</v>
      </c>
      <c r="B3" s="708"/>
      <c r="C3" s="708"/>
      <c r="D3" s="708"/>
      <c r="E3" s="708"/>
      <c r="F3" s="708"/>
      <c r="G3" s="1704" t="s">
        <v>139</v>
      </c>
      <c r="H3" s="1705"/>
      <c r="I3" s="1705" t="s">
        <v>140</v>
      </c>
      <c r="J3" s="1705"/>
      <c r="K3" s="1705"/>
      <c r="L3" s="1705"/>
      <c r="M3" s="1705"/>
      <c r="N3" s="1705"/>
      <c r="O3" s="1706" t="s">
        <v>141</v>
      </c>
      <c r="P3" s="1705"/>
      <c r="Q3" s="1705"/>
      <c r="R3" s="1705"/>
      <c r="S3" s="1705"/>
      <c r="T3" s="1705"/>
      <c r="U3" s="1705"/>
      <c r="V3" s="1707"/>
      <c r="W3" s="712"/>
      <c r="X3" s="1720"/>
      <c r="Y3" s="1721"/>
      <c r="Z3" s="1708" t="s">
        <v>3316</v>
      </c>
      <c r="AA3" s="1709"/>
      <c r="AB3" s="1710"/>
      <c r="AC3" s="1714" t="s">
        <v>2349</v>
      </c>
      <c r="AD3" s="1733" t="s">
        <v>2986</v>
      </c>
      <c r="AE3" s="1734"/>
      <c r="AF3" s="1734"/>
      <c r="AG3" s="1734"/>
      <c r="AH3" s="1734"/>
      <c r="AI3" s="1734"/>
      <c r="AJ3" s="1734"/>
      <c r="AK3" s="1734"/>
      <c r="AL3" s="1734"/>
      <c r="AM3" s="1734"/>
      <c r="AN3" s="1735"/>
      <c r="AO3" s="710"/>
      <c r="AP3" s="1739" t="s">
        <v>2322</v>
      </c>
      <c r="AQ3" s="1740"/>
      <c r="AR3" s="1740" t="s">
        <v>2323</v>
      </c>
      <c r="AS3" s="1741"/>
      <c r="AT3" s="708"/>
      <c r="AU3" s="708"/>
      <c r="AV3" s="708"/>
      <c r="AW3" s="1695"/>
      <c r="AX3" s="1695"/>
      <c r="AY3" s="233"/>
    </row>
    <row r="4" spans="1:1027" ht="42.75" customHeight="1" thickBot="1">
      <c r="A4" s="1703"/>
      <c r="B4" s="708"/>
      <c r="C4" s="708"/>
      <c r="D4" s="708"/>
      <c r="E4" s="708"/>
      <c r="F4" s="708"/>
      <c r="G4" s="1742" t="str">
        <f>[52]Control!A4</f>
        <v>FO-PE-06</v>
      </c>
      <c r="H4" s="1743"/>
      <c r="I4" s="1744" t="str">
        <f>[52]Control!C4</f>
        <v>Planeación Estratégica</v>
      </c>
      <c r="J4" s="1743"/>
      <c r="K4" s="1743"/>
      <c r="L4" s="1743"/>
      <c r="M4" s="1743"/>
      <c r="N4" s="1745"/>
      <c r="O4" s="1744">
        <f>[52]Control!H4</f>
        <v>5</v>
      </c>
      <c r="P4" s="1743"/>
      <c r="Q4" s="1743"/>
      <c r="R4" s="1743"/>
      <c r="S4" s="1743"/>
      <c r="T4" s="1743"/>
      <c r="U4" s="1743"/>
      <c r="V4" s="1745"/>
      <c r="W4" s="713"/>
      <c r="X4" s="1722"/>
      <c r="Y4" s="1723"/>
      <c r="Z4" s="1711"/>
      <c r="AA4" s="1712"/>
      <c r="AB4" s="1713"/>
      <c r="AC4" s="1714"/>
      <c r="AD4" s="1736"/>
      <c r="AE4" s="1737"/>
      <c r="AF4" s="1737"/>
      <c r="AG4" s="1737"/>
      <c r="AH4" s="1737"/>
      <c r="AI4" s="1737"/>
      <c r="AJ4" s="1737"/>
      <c r="AK4" s="1737"/>
      <c r="AL4" s="1737"/>
      <c r="AM4" s="1737"/>
      <c r="AN4" s="1738"/>
      <c r="AO4" s="710"/>
      <c r="AP4" s="1746" t="s">
        <v>3780</v>
      </c>
      <c r="AQ4" s="1747"/>
      <c r="AR4" s="1748" t="s">
        <v>3781</v>
      </c>
      <c r="AS4" s="1749"/>
      <c r="AT4" s="708"/>
      <c r="AU4" s="708"/>
      <c r="AV4" s="708"/>
      <c r="AW4" s="1695"/>
      <c r="AX4" s="1695"/>
      <c r="AY4" s="233"/>
    </row>
    <row r="5" spans="1:1027" s="243" customFormat="1" ht="5.25" customHeight="1" thickTop="1">
      <c r="A5" s="714"/>
      <c r="B5" s="715"/>
      <c r="C5" s="715"/>
      <c r="D5" s="715"/>
      <c r="E5" s="715"/>
      <c r="F5" s="714"/>
      <c r="G5" s="716"/>
      <c r="H5" s="716"/>
      <c r="I5" s="716"/>
      <c r="J5" s="715"/>
      <c r="K5" s="715"/>
      <c r="L5" s="715"/>
      <c r="M5" s="715"/>
      <c r="N5" s="715"/>
      <c r="O5" s="715"/>
      <c r="P5" s="715"/>
      <c r="Q5" s="715"/>
      <c r="R5" s="715"/>
      <c r="S5" s="715"/>
      <c r="T5" s="715"/>
      <c r="U5" s="715"/>
      <c r="V5" s="715"/>
      <c r="W5" s="715"/>
      <c r="X5" s="716"/>
      <c r="Y5" s="716"/>
      <c r="Z5" s="716"/>
      <c r="AA5" s="716"/>
      <c r="AB5" s="716"/>
      <c r="AC5" s="716"/>
      <c r="AD5" s="715"/>
      <c r="AE5" s="715"/>
      <c r="AF5" s="715"/>
      <c r="AG5" s="715"/>
      <c r="AH5" s="715"/>
      <c r="AI5" s="715"/>
      <c r="AJ5" s="715"/>
      <c r="AK5" s="715"/>
      <c r="AL5" s="715"/>
      <c r="AM5" s="714"/>
      <c r="AN5" s="714"/>
      <c r="AO5" s="714"/>
      <c r="AP5" s="717"/>
      <c r="AQ5" s="718"/>
      <c r="AR5" s="717"/>
      <c r="AS5" s="717"/>
      <c r="AT5" s="717"/>
      <c r="AU5" s="717"/>
      <c r="AV5" s="717"/>
      <c r="AW5" s="717"/>
      <c r="AX5" s="717"/>
      <c r="AY5" s="245"/>
    </row>
    <row r="6" spans="1:1027" s="243" customFormat="1" ht="33.75" customHeight="1">
      <c r="A6" s="1686" t="s">
        <v>143</v>
      </c>
      <c r="B6" s="1687"/>
      <c r="C6" s="1687"/>
      <c r="D6" s="1687"/>
      <c r="E6" s="1687"/>
      <c r="F6" s="1687"/>
      <c r="G6" s="1687"/>
      <c r="H6" s="1687"/>
      <c r="I6" s="1687"/>
      <c r="J6" s="1687"/>
      <c r="K6" s="1687"/>
      <c r="L6" s="1687"/>
      <c r="M6" s="1687"/>
      <c r="N6" s="1687"/>
      <c r="O6" s="1687"/>
      <c r="P6" s="1688"/>
      <c r="Q6" s="1689" t="s">
        <v>1003</v>
      </c>
      <c r="R6" s="1690"/>
      <c r="S6" s="1690"/>
      <c r="T6" s="1690"/>
      <c r="U6" s="1690"/>
      <c r="V6" s="1691"/>
      <c r="W6" s="719"/>
      <c r="X6" s="1692" t="s">
        <v>2350</v>
      </c>
      <c r="Y6" s="1693"/>
      <c r="Z6" s="1693"/>
      <c r="AA6" s="1693"/>
      <c r="AB6" s="1693"/>
      <c r="AC6" s="1693"/>
      <c r="AD6" s="1693"/>
      <c r="AE6" s="1693"/>
      <c r="AF6" s="1693"/>
      <c r="AG6" s="1693"/>
      <c r="AH6" s="1693"/>
      <c r="AI6" s="1693"/>
      <c r="AJ6" s="1693"/>
      <c r="AK6" s="1693"/>
      <c r="AL6" s="1693"/>
      <c r="AM6" s="1694"/>
      <c r="AN6" s="720" t="s">
        <v>268</v>
      </c>
      <c r="AO6" s="721"/>
      <c r="AP6" s="722" t="s">
        <v>2325</v>
      </c>
      <c r="AQ6" s="723"/>
      <c r="AR6" s="723"/>
      <c r="AS6" s="724"/>
      <c r="AT6" s="1673" t="s">
        <v>2326</v>
      </c>
      <c r="AU6" s="1673"/>
      <c r="AV6" s="1673"/>
      <c r="AW6" s="1673"/>
      <c r="AX6" s="1674"/>
      <c r="AY6" s="245"/>
    </row>
    <row r="7" spans="1:1027" s="243" customFormat="1" ht="40.5" customHeight="1">
      <c r="A7" s="1675" t="s">
        <v>1002</v>
      </c>
      <c r="B7" s="1676" t="s">
        <v>640</v>
      </c>
      <c r="C7" s="1677" t="s">
        <v>1001</v>
      </c>
      <c r="D7" s="1678"/>
      <c r="E7" s="1666"/>
      <c r="F7" s="1675" t="s">
        <v>1000</v>
      </c>
      <c r="G7" s="1677" t="s">
        <v>999</v>
      </c>
      <c r="H7" s="1678"/>
      <c r="I7" s="1666"/>
      <c r="J7" s="1675" t="s">
        <v>145</v>
      </c>
      <c r="K7" s="1675"/>
      <c r="L7" s="1675"/>
      <c r="M7" s="1681" t="s">
        <v>144</v>
      </c>
      <c r="N7" s="1682"/>
      <c r="O7" s="1682"/>
      <c r="P7" s="1682"/>
      <c r="Q7" s="1683" t="s">
        <v>637</v>
      </c>
      <c r="R7" s="1684"/>
      <c r="S7" s="1684"/>
      <c r="T7" s="1684"/>
      <c r="U7" s="1684"/>
      <c r="V7" s="1685"/>
      <c r="W7" s="725"/>
      <c r="X7" s="1675" t="s">
        <v>2351</v>
      </c>
      <c r="Y7" s="1675"/>
      <c r="Z7" s="1675"/>
      <c r="AA7" s="1668" t="s">
        <v>4175</v>
      </c>
      <c r="AB7" s="1666" t="s">
        <v>998</v>
      </c>
      <c r="AC7" s="1668" t="s">
        <v>641</v>
      </c>
      <c r="AD7" s="1670" t="s">
        <v>546</v>
      </c>
      <c r="AE7" s="1670" t="s">
        <v>638</v>
      </c>
      <c r="AF7" s="726"/>
      <c r="AG7" s="727"/>
      <c r="AH7" s="728"/>
      <c r="AI7" s="1672" t="s">
        <v>639</v>
      </c>
      <c r="AJ7" s="1672"/>
      <c r="AK7" s="1672"/>
      <c r="AL7" s="1672"/>
      <c r="AM7" s="1672"/>
      <c r="AN7" s="1672" t="s">
        <v>3782</v>
      </c>
      <c r="AO7" s="1664" t="s">
        <v>3783</v>
      </c>
      <c r="AP7" s="1665" t="s">
        <v>3784</v>
      </c>
      <c r="AQ7" s="1664" t="s">
        <v>3785</v>
      </c>
      <c r="AR7" s="1665" t="s">
        <v>3786</v>
      </c>
      <c r="AS7" s="1665" t="s">
        <v>2332</v>
      </c>
      <c r="AT7" s="1665" t="s">
        <v>3787</v>
      </c>
      <c r="AU7" s="1665" t="s">
        <v>3788</v>
      </c>
      <c r="AV7" s="1665" t="s">
        <v>3789</v>
      </c>
      <c r="AW7" s="1665" t="s">
        <v>3790</v>
      </c>
      <c r="AX7" s="1665" t="s">
        <v>3791</v>
      </c>
      <c r="AY7" s="245"/>
    </row>
    <row r="8" spans="1:1027" ht="45.75" customHeight="1">
      <c r="A8" s="1675"/>
      <c r="B8" s="1676"/>
      <c r="C8" s="1679"/>
      <c r="D8" s="1680"/>
      <c r="E8" s="1667"/>
      <c r="F8" s="1675"/>
      <c r="G8" s="1679"/>
      <c r="H8" s="1680"/>
      <c r="I8" s="1667"/>
      <c r="J8" s="1675"/>
      <c r="K8" s="1675"/>
      <c r="L8" s="1675"/>
      <c r="M8" s="729" t="s">
        <v>146</v>
      </c>
      <c r="N8" s="729" t="s">
        <v>997</v>
      </c>
      <c r="O8" s="729" t="s">
        <v>65</v>
      </c>
      <c r="P8" s="729" t="s">
        <v>996</v>
      </c>
      <c r="Q8" s="729" t="s">
        <v>147</v>
      </c>
      <c r="R8" s="729" t="s">
        <v>148</v>
      </c>
      <c r="S8" s="730"/>
      <c r="T8" s="730" t="s">
        <v>239</v>
      </c>
      <c r="U8" s="730" t="s">
        <v>242</v>
      </c>
      <c r="V8" s="729" t="s">
        <v>149</v>
      </c>
      <c r="W8" s="731"/>
      <c r="X8" s="1675"/>
      <c r="Y8" s="1675"/>
      <c r="Z8" s="1675"/>
      <c r="AA8" s="1669"/>
      <c r="AB8" s="1667"/>
      <c r="AC8" s="1669"/>
      <c r="AD8" s="1671"/>
      <c r="AE8" s="1671"/>
      <c r="AF8" s="731"/>
      <c r="AG8" s="732" t="s">
        <v>642</v>
      </c>
      <c r="AH8" s="732" t="s">
        <v>264</v>
      </c>
      <c r="AI8" s="729" t="s">
        <v>147</v>
      </c>
      <c r="AJ8" s="733" t="s">
        <v>265</v>
      </c>
      <c r="AK8" s="729" t="s">
        <v>148</v>
      </c>
      <c r="AL8" s="730" t="s">
        <v>150</v>
      </c>
      <c r="AM8" s="729" t="s">
        <v>150</v>
      </c>
      <c r="AN8" s="1672"/>
      <c r="AO8" s="1664"/>
      <c r="AP8" s="1665"/>
      <c r="AQ8" s="1665"/>
      <c r="AR8" s="1665"/>
      <c r="AS8" s="1665"/>
      <c r="AT8" s="1665"/>
      <c r="AU8" s="1665"/>
      <c r="AV8" s="1665"/>
      <c r="AW8" s="1665"/>
      <c r="AX8" s="1665"/>
      <c r="AY8" s="245"/>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409.5" customHeight="1">
      <c r="A9" s="1646" t="s">
        <v>1139</v>
      </c>
      <c r="B9" s="1649" t="s">
        <v>2032</v>
      </c>
      <c r="C9" s="1652" t="s">
        <v>3317</v>
      </c>
      <c r="D9" s="1653"/>
      <c r="E9" s="1654"/>
      <c r="F9" s="1661" t="s">
        <v>222</v>
      </c>
      <c r="G9" s="1634" t="s">
        <v>3318</v>
      </c>
      <c r="H9" s="1635"/>
      <c r="I9" s="1636"/>
      <c r="J9" s="1634" t="s">
        <v>3319</v>
      </c>
      <c r="K9" s="1635"/>
      <c r="L9" s="1636"/>
      <c r="M9" s="1646" t="s">
        <v>8</v>
      </c>
      <c r="N9" s="1646">
        <v>1</v>
      </c>
      <c r="O9" s="1646"/>
      <c r="P9" s="1646"/>
      <c r="Q9" s="1661" t="s">
        <v>64</v>
      </c>
      <c r="R9" s="1661" t="s">
        <v>270</v>
      </c>
      <c r="S9" s="734"/>
      <c r="T9" s="735">
        <f>VLOOKUP(Q9,[73]Listas!$D$6:$E$10,2,0)</f>
        <v>3</v>
      </c>
      <c r="U9" s="735">
        <f>HLOOKUP(R9,[73]Listas!$F$4:$J$5,2,0)</f>
        <v>4</v>
      </c>
      <c r="V9" s="1628" t="str">
        <f>INDEX([73]Listas!$F$6:$J$10,MATCH(Q9,[73]Listas!$D$6:$D$10,0),MATCH(R9,[73]Listas!$F$4:$J$4,0))</f>
        <v>12
ALTO</v>
      </c>
      <c r="W9" s="734"/>
      <c r="X9" s="1634" t="s">
        <v>3320</v>
      </c>
      <c r="Y9" s="1635"/>
      <c r="Z9" s="1636"/>
      <c r="AA9" s="1646" t="s">
        <v>4013</v>
      </c>
      <c r="AB9" s="1643" t="s">
        <v>3321</v>
      </c>
      <c r="AC9" s="1646" t="s">
        <v>3322</v>
      </c>
      <c r="AD9" s="1646">
        <v>87</v>
      </c>
      <c r="AE9" s="1643" t="s">
        <v>153</v>
      </c>
      <c r="AF9" s="734"/>
      <c r="AG9" s="735">
        <f>IF(AD9&lt;=33,0,IF(AD9&gt;81,2,1))</f>
        <v>2</v>
      </c>
      <c r="AH9" s="736">
        <f>IF(OR(AE9="Probabilidad",AE9="Ambos"),T9-AG9,T9)</f>
        <v>1</v>
      </c>
      <c r="AI9" s="1625" t="str">
        <f>IF(AH9&lt;=1,"Remota",VLOOKUP(AH9,[73]Listas!$C$6:$D$10,2,0))</f>
        <v>Remota</v>
      </c>
      <c r="AJ9" s="736">
        <f>IF(OR(AE9="Impacto",AE9="Ambos"),U9-AG9,U9)</f>
        <v>4</v>
      </c>
      <c r="AK9" s="1625" t="str">
        <f>IF(AJ9&lt;=1,"Insignificante",HLOOKUP(AJ9,[73]Listas!$F$3:$J$4,2,0))</f>
        <v>Mayor</v>
      </c>
      <c r="AL9" s="737">
        <f>AH9*AJ9</f>
        <v>4</v>
      </c>
      <c r="AM9" s="1628" t="str">
        <f>INDEX([73]Listas!$F$6:$J$10,MATCH(AI9,[73]Listas!$D$6:$D$10,0),MATCH(AK9,[73]Listas!$F$4:$J$4,0))</f>
        <v>4
MODERADO</v>
      </c>
      <c r="AN9" s="1622" t="s">
        <v>3792</v>
      </c>
      <c r="AO9" s="1622" t="s">
        <v>3323</v>
      </c>
      <c r="AP9" s="1631">
        <f>5050/5050</f>
        <v>1</v>
      </c>
      <c r="AQ9" s="1622" t="s">
        <v>3793</v>
      </c>
      <c r="AR9" s="1622" t="s">
        <v>3794</v>
      </c>
      <c r="AS9" s="1622" t="s">
        <v>36</v>
      </c>
      <c r="AT9" s="1619" t="s">
        <v>3324</v>
      </c>
      <c r="AU9" s="1619" t="s">
        <v>3324</v>
      </c>
      <c r="AV9" s="1619" t="s">
        <v>3324</v>
      </c>
      <c r="AW9" s="1619" t="s">
        <v>3324</v>
      </c>
      <c r="AX9" s="1619" t="s">
        <v>3324</v>
      </c>
      <c r="AY9" s="262"/>
    </row>
    <row r="10" spans="1:1027" s="260" customFormat="1" ht="409.5" customHeight="1">
      <c r="A10" s="1647"/>
      <c r="B10" s="1650"/>
      <c r="C10" s="1655"/>
      <c r="D10" s="1656"/>
      <c r="E10" s="1657"/>
      <c r="F10" s="1662"/>
      <c r="G10" s="1637"/>
      <c r="H10" s="1638"/>
      <c r="I10" s="1639"/>
      <c r="J10" s="1637"/>
      <c r="K10" s="1638"/>
      <c r="L10" s="1639"/>
      <c r="M10" s="1647"/>
      <c r="N10" s="1647"/>
      <c r="O10" s="1647"/>
      <c r="P10" s="1647"/>
      <c r="Q10" s="1662"/>
      <c r="R10" s="1662"/>
      <c r="S10" s="734"/>
      <c r="T10" s="735"/>
      <c r="U10" s="735"/>
      <c r="V10" s="1629"/>
      <c r="W10" s="734"/>
      <c r="X10" s="1637"/>
      <c r="Y10" s="1638"/>
      <c r="Z10" s="1639"/>
      <c r="AA10" s="1647"/>
      <c r="AB10" s="1644"/>
      <c r="AC10" s="1647"/>
      <c r="AD10" s="1647"/>
      <c r="AE10" s="1644"/>
      <c r="AF10" s="734"/>
      <c r="AG10" s="735"/>
      <c r="AH10" s="736"/>
      <c r="AI10" s="1626"/>
      <c r="AJ10" s="736"/>
      <c r="AK10" s="1626"/>
      <c r="AL10" s="737"/>
      <c r="AM10" s="1629"/>
      <c r="AN10" s="1623"/>
      <c r="AO10" s="1623"/>
      <c r="AP10" s="1632"/>
      <c r="AQ10" s="1623"/>
      <c r="AR10" s="1623"/>
      <c r="AS10" s="1623"/>
      <c r="AT10" s="1620"/>
      <c r="AU10" s="1620"/>
      <c r="AV10" s="1620"/>
      <c r="AW10" s="1620"/>
      <c r="AX10" s="1620"/>
      <c r="AY10" s="262"/>
    </row>
    <row r="11" spans="1:1027" s="260" customFormat="1" ht="409.6" customHeight="1">
      <c r="A11" s="1647"/>
      <c r="B11" s="1650"/>
      <c r="C11" s="1655"/>
      <c r="D11" s="1656"/>
      <c r="E11" s="1657"/>
      <c r="F11" s="1662"/>
      <c r="G11" s="1637"/>
      <c r="H11" s="1638"/>
      <c r="I11" s="1639"/>
      <c r="J11" s="1637"/>
      <c r="K11" s="1638"/>
      <c r="L11" s="1639"/>
      <c r="M11" s="1647"/>
      <c r="N11" s="1647"/>
      <c r="O11" s="1647"/>
      <c r="P11" s="1647"/>
      <c r="Q11" s="1662"/>
      <c r="R11" s="1662"/>
      <c r="S11" s="734"/>
      <c r="T11" s="735"/>
      <c r="U11" s="735"/>
      <c r="V11" s="1629"/>
      <c r="W11" s="734"/>
      <c r="X11" s="1637"/>
      <c r="Y11" s="1638"/>
      <c r="Z11" s="1639"/>
      <c r="AA11" s="1647"/>
      <c r="AB11" s="1644"/>
      <c r="AC11" s="1647"/>
      <c r="AD11" s="1647"/>
      <c r="AE11" s="1644"/>
      <c r="AF11" s="734"/>
      <c r="AG11" s="735"/>
      <c r="AH11" s="736"/>
      <c r="AI11" s="1626"/>
      <c r="AJ11" s="736"/>
      <c r="AK11" s="1626"/>
      <c r="AL11" s="737"/>
      <c r="AM11" s="1629"/>
      <c r="AN11" s="1623"/>
      <c r="AO11" s="1623"/>
      <c r="AP11" s="1632"/>
      <c r="AQ11" s="1623"/>
      <c r="AR11" s="1623"/>
      <c r="AS11" s="1623"/>
      <c r="AT11" s="1620"/>
      <c r="AU11" s="1620"/>
      <c r="AV11" s="1620"/>
      <c r="AW11" s="1620"/>
      <c r="AX11" s="1620"/>
      <c r="AY11" s="262"/>
    </row>
    <row r="12" spans="1:1027" s="260" customFormat="1" ht="409.6" customHeight="1">
      <c r="A12" s="1648"/>
      <c r="B12" s="1651"/>
      <c r="C12" s="1658"/>
      <c r="D12" s="1659"/>
      <c r="E12" s="1660"/>
      <c r="F12" s="1663"/>
      <c r="G12" s="1640"/>
      <c r="H12" s="1641"/>
      <c r="I12" s="1642"/>
      <c r="J12" s="1640"/>
      <c r="K12" s="1641"/>
      <c r="L12" s="1642"/>
      <c r="M12" s="1648"/>
      <c r="N12" s="1648"/>
      <c r="O12" s="1648"/>
      <c r="P12" s="1648"/>
      <c r="Q12" s="1663"/>
      <c r="R12" s="1663"/>
      <c r="S12" s="734"/>
      <c r="T12" s="735"/>
      <c r="U12" s="735"/>
      <c r="V12" s="1630"/>
      <c r="W12" s="734"/>
      <c r="X12" s="1640"/>
      <c r="Y12" s="1641"/>
      <c r="Z12" s="1642"/>
      <c r="AA12" s="1648"/>
      <c r="AB12" s="1645"/>
      <c r="AC12" s="1648"/>
      <c r="AD12" s="1648"/>
      <c r="AE12" s="1645"/>
      <c r="AF12" s="734"/>
      <c r="AG12" s="735"/>
      <c r="AH12" s="736"/>
      <c r="AI12" s="1627"/>
      <c r="AJ12" s="736"/>
      <c r="AK12" s="1627"/>
      <c r="AL12" s="737"/>
      <c r="AM12" s="1630"/>
      <c r="AN12" s="1624"/>
      <c r="AO12" s="1624"/>
      <c r="AP12" s="1633"/>
      <c r="AQ12" s="1624"/>
      <c r="AR12" s="1624"/>
      <c r="AS12" s="1624"/>
      <c r="AT12" s="1621"/>
      <c r="AU12" s="1621"/>
      <c r="AV12" s="1621"/>
      <c r="AW12" s="1621"/>
      <c r="AX12" s="1621"/>
      <c r="AY12" s="262"/>
    </row>
    <row r="13" spans="1:1027" s="260" customFormat="1" ht="408.75" customHeight="1">
      <c r="A13" s="738" t="s">
        <v>427</v>
      </c>
      <c r="B13" s="739" t="s">
        <v>2035</v>
      </c>
      <c r="C13" s="1609" t="s">
        <v>1140</v>
      </c>
      <c r="D13" s="1610"/>
      <c r="E13" s="1611"/>
      <c r="F13" s="740" t="s">
        <v>222</v>
      </c>
      <c r="G13" s="1612" t="s">
        <v>3325</v>
      </c>
      <c r="H13" s="1613"/>
      <c r="I13" s="1614"/>
      <c r="J13" s="1615" t="s">
        <v>3326</v>
      </c>
      <c r="K13" s="1615"/>
      <c r="L13" s="1615"/>
      <c r="M13" s="738" t="s">
        <v>8</v>
      </c>
      <c r="N13" s="738">
        <v>1</v>
      </c>
      <c r="O13" s="738"/>
      <c r="P13" s="738" t="s">
        <v>8</v>
      </c>
      <c r="Q13" s="741" t="s">
        <v>64</v>
      </c>
      <c r="R13" s="741" t="s">
        <v>270</v>
      </c>
      <c r="S13" s="734"/>
      <c r="T13" s="735">
        <f>VLOOKUP(Q13,[73]Listas!$D$6:$E$10,2,0)</f>
        <v>3</v>
      </c>
      <c r="U13" s="735">
        <f>HLOOKUP(R13,[73]Listas!$F$4:$J$5,2,0)</f>
        <v>4</v>
      </c>
      <c r="V13" s="742" t="str">
        <f>INDEX([73]Listas!$F$6:$J$10,MATCH(Q13,[73]Listas!$D$6:$D$10,0),MATCH(R13,[73]Listas!$F$4:$J$4,0))</f>
        <v>12
ALTO</v>
      </c>
      <c r="W13" s="734"/>
      <c r="X13" s="1612" t="s">
        <v>3327</v>
      </c>
      <c r="Y13" s="1613"/>
      <c r="Z13" s="1614"/>
      <c r="AA13" s="1085" t="s">
        <v>4013</v>
      </c>
      <c r="AB13" s="743" t="s">
        <v>1141</v>
      </c>
      <c r="AC13" s="744" t="s">
        <v>3328</v>
      </c>
      <c r="AD13" s="738">
        <v>87</v>
      </c>
      <c r="AE13" s="740" t="s">
        <v>153</v>
      </c>
      <c r="AF13" s="734"/>
      <c r="AG13" s="735">
        <f t="shared" ref="AG13:AG18" si="0">IF(AD13&lt;=33,0,IF(AD13&gt;81,2,1))</f>
        <v>2</v>
      </c>
      <c r="AH13" s="736">
        <f t="shared" ref="AH13:AH18" si="1">IF(OR(AE13="Probabilidad",AE13="Ambos"),T13-AG13,T13)</f>
        <v>1</v>
      </c>
      <c r="AI13" s="745" t="str">
        <f>IF(AH13&lt;=1,"Remota",VLOOKUP(AH13,[73]Listas!$C$6:$D$10,2,0))</f>
        <v>Remota</v>
      </c>
      <c r="AJ13" s="736">
        <f t="shared" ref="AJ13:AJ18" si="2">IF(OR(AE13="Impacto",AE13="Ambos"),U13-AG13,U13)</f>
        <v>4</v>
      </c>
      <c r="AK13" s="745" t="str">
        <f>IF(AJ13&lt;=1,"Insignificante",HLOOKUP(AJ13,[73]Listas!$F$3:$J$4,2,0))</f>
        <v>Mayor</v>
      </c>
      <c r="AL13" s="737">
        <f t="shared" ref="AL13:AL18" si="3">AH13*AJ13</f>
        <v>4</v>
      </c>
      <c r="AM13" s="742" t="str">
        <f>INDEX([73]Listas!$F$6:$J$10,MATCH(AI13,[73]Listas!$D$6:$D$10,0),MATCH(AK13,[73]Listas!$F$4:$J$4,0))</f>
        <v>4
MODERADO</v>
      </c>
      <c r="AN13" s="746" t="s">
        <v>2987</v>
      </c>
      <c r="AO13" s="747" t="s">
        <v>3329</v>
      </c>
      <c r="AP13" s="748">
        <v>0</v>
      </c>
      <c r="AQ13" s="749" t="s">
        <v>3330</v>
      </c>
      <c r="AR13" s="749" t="s">
        <v>3794</v>
      </c>
      <c r="AS13" s="747" t="s">
        <v>36</v>
      </c>
      <c r="AT13" s="750" t="s">
        <v>3324</v>
      </c>
      <c r="AU13" s="750" t="s">
        <v>3324</v>
      </c>
      <c r="AV13" s="750" t="s">
        <v>3324</v>
      </c>
      <c r="AW13" s="750" t="s">
        <v>3324</v>
      </c>
      <c r="AX13" s="750" t="s">
        <v>3324</v>
      </c>
      <c r="AY13" s="262"/>
    </row>
    <row r="14" spans="1:1027" s="260" customFormat="1" ht="372.75" customHeight="1">
      <c r="A14" s="751" t="s">
        <v>1142</v>
      </c>
      <c r="B14" s="739" t="s">
        <v>2036</v>
      </c>
      <c r="C14" s="1616" t="s">
        <v>3331</v>
      </c>
      <c r="D14" s="1617"/>
      <c r="E14" s="1618"/>
      <c r="F14" s="740" t="s">
        <v>222</v>
      </c>
      <c r="G14" s="1612" t="s">
        <v>3332</v>
      </c>
      <c r="H14" s="1613"/>
      <c r="I14" s="1614"/>
      <c r="J14" s="1615" t="s">
        <v>3333</v>
      </c>
      <c r="K14" s="1615"/>
      <c r="L14" s="1615"/>
      <c r="M14" s="738" t="s">
        <v>8</v>
      </c>
      <c r="N14" s="738">
        <v>1</v>
      </c>
      <c r="O14" s="738"/>
      <c r="P14" s="738" t="s">
        <v>8</v>
      </c>
      <c r="Q14" s="741" t="s">
        <v>64</v>
      </c>
      <c r="R14" s="741" t="s">
        <v>270</v>
      </c>
      <c r="S14" s="734"/>
      <c r="T14" s="735">
        <f>VLOOKUP(Q14,[73]Listas!$D$6:$E$10,2,0)</f>
        <v>3</v>
      </c>
      <c r="U14" s="735">
        <f>HLOOKUP(R14,[73]Listas!$F$4:$J$5,2,0)</f>
        <v>4</v>
      </c>
      <c r="V14" s="742" t="str">
        <f>INDEX([73]Listas!$F$6:$J$10,MATCH(Q14,[73]Listas!$D$6:$D$10,0),MATCH(R14,[73]Listas!$F$4:$J$4,0))</f>
        <v>12
ALTO</v>
      </c>
      <c r="W14" s="734"/>
      <c r="X14" s="1612" t="s">
        <v>3334</v>
      </c>
      <c r="Y14" s="1613"/>
      <c r="Z14" s="1614"/>
      <c r="AA14" s="1085" t="s">
        <v>4013</v>
      </c>
      <c r="AB14" s="743" t="s">
        <v>1143</v>
      </c>
      <c r="AC14" s="744" t="s">
        <v>3335</v>
      </c>
      <c r="AD14" s="738">
        <v>87</v>
      </c>
      <c r="AE14" s="740" t="s">
        <v>152</v>
      </c>
      <c r="AF14" s="734"/>
      <c r="AG14" s="735">
        <f t="shared" si="0"/>
        <v>2</v>
      </c>
      <c r="AH14" s="736">
        <f t="shared" si="1"/>
        <v>1</v>
      </c>
      <c r="AI14" s="745" t="str">
        <f>IF(AH14&lt;=1,"Remota",VLOOKUP(AH14,[73]Listas!$C$6:$D$10,2,0))</f>
        <v>Remota</v>
      </c>
      <c r="AJ14" s="736">
        <f t="shared" si="2"/>
        <v>2</v>
      </c>
      <c r="AK14" s="745" t="str">
        <f>IF(AJ14&lt;=1,"Insignificante",HLOOKUP(AJ14,[73]Listas!$F$3:$J$4,2,0))</f>
        <v>Menor</v>
      </c>
      <c r="AL14" s="737">
        <f t="shared" si="3"/>
        <v>2</v>
      </c>
      <c r="AM14" s="742" t="str">
        <f>INDEX([73]Listas!$F$6:$J$10,MATCH(AI14,[73]Listas!$D$6:$D$10,0),MATCH(AK14,[73]Listas!$F$4:$J$4,0))</f>
        <v>2
INFERIOR</v>
      </c>
      <c r="AN14" s="746" t="s">
        <v>2988</v>
      </c>
      <c r="AO14" s="747" t="s">
        <v>2989</v>
      </c>
      <c r="AP14" s="748">
        <v>1</v>
      </c>
      <c r="AQ14" s="749" t="s">
        <v>3336</v>
      </c>
      <c r="AR14" s="749" t="s">
        <v>3794</v>
      </c>
      <c r="AS14" s="747" t="s">
        <v>36</v>
      </c>
      <c r="AT14" s="750" t="s">
        <v>3324</v>
      </c>
      <c r="AU14" s="750" t="s">
        <v>3324</v>
      </c>
      <c r="AV14" s="750" t="s">
        <v>3324</v>
      </c>
      <c r="AW14" s="750" t="s">
        <v>3324</v>
      </c>
      <c r="AX14" s="750" t="s">
        <v>3324</v>
      </c>
      <c r="AY14" s="262"/>
    </row>
    <row r="15" spans="1:1027" s="260" customFormat="1" ht="409.5" customHeight="1">
      <c r="A15" s="738" t="s">
        <v>1142</v>
      </c>
      <c r="B15" s="739" t="s">
        <v>2031</v>
      </c>
      <c r="C15" s="1609" t="s">
        <v>2990</v>
      </c>
      <c r="D15" s="1610"/>
      <c r="E15" s="1611"/>
      <c r="F15" s="740" t="s">
        <v>222</v>
      </c>
      <c r="G15" s="1612" t="s">
        <v>3337</v>
      </c>
      <c r="H15" s="1613"/>
      <c r="I15" s="1614"/>
      <c r="J15" s="1615" t="s">
        <v>3338</v>
      </c>
      <c r="K15" s="1615"/>
      <c r="L15" s="1615"/>
      <c r="M15" s="738" t="s">
        <v>8</v>
      </c>
      <c r="N15" s="738">
        <v>5</v>
      </c>
      <c r="O15" s="738" t="s">
        <v>8</v>
      </c>
      <c r="P15" s="738" t="s">
        <v>8</v>
      </c>
      <c r="Q15" s="741" t="s">
        <v>64</v>
      </c>
      <c r="R15" s="741" t="s">
        <v>274</v>
      </c>
      <c r="S15" s="734"/>
      <c r="T15" s="735">
        <f>VLOOKUP(Q15,[73]Listas!$D$6:$E$10,2,0)</f>
        <v>3</v>
      </c>
      <c r="U15" s="735">
        <f>HLOOKUP(R15,[73]Listas!$F$4:$J$5,2,0)</f>
        <v>3</v>
      </c>
      <c r="V15" s="742" t="str">
        <f>INDEX([73]Listas!$F$6:$J$10,MATCH(Q15,[73]Listas!$D$6:$D$10,0),MATCH(R15,[73]Listas!$F$4:$J$4,0))</f>
        <v>9
MODERADO</v>
      </c>
      <c r="W15" s="734"/>
      <c r="X15" s="1612" t="s">
        <v>3339</v>
      </c>
      <c r="Y15" s="1613"/>
      <c r="Z15" s="1614"/>
      <c r="AA15" s="1085" t="s">
        <v>4179</v>
      </c>
      <c r="AB15" s="743" t="s">
        <v>1144</v>
      </c>
      <c r="AC15" s="744" t="s">
        <v>3340</v>
      </c>
      <c r="AD15" s="738">
        <v>87</v>
      </c>
      <c r="AE15" s="740" t="s">
        <v>153</v>
      </c>
      <c r="AF15" s="734"/>
      <c r="AG15" s="735">
        <f t="shared" si="0"/>
        <v>2</v>
      </c>
      <c r="AH15" s="736">
        <f t="shared" si="1"/>
        <v>1</v>
      </c>
      <c r="AI15" s="745" t="str">
        <f>IF(AH15&lt;=1,"Remota",VLOOKUP(AH15,[73]Listas!$C$6:$D$10,2,0))</f>
        <v>Remota</v>
      </c>
      <c r="AJ15" s="736">
        <f t="shared" si="2"/>
        <v>3</v>
      </c>
      <c r="AK15" s="745" t="str">
        <f>IF(AJ15&lt;=1,"Insignificante",HLOOKUP(AJ15,[73]Listas!$F$3:$J$4,2,0))</f>
        <v>Moderado</v>
      </c>
      <c r="AL15" s="737">
        <f t="shared" si="3"/>
        <v>3</v>
      </c>
      <c r="AM15" s="742" t="str">
        <f>INDEX([73]Listas!$F$6:$J$10,MATCH(AI15,[73]Listas!$D$6:$D$10,0),MATCH(AK15,[73]Listas!$F$4:$J$4,0))</f>
        <v>3
INFERIOR</v>
      </c>
      <c r="AN15" s="746" t="s">
        <v>3341</v>
      </c>
      <c r="AO15" s="749" t="s">
        <v>3342</v>
      </c>
      <c r="AP15" s="748" t="s">
        <v>3343</v>
      </c>
      <c r="AQ15" s="749" t="s">
        <v>3344</v>
      </c>
      <c r="AR15" s="749" t="s">
        <v>3794</v>
      </c>
      <c r="AS15" s="747" t="s">
        <v>36</v>
      </c>
      <c r="AT15" s="750" t="s">
        <v>3324</v>
      </c>
      <c r="AU15" s="750" t="s">
        <v>3324</v>
      </c>
      <c r="AV15" s="750" t="s">
        <v>3324</v>
      </c>
      <c r="AW15" s="750" t="s">
        <v>3324</v>
      </c>
      <c r="AX15" s="750" t="s">
        <v>3324</v>
      </c>
      <c r="AY15" s="262"/>
    </row>
    <row r="16" spans="1:1027" s="260" customFormat="1" ht="401.25" customHeight="1">
      <c r="A16" s="738" t="s">
        <v>1145</v>
      </c>
      <c r="B16" s="1113" t="s">
        <v>1146</v>
      </c>
      <c r="C16" s="1609" t="s">
        <v>1147</v>
      </c>
      <c r="D16" s="1610"/>
      <c r="E16" s="1611"/>
      <c r="F16" s="740" t="s">
        <v>222</v>
      </c>
      <c r="G16" s="1612" t="s">
        <v>3345</v>
      </c>
      <c r="H16" s="1613"/>
      <c r="I16" s="1614"/>
      <c r="J16" s="1615" t="s">
        <v>3346</v>
      </c>
      <c r="K16" s="1615"/>
      <c r="L16" s="1615"/>
      <c r="M16" s="738"/>
      <c r="N16" s="738">
        <v>5</v>
      </c>
      <c r="O16" s="738" t="s">
        <v>8</v>
      </c>
      <c r="P16" s="738" t="s">
        <v>8</v>
      </c>
      <c r="Q16" s="741" t="s">
        <v>64</v>
      </c>
      <c r="R16" s="741" t="s">
        <v>270</v>
      </c>
      <c r="S16" s="734"/>
      <c r="T16" s="735">
        <f>VLOOKUP(Q16,[73]Listas!$D$6:$E$10,2,0)</f>
        <v>3</v>
      </c>
      <c r="U16" s="735">
        <f>HLOOKUP(R16,[73]Listas!$F$4:$J$5,2,0)</f>
        <v>4</v>
      </c>
      <c r="V16" s="742" t="str">
        <f>INDEX([73]Listas!$F$6:$J$10,MATCH(Q16,[73]Listas!$D$6:$D$10,0),MATCH(R16,[73]Listas!$F$4:$J$4,0))</f>
        <v>12
ALTO</v>
      </c>
      <c r="W16" s="734"/>
      <c r="X16" s="1612" t="s">
        <v>3347</v>
      </c>
      <c r="Y16" s="1613"/>
      <c r="Z16" s="1614"/>
      <c r="AA16" s="1085" t="s">
        <v>4180</v>
      </c>
      <c r="AB16" s="740" t="s">
        <v>1148</v>
      </c>
      <c r="AC16" s="744" t="s">
        <v>3348</v>
      </c>
      <c r="AD16" s="738">
        <v>84</v>
      </c>
      <c r="AE16" s="740" t="s">
        <v>153</v>
      </c>
      <c r="AF16" s="734"/>
      <c r="AG16" s="735">
        <f t="shared" si="0"/>
        <v>2</v>
      </c>
      <c r="AH16" s="736">
        <f t="shared" si="1"/>
        <v>1</v>
      </c>
      <c r="AI16" s="745" t="str">
        <f>IF(AH16&lt;=1,"Remota",VLOOKUP(AH16,[73]Listas!$C$6:$D$10,2,0))</f>
        <v>Remota</v>
      </c>
      <c r="AJ16" s="736">
        <f t="shared" si="2"/>
        <v>4</v>
      </c>
      <c r="AK16" s="745" t="str">
        <f>IF(AJ16&lt;=1,"Insignificante",HLOOKUP(AJ16,[73]Listas!$F$3:$J$4,2,0))</f>
        <v>Mayor</v>
      </c>
      <c r="AL16" s="737">
        <f t="shared" si="3"/>
        <v>4</v>
      </c>
      <c r="AM16" s="742" t="str">
        <f>INDEX([73]Listas!$F$6:$J$10,MATCH(AI16,[73]Listas!$D$6:$D$10,0),MATCH(AK16,[73]Listas!$F$4:$J$4,0))</f>
        <v>4
MODERADO</v>
      </c>
      <c r="AN16" s="752" t="s">
        <v>2992</v>
      </c>
      <c r="AO16" s="753" t="s">
        <v>2991</v>
      </c>
      <c r="AP16" s="748">
        <v>1</v>
      </c>
      <c r="AQ16" s="749" t="s">
        <v>3349</v>
      </c>
      <c r="AR16" s="749" t="s">
        <v>3794</v>
      </c>
      <c r="AS16" s="747" t="s">
        <v>36</v>
      </c>
      <c r="AT16" s="750" t="s">
        <v>3324</v>
      </c>
      <c r="AU16" s="750" t="s">
        <v>3324</v>
      </c>
      <c r="AV16" s="750" t="s">
        <v>3324</v>
      </c>
      <c r="AW16" s="750" t="s">
        <v>3324</v>
      </c>
      <c r="AX16" s="750" t="s">
        <v>3324</v>
      </c>
      <c r="AY16" s="262"/>
    </row>
    <row r="17" spans="1:51" s="260" customFormat="1" ht="408.75" customHeight="1">
      <c r="A17" s="738" t="s">
        <v>1145</v>
      </c>
      <c r="B17" s="1113" t="s">
        <v>1149</v>
      </c>
      <c r="C17" s="1609" t="s">
        <v>982</v>
      </c>
      <c r="D17" s="1610"/>
      <c r="E17" s="1611"/>
      <c r="F17" s="740" t="s">
        <v>222</v>
      </c>
      <c r="G17" s="1612" t="s">
        <v>3350</v>
      </c>
      <c r="H17" s="1613"/>
      <c r="I17" s="1614"/>
      <c r="J17" s="1615" t="s">
        <v>3351</v>
      </c>
      <c r="K17" s="1615"/>
      <c r="L17" s="1615"/>
      <c r="M17" s="738"/>
      <c r="N17" s="738">
        <v>5</v>
      </c>
      <c r="O17" s="738" t="s">
        <v>8</v>
      </c>
      <c r="P17" s="738" t="s">
        <v>8</v>
      </c>
      <c r="Q17" s="741" t="s">
        <v>64</v>
      </c>
      <c r="R17" s="741" t="s">
        <v>270</v>
      </c>
      <c r="S17" s="734"/>
      <c r="T17" s="735">
        <f>VLOOKUP(Q17,[73]Listas!$D$6:$E$10,2,0)</f>
        <v>3</v>
      </c>
      <c r="U17" s="735">
        <f>HLOOKUP(R17,[73]Listas!$F$4:$J$5,2,0)</f>
        <v>4</v>
      </c>
      <c r="V17" s="742" t="str">
        <f>INDEX([73]Listas!$F$6:$J$10,MATCH(Q17,[73]Listas!$D$6:$D$10,0),MATCH(R17,[73]Listas!$F$4:$J$4,0))</f>
        <v>12
ALTO</v>
      </c>
      <c r="W17" s="734"/>
      <c r="X17" s="1612" t="s">
        <v>3352</v>
      </c>
      <c r="Y17" s="1613"/>
      <c r="Z17" s="1614"/>
      <c r="AA17" s="1085" t="s">
        <v>4181</v>
      </c>
      <c r="AB17" s="740" t="s">
        <v>1151</v>
      </c>
      <c r="AC17" s="744" t="s">
        <v>3348</v>
      </c>
      <c r="AD17" s="738">
        <v>84</v>
      </c>
      <c r="AE17" s="740" t="s">
        <v>153</v>
      </c>
      <c r="AF17" s="734"/>
      <c r="AG17" s="735">
        <f t="shared" si="0"/>
        <v>2</v>
      </c>
      <c r="AH17" s="736">
        <f t="shared" si="1"/>
        <v>1</v>
      </c>
      <c r="AI17" s="745" t="str">
        <f>IF(AH17&lt;=1,"Remota",VLOOKUP(AH17,[73]Listas!$C$6:$D$10,2,0))</f>
        <v>Remota</v>
      </c>
      <c r="AJ17" s="736">
        <f t="shared" si="2"/>
        <v>4</v>
      </c>
      <c r="AK17" s="745" t="str">
        <f>IF(AJ17&lt;=1,"Insignificante",HLOOKUP(AJ17,[73]Listas!$F$3:$J$4,2,0))</f>
        <v>Mayor</v>
      </c>
      <c r="AL17" s="737">
        <f t="shared" si="3"/>
        <v>4</v>
      </c>
      <c r="AM17" s="742" t="str">
        <f>INDEX([73]Listas!$F$6:$J$10,MATCH(AI17,[73]Listas!$D$6:$D$10,0),MATCH(AK17,[73]Listas!$F$4:$J$4,0))</f>
        <v>4
MODERADO</v>
      </c>
      <c r="AN17" s="752" t="s">
        <v>3795</v>
      </c>
      <c r="AO17" s="753" t="s">
        <v>2993</v>
      </c>
      <c r="AP17" s="748">
        <v>1</v>
      </c>
      <c r="AQ17" s="749" t="s">
        <v>3349</v>
      </c>
      <c r="AR17" s="749" t="s">
        <v>3794</v>
      </c>
      <c r="AS17" s="747" t="s">
        <v>36</v>
      </c>
      <c r="AT17" s="750" t="s">
        <v>3324</v>
      </c>
      <c r="AU17" s="750" t="s">
        <v>3324</v>
      </c>
      <c r="AV17" s="750" t="s">
        <v>3324</v>
      </c>
      <c r="AW17" s="750" t="s">
        <v>3324</v>
      </c>
      <c r="AX17" s="750" t="s">
        <v>3324</v>
      </c>
      <c r="AY17" s="262"/>
    </row>
    <row r="18" spans="1:51" s="260" customFormat="1" ht="408.75" customHeight="1">
      <c r="A18" s="738" t="s">
        <v>1145</v>
      </c>
      <c r="B18" s="1113" t="s">
        <v>1150</v>
      </c>
      <c r="C18" s="1609" t="s">
        <v>3353</v>
      </c>
      <c r="D18" s="1610"/>
      <c r="E18" s="1611"/>
      <c r="F18" s="740" t="s">
        <v>222</v>
      </c>
      <c r="G18" s="1612" t="s">
        <v>3354</v>
      </c>
      <c r="H18" s="1613"/>
      <c r="I18" s="1614"/>
      <c r="J18" s="1615" t="s">
        <v>3355</v>
      </c>
      <c r="K18" s="1615"/>
      <c r="L18" s="1615"/>
      <c r="M18" s="738"/>
      <c r="N18" s="738">
        <v>6</v>
      </c>
      <c r="O18" s="738" t="s">
        <v>8</v>
      </c>
      <c r="P18" s="738" t="s">
        <v>8</v>
      </c>
      <c r="Q18" s="741" t="s">
        <v>64</v>
      </c>
      <c r="R18" s="741" t="s">
        <v>270</v>
      </c>
      <c r="S18" s="734"/>
      <c r="T18" s="735">
        <f>VLOOKUP(Q18,[73]Listas!$D$6:$E$10,2,0)</f>
        <v>3</v>
      </c>
      <c r="U18" s="735">
        <f>HLOOKUP(R18,[73]Listas!$F$4:$J$5,2,0)</f>
        <v>4</v>
      </c>
      <c r="V18" s="742" t="str">
        <f>INDEX([73]Listas!$F$6:$J$10,MATCH(Q18,[73]Listas!$D$6:$D$10,0),MATCH(R18,[73]Listas!$F$4:$J$4,0))</f>
        <v>12
ALTO</v>
      </c>
      <c r="W18" s="734"/>
      <c r="X18" s="1612" t="s">
        <v>3356</v>
      </c>
      <c r="Y18" s="1613"/>
      <c r="Z18" s="1614"/>
      <c r="AA18" s="1085" t="s">
        <v>4182</v>
      </c>
      <c r="AB18" s="740" t="s">
        <v>1151</v>
      </c>
      <c r="AC18" s="738" t="s">
        <v>1152</v>
      </c>
      <c r="AD18" s="738">
        <v>84</v>
      </c>
      <c r="AE18" s="740" t="s">
        <v>153</v>
      </c>
      <c r="AF18" s="734"/>
      <c r="AG18" s="735">
        <f t="shared" si="0"/>
        <v>2</v>
      </c>
      <c r="AH18" s="736">
        <f t="shared" si="1"/>
        <v>1</v>
      </c>
      <c r="AI18" s="745" t="str">
        <f>IF(AH18&lt;=1,"Remota",VLOOKUP(AH18,[73]Listas!$C$6:$D$10,2,0))</f>
        <v>Remota</v>
      </c>
      <c r="AJ18" s="736">
        <f t="shared" si="2"/>
        <v>4</v>
      </c>
      <c r="AK18" s="745" t="str">
        <f>IF(AJ18&lt;=1,"Insignificante",HLOOKUP(AJ18,[73]Listas!$F$3:$J$4,2,0))</f>
        <v>Mayor</v>
      </c>
      <c r="AL18" s="737">
        <f t="shared" si="3"/>
        <v>4</v>
      </c>
      <c r="AM18" s="742" t="str">
        <f>INDEX([73]Listas!$F$6:$J$10,MATCH(AI18,[73]Listas!$D$6:$D$10,0),MATCH(AK18,[73]Listas!$F$4:$J$4,0))</f>
        <v>4
MODERADO</v>
      </c>
      <c r="AN18" s="752" t="s">
        <v>2994</v>
      </c>
      <c r="AO18" s="753" t="s">
        <v>2995</v>
      </c>
      <c r="AP18" s="748">
        <v>1</v>
      </c>
      <c r="AQ18" s="749" t="s">
        <v>3357</v>
      </c>
      <c r="AR18" s="749" t="s">
        <v>3794</v>
      </c>
      <c r="AS18" s="747" t="s">
        <v>36</v>
      </c>
      <c r="AT18" s="750" t="s">
        <v>3324</v>
      </c>
      <c r="AU18" s="750" t="s">
        <v>3324</v>
      </c>
      <c r="AV18" s="750" t="s">
        <v>3324</v>
      </c>
      <c r="AW18" s="750" t="s">
        <v>3324</v>
      </c>
      <c r="AX18" s="750" t="s">
        <v>3324</v>
      </c>
      <c r="AY18" s="262"/>
    </row>
    <row r="19" spans="1:51" s="260" customFormat="1" ht="103.5" hidden="1" customHeight="1">
      <c r="A19" s="747"/>
      <c r="B19" s="754"/>
      <c r="C19" s="1605"/>
      <c r="D19" s="1607"/>
      <c r="E19" s="1606"/>
      <c r="F19" s="755"/>
      <c r="G19" s="1605"/>
      <c r="H19" s="1607"/>
      <c r="I19" s="1606"/>
      <c r="J19" s="1608"/>
      <c r="K19" s="1608"/>
      <c r="L19" s="1608"/>
      <c r="M19" s="747"/>
      <c r="N19" s="747"/>
      <c r="O19" s="747"/>
      <c r="P19" s="747"/>
      <c r="Q19" s="754"/>
      <c r="R19" s="754"/>
      <c r="S19" s="756"/>
      <c r="T19" s="757" t="e">
        <f>VLOOKUP(Q19,[71]Listas!$D$6:$E$10,2,0)</f>
        <v>#N/A</v>
      </c>
      <c r="U19" s="757" t="e">
        <f>HLOOKUP(R19,[71]Listas!$F$4:$J$5,2,0)</f>
        <v>#N/A</v>
      </c>
      <c r="V19" s="758" t="e">
        <f>INDEX([71]Listas!$F$6:$J$10,MATCH(Q19,[71]Listas!$D$6:$D$10,0),MATCH(R19,[71]Listas!$F$4:$J$4,0))</f>
        <v>#N/A</v>
      </c>
      <c r="W19" s="756"/>
      <c r="X19" s="1605"/>
      <c r="Y19" s="1607"/>
      <c r="Z19" s="1606"/>
      <c r="AA19" s="1086"/>
      <c r="AB19" s="755"/>
      <c r="AC19" s="749"/>
      <c r="AD19" s="747"/>
      <c r="AE19" s="755"/>
      <c r="AF19" s="756"/>
      <c r="AG19" s="757">
        <f>IF(AD19&lt;=33,0,IF(AD19&gt;81,2,1))</f>
        <v>0</v>
      </c>
      <c r="AH19" s="759" t="e">
        <f>IF(OR(AE19="Probabilidad",AE19="Ambos"),T19-AG19,T19)</f>
        <v>#N/A</v>
      </c>
      <c r="AI19" s="760" t="e">
        <f>IF(AH19&lt;=1,"Remota",VLOOKUP(AH19,[71]Listas!$C$6:$D$10,2,0))</f>
        <v>#N/A</v>
      </c>
      <c r="AJ19" s="759" t="e">
        <f>IF(OR(AE19="Impacto",AE19="Ambos"),U19-AG19,U19)</f>
        <v>#N/A</v>
      </c>
      <c r="AK19" s="760" t="e">
        <f>IF(AJ19&lt;=1,"Insignificante",HLOOKUP(AJ19,[71]Listas!$F$3:$J$4,2,0))</f>
        <v>#N/A</v>
      </c>
      <c r="AL19" s="761" t="e">
        <f>AH19*AJ19</f>
        <v>#N/A</v>
      </c>
      <c r="AM19" s="758" t="e">
        <f>INDEX([71]Listas!$F$6:$J$10,MATCH(AI19,[71]Listas!$D$6:$D$10,0),MATCH(AK19,[71]Listas!$F$4:$J$4,0))</f>
        <v>#N/A</v>
      </c>
      <c r="AN19" s="749"/>
      <c r="AO19" s="749"/>
      <c r="AP19" s="748"/>
      <c r="AQ19" s="749"/>
      <c r="AR19" s="749" t="s">
        <v>2343</v>
      </c>
      <c r="AS19" s="747"/>
      <c r="AT19" s="749"/>
      <c r="AU19" s="749"/>
      <c r="AV19" s="762"/>
      <c r="AW19" s="762"/>
      <c r="AX19" s="747"/>
      <c r="AY19" s="262"/>
    </row>
    <row r="20" spans="1:51" s="260" customFormat="1" ht="103.5" hidden="1" customHeight="1">
      <c r="A20" s="747"/>
      <c r="B20" s="754"/>
      <c r="C20" s="1605"/>
      <c r="D20" s="1607"/>
      <c r="E20" s="1606"/>
      <c r="F20" s="755"/>
      <c r="G20" s="1605"/>
      <c r="H20" s="1607"/>
      <c r="I20" s="1606"/>
      <c r="J20" s="1608"/>
      <c r="K20" s="1608"/>
      <c r="L20" s="1608"/>
      <c r="M20" s="747"/>
      <c r="N20" s="747"/>
      <c r="O20" s="747"/>
      <c r="P20" s="747"/>
      <c r="Q20" s="754"/>
      <c r="R20" s="754"/>
      <c r="S20" s="756"/>
      <c r="T20" s="757" t="e">
        <f>VLOOKUP(Q20,[71]Listas!$D$6:$E$10,2,0)</f>
        <v>#N/A</v>
      </c>
      <c r="U20" s="757" t="e">
        <f>HLOOKUP(R20,[71]Listas!$F$4:$J$5,2,0)</f>
        <v>#N/A</v>
      </c>
      <c r="V20" s="758" t="e">
        <f>INDEX([71]Listas!$F$6:$J$10,MATCH(Q20,[71]Listas!$D$6:$D$10,0),MATCH(R20,[71]Listas!$F$4:$J$4,0))</f>
        <v>#N/A</v>
      </c>
      <c r="W20" s="756"/>
      <c r="X20" s="1605"/>
      <c r="Y20" s="1607"/>
      <c r="Z20" s="1606"/>
      <c r="AA20" s="1086"/>
      <c r="AB20" s="755"/>
      <c r="AC20" s="749"/>
      <c r="AD20" s="747"/>
      <c r="AE20" s="755"/>
      <c r="AF20" s="756"/>
      <c r="AG20" s="757">
        <f>IF(AD20&lt;=33,0,IF(AD20&gt;81,2,1))</f>
        <v>0</v>
      </c>
      <c r="AH20" s="759" t="e">
        <f>IF(OR(AE20="Probabilidad",AE20="Ambos"),T20-AG20,T20)</f>
        <v>#N/A</v>
      </c>
      <c r="AI20" s="760" t="e">
        <f>IF(AH20&lt;=1,"Remota",VLOOKUP(AH20,[71]Listas!$C$6:$D$10,2,0))</f>
        <v>#N/A</v>
      </c>
      <c r="AJ20" s="759" t="e">
        <f>IF(OR(AE20="Impacto",AE20="Ambos"),U20-AG20,U20)</f>
        <v>#N/A</v>
      </c>
      <c r="AK20" s="760" t="e">
        <f>IF(AJ20&lt;=1,"Insignificante",HLOOKUP(AJ20,[71]Listas!$F$3:$J$4,2,0))</f>
        <v>#N/A</v>
      </c>
      <c r="AL20" s="761" t="e">
        <f>AH20*AJ20</f>
        <v>#N/A</v>
      </c>
      <c r="AM20" s="758" t="e">
        <f>INDEX([71]Listas!$F$6:$J$10,MATCH(AI20,[71]Listas!$D$6:$D$10,0),MATCH(AK20,[71]Listas!$F$4:$J$4,0))</f>
        <v>#N/A</v>
      </c>
      <c r="AN20" s="749"/>
      <c r="AO20" s="749"/>
      <c r="AP20" s="748"/>
      <c r="AQ20" s="749"/>
      <c r="AR20" s="749" t="s">
        <v>2343</v>
      </c>
      <c r="AS20" s="747"/>
      <c r="AT20" s="749"/>
      <c r="AU20" s="749"/>
      <c r="AV20" s="762"/>
      <c r="AW20" s="762"/>
      <c r="AX20" s="747"/>
      <c r="AY20" s="262"/>
    </row>
    <row r="21" spans="1:51" s="260" customFormat="1" ht="103.5" hidden="1" customHeight="1">
      <c r="A21" s="747"/>
      <c r="B21" s="754"/>
      <c r="C21" s="1605"/>
      <c r="D21" s="1607"/>
      <c r="E21" s="1606"/>
      <c r="F21" s="754"/>
      <c r="G21" s="1605"/>
      <c r="H21" s="1607"/>
      <c r="I21" s="1606"/>
      <c r="J21" s="1608"/>
      <c r="K21" s="1608"/>
      <c r="L21" s="1608"/>
      <c r="M21" s="747"/>
      <c r="N21" s="747"/>
      <c r="O21" s="747"/>
      <c r="P21" s="747"/>
      <c r="Q21" s="754"/>
      <c r="R21" s="754"/>
      <c r="S21" s="756"/>
      <c r="T21" s="757" t="e">
        <f>VLOOKUP(Q21,[71]Listas!$D$6:$E$10,2,0)</f>
        <v>#N/A</v>
      </c>
      <c r="U21" s="757" t="e">
        <f>HLOOKUP(R21,[71]Listas!$F$4:$J$5,2,0)</f>
        <v>#N/A</v>
      </c>
      <c r="V21" s="758" t="e">
        <f>INDEX([71]Listas!$F$6:$J$10,MATCH(Q21,[71]Listas!$D$6:$D$10,0),MATCH(R21,[71]Listas!$F$4:$J$4,0))</f>
        <v>#N/A</v>
      </c>
      <c r="W21" s="756"/>
      <c r="X21" s="1605"/>
      <c r="Y21" s="1607"/>
      <c r="Z21" s="1606"/>
      <c r="AA21" s="1086"/>
      <c r="AB21" s="755"/>
      <c r="AC21" s="749"/>
      <c r="AD21" s="747"/>
      <c r="AE21" s="755"/>
      <c r="AF21" s="756"/>
      <c r="AG21" s="757">
        <f>IF(AD21&lt;=33,0,IF(AD21&gt;81,2,1))</f>
        <v>0</v>
      </c>
      <c r="AH21" s="759" t="e">
        <f>IF(OR(AE21="Probabilidad",AE21="Ambos"),T21-AG21,T21)</f>
        <v>#N/A</v>
      </c>
      <c r="AI21" s="760" t="e">
        <f>IF(AH21&lt;=1,"Remota",VLOOKUP(AH21,[71]Listas!$C$6:$D$10,2,0))</f>
        <v>#N/A</v>
      </c>
      <c r="AJ21" s="759" t="e">
        <f>IF(OR(AE21="Impacto",AE21="Ambos"),U21-AG21,U21)</f>
        <v>#N/A</v>
      </c>
      <c r="AK21" s="760" t="e">
        <f>IF(AJ21&lt;=1,"Insignificante",HLOOKUP(AJ21,[71]Listas!$F$3:$J$4,2,0))</f>
        <v>#N/A</v>
      </c>
      <c r="AL21" s="761" t="e">
        <f>AH21*AJ21</f>
        <v>#N/A</v>
      </c>
      <c r="AM21" s="758" t="e">
        <f>INDEX([71]Listas!$F$6:$J$10,MATCH(AI21,[71]Listas!$D$6:$D$10,0),MATCH(AK21,[71]Listas!$F$4:$J$4,0))</f>
        <v>#N/A</v>
      </c>
      <c r="AN21" s="749"/>
      <c r="AO21" s="749"/>
      <c r="AP21" s="748"/>
      <c r="AQ21" s="749"/>
      <c r="AR21" s="749" t="s">
        <v>2343</v>
      </c>
      <c r="AS21" s="747"/>
      <c r="AT21" s="763"/>
      <c r="AU21" s="749"/>
      <c r="AV21" s="762"/>
      <c r="AW21" s="762"/>
      <c r="AX21" s="747"/>
      <c r="AY21" s="262"/>
    </row>
    <row r="22" spans="1:51" s="260" customFormat="1" ht="103.5" hidden="1" customHeight="1">
      <c r="A22" s="747"/>
      <c r="B22" s="754"/>
      <c r="C22" s="1605"/>
      <c r="D22" s="1607"/>
      <c r="E22" s="1606"/>
      <c r="F22" s="755"/>
      <c r="G22" s="1605"/>
      <c r="H22" s="1607"/>
      <c r="I22" s="1606"/>
      <c r="J22" s="1608"/>
      <c r="K22" s="1608"/>
      <c r="L22" s="1608"/>
      <c r="M22" s="747"/>
      <c r="N22" s="747"/>
      <c r="O22" s="747"/>
      <c r="P22" s="747"/>
      <c r="Q22" s="754"/>
      <c r="R22" s="754"/>
      <c r="S22" s="756"/>
      <c r="T22" s="757" t="e">
        <f>VLOOKUP(Q22,[71]Listas!$D$6:$E$10,2,0)</f>
        <v>#N/A</v>
      </c>
      <c r="U22" s="757" t="e">
        <f>HLOOKUP(R22,[71]Listas!$F$4:$J$5,2,0)</f>
        <v>#N/A</v>
      </c>
      <c r="V22" s="758" t="e">
        <f>INDEX([71]Listas!$F$6:$J$10,MATCH(Q22,[71]Listas!$D$6:$D$10,0),MATCH(R22,[71]Listas!$F$4:$J$4,0))</f>
        <v>#N/A</v>
      </c>
      <c r="W22" s="756"/>
      <c r="X22" s="1605"/>
      <c r="Y22" s="1607"/>
      <c r="Z22" s="1606"/>
      <c r="AA22" s="1086"/>
      <c r="AB22" s="755"/>
      <c r="AC22" s="749"/>
      <c r="AD22" s="747"/>
      <c r="AE22" s="755"/>
      <c r="AF22" s="756"/>
      <c r="AG22" s="757">
        <f t="shared" ref="AG22:AG42" si="4">IF(AD22&lt;=33,0,IF(AD22&gt;81,2,1))</f>
        <v>0</v>
      </c>
      <c r="AH22" s="759" t="e">
        <f t="shared" ref="AH22:AH42" si="5">IF(OR(AE22="Probabilidad",AE22="Ambos"),T22-AG22,T22)</f>
        <v>#N/A</v>
      </c>
      <c r="AI22" s="760" t="e">
        <f>IF(AH22&lt;=1,"Remota",VLOOKUP(AH22,[71]Listas!$C$6:$D$10,2,0))</f>
        <v>#N/A</v>
      </c>
      <c r="AJ22" s="759" t="e">
        <f t="shared" ref="AJ22:AJ42" si="6">IF(OR(AE22="Impacto",AE22="Ambos"),U22-AG22,U22)</f>
        <v>#N/A</v>
      </c>
      <c r="AK22" s="760" t="e">
        <f>IF(AJ22&lt;=1,"Insignificante",HLOOKUP(AJ22,[71]Listas!$F$3:$J$4,2,0))</f>
        <v>#N/A</v>
      </c>
      <c r="AL22" s="761" t="e">
        <f t="shared" ref="AL22:AL42" si="7">AH22*AJ22</f>
        <v>#N/A</v>
      </c>
      <c r="AM22" s="758" t="e">
        <f>INDEX([71]Listas!$F$6:$J$10,MATCH(AI22,[71]Listas!$D$6:$D$10,0),MATCH(AK22,[71]Listas!$F$4:$J$4,0))</f>
        <v>#N/A</v>
      </c>
      <c r="AN22" s="749"/>
      <c r="AO22" s="749"/>
      <c r="AP22" s="748"/>
      <c r="AQ22" s="749"/>
      <c r="AR22" s="749" t="s">
        <v>2343</v>
      </c>
      <c r="AS22" s="747"/>
      <c r="AT22" s="749"/>
      <c r="AU22" s="749"/>
      <c r="AV22" s="762"/>
      <c r="AW22" s="762"/>
      <c r="AX22" s="747"/>
      <c r="AY22" s="262"/>
    </row>
    <row r="23" spans="1:51" s="260" customFormat="1" ht="103.5" hidden="1" customHeight="1">
      <c r="A23" s="747"/>
      <c r="B23" s="754"/>
      <c r="C23" s="1605"/>
      <c r="D23" s="1607"/>
      <c r="E23" s="1606"/>
      <c r="F23" s="755"/>
      <c r="G23" s="1605"/>
      <c r="H23" s="1607"/>
      <c r="I23" s="1606"/>
      <c r="J23" s="1608"/>
      <c r="K23" s="1608"/>
      <c r="L23" s="1608"/>
      <c r="M23" s="747"/>
      <c r="N23" s="747"/>
      <c r="O23" s="747"/>
      <c r="P23" s="747"/>
      <c r="Q23" s="754"/>
      <c r="R23" s="754"/>
      <c r="S23" s="756"/>
      <c r="T23" s="757" t="e">
        <f>VLOOKUP(Q23,[71]Listas!$D$6:$E$10,2,0)</f>
        <v>#N/A</v>
      </c>
      <c r="U23" s="757" t="e">
        <f>HLOOKUP(R23,[71]Listas!$F$4:$J$5,2,0)</f>
        <v>#N/A</v>
      </c>
      <c r="V23" s="758" t="e">
        <f>INDEX([71]Listas!$F$6:$J$10,MATCH(Q23,[71]Listas!$D$6:$D$10,0),MATCH(R23,[71]Listas!$F$4:$J$4,0))</f>
        <v>#N/A</v>
      </c>
      <c r="W23" s="756"/>
      <c r="X23" s="1605"/>
      <c r="Y23" s="1607"/>
      <c r="Z23" s="1606"/>
      <c r="AA23" s="1086"/>
      <c r="AB23" s="755"/>
      <c r="AC23" s="749"/>
      <c r="AD23" s="747"/>
      <c r="AE23" s="755"/>
      <c r="AF23" s="756"/>
      <c r="AG23" s="757">
        <f t="shared" si="4"/>
        <v>0</v>
      </c>
      <c r="AH23" s="759" t="e">
        <f t="shared" si="5"/>
        <v>#N/A</v>
      </c>
      <c r="AI23" s="760" t="e">
        <f>IF(AH23&lt;=1,"Remota",VLOOKUP(AH23,[71]Listas!$C$6:$D$10,2,0))</f>
        <v>#N/A</v>
      </c>
      <c r="AJ23" s="759" t="e">
        <f t="shared" si="6"/>
        <v>#N/A</v>
      </c>
      <c r="AK23" s="760" t="e">
        <f>IF(AJ23&lt;=1,"Insignificante",HLOOKUP(AJ23,[71]Listas!$F$3:$J$4,2,0))</f>
        <v>#N/A</v>
      </c>
      <c r="AL23" s="761" t="e">
        <f t="shared" si="7"/>
        <v>#N/A</v>
      </c>
      <c r="AM23" s="758" t="e">
        <f>INDEX([71]Listas!$F$6:$J$10,MATCH(AI23,[71]Listas!$D$6:$D$10,0),MATCH(AK23,[71]Listas!$F$4:$J$4,0))</f>
        <v>#N/A</v>
      </c>
      <c r="AN23" s="749"/>
      <c r="AO23" s="749"/>
      <c r="AP23" s="748"/>
      <c r="AQ23" s="749"/>
      <c r="AR23" s="749" t="s">
        <v>2343</v>
      </c>
      <c r="AS23" s="747"/>
      <c r="AT23" s="749"/>
      <c r="AU23" s="749"/>
      <c r="AV23" s="762"/>
      <c r="AW23" s="762"/>
      <c r="AX23" s="747"/>
      <c r="AY23" s="262"/>
    </row>
    <row r="24" spans="1:51" s="260" customFormat="1" ht="103.5" hidden="1" customHeight="1">
      <c r="A24" s="747"/>
      <c r="B24" s="754"/>
      <c r="C24" s="1605"/>
      <c r="D24" s="1607"/>
      <c r="E24" s="1606"/>
      <c r="F24" s="755"/>
      <c r="G24" s="1605"/>
      <c r="H24" s="1607"/>
      <c r="I24" s="1606"/>
      <c r="J24" s="1608"/>
      <c r="K24" s="1608"/>
      <c r="L24" s="1608"/>
      <c r="M24" s="747"/>
      <c r="N24" s="747"/>
      <c r="O24" s="747"/>
      <c r="P24" s="747"/>
      <c r="Q24" s="754"/>
      <c r="R24" s="754"/>
      <c r="S24" s="756"/>
      <c r="T24" s="757" t="e">
        <f>VLOOKUP(Q24,[71]Listas!$D$6:$E$10,2,0)</f>
        <v>#N/A</v>
      </c>
      <c r="U24" s="757" t="e">
        <f>HLOOKUP(R24,[71]Listas!$F$4:$J$5,2,0)</f>
        <v>#N/A</v>
      </c>
      <c r="V24" s="758" t="e">
        <f>INDEX([71]Listas!$F$6:$J$10,MATCH(Q24,[71]Listas!$D$6:$D$10,0),MATCH(R24,[71]Listas!$F$4:$J$4,0))</f>
        <v>#N/A</v>
      </c>
      <c r="W24" s="756"/>
      <c r="X24" s="1605"/>
      <c r="Y24" s="1607"/>
      <c r="Z24" s="1606"/>
      <c r="AA24" s="1086"/>
      <c r="AB24" s="755"/>
      <c r="AC24" s="749"/>
      <c r="AD24" s="747"/>
      <c r="AE24" s="755"/>
      <c r="AF24" s="756"/>
      <c r="AG24" s="757">
        <f t="shared" si="4"/>
        <v>0</v>
      </c>
      <c r="AH24" s="759" t="e">
        <f t="shared" si="5"/>
        <v>#N/A</v>
      </c>
      <c r="AI24" s="760" t="e">
        <f>IF(AH24&lt;=1,"Remota",VLOOKUP(AH24,[71]Listas!$C$6:$D$10,2,0))</f>
        <v>#N/A</v>
      </c>
      <c r="AJ24" s="759" t="e">
        <f t="shared" si="6"/>
        <v>#N/A</v>
      </c>
      <c r="AK24" s="760" t="e">
        <f>IF(AJ24&lt;=1,"Insignificante",HLOOKUP(AJ24,[71]Listas!$F$3:$J$4,2,0))</f>
        <v>#N/A</v>
      </c>
      <c r="AL24" s="761" t="e">
        <f t="shared" si="7"/>
        <v>#N/A</v>
      </c>
      <c r="AM24" s="758" t="e">
        <f>INDEX([71]Listas!$F$6:$J$10,MATCH(AI24,[71]Listas!$D$6:$D$10,0),MATCH(AK24,[71]Listas!$F$4:$J$4,0))</f>
        <v>#N/A</v>
      </c>
      <c r="AN24" s="749"/>
      <c r="AO24" s="749"/>
      <c r="AP24" s="748"/>
      <c r="AQ24" s="749"/>
      <c r="AR24" s="749" t="s">
        <v>2343</v>
      </c>
      <c r="AS24" s="747"/>
      <c r="AT24" s="749"/>
      <c r="AU24" s="749"/>
      <c r="AV24" s="762"/>
      <c r="AW24" s="762"/>
      <c r="AX24" s="747"/>
      <c r="AY24" s="262"/>
    </row>
    <row r="25" spans="1:51" s="260" customFormat="1" ht="103.5" hidden="1" customHeight="1">
      <c r="A25" s="747"/>
      <c r="B25" s="754"/>
      <c r="C25" s="1605"/>
      <c r="D25" s="1607"/>
      <c r="E25" s="1606"/>
      <c r="F25" s="755"/>
      <c r="G25" s="1605"/>
      <c r="H25" s="1607"/>
      <c r="I25" s="1606"/>
      <c r="J25" s="1608"/>
      <c r="K25" s="1608"/>
      <c r="L25" s="1608"/>
      <c r="M25" s="747"/>
      <c r="N25" s="747"/>
      <c r="O25" s="747"/>
      <c r="P25" s="747"/>
      <c r="Q25" s="754"/>
      <c r="R25" s="754"/>
      <c r="S25" s="756"/>
      <c r="T25" s="757" t="e">
        <f>VLOOKUP(Q25,[71]Listas!$D$6:$E$10,2,0)</f>
        <v>#N/A</v>
      </c>
      <c r="U25" s="757" t="e">
        <f>HLOOKUP(R25,[71]Listas!$F$4:$J$5,2,0)</f>
        <v>#N/A</v>
      </c>
      <c r="V25" s="758" t="e">
        <f>INDEX([71]Listas!$F$6:$J$10,MATCH(Q25,[71]Listas!$D$6:$D$10,0),MATCH(R25,[71]Listas!$F$4:$J$4,0))</f>
        <v>#N/A</v>
      </c>
      <c r="W25" s="756"/>
      <c r="X25" s="1605"/>
      <c r="Y25" s="1607"/>
      <c r="Z25" s="1606"/>
      <c r="AA25" s="1086"/>
      <c r="AB25" s="755"/>
      <c r="AC25" s="749"/>
      <c r="AD25" s="747"/>
      <c r="AE25" s="755"/>
      <c r="AF25" s="756"/>
      <c r="AG25" s="757">
        <f t="shared" si="4"/>
        <v>0</v>
      </c>
      <c r="AH25" s="759" t="e">
        <f t="shared" si="5"/>
        <v>#N/A</v>
      </c>
      <c r="AI25" s="760" t="e">
        <f>IF(AH25&lt;=1,"Remota",VLOOKUP(AH25,[71]Listas!$C$6:$D$10,2,0))</f>
        <v>#N/A</v>
      </c>
      <c r="AJ25" s="759" t="e">
        <f t="shared" si="6"/>
        <v>#N/A</v>
      </c>
      <c r="AK25" s="760" t="e">
        <f>IF(AJ25&lt;=1,"Insignificante",HLOOKUP(AJ25,[71]Listas!$F$3:$J$4,2,0))</f>
        <v>#N/A</v>
      </c>
      <c r="AL25" s="761" t="e">
        <f t="shared" si="7"/>
        <v>#N/A</v>
      </c>
      <c r="AM25" s="758" t="e">
        <f>INDEX([71]Listas!$F$6:$J$10,MATCH(AI25,[71]Listas!$D$6:$D$10,0),MATCH(AK25,[71]Listas!$F$4:$J$4,0))</f>
        <v>#N/A</v>
      </c>
      <c r="AN25" s="749"/>
      <c r="AO25" s="749"/>
      <c r="AP25" s="748"/>
      <c r="AQ25" s="749"/>
      <c r="AR25" s="749" t="s">
        <v>2343</v>
      </c>
      <c r="AS25" s="747"/>
      <c r="AT25" s="749"/>
      <c r="AU25" s="749"/>
      <c r="AV25" s="762"/>
      <c r="AW25" s="762"/>
      <c r="AX25" s="747"/>
      <c r="AY25" s="262"/>
    </row>
    <row r="26" spans="1:51" s="260" customFormat="1" ht="103.5" hidden="1" customHeight="1">
      <c r="A26" s="747"/>
      <c r="B26" s="754"/>
      <c r="C26" s="1605"/>
      <c r="D26" s="1607"/>
      <c r="E26" s="1606"/>
      <c r="F26" s="755"/>
      <c r="G26" s="1605"/>
      <c r="H26" s="1607"/>
      <c r="I26" s="1606"/>
      <c r="J26" s="1608"/>
      <c r="K26" s="1608"/>
      <c r="L26" s="1608"/>
      <c r="M26" s="747"/>
      <c r="N26" s="747"/>
      <c r="O26" s="747"/>
      <c r="P26" s="747"/>
      <c r="Q26" s="754"/>
      <c r="R26" s="754"/>
      <c r="S26" s="756"/>
      <c r="T26" s="757" t="e">
        <f>VLOOKUP(Q26,[71]Listas!$D$6:$E$10,2,0)</f>
        <v>#N/A</v>
      </c>
      <c r="U26" s="757" t="e">
        <f>HLOOKUP(R26,[71]Listas!$F$4:$J$5,2,0)</f>
        <v>#N/A</v>
      </c>
      <c r="V26" s="758" t="e">
        <f>INDEX([71]Listas!$F$6:$J$10,MATCH(Q26,[71]Listas!$D$6:$D$10,0),MATCH(R26,[71]Listas!$F$4:$J$4,0))</f>
        <v>#N/A</v>
      </c>
      <c r="W26" s="756"/>
      <c r="X26" s="1605"/>
      <c r="Y26" s="1607"/>
      <c r="Z26" s="1606"/>
      <c r="AA26" s="1086"/>
      <c r="AB26" s="755"/>
      <c r="AC26" s="749"/>
      <c r="AD26" s="747"/>
      <c r="AE26" s="755"/>
      <c r="AF26" s="756"/>
      <c r="AG26" s="757">
        <f t="shared" si="4"/>
        <v>0</v>
      </c>
      <c r="AH26" s="759" t="e">
        <f t="shared" si="5"/>
        <v>#N/A</v>
      </c>
      <c r="AI26" s="760" t="e">
        <f>IF(AH26&lt;=1,"Remota",VLOOKUP(AH26,[71]Listas!$C$6:$D$10,2,0))</f>
        <v>#N/A</v>
      </c>
      <c r="AJ26" s="759" t="e">
        <f t="shared" si="6"/>
        <v>#N/A</v>
      </c>
      <c r="AK26" s="760" t="e">
        <f>IF(AJ26&lt;=1,"Insignificante",HLOOKUP(AJ26,[71]Listas!$F$3:$J$4,2,0))</f>
        <v>#N/A</v>
      </c>
      <c r="AL26" s="761" t="e">
        <f t="shared" si="7"/>
        <v>#N/A</v>
      </c>
      <c r="AM26" s="758" t="e">
        <f>INDEX([71]Listas!$F$6:$J$10,MATCH(AI26,[71]Listas!$D$6:$D$10,0),MATCH(AK26,[71]Listas!$F$4:$J$4,0))</f>
        <v>#N/A</v>
      </c>
      <c r="AN26" s="749"/>
      <c r="AO26" s="749"/>
      <c r="AP26" s="748"/>
      <c r="AQ26" s="749"/>
      <c r="AR26" s="749" t="s">
        <v>2343</v>
      </c>
      <c r="AS26" s="747"/>
      <c r="AT26" s="749"/>
      <c r="AU26" s="749"/>
      <c r="AV26" s="762"/>
      <c r="AW26" s="762"/>
      <c r="AX26" s="747"/>
      <c r="AY26" s="262"/>
    </row>
    <row r="27" spans="1:51" s="260" customFormat="1" ht="103.5" hidden="1" customHeight="1">
      <c r="A27" s="747"/>
      <c r="B27" s="754"/>
      <c r="C27" s="1605"/>
      <c r="D27" s="1607"/>
      <c r="E27" s="1606"/>
      <c r="F27" s="755"/>
      <c r="G27" s="1605"/>
      <c r="H27" s="1607"/>
      <c r="I27" s="1606"/>
      <c r="J27" s="1608"/>
      <c r="K27" s="1608"/>
      <c r="L27" s="1608"/>
      <c r="M27" s="747"/>
      <c r="N27" s="747"/>
      <c r="O27" s="747"/>
      <c r="P27" s="747"/>
      <c r="Q27" s="754"/>
      <c r="R27" s="754"/>
      <c r="S27" s="756"/>
      <c r="T27" s="757" t="e">
        <f>VLOOKUP(Q27,[71]Listas!$D$6:$E$10,2,0)</f>
        <v>#N/A</v>
      </c>
      <c r="U27" s="757" t="e">
        <f>HLOOKUP(R27,[71]Listas!$F$4:$J$5,2,0)</f>
        <v>#N/A</v>
      </c>
      <c r="V27" s="758" t="e">
        <f>INDEX([71]Listas!$F$6:$J$10,MATCH(Q27,[71]Listas!$D$6:$D$10,0),MATCH(R27,[71]Listas!$F$4:$J$4,0))</f>
        <v>#N/A</v>
      </c>
      <c r="W27" s="756"/>
      <c r="X27" s="1605"/>
      <c r="Y27" s="1607"/>
      <c r="Z27" s="1606"/>
      <c r="AA27" s="1086"/>
      <c r="AB27" s="755"/>
      <c r="AC27" s="749"/>
      <c r="AD27" s="747"/>
      <c r="AE27" s="755"/>
      <c r="AF27" s="756"/>
      <c r="AG27" s="757">
        <f t="shared" si="4"/>
        <v>0</v>
      </c>
      <c r="AH27" s="759" t="e">
        <f t="shared" si="5"/>
        <v>#N/A</v>
      </c>
      <c r="AI27" s="760" t="e">
        <f>IF(AH27&lt;=1,"Remota",VLOOKUP(AH27,[71]Listas!$C$6:$D$10,2,0))</f>
        <v>#N/A</v>
      </c>
      <c r="AJ27" s="759" t="e">
        <f t="shared" si="6"/>
        <v>#N/A</v>
      </c>
      <c r="AK27" s="760" t="e">
        <f>IF(AJ27&lt;=1,"Insignificante",HLOOKUP(AJ27,[71]Listas!$F$3:$J$4,2,0))</f>
        <v>#N/A</v>
      </c>
      <c r="AL27" s="761" t="e">
        <f t="shared" si="7"/>
        <v>#N/A</v>
      </c>
      <c r="AM27" s="758" t="e">
        <f>INDEX([71]Listas!$F$6:$J$10,MATCH(AI27,[71]Listas!$D$6:$D$10,0),MATCH(AK27,[71]Listas!$F$4:$J$4,0))</f>
        <v>#N/A</v>
      </c>
      <c r="AN27" s="749"/>
      <c r="AO27" s="749"/>
      <c r="AP27" s="748"/>
      <c r="AQ27" s="749"/>
      <c r="AR27" s="749" t="s">
        <v>2343</v>
      </c>
      <c r="AS27" s="747"/>
      <c r="AT27" s="749"/>
      <c r="AU27" s="749"/>
      <c r="AV27" s="762"/>
      <c r="AW27" s="762"/>
      <c r="AX27" s="747"/>
      <c r="AY27" s="262"/>
    </row>
    <row r="28" spans="1:51" s="260" customFormat="1" ht="103.5" hidden="1" customHeight="1">
      <c r="A28" s="747"/>
      <c r="B28" s="754"/>
      <c r="C28" s="1605"/>
      <c r="D28" s="1607"/>
      <c r="E28" s="1606"/>
      <c r="F28" s="755"/>
      <c r="G28" s="1605"/>
      <c r="H28" s="1607"/>
      <c r="I28" s="1606"/>
      <c r="J28" s="1608"/>
      <c r="K28" s="1608"/>
      <c r="L28" s="1608"/>
      <c r="M28" s="747"/>
      <c r="N28" s="747"/>
      <c r="O28" s="747"/>
      <c r="P28" s="747"/>
      <c r="Q28" s="754"/>
      <c r="R28" s="754"/>
      <c r="S28" s="756"/>
      <c r="T28" s="757" t="e">
        <f>VLOOKUP(Q28,[71]Listas!$D$6:$E$10,2,0)</f>
        <v>#N/A</v>
      </c>
      <c r="U28" s="757" t="e">
        <f>HLOOKUP(R28,[71]Listas!$F$4:$J$5,2,0)</f>
        <v>#N/A</v>
      </c>
      <c r="V28" s="758" t="e">
        <f>INDEX([71]Listas!$F$6:$J$10,MATCH(Q28,[71]Listas!$D$6:$D$10,0),MATCH(R28,[71]Listas!$F$4:$J$4,0))</f>
        <v>#N/A</v>
      </c>
      <c r="W28" s="756"/>
      <c r="X28" s="1605"/>
      <c r="Y28" s="1607"/>
      <c r="Z28" s="1606"/>
      <c r="AA28" s="1086"/>
      <c r="AB28" s="755"/>
      <c r="AC28" s="749"/>
      <c r="AD28" s="747"/>
      <c r="AE28" s="755"/>
      <c r="AF28" s="756"/>
      <c r="AG28" s="757">
        <f t="shared" si="4"/>
        <v>0</v>
      </c>
      <c r="AH28" s="759" t="e">
        <f t="shared" si="5"/>
        <v>#N/A</v>
      </c>
      <c r="AI28" s="760" t="e">
        <f>IF(AH28&lt;=1,"Remota",VLOOKUP(AH28,[71]Listas!$C$6:$D$10,2,0))</f>
        <v>#N/A</v>
      </c>
      <c r="AJ28" s="759" t="e">
        <f t="shared" si="6"/>
        <v>#N/A</v>
      </c>
      <c r="AK28" s="760" t="e">
        <f>IF(AJ28&lt;=1,"Insignificante",HLOOKUP(AJ28,[71]Listas!$F$3:$J$4,2,0))</f>
        <v>#N/A</v>
      </c>
      <c r="AL28" s="761" t="e">
        <f t="shared" si="7"/>
        <v>#N/A</v>
      </c>
      <c r="AM28" s="758" t="e">
        <f>INDEX([71]Listas!$F$6:$J$10,MATCH(AI28,[71]Listas!$D$6:$D$10,0),MATCH(AK28,[71]Listas!$F$4:$J$4,0))</f>
        <v>#N/A</v>
      </c>
      <c r="AN28" s="749"/>
      <c r="AO28" s="749"/>
      <c r="AP28" s="748"/>
      <c r="AQ28" s="749"/>
      <c r="AR28" s="749" t="s">
        <v>2343</v>
      </c>
      <c r="AS28" s="747"/>
      <c r="AT28" s="749"/>
      <c r="AU28" s="749"/>
      <c r="AV28" s="762"/>
      <c r="AW28" s="762"/>
      <c r="AX28" s="747"/>
      <c r="AY28" s="262"/>
    </row>
    <row r="29" spans="1:51" s="260" customFormat="1" ht="103.5" hidden="1" customHeight="1">
      <c r="A29" s="747"/>
      <c r="B29" s="754"/>
      <c r="C29" s="1605"/>
      <c r="D29" s="1607"/>
      <c r="E29" s="1606"/>
      <c r="F29" s="755"/>
      <c r="G29" s="1605"/>
      <c r="H29" s="1607"/>
      <c r="I29" s="1606"/>
      <c r="J29" s="1608"/>
      <c r="K29" s="1608"/>
      <c r="L29" s="1608"/>
      <c r="M29" s="747"/>
      <c r="N29" s="747"/>
      <c r="O29" s="747"/>
      <c r="P29" s="747"/>
      <c r="Q29" s="754"/>
      <c r="R29" s="754"/>
      <c r="S29" s="756"/>
      <c r="T29" s="757" t="e">
        <f>VLOOKUP(Q29,[71]Listas!$D$6:$E$10,2,0)</f>
        <v>#N/A</v>
      </c>
      <c r="U29" s="757" t="e">
        <f>HLOOKUP(R29,[71]Listas!$F$4:$J$5,2,0)</f>
        <v>#N/A</v>
      </c>
      <c r="V29" s="758" t="e">
        <f>INDEX([71]Listas!$F$6:$J$10,MATCH(Q29,[71]Listas!$D$6:$D$10,0),MATCH(R29,[71]Listas!$F$4:$J$4,0))</f>
        <v>#N/A</v>
      </c>
      <c r="W29" s="756"/>
      <c r="X29" s="1605"/>
      <c r="Y29" s="1607"/>
      <c r="Z29" s="1606"/>
      <c r="AA29" s="1086"/>
      <c r="AB29" s="755"/>
      <c r="AC29" s="749"/>
      <c r="AD29" s="747"/>
      <c r="AE29" s="755"/>
      <c r="AF29" s="756"/>
      <c r="AG29" s="757">
        <f t="shared" si="4"/>
        <v>0</v>
      </c>
      <c r="AH29" s="759" t="e">
        <f t="shared" si="5"/>
        <v>#N/A</v>
      </c>
      <c r="AI29" s="760" t="e">
        <f>IF(AH29&lt;=1,"Remota",VLOOKUP(AH29,[71]Listas!$C$6:$D$10,2,0))</f>
        <v>#N/A</v>
      </c>
      <c r="AJ29" s="759" t="e">
        <f t="shared" si="6"/>
        <v>#N/A</v>
      </c>
      <c r="AK29" s="760" t="e">
        <f>IF(AJ29&lt;=1,"Insignificante",HLOOKUP(AJ29,[71]Listas!$F$3:$J$4,2,0))</f>
        <v>#N/A</v>
      </c>
      <c r="AL29" s="761" t="e">
        <f t="shared" si="7"/>
        <v>#N/A</v>
      </c>
      <c r="AM29" s="758" t="e">
        <f>INDEX([71]Listas!$F$6:$J$10,MATCH(AI29,[71]Listas!$D$6:$D$10,0),MATCH(AK29,[71]Listas!$F$4:$J$4,0))</f>
        <v>#N/A</v>
      </c>
      <c r="AN29" s="749"/>
      <c r="AO29" s="749"/>
      <c r="AP29" s="748"/>
      <c r="AQ29" s="749"/>
      <c r="AR29" s="749" t="s">
        <v>2343</v>
      </c>
      <c r="AS29" s="747"/>
      <c r="AT29" s="749"/>
      <c r="AU29" s="749"/>
      <c r="AV29" s="762"/>
      <c r="AW29" s="762"/>
      <c r="AX29" s="747"/>
      <c r="AY29" s="262"/>
    </row>
    <row r="30" spans="1:51" s="260" customFormat="1" ht="103.5" hidden="1" customHeight="1">
      <c r="A30" s="747"/>
      <c r="B30" s="754"/>
      <c r="C30" s="1605"/>
      <c r="D30" s="1607"/>
      <c r="E30" s="1606"/>
      <c r="F30" s="755"/>
      <c r="G30" s="1605"/>
      <c r="H30" s="1607"/>
      <c r="I30" s="1606"/>
      <c r="J30" s="1608"/>
      <c r="K30" s="1608"/>
      <c r="L30" s="1608"/>
      <c r="M30" s="747"/>
      <c r="N30" s="747"/>
      <c r="O30" s="747"/>
      <c r="P30" s="747"/>
      <c r="Q30" s="754"/>
      <c r="R30" s="754"/>
      <c r="S30" s="756"/>
      <c r="T30" s="757" t="e">
        <f>VLOOKUP(Q30,[71]Listas!$D$6:$E$10,2,0)</f>
        <v>#N/A</v>
      </c>
      <c r="U30" s="757" t="e">
        <f>HLOOKUP(R30,[71]Listas!$F$4:$J$5,2,0)</f>
        <v>#N/A</v>
      </c>
      <c r="V30" s="758" t="e">
        <f>INDEX([71]Listas!$F$6:$J$10,MATCH(Q30,[71]Listas!$D$6:$D$10,0),MATCH(R30,[71]Listas!$F$4:$J$4,0))</f>
        <v>#N/A</v>
      </c>
      <c r="W30" s="756"/>
      <c r="X30" s="1605"/>
      <c r="Y30" s="1607"/>
      <c r="Z30" s="1606"/>
      <c r="AA30" s="1086"/>
      <c r="AB30" s="755"/>
      <c r="AC30" s="749"/>
      <c r="AD30" s="747"/>
      <c r="AE30" s="755"/>
      <c r="AF30" s="756"/>
      <c r="AG30" s="757">
        <f t="shared" si="4"/>
        <v>0</v>
      </c>
      <c r="AH30" s="759" t="e">
        <f t="shared" si="5"/>
        <v>#N/A</v>
      </c>
      <c r="AI30" s="760" t="e">
        <f>IF(AH30&lt;=1,"Remota",VLOOKUP(AH30,[71]Listas!$C$6:$D$10,2,0))</f>
        <v>#N/A</v>
      </c>
      <c r="AJ30" s="759" t="e">
        <f t="shared" si="6"/>
        <v>#N/A</v>
      </c>
      <c r="AK30" s="760" t="e">
        <f>IF(AJ30&lt;=1,"Insignificante",HLOOKUP(AJ30,[71]Listas!$F$3:$J$4,2,0))</f>
        <v>#N/A</v>
      </c>
      <c r="AL30" s="761" t="e">
        <f t="shared" si="7"/>
        <v>#N/A</v>
      </c>
      <c r="AM30" s="758" t="e">
        <f>INDEX([71]Listas!$F$6:$J$10,MATCH(AI30,[71]Listas!$D$6:$D$10,0),MATCH(AK30,[71]Listas!$F$4:$J$4,0))</f>
        <v>#N/A</v>
      </c>
      <c r="AN30" s="749"/>
      <c r="AO30" s="749"/>
      <c r="AP30" s="748"/>
      <c r="AQ30" s="749"/>
      <c r="AR30" s="749" t="s">
        <v>2343</v>
      </c>
      <c r="AS30" s="747"/>
      <c r="AT30" s="749"/>
      <c r="AU30" s="749"/>
      <c r="AV30" s="762"/>
      <c r="AW30" s="762"/>
      <c r="AX30" s="747"/>
      <c r="AY30" s="262"/>
    </row>
    <row r="31" spans="1:51" s="260" customFormat="1" ht="103.5" hidden="1" customHeight="1">
      <c r="A31" s="747"/>
      <c r="B31" s="754"/>
      <c r="C31" s="1605"/>
      <c r="D31" s="1607"/>
      <c r="E31" s="1606"/>
      <c r="F31" s="755"/>
      <c r="G31" s="1605"/>
      <c r="H31" s="1607"/>
      <c r="I31" s="1606"/>
      <c r="J31" s="1608"/>
      <c r="K31" s="1608"/>
      <c r="L31" s="1608"/>
      <c r="M31" s="747"/>
      <c r="N31" s="747"/>
      <c r="O31" s="747"/>
      <c r="P31" s="747"/>
      <c r="Q31" s="754"/>
      <c r="R31" s="754"/>
      <c r="S31" s="756"/>
      <c r="T31" s="757" t="e">
        <f>VLOOKUP(Q31,[71]Listas!$D$6:$E$10,2,0)</f>
        <v>#N/A</v>
      </c>
      <c r="U31" s="757" t="e">
        <f>HLOOKUP(R31,[71]Listas!$F$4:$J$5,2,0)</f>
        <v>#N/A</v>
      </c>
      <c r="V31" s="758" t="e">
        <f>INDEX([71]Listas!$F$6:$J$10,MATCH(Q31,[71]Listas!$D$6:$D$10,0),MATCH(R31,[71]Listas!$F$4:$J$4,0))</f>
        <v>#N/A</v>
      </c>
      <c r="W31" s="756"/>
      <c r="X31" s="1605"/>
      <c r="Y31" s="1607"/>
      <c r="Z31" s="1606"/>
      <c r="AA31" s="1086"/>
      <c r="AB31" s="755"/>
      <c r="AC31" s="749"/>
      <c r="AD31" s="747"/>
      <c r="AE31" s="755"/>
      <c r="AF31" s="756"/>
      <c r="AG31" s="757">
        <f>IF(AD31&lt;=33,0,IF(AD31&gt;81,2,1))</f>
        <v>0</v>
      </c>
      <c r="AH31" s="759" t="e">
        <f>IF(OR(AE31="Probabilidad",AE31="Ambos"),T31-AG31,T31)</f>
        <v>#N/A</v>
      </c>
      <c r="AI31" s="760" t="e">
        <f>IF(AH31&lt;=1,"Remota",VLOOKUP(AH31,[71]Listas!$C$6:$D$10,2,0))</f>
        <v>#N/A</v>
      </c>
      <c r="AJ31" s="759" t="e">
        <f>IF(OR(AE31="Impacto",AE31="Ambos"),U31-AG31,U31)</f>
        <v>#N/A</v>
      </c>
      <c r="AK31" s="760" t="e">
        <f>IF(AJ31&lt;=1,"Insignificante",HLOOKUP(AJ31,[71]Listas!$F$3:$J$4,2,0))</f>
        <v>#N/A</v>
      </c>
      <c r="AL31" s="761" t="e">
        <f>AH31*AJ31</f>
        <v>#N/A</v>
      </c>
      <c r="AM31" s="758" t="e">
        <f>INDEX([71]Listas!$F$6:$J$10,MATCH(AI31,[71]Listas!$D$6:$D$10,0),MATCH(AK31,[71]Listas!$F$4:$J$4,0))</f>
        <v>#N/A</v>
      </c>
      <c r="AN31" s="749"/>
      <c r="AO31" s="749"/>
      <c r="AP31" s="748"/>
      <c r="AQ31" s="749"/>
      <c r="AR31" s="749" t="s">
        <v>2343</v>
      </c>
      <c r="AS31" s="747"/>
      <c r="AT31" s="749"/>
      <c r="AU31" s="749"/>
      <c r="AV31" s="762"/>
      <c r="AW31" s="762"/>
      <c r="AX31" s="747"/>
      <c r="AY31" s="262"/>
    </row>
    <row r="32" spans="1:51" s="260" customFormat="1" ht="103.5" hidden="1" customHeight="1">
      <c r="A32" s="747"/>
      <c r="B32" s="754"/>
      <c r="C32" s="1605"/>
      <c r="D32" s="1607"/>
      <c r="E32" s="1606"/>
      <c r="F32" s="755"/>
      <c r="G32" s="1605"/>
      <c r="H32" s="1607"/>
      <c r="I32" s="1606"/>
      <c r="J32" s="1608"/>
      <c r="K32" s="1608"/>
      <c r="L32" s="1608"/>
      <c r="M32" s="747"/>
      <c r="N32" s="747"/>
      <c r="O32" s="747"/>
      <c r="P32" s="747"/>
      <c r="Q32" s="754"/>
      <c r="R32" s="754"/>
      <c r="S32" s="756"/>
      <c r="T32" s="757" t="e">
        <f>VLOOKUP(Q32,[71]Listas!$D$6:$E$10,2,0)</f>
        <v>#N/A</v>
      </c>
      <c r="U32" s="757" t="e">
        <f>HLOOKUP(R32,[71]Listas!$F$4:$J$5,2,0)</f>
        <v>#N/A</v>
      </c>
      <c r="V32" s="758" t="e">
        <f>INDEX([71]Listas!$F$6:$J$10,MATCH(Q32,[71]Listas!$D$6:$D$10,0),MATCH(R32,[71]Listas!$F$4:$J$4,0))</f>
        <v>#N/A</v>
      </c>
      <c r="W32" s="756"/>
      <c r="X32" s="1605"/>
      <c r="Y32" s="1607"/>
      <c r="Z32" s="1606"/>
      <c r="AA32" s="1086"/>
      <c r="AB32" s="755"/>
      <c r="AC32" s="749"/>
      <c r="AD32" s="747"/>
      <c r="AE32" s="755"/>
      <c r="AF32" s="756"/>
      <c r="AG32" s="757">
        <f t="shared" si="4"/>
        <v>0</v>
      </c>
      <c r="AH32" s="759" t="e">
        <f t="shared" si="5"/>
        <v>#N/A</v>
      </c>
      <c r="AI32" s="760" t="e">
        <f>IF(AH32&lt;=1,"Remota",VLOOKUP(AH32,[71]Listas!$C$6:$D$10,2,0))</f>
        <v>#N/A</v>
      </c>
      <c r="AJ32" s="759" t="e">
        <f t="shared" si="6"/>
        <v>#N/A</v>
      </c>
      <c r="AK32" s="760" t="e">
        <f>IF(AJ32&lt;=1,"Insignificante",HLOOKUP(AJ32,[71]Listas!$F$3:$J$4,2,0))</f>
        <v>#N/A</v>
      </c>
      <c r="AL32" s="761" t="e">
        <f t="shared" si="7"/>
        <v>#N/A</v>
      </c>
      <c r="AM32" s="758" t="e">
        <f>INDEX([71]Listas!$F$6:$J$10,MATCH(AI32,[71]Listas!$D$6:$D$10,0),MATCH(AK32,[71]Listas!$F$4:$J$4,0))</f>
        <v>#N/A</v>
      </c>
      <c r="AN32" s="749"/>
      <c r="AO32" s="749"/>
      <c r="AP32" s="748"/>
      <c r="AQ32" s="749"/>
      <c r="AR32" s="749" t="s">
        <v>2343</v>
      </c>
      <c r="AS32" s="747"/>
      <c r="AT32" s="749"/>
      <c r="AU32" s="749"/>
      <c r="AV32" s="762"/>
      <c r="AW32" s="762"/>
      <c r="AX32" s="747"/>
      <c r="AY32" s="262"/>
    </row>
    <row r="33" spans="1:51" s="260" customFormat="1" ht="103.5" hidden="1" customHeight="1">
      <c r="A33" s="747"/>
      <c r="B33" s="754"/>
      <c r="C33" s="1605"/>
      <c r="D33" s="1607"/>
      <c r="E33" s="1606"/>
      <c r="F33" s="755"/>
      <c r="G33" s="1605"/>
      <c r="H33" s="1607"/>
      <c r="I33" s="1606"/>
      <c r="J33" s="1608"/>
      <c r="K33" s="1608"/>
      <c r="L33" s="1608"/>
      <c r="M33" s="747"/>
      <c r="N33" s="747"/>
      <c r="O33" s="747"/>
      <c r="P33" s="747"/>
      <c r="Q33" s="754"/>
      <c r="R33" s="754"/>
      <c r="S33" s="756"/>
      <c r="T33" s="757" t="e">
        <f>VLOOKUP(Q33,[71]Listas!$D$6:$E$10,2,0)</f>
        <v>#N/A</v>
      </c>
      <c r="U33" s="757" t="e">
        <f>HLOOKUP(R33,[71]Listas!$F$4:$J$5,2,0)</f>
        <v>#N/A</v>
      </c>
      <c r="V33" s="758" t="e">
        <f>INDEX([71]Listas!$F$6:$J$10,MATCH(Q33,[71]Listas!$D$6:$D$10,0),MATCH(R33,[71]Listas!$F$4:$J$4,0))</f>
        <v>#N/A</v>
      </c>
      <c r="W33" s="756"/>
      <c r="X33" s="1605"/>
      <c r="Y33" s="1607"/>
      <c r="Z33" s="1606"/>
      <c r="AA33" s="1086"/>
      <c r="AB33" s="755"/>
      <c r="AC33" s="749"/>
      <c r="AD33" s="747"/>
      <c r="AE33" s="755"/>
      <c r="AF33" s="756"/>
      <c r="AG33" s="757">
        <f t="shared" si="4"/>
        <v>0</v>
      </c>
      <c r="AH33" s="759" t="e">
        <f t="shared" si="5"/>
        <v>#N/A</v>
      </c>
      <c r="AI33" s="760" t="e">
        <f>IF(AH33&lt;=1,"Remota",VLOOKUP(AH33,[71]Listas!$C$6:$D$10,2,0))</f>
        <v>#N/A</v>
      </c>
      <c r="AJ33" s="759" t="e">
        <f t="shared" si="6"/>
        <v>#N/A</v>
      </c>
      <c r="AK33" s="760" t="e">
        <f>IF(AJ33&lt;=1,"Insignificante",HLOOKUP(AJ33,[71]Listas!$F$3:$J$4,2,0))</f>
        <v>#N/A</v>
      </c>
      <c r="AL33" s="761" t="e">
        <f t="shared" si="7"/>
        <v>#N/A</v>
      </c>
      <c r="AM33" s="758" t="e">
        <f>INDEX([71]Listas!$F$6:$J$10,MATCH(AI33,[71]Listas!$D$6:$D$10,0),MATCH(AK33,[71]Listas!$F$4:$J$4,0))</f>
        <v>#N/A</v>
      </c>
      <c r="AN33" s="749"/>
      <c r="AO33" s="749"/>
      <c r="AP33" s="748"/>
      <c r="AQ33" s="749"/>
      <c r="AR33" s="749" t="s">
        <v>2343</v>
      </c>
      <c r="AS33" s="747"/>
      <c r="AT33" s="749"/>
      <c r="AU33" s="749"/>
      <c r="AV33" s="762"/>
      <c r="AW33" s="762"/>
      <c r="AX33" s="747"/>
      <c r="AY33" s="262"/>
    </row>
    <row r="34" spans="1:51" s="260" customFormat="1" ht="103.5" hidden="1" customHeight="1">
      <c r="A34" s="747"/>
      <c r="B34" s="754"/>
      <c r="C34" s="1605"/>
      <c r="D34" s="1607"/>
      <c r="E34" s="1606"/>
      <c r="F34" s="755"/>
      <c r="G34" s="1605"/>
      <c r="H34" s="1607"/>
      <c r="I34" s="1606"/>
      <c r="J34" s="1608"/>
      <c r="K34" s="1608"/>
      <c r="L34" s="1608"/>
      <c r="M34" s="747"/>
      <c r="N34" s="747"/>
      <c r="O34" s="747"/>
      <c r="P34" s="747"/>
      <c r="Q34" s="754"/>
      <c r="R34" s="754"/>
      <c r="S34" s="756"/>
      <c r="T34" s="757" t="e">
        <f>VLOOKUP(Q34,[71]Listas!$D$6:$E$10,2,0)</f>
        <v>#N/A</v>
      </c>
      <c r="U34" s="757" t="e">
        <f>HLOOKUP(R34,[71]Listas!$F$4:$J$5,2,0)</f>
        <v>#N/A</v>
      </c>
      <c r="V34" s="758" t="e">
        <f>INDEX([71]Listas!$F$6:$J$10,MATCH(Q34,[71]Listas!$D$6:$D$10,0),MATCH(R34,[71]Listas!$F$4:$J$4,0))</f>
        <v>#N/A</v>
      </c>
      <c r="W34" s="756"/>
      <c r="X34" s="1605"/>
      <c r="Y34" s="1607"/>
      <c r="Z34" s="1606"/>
      <c r="AA34" s="1086"/>
      <c r="AB34" s="755"/>
      <c r="AC34" s="749"/>
      <c r="AD34" s="747"/>
      <c r="AE34" s="755"/>
      <c r="AF34" s="756"/>
      <c r="AG34" s="757">
        <f t="shared" si="4"/>
        <v>0</v>
      </c>
      <c r="AH34" s="759" t="e">
        <f t="shared" si="5"/>
        <v>#N/A</v>
      </c>
      <c r="AI34" s="760" t="e">
        <f>IF(AH34&lt;=1,"Remota",VLOOKUP(AH34,[71]Listas!$C$6:$D$10,2,0))</f>
        <v>#N/A</v>
      </c>
      <c r="AJ34" s="759" t="e">
        <f t="shared" si="6"/>
        <v>#N/A</v>
      </c>
      <c r="AK34" s="760" t="e">
        <f>IF(AJ34&lt;=1,"Insignificante",HLOOKUP(AJ34,[71]Listas!$F$3:$J$4,2,0))</f>
        <v>#N/A</v>
      </c>
      <c r="AL34" s="761" t="e">
        <f t="shared" si="7"/>
        <v>#N/A</v>
      </c>
      <c r="AM34" s="758" t="e">
        <f>INDEX([71]Listas!$F$6:$J$10,MATCH(AI34,[71]Listas!$D$6:$D$10,0),MATCH(AK34,[71]Listas!$F$4:$J$4,0))</f>
        <v>#N/A</v>
      </c>
      <c r="AN34" s="749"/>
      <c r="AO34" s="749"/>
      <c r="AP34" s="748"/>
      <c r="AQ34" s="749"/>
      <c r="AR34" s="749" t="s">
        <v>2343</v>
      </c>
      <c r="AS34" s="747"/>
      <c r="AT34" s="749"/>
      <c r="AU34" s="749"/>
      <c r="AV34" s="762"/>
      <c r="AW34" s="762"/>
      <c r="AX34" s="747"/>
      <c r="AY34" s="262"/>
    </row>
    <row r="35" spans="1:51" s="260" customFormat="1" ht="103.5" hidden="1" customHeight="1">
      <c r="A35" s="747"/>
      <c r="B35" s="754"/>
      <c r="C35" s="1605"/>
      <c r="D35" s="1607"/>
      <c r="E35" s="1606"/>
      <c r="F35" s="755"/>
      <c r="G35" s="1605"/>
      <c r="H35" s="1607"/>
      <c r="I35" s="1606"/>
      <c r="J35" s="1608"/>
      <c r="K35" s="1608"/>
      <c r="L35" s="1608"/>
      <c r="M35" s="747"/>
      <c r="N35" s="747"/>
      <c r="O35" s="747"/>
      <c r="P35" s="747"/>
      <c r="Q35" s="754"/>
      <c r="R35" s="754"/>
      <c r="S35" s="756"/>
      <c r="T35" s="757" t="e">
        <f>VLOOKUP(Q35,[71]Listas!$D$6:$E$10,2,0)</f>
        <v>#N/A</v>
      </c>
      <c r="U35" s="757" t="e">
        <f>HLOOKUP(R35,[71]Listas!$F$4:$J$5,2,0)</f>
        <v>#N/A</v>
      </c>
      <c r="V35" s="758" t="e">
        <f>INDEX([71]Listas!$F$6:$J$10,MATCH(Q35,[71]Listas!$D$6:$D$10,0),MATCH(R35,[71]Listas!$F$4:$J$4,0))</f>
        <v>#N/A</v>
      </c>
      <c r="W35" s="756"/>
      <c r="X35" s="1605"/>
      <c r="Y35" s="1607"/>
      <c r="Z35" s="1606"/>
      <c r="AA35" s="1086"/>
      <c r="AB35" s="755"/>
      <c r="AC35" s="749"/>
      <c r="AD35" s="747"/>
      <c r="AE35" s="755"/>
      <c r="AF35" s="756"/>
      <c r="AG35" s="757">
        <f t="shared" si="4"/>
        <v>0</v>
      </c>
      <c r="AH35" s="759" t="e">
        <f t="shared" si="5"/>
        <v>#N/A</v>
      </c>
      <c r="AI35" s="760" t="e">
        <f>IF(AH35&lt;=1,"Remota",VLOOKUP(AH35,[71]Listas!$C$6:$D$10,2,0))</f>
        <v>#N/A</v>
      </c>
      <c r="AJ35" s="759" t="e">
        <f t="shared" si="6"/>
        <v>#N/A</v>
      </c>
      <c r="AK35" s="760" t="e">
        <f>IF(AJ35&lt;=1,"Insignificante",HLOOKUP(AJ35,[71]Listas!$F$3:$J$4,2,0))</f>
        <v>#N/A</v>
      </c>
      <c r="AL35" s="761" t="e">
        <f t="shared" si="7"/>
        <v>#N/A</v>
      </c>
      <c r="AM35" s="758" t="e">
        <f>INDEX([71]Listas!$F$6:$J$10,MATCH(AI35,[71]Listas!$D$6:$D$10,0),MATCH(AK35,[71]Listas!$F$4:$J$4,0))</f>
        <v>#N/A</v>
      </c>
      <c r="AN35" s="749"/>
      <c r="AO35" s="749"/>
      <c r="AP35" s="748"/>
      <c r="AQ35" s="749"/>
      <c r="AR35" s="749" t="s">
        <v>2343</v>
      </c>
      <c r="AS35" s="747"/>
      <c r="AT35" s="749"/>
      <c r="AU35" s="749"/>
      <c r="AV35" s="762"/>
      <c r="AW35" s="762"/>
      <c r="AX35" s="747"/>
      <c r="AY35" s="262"/>
    </row>
    <row r="36" spans="1:51" s="260" customFormat="1" ht="103.5" hidden="1" customHeight="1">
      <c r="A36" s="747"/>
      <c r="B36" s="754"/>
      <c r="C36" s="1605"/>
      <c r="D36" s="1607"/>
      <c r="E36" s="1606"/>
      <c r="F36" s="755"/>
      <c r="G36" s="1605"/>
      <c r="H36" s="1607"/>
      <c r="I36" s="1606"/>
      <c r="J36" s="1608"/>
      <c r="K36" s="1608"/>
      <c r="L36" s="1608"/>
      <c r="M36" s="747"/>
      <c r="N36" s="747"/>
      <c r="O36" s="747"/>
      <c r="P36" s="747"/>
      <c r="Q36" s="754"/>
      <c r="R36" s="754"/>
      <c r="S36" s="756"/>
      <c r="T36" s="757" t="e">
        <f>VLOOKUP(Q36,[71]Listas!$D$6:$E$10,2,0)</f>
        <v>#N/A</v>
      </c>
      <c r="U36" s="757" t="e">
        <f>HLOOKUP(R36,[71]Listas!$F$4:$J$5,2,0)</f>
        <v>#N/A</v>
      </c>
      <c r="V36" s="758" t="e">
        <f>INDEX([71]Listas!$F$6:$J$10,MATCH(Q36,[71]Listas!$D$6:$D$10,0),MATCH(R36,[71]Listas!$F$4:$J$4,0))</f>
        <v>#N/A</v>
      </c>
      <c r="W36" s="756"/>
      <c r="X36" s="1605"/>
      <c r="Y36" s="1607"/>
      <c r="Z36" s="1606"/>
      <c r="AA36" s="1086"/>
      <c r="AB36" s="755"/>
      <c r="AC36" s="749"/>
      <c r="AD36" s="747"/>
      <c r="AE36" s="755"/>
      <c r="AF36" s="756"/>
      <c r="AG36" s="757">
        <f t="shared" si="4"/>
        <v>0</v>
      </c>
      <c r="AH36" s="759" t="e">
        <f t="shared" si="5"/>
        <v>#N/A</v>
      </c>
      <c r="AI36" s="760" t="e">
        <f>IF(AH36&lt;=1,"Remota",VLOOKUP(AH36,[71]Listas!$C$6:$D$10,2,0))</f>
        <v>#N/A</v>
      </c>
      <c r="AJ36" s="759" t="e">
        <f t="shared" si="6"/>
        <v>#N/A</v>
      </c>
      <c r="AK36" s="760" t="e">
        <f>IF(AJ36&lt;=1,"Insignificante",HLOOKUP(AJ36,[71]Listas!$F$3:$J$4,2,0))</f>
        <v>#N/A</v>
      </c>
      <c r="AL36" s="761" t="e">
        <f t="shared" si="7"/>
        <v>#N/A</v>
      </c>
      <c r="AM36" s="758" t="e">
        <f>INDEX([71]Listas!$F$6:$J$10,MATCH(AI36,[71]Listas!$D$6:$D$10,0),MATCH(AK36,[71]Listas!$F$4:$J$4,0))</f>
        <v>#N/A</v>
      </c>
      <c r="AN36" s="749"/>
      <c r="AO36" s="749"/>
      <c r="AP36" s="748"/>
      <c r="AQ36" s="749"/>
      <c r="AR36" s="749" t="s">
        <v>2343</v>
      </c>
      <c r="AS36" s="747"/>
      <c r="AT36" s="749"/>
      <c r="AU36" s="749"/>
      <c r="AV36" s="762"/>
      <c r="AW36" s="762"/>
      <c r="AX36" s="747"/>
      <c r="AY36" s="262"/>
    </row>
    <row r="37" spans="1:51" s="260" customFormat="1" ht="103.5" hidden="1" customHeight="1">
      <c r="A37" s="747"/>
      <c r="B37" s="754"/>
      <c r="C37" s="1605"/>
      <c r="D37" s="1607"/>
      <c r="E37" s="1606"/>
      <c r="F37" s="755"/>
      <c r="G37" s="1605"/>
      <c r="H37" s="1607"/>
      <c r="I37" s="1606"/>
      <c r="J37" s="1608"/>
      <c r="K37" s="1608"/>
      <c r="L37" s="1608"/>
      <c r="M37" s="747"/>
      <c r="N37" s="747"/>
      <c r="O37" s="747"/>
      <c r="P37" s="747"/>
      <c r="Q37" s="754"/>
      <c r="R37" s="754"/>
      <c r="S37" s="756"/>
      <c r="T37" s="757" t="e">
        <f>VLOOKUP(Q37,[71]Listas!$D$6:$E$10,2,0)</f>
        <v>#N/A</v>
      </c>
      <c r="U37" s="757" t="e">
        <f>HLOOKUP(R37,[71]Listas!$F$4:$J$5,2,0)</f>
        <v>#N/A</v>
      </c>
      <c r="V37" s="758" t="e">
        <f>INDEX([71]Listas!$F$6:$J$10,MATCH(Q37,[71]Listas!$D$6:$D$10,0),MATCH(R37,[71]Listas!$F$4:$J$4,0))</f>
        <v>#N/A</v>
      </c>
      <c r="W37" s="756"/>
      <c r="X37" s="1605"/>
      <c r="Y37" s="1607"/>
      <c r="Z37" s="1606"/>
      <c r="AA37" s="1086"/>
      <c r="AB37" s="755"/>
      <c r="AC37" s="749"/>
      <c r="AD37" s="747"/>
      <c r="AE37" s="755"/>
      <c r="AF37" s="756"/>
      <c r="AG37" s="757">
        <f t="shared" si="4"/>
        <v>0</v>
      </c>
      <c r="AH37" s="759" t="e">
        <f t="shared" si="5"/>
        <v>#N/A</v>
      </c>
      <c r="AI37" s="760" t="e">
        <f>IF(AH37&lt;=1,"Remota",VLOOKUP(AH37,[71]Listas!$C$6:$D$10,2,0))</f>
        <v>#N/A</v>
      </c>
      <c r="AJ37" s="759" t="e">
        <f t="shared" si="6"/>
        <v>#N/A</v>
      </c>
      <c r="AK37" s="760" t="e">
        <f>IF(AJ37&lt;=1,"Insignificante",HLOOKUP(AJ37,[71]Listas!$F$3:$J$4,2,0))</f>
        <v>#N/A</v>
      </c>
      <c r="AL37" s="761" t="e">
        <f t="shared" si="7"/>
        <v>#N/A</v>
      </c>
      <c r="AM37" s="758" t="e">
        <f>INDEX([71]Listas!$F$6:$J$10,MATCH(AI37,[71]Listas!$D$6:$D$10,0),MATCH(AK37,[71]Listas!$F$4:$J$4,0))</f>
        <v>#N/A</v>
      </c>
      <c r="AN37" s="749"/>
      <c r="AO37" s="749"/>
      <c r="AP37" s="748"/>
      <c r="AQ37" s="749"/>
      <c r="AR37" s="749" t="s">
        <v>2343</v>
      </c>
      <c r="AS37" s="747"/>
      <c r="AT37" s="749"/>
      <c r="AU37" s="749"/>
      <c r="AV37" s="762"/>
      <c r="AW37" s="762"/>
      <c r="AX37" s="747"/>
      <c r="AY37" s="262"/>
    </row>
    <row r="38" spans="1:51" s="260" customFormat="1" ht="103.5" hidden="1" customHeight="1">
      <c r="A38" s="747"/>
      <c r="B38" s="754"/>
      <c r="C38" s="1605"/>
      <c r="D38" s="1607"/>
      <c r="E38" s="1606"/>
      <c r="F38" s="755"/>
      <c r="G38" s="1605"/>
      <c r="H38" s="1607"/>
      <c r="I38" s="1606"/>
      <c r="J38" s="1608"/>
      <c r="K38" s="1608"/>
      <c r="L38" s="1608"/>
      <c r="M38" s="747"/>
      <c r="N38" s="747"/>
      <c r="O38" s="747"/>
      <c r="P38" s="747"/>
      <c r="Q38" s="754"/>
      <c r="R38" s="754"/>
      <c r="S38" s="756"/>
      <c r="T38" s="757" t="e">
        <f>VLOOKUP(Q38,[71]Listas!$D$6:$E$10,2,0)</f>
        <v>#N/A</v>
      </c>
      <c r="U38" s="757" t="e">
        <f>HLOOKUP(R38,[71]Listas!$F$4:$J$5,2,0)</f>
        <v>#N/A</v>
      </c>
      <c r="V38" s="758" t="e">
        <f>INDEX([71]Listas!$F$6:$J$10,MATCH(Q38,[71]Listas!$D$6:$D$10,0),MATCH(R38,[71]Listas!$F$4:$J$4,0))</f>
        <v>#N/A</v>
      </c>
      <c r="W38" s="756"/>
      <c r="X38" s="1605"/>
      <c r="Y38" s="1607"/>
      <c r="Z38" s="1606"/>
      <c r="AA38" s="1086"/>
      <c r="AB38" s="755"/>
      <c r="AC38" s="749"/>
      <c r="AD38" s="747"/>
      <c r="AE38" s="755"/>
      <c r="AF38" s="756"/>
      <c r="AG38" s="757">
        <f t="shared" si="4"/>
        <v>0</v>
      </c>
      <c r="AH38" s="759" t="e">
        <f t="shared" si="5"/>
        <v>#N/A</v>
      </c>
      <c r="AI38" s="760" t="e">
        <f>IF(AH38&lt;=1,"Remota",VLOOKUP(AH38,[71]Listas!$C$6:$D$10,2,0))</f>
        <v>#N/A</v>
      </c>
      <c r="AJ38" s="759" t="e">
        <f t="shared" si="6"/>
        <v>#N/A</v>
      </c>
      <c r="AK38" s="760" t="e">
        <f>IF(AJ38&lt;=1,"Insignificante",HLOOKUP(AJ38,[71]Listas!$F$3:$J$4,2,0))</f>
        <v>#N/A</v>
      </c>
      <c r="AL38" s="761" t="e">
        <f t="shared" si="7"/>
        <v>#N/A</v>
      </c>
      <c r="AM38" s="758" t="e">
        <f>INDEX([71]Listas!$F$6:$J$10,MATCH(AI38,[71]Listas!$D$6:$D$10,0),MATCH(AK38,[71]Listas!$F$4:$J$4,0))</f>
        <v>#N/A</v>
      </c>
      <c r="AN38" s="749"/>
      <c r="AO38" s="749"/>
      <c r="AP38" s="748"/>
      <c r="AQ38" s="749"/>
      <c r="AR38" s="749" t="s">
        <v>2343</v>
      </c>
      <c r="AS38" s="747"/>
      <c r="AT38" s="749"/>
      <c r="AU38" s="749"/>
      <c r="AV38" s="762"/>
      <c r="AW38" s="762"/>
      <c r="AX38" s="747"/>
      <c r="AY38" s="262"/>
    </row>
    <row r="39" spans="1:51" s="260" customFormat="1" ht="103.5" hidden="1" customHeight="1">
      <c r="A39" s="747"/>
      <c r="B39" s="754"/>
      <c r="C39" s="1605"/>
      <c r="D39" s="1607"/>
      <c r="E39" s="1606"/>
      <c r="F39" s="755"/>
      <c r="G39" s="1605"/>
      <c r="H39" s="1607"/>
      <c r="I39" s="1606"/>
      <c r="J39" s="1608"/>
      <c r="K39" s="1608"/>
      <c r="L39" s="1608"/>
      <c r="M39" s="747"/>
      <c r="N39" s="747"/>
      <c r="O39" s="747"/>
      <c r="P39" s="747"/>
      <c r="Q39" s="754"/>
      <c r="R39" s="754"/>
      <c r="S39" s="756"/>
      <c r="T39" s="757" t="e">
        <f>VLOOKUP(Q39,[71]Listas!$D$6:$E$10,2,0)</f>
        <v>#N/A</v>
      </c>
      <c r="U39" s="757" t="e">
        <f>HLOOKUP(R39,[71]Listas!$F$4:$J$5,2,0)</f>
        <v>#N/A</v>
      </c>
      <c r="V39" s="758" t="e">
        <f>INDEX([71]Listas!$F$6:$J$10,MATCH(Q39,[71]Listas!$D$6:$D$10,0),MATCH(R39,[71]Listas!$F$4:$J$4,0))</f>
        <v>#N/A</v>
      </c>
      <c r="W39" s="756"/>
      <c r="X39" s="1605"/>
      <c r="Y39" s="1607"/>
      <c r="Z39" s="1606"/>
      <c r="AA39" s="1086"/>
      <c r="AB39" s="755"/>
      <c r="AC39" s="749"/>
      <c r="AD39" s="747"/>
      <c r="AE39" s="755"/>
      <c r="AF39" s="756"/>
      <c r="AG39" s="757">
        <f t="shared" si="4"/>
        <v>0</v>
      </c>
      <c r="AH39" s="759" t="e">
        <f t="shared" si="5"/>
        <v>#N/A</v>
      </c>
      <c r="AI39" s="760" t="e">
        <f>IF(AH39&lt;=1,"Remota",VLOOKUP(AH39,[71]Listas!$C$6:$D$10,2,0))</f>
        <v>#N/A</v>
      </c>
      <c r="AJ39" s="759" t="e">
        <f t="shared" si="6"/>
        <v>#N/A</v>
      </c>
      <c r="AK39" s="760" t="e">
        <f>IF(AJ39&lt;=1,"Insignificante",HLOOKUP(AJ39,[71]Listas!$F$3:$J$4,2,0))</f>
        <v>#N/A</v>
      </c>
      <c r="AL39" s="761" t="e">
        <f t="shared" si="7"/>
        <v>#N/A</v>
      </c>
      <c r="AM39" s="758" t="e">
        <f>INDEX([71]Listas!$F$6:$J$10,MATCH(AI39,[71]Listas!$D$6:$D$10,0),MATCH(AK39,[71]Listas!$F$4:$J$4,0))</f>
        <v>#N/A</v>
      </c>
      <c r="AN39" s="749"/>
      <c r="AO39" s="749"/>
      <c r="AP39" s="748"/>
      <c r="AQ39" s="749"/>
      <c r="AR39" s="749" t="s">
        <v>2343</v>
      </c>
      <c r="AS39" s="747"/>
      <c r="AT39" s="749"/>
      <c r="AU39" s="749"/>
      <c r="AV39" s="762"/>
      <c r="AW39" s="762"/>
      <c r="AX39" s="747"/>
      <c r="AY39" s="262"/>
    </row>
    <row r="40" spans="1:51" s="260" customFormat="1" ht="103.5" hidden="1" customHeight="1">
      <c r="A40" s="747"/>
      <c r="B40" s="754"/>
      <c r="C40" s="1605"/>
      <c r="D40" s="1607"/>
      <c r="E40" s="1606"/>
      <c r="F40" s="755"/>
      <c r="G40" s="1605"/>
      <c r="H40" s="1607"/>
      <c r="I40" s="1606"/>
      <c r="J40" s="1608"/>
      <c r="K40" s="1608"/>
      <c r="L40" s="1608"/>
      <c r="M40" s="747"/>
      <c r="N40" s="747"/>
      <c r="O40" s="747"/>
      <c r="P40" s="747"/>
      <c r="Q40" s="754"/>
      <c r="R40" s="754"/>
      <c r="S40" s="756"/>
      <c r="T40" s="757" t="e">
        <f>VLOOKUP(Q40,[71]Listas!$D$6:$E$10,2,0)</f>
        <v>#N/A</v>
      </c>
      <c r="U40" s="757" t="e">
        <f>HLOOKUP(R40,[71]Listas!$F$4:$J$5,2,0)</f>
        <v>#N/A</v>
      </c>
      <c r="V40" s="758" t="e">
        <f>INDEX([71]Listas!$F$6:$J$10,MATCH(Q40,[71]Listas!$D$6:$D$10,0),MATCH(R40,[71]Listas!$F$4:$J$4,0))</f>
        <v>#N/A</v>
      </c>
      <c r="W40" s="756"/>
      <c r="X40" s="1605"/>
      <c r="Y40" s="1607"/>
      <c r="Z40" s="1606"/>
      <c r="AA40" s="1086"/>
      <c r="AB40" s="755"/>
      <c r="AC40" s="749"/>
      <c r="AD40" s="747"/>
      <c r="AE40" s="755"/>
      <c r="AF40" s="756"/>
      <c r="AG40" s="757">
        <f t="shared" si="4"/>
        <v>0</v>
      </c>
      <c r="AH40" s="759" t="e">
        <f t="shared" si="5"/>
        <v>#N/A</v>
      </c>
      <c r="AI40" s="760" t="e">
        <f>IF(AH40&lt;=1,"Remota",VLOOKUP(AH40,[71]Listas!$C$6:$D$10,2,0))</f>
        <v>#N/A</v>
      </c>
      <c r="AJ40" s="759" t="e">
        <f t="shared" si="6"/>
        <v>#N/A</v>
      </c>
      <c r="AK40" s="760" t="e">
        <f>IF(AJ40&lt;=1,"Insignificante",HLOOKUP(AJ40,[71]Listas!$F$3:$J$4,2,0))</f>
        <v>#N/A</v>
      </c>
      <c r="AL40" s="761" t="e">
        <f t="shared" si="7"/>
        <v>#N/A</v>
      </c>
      <c r="AM40" s="758" t="e">
        <f>INDEX([71]Listas!$F$6:$J$10,MATCH(AI40,[71]Listas!$D$6:$D$10,0),MATCH(AK40,[71]Listas!$F$4:$J$4,0))</f>
        <v>#N/A</v>
      </c>
      <c r="AN40" s="749"/>
      <c r="AO40" s="749"/>
      <c r="AP40" s="748"/>
      <c r="AQ40" s="749"/>
      <c r="AR40" s="749" t="s">
        <v>2343</v>
      </c>
      <c r="AS40" s="747"/>
      <c r="AT40" s="749"/>
      <c r="AU40" s="749"/>
      <c r="AV40" s="762"/>
      <c r="AW40" s="762"/>
      <c r="AX40" s="747"/>
      <c r="AY40" s="262"/>
    </row>
    <row r="41" spans="1:51" s="260" customFormat="1" ht="103.5" hidden="1" customHeight="1">
      <c r="A41" s="747"/>
      <c r="B41" s="754"/>
      <c r="C41" s="1605"/>
      <c r="D41" s="1607"/>
      <c r="E41" s="1606"/>
      <c r="F41" s="755"/>
      <c r="G41" s="1605"/>
      <c r="H41" s="1607"/>
      <c r="I41" s="1606"/>
      <c r="J41" s="1608"/>
      <c r="K41" s="1608"/>
      <c r="L41" s="1608"/>
      <c r="M41" s="747"/>
      <c r="N41" s="747"/>
      <c r="O41" s="747"/>
      <c r="P41" s="747"/>
      <c r="Q41" s="754"/>
      <c r="R41" s="754"/>
      <c r="S41" s="756"/>
      <c r="T41" s="757" t="e">
        <f>VLOOKUP(Q41,[71]Listas!$D$6:$E$10,2,0)</f>
        <v>#N/A</v>
      </c>
      <c r="U41" s="757" t="e">
        <f>HLOOKUP(R41,[71]Listas!$F$4:$J$5,2,0)</f>
        <v>#N/A</v>
      </c>
      <c r="V41" s="758" t="e">
        <f>INDEX([71]Listas!$F$6:$J$10,MATCH(Q41,[71]Listas!$D$6:$D$10,0),MATCH(R41,[71]Listas!$F$4:$J$4,0))</f>
        <v>#N/A</v>
      </c>
      <c r="W41" s="756"/>
      <c r="X41" s="1605"/>
      <c r="Y41" s="1607"/>
      <c r="Z41" s="1606"/>
      <c r="AA41" s="1086"/>
      <c r="AB41" s="755"/>
      <c r="AC41" s="749"/>
      <c r="AD41" s="747"/>
      <c r="AE41" s="755"/>
      <c r="AF41" s="756"/>
      <c r="AG41" s="757">
        <f t="shared" si="4"/>
        <v>0</v>
      </c>
      <c r="AH41" s="759" t="e">
        <f t="shared" si="5"/>
        <v>#N/A</v>
      </c>
      <c r="AI41" s="760" t="e">
        <f>IF(AH41&lt;=1,"Remota",VLOOKUP(AH41,[71]Listas!$C$6:$D$10,2,0))</f>
        <v>#N/A</v>
      </c>
      <c r="AJ41" s="759" t="e">
        <f t="shared" si="6"/>
        <v>#N/A</v>
      </c>
      <c r="AK41" s="760" t="e">
        <f>IF(AJ41&lt;=1,"Insignificante",HLOOKUP(AJ41,[71]Listas!$F$3:$J$4,2,0))</f>
        <v>#N/A</v>
      </c>
      <c r="AL41" s="761" t="e">
        <f t="shared" si="7"/>
        <v>#N/A</v>
      </c>
      <c r="AM41" s="758" t="e">
        <f>INDEX([71]Listas!$F$6:$J$10,MATCH(AI41,[71]Listas!$D$6:$D$10,0),MATCH(AK41,[71]Listas!$F$4:$J$4,0))</f>
        <v>#N/A</v>
      </c>
      <c r="AN41" s="749"/>
      <c r="AO41" s="749"/>
      <c r="AP41" s="748"/>
      <c r="AQ41" s="749"/>
      <c r="AR41" s="749" t="s">
        <v>2343</v>
      </c>
      <c r="AS41" s="747"/>
      <c r="AT41" s="749"/>
      <c r="AU41" s="749"/>
      <c r="AV41" s="762"/>
      <c r="AW41" s="762"/>
      <c r="AX41" s="747"/>
      <c r="AY41" s="262"/>
    </row>
    <row r="42" spans="1:51" s="260" customFormat="1" ht="103.5" hidden="1" customHeight="1">
      <c r="A42" s="747"/>
      <c r="B42" s="754"/>
      <c r="C42" s="1605"/>
      <c r="D42" s="1607"/>
      <c r="E42" s="1606"/>
      <c r="F42" s="755"/>
      <c r="G42" s="1605"/>
      <c r="H42" s="1607"/>
      <c r="I42" s="1606"/>
      <c r="J42" s="1608"/>
      <c r="K42" s="1608"/>
      <c r="L42" s="1608"/>
      <c r="M42" s="747"/>
      <c r="N42" s="747"/>
      <c r="O42" s="747"/>
      <c r="P42" s="747"/>
      <c r="Q42" s="754"/>
      <c r="R42" s="754"/>
      <c r="S42" s="756"/>
      <c r="T42" s="757" t="e">
        <f>VLOOKUP(Q42,[71]Listas!$D$6:$E$10,2,0)</f>
        <v>#N/A</v>
      </c>
      <c r="U42" s="757" t="e">
        <f>HLOOKUP(R42,[71]Listas!$F$4:$J$5,2,0)</f>
        <v>#N/A</v>
      </c>
      <c r="V42" s="758" t="e">
        <f>INDEX([71]Listas!$F$6:$J$10,MATCH(Q42,[71]Listas!$D$6:$D$10,0),MATCH(R42,[71]Listas!$F$4:$J$4,0))</f>
        <v>#N/A</v>
      </c>
      <c r="W42" s="756"/>
      <c r="X42" s="1605"/>
      <c r="Y42" s="1607"/>
      <c r="Z42" s="1606"/>
      <c r="AA42" s="1086"/>
      <c r="AB42" s="755"/>
      <c r="AC42" s="749"/>
      <c r="AD42" s="747"/>
      <c r="AE42" s="755"/>
      <c r="AF42" s="756"/>
      <c r="AG42" s="757">
        <f t="shared" si="4"/>
        <v>0</v>
      </c>
      <c r="AH42" s="759" t="e">
        <f t="shared" si="5"/>
        <v>#N/A</v>
      </c>
      <c r="AI42" s="760" t="e">
        <f>IF(AH42&lt;=1,"Remota",VLOOKUP(AH42,[71]Listas!$C$6:$D$10,2,0))</f>
        <v>#N/A</v>
      </c>
      <c r="AJ42" s="759" t="e">
        <f t="shared" si="6"/>
        <v>#N/A</v>
      </c>
      <c r="AK42" s="760" t="e">
        <f>IF(AJ42&lt;=1,"Insignificante",HLOOKUP(AJ42,[71]Listas!$F$3:$J$4,2,0))</f>
        <v>#N/A</v>
      </c>
      <c r="AL42" s="761" t="e">
        <f t="shared" si="7"/>
        <v>#N/A</v>
      </c>
      <c r="AM42" s="758" t="e">
        <f>INDEX([71]Listas!$F$6:$J$10,MATCH(AI42,[71]Listas!$D$6:$D$10,0),MATCH(AK42,[71]Listas!$F$4:$J$4,0))</f>
        <v>#N/A</v>
      </c>
      <c r="AN42" s="749"/>
      <c r="AO42" s="749"/>
      <c r="AP42" s="748"/>
      <c r="AQ42" s="749"/>
      <c r="AR42" s="749" t="s">
        <v>2343</v>
      </c>
      <c r="AS42" s="747"/>
      <c r="AT42" s="749"/>
      <c r="AU42" s="749"/>
      <c r="AV42" s="762"/>
      <c r="AW42" s="762"/>
      <c r="AX42" s="747"/>
      <c r="AY42" s="262"/>
    </row>
    <row r="43" spans="1:51" s="260" customFormat="1" ht="103.5" hidden="1" customHeight="1">
      <c r="A43" s="747"/>
      <c r="B43" s="754"/>
      <c r="C43" s="1605"/>
      <c r="D43" s="1607"/>
      <c r="E43" s="1606"/>
      <c r="F43" s="754"/>
      <c r="G43" s="1605"/>
      <c r="H43" s="1607"/>
      <c r="I43" s="1606"/>
      <c r="J43" s="1608"/>
      <c r="K43" s="1608"/>
      <c r="L43" s="1608"/>
      <c r="M43" s="747"/>
      <c r="N43" s="747"/>
      <c r="O43" s="747"/>
      <c r="P43" s="747"/>
      <c r="Q43" s="754"/>
      <c r="R43" s="754"/>
      <c r="S43" s="756"/>
      <c r="T43" s="757" t="e">
        <f>VLOOKUP(Q43,[71]Listas!$D$6:$E$10,2,0)</f>
        <v>#N/A</v>
      </c>
      <c r="U43" s="757" t="e">
        <f>HLOOKUP(R43,[71]Listas!$F$4:$J$5,2,0)</f>
        <v>#N/A</v>
      </c>
      <c r="V43" s="758" t="e">
        <f>INDEX([71]Listas!$F$6:$J$10,MATCH(Q43,[71]Listas!$D$6:$D$10,0),MATCH(R43,[71]Listas!$F$4:$J$4,0))</f>
        <v>#N/A</v>
      </c>
      <c r="W43" s="756"/>
      <c r="X43" s="1605"/>
      <c r="Y43" s="1607"/>
      <c r="Z43" s="1606"/>
      <c r="AA43" s="1086"/>
      <c r="AB43" s="755"/>
      <c r="AC43" s="749"/>
      <c r="AD43" s="747"/>
      <c r="AE43" s="755"/>
      <c r="AF43" s="756"/>
      <c r="AG43" s="757">
        <f>IF(AD43&lt;=33,0,IF(AD43&gt;81,2,1))</f>
        <v>0</v>
      </c>
      <c r="AH43" s="759" t="e">
        <f>IF(OR(AE43="Probabilidad",AE43="Ambos"),T43-AG43,T43)</f>
        <v>#N/A</v>
      </c>
      <c r="AI43" s="760" t="e">
        <f>IF(AH43&lt;=1,"Remota",VLOOKUP(AH43,[71]Listas!$C$6:$D$10,2,0))</f>
        <v>#N/A</v>
      </c>
      <c r="AJ43" s="759" t="e">
        <f>IF(OR(AE43="Impacto",AE43="Ambos"),U43-AG43,U43)</f>
        <v>#N/A</v>
      </c>
      <c r="AK43" s="760" t="e">
        <f>IF(AJ43&lt;=1,"Insignificante",HLOOKUP(AJ43,[71]Listas!$F$3:$J$4,2,0))</f>
        <v>#N/A</v>
      </c>
      <c r="AL43" s="761" t="e">
        <f>AH43*AJ43</f>
        <v>#N/A</v>
      </c>
      <c r="AM43" s="758" t="e">
        <f>INDEX([71]Listas!$F$6:$J$10,MATCH(AI43,[71]Listas!$D$6:$D$10,0),MATCH(AK43,[71]Listas!$F$4:$J$4,0))</f>
        <v>#N/A</v>
      </c>
      <c r="AN43" s="749"/>
      <c r="AO43" s="749"/>
      <c r="AP43" s="748"/>
      <c r="AQ43" s="749"/>
      <c r="AR43" s="749" t="s">
        <v>2343</v>
      </c>
      <c r="AS43" s="747"/>
      <c r="AT43" s="763"/>
      <c r="AU43" s="749"/>
      <c r="AV43" s="762"/>
      <c r="AW43" s="762"/>
      <c r="AX43" s="747"/>
      <c r="AY43" s="262"/>
    </row>
    <row r="44" spans="1:51" s="260" customFormat="1" ht="103.5" hidden="1" customHeight="1">
      <c r="A44" s="747"/>
      <c r="B44" s="754"/>
      <c r="C44" s="1605"/>
      <c r="D44" s="1607"/>
      <c r="E44" s="1606"/>
      <c r="F44" s="755"/>
      <c r="G44" s="1605"/>
      <c r="H44" s="1607"/>
      <c r="I44" s="1606"/>
      <c r="J44" s="1608"/>
      <c r="K44" s="1608"/>
      <c r="L44" s="1608"/>
      <c r="M44" s="747"/>
      <c r="N44" s="747"/>
      <c r="O44" s="747"/>
      <c r="P44" s="747"/>
      <c r="Q44" s="754"/>
      <c r="R44" s="754"/>
      <c r="S44" s="756"/>
      <c r="T44" s="757" t="e">
        <f>VLOOKUP(Q44,[71]Listas!$D$6:$E$10,2,0)</f>
        <v>#N/A</v>
      </c>
      <c r="U44" s="757" t="e">
        <f>HLOOKUP(R44,[71]Listas!$F$4:$J$5,2,0)</f>
        <v>#N/A</v>
      </c>
      <c r="V44" s="758" t="e">
        <f>INDEX([71]Listas!$F$6:$J$10,MATCH(Q44,[71]Listas!$D$6:$D$10,0),MATCH(R44,[71]Listas!$F$4:$J$4,0))</f>
        <v>#N/A</v>
      </c>
      <c r="W44" s="756"/>
      <c r="X44" s="1605"/>
      <c r="Y44" s="1607"/>
      <c r="Z44" s="1606"/>
      <c r="AA44" s="1086"/>
      <c r="AB44" s="755"/>
      <c r="AC44" s="749"/>
      <c r="AD44" s="747"/>
      <c r="AE44" s="755"/>
      <c r="AF44" s="756"/>
      <c r="AG44" s="757">
        <f t="shared" ref="AG44:AG64" si="8">IF(AD44&lt;=33,0,IF(AD44&gt;81,2,1))</f>
        <v>0</v>
      </c>
      <c r="AH44" s="759" t="e">
        <f t="shared" ref="AH44:AH64" si="9">IF(OR(AE44="Probabilidad",AE44="Ambos"),T44-AG44,T44)</f>
        <v>#N/A</v>
      </c>
      <c r="AI44" s="760" t="e">
        <f>IF(AH44&lt;=1,"Remota",VLOOKUP(AH44,[71]Listas!$C$6:$D$10,2,0))</f>
        <v>#N/A</v>
      </c>
      <c r="AJ44" s="759" t="e">
        <f t="shared" ref="AJ44:AJ64" si="10">IF(OR(AE44="Impacto",AE44="Ambos"),U44-AG44,U44)</f>
        <v>#N/A</v>
      </c>
      <c r="AK44" s="760" t="e">
        <f>IF(AJ44&lt;=1,"Insignificante",HLOOKUP(AJ44,[71]Listas!$F$3:$J$4,2,0))</f>
        <v>#N/A</v>
      </c>
      <c r="AL44" s="761" t="e">
        <f t="shared" ref="AL44:AL64" si="11">AH44*AJ44</f>
        <v>#N/A</v>
      </c>
      <c r="AM44" s="758" t="e">
        <f>INDEX([71]Listas!$F$6:$J$10,MATCH(AI44,[71]Listas!$D$6:$D$10,0),MATCH(AK44,[71]Listas!$F$4:$J$4,0))</f>
        <v>#N/A</v>
      </c>
      <c r="AN44" s="749"/>
      <c r="AO44" s="749"/>
      <c r="AP44" s="748"/>
      <c r="AQ44" s="749"/>
      <c r="AR44" s="749" t="s">
        <v>2343</v>
      </c>
      <c r="AS44" s="747"/>
      <c r="AT44" s="749"/>
      <c r="AU44" s="749"/>
      <c r="AV44" s="762"/>
      <c r="AW44" s="762"/>
      <c r="AX44" s="747"/>
      <c r="AY44" s="262"/>
    </row>
    <row r="45" spans="1:51" s="260" customFormat="1" ht="103.5" hidden="1" customHeight="1">
      <c r="A45" s="747"/>
      <c r="B45" s="754"/>
      <c r="C45" s="1605"/>
      <c r="D45" s="1607"/>
      <c r="E45" s="1606"/>
      <c r="F45" s="755"/>
      <c r="G45" s="1605"/>
      <c r="H45" s="1607"/>
      <c r="I45" s="1606"/>
      <c r="J45" s="1608"/>
      <c r="K45" s="1608"/>
      <c r="L45" s="1608"/>
      <c r="M45" s="747"/>
      <c r="N45" s="747"/>
      <c r="O45" s="747"/>
      <c r="P45" s="747"/>
      <c r="Q45" s="754"/>
      <c r="R45" s="754"/>
      <c r="S45" s="756"/>
      <c r="T45" s="757" t="e">
        <f>VLOOKUP(Q45,[71]Listas!$D$6:$E$10,2,0)</f>
        <v>#N/A</v>
      </c>
      <c r="U45" s="757" t="e">
        <f>HLOOKUP(R45,[71]Listas!$F$4:$J$5,2,0)</f>
        <v>#N/A</v>
      </c>
      <c r="V45" s="758" t="e">
        <f>INDEX([71]Listas!$F$6:$J$10,MATCH(Q45,[71]Listas!$D$6:$D$10,0),MATCH(R45,[71]Listas!$F$4:$J$4,0))</f>
        <v>#N/A</v>
      </c>
      <c r="W45" s="756"/>
      <c r="X45" s="1605"/>
      <c r="Y45" s="1607"/>
      <c r="Z45" s="1606"/>
      <c r="AA45" s="1086"/>
      <c r="AB45" s="755"/>
      <c r="AC45" s="749"/>
      <c r="AD45" s="747"/>
      <c r="AE45" s="755"/>
      <c r="AF45" s="756"/>
      <c r="AG45" s="757">
        <f t="shared" si="8"/>
        <v>0</v>
      </c>
      <c r="AH45" s="759" t="e">
        <f t="shared" si="9"/>
        <v>#N/A</v>
      </c>
      <c r="AI45" s="760" t="e">
        <f>IF(AH45&lt;=1,"Remota",VLOOKUP(AH45,[71]Listas!$C$6:$D$10,2,0))</f>
        <v>#N/A</v>
      </c>
      <c r="AJ45" s="759" t="e">
        <f t="shared" si="10"/>
        <v>#N/A</v>
      </c>
      <c r="AK45" s="760" t="e">
        <f>IF(AJ45&lt;=1,"Insignificante",HLOOKUP(AJ45,[71]Listas!$F$3:$J$4,2,0))</f>
        <v>#N/A</v>
      </c>
      <c r="AL45" s="761" t="e">
        <f t="shared" si="11"/>
        <v>#N/A</v>
      </c>
      <c r="AM45" s="758" t="e">
        <f>INDEX([71]Listas!$F$6:$J$10,MATCH(AI45,[71]Listas!$D$6:$D$10,0),MATCH(AK45,[71]Listas!$F$4:$J$4,0))</f>
        <v>#N/A</v>
      </c>
      <c r="AN45" s="749"/>
      <c r="AO45" s="749"/>
      <c r="AP45" s="748"/>
      <c r="AQ45" s="749"/>
      <c r="AR45" s="749" t="s">
        <v>2343</v>
      </c>
      <c r="AS45" s="747"/>
      <c r="AT45" s="749"/>
      <c r="AU45" s="749"/>
      <c r="AV45" s="762"/>
      <c r="AW45" s="762"/>
      <c r="AX45" s="747"/>
      <c r="AY45" s="262"/>
    </row>
    <row r="46" spans="1:51" s="260" customFormat="1" ht="103.5" hidden="1" customHeight="1">
      <c r="A46" s="747"/>
      <c r="B46" s="754"/>
      <c r="C46" s="1605"/>
      <c r="D46" s="1607"/>
      <c r="E46" s="1606"/>
      <c r="F46" s="755"/>
      <c r="G46" s="1605"/>
      <c r="H46" s="1607"/>
      <c r="I46" s="1606"/>
      <c r="J46" s="1608"/>
      <c r="K46" s="1608"/>
      <c r="L46" s="1608"/>
      <c r="M46" s="747"/>
      <c r="N46" s="747"/>
      <c r="O46" s="747"/>
      <c r="P46" s="747"/>
      <c r="Q46" s="754"/>
      <c r="R46" s="754"/>
      <c r="S46" s="756"/>
      <c r="T46" s="757" t="e">
        <f>VLOOKUP(Q46,[71]Listas!$D$6:$E$10,2,0)</f>
        <v>#N/A</v>
      </c>
      <c r="U46" s="757" t="e">
        <f>HLOOKUP(R46,[71]Listas!$F$4:$J$5,2,0)</f>
        <v>#N/A</v>
      </c>
      <c r="V46" s="758" t="e">
        <f>INDEX([71]Listas!$F$6:$J$10,MATCH(Q46,[71]Listas!$D$6:$D$10,0),MATCH(R46,[71]Listas!$F$4:$J$4,0))</f>
        <v>#N/A</v>
      </c>
      <c r="W46" s="756"/>
      <c r="X46" s="1605"/>
      <c r="Y46" s="1607"/>
      <c r="Z46" s="1606"/>
      <c r="AA46" s="1086"/>
      <c r="AB46" s="755"/>
      <c r="AC46" s="749"/>
      <c r="AD46" s="747"/>
      <c r="AE46" s="755"/>
      <c r="AF46" s="756"/>
      <c r="AG46" s="757">
        <f t="shared" si="8"/>
        <v>0</v>
      </c>
      <c r="AH46" s="759" t="e">
        <f t="shared" si="9"/>
        <v>#N/A</v>
      </c>
      <c r="AI46" s="760" t="e">
        <f>IF(AH46&lt;=1,"Remota",VLOOKUP(AH46,[71]Listas!$C$6:$D$10,2,0))</f>
        <v>#N/A</v>
      </c>
      <c r="AJ46" s="759" t="e">
        <f t="shared" si="10"/>
        <v>#N/A</v>
      </c>
      <c r="AK46" s="760" t="e">
        <f>IF(AJ46&lt;=1,"Insignificante",HLOOKUP(AJ46,[71]Listas!$F$3:$J$4,2,0))</f>
        <v>#N/A</v>
      </c>
      <c r="AL46" s="761" t="e">
        <f t="shared" si="11"/>
        <v>#N/A</v>
      </c>
      <c r="AM46" s="758" t="e">
        <f>INDEX([71]Listas!$F$6:$J$10,MATCH(AI46,[71]Listas!$D$6:$D$10,0),MATCH(AK46,[71]Listas!$F$4:$J$4,0))</f>
        <v>#N/A</v>
      </c>
      <c r="AN46" s="749"/>
      <c r="AO46" s="749"/>
      <c r="AP46" s="748"/>
      <c r="AQ46" s="749"/>
      <c r="AR46" s="749" t="s">
        <v>2343</v>
      </c>
      <c r="AS46" s="747"/>
      <c r="AT46" s="749"/>
      <c r="AU46" s="749"/>
      <c r="AV46" s="762"/>
      <c r="AW46" s="762"/>
      <c r="AX46" s="747"/>
      <c r="AY46" s="262"/>
    </row>
    <row r="47" spans="1:51" s="260" customFormat="1" ht="103.5" hidden="1" customHeight="1">
      <c r="A47" s="747"/>
      <c r="B47" s="754"/>
      <c r="C47" s="1605"/>
      <c r="D47" s="1607"/>
      <c r="E47" s="1606"/>
      <c r="F47" s="755"/>
      <c r="G47" s="1605"/>
      <c r="H47" s="1607"/>
      <c r="I47" s="1606"/>
      <c r="J47" s="1608"/>
      <c r="K47" s="1608"/>
      <c r="L47" s="1608"/>
      <c r="M47" s="747"/>
      <c r="N47" s="747"/>
      <c r="O47" s="747"/>
      <c r="P47" s="747"/>
      <c r="Q47" s="754"/>
      <c r="R47" s="754"/>
      <c r="S47" s="756"/>
      <c r="T47" s="757" t="e">
        <f>VLOOKUP(Q47,[71]Listas!$D$6:$E$10,2,0)</f>
        <v>#N/A</v>
      </c>
      <c r="U47" s="757" t="e">
        <f>HLOOKUP(R47,[71]Listas!$F$4:$J$5,2,0)</f>
        <v>#N/A</v>
      </c>
      <c r="V47" s="758" t="e">
        <f>INDEX([71]Listas!$F$6:$J$10,MATCH(Q47,[71]Listas!$D$6:$D$10,0),MATCH(R47,[71]Listas!$F$4:$J$4,0))</f>
        <v>#N/A</v>
      </c>
      <c r="W47" s="756"/>
      <c r="X47" s="1605"/>
      <c r="Y47" s="1607"/>
      <c r="Z47" s="1606"/>
      <c r="AA47" s="1086"/>
      <c r="AB47" s="755"/>
      <c r="AC47" s="749"/>
      <c r="AD47" s="747"/>
      <c r="AE47" s="755"/>
      <c r="AF47" s="756"/>
      <c r="AG47" s="757">
        <f t="shared" si="8"/>
        <v>0</v>
      </c>
      <c r="AH47" s="759" t="e">
        <f t="shared" si="9"/>
        <v>#N/A</v>
      </c>
      <c r="AI47" s="760" t="e">
        <f>IF(AH47&lt;=1,"Remota",VLOOKUP(AH47,[71]Listas!$C$6:$D$10,2,0))</f>
        <v>#N/A</v>
      </c>
      <c r="AJ47" s="759" t="e">
        <f t="shared" si="10"/>
        <v>#N/A</v>
      </c>
      <c r="AK47" s="760" t="e">
        <f>IF(AJ47&lt;=1,"Insignificante",HLOOKUP(AJ47,[71]Listas!$F$3:$J$4,2,0))</f>
        <v>#N/A</v>
      </c>
      <c r="AL47" s="761" t="e">
        <f t="shared" si="11"/>
        <v>#N/A</v>
      </c>
      <c r="AM47" s="758" t="e">
        <f>INDEX([71]Listas!$F$6:$J$10,MATCH(AI47,[71]Listas!$D$6:$D$10,0),MATCH(AK47,[71]Listas!$F$4:$J$4,0))</f>
        <v>#N/A</v>
      </c>
      <c r="AN47" s="749"/>
      <c r="AO47" s="749"/>
      <c r="AP47" s="748"/>
      <c r="AQ47" s="749"/>
      <c r="AR47" s="749" t="s">
        <v>2343</v>
      </c>
      <c r="AS47" s="747"/>
      <c r="AT47" s="749"/>
      <c r="AU47" s="749"/>
      <c r="AV47" s="762"/>
      <c r="AW47" s="762"/>
      <c r="AX47" s="747"/>
      <c r="AY47" s="262"/>
    </row>
    <row r="48" spans="1:51" s="260" customFormat="1" ht="103.5" hidden="1" customHeight="1">
      <c r="A48" s="747"/>
      <c r="B48" s="754"/>
      <c r="C48" s="1605"/>
      <c r="D48" s="1607"/>
      <c r="E48" s="1606"/>
      <c r="F48" s="755"/>
      <c r="G48" s="1605"/>
      <c r="H48" s="1607"/>
      <c r="I48" s="1606"/>
      <c r="J48" s="1608"/>
      <c r="K48" s="1608"/>
      <c r="L48" s="1608"/>
      <c r="M48" s="747"/>
      <c r="N48" s="747"/>
      <c r="O48" s="747"/>
      <c r="P48" s="747"/>
      <c r="Q48" s="754"/>
      <c r="R48" s="754"/>
      <c r="S48" s="756"/>
      <c r="T48" s="757" t="e">
        <f>VLOOKUP(Q48,[71]Listas!$D$6:$E$10,2,0)</f>
        <v>#N/A</v>
      </c>
      <c r="U48" s="757" t="e">
        <f>HLOOKUP(R48,[71]Listas!$F$4:$J$5,2,0)</f>
        <v>#N/A</v>
      </c>
      <c r="V48" s="758" t="e">
        <f>INDEX([71]Listas!$F$6:$J$10,MATCH(Q48,[71]Listas!$D$6:$D$10,0),MATCH(R48,[71]Listas!$F$4:$J$4,0))</f>
        <v>#N/A</v>
      </c>
      <c r="W48" s="756"/>
      <c r="X48" s="1605"/>
      <c r="Y48" s="1607"/>
      <c r="Z48" s="1606"/>
      <c r="AA48" s="1086"/>
      <c r="AB48" s="755"/>
      <c r="AC48" s="749"/>
      <c r="AD48" s="747"/>
      <c r="AE48" s="755"/>
      <c r="AF48" s="756"/>
      <c r="AG48" s="757">
        <f t="shared" si="8"/>
        <v>0</v>
      </c>
      <c r="AH48" s="759" t="e">
        <f t="shared" si="9"/>
        <v>#N/A</v>
      </c>
      <c r="AI48" s="760" t="e">
        <f>IF(AH48&lt;=1,"Remota",VLOOKUP(AH48,[71]Listas!$C$6:$D$10,2,0))</f>
        <v>#N/A</v>
      </c>
      <c r="AJ48" s="759" t="e">
        <f t="shared" si="10"/>
        <v>#N/A</v>
      </c>
      <c r="AK48" s="760" t="e">
        <f>IF(AJ48&lt;=1,"Insignificante",HLOOKUP(AJ48,[71]Listas!$F$3:$J$4,2,0))</f>
        <v>#N/A</v>
      </c>
      <c r="AL48" s="761" t="e">
        <f t="shared" si="11"/>
        <v>#N/A</v>
      </c>
      <c r="AM48" s="758" t="e">
        <f>INDEX([71]Listas!$F$6:$J$10,MATCH(AI48,[71]Listas!$D$6:$D$10,0),MATCH(AK48,[71]Listas!$F$4:$J$4,0))</f>
        <v>#N/A</v>
      </c>
      <c r="AN48" s="749"/>
      <c r="AO48" s="749"/>
      <c r="AP48" s="748"/>
      <c r="AQ48" s="749"/>
      <c r="AR48" s="749" t="s">
        <v>2343</v>
      </c>
      <c r="AS48" s="747"/>
      <c r="AT48" s="749"/>
      <c r="AU48" s="749"/>
      <c r="AV48" s="762"/>
      <c r="AW48" s="762"/>
      <c r="AX48" s="747"/>
      <c r="AY48" s="262"/>
    </row>
    <row r="49" spans="1:51" s="260" customFormat="1" ht="103.5" hidden="1" customHeight="1">
      <c r="A49" s="747"/>
      <c r="B49" s="754"/>
      <c r="C49" s="1605"/>
      <c r="D49" s="1607"/>
      <c r="E49" s="1606"/>
      <c r="F49" s="755"/>
      <c r="G49" s="1605"/>
      <c r="H49" s="1607"/>
      <c r="I49" s="1606"/>
      <c r="J49" s="1608"/>
      <c r="K49" s="1608"/>
      <c r="L49" s="1608"/>
      <c r="M49" s="747"/>
      <c r="N49" s="747"/>
      <c r="O49" s="747"/>
      <c r="P49" s="747"/>
      <c r="Q49" s="754"/>
      <c r="R49" s="754"/>
      <c r="S49" s="756"/>
      <c r="T49" s="757" t="e">
        <f>VLOOKUP(Q49,[71]Listas!$D$6:$E$10,2,0)</f>
        <v>#N/A</v>
      </c>
      <c r="U49" s="757" t="e">
        <f>HLOOKUP(R49,[71]Listas!$F$4:$J$5,2,0)</f>
        <v>#N/A</v>
      </c>
      <c r="V49" s="758" t="e">
        <f>INDEX([71]Listas!$F$6:$J$10,MATCH(Q49,[71]Listas!$D$6:$D$10,0),MATCH(R49,[71]Listas!$F$4:$J$4,0))</f>
        <v>#N/A</v>
      </c>
      <c r="W49" s="756"/>
      <c r="X49" s="1605"/>
      <c r="Y49" s="1607"/>
      <c r="Z49" s="1606"/>
      <c r="AA49" s="1086"/>
      <c r="AB49" s="755"/>
      <c r="AC49" s="749"/>
      <c r="AD49" s="747"/>
      <c r="AE49" s="755"/>
      <c r="AF49" s="756"/>
      <c r="AG49" s="757">
        <f t="shared" si="8"/>
        <v>0</v>
      </c>
      <c r="AH49" s="759" t="e">
        <f t="shared" si="9"/>
        <v>#N/A</v>
      </c>
      <c r="AI49" s="760" t="e">
        <f>IF(AH49&lt;=1,"Remota",VLOOKUP(AH49,[71]Listas!$C$6:$D$10,2,0))</f>
        <v>#N/A</v>
      </c>
      <c r="AJ49" s="759" t="e">
        <f t="shared" si="10"/>
        <v>#N/A</v>
      </c>
      <c r="AK49" s="760" t="e">
        <f>IF(AJ49&lt;=1,"Insignificante",HLOOKUP(AJ49,[71]Listas!$F$3:$J$4,2,0))</f>
        <v>#N/A</v>
      </c>
      <c r="AL49" s="761" t="e">
        <f t="shared" si="11"/>
        <v>#N/A</v>
      </c>
      <c r="AM49" s="758" t="e">
        <f>INDEX([71]Listas!$F$6:$J$10,MATCH(AI49,[71]Listas!$D$6:$D$10,0),MATCH(AK49,[71]Listas!$F$4:$J$4,0))</f>
        <v>#N/A</v>
      </c>
      <c r="AN49" s="749"/>
      <c r="AO49" s="749"/>
      <c r="AP49" s="748"/>
      <c r="AQ49" s="749"/>
      <c r="AR49" s="749" t="s">
        <v>2343</v>
      </c>
      <c r="AS49" s="747"/>
      <c r="AT49" s="749"/>
      <c r="AU49" s="749"/>
      <c r="AV49" s="762"/>
      <c r="AW49" s="762"/>
      <c r="AX49" s="747"/>
      <c r="AY49" s="262"/>
    </row>
    <row r="50" spans="1:51" s="260" customFormat="1" ht="103.5" hidden="1" customHeight="1">
      <c r="A50" s="747"/>
      <c r="B50" s="754"/>
      <c r="C50" s="1605"/>
      <c r="D50" s="1607"/>
      <c r="E50" s="1606"/>
      <c r="F50" s="755"/>
      <c r="G50" s="1605"/>
      <c r="H50" s="1607"/>
      <c r="I50" s="1606"/>
      <c r="J50" s="1608"/>
      <c r="K50" s="1608"/>
      <c r="L50" s="1608"/>
      <c r="M50" s="747"/>
      <c r="N50" s="747"/>
      <c r="O50" s="747"/>
      <c r="P50" s="747"/>
      <c r="Q50" s="754"/>
      <c r="R50" s="754"/>
      <c r="S50" s="756"/>
      <c r="T50" s="757" t="e">
        <f>VLOOKUP(Q50,[71]Listas!$D$6:$E$10,2,0)</f>
        <v>#N/A</v>
      </c>
      <c r="U50" s="757" t="e">
        <f>HLOOKUP(R50,[71]Listas!$F$4:$J$5,2,0)</f>
        <v>#N/A</v>
      </c>
      <c r="V50" s="758" t="e">
        <f>INDEX([71]Listas!$F$6:$J$10,MATCH(Q50,[71]Listas!$D$6:$D$10,0),MATCH(R50,[71]Listas!$F$4:$J$4,0))</f>
        <v>#N/A</v>
      </c>
      <c r="W50" s="756"/>
      <c r="X50" s="1605"/>
      <c r="Y50" s="1607"/>
      <c r="Z50" s="1606"/>
      <c r="AA50" s="1086"/>
      <c r="AB50" s="755"/>
      <c r="AC50" s="749"/>
      <c r="AD50" s="747"/>
      <c r="AE50" s="755"/>
      <c r="AF50" s="756"/>
      <c r="AG50" s="757">
        <f t="shared" si="8"/>
        <v>0</v>
      </c>
      <c r="AH50" s="759" t="e">
        <f t="shared" si="9"/>
        <v>#N/A</v>
      </c>
      <c r="AI50" s="760" t="e">
        <f>IF(AH50&lt;=1,"Remota",VLOOKUP(AH50,[71]Listas!$C$6:$D$10,2,0))</f>
        <v>#N/A</v>
      </c>
      <c r="AJ50" s="759" t="e">
        <f t="shared" si="10"/>
        <v>#N/A</v>
      </c>
      <c r="AK50" s="760" t="e">
        <f>IF(AJ50&lt;=1,"Insignificante",HLOOKUP(AJ50,[71]Listas!$F$3:$J$4,2,0))</f>
        <v>#N/A</v>
      </c>
      <c r="AL50" s="761" t="e">
        <f t="shared" si="11"/>
        <v>#N/A</v>
      </c>
      <c r="AM50" s="758" t="e">
        <f>INDEX([71]Listas!$F$6:$J$10,MATCH(AI50,[71]Listas!$D$6:$D$10,0),MATCH(AK50,[71]Listas!$F$4:$J$4,0))</f>
        <v>#N/A</v>
      </c>
      <c r="AN50" s="749"/>
      <c r="AO50" s="749"/>
      <c r="AP50" s="748"/>
      <c r="AQ50" s="749"/>
      <c r="AR50" s="749" t="s">
        <v>2343</v>
      </c>
      <c r="AS50" s="747"/>
      <c r="AT50" s="749"/>
      <c r="AU50" s="749"/>
      <c r="AV50" s="762"/>
      <c r="AW50" s="762"/>
      <c r="AX50" s="747"/>
      <c r="AY50" s="262"/>
    </row>
    <row r="51" spans="1:51" s="260" customFormat="1" ht="103.5" hidden="1" customHeight="1">
      <c r="A51" s="747"/>
      <c r="B51" s="754"/>
      <c r="C51" s="1605"/>
      <c r="D51" s="1607"/>
      <c r="E51" s="1606"/>
      <c r="F51" s="755"/>
      <c r="G51" s="1605"/>
      <c r="H51" s="1607"/>
      <c r="I51" s="1606"/>
      <c r="J51" s="1608"/>
      <c r="K51" s="1608"/>
      <c r="L51" s="1608"/>
      <c r="M51" s="747"/>
      <c r="N51" s="747"/>
      <c r="O51" s="747"/>
      <c r="P51" s="747"/>
      <c r="Q51" s="754"/>
      <c r="R51" s="754"/>
      <c r="S51" s="756"/>
      <c r="T51" s="757" t="e">
        <f>VLOOKUP(Q51,[71]Listas!$D$6:$E$10,2,0)</f>
        <v>#N/A</v>
      </c>
      <c r="U51" s="757" t="e">
        <f>HLOOKUP(R51,[71]Listas!$F$4:$J$5,2,0)</f>
        <v>#N/A</v>
      </c>
      <c r="V51" s="758" t="e">
        <f>INDEX([71]Listas!$F$6:$J$10,MATCH(Q51,[71]Listas!$D$6:$D$10,0),MATCH(R51,[71]Listas!$F$4:$J$4,0))</f>
        <v>#N/A</v>
      </c>
      <c r="W51" s="756"/>
      <c r="X51" s="1605"/>
      <c r="Y51" s="1607"/>
      <c r="Z51" s="1606"/>
      <c r="AA51" s="1086"/>
      <c r="AB51" s="755"/>
      <c r="AC51" s="749"/>
      <c r="AD51" s="747"/>
      <c r="AE51" s="755"/>
      <c r="AF51" s="756"/>
      <c r="AG51" s="757">
        <f t="shared" si="8"/>
        <v>0</v>
      </c>
      <c r="AH51" s="759" t="e">
        <f t="shared" si="9"/>
        <v>#N/A</v>
      </c>
      <c r="AI51" s="760" t="e">
        <f>IF(AH51&lt;=1,"Remota",VLOOKUP(AH51,[71]Listas!$C$6:$D$10,2,0))</f>
        <v>#N/A</v>
      </c>
      <c r="AJ51" s="759" t="e">
        <f t="shared" si="10"/>
        <v>#N/A</v>
      </c>
      <c r="AK51" s="760" t="e">
        <f>IF(AJ51&lt;=1,"Insignificante",HLOOKUP(AJ51,[71]Listas!$F$3:$J$4,2,0))</f>
        <v>#N/A</v>
      </c>
      <c r="AL51" s="761" t="e">
        <f t="shared" si="11"/>
        <v>#N/A</v>
      </c>
      <c r="AM51" s="758" t="e">
        <f>INDEX([71]Listas!$F$6:$J$10,MATCH(AI51,[71]Listas!$D$6:$D$10,0),MATCH(AK51,[71]Listas!$F$4:$J$4,0))</f>
        <v>#N/A</v>
      </c>
      <c r="AN51" s="749"/>
      <c r="AO51" s="749"/>
      <c r="AP51" s="748"/>
      <c r="AQ51" s="749"/>
      <c r="AR51" s="749" t="s">
        <v>2343</v>
      </c>
      <c r="AS51" s="747"/>
      <c r="AT51" s="749"/>
      <c r="AU51" s="749"/>
      <c r="AV51" s="762"/>
      <c r="AW51" s="762"/>
      <c r="AX51" s="747"/>
      <c r="AY51" s="262"/>
    </row>
    <row r="52" spans="1:51" s="260" customFormat="1" ht="103.5" hidden="1" customHeight="1">
      <c r="A52" s="747"/>
      <c r="B52" s="754"/>
      <c r="C52" s="1605"/>
      <c r="D52" s="1607"/>
      <c r="E52" s="1606"/>
      <c r="F52" s="755"/>
      <c r="G52" s="1605"/>
      <c r="H52" s="1607"/>
      <c r="I52" s="1606"/>
      <c r="J52" s="1608"/>
      <c r="K52" s="1608"/>
      <c r="L52" s="1608"/>
      <c r="M52" s="747"/>
      <c r="N52" s="747"/>
      <c r="O52" s="747"/>
      <c r="P52" s="747"/>
      <c r="Q52" s="754"/>
      <c r="R52" s="754"/>
      <c r="S52" s="756"/>
      <c r="T52" s="757" t="e">
        <f>VLOOKUP(Q52,[71]Listas!$D$6:$E$10,2,0)</f>
        <v>#N/A</v>
      </c>
      <c r="U52" s="757" t="e">
        <f>HLOOKUP(R52,[71]Listas!$F$4:$J$5,2,0)</f>
        <v>#N/A</v>
      </c>
      <c r="V52" s="758" t="e">
        <f>INDEX([71]Listas!$F$6:$J$10,MATCH(Q52,[71]Listas!$D$6:$D$10,0),MATCH(R52,[71]Listas!$F$4:$J$4,0))</f>
        <v>#N/A</v>
      </c>
      <c r="W52" s="756"/>
      <c r="X52" s="1605"/>
      <c r="Y52" s="1607"/>
      <c r="Z52" s="1606"/>
      <c r="AA52" s="1086"/>
      <c r="AB52" s="755"/>
      <c r="AC52" s="749"/>
      <c r="AD52" s="747"/>
      <c r="AE52" s="755"/>
      <c r="AF52" s="756"/>
      <c r="AG52" s="757">
        <f t="shared" si="8"/>
        <v>0</v>
      </c>
      <c r="AH52" s="759" t="e">
        <f t="shared" si="9"/>
        <v>#N/A</v>
      </c>
      <c r="AI52" s="760" t="e">
        <f>IF(AH52&lt;=1,"Remota",VLOOKUP(AH52,[71]Listas!$C$6:$D$10,2,0))</f>
        <v>#N/A</v>
      </c>
      <c r="AJ52" s="759" t="e">
        <f t="shared" si="10"/>
        <v>#N/A</v>
      </c>
      <c r="AK52" s="760" t="e">
        <f>IF(AJ52&lt;=1,"Insignificante",HLOOKUP(AJ52,[71]Listas!$F$3:$J$4,2,0))</f>
        <v>#N/A</v>
      </c>
      <c r="AL52" s="761" t="e">
        <f t="shared" si="11"/>
        <v>#N/A</v>
      </c>
      <c r="AM52" s="758" t="e">
        <f>INDEX([71]Listas!$F$6:$J$10,MATCH(AI52,[71]Listas!$D$6:$D$10,0),MATCH(AK52,[71]Listas!$F$4:$J$4,0))</f>
        <v>#N/A</v>
      </c>
      <c r="AN52" s="749"/>
      <c r="AO52" s="749"/>
      <c r="AP52" s="748"/>
      <c r="AQ52" s="749"/>
      <c r="AR52" s="749" t="s">
        <v>2343</v>
      </c>
      <c r="AS52" s="747"/>
      <c r="AT52" s="749"/>
      <c r="AU52" s="749"/>
      <c r="AV52" s="762"/>
      <c r="AW52" s="762"/>
      <c r="AX52" s="747"/>
      <c r="AY52" s="262"/>
    </row>
    <row r="53" spans="1:51" s="260" customFormat="1" ht="103.5" hidden="1" customHeight="1">
      <c r="A53" s="747"/>
      <c r="B53" s="754"/>
      <c r="C53" s="1605"/>
      <c r="D53" s="1607"/>
      <c r="E53" s="1606"/>
      <c r="F53" s="755"/>
      <c r="G53" s="1605"/>
      <c r="H53" s="1607"/>
      <c r="I53" s="1606"/>
      <c r="J53" s="1608"/>
      <c r="K53" s="1608"/>
      <c r="L53" s="1608"/>
      <c r="M53" s="747"/>
      <c r="N53" s="747"/>
      <c r="O53" s="747"/>
      <c r="P53" s="747"/>
      <c r="Q53" s="754"/>
      <c r="R53" s="754"/>
      <c r="S53" s="756"/>
      <c r="T53" s="757" t="e">
        <f>VLOOKUP(Q53,[71]Listas!$D$6:$E$10,2,0)</f>
        <v>#N/A</v>
      </c>
      <c r="U53" s="757" t="e">
        <f>HLOOKUP(R53,[71]Listas!$F$4:$J$5,2,0)</f>
        <v>#N/A</v>
      </c>
      <c r="V53" s="758" t="e">
        <f>INDEX([71]Listas!$F$6:$J$10,MATCH(Q53,[71]Listas!$D$6:$D$10,0),MATCH(R53,[71]Listas!$F$4:$J$4,0))</f>
        <v>#N/A</v>
      </c>
      <c r="W53" s="756"/>
      <c r="X53" s="1605"/>
      <c r="Y53" s="1607"/>
      <c r="Z53" s="1606"/>
      <c r="AA53" s="1086"/>
      <c r="AB53" s="755"/>
      <c r="AC53" s="749"/>
      <c r="AD53" s="747"/>
      <c r="AE53" s="755"/>
      <c r="AF53" s="756"/>
      <c r="AG53" s="757">
        <f t="shared" si="8"/>
        <v>0</v>
      </c>
      <c r="AH53" s="759" t="e">
        <f t="shared" si="9"/>
        <v>#N/A</v>
      </c>
      <c r="AI53" s="760" t="e">
        <f>IF(AH53&lt;=1,"Remota",VLOOKUP(AH53,[71]Listas!$C$6:$D$10,2,0))</f>
        <v>#N/A</v>
      </c>
      <c r="AJ53" s="759" t="e">
        <f t="shared" si="10"/>
        <v>#N/A</v>
      </c>
      <c r="AK53" s="760" t="e">
        <f>IF(AJ53&lt;=1,"Insignificante",HLOOKUP(AJ53,[71]Listas!$F$3:$J$4,2,0))</f>
        <v>#N/A</v>
      </c>
      <c r="AL53" s="761" t="e">
        <f t="shared" si="11"/>
        <v>#N/A</v>
      </c>
      <c r="AM53" s="758" t="e">
        <f>INDEX([71]Listas!$F$6:$J$10,MATCH(AI53,[71]Listas!$D$6:$D$10,0),MATCH(AK53,[71]Listas!$F$4:$J$4,0))</f>
        <v>#N/A</v>
      </c>
      <c r="AN53" s="749"/>
      <c r="AO53" s="749"/>
      <c r="AP53" s="748"/>
      <c r="AQ53" s="749"/>
      <c r="AR53" s="749" t="s">
        <v>2343</v>
      </c>
      <c r="AS53" s="747"/>
      <c r="AT53" s="749"/>
      <c r="AU53" s="749"/>
      <c r="AV53" s="762"/>
      <c r="AW53" s="762"/>
      <c r="AX53" s="747"/>
      <c r="AY53" s="262"/>
    </row>
    <row r="54" spans="1:51" s="260" customFormat="1" ht="103.5" hidden="1" customHeight="1">
      <c r="A54" s="747"/>
      <c r="B54" s="754"/>
      <c r="C54" s="1605"/>
      <c r="D54" s="1607"/>
      <c r="E54" s="1606"/>
      <c r="F54" s="755"/>
      <c r="G54" s="1605"/>
      <c r="H54" s="1607"/>
      <c r="I54" s="1606"/>
      <c r="J54" s="1608"/>
      <c r="K54" s="1608"/>
      <c r="L54" s="1608"/>
      <c r="M54" s="747"/>
      <c r="N54" s="747"/>
      <c r="O54" s="747"/>
      <c r="P54" s="747"/>
      <c r="Q54" s="754"/>
      <c r="R54" s="754"/>
      <c r="S54" s="756"/>
      <c r="T54" s="757" t="e">
        <f>VLOOKUP(Q54,[71]Listas!$D$6:$E$10,2,0)</f>
        <v>#N/A</v>
      </c>
      <c r="U54" s="757" t="e">
        <f>HLOOKUP(R54,[71]Listas!$F$4:$J$5,2,0)</f>
        <v>#N/A</v>
      </c>
      <c r="V54" s="758" t="e">
        <f>INDEX([71]Listas!$F$6:$J$10,MATCH(Q54,[71]Listas!$D$6:$D$10,0),MATCH(R54,[71]Listas!$F$4:$J$4,0))</f>
        <v>#N/A</v>
      </c>
      <c r="W54" s="756"/>
      <c r="X54" s="1605"/>
      <c r="Y54" s="1607"/>
      <c r="Z54" s="1606"/>
      <c r="AA54" s="1086"/>
      <c r="AB54" s="755"/>
      <c r="AC54" s="749"/>
      <c r="AD54" s="747"/>
      <c r="AE54" s="755"/>
      <c r="AF54" s="756"/>
      <c r="AG54" s="757">
        <f t="shared" si="8"/>
        <v>0</v>
      </c>
      <c r="AH54" s="759" t="e">
        <f t="shared" si="9"/>
        <v>#N/A</v>
      </c>
      <c r="AI54" s="760" t="e">
        <f>IF(AH54&lt;=1,"Remota",VLOOKUP(AH54,[71]Listas!$C$6:$D$10,2,0))</f>
        <v>#N/A</v>
      </c>
      <c r="AJ54" s="759" t="e">
        <f t="shared" si="10"/>
        <v>#N/A</v>
      </c>
      <c r="AK54" s="760" t="e">
        <f>IF(AJ54&lt;=1,"Insignificante",HLOOKUP(AJ54,[71]Listas!$F$3:$J$4,2,0))</f>
        <v>#N/A</v>
      </c>
      <c r="AL54" s="761" t="e">
        <f t="shared" si="11"/>
        <v>#N/A</v>
      </c>
      <c r="AM54" s="758" t="e">
        <f>INDEX([71]Listas!$F$6:$J$10,MATCH(AI54,[71]Listas!$D$6:$D$10,0),MATCH(AK54,[71]Listas!$F$4:$J$4,0))</f>
        <v>#N/A</v>
      </c>
      <c r="AN54" s="749"/>
      <c r="AO54" s="749"/>
      <c r="AP54" s="748"/>
      <c r="AQ54" s="749"/>
      <c r="AR54" s="749" t="s">
        <v>2343</v>
      </c>
      <c r="AS54" s="747"/>
      <c r="AT54" s="749"/>
      <c r="AU54" s="749"/>
      <c r="AV54" s="762"/>
      <c r="AW54" s="762"/>
      <c r="AX54" s="747"/>
      <c r="AY54" s="262"/>
    </row>
    <row r="55" spans="1:51" s="260" customFormat="1" ht="103.5" hidden="1" customHeight="1">
      <c r="A55" s="747"/>
      <c r="B55" s="754"/>
      <c r="C55" s="1605"/>
      <c r="D55" s="1607"/>
      <c r="E55" s="1606"/>
      <c r="F55" s="755"/>
      <c r="G55" s="1605"/>
      <c r="H55" s="1607"/>
      <c r="I55" s="1606"/>
      <c r="J55" s="1608"/>
      <c r="K55" s="1608"/>
      <c r="L55" s="1608"/>
      <c r="M55" s="747"/>
      <c r="N55" s="747"/>
      <c r="O55" s="747"/>
      <c r="P55" s="747"/>
      <c r="Q55" s="754"/>
      <c r="R55" s="754"/>
      <c r="S55" s="756"/>
      <c r="T55" s="757" t="e">
        <f>VLOOKUP(Q55,[71]Listas!$D$6:$E$10,2,0)</f>
        <v>#N/A</v>
      </c>
      <c r="U55" s="757" t="e">
        <f>HLOOKUP(R55,[71]Listas!$F$4:$J$5,2,0)</f>
        <v>#N/A</v>
      </c>
      <c r="V55" s="758" t="e">
        <f>INDEX([71]Listas!$F$6:$J$10,MATCH(Q55,[71]Listas!$D$6:$D$10,0),MATCH(R55,[71]Listas!$F$4:$J$4,0))</f>
        <v>#N/A</v>
      </c>
      <c r="W55" s="756"/>
      <c r="X55" s="1605"/>
      <c r="Y55" s="1607"/>
      <c r="Z55" s="1606"/>
      <c r="AA55" s="1086"/>
      <c r="AB55" s="755"/>
      <c r="AC55" s="749"/>
      <c r="AD55" s="747"/>
      <c r="AE55" s="755"/>
      <c r="AF55" s="756"/>
      <c r="AG55" s="757">
        <f t="shared" si="8"/>
        <v>0</v>
      </c>
      <c r="AH55" s="759" t="e">
        <f t="shared" si="9"/>
        <v>#N/A</v>
      </c>
      <c r="AI55" s="760" t="e">
        <f>IF(AH55&lt;=1,"Remota",VLOOKUP(AH55,[71]Listas!$C$6:$D$10,2,0))</f>
        <v>#N/A</v>
      </c>
      <c r="AJ55" s="759" t="e">
        <f t="shared" si="10"/>
        <v>#N/A</v>
      </c>
      <c r="AK55" s="760" t="e">
        <f>IF(AJ55&lt;=1,"Insignificante",HLOOKUP(AJ55,[71]Listas!$F$3:$J$4,2,0))</f>
        <v>#N/A</v>
      </c>
      <c r="AL55" s="761" t="e">
        <f t="shared" si="11"/>
        <v>#N/A</v>
      </c>
      <c r="AM55" s="758" t="e">
        <f>INDEX([71]Listas!$F$6:$J$10,MATCH(AI55,[71]Listas!$D$6:$D$10,0),MATCH(AK55,[71]Listas!$F$4:$J$4,0))</f>
        <v>#N/A</v>
      </c>
      <c r="AN55" s="749"/>
      <c r="AO55" s="749"/>
      <c r="AP55" s="748"/>
      <c r="AQ55" s="749"/>
      <c r="AR55" s="749" t="s">
        <v>2343</v>
      </c>
      <c r="AS55" s="747"/>
      <c r="AT55" s="749"/>
      <c r="AU55" s="749"/>
      <c r="AV55" s="762"/>
      <c r="AW55" s="762"/>
      <c r="AX55" s="747"/>
      <c r="AY55" s="262"/>
    </row>
    <row r="56" spans="1:51" s="260" customFormat="1" ht="103.5" hidden="1" customHeight="1">
      <c r="A56" s="747"/>
      <c r="B56" s="754"/>
      <c r="C56" s="1605"/>
      <c r="D56" s="1607"/>
      <c r="E56" s="1606"/>
      <c r="F56" s="755"/>
      <c r="G56" s="1605"/>
      <c r="H56" s="1607"/>
      <c r="I56" s="1606"/>
      <c r="J56" s="1608"/>
      <c r="K56" s="1608"/>
      <c r="L56" s="1608"/>
      <c r="M56" s="747"/>
      <c r="N56" s="747"/>
      <c r="O56" s="747"/>
      <c r="P56" s="747"/>
      <c r="Q56" s="754"/>
      <c r="R56" s="754"/>
      <c r="S56" s="756"/>
      <c r="T56" s="757" t="e">
        <f>VLOOKUP(Q56,[71]Listas!$D$6:$E$10,2,0)</f>
        <v>#N/A</v>
      </c>
      <c r="U56" s="757" t="e">
        <f>HLOOKUP(R56,[71]Listas!$F$4:$J$5,2,0)</f>
        <v>#N/A</v>
      </c>
      <c r="V56" s="758" t="e">
        <f>INDEX([71]Listas!$F$6:$J$10,MATCH(Q56,[71]Listas!$D$6:$D$10,0),MATCH(R56,[71]Listas!$F$4:$J$4,0))</f>
        <v>#N/A</v>
      </c>
      <c r="W56" s="756"/>
      <c r="X56" s="1605"/>
      <c r="Y56" s="1607"/>
      <c r="Z56" s="1606"/>
      <c r="AA56" s="1086"/>
      <c r="AB56" s="755"/>
      <c r="AC56" s="749"/>
      <c r="AD56" s="747"/>
      <c r="AE56" s="755"/>
      <c r="AF56" s="756"/>
      <c r="AG56" s="757">
        <f t="shared" si="8"/>
        <v>0</v>
      </c>
      <c r="AH56" s="759" t="e">
        <f t="shared" si="9"/>
        <v>#N/A</v>
      </c>
      <c r="AI56" s="760" t="e">
        <f>IF(AH56&lt;=1,"Remota",VLOOKUP(AH56,[71]Listas!$C$6:$D$10,2,0))</f>
        <v>#N/A</v>
      </c>
      <c r="AJ56" s="759" t="e">
        <f t="shared" si="10"/>
        <v>#N/A</v>
      </c>
      <c r="AK56" s="760" t="e">
        <f>IF(AJ56&lt;=1,"Insignificante",HLOOKUP(AJ56,[71]Listas!$F$3:$J$4,2,0))</f>
        <v>#N/A</v>
      </c>
      <c r="AL56" s="761" t="e">
        <f t="shared" si="11"/>
        <v>#N/A</v>
      </c>
      <c r="AM56" s="758" t="e">
        <f>INDEX([71]Listas!$F$6:$J$10,MATCH(AI56,[71]Listas!$D$6:$D$10,0),MATCH(AK56,[71]Listas!$F$4:$J$4,0))</f>
        <v>#N/A</v>
      </c>
      <c r="AN56" s="749"/>
      <c r="AO56" s="749"/>
      <c r="AP56" s="748"/>
      <c r="AQ56" s="749"/>
      <c r="AR56" s="749" t="s">
        <v>2343</v>
      </c>
      <c r="AS56" s="747"/>
      <c r="AT56" s="749"/>
      <c r="AU56" s="749"/>
      <c r="AV56" s="762"/>
      <c r="AW56" s="762"/>
      <c r="AX56" s="747"/>
      <c r="AY56" s="262"/>
    </row>
    <row r="57" spans="1:51" s="260" customFormat="1" ht="103.5" hidden="1" customHeight="1">
      <c r="A57" s="747"/>
      <c r="B57" s="754"/>
      <c r="C57" s="1605"/>
      <c r="D57" s="1607"/>
      <c r="E57" s="1606"/>
      <c r="F57" s="755"/>
      <c r="G57" s="1605"/>
      <c r="H57" s="1607"/>
      <c r="I57" s="1606"/>
      <c r="J57" s="1608"/>
      <c r="K57" s="1608"/>
      <c r="L57" s="1608"/>
      <c r="M57" s="747"/>
      <c r="N57" s="747"/>
      <c r="O57" s="747"/>
      <c r="P57" s="747"/>
      <c r="Q57" s="754"/>
      <c r="R57" s="754"/>
      <c r="S57" s="756"/>
      <c r="T57" s="757" t="e">
        <f>VLOOKUP(Q57,[71]Listas!$D$6:$E$10,2,0)</f>
        <v>#N/A</v>
      </c>
      <c r="U57" s="757" t="e">
        <f>HLOOKUP(R57,[71]Listas!$F$4:$J$5,2,0)</f>
        <v>#N/A</v>
      </c>
      <c r="V57" s="758" t="e">
        <f>INDEX([71]Listas!$F$6:$J$10,MATCH(Q57,[71]Listas!$D$6:$D$10,0),MATCH(R57,[71]Listas!$F$4:$J$4,0))</f>
        <v>#N/A</v>
      </c>
      <c r="W57" s="756"/>
      <c r="X57" s="1605"/>
      <c r="Y57" s="1607"/>
      <c r="Z57" s="1606"/>
      <c r="AA57" s="1086"/>
      <c r="AB57" s="755"/>
      <c r="AC57" s="749"/>
      <c r="AD57" s="747"/>
      <c r="AE57" s="755"/>
      <c r="AF57" s="756"/>
      <c r="AG57" s="757">
        <f t="shared" si="8"/>
        <v>0</v>
      </c>
      <c r="AH57" s="759" t="e">
        <f t="shared" si="9"/>
        <v>#N/A</v>
      </c>
      <c r="AI57" s="760" t="e">
        <f>IF(AH57&lt;=1,"Remota",VLOOKUP(AH57,[71]Listas!$C$6:$D$10,2,0))</f>
        <v>#N/A</v>
      </c>
      <c r="AJ57" s="759" t="e">
        <f t="shared" si="10"/>
        <v>#N/A</v>
      </c>
      <c r="AK57" s="760" t="e">
        <f>IF(AJ57&lt;=1,"Insignificante",HLOOKUP(AJ57,[71]Listas!$F$3:$J$4,2,0))</f>
        <v>#N/A</v>
      </c>
      <c r="AL57" s="761" t="e">
        <f t="shared" si="11"/>
        <v>#N/A</v>
      </c>
      <c r="AM57" s="758" t="e">
        <f>INDEX([71]Listas!$F$6:$J$10,MATCH(AI57,[71]Listas!$D$6:$D$10,0),MATCH(AK57,[71]Listas!$F$4:$J$4,0))</f>
        <v>#N/A</v>
      </c>
      <c r="AN57" s="749"/>
      <c r="AO57" s="749"/>
      <c r="AP57" s="748"/>
      <c r="AQ57" s="749"/>
      <c r="AR57" s="749" t="s">
        <v>2343</v>
      </c>
      <c r="AS57" s="747"/>
      <c r="AT57" s="749"/>
      <c r="AU57" s="749"/>
      <c r="AV57" s="762"/>
      <c r="AW57" s="762"/>
      <c r="AX57" s="747"/>
      <c r="AY57" s="262"/>
    </row>
    <row r="58" spans="1:51" s="260" customFormat="1" ht="103.5" hidden="1" customHeight="1">
      <c r="A58" s="747"/>
      <c r="B58" s="754"/>
      <c r="C58" s="1605"/>
      <c r="D58" s="1607"/>
      <c r="E58" s="1606"/>
      <c r="F58" s="755"/>
      <c r="G58" s="1605"/>
      <c r="H58" s="1607"/>
      <c r="I58" s="1606"/>
      <c r="J58" s="1608"/>
      <c r="K58" s="1608"/>
      <c r="L58" s="1608"/>
      <c r="M58" s="747"/>
      <c r="N58" s="747"/>
      <c r="O58" s="747"/>
      <c r="P58" s="747"/>
      <c r="Q58" s="754"/>
      <c r="R58" s="754"/>
      <c r="S58" s="756"/>
      <c r="T58" s="757" t="e">
        <f>VLOOKUP(Q58,[71]Listas!$D$6:$E$10,2,0)</f>
        <v>#N/A</v>
      </c>
      <c r="U58" s="757" t="e">
        <f>HLOOKUP(R58,[71]Listas!$F$4:$J$5,2,0)</f>
        <v>#N/A</v>
      </c>
      <c r="V58" s="758" t="e">
        <f>INDEX([71]Listas!$F$6:$J$10,MATCH(Q58,[71]Listas!$D$6:$D$10,0),MATCH(R58,[71]Listas!$F$4:$J$4,0))</f>
        <v>#N/A</v>
      </c>
      <c r="W58" s="756"/>
      <c r="X58" s="1605"/>
      <c r="Y58" s="1607"/>
      <c r="Z58" s="1606"/>
      <c r="AA58" s="1086"/>
      <c r="AB58" s="755"/>
      <c r="AC58" s="749"/>
      <c r="AD58" s="747"/>
      <c r="AE58" s="755"/>
      <c r="AF58" s="756"/>
      <c r="AG58" s="757">
        <f t="shared" si="8"/>
        <v>0</v>
      </c>
      <c r="AH58" s="759" t="e">
        <f t="shared" si="9"/>
        <v>#N/A</v>
      </c>
      <c r="AI58" s="760" t="e">
        <f>IF(AH58&lt;=1,"Remota",VLOOKUP(AH58,[71]Listas!$C$6:$D$10,2,0))</f>
        <v>#N/A</v>
      </c>
      <c r="AJ58" s="759" t="e">
        <f t="shared" si="10"/>
        <v>#N/A</v>
      </c>
      <c r="AK58" s="760" t="e">
        <f>IF(AJ58&lt;=1,"Insignificante",HLOOKUP(AJ58,[71]Listas!$F$3:$J$4,2,0))</f>
        <v>#N/A</v>
      </c>
      <c r="AL58" s="761" t="e">
        <f t="shared" si="11"/>
        <v>#N/A</v>
      </c>
      <c r="AM58" s="758" t="e">
        <f>INDEX([71]Listas!$F$6:$J$10,MATCH(AI58,[71]Listas!$D$6:$D$10,0),MATCH(AK58,[71]Listas!$F$4:$J$4,0))</f>
        <v>#N/A</v>
      </c>
      <c r="AN58" s="749"/>
      <c r="AO58" s="749"/>
      <c r="AP58" s="748"/>
      <c r="AQ58" s="749"/>
      <c r="AR58" s="749" t="s">
        <v>2343</v>
      </c>
      <c r="AS58" s="747"/>
      <c r="AT58" s="749"/>
      <c r="AU58" s="749"/>
      <c r="AV58" s="762"/>
      <c r="AW58" s="762"/>
      <c r="AX58" s="747"/>
      <c r="AY58" s="262"/>
    </row>
    <row r="59" spans="1:51" s="260" customFormat="1" ht="103.5" hidden="1" customHeight="1">
      <c r="A59" s="747"/>
      <c r="B59" s="754"/>
      <c r="C59" s="1605"/>
      <c r="D59" s="1607"/>
      <c r="E59" s="1606"/>
      <c r="F59" s="755"/>
      <c r="G59" s="1605"/>
      <c r="H59" s="1607"/>
      <c r="I59" s="1606"/>
      <c r="J59" s="1608"/>
      <c r="K59" s="1608"/>
      <c r="L59" s="1608"/>
      <c r="M59" s="747"/>
      <c r="N59" s="747"/>
      <c r="O59" s="747"/>
      <c r="P59" s="747"/>
      <c r="Q59" s="754"/>
      <c r="R59" s="754"/>
      <c r="S59" s="756"/>
      <c r="T59" s="757" t="e">
        <f>VLOOKUP(Q59,[71]Listas!$D$6:$E$10,2,0)</f>
        <v>#N/A</v>
      </c>
      <c r="U59" s="757" t="e">
        <f>HLOOKUP(R59,[71]Listas!$F$4:$J$5,2,0)</f>
        <v>#N/A</v>
      </c>
      <c r="V59" s="758" t="e">
        <f>INDEX([71]Listas!$F$6:$J$10,MATCH(Q59,[71]Listas!$D$6:$D$10,0),MATCH(R59,[71]Listas!$F$4:$J$4,0))</f>
        <v>#N/A</v>
      </c>
      <c r="W59" s="756"/>
      <c r="X59" s="1605"/>
      <c r="Y59" s="1607"/>
      <c r="Z59" s="1606"/>
      <c r="AA59" s="1086"/>
      <c r="AB59" s="755"/>
      <c r="AC59" s="749"/>
      <c r="AD59" s="747"/>
      <c r="AE59" s="755"/>
      <c r="AF59" s="756"/>
      <c r="AG59" s="757">
        <f t="shared" si="8"/>
        <v>0</v>
      </c>
      <c r="AH59" s="759" t="e">
        <f t="shared" si="9"/>
        <v>#N/A</v>
      </c>
      <c r="AI59" s="760" t="e">
        <f>IF(AH59&lt;=1,"Remota",VLOOKUP(AH59,[71]Listas!$C$6:$D$10,2,0))</f>
        <v>#N/A</v>
      </c>
      <c r="AJ59" s="759" t="e">
        <f t="shared" si="10"/>
        <v>#N/A</v>
      </c>
      <c r="AK59" s="760" t="e">
        <f>IF(AJ59&lt;=1,"Insignificante",HLOOKUP(AJ59,[71]Listas!$F$3:$J$4,2,0))</f>
        <v>#N/A</v>
      </c>
      <c r="AL59" s="761" t="e">
        <f t="shared" si="11"/>
        <v>#N/A</v>
      </c>
      <c r="AM59" s="758" t="e">
        <f>INDEX([71]Listas!$F$6:$J$10,MATCH(AI59,[71]Listas!$D$6:$D$10,0),MATCH(AK59,[71]Listas!$F$4:$J$4,0))</f>
        <v>#N/A</v>
      </c>
      <c r="AN59" s="749"/>
      <c r="AO59" s="749"/>
      <c r="AP59" s="748"/>
      <c r="AQ59" s="749"/>
      <c r="AR59" s="749" t="s">
        <v>2343</v>
      </c>
      <c r="AS59" s="747"/>
      <c r="AT59" s="749"/>
      <c r="AU59" s="749"/>
      <c r="AV59" s="762"/>
      <c r="AW59" s="762"/>
      <c r="AX59" s="747"/>
      <c r="AY59" s="262"/>
    </row>
    <row r="60" spans="1:51" s="260" customFormat="1" ht="103.5" hidden="1" customHeight="1">
      <c r="A60" s="747"/>
      <c r="B60" s="754"/>
      <c r="C60" s="1605"/>
      <c r="D60" s="1607"/>
      <c r="E60" s="1606"/>
      <c r="F60" s="755"/>
      <c r="G60" s="1605"/>
      <c r="H60" s="1607"/>
      <c r="I60" s="1606"/>
      <c r="J60" s="1608"/>
      <c r="K60" s="1608"/>
      <c r="L60" s="1608"/>
      <c r="M60" s="747"/>
      <c r="N60" s="747"/>
      <c r="O60" s="747"/>
      <c r="P60" s="747"/>
      <c r="Q60" s="754"/>
      <c r="R60" s="754"/>
      <c r="S60" s="756"/>
      <c r="T60" s="757" t="e">
        <f>VLOOKUP(Q60,[71]Listas!$D$6:$E$10,2,0)</f>
        <v>#N/A</v>
      </c>
      <c r="U60" s="757" t="e">
        <f>HLOOKUP(R60,[71]Listas!$F$4:$J$5,2,0)</f>
        <v>#N/A</v>
      </c>
      <c r="V60" s="758" t="e">
        <f>INDEX([71]Listas!$F$6:$J$10,MATCH(Q60,[71]Listas!$D$6:$D$10,0),MATCH(R60,[71]Listas!$F$4:$J$4,0))</f>
        <v>#N/A</v>
      </c>
      <c r="W60" s="756"/>
      <c r="X60" s="1605"/>
      <c r="Y60" s="1607"/>
      <c r="Z60" s="1606"/>
      <c r="AA60" s="1086"/>
      <c r="AB60" s="755"/>
      <c r="AC60" s="749"/>
      <c r="AD60" s="747"/>
      <c r="AE60" s="755"/>
      <c r="AF60" s="756"/>
      <c r="AG60" s="757">
        <f t="shared" si="8"/>
        <v>0</v>
      </c>
      <c r="AH60" s="759" t="e">
        <f t="shared" si="9"/>
        <v>#N/A</v>
      </c>
      <c r="AI60" s="760" t="e">
        <f>IF(AH60&lt;=1,"Remota",VLOOKUP(AH60,[71]Listas!$C$6:$D$10,2,0))</f>
        <v>#N/A</v>
      </c>
      <c r="AJ60" s="759" t="e">
        <f t="shared" si="10"/>
        <v>#N/A</v>
      </c>
      <c r="AK60" s="760" t="e">
        <f>IF(AJ60&lt;=1,"Insignificante",HLOOKUP(AJ60,[71]Listas!$F$3:$J$4,2,0))</f>
        <v>#N/A</v>
      </c>
      <c r="AL60" s="761" t="e">
        <f t="shared" si="11"/>
        <v>#N/A</v>
      </c>
      <c r="AM60" s="758" t="e">
        <f>INDEX([71]Listas!$F$6:$J$10,MATCH(AI60,[71]Listas!$D$6:$D$10,0),MATCH(AK60,[71]Listas!$F$4:$J$4,0))</f>
        <v>#N/A</v>
      </c>
      <c r="AN60" s="749"/>
      <c r="AO60" s="749"/>
      <c r="AP60" s="748"/>
      <c r="AQ60" s="749"/>
      <c r="AR60" s="749" t="s">
        <v>2343</v>
      </c>
      <c r="AS60" s="747"/>
      <c r="AT60" s="749"/>
      <c r="AU60" s="749"/>
      <c r="AV60" s="762"/>
      <c r="AW60" s="762"/>
      <c r="AX60" s="747"/>
      <c r="AY60" s="262"/>
    </row>
    <row r="61" spans="1:51" s="260" customFormat="1" ht="103.5" hidden="1" customHeight="1">
      <c r="A61" s="747"/>
      <c r="B61" s="754"/>
      <c r="C61" s="1605"/>
      <c r="D61" s="1607"/>
      <c r="E61" s="1606"/>
      <c r="F61" s="755"/>
      <c r="G61" s="1605"/>
      <c r="H61" s="1607"/>
      <c r="I61" s="1606"/>
      <c r="J61" s="1608"/>
      <c r="K61" s="1608"/>
      <c r="L61" s="1608"/>
      <c r="M61" s="747"/>
      <c r="N61" s="747"/>
      <c r="O61" s="747"/>
      <c r="P61" s="747"/>
      <c r="Q61" s="754"/>
      <c r="R61" s="754"/>
      <c r="S61" s="756"/>
      <c r="T61" s="757" t="e">
        <f>VLOOKUP(Q61,[71]Listas!$D$6:$E$10,2,0)</f>
        <v>#N/A</v>
      </c>
      <c r="U61" s="757" t="e">
        <f>HLOOKUP(R61,[71]Listas!$F$4:$J$5,2,0)</f>
        <v>#N/A</v>
      </c>
      <c r="V61" s="758" t="e">
        <f>INDEX([71]Listas!$F$6:$J$10,MATCH(Q61,[71]Listas!$D$6:$D$10,0),MATCH(R61,[71]Listas!$F$4:$J$4,0))</f>
        <v>#N/A</v>
      </c>
      <c r="W61" s="756"/>
      <c r="X61" s="1605"/>
      <c r="Y61" s="1607"/>
      <c r="Z61" s="1606"/>
      <c r="AA61" s="1086"/>
      <c r="AB61" s="755"/>
      <c r="AC61" s="749"/>
      <c r="AD61" s="747"/>
      <c r="AE61" s="755"/>
      <c r="AF61" s="756"/>
      <c r="AG61" s="757">
        <f t="shared" si="8"/>
        <v>0</v>
      </c>
      <c r="AH61" s="759" t="e">
        <f t="shared" si="9"/>
        <v>#N/A</v>
      </c>
      <c r="AI61" s="760" t="e">
        <f>IF(AH61&lt;=1,"Remota",VLOOKUP(AH61,[71]Listas!$C$6:$D$10,2,0))</f>
        <v>#N/A</v>
      </c>
      <c r="AJ61" s="759" t="e">
        <f t="shared" si="10"/>
        <v>#N/A</v>
      </c>
      <c r="AK61" s="760" t="e">
        <f>IF(AJ61&lt;=1,"Insignificante",HLOOKUP(AJ61,[71]Listas!$F$3:$J$4,2,0))</f>
        <v>#N/A</v>
      </c>
      <c r="AL61" s="761" t="e">
        <f t="shared" si="11"/>
        <v>#N/A</v>
      </c>
      <c r="AM61" s="758" t="e">
        <f>INDEX([71]Listas!$F$6:$J$10,MATCH(AI61,[71]Listas!$D$6:$D$10,0),MATCH(AK61,[71]Listas!$F$4:$J$4,0))</f>
        <v>#N/A</v>
      </c>
      <c r="AN61" s="749"/>
      <c r="AO61" s="749"/>
      <c r="AP61" s="748"/>
      <c r="AQ61" s="749"/>
      <c r="AR61" s="749" t="s">
        <v>2343</v>
      </c>
      <c r="AS61" s="747"/>
      <c r="AT61" s="749"/>
      <c r="AU61" s="749"/>
      <c r="AV61" s="762"/>
      <c r="AW61" s="762"/>
      <c r="AX61" s="747"/>
      <c r="AY61" s="262"/>
    </row>
    <row r="62" spans="1:51" s="260" customFormat="1" ht="103.5" hidden="1" customHeight="1">
      <c r="A62" s="747"/>
      <c r="B62" s="754"/>
      <c r="C62" s="1605"/>
      <c r="D62" s="1607"/>
      <c r="E62" s="1606"/>
      <c r="F62" s="755"/>
      <c r="G62" s="1605"/>
      <c r="H62" s="1607"/>
      <c r="I62" s="1606"/>
      <c r="J62" s="1608"/>
      <c r="K62" s="1608"/>
      <c r="L62" s="1608"/>
      <c r="M62" s="747"/>
      <c r="N62" s="747"/>
      <c r="O62" s="747"/>
      <c r="P62" s="747"/>
      <c r="Q62" s="754"/>
      <c r="R62" s="754"/>
      <c r="S62" s="756"/>
      <c r="T62" s="757" t="e">
        <f>VLOOKUP(Q62,[71]Listas!$D$6:$E$10,2,0)</f>
        <v>#N/A</v>
      </c>
      <c r="U62" s="757" t="e">
        <f>HLOOKUP(R62,[71]Listas!$F$4:$J$5,2,0)</f>
        <v>#N/A</v>
      </c>
      <c r="V62" s="758" t="e">
        <f>INDEX([71]Listas!$F$6:$J$10,MATCH(Q62,[71]Listas!$D$6:$D$10,0),MATCH(R62,[71]Listas!$F$4:$J$4,0))</f>
        <v>#N/A</v>
      </c>
      <c r="W62" s="756"/>
      <c r="X62" s="1605"/>
      <c r="Y62" s="1607"/>
      <c r="Z62" s="1606"/>
      <c r="AA62" s="1086"/>
      <c r="AB62" s="755"/>
      <c r="AC62" s="749"/>
      <c r="AD62" s="747"/>
      <c r="AE62" s="755"/>
      <c r="AF62" s="756"/>
      <c r="AG62" s="757">
        <f t="shared" si="8"/>
        <v>0</v>
      </c>
      <c r="AH62" s="759" t="e">
        <f t="shared" si="9"/>
        <v>#N/A</v>
      </c>
      <c r="AI62" s="760" t="e">
        <f>IF(AH62&lt;=1,"Remota",VLOOKUP(AH62,[71]Listas!$C$6:$D$10,2,0))</f>
        <v>#N/A</v>
      </c>
      <c r="AJ62" s="759" t="e">
        <f t="shared" si="10"/>
        <v>#N/A</v>
      </c>
      <c r="AK62" s="760" t="e">
        <f>IF(AJ62&lt;=1,"Insignificante",HLOOKUP(AJ62,[71]Listas!$F$3:$J$4,2,0))</f>
        <v>#N/A</v>
      </c>
      <c r="AL62" s="761" t="e">
        <f t="shared" si="11"/>
        <v>#N/A</v>
      </c>
      <c r="AM62" s="758" t="e">
        <f>INDEX([71]Listas!$F$6:$J$10,MATCH(AI62,[71]Listas!$D$6:$D$10,0),MATCH(AK62,[71]Listas!$F$4:$J$4,0))</f>
        <v>#N/A</v>
      </c>
      <c r="AN62" s="749"/>
      <c r="AO62" s="749"/>
      <c r="AP62" s="748"/>
      <c r="AQ62" s="749"/>
      <c r="AR62" s="749" t="s">
        <v>2343</v>
      </c>
      <c r="AS62" s="747"/>
      <c r="AT62" s="749"/>
      <c r="AU62" s="749"/>
      <c r="AV62" s="762"/>
      <c r="AW62" s="762"/>
      <c r="AX62" s="747"/>
      <c r="AY62" s="262"/>
    </row>
    <row r="63" spans="1:51" s="260" customFormat="1" ht="103.5" hidden="1" customHeight="1">
      <c r="A63" s="747"/>
      <c r="B63" s="754"/>
      <c r="C63" s="1605"/>
      <c r="D63" s="1607"/>
      <c r="E63" s="1606"/>
      <c r="F63" s="755"/>
      <c r="G63" s="1605"/>
      <c r="H63" s="1607"/>
      <c r="I63" s="1606"/>
      <c r="J63" s="1608"/>
      <c r="K63" s="1608"/>
      <c r="L63" s="1608"/>
      <c r="M63" s="747"/>
      <c r="N63" s="747"/>
      <c r="O63" s="747"/>
      <c r="P63" s="747"/>
      <c r="Q63" s="754"/>
      <c r="R63" s="754"/>
      <c r="S63" s="756"/>
      <c r="T63" s="757" t="e">
        <f>VLOOKUP(Q63,[71]Listas!$D$6:$E$10,2,0)</f>
        <v>#N/A</v>
      </c>
      <c r="U63" s="757" t="e">
        <f>HLOOKUP(R63,[71]Listas!$F$4:$J$5,2,0)</f>
        <v>#N/A</v>
      </c>
      <c r="V63" s="758" t="e">
        <f>INDEX([71]Listas!$F$6:$J$10,MATCH(Q63,[71]Listas!$D$6:$D$10,0),MATCH(R63,[71]Listas!$F$4:$J$4,0))</f>
        <v>#N/A</v>
      </c>
      <c r="W63" s="756"/>
      <c r="X63" s="1605"/>
      <c r="Y63" s="1607"/>
      <c r="Z63" s="1606"/>
      <c r="AA63" s="1086"/>
      <c r="AB63" s="755"/>
      <c r="AC63" s="749"/>
      <c r="AD63" s="747"/>
      <c r="AE63" s="755"/>
      <c r="AF63" s="756"/>
      <c r="AG63" s="757">
        <f t="shared" si="8"/>
        <v>0</v>
      </c>
      <c r="AH63" s="759" t="e">
        <f t="shared" si="9"/>
        <v>#N/A</v>
      </c>
      <c r="AI63" s="760" t="e">
        <f>IF(AH63&lt;=1,"Remota",VLOOKUP(AH63,[71]Listas!$C$6:$D$10,2,0))</f>
        <v>#N/A</v>
      </c>
      <c r="AJ63" s="759" t="e">
        <f t="shared" si="10"/>
        <v>#N/A</v>
      </c>
      <c r="AK63" s="760" t="e">
        <f>IF(AJ63&lt;=1,"Insignificante",HLOOKUP(AJ63,[71]Listas!$F$3:$J$4,2,0))</f>
        <v>#N/A</v>
      </c>
      <c r="AL63" s="761" t="e">
        <f t="shared" si="11"/>
        <v>#N/A</v>
      </c>
      <c r="AM63" s="758" t="e">
        <f>INDEX([71]Listas!$F$6:$J$10,MATCH(AI63,[71]Listas!$D$6:$D$10,0),MATCH(AK63,[71]Listas!$F$4:$J$4,0))</f>
        <v>#N/A</v>
      </c>
      <c r="AN63" s="749"/>
      <c r="AO63" s="749"/>
      <c r="AP63" s="748"/>
      <c r="AQ63" s="749"/>
      <c r="AR63" s="749" t="s">
        <v>2343</v>
      </c>
      <c r="AS63" s="747"/>
      <c r="AT63" s="749"/>
      <c r="AU63" s="749"/>
      <c r="AV63" s="762"/>
      <c r="AW63" s="762"/>
      <c r="AX63" s="747"/>
      <c r="AY63" s="262"/>
    </row>
    <row r="64" spans="1:51" s="260" customFormat="1" ht="103.5" hidden="1" customHeight="1">
      <c r="A64" s="747"/>
      <c r="B64" s="754"/>
      <c r="C64" s="1605"/>
      <c r="D64" s="1607"/>
      <c r="E64" s="1606"/>
      <c r="F64" s="755"/>
      <c r="G64" s="1605"/>
      <c r="H64" s="1607"/>
      <c r="I64" s="1606"/>
      <c r="J64" s="1608"/>
      <c r="K64" s="1608"/>
      <c r="L64" s="1608"/>
      <c r="M64" s="747"/>
      <c r="N64" s="747"/>
      <c r="O64" s="747"/>
      <c r="P64" s="747"/>
      <c r="Q64" s="754"/>
      <c r="R64" s="754"/>
      <c r="S64" s="756"/>
      <c r="T64" s="757" t="e">
        <f>VLOOKUP(Q64,[71]Listas!$D$6:$E$10,2,0)</f>
        <v>#N/A</v>
      </c>
      <c r="U64" s="757" t="e">
        <f>HLOOKUP(R64,[71]Listas!$F$4:$J$5,2,0)</f>
        <v>#N/A</v>
      </c>
      <c r="V64" s="758" t="e">
        <f>INDEX([71]Listas!$F$6:$J$10,MATCH(Q64,[71]Listas!$D$6:$D$10,0),MATCH(R64,[71]Listas!$F$4:$J$4,0))</f>
        <v>#N/A</v>
      </c>
      <c r="W64" s="756"/>
      <c r="X64" s="1605"/>
      <c r="Y64" s="1607"/>
      <c r="Z64" s="1606"/>
      <c r="AA64" s="1086"/>
      <c r="AB64" s="755"/>
      <c r="AC64" s="749"/>
      <c r="AD64" s="747"/>
      <c r="AE64" s="755"/>
      <c r="AF64" s="756"/>
      <c r="AG64" s="757">
        <f t="shared" si="8"/>
        <v>0</v>
      </c>
      <c r="AH64" s="759" t="e">
        <f t="shared" si="9"/>
        <v>#N/A</v>
      </c>
      <c r="AI64" s="760" t="e">
        <f>IF(AH64&lt;=1,"Remota",VLOOKUP(AH64,[71]Listas!$C$6:$D$10,2,0))</f>
        <v>#N/A</v>
      </c>
      <c r="AJ64" s="759" t="e">
        <f t="shared" si="10"/>
        <v>#N/A</v>
      </c>
      <c r="AK64" s="760" t="e">
        <f>IF(AJ64&lt;=1,"Insignificante",HLOOKUP(AJ64,[71]Listas!$F$3:$J$4,2,0))</f>
        <v>#N/A</v>
      </c>
      <c r="AL64" s="761" t="e">
        <f t="shared" si="11"/>
        <v>#N/A</v>
      </c>
      <c r="AM64" s="758" t="e">
        <f>INDEX([71]Listas!$F$6:$J$10,MATCH(AI64,[71]Listas!$D$6:$D$10,0),MATCH(AK64,[71]Listas!$F$4:$J$4,0))</f>
        <v>#N/A</v>
      </c>
      <c r="AN64" s="749"/>
      <c r="AO64" s="749"/>
      <c r="AP64" s="748"/>
      <c r="AQ64" s="749"/>
      <c r="AR64" s="749" t="s">
        <v>2343</v>
      </c>
      <c r="AS64" s="747"/>
      <c r="AT64" s="749"/>
      <c r="AU64" s="749"/>
      <c r="AV64" s="762"/>
      <c r="AW64" s="762"/>
      <c r="AX64" s="747"/>
      <c r="AY64" s="262"/>
    </row>
    <row r="65" spans="1:51" s="260" customFormat="1" ht="103.5" hidden="1" customHeight="1">
      <c r="A65" s="747"/>
      <c r="B65" s="754"/>
      <c r="C65" s="1605"/>
      <c r="D65" s="1607"/>
      <c r="E65" s="1606"/>
      <c r="F65" s="754"/>
      <c r="G65" s="1605"/>
      <c r="H65" s="1607"/>
      <c r="I65" s="1606"/>
      <c r="J65" s="1608"/>
      <c r="K65" s="1608"/>
      <c r="L65" s="1608"/>
      <c r="M65" s="747"/>
      <c r="N65" s="747"/>
      <c r="O65" s="747"/>
      <c r="P65" s="747"/>
      <c r="Q65" s="754"/>
      <c r="R65" s="754"/>
      <c r="S65" s="756"/>
      <c r="T65" s="757" t="e">
        <f>VLOOKUP(Q65,[71]Listas!$D$6:$E$10,2,0)</f>
        <v>#N/A</v>
      </c>
      <c r="U65" s="757" t="e">
        <f>HLOOKUP(R65,[71]Listas!$F$4:$J$5,2,0)</f>
        <v>#N/A</v>
      </c>
      <c r="V65" s="758" t="e">
        <f>INDEX([71]Listas!$F$6:$J$10,MATCH(Q65,[71]Listas!$D$6:$D$10,0),MATCH(R65,[71]Listas!$F$4:$J$4,0))</f>
        <v>#N/A</v>
      </c>
      <c r="W65" s="756"/>
      <c r="X65" s="1605"/>
      <c r="Y65" s="1607"/>
      <c r="Z65" s="1606"/>
      <c r="AA65" s="1086"/>
      <c r="AB65" s="755"/>
      <c r="AC65" s="749"/>
      <c r="AD65" s="747"/>
      <c r="AE65" s="755"/>
      <c r="AF65" s="756"/>
      <c r="AG65" s="757">
        <f>IF(AD65&lt;=33,0,IF(AD65&gt;81,2,1))</f>
        <v>0</v>
      </c>
      <c r="AH65" s="759" t="e">
        <f>IF(OR(AE65="Probabilidad",AE65="Ambos"),T65-AG65,T65)</f>
        <v>#N/A</v>
      </c>
      <c r="AI65" s="760" t="e">
        <f>IF(AH65&lt;=1,"Remota",VLOOKUP(AH65,[71]Listas!$C$6:$D$10,2,0))</f>
        <v>#N/A</v>
      </c>
      <c r="AJ65" s="759" t="e">
        <f>IF(OR(AE65="Impacto",AE65="Ambos"),U65-AG65,U65)</f>
        <v>#N/A</v>
      </c>
      <c r="AK65" s="760" t="e">
        <f>IF(AJ65&lt;=1,"Insignificante",HLOOKUP(AJ65,[71]Listas!$F$3:$J$4,2,0))</f>
        <v>#N/A</v>
      </c>
      <c r="AL65" s="761" t="e">
        <f>AH65*AJ65</f>
        <v>#N/A</v>
      </c>
      <c r="AM65" s="758" t="e">
        <f>INDEX([71]Listas!$F$6:$J$10,MATCH(AI65,[71]Listas!$D$6:$D$10,0),MATCH(AK65,[71]Listas!$F$4:$J$4,0))</f>
        <v>#N/A</v>
      </c>
      <c r="AN65" s="749"/>
      <c r="AO65" s="749"/>
      <c r="AP65" s="748"/>
      <c r="AQ65" s="749"/>
      <c r="AR65" s="749" t="s">
        <v>2343</v>
      </c>
      <c r="AS65" s="747"/>
      <c r="AT65" s="763"/>
      <c r="AU65" s="749"/>
      <c r="AV65" s="762"/>
      <c r="AW65" s="762"/>
      <c r="AX65" s="747"/>
      <c r="AY65" s="262"/>
    </row>
    <row r="66" spans="1:51" s="260" customFormat="1" ht="103.5" hidden="1" customHeight="1">
      <c r="A66" s="747"/>
      <c r="B66" s="754"/>
      <c r="C66" s="1605"/>
      <c r="D66" s="1607"/>
      <c r="E66" s="1606"/>
      <c r="F66" s="755"/>
      <c r="G66" s="1605"/>
      <c r="H66" s="1607"/>
      <c r="I66" s="1606"/>
      <c r="J66" s="1608"/>
      <c r="K66" s="1608"/>
      <c r="L66" s="1608"/>
      <c r="M66" s="747"/>
      <c r="N66" s="747"/>
      <c r="O66" s="747"/>
      <c r="P66" s="747"/>
      <c r="Q66" s="754"/>
      <c r="R66" s="754"/>
      <c r="S66" s="756"/>
      <c r="T66" s="757" t="e">
        <f>VLOOKUP(Q66,[71]Listas!$D$6:$E$10,2,0)</f>
        <v>#N/A</v>
      </c>
      <c r="U66" s="757" t="e">
        <f>HLOOKUP(R66,[71]Listas!$F$4:$J$5,2,0)</f>
        <v>#N/A</v>
      </c>
      <c r="V66" s="758" t="e">
        <f>INDEX([71]Listas!$F$6:$J$10,MATCH(Q66,[71]Listas!$D$6:$D$10,0),MATCH(R66,[71]Listas!$F$4:$J$4,0))</f>
        <v>#N/A</v>
      </c>
      <c r="W66" s="756"/>
      <c r="X66" s="1605"/>
      <c r="Y66" s="1607"/>
      <c r="Z66" s="1606"/>
      <c r="AA66" s="1086"/>
      <c r="AB66" s="755"/>
      <c r="AC66" s="749"/>
      <c r="AD66" s="747"/>
      <c r="AE66" s="755"/>
      <c r="AF66" s="756"/>
      <c r="AG66" s="757">
        <f t="shared" ref="AG66:AG86" si="12">IF(AD66&lt;=33,0,IF(AD66&gt;81,2,1))</f>
        <v>0</v>
      </c>
      <c r="AH66" s="759" t="e">
        <f t="shared" ref="AH66:AH86" si="13">IF(OR(AE66="Probabilidad",AE66="Ambos"),T66-AG66,T66)</f>
        <v>#N/A</v>
      </c>
      <c r="AI66" s="760" t="e">
        <f>IF(AH66&lt;=1,"Remota",VLOOKUP(AH66,[71]Listas!$C$6:$D$10,2,0))</f>
        <v>#N/A</v>
      </c>
      <c r="AJ66" s="759" t="e">
        <f t="shared" ref="AJ66:AJ86" si="14">IF(OR(AE66="Impacto",AE66="Ambos"),U66-AG66,U66)</f>
        <v>#N/A</v>
      </c>
      <c r="AK66" s="760" t="e">
        <f>IF(AJ66&lt;=1,"Insignificante",HLOOKUP(AJ66,[71]Listas!$F$3:$J$4,2,0))</f>
        <v>#N/A</v>
      </c>
      <c r="AL66" s="761" t="e">
        <f t="shared" ref="AL66:AL86" si="15">AH66*AJ66</f>
        <v>#N/A</v>
      </c>
      <c r="AM66" s="758" t="e">
        <f>INDEX([71]Listas!$F$6:$J$10,MATCH(AI66,[71]Listas!$D$6:$D$10,0),MATCH(AK66,[71]Listas!$F$4:$J$4,0))</f>
        <v>#N/A</v>
      </c>
      <c r="AN66" s="749"/>
      <c r="AO66" s="749"/>
      <c r="AP66" s="748"/>
      <c r="AQ66" s="749"/>
      <c r="AR66" s="749" t="s">
        <v>2343</v>
      </c>
      <c r="AS66" s="747"/>
      <c r="AT66" s="749"/>
      <c r="AU66" s="749"/>
      <c r="AV66" s="762"/>
      <c r="AW66" s="762"/>
      <c r="AX66" s="747"/>
      <c r="AY66" s="262"/>
    </row>
    <row r="67" spans="1:51" s="260" customFormat="1" ht="103.5" hidden="1" customHeight="1">
      <c r="A67" s="747"/>
      <c r="B67" s="754"/>
      <c r="C67" s="1605"/>
      <c r="D67" s="1607"/>
      <c r="E67" s="1606"/>
      <c r="F67" s="755"/>
      <c r="G67" s="1605"/>
      <c r="H67" s="1607"/>
      <c r="I67" s="1606"/>
      <c r="J67" s="1608"/>
      <c r="K67" s="1608"/>
      <c r="L67" s="1608"/>
      <c r="M67" s="747"/>
      <c r="N67" s="747"/>
      <c r="O67" s="747"/>
      <c r="P67" s="747"/>
      <c r="Q67" s="754"/>
      <c r="R67" s="754"/>
      <c r="S67" s="756"/>
      <c r="T67" s="757" t="e">
        <f>VLOOKUP(Q67,[71]Listas!$D$6:$E$10,2,0)</f>
        <v>#N/A</v>
      </c>
      <c r="U67" s="757" t="e">
        <f>HLOOKUP(R67,[71]Listas!$F$4:$J$5,2,0)</f>
        <v>#N/A</v>
      </c>
      <c r="V67" s="758" t="e">
        <f>INDEX([71]Listas!$F$6:$J$10,MATCH(Q67,[71]Listas!$D$6:$D$10,0),MATCH(R67,[71]Listas!$F$4:$J$4,0))</f>
        <v>#N/A</v>
      </c>
      <c r="W67" s="756"/>
      <c r="X67" s="1605"/>
      <c r="Y67" s="1607"/>
      <c r="Z67" s="1606"/>
      <c r="AA67" s="1086"/>
      <c r="AB67" s="755"/>
      <c r="AC67" s="749"/>
      <c r="AD67" s="747"/>
      <c r="AE67" s="755"/>
      <c r="AF67" s="756"/>
      <c r="AG67" s="757">
        <f t="shared" si="12"/>
        <v>0</v>
      </c>
      <c r="AH67" s="759" t="e">
        <f t="shared" si="13"/>
        <v>#N/A</v>
      </c>
      <c r="AI67" s="760" t="e">
        <f>IF(AH67&lt;=1,"Remota",VLOOKUP(AH67,[71]Listas!$C$6:$D$10,2,0))</f>
        <v>#N/A</v>
      </c>
      <c r="AJ67" s="759" t="e">
        <f t="shared" si="14"/>
        <v>#N/A</v>
      </c>
      <c r="AK67" s="760" t="e">
        <f>IF(AJ67&lt;=1,"Insignificante",HLOOKUP(AJ67,[71]Listas!$F$3:$J$4,2,0))</f>
        <v>#N/A</v>
      </c>
      <c r="AL67" s="761" t="e">
        <f t="shared" si="15"/>
        <v>#N/A</v>
      </c>
      <c r="AM67" s="758" t="e">
        <f>INDEX([71]Listas!$F$6:$J$10,MATCH(AI67,[71]Listas!$D$6:$D$10,0),MATCH(AK67,[71]Listas!$F$4:$J$4,0))</f>
        <v>#N/A</v>
      </c>
      <c r="AN67" s="749"/>
      <c r="AO67" s="749"/>
      <c r="AP67" s="748"/>
      <c r="AQ67" s="749"/>
      <c r="AR67" s="749" t="s">
        <v>2343</v>
      </c>
      <c r="AS67" s="747"/>
      <c r="AT67" s="749"/>
      <c r="AU67" s="749"/>
      <c r="AV67" s="762"/>
      <c r="AW67" s="762"/>
      <c r="AX67" s="747"/>
      <c r="AY67" s="262"/>
    </row>
    <row r="68" spans="1:51" s="260" customFormat="1" ht="103.5" hidden="1" customHeight="1">
      <c r="A68" s="747"/>
      <c r="B68" s="754"/>
      <c r="C68" s="1605"/>
      <c r="D68" s="1607"/>
      <c r="E68" s="1606"/>
      <c r="F68" s="755"/>
      <c r="G68" s="1605"/>
      <c r="H68" s="1607"/>
      <c r="I68" s="1606"/>
      <c r="J68" s="1608"/>
      <c r="K68" s="1608"/>
      <c r="L68" s="1608"/>
      <c r="M68" s="747"/>
      <c r="N68" s="747"/>
      <c r="O68" s="747"/>
      <c r="P68" s="747"/>
      <c r="Q68" s="754"/>
      <c r="R68" s="754"/>
      <c r="S68" s="756"/>
      <c r="T68" s="757" t="e">
        <f>VLOOKUP(Q68,[71]Listas!$D$6:$E$10,2,0)</f>
        <v>#N/A</v>
      </c>
      <c r="U68" s="757" t="e">
        <f>HLOOKUP(R68,[71]Listas!$F$4:$J$5,2,0)</f>
        <v>#N/A</v>
      </c>
      <c r="V68" s="758" t="e">
        <f>INDEX([71]Listas!$F$6:$J$10,MATCH(Q68,[71]Listas!$D$6:$D$10,0),MATCH(R68,[71]Listas!$F$4:$J$4,0))</f>
        <v>#N/A</v>
      </c>
      <c r="W68" s="756"/>
      <c r="X68" s="1605"/>
      <c r="Y68" s="1607"/>
      <c r="Z68" s="1606"/>
      <c r="AA68" s="1086"/>
      <c r="AB68" s="755"/>
      <c r="AC68" s="749"/>
      <c r="AD68" s="747"/>
      <c r="AE68" s="755"/>
      <c r="AF68" s="756"/>
      <c r="AG68" s="757">
        <f t="shared" si="12"/>
        <v>0</v>
      </c>
      <c r="AH68" s="759" t="e">
        <f t="shared" si="13"/>
        <v>#N/A</v>
      </c>
      <c r="AI68" s="760" t="e">
        <f>IF(AH68&lt;=1,"Remota",VLOOKUP(AH68,[71]Listas!$C$6:$D$10,2,0))</f>
        <v>#N/A</v>
      </c>
      <c r="AJ68" s="759" t="e">
        <f t="shared" si="14"/>
        <v>#N/A</v>
      </c>
      <c r="AK68" s="760" t="e">
        <f>IF(AJ68&lt;=1,"Insignificante",HLOOKUP(AJ68,[71]Listas!$F$3:$J$4,2,0))</f>
        <v>#N/A</v>
      </c>
      <c r="AL68" s="761" t="e">
        <f t="shared" si="15"/>
        <v>#N/A</v>
      </c>
      <c r="AM68" s="758" t="e">
        <f>INDEX([71]Listas!$F$6:$J$10,MATCH(AI68,[71]Listas!$D$6:$D$10,0),MATCH(AK68,[71]Listas!$F$4:$J$4,0))</f>
        <v>#N/A</v>
      </c>
      <c r="AN68" s="749"/>
      <c r="AO68" s="749"/>
      <c r="AP68" s="748"/>
      <c r="AQ68" s="749"/>
      <c r="AR68" s="749" t="s">
        <v>2343</v>
      </c>
      <c r="AS68" s="747"/>
      <c r="AT68" s="749"/>
      <c r="AU68" s="749"/>
      <c r="AV68" s="762"/>
      <c r="AW68" s="762"/>
      <c r="AX68" s="747"/>
      <c r="AY68" s="262"/>
    </row>
    <row r="69" spans="1:51" s="260" customFormat="1" ht="103.5" hidden="1" customHeight="1">
      <c r="A69" s="747"/>
      <c r="B69" s="754"/>
      <c r="C69" s="1605"/>
      <c r="D69" s="1607"/>
      <c r="E69" s="1606"/>
      <c r="F69" s="755"/>
      <c r="G69" s="1605"/>
      <c r="H69" s="1607"/>
      <c r="I69" s="1606"/>
      <c r="J69" s="1608"/>
      <c r="K69" s="1608"/>
      <c r="L69" s="1608"/>
      <c r="M69" s="747"/>
      <c r="N69" s="747"/>
      <c r="O69" s="747"/>
      <c r="P69" s="747"/>
      <c r="Q69" s="754"/>
      <c r="R69" s="754"/>
      <c r="S69" s="756"/>
      <c r="T69" s="757" t="e">
        <f>VLOOKUP(Q69,[71]Listas!$D$6:$E$10,2,0)</f>
        <v>#N/A</v>
      </c>
      <c r="U69" s="757" t="e">
        <f>HLOOKUP(R69,[71]Listas!$F$4:$J$5,2,0)</f>
        <v>#N/A</v>
      </c>
      <c r="V69" s="758" t="e">
        <f>INDEX([71]Listas!$F$6:$J$10,MATCH(Q69,[71]Listas!$D$6:$D$10,0),MATCH(R69,[71]Listas!$F$4:$J$4,0))</f>
        <v>#N/A</v>
      </c>
      <c r="W69" s="756"/>
      <c r="X69" s="1605"/>
      <c r="Y69" s="1607"/>
      <c r="Z69" s="1606"/>
      <c r="AA69" s="1086"/>
      <c r="AB69" s="755"/>
      <c r="AC69" s="749"/>
      <c r="AD69" s="747"/>
      <c r="AE69" s="755"/>
      <c r="AF69" s="756"/>
      <c r="AG69" s="757">
        <f t="shared" si="12"/>
        <v>0</v>
      </c>
      <c r="AH69" s="759" t="e">
        <f t="shared" si="13"/>
        <v>#N/A</v>
      </c>
      <c r="AI69" s="760" t="e">
        <f>IF(AH69&lt;=1,"Remota",VLOOKUP(AH69,[71]Listas!$C$6:$D$10,2,0))</f>
        <v>#N/A</v>
      </c>
      <c r="AJ69" s="759" t="e">
        <f t="shared" si="14"/>
        <v>#N/A</v>
      </c>
      <c r="AK69" s="760" t="e">
        <f>IF(AJ69&lt;=1,"Insignificante",HLOOKUP(AJ69,[71]Listas!$F$3:$J$4,2,0))</f>
        <v>#N/A</v>
      </c>
      <c r="AL69" s="761" t="e">
        <f t="shared" si="15"/>
        <v>#N/A</v>
      </c>
      <c r="AM69" s="758" t="e">
        <f>INDEX([71]Listas!$F$6:$J$10,MATCH(AI69,[71]Listas!$D$6:$D$10,0),MATCH(AK69,[71]Listas!$F$4:$J$4,0))</f>
        <v>#N/A</v>
      </c>
      <c r="AN69" s="749"/>
      <c r="AO69" s="749"/>
      <c r="AP69" s="748"/>
      <c r="AQ69" s="749"/>
      <c r="AR69" s="749" t="s">
        <v>2343</v>
      </c>
      <c r="AS69" s="747"/>
      <c r="AT69" s="749"/>
      <c r="AU69" s="749"/>
      <c r="AV69" s="762"/>
      <c r="AW69" s="762"/>
      <c r="AX69" s="747"/>
      <c r="AY69" s="262"/>
    </row>
    <row r="70" spans="1:51" s="260" customFormat="1" ht="103.5" hidden="1" customHeight="1">
      <c r="A70" s="747"/>
      <c r="B70" s="754"/>
      <c r="C70" s="1605"/>
      <c r="D70" s="1607"/>
      <c r="E70" s="1606"/>
      <c r="F70" s="755"/>
      <c r="G70" s="1605"/>
      <c r="H70" s="1607"/>
      <c r="I70" s="1606"/>
      <c r="J70" s="1608"/>
      <c r="K70" s="1608"/>
      <c r="L70" s="1608"/>
      <c r="M70" s="747"/>
      <c r="N70" s="747"/>
      <c r="O70" s="747"/>
      <c r="P70" s="747"/>
      <c r="Q70" s="754"/>
      <c r="R70" s="754"/>
      <c r="S70" s="756"/>
      <c r="T70" s="757" t="e">
        <f>VLOOKUP(Q70,[71]Listas!$D$6:$E$10,2,0)</f>
        <v>#N/A</v>
      </c>
      <c r="U70" s="757" t="e">
        <f>HLOOKUP(R70,[71]Listas!$F$4:$J$5,2,0)</f>
        <v>#N/A</v>
      </c>
      <c r="V70" s="758" t="e">
        <f>INDEX([71]Listas!$F$6:$J$10,MATCH(Q70,[71]Listas!$D$6:$D$10,0),MATCH(R70,[71]Listas!$F$4:$J$4,0))</f>
        <v>#N/A</v>
      </c>
      <c r="W70" s="756"/>
      <c r="X70" s="1605"/>
      <c r="Y70" s="1607"/>
      <c r="Z70" s="1606"/>
      <c r="AA70" s="1086"/>
      <c r="AB70" s="755"/>
      <c r="AC70" s="749"/>
      <c r="AD70" s="747"/>
      <c r="AE70" s="755"/>
      <c r="AF70" s="756"/>
      <c r="AG70" s="757">
        <f t="shared" si="12"/>
        <v>0</v>
      </c>
      <c r="AH70" s="759" t="e">
        <f t="shared" si="13"/>
        <v>#N/A</v>
      </c>
      <c r="AI70" s="760" t="e">
        <f>IF(AH70&lt;=1,"Remota",VLOOKUP(AH70,[71]Listas!$C$6:$D$10,2,0))</f>
        <v>#N/A</v>
      </c>
      <c r="AJ70" s="759" t="e">
        <f t="shared" si="14"/>
        <v>#N/A</v>
      </c>
      <c r="AK70" s="760" t="e">
        <f>IF(AJ70&lt;=1,"Insignificante",HLOOKUP(AJ70,[71]Listas!$F$3:$J$4,2,0))</f>
        <v>#N/A</v>
      </c>
      <c r="AL70" s="761" t="e">
        <f t="shared" si="15"/>
        <v>#N/A</v>
      </c>
      <c r="AM70" s="758" t="e">
        <f>INDEX([71]Listas!$F$6:$J$10,MATCH(AI70,[71]Listas!$D$6:$D$10,0),MATCH(AK70,[71]Listas!$F$4:$J$4,0))</f>
        <v>#N/A</v>
      </c>
      <c r="AN70" s="749"/>
      <c r="AO70" s="749"/>
      <c r="AP70" s="748"/>
      <c r="AQ70" s="749"/>
      <c r="AR70" s="749" t="s">
        <v>2343</v>
      </c>
      <c r="AS70" s="747"/>
      <c r="AT70" s="749"/>
      <c r="AU70" s="749"/>
      <c r="AV70" s="762"/>
      <c r="AW70" s="762"/>
      <c r="AX70" s="747"/>
      <c r="AY70" s="262"/>
    </row>
    <row r="71" spans="1:51" s="260" customFormat="1" ht="103.5" hidden="1" customHeight="1">
      <c r="A71" s="747"/>
      <c r="B71" s="754"/>
      <c r="C71" s="1605"/>
      <c r="D71" s="1607"/>
      <c r="E71" s="1606"/>
      <c r="F71" s="755"/>
      <c r="G71" s="1605"/>
      <c r="H71" s="1607"/>
      <c r="I71" s="1606"/>
      <c r="J71" s="1608"/>
      <c r="K71" s="1608"/>
      <c r="L71" s="1608"/>
      <c r="M71" s="747"/>
      <c r="N71" s="747"/>
      <c r="O71" s="747"/>
      <c r="P71" s="747"/>
      <c r="Q71" s="754"/>
      <c r="R71" s="754"/>
      <c r="S71" s="756"/>
      <c r="T71" s="757" t="e">
        <f>VLOOKUP(Q71,[71]Listas!$D$6:$E$10,2,0)</f>
        <v>#N/A</v>
      </c>
      <c r="U71" s="757" t="e">
        <f>HLOOKUP(R71,[71]Listas!$F$4:$J$5,2,0)</f>
        <v>#N/A</v>
      </c>
      <c r="V71" s="758" t="e">
        <f>INDEX([71]Listas!$F$6:$J$10,MATCH(Q71,[71]Listas!$D$6:$D$10,0),MATCH(R71,[71]Listas!$F$4:$J$4,0))</f>
        <v>#N/A</v>
      </c>
      <c r="W71" s="756"/>
      <c r="X71" s="1605"/>
      <c r="Y71" s="1607"/>
      <c r="Z71" s="1606"/>
      <c r="AA71" s="1086"/>
      <c r="AB71" s="755"/>
      <c r="AC71" s="749"/>
      <c r="AD71" s="747"/>
      <c r="AE71" s="755"/>
      <c r="AF71" s="756"/>
      <c r="AG71" s="757">
        <f t="shared" si="12"/>
        <v>0</v>
      </c>
      <c r="AH71" s="759" t="e">
        <f t="shared" si="13"/>
        <v>#N/A</v>
      </c>
      <c r="AI71" s="760" t="e">
        <f>IF(AH71&lt;=1,"Remota",VLOOKUP(AH71,[71]Listas!$C$6:$D$10,2,0))</f>
        <v>#N/A</v>
      </c>
      <c r="AJ71" s="759" t="e">
        <f t="shared" si="14"/>
        <v>#N/A</v>
      </c>
      <c r="AK71" s="760" t="e">
        <f>IF(AJ71&lt;=1,"Insignificante",HLOOKUP(AJ71,[71]Listas!$F$3:$J$4,2,0))</f>
        <v>#N/A</v>
      </c>
      <c r="AL71" s="761" t="e">
        <f t="shared" si="15"/>
        <v>#N/A</v>
      </c>
      <c r="AM71" s="758" t="e">
        <f>INDEX([71]Listas!$F$6:$J$10,MATCH(AI71,[71]Listas!$D$6:$D$10,0),MATCH(AK71,[71]Listas!$F$4:$J$4,0))</f>
        <v>#N/A</v>
      </c>
      <c r="AN71" s="749"/>
      <c r="AO71" s="749"/>
      <c r="AP71" s="748"/>
      <c r="AQ71" s="749"/>
      <c r="AR71" s="749" t="s">
        <v>2343</v>
      </c>
      <c r="AS71" s="747"/>
      <c r="AT71" s="749"/>
      <c r="AU71" s="749"/>
      <c r="AV71" s="762"/>
      <c r="AW71" s="762"/>
      <c r="AX71" s="747"/>
      <c r="AY71" s="262"/>
    </row>
    <row r="72" spans="1:51" s="260" customFormat="1" ht="103.5" hidden="1" customHeight="1">
      <c r="A72" s="747"/>
      <c r="B72" s="754"/>
      <c r="C72" s="1605"/>
      <c r="D72" s="1607"/>
      <c r="E72" s="1606"/>
      <c r="F72" s="755"/>
      <c r="G72" s="1605"/>
      <c r="H72" s="1607"/>
      <c r="I72" s="1606"/>
      <c r="J72" s="1608"/>
      <c r="K72" s="1608"/>
      <c r="L72" s="1608"/>
      <c r="M72" s="747"/>
      <c r="N72" s="747"/>
      <c r="O72" s="747"/>
      <c r="P72" s="747"/>
      <c r="Q72" s="754"/>
      <c r="R72" s="754"/>
      <c r="S72" s="756"/>
      <c r="T72" s="757" t="e">
        <f>VLOOKUP(Q72,[71]Listas!$D$6:$E$10,2,0)</f>
        <v>#N/A</v>
      </c>
      <c r="U72" s="757" t="e">
        <f>HLOOKUP(R72,[71]Listas!$F$4:$J$5,2,0)</f>
        <v>#N/A</v>
      </c>
      <c r="V72" s="758" t="e">
        <f>INDEX([71]Listas!$F$6:$J$10,MATCH(Q72,[71]Listas!$D$6:$D$10,0),MATCH(R72,[71]Listas!$F$4:$J$4,0))</f>
        <v>#N/A</v>
      </c>
      <c r="W72" s="756"/>
      <c r="X72" s="1605"/>
      <c r="Y72" s="1607"/>
      <c r="Z72" s="1606"/>
      <c r="AA72" s="1086"/>
      <c r="AB72" s="755"/>
      <c r="AC72" s="749"/>
      <c r="AD72" s="747"/>
      <c r="AE72" s="755"/>
      <c r="AF72" s="756"/>
      <c r="AG72" s="757">
        <f t="shared" si="12"/>
        <v>0</v>
      </c>
      <c r="AH72" s="759" t="e">
        <f t="shared" si="13"/>
        <v>#N/A</v>
      </c>
      <c r="AI72" s="760" t="e">
        <f>IF(AH72&lt;=1,"Remota",VLOOKUP(AH72,[71]Listas!$C$6:$D$10,2,0))</f>
        <v>#N/A</v>
      </c>
      <c r="AJ72" s="759" t="e">
        <f t="shared" si="14"/>
        <v>#N/A</v>
      </c>
      <c r="AK72" s="760" t="e">
        <f>IF(AJ72&lt;=1,"Insignificante",HLOOKUP(AJ72,[71]Listas!$F$3:$J$4,2,0))</f>
        <v>#N/A</v>
      </c>
      <c r="AL72" s="761" t="e">
        <f t="shared" si="15"/>
        <v>#N/A</v>
      </c>
      <c r="AM72" s="758" t="e">
        <f>INDEX([71]Listas!$F$6:$J$10,MATCH(AI72,[71]Listas!$D$6:$D$10,0),MATCH(AK72,[71]Listas!$F$4:$J$4,0))</f>
        <v>#N/A</v>
      </c>
      <c r="AN72" s="749"/>
      <c r="AO72" s="749"/>
      <c r="AP72" s="748"/>
      <c r="AQ72" s="749"/>
      <c r="AR72" s="749" t="s">
        <v>2343</v>
      </c>
      <c r="AS72" s="747"/>
      <c r="AT72" s="749"/>
      <c r="AU72" s="749"/>
      <c r="AV72" s="762"/>
      <c r="AW72" s="762"/>
      <c r="AX72" s="747"/>
      <c r="AY72" s="262"/>
    </row>
    <row r="73" spans="1:51" s="260" customFormat="1" ht="103.5" hidden="1" customHeight="1">
      <c r="A73" s="747"/>
      <c r="B73" s="754"/>
      <c r="C73" s="1605"/>
      <c r="D73" s="1607"/>
      <c r="E73" s="1606"/>
      <c r="F73" s="755"/>
      <c r="G73" s="1605"/>
      <c r="H73" s="1607"/>
      <c r="I73" s="1606"/>
      <c r="J73" s="1608"/>
      <c r="K73" s="1608"/>
      <c r="L73" s="1608"/>
      <c r="M73" s="747"/>
      <c r="N73" s="747"/>
      <c r="O73" s="747"/>
      <c r="P73" s="747"/>
      <c r="Q73" s="754"/>
      <c r="R73" s="754"/>
      <c r="S73" s="756"/>
      <c r="T73" s="757" t="e">
        <f>VLOOKUP(Q73,[71]Listas!$D$6:$E$10,2,0)</f>
        <v>#N/A</v>
      </c>
      <c r="U73" s="757" t="e">
        <f>HLOOKUP(R73,[71]Listas!$F$4:$J$5,2,0)</f>
        <v>#N/A</v>
      </c>
      <c r="V73" s="758" t="e">
        <f>INDEX([71]Listas!$F$6:$J$10,MATCH(Q73,[71]Listas!$D$6:$D$10,0),MATCH(R73,[71]Listas!$F$4:$J$4,0))</f>
        <v>#N/A</v>
      </c>
      <c r="W73" s="756"/>
      <c r="X73" s="1605"/>
      <c r="Y73" s="1607"/>
      <c r="Z73" s="1606"/>
      <c r="AA73" s="1086"/>
      <c r="AB73" s="755"/>
      <c r="AC73" s="749"/>
      <c r="AD73" s="747"/>
      <c r="AE73" s="755"/>
      <c r="AF73" s="756"/>
      <c r="AG73" s="757">
        <f t="shared" si="12"/>
        <v>0</v>
      </c>
      <c r="AH73" s="759" t="e">
        <f t="shared" si="13"/>
        <v>#N/A</v>
      </c>
      <c r="AI73" s="760" t="e">
        <f>IF(AH73&lt;=1,"Remota",VLOOKUP(AH73,[71]Listas!$C$6:$D$10,2,0))</f>
        <v>#N/A</v>
      </c>
      <c r="AJ73" s="759" t="e">
        <f t="shared" si="14"/>
        <v>#N/A</v>
      </c>
      <c r="AK73" s="760" t="e">
        <f>IF(AJ73&lt;=1,"Insignificante",HLOOKUP(AJ73,[71]Listas!$F$3:$J$4,2,0))</f>
        <v>#N/A</v>
      </c>
      <c r="AL73" s="761" t="e">
        <f t="shared" si="15"/>
        <v>#N/A</v>
      </c>
      <c r="AM73" s="758" t="e">
        <f>INDEX([71]Listas!$F$6:$J$10,MATCH(AI73,[71]Listas!$D$6:$D$10,0),MATCH(AK73,[71]Listas!$F$4:$J$4,0))</f>
        <v>#N/A</v>
      </c>
      <c r="AN73" s="749"/>
      <c r="AO73" s="749"/>
      <c r="AP73" s="748"/>
      <c r="AQ73" s="749"/>
      <c r="AR73" s="749" t="s">
        <v>2343</v>
      </c>
      <c r="AS73" s="747"/>
      <c r="AT73" s="749"/>
      <c r="AU73" s="749"/>
      <c r="AV73" s="762"/>
      <c r="AW73" s="762"/>
      <c r="AX73" s="747"/>
      <c r="AY73" s="262"/>
    </row>
    <row r="74" spans="1:51" s="260" customFormat="1" ht="103.5" hidden="1" customHeight="1">
      <c r="A74" s="747"/>
      <c r="B74" s="754"/>
      <c r="C74" s="1605"/>
      <c r="D74" s="1607"/>
      <c r="E74" s="1606"/>
      <c r="F74" s="755"/>
      <c r="G74" s="1605"/>
      <c r="H74" s="1607"/>
      <c r="I74" s="1606"/>
      <c r="J74" s="1608"/>
      <c r="K74" s="1608"/>
      <c r="L74" s="1608"/>
      <c r="M74" s="747"/>
      <c r="N74" s="747"/>
      <c r="O74" s="747"/>
      <c r="P74" s="747"/>
      <c r="Q74" s="754"/>
      <c r="R74" s="754"/>
      <c r="S74" s="756"/>
      <c r="T74" s="757" t="e">
        <f>VLOOKUP(Q74,[71]Listas!$D$6:$E$10,2,0)</f>
        <v>#N/A</v>
      </c>
      <c r="U74" s="757" t="e">
        <f>HLOOKUP(R74,[71]Listas!$F$4:$J$5,2,0)</f>
        <v>#N/A</v>
      </c>
      <c r="V74" s="758" t="e">
        <f>INDEX([71]Listas!$F$6:$J$10,MATCH(Q74,[71]Listas!$D$6:$D$10,0),MATCH(R74,[71]Listas!$F$4:$J$4,0))</f>
        <v>#N/A</v>
      </c>
      <c r="W74" s="756"/>
      <c r="X74" s="1605"/>
      <c r="Y74" s="1607"/>
      <c r="Z74" s="1606"/>
      <c r="AA74" s="1086"/>
      <c r="AB74" s="755"/>
      <c r="AC74" s="749"/>
      <c r="AD74" s="747"/>
      <c r="AE74" s="755"/>
      <c r="AF74" s="756"/>
      <c r="AG74" s="757">
        <f t="shared" si="12"/>
        <v>0</v>
      </c>
      <c r="AH74" s="759" t="e">
        <f t="shared" si="13"/>
        <v>#N/A</v>
      </c>
      <c r="AI74" s="760" t="e">
        <f>IF(AH74&lt;=1,"Remota",VLOOKUP(AH74,[71]Listas!$C$6:$D$10,2,0))</f>
        <v>#N/A</v>
      </c>
      <c r="AJ74" s="759" t="e">
        <f t="shared" si="14"/>
        <v>#N/A</v>
      </c>
      <c r="AK74" s="760" t="e">
        <f>IF(AJ74&lt;=1,"Insignificante",HLOOKUP(AJ74,[71]Listas!$F$3:$J$4,2,0))</f>
        <v>#N/A</v>
      </c>
      <c r="AL74" s="761" t="e">
        <f t="shared" si="15"/>
        <v>#N/A</v>
      </c>
      <c r="AM74" s="758" t="e">
        <f>INDEX([71]Listas!$F$6:$J$10,MATCH(AI74,[71]Listas!$D$6:$D$10,0),MATCH(AK74,[71]Listas!$F$4:$J$4,0))</f>
        <v>#N/A</v>
      </c>
      <c r="AN74" s="749"/>
      <c r="AO74" s="749"/>
      <c r="AP74" s="748"/>
      <c r="AQ74" s="749"/>
      <c r="AR74" s="749" t="s">
        <v>2343</v>
      </c>
      <c r="AS74" s="747"/>
      <c r="AT74" s="749"/>
      <c r="AU74" s="749"/>
      <c r="AV74" s="762"/>
      <c r="AW74" s="762"/>
      <c r="AX74" s="747"/>
      <c r="AY74" s="262"/>
    </row>
    <row r="75" spans="1:51" s="260" customFormat="1" ht="103.5" hidden="1" customHeight="1">
      <c r="A75" s="747"/>
      <c r="B75" s="754"/>
      <c r="C75" s="1605"/>
      <c r="D75" s="1607"/>
      <c r="E75" s="1606"/>
      <c r="F75" s="755"/>
      <c r="G75" s="1605"/>
      <c r="H75" s="1607"/>
      <c r="I75" s="1606"/>
      <c r="J75" s="1608"/>
      <c r="K75" s="1608"/>
      <c r="L75" s="1608"/>
      <c r="M75" s="747"/>
      <c r="N75" s="747"/>
      <c r="O75" s="747"/>
      <c r="P75" s="747"/>
      <c r="Q75" s="754"/>
      <c r="R75" s="754"/>
      <c r="S75" s="756"/>
      <c r="T75" s="757" t="e">
        <f>VLOOKUP(Q75,[71]Listas!$D$6:$E$10,2,0)</f>
        <v>#N/A</v>
      </c>
      <c r="U75" s="757" t="e">
        <f>HLOOKUP(R75,[71]Listas!$F$4:$J$5,2,0)</f>
        <v>#N/A</v>
      </c>
      <c r="V75" s="758" t="e">
        <f>INDEX([71]Listas!$F$6:$J$10,MATCH(Q75,[71]Listas!$D$6:$D$10,0),MATCH(R75,[71]Listas!$F$4:$J$4,0))</f>
        <v>#N/A</v>
      </c>
      <c r="W75" s="756"/>
      <c r="X75" s="1605"/>
      <c r="Y75" s="1607"/>
      <c r="Z75" s="1606"/>
      <c r="AA75" s="1086"/>
      <c r="AB75" s="755"/>
      <c r="AC75" s="749"/>
      <c r="AD75" s="747"/>
      <c r="AE75" s="755"/>
      <c r="AF75" s="756"/>
      <c r="AG75" s="757">
        <f t="shared" si="12"/>
        <v>0</v>
      </c>
      <c r="AH75" s="759" t="e">
        <f t="shared" si="13"/>
        <v>#N/A</v>
      </c>
      <c r="AI75" s="760" t="e">
        <f>IF(AH75&lt;=1,"Remota",VLOOKUP(AH75,[71]Listas!$C$6:$D$10,2,0))</f>
        <v>#N/A</v>
      </c>
      <c r="AJ75" s="759" t="e">
        <f t="shared" si="14"/>
        <v>#N/A</v>
      </c>
      <c r="AK75" s="760" t="e">
        <f>IF(AJ75&lt;=1,"Insignificante",HLOOKUP(AJ75,[71]Listas!$F$3:$J$4,2,0))</f>
        <v>#N/A</v>
      </c>
      <c r="AL75" s="761" t="e">
        <f t="shared" si="15"/>
        <v>#N/A</v>
      </c>
      <c r="AM75" s="758" t="e">
        <f>INDEX([71]Listas!$F$6:$J$10,MATCH(AI75,[71]Listas!$D$6:$D$10,0),MATCH(AK75,[71]Listas!$F$4:$J$4,0))</f>
        <v>#N/A</v>
      </c>
      <c r="AN75" s="749"/>
      <c r="AO75" s="749"/>
      <c r="AP75" s="748"/>
      <c r="AQ75" s="749"/>
      <c r="AR75" s="749" t="s">
        <v>2343</v>
      </c>
      <c r="AS75" s="747"/>
      <c r="AT75" s="749"/>
      <c r="AU75" s="749"/>
      <c r="AV75" s="762"/>
      <c r="AW75" s="762"/>
      <c r="AX75" s="747"/>
      <c r="AY75" s="262"/>
    </row>
    <row r="76" spans="1:51" s="260" customFormat="1" ht="103.5" hidden="1" customHeight="1">
      <c r="A76" s="747"/>
      <c r="B76" s="754"/>
      <c r="C76" s="1605"/>
      <c r="D76" s="1607"/>
      <c r="E76" s="1606"/>
      <c r="F76" s="755"/>
      <c r="G76" s="1605"/>
      <c r="H76" s="1607"/>
      <c r="I76" s="1606"/>
      <c r="J76" s="1608"/>
      <c r="K76" s="1608"/>
      <c r="L76" s="1608"/>
      <c r="M76" s="747"/>
      <c r="N76" s="747"/>
      <c r="O76" s="747"/>
      <c r="P76" s="747"/>
      <c r="Q76" s="754"/>
      <c r="R76" s="754"/>
      <c r="S76" s="756"/>
      <c r="T76" s="757" t="e">
        <f>VLOOKUP(Q76,[71]Listas!$D$6:$E$10,2,0)</f>
        <v>#N/A</v>
      </c>
      <c r="U76" s="757" t="e">
        <f>HLOOKUP(R76,[71]Listas!$F$4:$J$5,2,0)</f>
        <v>#N/A</v>
      </c>
      <c r="V76" s="758" t="e">
        <f>INDEX([71]Listas!$F$6:$J$10,MATCH(Q76,[71]Listas!$D$6:$D$10,0),MATCH(R76,[71]Listas!$F$4:$J$4,0))</f>
        <v>#N/A</v>
      </c>
      <c r="W76" s="756"/>
      <c r="X76" s="1605"/>
      <c r="Y76" s="1607"/>
      <c r="Z76" s="1606"/>
      <c r="AA76" s="1086"/>
      <c r="AB76" s="755"/>
      <c r="AC76" s="749"/>
      <c r="AD76" s="747"/>
      <c r="AE76" s="755"/>
      <c r="AF76" s="756"/>
      <c r="AG76" s="757">
        <f t="shared" si="12"/>
        <v>0</v>
      </c>
      <c r="AH76" s="759" t="e">
        <f t="shared" si="13"/>
        <v>#N/A</v>
      </c>
      <c r="AI76" s="760" t="e">
        <f>IF(AH76&lt;=1,"Remota",VLOOKUP(AH76,[71]Listas!$C$6:$D$10,2,0))</f>
        <v>#N/A</v>
      </c>
      <c r="AJ76" s="759" t="e">
        <f t="shared" si="14"/>
        <v>#N/A</v>
      </c>
      <c r="AK76" s="760" t="e">
        <f>IF(AJ76&lt;=1,"Insignificante",HLOOKUP(AJ76,[71]Listas!$F$3:$J$4,2,0))</f>
        <v>#N/A</v>
      </c>
      <c r="AL76" s="761" t="e">
        <f t="shared" si="15"/>
        <v>#N/A</v>
      </c>
      <c r="AM76" s="758" t="e">
        <f>INDEX([71]Listas!$F$6:$J$10,MATCH(AI76,[71]Listas!$D$6:$D$10,0),MATCH(AK76,[71]Listas!$F$4:$J$4,0))</f>
        <v>#N/A</v>
      </c>
      <c r="AN76" s="749"/>
      <c r="AO76" s="749"/>
      <c r="AP76" s="748"/>
      <c r="AQ76" s="749"/>
      <c r="AR76" s="749" t="s">
        <v>2343</v>
      </c>
      <c r="AS76" s="747"/>
      <c r="AT76" s="749"/>
      <c r="AU76" s="749"/>
      <c r="AV76" s="762"/>
      <c r="AW76" s="762"/>
      <c r="AX76" s="747"/>
      <c r="AY76" s="262"/>
    </row>
    <row r="77" spans="1:51" s="260" customFormat="1" ht="103.5" hidden="1" customHeight="1">
      <c r="A77" s="747"/>
      <c r="B77" s="754"/>
      <c r="C77" s="1605"/>
      <c r="D77" s="1607"/>
      <c r="E77" s="1606"/>
      <c r="F77" s="755"/>
      <c r="G77" s="1605"/>
      <c r="H77" s="1607"/>
      <c r="I77" s="1606"/>
      <c r="J77" s="1608"/>
      <c r="K77" s="1608"/>
      <c r="L77" s="1608"/>
      <c r="M77" s="747"/>
      <c r="N77" s="747"/>
      <c r="O77" s="747"/>
      <c r="P77" s="747"/>
      <c r="Q77" s="754"/>
      <c r="R77" s="754"/>
      <c r="S77" s="756"/>
      <c r="T77" s="757" t="e">
        <f>VLOOKUP(Q77,[71]Listas!$D$6:$E$10,2,0)</f>
        <v>#N/A</v>
      </c>
      <c r="U77" s="757" t="e">
        <f>HLOOKUP(R77,[71]Listas!$F$4:$J$5,2,0)</f>
        <v>#N/A</v>
      </c>
      <c r="V77" s="758" t="e">
        <f>INDEX([71]Listas!$F$6:$J$10,MATCH(Q77,[71]Listas!$D$6:$D$10,0),MATCH(R77,[71]Listas!$F$4:$J$4,0))</f>
        <v>#N/A</v>
      </c>
      <c r="W77" s="756"/>
      <c r="X77" s="1605"/>
      <c r="Y77" s="1607"/>
      <c r="Z77" s="1606"/>
      <c r="AA77" s="1086"/>
      <c r="AB77" s="755"/>
      <c r="AC77" s="749"/>
      <c r="AD77" s="747"/>
      <c r="AE77" s="755"/>
      <c r="AF77" s="756"/>
      <c r="AG77" s="757">
        <f t="shared" si="12"/>
        <v>0</v>
      </c>
      <c r="AH77" s="759" t="e">
        <f t="shared" si="13"/>
        <v>#N/A</v>
      </c>
      <c r="AI77" s="760" t="e">
        <f>IF(AH77&lt;=1,"Remota",VLOOKUP(AH77,[71]Listas!$C$6:$D$10,2,0))</f>
        <v>#N/A</v>
      </c>
      <c r="AJ77" s="759" t="e">
        <f t="shared" si="14"/>
        <v>#N/A</v>
      </c>
      <c r="AK77" s="760" t="e">
        <f>IF(AJ77&lt;=1,"Insignificante",HLOOKUP(AJ77,[71]Listas!$F$3:$J$4,2,0))</f>
        <v>#N/A</v>
      </c>
      <c r="AL77" s="761" t="e">
        <f t="shared" si="15"/>
        <v>#N/A</v>
      </c>
      <c r="AM77" s="758" t="e">
        <f>INDEX([71]Listas!$F$6:$J$10,MATCH(AI77,[71]Listas!$D$6:$D$10,0),MATCH(AK77,[71]Listas!$F$4:$J$4,0))</f>
        <v>#N/A</v>
      </c>
      <c r="AN77" s="749"/>
      <c r="AO77" s="749"/>
      <c r="AP77" s="748"/>
      <c r="AQ77" s="749"/>
      <c r="AR77" s="749" t="s">
        <v>2343</v>
      </c>
      <c r="AS77" s="747"/>
      <c r="AT77" s="749"/>
      <c r="AU77" s="749"/>
      <c r="AV77" s="762"/>
      <c r="AW77" s="762"/>
      <c r="AX77" s="747"/>
      <c r="AY77" s="262"/>
    </row>
    <row r="78" spans="1:51" s="260" customFormat="1" ht="103.5" hidden="1" customHeight="1">
      <c r="A78" s="747"/>
      <c r="B78" s="754"/>
      <c r="C78" s="1605"/>
      <c r="D78" s="1607"/>
      <c r="E78" s="1606"/>
      <c r="F78" s="755"/>
      <c r="G78" s="1605"/>
      <c r="H78" s="1607"/>
      <c r="I78" s="1606"/>
      <c r="J78" s="1608"/>
      <c r="K78" s="1608"/>
      <c r="L78" s="1608"/>
      <c r="M78" s="747"/>
      <c r="N78" s="747"/>
      <c r="O78" s="747"/>
      <c r="P78" s="747"/>
      <c r="Q78" s="754"/>
      <c r="R78" s="754"/>
      <c r="S78" s="756"/>
      <c r="T78" s="757" t="e">
        <f>VLOOKUP(Q78,[71]Listas!$D$6:$E$10,2,0)</f>
        <v>#N/A</v>
      </c>
      <c r="U78" s="757" t="e">
        <f>HLOOKUP(R78,[71]Listas!$F$4:$J$5,2,0)</f>
        <v>#N/A</v>
      </c>
      <c r="V78" s="758" t="e">
        <f>INDEX([71]Listas!$F$6:$J$10,MATCH(Q78,[71]Listas!$D$6:$D$10,0),MATCH(R78,[71]Listas!$F$4:$J$4,0))</f>
        <v>#N/A</v>
      </c>
      <c r="W78" s="756"/>
      <c r="X78" s="1605"/>
      <c r="Y78" s="1607"/>
      <c r="Z78" s="1606"/>
      <c r="AA78" s="1086"/>
      <c r="AB78" s="755"/>
      <c r="AC78" s="749"/>
      <c r="AD78" s="747"/>
      <c r="AE78" s="755"/>
      <c r="AF78" s="756"/>
      <c r="AG78" s="757">
        <f t="shared" si="12"/>
        <v>0</v>
      </c>
      <c r="AH78" s="759" t="e">
        <f t="shared" si="13"/>
        <v>#N/A</v>
      </c>
      <c r="AI78" s="760" t="e">
        <f>IF(AH78&lt;=1,"Remota",VLOOKUP(AH78,[71]Listas!$C$6:$D$10,2,0))</f>
        <v>#N/A</v>
      </c>
      <c r="AJ78" s="759" t="e">
        <f t="shared" si="14"/>
        <v>#N/A</v>
      </c>
      <c r="AK78" s="760" t="e">
        <f>IF(AJ78&lt;=1,"Insignificante",HLOOKUP(AJ78,[71]Listas!$F$3:$J$4,2,0))</f>
        <v>#N/A</v>
      </c>
      <c r="AL78" s="761" t="e">
        <f t="shared" si="15"/>
        <v>#N/A</v>
      </c>
      <c r="AM78" s="758" t="e">
        <f>INDEX([71]Listas!$F$6:$J$10,MATCH(AI78,[71]Listas!$D$6:$D$10,0),MATCH(AK78,[71]Listas!$F$4:$J$4,0))</f>
        <v>#N/A</v>
      </c>
      <c r="AN78" s="749"/>
      <c r="AO78" s="749"/>
      <c r="AP78" s="748"/>
      <c r="AQ78" s="749"/>
      <c r="AR78" s="749" t="s">
        <v>2343</v>
      </c>
      <c r="AS78" s="747"/>
      <c r="AT78" s="749"/>
      <c r="AU78" s="749"/>
      <c r="AV78" s="762"/>
      <c r="AW78" s="762"/>
      <c r="AX78" s="747"/>
      <c r="AY78" s="262"/>
    </row>
    <row r="79" spans="1:51" s="260" customFormat="1" ht="103.5" hidden="1" customHeight="1">
      <c r="A79" s="747"/>
      <c r="B79" s="754"/>
      <c r="C79" s="1605"/>
      <c r="D79" s="1607"/>
      <c r="E79" s="1606"/>
      <c r="F79" s="755"/>
      <c r="G79" s="1605"/>
      <c r="H79" s="1607"/>
      <c r="I79" s="1606"/>
      <c r="J79" s="1608"/>
      <c r="K79" s="1608"/>
      <c r="L79" s="1608"/>
      <c r="M79" s="747"/>
      <c r="N79" s="747"/>
      <c r="O79" s="747"/>
      <c r="P79" s="747"/>
      <c r="Q79" s="754"/>
      <c r="R79" s="754"/>
      <c r="S79" s="756"/>
      <c r="T79" s="757" t="e">
        <f>VLOOKUP(Q79,[71]Listas!$D$6:$E$10,2,0)</f>
        <v>#N/A</v>
      </c>
      <c r="U79" s="757" t="e">
        <f>HLOOKUP(R79,[71]Listas!$F$4:$J$5,2,0)</f>
        <v>#N/A</v>
      </c>
      <c r="V79" s="758" t="e">
        <f>INDEX([71]Listas!$F$6:$J$10,MATCH(Q79,[71]Listas!$D$6:$D$10,0),MATCH(R79,[71]Listas!$F$4:$J$4,0))</f>
        <v>#N/A</v>
      </c>
      <c r="W79" s="756"/>
      <c r="X79" s="1605"/>
      <c r="Y79" s="1607"/>
      <c r="Z79" s="1606"/>
      <c r="AA79" s="1086"/>
      <c r="AB79" s="755"/>
      <c r="AC79" s="749"/>
      <c r="AD79" s="747"/>
      <c r="AE79" s="755"/>
      <c r="AF79" s="756"/>
      <c r="AG79" s="757">
        <f t="shared" si="12"/>
        <v>0</v>
      </c>
      <c r="AH79" s="759" t="e">
        <f t="shared" si="13"/>
        <v>#N/A</v>
      </c>
      <c r="AI79" s="760" t="e">
        <f>IF(AH79&lt;=1,"Remota",VLOOKUP(AH79,[71]Listas!$C$6:$D$10,2,0))</f>
        <v>#N/A</v>
      </c>
      <c r="AJ79" s="759" t="e">
        <f t="shared" si="14"/>
        <v>#N/A</v>
      </c>
      <c r="AK79" s="760" t="e">
        <f>IF(AJ79&lt;=1,"Insignificante",HLOOKUP(AJ79,[71]Listas!$F$3:$J$4,2,0))</f>
        <v>#N/A</v>
      </c>
      <c r="AL79" s="761" t="e">
        <f t="shared" si="15"/>
        <v>#N/A</v>
      </c>
      <c r="AM79" s="758" t="e">
        <f>INDEX([71]Listas!$F$6:$J$10,MATCH(AI79,[71]Listas!$D$6:$D$10,0),MATCH(AK79,[71]Listas!$F$4:$J$4,0))</f>
        <v>#N/A</v>
      </c>
      <c r="AN79" s="749"/>
      <c r="AO79" s="749"/>
      <c r="AP79" s="748"/>
      <c r="AQ79" s="749"/>
      <c r="AR79" s="749" t="s">
        <v>2343</v>
      </c>
      <c r="AS79" s="747"/>
      <c r="AT79" s="749"/>
      <c r="AU79" s="749"/>
      <c r="AV79" s="762"/>
      <c r="AW79" s="762"/>
      <c r="AX79" s="747"/>
      <c r="AY79" s="262"/>
    </row>
    <row r="80" spans="1:51" s="260" customFormat="1" ht="103.5" hidden="1" customHeight="1">
      <c r="A80" s="747"/>
      <c r="B80" s="754"/>
      <c r="C80" s="1605"/>
      <c r="D80" s="1607"/>
      <c r="E80" s="1606"/>
      <c r="F80" s="755"/>
      <c r="G80" s="1605"/>
      <c r="H80" s="1607"/>
      <c r="I80" s="1606"/>
      <c r="J80" s="1608"/>
      <c r="K80" s="1608"/>
      <c r="L80" s="1608"/>
      <c r="M80" s="747"/>
      <c r="N80" s="747"/>
      <c r="O80" s="747"/>
      <c r="P80" s="747"/>
      <c r="Q80" s="754"/>
      <c r="R80" s="754"/>
      <c r="S80" s="756"/>
      <c r="T80" s="757" t="e">
        <f>VLOOKUP(Q80,[71]Listas!$D$6:$E$10,2,0)</f>
        <v>#N/A</v>
      </c>
      <c r="U80" s="757" t="e">
        <f>HLOOKUP(R80,[71]Listas!$F$4:$J$5,2,0)</f>
        <v>#N/A</v>
      </c>
      <c r="V80" s="758" t="e">
        <f>INDEX([71]Listas!$F$6:$J$10,MATCH(Q80,[71]Listas!$D$6:$D$10,0),MATCH(R80,[71]Listas!$F$4:$J$4,0))</f>
        <v>#N/A</v>
      </c>
      <c r="W80" s="756"/>
      <c r="X80" s="1605"/>
      <c r="Y80" s="1607"/>
      <c r="Z80" s="1606"/>
      <c r="AA80" s="1086"/>
      <c r="AB80" s="755"/>
      <c r="AC80" s="749"/>
      <c r="AD80" s="747"/>
      <c r="AE80" s="755"/>
      <c r="AF80" s="756"/>
      <c r="AG80" s="757">
        <f t="shared" si="12"/>
        <v>0</v>
      </c>
      <c r="AH80" s="759" t="e">
        <f t="shared" si="13"/>
        <v>#N/A</v>
      </c>
      <c r="AI80" s="760" t="e">
        <f>IF(AH80&lt;=1,"Remota",VLOOKUP(AH80,[71]Listas!$C$6:$D$10,2,0))</f>
        <v>#N/A</v>
      </c>
      <c r="AJ80" s="759" t="e">
        <f t="shared" si="14"/>
        <v>#N/A</v>
      </c>
      <c r="AK80" s="760" t="e">
        <f>IF(AJ80&lt;=1,"Insignificante",HLOOKUP(AJ80,[71]Listas!$F$3:$J$4,2,0))</f>
        <v>#N/A</v>
      </c>
      <c r="AL80" s="761" t="e">
        <f t="shared" si="15"/>
        <v>#N/A</v>
      </c>
      <c r="AM80" s="758" t="e">
        <f>INDEX([71]Listas!$F$6:$J$10,MATCH(AI80,[71]Listas!$D$6:$D$10,0),MATCH(AK80,[71]Listas!$F$4:$J$4,0))</f>
        <v>#N/A</v>
      </c>
      <c r="AN80" s="749"/>
      <c r="AO80" s="749"/>
      <c r="AP80" s="748"/>
      <c r="AQ80" s="749"/>
      <c r="AR80" s="749" t="s">
        <v>2343</v>
      </c>
      <c r="AS80" s="747"/>
      <c r="AT80" s="749"/>
      <c r="AU80" s="749"/>
      <c r="AV80" s="762"/>
      <c r="AW80" s="762"/>
      <c r="AX80" s="747"/>
      <c r="AY80" s="262"/>
    </row>
    <row r="81" spans="1:51" s="260" customFormat="1" ht="103.5" hidden="1" customHeight="1">
      <c r="A81" s="747"/>
      <c r="B81" s="754"/>
      <c r="C81" s="1605"/>
      <c r="D81" s="1607"/>
      <c r="E81" s="1606"/>
      <c r="F81" s="755"/>
      <c r="G81" s="1605"/>
      <c r="H81" s="1607"/>
      <c r="I81" s="1606"/>
      <c r="J81" s="1608"/>
      <c r="K81" s="1608"/>
      <c r="L81" s="1608"/>
      <c r="M81" s="747"/>
      <c r="N81" s="747"/>
      <c r="O81" s="747"/>
      <c r="P81" s="747"/>
      <c r="Q81" s="754"/>
      <c r="R81" s="754"/>
      <c r="S81" s="756"/>
      <c r="T81" s="757" t="e">
        <f>VLOOKUP(Q81,[71]Listas!$D$6:$E$10,2,0)</f>
        <v>#N/A</v>
      </c>
      <c r="U81" s="757" t="e">
        <f>HLOOKUP(R81,[71]Listas!$F$4:$J$5,2,0)</f>
        <v>#N/A</v>
      </c>
      <c r="V81" s="758" t="e">
        <f>INDEX([71]Listas!$F$6:$J$10,MATCH(Q81,[71]Listas!$D$6:$D$10,0),MATCH(R81,[71]Listas!$F$4:$J$4,0))</f>
        <v>#N/A</v>
      </c>
      <c r="W81" s="756"/>
      <c r="X81" s="1605"/>
      <c r="Y81" s="1607"/>
      <c r="Z81" s="1606"/>
      <c r="AA81" s="1086"/>
      <c r="AB81" s="755"/>
      <c r="AC81" s="749"/>
      <c r="AD81" s="747"/>
      <c r="AE81" s="755"/>
      <c r="AF81" s="756"/>
      <c r="AG81" s="757">
        <f t="shared" si="12"/>
        <v>0</v>
      </c>
      <c r="AH81" s="759" t="e">
        <f t="shared" si="13"/>
        <v>#N/A</v>
      </c>
      <c r="AI81" s="760" t="e">
        <f>IF(AH81&lt;=1,"Remota",VLOOKUP(AH81,[71]Listas!$C$6:$D$10,2,0))</f>
        <v>#N/A</v>
      </c>
      <c r="AJ81" s="759" t="e">
        <f t="shared" si="14"/>
        <v>#N/A</v>
      </c>
      <c r="AK81" s="760" t="e">
        <f>IF(AJ81&lt;=1,"Insignificante",HLOOKUP(AJ81,[71]Listas!$F$3:$J$4,2,0))</f>
        <v>#N/A</v>
      </c>
      <c r="AL81" s="761" t="e">
        <f t="shared" si="15"/>
        <v>#N/A</v>
      </c>
      <c r="AM81" s="758" t="e">
        <f>INDEX([71]Listas!$F$6:$J$10,MATCH(AI81,[71]Listas!$D$6:$D$10,0),MATCH(AK81,[71]Listas!$F$4:$J$4,0))</f>
        <v>#N/A</v>
      </c>
      <c r="AN81" s="749"/>
      <c r="AO81" s="749"/>
      <c r="AP81" s="748"/>
      <c r="AQ81" s="749"/>
      <c r="AR81" s="749" t="s">
        <v>2343</v>
      </c>
      <c r="AS81" s="747"/>
      <c r="AT81" s="749"/>
      <c r="AU81" s="749"/>
      <c r="AV81" s="762"/>
      <c r="AW81" s="762"/>
      <c r="AX81" s="747"/>
      <c r="AY81" s="262"/>
    </row>
    <row r="82" spans="1:51" s="260" customFormat="1" ht="103.5" hidden="1" customHeight="1">
      <c r="A82" s="747"/>
      <c r="B82" s="754"/>
      <c r="C82" s="1605"/>
      <c r="D82" s="1607"/>
      <c r="E82" s="1606"/>
      <c r="F82" s="755"/>
      <c r="G82" s="1605"/>
      <c r="H82" s="1607"/>
      <c r="I82" s="1606"/>
      <c r="J82" s="1608"/>
      <c r="K82" s="1608"/>
      <c r="L82" s="1608"/>
      <c r="M82" s="747"/>
      <c r="N82" s="747"/>
      <c r="O82" s="747"/>
      <c r="P82" s="747"/>
      <c r="Q82" s="754"/>
      <c r="R82" s="754"/>
      <c r="S82" s="756"/>
      <c r="T82" s="757" t="e">
        <f>VLOOKUP(Q82,[71]Listas!$D$6:$E$10,2,0)</f>
        <v>#N/A</v>
      </c>
      <c r="U82" s="757" t="e">
        <f>HLOOKUP(R82,[71]Listas!$F$4:$J$5,2,0)</f>
        <v>#N/A</v>
      </c>
      <c r="V82" s="758" t="e">
        <f>INDEX([71]Listas!$F$6:$J$10,MATCH(Q82,[71]Listas!$D$6:$D$10,0),MATCH(R82,[71]Listas!$F$4:$J$4,0))</f>
        <v>#N/A</v>
      </c>
      <c r="W82" s="756"/>
      <c r="X82" s="1605"/>
      <c r="Y82" s="1607"/>
      <c r="Z82" s="1606"/>
      <c r="AA82" s="1086"/>
      <c r="AB82" s="755"/>
      <c r="AC82" s="749"/>
      <c r="AD82" s="747"/>
      <c r="AE82" s="755"/>
      <c r="AF82" s="756"/>
      <c r="AG82" s="757">
        <f t="shared" si="12"/>
        <v>0</v>
      </c>
      <c r="AH82" s="759" t="e">
        <f t="shared" si="13"/>
        <v>#N/A</v>
      </c>
      <c r="AI82" s="760" t="e">
        <f>IF(AH82&lt;=1,"Remota",VLOOKUP(AH82,[71]Listas!$C$6:$D$10,2,0))</f>
        <v>#N/A</v>
      </c>
      <c r="AJ82" s="759" t="e">
        <f t="shared" si="14"/>
        <v>#N/A</v>
      </c>
      <c r="AK82" s="760" t="e">
        <f>IF(AJ82&lt;=1,"Insignificante",HLOOKUP(AJ82,[71]Listas!$F$3:$J$4,2,0))</f>
        <v>#N/A</v>
      </c>
      <c r="AL82" s="761" t="e">
        <f t="shared" si="15"/>
        <v>#N/A</v>
      </c>
      <c r="AM82" s="758" t="e">
        <f>INDEX([71]Listas!$F$6:$J$10,MATCH(AI82,[71]Listas!$D$6:$D$10,0),MATCH(AK82,[71]Listas!$F$4:$J$4,0))</f>
        <v>#N/A</v>
      </c>
      <c r="AN82" s="749"/>
      <c r="AO82" s="749"/>
      <c r="AP82" s="748"/>
      <c r="AQ82" s="749"/>
      <c r="AR82" s="749" t="s">
        <v>2343</v>
      </c>
      <c r="AS82" s="747"/>
      <c r="AT82" s="749"/>
      <c r="AU82" s="749"/>
      <c r="AV82" s="762"/>
      <c r="AW82" s="762"/>
      <c r="AX82" s="747"/>
      <c r="AY82" s="262"/>
    </row>
    <row r="83" spans="1:51" s="260" customFormat="1" ht="103.5" hidden="1" customHeight="1">
      <c r="A83" s="747"/>
      <c r="B83" s="754"/>
      <c r="C83" s="1605"/>
      <c r="D83" s="1607"/>
      <c r="E83" s="1606"/>
      <c r="F83" s="755"/>
      <c r="G83" s="1605"/>
      <c r="H83" s="1607"/>
      <c r="I83" s="1606"/>
      <c r="J83" s="1608"/>
      <c r="K83" s="1608"/>
      <c r="L83" s="1608"/>
      <c r="M83" s="747"/>
      <c r="N83" s="747"/>
      <c r="O83" s="747"/>
      <c r="P83" s="747"/>
      <c r="Q83" s="754"/>
      <c r="R83" s="754"/>
      <c r="S83" s="756"/>
      <c r="T83" s="757" t="e">
        <f>VLOOKUP(Q83,[71]Listas!$D$6:$E$10,2,0)</f>
        <v>#N/A</v>
      </c>
      <c r="U83" s="757" t="e">
        <f>HLOOKUP(R83,[71]Listas!$F$4:$J$5,2,0)</f>
        <v>#N/A</v>
      </c>
      <c r="V83" s="758" t="e">
        <f>INDEX([71]Listas!$F$6:$J$10,MATCH(Q83,[71]Listas!$D$6:$D$10,0),MATCH(R83,[71]Listas!$F$4:$J$4,0))</f>
        <v>#N/A</v>
      </c>
      <c r="W83" s="756"/>
      <c r="X83" s="1605"/>
      <c r="Y83" s="1607"/>
      <c r="Z83" s="1606"/>
      <c r="AA83" s="1086"/>
      <c r="AB83" s="755"/>
      <c r="AC83" s="749"/>
      <c r="AD83" s="747"/>
      <c r="AE83" s="755"/>
      <c r="AF83" s="756"/>
      <c r="AG83" s="757">
        <f t="shared" si="12"/>
        <v>0</v>
      </c>
      <c r="AH83" s="759" t="e">
        <f t="shared" si="13"/>
        <v>#N/A</v>
      </c>
      <c r="AI83" s="760" t="e">
        <f>IF(AH83&lt;=1,"Remota",VLOOKUP(AH83,[71]Listas!$C$6:$D$10,2,0))</f>
        <v>#N/A</v>
      </c>
      <c r="AJ83" s="759" t="e">
        <f t="shared" si="14"/>
        <v>#N/A</v>
      </c>
      <c r="AK83" s="760" t="e">
        <f>IF(AJ83&lt;=1,"Insignificante",HLOOKUP(AJ83,[71]Listas!$F$3:$J$4,2,0))</f>
        <v>#N/A</v>
      </c>
      <c r="AL83" s="761" t="e">
        <f t="shared" si="15"/>
        <v>#N/A</v>
      </c>
      <c r="AM83" s="758" t="e">
        <f>INDEX([71]Listas!$F$6:$J$10,MATCH(AI83,[71]Listas!$D$6:$D$10,0),MATCH(AK83,[71]Listas!$F$4:$J$4,0))</f>
        <v>#N/A</v>
      </c>
      <c r="AN83" s="749"/>
      <c r="AO83" s="749"/>
      <c r="AP83" s="748"/>
      <c r="AQ83" s="749"/>
      <c r="AR83" s="749" t="s">
        <v>2343</v>
      </c>
      <c r="AS83" s="747"/>
      <c r="AT83" s="749"/>
      <c r="AU83" s="749"/>
      <c r="AV83" s="762"/>
      <c r="AW83" s="762"/>
      <c r="AX83" s="747"/>
      <c r="AY83" s="262"/>
    </row>
    <row r="84" spans="1:51" s="260" customFormat="1" ht="103.5" hidden="1" customHeight="1">
      <c r="A84" s="747"/>
      <c r="B84" s="754"/>
      <c r="C84" s="1605"/>
      <c r="D84" s="1607"/>
      <c r="E84" s="1606"/>
      <c r="F84" s="755"/>
      <c r="G84" s="1605"/>
      <c r="H84" s="1607"/>
      <c r="I84" s="1606"/>
      <c r="J84" s="1608"/>
      <c r="K84" s="1608"/>
      <c r="L84" s="1608"/>
      <c r="M84" s="747"/>
      <c r="N84" s="747"/>
      <c r="O84" s="747"/>
      <c r="P84" s="747"/>
      <c r="Q84" s="754"/>
      <c r="R84" s="754"/>
      <c r="S84" s="756"/>
      <c r="T84" s="757" t="e">
        <f>VLOOKUP(Q84,[71]Listas!$D$6:$E$10,2,0)</f>
        <v>#N/A</v>
      </c>
      <c r="U84" s="757" t="e">
        <f>HLOOKUP(R84,[71]Listas!$F$4:$J$5,2,0)</f>
        <v>#N/A</v>
      </c>
      <c r="V84" s="758" t="e">
        <f>INDEX([71]Listas!$F$6:$J$10,MATCH(Q84,[71]Listas!$D$6:$D$10,0),MATCH(R84,[71]Listas!$F$4:$J$4,0))</f>
        <v>#N/A</v>
      </c>
      <c r="W84" s="756"/>
      <c r="X84" s="1605"/>
      <c r="Y84" s="1607"/>
      <c r="Z84" s="1606"/>
      <c r="AA84" s="1086"/>
      <c r="AB84" s="755"/>
      <c r="AC84" s="749"/>
      <c r="AD84" s="747"/>
      <c r="AE84" s="755"/>
      <c r="AF84" s="756"/>
      <c r="AG84" s="757">
        <f t="shared" si="12"/>
        <v>0</v>
      </c>
      <c r="AH84" s="759" t="e">
        <f t="shared" si="13"/>
        <v>#N/A</v>
      </c>
      <c r="AI84" s="760" t="e">
        <f>IF(AH84&lt;=1,"Remota",VLOOKUP(AH84,[71]Listas!$C$6:$D$10,2,0))</f>
        <v>#N/A</v>
      </c>
      <c r="AJ84" s="759" t="e">
        <f t="shared" si="14"/>
        <v>#N/A</v>
      </c>
      <c r="AK84" s="760" t="e">
        <f>IF(AJ84&lt;=1,"Insignificante",HLOOKUP(AJ84,[71]Listas!$F$3:$J$4,2,0))</f>
        <v>#N/A</v>
      </c>
      <c r="AL84" s="761" t="e">
        <f t="shared" si="15"/>
        <v>#N/A</v>
      </c>
      <c r="AM84" s="758" t="e">
        <f>INDEX([71]Listas!$F$6:$J$10,MATCH(AI84,[71]Listas!$D$6:$D$10,0),MATCH(AK84,[71]Listas!$F$4:$J$4,0))</f>
        <v>#N/A</v>
      </c>
      <c r="AN84" s="749"/>
      <c r="AO84" s="749"/>
      <c r="AP84" s="748"/>
      <c r="AQ84" s="749"/>
      <c r="AR84" s="749" t="s">
        <v>2343</v>
      </c>
      <c r="AS84" s="747"/>
      <c r="AT84" s="749"/>
      <c r="AU84" s="749"/>
      <c r="AV84" s="762"/>
      <c r="AW84" s="762"/>
      <c r="AX84" s="747"/>
      <c r="AY84" s="262"/>
    </row>
    <row r="85" spans="1:51" s="260" customFormat="1" ht="103.5" hidden="1" customHeight="1">
      <c r="A85" s="747"/>
      <c r="B85" s="754"/>
      <c r="C85" s="1605"/>
      <c r="D85" s="1607"/>
      <c r="E85" s="1606"/>
      <c r="F85" s="755"/>
      <c r="G85" s="1605"/>
      <c r="H85" s="1607"/>
      <c r="I85" s="1606"/>
      <c r="J85" s="1608"/>
      <c r="K85" s="1608"/>
      <c r="L85" s="1608"/>
      <c r="M85" s="747"/>
      <c r="N85" s="747"/>
      <c r="O85" s="747"/>
      <c r="P85" s="747"/>
      <c r="Q85" s="754"/>
      <c r="R85" s="754"/>
      <c r="S85" s="756"/>
      <c r="T85" s="757" t="e">
        <f>VLOOKUP(Q85,[71]Listas!$D$6:$E$10,2,0)</f>
        <v>#N/A</v>
      </c>
      <c r="U85" s="757" t="e">
        <f>HLOOKUP(R85,[71]Listas!$F$4:$J$5,2,0)</f>
        <v>#N/A</v>
      </c>
      <c r="V85" s="758" t="e">
        <f>INDEX([71]Listas!$F$6:$J$10,MATCH(Q85,[71]Listas!$D$6:$D$10,0),MATCH(R85,[71]Listas!$F$4:$J$4,0))</f>
        <v>#N/A</v>
      </c>
      <c r="W85" s="756"/>
      <c r="X85" s="1605"/>
      <c r="Y85" s="1607"/>
      <c r="Z85" s="1606"/>
      <c r="AA85" s="1086"/>
      <c r="AB85" s="755"/>
      <c r="AC85" s="749"/>
      <c r="AD85" s="747"/>
      <c r="AE85" s="755"/>
      <c r="AF85" s="756"/>
      <c r="AG85" s="757">
        <f t="shared" si="12"/>
        <v>0</v>
      </c>
      <c r="AH85" s="759" t="e">
        <f t="shared" si="13"/>
        <v>#N/A</v>
      </c>
      <c r="AI85" s="760" t="e">
        <f>IF(AH85&lt;=1,"Remota",VLOOKUP(AH85,[71]Listas!$C$6:$D$10,2,0))</f>
        <v>#N/A</v>
      </c>
      <c r="AJ85" s="759" t="e">
        <f t="shared" si="14"/>
        <v>#N/A</v>
      </c>
      <c r="AK85" s="760" t="e">
        <f>IF(AJ85&lt;=1,"Insignificante",HLOOKUP(AJ85,[71]Listas!$F$3:$J$4,2,0))</f>
        <v>#N/A</v>
      </c>
      <c r="AL85" s="761" t="e">
        <f t="shared" si="15"/>
        <v>#N/A</v>
      </c>
      <c r="AM85" s="758" t="e">
        <f>INDEX([71]Listas!$F$6:$J$10,MATCH(AI85,[71]Listas!$D$6:$D$10,0),MATCH(AK85,[71]Listas!$F$4:$J$4,0))</f>
        <v>#N/A</v>
      </c>
      <c r="AN85" s="749"/>
      <c r="AO85" s="749"/>
      <c r="AP85" s="748"/>
      <c r="AQ85" s="749"/>
      <c r="AR85" s="749" t="s">
        <v>2343</v>
      </c>
      <c r="AS85" s="747"/>
      <c r="AT85" s="749"/>
      <c r="AU85" s="749"/>
      <c r="AV85" s="762"/>
      <c r="AW85" s="762"/>
      <c r="AX85" s="747"/>
      <c r="AY85" s="262"/>
    </row>
    <row r="86" spans="1:51" s="260" customFormat="1" ht="103.5" hidden="1" customHeight="1">
      <c r="A86" s="747"/>
      <c r="B86" s="754"/>
      <c r="C86" s="1605"/>
      <c r="D86" s="1607"/>
      <c r="E86" s="1606"/>
      <c r="F86" s="755"/>
      <c r="G86" s="1605"/>
      <c r="H86" s="1607"/>
      <c r="I86" s="1606"/>
      <c r="J86" s="1608"/>
      <c r="K86" s="1608"/>
      <c r="L86" s="1608"/>
      <c r="M86" s="747"/>
      <c r="N86" s="747"/>
      <c r="O86" s="747"/>
      <c r="P86" s="747"/>
      <c r="Q86" s="754"/>
      <c r="R86" s="754"/>
      <c r="S86" s="756"/>
      <c r="T86" s="757" t="e">
        <f>VLOOKUP(Q86,[71]Listas!$D$6:$E$10,2,0)</f>
        <v>#N/A</v>
      </c>
      <c r="U86" s="757" t="e">
        <f>HLOOKUP(R86,[71]Listas!$F$4:$J$5,2,0)</f>
        <v>#N/A</v>
      </c>
      <c r="V86" s="758" t="e">
        <f>INDEX([71]Listas!$F$6:$J$10,MATCH(Q86,[71]Listas!$D$6:$D$10,0),MATCH(R86,[71]Listas!$F$4:$J$4,0))</f>
        <v>#N/A</v>
      </c>
      <c r="W86" s="756"/>
      <c r="X86" s="1605"/>
      <c r="Y86" s="1607"/>
      <c r="Z86" s="1606"/>
      <c r="AA86" s="1086"/>
      <c r="AB86" s="755"/>
      <c r="AC86" s="749"/>
      <c r="AD86" s="747"/>
      <c r="AE86" s="755"/>
      <c r="AF86" s="756"/>
      <c r="AG86" s="757">
        <f t="shared" si="12"/>
        <v>0</v>
      </c>
      <c r="AH86" s="759" t="e">
        <f t="shared" si="13"/>
        <v>#N/A</v>
      </c>
      <c r="AI86" s="760" t="e">
        <f>IF(AH86&lt;=1,"Remota",VLOOKUP(AH86,[71]Listas!$C$6:$D$10,2,0))</f>
        <v>#N/A</v>
      </c>
      <c r="AJ86" s="759" t="e">
        <f t="shared" si="14"/>
        <v>#N/A</v>
      </c>
      <c r="AK86" s="760" t="e">
        <f>IF(AJ86&lt;=1,"Insignificante",HLOOKUP(AJ86,[71]Listas!$F$3:$J$4,2,0))</f>
        <v>#N/A</v>
      </c>
      <c r="AL86" s="761" t="e">
        <f t="shared" si="15"/>
        <v>#N/A</v>
      </c>
      <c r="AM86" s="758" t="e">
        <f>INDEX([71]Listas!$F$6:$J$10,MATCH(AI86,[71]Listas!$D$6:$D$10,0),MATCH(AK86,[71]Listas!$F$4:$J$4,0))</f>
        <v>#N/A</v>
      </c>
      <c r="AN86" s="749"/>
      <c r="AO86" s="749"/>
      <c r="AP86" s="748"/>
      <c r="AQ86" s="749"/>
      <c r="AR86" s="749" t="s">
        <v>2343</v>
      </c>
      <c r="AS86" s="747"/>
      <c r="AT86" s="749"/>
      <c r="AU86" s="749"/>
      <c r="AV86" s="762"/>
      <c r="AW86" s="762"/>
      <c r="AX86" s="747"/>
      <c r="AY86" s="262"/>
    </row>
    <row r="87" spans="1:51" s="260" customFormat="1" ht="103.5" hidden="1" customHeight="1">
      <c r="A87" s="747"/>
      <c r="B87" s="754"/>
      <c r="C87" s="1605"/>
      <c r="D87" s="1607"/>
      <c r="E87" s="1606"/>
      <c r="F87" s="754"/>
      <c r="G87" s="1605"/>
      <c r="H87" s="1607"/>
      <c r="I87" s="1606"/>
      <c r="J87" s="1608"/>
      <c r="K87" s="1608"/>
      <c r="L87" s="1608"/>
      <c r="M87" s="747"/>
      <c r="N87" s="747"/>
      <c r="O87" s="747"/>
      <c r="P87" s="747"/>
      <c r="Q87" s="754"/>
      <c r="R87" s="754"/>
      <c r="S87" s="756"/>
      <c r="T87" s="757" t="e">
        <f>VLOOKUP(Q87,[71]Listas!$D$6:$E$10,2,0)</f>
        <v>#N/A</v>
      </c>
      <c r="U87" s="757" t="e">
        <f>HLOOKUP(R87,[71]Listas!$F$4:$J$5,2,0)</f>
        <v>#N/A</v>
      </c>
      <c r="V87" s="758" t="e">
        <f>INDEX([71]Listas!$F$6:$J$10,MATCH(Q87,[71]Listas!$D$6:$D$10,0),MATCH(R87,[71]Listas!$F$4:$J$4,0))</f>
        <v>#N/A</v>
      </c>
      <c r="W87" s="756"/>
      <c r="X87" s="1605"/>
      <c r="Y87" s="1607"/>
      <c r="Z87" s="1606"/>
      <c r="AA87" s="1086"/>
      <c r="AB87" s="755"/>
      <c r="AC87" s="749"/>
      <c r="AD87" s="747"/>
      <c r="AE87" s="755"/>
      <c r="AF87" s="756"/>
      <c r="AG87" s="757">
        <f>IF(AD87&lt;=33,0,IF(AD87&gt;81,2,1))</f>
        <v>0</v>
      </c>
      <c r="AH87" s="759" t="e">
        <f>IF(OR(AE87="Probabilidad",AE87="Ambos"),T87-AG87,T87)</f>
        <v>#N/A</v>
      </c>
      <c r="AI87" s="760" t="e">
        <f>IF(AH87&lt;=1,"Remota",VLOOKUP(AH87,[71]Listas!$C$6:$D$10,2,0))</f>
        <v>#N/A</v>
      </c>
      <c r="AJ87" s="759" t="e">
        <f>IF(OR(AE87="Impacto",AE87="Ambos"),U87-AG87,U87)</f>
        <v>#N/A</v>
      </c>
      <c r="AK87" s="760" t="e">
        <f>IF(AJ87&lt;=1,"Insignificante",HLOOKUP(AJ87,[71]Listas!$F$3:$J$4,2,0))</f>
        <v>#N/A</v>
      </c>
      <c r="AL87" s="761" t="e">
        <f>AH87*AJ87</f>
        <v>#N/A</v>
      </c>
      <c r="AM87" s="758" t="e">
        <f>INDEX([71]Listas!$F$6:$J$10,MATCH(AI87,[71]Listas!$D$6:$D$10,0),MATCH(AK87,[71]Listas!$F$4:$J$4,0))</f>
        <v>#N/A</v>
      </c>
      <c r="AN87" s="749"/>
      <c r="AO87" s="749"/>
      <c r="AP87" s="748"/>
      <c r="AQ87" s="749"/>
      <c r="AR87" s="749" t="s">
        <v>2343</v>
      </c>
      <c r="AS87" s="747"/>
      <c r="AT87" s="763"/>
      <c r="AU87" s="749"/>
      <c r="AV87" s="762"/>
      <c r="AW87" s="762"/>
      <c r="AX87" s="747"/>
      <c r="AY87" s="262"/>
    </row>
    <row r="88" spans="1:51" s="260" customFormat="1" ht="103.5" hidden="1" customHeight="1">
      <c r="A88" s="747"/>
      <c r="B88" s="754"/>
      <c r="C88" s="1605"/>
      <c r="D88" s="1607"/>
      <c r="E88" s="1606"/>
      <c r="F88" s="755"/>
      <c r="G88" s="1605"/>
      <c r="H88" s="1607"/>
      <c r="I88" s="1606"/>
      <c r="J88" s="1608"/>
      <c r="K88" s="1608"/>
      <c r="L88" s="1608"/>
      <c r="M88" s="747"/>
      <c r="N88" s="747"/>
      <c r="O88" s="747"/>
      <c r="P88" s="747"/>
      <c r="Q88" s="754"/>
      <c r="R88" s="754"/>
      <c r="S88" s="756"/>
      <c r="T88" s="757" t="e">
        <f>VLOOKUP(Q88,[71]Listas!$D$6:$E$10,2,0)</f>
        <v>#N/A</v>
      </c>
      <c r="U88" s="757" t="e">
        <f>HLOOKUP(R88,[71]Listas!$F$4:$J$5,2,0)</f>
        <v>#N/A</v>
      </c>
      <c r="V88" s="758" t="e">
        <f>INDEX([71]Listas!$F$6:$J$10,MATCH(Q88,[71]Listas!$D$6:$D$10,0),MATCH(R88,[71]Listas!$F$4:$J$4,0))</f>
        <v>#N/A</v>
      </c>
      <c r="W88" s="756"/>
      <c r="X88" s="1605"/>
      <c r="Y88" s="1607"/>
      <c r="Z88" s="1606"/>
      <c r="AA88" s="1086"/>
      <c r="AB88" s="755"/>
      <c r="AC88" s="749"/>
      <c r="AD88" s="747"/>
      <c r="AE88" s="755"/>
      <c r="AF88" s="756"/>
      <c r="AG88" s="757">
        <f t="shared" ref="AG88:AG151" si="16">IF(AD88&lt;=33,0,IF(AD88&gt;81,2,1))</f>
        <v>0</v>
      </c>
      <c r="AH88" s="759" t="e">
        <f t="shared" ref="AH88:AH151" si="17">IF(OR(AE88="Probabilidad",AE88="Ambos"),T88-AG88,T88)</f>
        <v>#N/A</v>
      </c>
      <c r="AI88" s="760" t="e">
        <f>IF(AH88&lt;=1,"Remota",VLOOKUP(AH88,[71]Listas!$C$6:$D$10,2,0))</f>
        <v>#N/A</v>
      </c>
      <c r="AJ88" s="759" t="e">
        <f t="shared" ref="AJ88:AJ151" si="18">IF(OR(AE88="Impacto",AE88="Ambos"),U88-AG88,U88)</f>
        <v>#N/A</v>
      </c>
      <c r="AK88" s="760" t="e">
        <f>IF(AJ88&lt;=1,"Insignificante",HLOOKUP(AJ88,[71]Listas!$F$3:$J$4,2,0))</f>
        <v>#N/A</v>
      </c>
      <c r="AL88" s="761" t="e">
        <f t="shared" ref="AL88:AL151" si="19">AH88*AJ88</f>
        <v>#N/A</v>
      </c>
      <c r="AM88" s="758" t="e">
        <f>INDEX([71]Listas!$F$6:$J$10,MATCH(AI88,[71]Listas!$D$6:$D$10,0),MATCH(AK88,[71]Listas!$F$4:$J$4,0))</f>
        <v>#N/A</v>
      </c>
      <c r="AN88" s="749"/>
      <c r="AO88" s="749"/>
      <c r="AP88" s="748"/>
      <c r="AQ88" s="749"/>
      <c r="AR88" s="749" t="s">
        <v>2343</v>
      </c>
      <c r="AS88" s="747"/>
      <c r="AT88" s="749"/>
      <c r="AU88" s="749"/>
      <c r="AV88" s="762"/>
      <c r="AW88" s="762"/>
      <c r="AX88" s="747"/>
      <c r="AY88" s="262"/>
    </row>
    <row r="89" spans="1:51" s="260" customFormat="1" ht="103.5" hidden="1" customHeight="1">
      <c r="A89" s="747"/>
      <c r="B89" s="754"/>
      <c r="C89" s="1605"/>
      <c r="D89" s="1607"/>
      <c r="E89" s="1606"/>
      <c r="F89" s="755"/>
      <c r="G89" s="1605"/>
      <c r="H89" s="1607"/>
      <c r="I89" s="1606"/>
      <c r="J89" s="1608"/>
      <c r="K89" s="1608"/>
      <c r="L89" s="1608"/>
      <c r="M89" s="747"/>
      <c r="N89" s="747"/>
      <c r="O89" s="747"/>
      <c r="P89" s="747"/>
      <c r="Q89" s="754"/>
      <c r="R89" s="754"/>
      <c r="S89" s="756"/>
      <c r="T89" s="757" t="e">
        <f>VLOOKUP(Q89,[71]Listas!$D$6:$E$10,2,0)</f>
        <v>#N/A</v>
      </c>
      <c r="U89" s="757" t="e">
        <f>HLOOKUP(R89,[71]Listas!$F$4:$J$5,2,0)</f>
        <v>#N/A</v>
      </c>
      <c r="V89" s="758" t="e">
        <f>INDEX([71]Listas!$F$6:$J$10,MATCH(Q89,[71]Listas!$D$6:$D$10,0),MATCH(R89,[71]Listas!$F$4:$J$4,0))</f>
        <v>#N/A</v>
      </c>
      <c r="W89" s="756"/>
      <c r="X89" s="1605"/>
      <c r="Y89" s="1607"/>
      <c r="Z89" s="1606"/>
      <c r="AA89" s="1086"/>
      <c r="AB89" s="755"/>
      <c r="AC89" s="749"/>
      <c r="AD89" s="747"/>
      <c r="AE89" s="755"/>
      <c r="AF89" s="756"/>
      <c r="AG89" s="757">
        <f t="shared" si="16"/>
        <v>0</v>
      </c>
      <c r="AH89" s="759" t="e">
        <f t="shared" si="17"/>
        <v>#N/A</v>
      </c>
      <c r="AI89" s="760" t="e">
        <f>IF(AH89&lt;=1,"Remota",VLOOKUP(AH89,[71]Listas!$C$6:$D$10,2,0))</f>
        <v>#N/A</v>
      </c>
      <c r="AJ89" s="759" t="e">
        <f t="shared" si="18"/>
        <v>#N/A</v>
      </c>
      <c r="AK89" s="760" t="e">
        <f>IF(AJ89&lt;=1,"Insignificante",HLOOKUP(AJ89,[71]Listas!$F$3:$J$4,2,0))</f>
        <v>#N/A</v>
      </c>
      <c r="AL89" s="761" t="e">
        <f t="shared" si="19"/>
        <v>#N/A</v>
      </c>
      <c r="AM89" s="758" t="e">
        <f>INDEX([71]Listas!$F$6:$J$10,MATCH(AI89,[71]Listas!$D$6:$D$10,0),MATCH(AK89,[71]Listas!$F$4:$J$4,0))</f>
        <v>#N/A</v>
      </c>
      <c r="AN89" s="749"/>
      <c r="AO89" s="749"/>
      <c r="AP89" s="748"/>
      <c r="AQ89" s="749"/>
      <c r="AR89" s="749" t="s">
        <v>2343</v>
      </c>
      <c r="AS89" s="747"/>
      <c r="AT89" s="749"/>
      <c r="AU89" s="749"/>
      <c r="AV89" s="762"/>
      <c r="AW89" s="762"/>
      <c r="AX89" s="747"/>
      <c r="AY89" s="262"/>
    </row>
    <row r="90" spans="1:51" s="260" customFormat="1" ht="103.5" hidden="1" customHeight="1">
      <c r="A90" s="747"/>
      <c r="B90" s="754"/>
      <c r="C90" s="1605"/>
      <c r="D90" s="1607"/>
      <c r="E90" s="1606"/>
      <c r="F90" s="755"/>
      <c r="G90" s="1605"/>
      <c r="H90" s="1607"/>
      <c r="I90" s="1606"/>
      <c r="J90" s="1608"/>
      <c r="K90" s="1608"/>
      <c r="L90" s="1608"/>
      <c r="M90" s="747"/>
      <c r="N90" s="747"/>
      <c r="O90" s="747"/>
      <c r="P90" s="747"/>
      <c r="Q90" s="754"/>
      <c r="R90" s="754"/>
      <c r="S90" s="756"/>
      <c r="T90" s="757" t="e">
        <f>VLOOKUP(Q90,[71]Listas!$D$6:$E$10,2,0)</f>
        <v>#N/A</v>
      </c>
      <c r="U90" s="757" t="e">
        <f>HLOOKUP(R90,[71]Listas!$F$4:$J$5,2,0)</f>
        <v>#N/A</v>
      </c>
      <c r="V90" s="758" t="e">
        <f>INDEX([71]Listas!$F$6:$J$10,MATCH(Q90,[71]Listas!$D$6:$D$10,0),MATCH(R90,[71]Listas!$F$4:$J$4,0))</f>
        <v>#N/A</v>
      </c>
      <c r="W90" s="756"/>
      <c r="X90" s="1605"/>
      <c r="Y90" s="1607"/>
      <c r="Z90" s="1606"/>
      <c r="AA90" s="1086"/>
      <c r="AB90" s="755"/>
      <c r="AC90" s="749"/>
      <c r="AD90" s="747"/>
      <c r="AE90" s="755"/>
      <c r="AF90" s="756"/>
      <c r="AG90" s="757">
        <f t="shared" si="16"/>
        <v>0</v>
      </c>
      <c r="AH90" s="759" t="e">
        <f t="shared" si="17"/>
        <v>#N/A</v>
      </c>
      <c r="AI90" s="760" t="e">
        <f>IF(AH90&lt;=1,"Remota",VLOOKUP(AH90,[71]Listas!$C$6:$D$10,2,0))</f>
        <v>#N/A</v>
      </c>
      <c r="AJ90" s="759" t="e">
        <f t="shared" si="18"/>
        <v>#N/A</v>
      </c>
      <c r="AK90" s="760" t="e">
        <f>IF(AJ90&lt;=1,"Insignificante",HLOOKUP(AJ90,[71]Listas!$F$3:$J$4,2,0))</f>
        <v>#N/A</v>
      </c>
      <c r="AL90" s="761" t="e">
        <f t="shared" si="19"/>
        <v>#N/A</v>
      </c>
      <c r="AM90" s="758" t="e">
        <f>INDEX([71]Listas!$F$6:$J$10,MATCH(AI90,[71]Listas!$D$6:$D$10,0),MATCH(AK90,[71]Listas!$F$4:$J$4,0))</f>
        <v>#N/A</v>
      </c>
      <c r="AN90" s="749"/>
      <c r="AO90" s="749"/>
      <c r="AP90" s="748"/>
      <c r="AQ90" s="749"/>
      <c r="AR90" s="749" t="s">
        <v>2343</v>
      </c>
      <c r="AS90" s="747"/>
      <c r="AT90" s="749"/>
      <c r="AU90" s="749"/>
      <c r="AV90" s="762"/>
      <c r="AW90" s="762"/>
      <c r="AX90" s="747"/>
      <c r="AY90" s="262"/>
    </row>
    <row r="91" spans="1:51" s="260" customFormat="1" ht="103.5" hidden="1" customHeight="1">
      <c r="A91" s="747"/>
      <c r="B91" s="754"/>
      <c r="C91" s="1605"/>
      <c r="D91" s="1607"/>
      <c r="E91" s="1606"/>
      <c r="F91" s="755"/>
      <c r="G91" s="1605"/>
      <c r="H91" s="1607"/>
      <c r="I91" s="1606"/>
      <c r="J91" s="1608"/>
      <c r="K91" s="1608"/>
      <c r="L91" s="1608"/>
      <c r="M91" s="747"/>
      <c r="N91" s="747"/>
      <c r="O91" s="747"/>
      <c r="P91" s="747"/>
      <c r="Q91" s="754"/>
      <c r="R91" s="754"/>
      <c r="S91" s="756"/>
      <c r="T91" s="757" t="e">
        <f>VLOOKUP(Q91,[71]Listas!$D$6:$E$10,2,0)</f>
        <v>#N/A</v>
      </c>
      <c r="U91" s="757" t="e">
        <f>HLOOKUP(R91,[71]Listas!$F$4:$J$5,2,0)</f>
        <v>#N/A</v>
      </c>
      <c r="V91" s="758" t="e">
        <f>INDEX([71]Listas!$F$6:$J$10,MATCH(Q91,[71]Listas!$D$6:$D$10,0),MATCH(R91,[71]Listas!$F$4:$J$4,0))</f>
        <v>#N/A</v>
      </c>
      <c r="W91" s="756"/>
      <c r="X91" s="1605"/>
      <c r="Y91" s="1607"/>
      <c r="Z91" s="1606"/>
      <c r="AA91" s="1086"/>
      <c r="AB91" s="755"/>
      <c r="AC91" s="749"/>
      <c r="AD91" s="747"/>
      <c r="AE91" s="755"/>
      <c r="AF91" s="756"/>
      <c r="AG91" s="757">
        <f t="shared" si="16"/>
        <v>0</v>
      </c>
      <c r="AH91" s="759" t="e">
        <f t="shared" si="17"/>
        <v>#N/A</v>
      </c>
      <c r="AI91" s="760" t="e">
        <f>IF(AH91&lt;=1,"Remota",VLOOKUP(AH91,[71]Listas!$C$6:$D$10,2,0))</f>
        <v>#N/A</v>
      </c>
      <c r="AJ91" s="759" t="e">
        <f t="shared" si="18"/>
        <v>#N/A</v>
      </c>
      <c r="AK91" s="760" t="e">
        <f>IF(AJ91&lt;=1,"Insignificante",HLOOKUP(AJ91,[71]Listas!$F$3:$J$4,2,0))</f>
        <v>#N/A</v>
      </c>
      <c r="AL91" s="761" t="e">
        <f t="shared" si="19"/>
        <v>#N/A</v>
      </c>
      <c r="AM91" s="758" t="e">
        <f>INDEX([71]Listas!$F$6:$J$10,MATCH(AI91,[71]Listas!$D$6:$D$10,0),MATCH(AK91,[71]Listas!$F$4:$J$4,0))</f>
        <v>#N/A</v>
      </c>
      <c r="AN91" s="749"/>
      <c r="AO91" s="749"/>
      <c r="AP91" s="748"/>
      <c r="AQ91" s="749"/>
      <c r="AR91" s="749" t="s">
        <v>2343</v>
      </c>
      <c r="AS91" s="747"/>
      <c r="AT91" s="749"/>
      <c r="AU91" s="749"/>
      <c r="AV91" s="762"/>
      <c r="AW91" s="762"/>
      <c r="AX91" s="747"/>
      <c r="AY91" s="262"/>
    </row>
    <row r="92" spans="1:51" s="260" customFormat="1" ht="103.5" hidden="1" customHeight="1">
      <c r="A92" s="747"/>
      <c r="B92" s="754"/>
      <c r="C92" s="1605"/>
      <c r="D92" s="1607"/>
      <c r="E92" s="1606"/>
      <c r="F92" s="755"/>
      <c r="G92" s="1605"/>
      <c r="H92" s="1607"/>
      <c r="I92" s="1606"/>
      <c r="J92" s="1608"/>
      <c r="K92" s="1608"/>
      <c r="L92" s="1608"/>
      <c r="M92" s="747"/>
      <c r="N92" s="747"/>
      <c r="O92" s="747"/>
      <c r="P92" s="747"/>
      <c r="Q92" s="754"/>
      <c r="R92" s="754"/>
      <c r="S92" s="756"/>
      <c r="T92" s="757" t="e">
        <f>VLOOKUP(Q92,[71]Listas!$D$6:$E$10,2,0)</f>
        <v>#N/A</v>
      </c>
      <c r="U92" s="757" t="e">
        <f>HLOOKUP(R92,[71]Listas!$F$4:$J$5,2,0)</f>
        <v>#N/A</v>
      </c>
      <c r="V92" s="758" t="e">
        <f>INDEX([71]Listas!$F$6:$J$10,MATCH(Q92,[71]Listas!$D$6:$D$10,0),MATCH(R92,[71]Listas!$F$4:$J$4,0))</f>
        <v>#N/A</v>
      </c>
      <c r="W92" s="756"/>
      <c r="X92" s="1605"/>
      <c r="Y92" s="1607"/>
      <c r="Z92" s="1606"/>
      <c r="AA92" s="1086"/>
      <c r="AB92" s="755"/>
      <c r="AC92" s="749"/>
      <c r="AD92" s="747"/>
      <c r="AE92" s="755"/>
      <c r="AF92" s="756"/>
      <c r="AG92" s="757">
        <f t="shared" si="16"/>
        <v>0</v>
      </c>
      <c r="AH92" s="759" t="e">
        <f t="shared" si="17"/>
        <v>#N/A</v>
      </c>
      <c r="AI92" s="760" t="e">
        <f>IF(AH92&lt;=1,"Remota",VLOOKUP(AH92,[71]Listas!$C$6:$D$10,2,0))</f>
        <v>#N/A</v>
      </c>
      <c r="AJ92" s="759" t="e">
        <f t="shared" si="18"/>
        <v>#N/A</v>
      </c>
      <c r="AK92" s="760" t="e">
        <f>IF(AJ92&lt;=1,"Insignificante",HLOOKUP(AJ92,[71]Listas!$F$3:$J$4,2,0))</f>
        <v>#N/A</v>
      </c>
      <c r="AL92" s="761" t="e">
        <f t="shared" si="19"/>
        <v>#N/A</v>
      </c>
      <c r="AM92" s="758" t="e">
        <f>INDEX([71]Listas!$F$6:$J$10,MATCH(AI92,[71]Listas!$D$6:$D$10,0),MATCH(AK92,[71]Listas!$F$4:$J$4,0))</f>
        <v>#N/A</v>
      </c>
      <c r="AN92" s="749"/>
      <c r="AO92" s="749"/>
      <c r="AP92" s="748"/>
      <c r="AQ92" s="749"/>
      <c r="AR92" s="749" t="s">
        <v>2343</v>
      </c>
      <c r="AS92" s="747"/>
      <c r="AT92" s="749"/>
      <c r="AU92" s="749"/>
      <c r="AV92" s="762"/>
      <c r="AW92" s="762"/>
      <c r="AX92" s="747"/>
      <c r="AY92" s="262"/>
    </row>
    <row r="93" spans="1:51" s="260" customFormat="1" ht="103.5" hidden="1" customHeight="1">
      <c r="A93" s="747"/>
      <c r="B93" s="754"/>
      <c r="C93" s="1605"/>
      <c r="D93" s="1607"/>
      <c r="E93" s="1606"/>
      <c r="F93" s="755"/>
      <c r="G93" s="1605"/>
      <c r="H93" s="1607"/>
      <c r="I93" s="1606"/>
      <c r="J93" s="1608"/>
      <c r="K93" s="1608"/>
      <c r="L93" s="1608"/>
      <c r="M93" s="747"/>
      <c r="N93" s="747"/>
      <c r="O93" s="747"/>
      <c r="P93" s="747"/>
      <c r="Q93" s="754"/>
      <c r="R93" s="754"/>
      <c r="S93" s="756"/>
      <c r="T93" s="757" t="e">
        <f>VLOOKUP(Q93,[71]Listas!$D$6:$E$10,2,0)</f>
        <v>#N/A</v>
      </c>
      <c r="U93" s="757" t="e">
        <f>HLOOKUP(R93,[71]Listas!$F$4:$J$5,2,0)</f>
        <v>#N/A</v>
      </c>
      <c r="V93" s="758" t="e">
        <f>INDEX([71]Listas!$F$6:$J$10,MATCH(Q93,[71]Listas!$D$6:$D$10,0),MATCH(R93,[71]Listas!$F$4:$J$4,0))</f>
        <v>#N/A</v>
      </c>
      <c r="W93" s="756"/>
      <c r="X93" s="1605"/>
      <c r="Y93" s="1607"/>
      <c r="Z93" s="1606"/>
      <c r="AA93" s="1086"/>
      <c r="AB93" s="755"/>
      <c r="AC93" s="749"/>
      <c r="AD93" s="747"/>
      <c r="AE93" s="755"/>
      <c r="AF93" s="756"/>
      <c r="AG93" s="757">
        <f t="shared" si="16"/>
        <v>0</v>
      </c>
      <c r="AH93" s="759" t="e">
        <f t="shared" si="17"/>
        <v>#N/A</v>
      </c>
      <c r="AI93" s="760" t="e">
        <f>IF(AH93&lt;=1,"Remota",VLOOKUP(AH93,[71]Listas!$C$6:$D$10,2,0))</f>
        <v>#N/A</v>
      </c>
      <c r="AJ93" s="759" t="e">
        <f t="shared" si="18"/>
        <v>#N/A</v>
      </c>
      <c r="AK93" s="760" t="e">
        <f>IF(AJ93&lt;=1,"Insignificante",HLOOKUP(AJ93,[71]Listas!$F$3:$J$4,2,0))</f>
        <v>#N/A</v>
      </c>
      <c r="AL93" s="761" t="e">
        <f t="shared" si="19"/>
        <v>#N/A</v>
      </c>
      <c r="AM93" s="758" t="e">
        <f>INDEX([71]Listas!$F$6:$J$10,MATCH(AI93,[71]Listas!$D$6:$D$10,0),MATCH(AK93,[71]Listas!$F$4:$J$4,0))</f>
        <v>#N/A</v>
      </c>
      <c r="AN93" s="749"/>
      <c r="AO93" s="749"/>
      <c r="AP93" s="748"/>
      <c r="AQ93" s="749"/>
      <c r="AR93" s="749" t="s">
        <v>2343</v>
      </c>
      <c r="AS93" s="747"/>
      <c r="AT93" s="749"/>
      <c r="AU93" s="749"/>
      <c r="AV93" s="762"/>
      <c r="AW93" s="762"/>
      <c r="AX93" s="747"/>
      <c r="AY93" s="262"/>
    </row>
    <row r="94" spans="1:51" s="260" customFormat="1" ht="103.5" hidden="1" customHeight="1">
      <c r="A94" s="747"/>
      <c r="B94" s="754"/>
      <c r="C94" s="1605"/>
      <c r="D94" s="1607"/>
      <c r="E94" s="1606"/>
      <c r="F94" s="755"/>
      <c r="G94" s="1605"/>
      <c r="H94" s="1607"/>
      <c r="I94" s="1606"/>
      <c r="J94" s="1608"/>
      <c r="K94" s="1608"/>
      <c r="L94" s="1608"/>
      <c r="M94" s="747"/>
      <c r="N94" s="747"/>
      <c r="O94" s="747"/>
      <c r="P94" s="747"/>
      <c r="Q94" s="754"/>
      <c r="R94" s="754"/>
      <c r="S94" s="756"/>
      <c r="T94" s="757" t="e">
        <f>VLOOKUP(Q94,[71]Listas!$D$6:$E$10,2,0)</f>
        <v>#N/A</v>
      </c>
      <c r="U94" s="757" t="e">
        <f>HLOOKUP(R94,[71]Listas!$F$4:$J$5,2,0)</f>
        <v>#N/A</v>
      </c>
      <c r="V94" s="758" t="e">
        <f>INDEX([71]Listas!$F$6:$J$10,MATCH(Q94,[71]Listas!$D$6:$D$10,0),MATCH(R94,[71]Listas!$F$4:$J$4,0))</f>
        <v>#N/A</v>
      </c>
      <c r="W94" s="756"/>
      <c r="X94" s="1605"/>
      <c r="Y94" s="1607"/>
      <c r="Z94" s="1606"/>
      <c r="AA94" s="1086"/>
      <c r="AB94" s="755"/>
      <c r="AC94" s="749"/>
      <c r="AD94" s="747"/>
      <c r="AE94" s="755"/>
      <c r="AF94" s="756"/>
      <c r="AG94" s="757">
        <f t="shared" si="16"/>
        <v>0</v>
      </c>
      <c r="AH94" s="759" t="e">
        <f t="shared" si="17"/>
        <v>#N/A</v>
      </c>
      <c r="AI94" s="760" t="e">
        <f>IF(AH94&lt;=1,"Remota",VLOOKUP(AH94,[71]Listas!$C$6:$D$10,2,0))</f>
        <v>#N/A</v>
      </c>
      <c r="AJ94" s="759" t="e">
        <f t="shared" si="18"/>
        <v>#N/A</v>
      </c>
      <c r="AK94" s="760" t="e">
        <f>IF(AJ94&lt;=1,"Insignificante",HLOOKUP(AJ94,[71]Listas!$F$3:$J$4,2,0))</f>
        <v>#N/A</v>
      </c>
      <c r="AL94" s="761" t="e">
        <f t="shared" si="19"/>
        <v>#N/A</v>
      </c>
      <c r="AM94" s="758" t="e">
        <f>INDEX([71]Listas!$F$6:$J$10,MATCH(AI94,[71]Listas!$D$6:$D$10,0),MATCH(AK94,[71]Listas!$F$4:$J$4,0))</f>
        <v>#N/A</v>
      </c>
      <c r="AN94" s="749"/>
      <c r="AO94" s="749"/>
      <c r="AP94" s="748"/>
      <c r="AQ94" s="749"/>
      <c r="AR94" s="749" t="s">
        <v>2343</v>
      </c>
      <c r="AS94" s="747"/>
      <c r="AT94" s="749"/>
      <c r="AU94" s="749"/>
      <c r="AV94" s="762"/>
      <c r="AW94" s="762"/>
      <c r="AX94" s="747"/>
      <c r="AY94" s="262"/>
    </row>
    <row r="95" spans="1:51" s="260" customFormat="1" ht="103.5" hidden="1" customHeight="1">
      <c r="A95" s="747"/>
      <c r="B95" s="754"/>
      <c r="C95" s="1605"/>
      <c r="D95" s="1607"/>
      <c r="E95" s="1606"/>
      <c r="F95" s="755"/>
      <c r="G95" s="1605"/>
      <c r="H95" s="1607"/>
      <c r="I95" s="1606"/>
      <c r="J95" s="1608"/>
      <c r="K95" s="1608"/>
      <c r="L95" s="1608"/>
      <c r="M95" s="747"/>
      <c r="N95" s="747"/>
      <c r="O95" s="747"/>
      <c r="P95" s="747"/>
      <c r="Q95" s="754"/>
      <c r="R95" s="754"/>
      <c r="S95" s="756"/>
      <c r="T95" s="757" t="e">
        <f>VLOOKUP(Q95,[71]Listas!$D$6:$E$10,2,0)</f>
        <v>#N/A</v>
      </c>
      <c r="U95" s="757" t="e">
        <f>HLOOKUP(R95,[71]Listas!$F$4:$J$5,2,0)</f>
        <v>#N/A</v>
      </c>
      <c r="V95" s="758" t="e">
        <f>INDEX([71]Listas!$F$6:$J$10,MATCH(Q95,[71]Listas!$D$6:$D$10,0),MATCH(R95,[71]Listas!$F$4:$J$4,0))</f>
        <v>#N/A</v>
      </c>
      <c r="W95" s="756"/>
      <c r="X95" s="1605"/>
      <c r="Y95" s="1607"/>
      <c r="Z95" s="1606"/>
      <c r="AA95" s="1086"/>
      <c r="AB95" s="755"/>
      <c r="AC95" s="749"/>
      <c r="AD95" s="747"/>
      <c r="AE95" s="755"/>
      <c r="AF95" s="756"/>
      <c r="AG95" s="757">
        <f t="shared" si="16"/>
        <v>0</v>
      </c>
      <c r="AH95" s="759" t="e">
        <f t="shared" si="17"/>
        <v>#N/A</v>
      </c>
      <c r="AI95" s="760" t="e">
        <f>IF(AH95&lt;=1,"Remota",VLOOKUP(AH95,[71]Listas!$C$6:$D$10,2,0))</f>
        <v>#N/A</v>
      </c>
      <c r="AJ95" s="759" t="e">
        <f t="shared" si="18"/>
        <v>#N/A</v>
      </c>
      <c r="AK95" s="760" t="e">
        <f>IF(AJ95&lt;=1,"Insignificante",HLOOKUP(AJ95,[71]Listas!$F$3:$J$4,2,0))</f>
        <v>#N/A</v>
      </c>
      <c r="AL95" s="761" t="e">
        <f t="shared" si="19"/>
        <v>#N/A</v>
      </c>
      <c r="AM95" s="758" t="e">
        <f>INDEX([71]Listas!$F$6:$J$10,MATCH(AI95,[71]Listas!$D$6:$D$10,0),MATCH(AK95,[71]Listas!$F$4:$J$4,0))</f>
        <v>#N/A</v>
      </c>
      <c r="AN95" s="749"/>
      <c r="AO95" s="749"/>
      <c r="AP95" s="748"/>
      <c r="AQ95" s="749"/>
      <c r="AR95" s="749" t="s">
        <v>2343</v>
      </c>
      <c r="AS95" s="747"/>
      <c r="AT95" s="749"/>
      <c r="AU95" s="749"/>
      <c r="AV95" s="762"/>
      <c r="AW95" s="762"/>
      <c r="AX95" s="747"/>
      <c r="AY95" s="262"/>
    </row>
    <row r="96" spans="1:51" s="260" customFormat="1" ht="103.5" hidden="1" customHeight="1">
      <c r="A96" s="747"/>
      <c r="B96" s="754"/>
      <c r="C96" s="1605"/>
      <c r="D96" s="1607"/>
      <c r="E96" s="1606"/>
      <c r="F96" s="755"/>
      <c r="G96" s="1605"/>
      <c r="H96" s="1607"/>
      <c r="I96" s="1606"/>
      <c r="J96" s="1608"/>
      <c r="K96" s="1608"/>
      <c r="L96" s="1608"/>
      <c r="M96" s="747"/>
      <c r="N96" s="747"/>
      <c r="O96" s="747"/>
      <c r="P96" s="747"/>
      <c r="Q96" s="754"/>
      <c r="R96" s="754"/>
      <c r="S96" s="756"/>
      <c r="T96" s="757" t="e">
        <f>VLOOKUP(Q96,[71]Listas!$D$6:$E$10,2,0)</f>
        <v>#N/A</v>
      </c>
      <c r="U96" s="757" t="e">
        <f>HLOOKUP(R96,[71]Listas!$F$4:$J$5,2,0)</f>
        <v>#N/A</v>
      </c>
      <c r="V96" s="758" t="e">
        <f>INDEX([71]Listas!$F$6:$J$10,MATCH(Q96,[71]Listas!$D$6:$D$10,0),MATCH(R96,[71]Listas!$F$4:$J$4,0))</f>
        <v>#N/A</v>
      </c>
      <c r="W96" s="756"/>
      <c r="X96" s="1605"/>
      <c r="Y96" s="1607"/>
      <c r="Z96" s="1606"/>
      <c r="AA96" s="1086"/>
      <c r="AB96" s="755"/>
      <c r="AC96" s="749"/>
      <c r="AD96" s="747"/>
      <c r="AE96" s="755"/>
      <c r="AF96" s="756"/>
      <c r="AG96" s="757">
        <f t="shared" si="16"/>
        <v>0</v>
      </c>
      <c r="AH96" s="759" t="e">
        <f t="shared" si="17"/>
        <v>#N/A</v>
      </c>
      <c r="AI96" s="760" t="e">
        <f>IF(AH96&lt;=1,"Remota",VLOOKUP(AH96,[71]Listas!$C$6:$D$10,2,0))</f>
        <v>#N/A</v>
      </c>
      <c r="AJ96" s="759" t="e">
        <f t="shared" si="18"/>
        <v>#N/A</v>
      </c>
      <c r="AK96" s="760" t="e">
        <f>IF(AJ96&lt;=1,"Insignificante",HLOOKUP(AJ96,[71]Listas!$F$3:$J$4,2,0))</f>
        <v>#N/A</v>
      </c>
      <c r="AL96" s="761" t="e">
        <f t="shared" si="19"/>
        <v>#N/A</v>
      </c>
      <c r="AM96" s="758" t="e">
        <f>INDEX([71]Listas!$F$6:$J$10,MATCH(AI96,[71]Listas!$D$6:$D$10,0),MATCH(AK96,[71]Listas!$F$4:$J$4,0))</f>
        <v>#N/A</v>
      </c>
      <c r="AN96" s="749"/>
      <c r="AO96" s="749"/>
      <c r="AP96" s="748"/>
      <c r="AQ96" s="749"/>
      <c r="AR96" s="749" t="s">
        <v>2343</v>
      </c>
      <c r="AS96" s="747"/>
      <c r="AT96" s="749"/>
      <c r="AU96" s="749"/>
      <c r="AV96" s="762"/>
      <c r="AW96" s="762"/>
      <c r="AX96" s="747"/>
      <c r="AY96" s="262"/>
    </row>
    <row r="97" spans="1:51" s="260" customFormat="1" ht="103.5" hidden="1" customHeight="1">
      <c r="A97" s="747"/>
      <c r="B97" s="754"/>
      <c r="C97" s="1605"/>
      <c r="D97" s="1607"/>
      <c r="E97" s="1606"/>
      <c r="F97" s="755"/>
      <c r="G97" s="1605"/>
      <c r="H97" s="1607"/>
      <c r="I97" s="1606"/>
      <c r="J97" s="1608"/>
      <c r="K97" s="1608"/>
      <c r="L97" s="1608"/>
      <c r="M97" s="747"/>
      <c r="N97" s="747"/>
      <c r="O97" s="747"/>
      <c r="P97" s="747"/>
      <c r="Q97" s="754"/>
      <c r="R97" s="754"/>
      <c r="S97" s="756"/>
      <c r="T97" s="757" t="e">
        <f>VLOOKUP(Q97,[71]Listas!$D$6:$E$10,2,0)</f>
        <v>#N/A</v>
      </c>
      <c r="U97" s="757" t="e">
        <f>HLOOKUP(R97,[71]Listas!$F$4:$J$5,2,0)</f>
        <v>#N/A</v>
      </c>
      <c r="V97" s="758" t="e">
        <f>INDEX([71]Listas!$F$6:$J$10,MATCH(Q97,[71]Listas!$D$6:$D$10,0),MATCH(R97,[71]Listas!$F$4:$J$4,0))</f>
        <v>#N/A</v>
      </c>
      <c r="W97" s="756"/>
      <c r="X97" s="1605"/>
      <c r="Y97" s="1607"/>
      <c r="Z97" s="1606"/>
      <c r="AA97" s="1086"/>
      <c r="AB97" s="755"/>
      <c r="AC97" s="749"/>
      <c r="AD97" s="747"/>
      <c r="AE97" s="755"/>
      <c r="AF97" s="756"/>
      <c r="AG97" s="757">
        <f t="shared" si="16"/>
        <v>0</v>
      </c>
      <c r="AH97" s="759" t="e">
        <f t="shared" si="17"/>
        <v>#N/A</v>
      </c>
      <c r="AI97" s="760" t="e">
        <f>IF(AH97&lt;=1,"Remota",VLOOKUP(AH97,[71]Listas!$C$6:$D$10,2,0))</f>
        <v>#N/A</v>
      </c>
      <c r="AJ97" s="759" t="e">
        <f t="shared" si="18"/>
        <v>#N/A</v>
      </c>
      <c r="AK97" s="760" t="e">
        <f>IF(AJ97&lt;=1,"Insignificante",HLOOKUP(AJ97,[71]Listas!$F$3:$J$4,2,0))</f>
        <v>#N/A</v>
      </c>
      <c r="AL97" s="761" t="e">
        <f t="shared" si="19"/>
        <v>#N/A</v>
      </c>
      <c r="AM97" s="758" t="e">
        <f>INDEX([71]Listas!$F$6:$J$10,MATCH(AI97,[71]Listas!$D$6:$D$10,0),MATCH(AK97,[71]Listas!$F$4:$J$4,0))</f>
        <v>#N/A</v>
      </c>
      <c r="AN97" s="749"/>
      <c r="AO97" s="749"/>
      <c r="AP97" s="748"/>
      <c r="AQ97" s="749"/>
      <c r="AR97" s="749" t="s">
        <v>2343</v>
      </c>
      <c r="AS97" s="747"/>
      <c r="AT97" s="749"/>
      <c r="AU97" s="749"/>
      <c r="AV97" s="762"/>
      <c r="AW97" s="762"/>
      <c r="AX97" s="747"/>
      <c r="AY97" s="262"/>
    </row>
    <row r="98" spans="1:51" s="260" customFormat="1" ht="103.5" hidden="1" customHeight="1">
      <c r="A98" s="747"/>
      <c r="B98" s="754"/>
      <c r="C98" s="1605"/>
      <c r="D98" s="1607"/>
      <c r="E98" s="1606"/>
      <c r="F98" s="755"/>
      <c r="G98" s="1605"/>
      <c r="H98" s="1607"/>
      <c r="I98" s="1606"/>
      <c r="J98" s="1608"/>
      <c r="K98" s="1608"/>
      <c r="L98" s="1608"/>
      <c r="M98" s="747"/>
      <c r="N98" s="747"/>
      <c r="O98" s="747"/>
      <c r="P98" s="747"/>
      <c r="Q98" s="754"/>
      <c r="R98" s="754"/>
      <c r="S98" s="756"/>
      <c r="T98" s="757" t="e">
        <f>VLOOKUP(Q98,[71]Listas!$D$6:$E$10,2,0)</f>
        <v>#N/A</v>
      </c>
      <c r="U98" s="757" t="e">
        <f>HLOOKUP(R98,[71]Listas!$F$4:$J$5,2,0)</f>
        <v>#N/A</v>
      </c>
      <c r="V98" s="758" t="e">
        <f>INDEX([71]Listas!$F$6:$J$10,MATCH(Q98,[71]Listas!$D$6:$D$10,0),MATCH(R98,[71]Listas!$F$4:$J$4,0))</f>
        <v>#N/A</v>
      </c>
      <c r="W98" s="756"/>
      <c r="X98" s="1605"/>
      <c r="Y98" s="1607"/>
      <c r="Z98" s="1606"/>
      <c r="AA98" s="1086"/>
      <c r="AB98" s="755"/>
      <c r="AC98" s="749"/>
      <c r="AD98" s="747"/>
      <c r="AE98" s="755"/>
      <c r="AF98" s="756"/>
      <c r="AG98" s="757">
        <f t="shared" si="16"/>
        <v>0</v>
      </c>
      <c r="AH98" s="759" t="e">
        <f t="shared" si="17"/>
        <v>#N/A</v>
      </c>
      <c r="AI98" s="760" t="e">
        <f>IF(AH98&lt;=1,"Remota",VLOOKUP(AH98,[71]Listas!$C$6:$D$10,2,0))</f>
        <v>#N/A</v>
      </c>
      <c r="AJ98" s="759" t="e">
        <f t="shared" si="18"/>
        <v>#N/A</v>
      </c>
      <c r="AK98" s="760" t="e">
        <f>IF(AJ98&lt;=1,"Insignificante",HLOOKUP(AJ98,[71]Listas!$F$3:$J$4,2,0))</f>
        <v>#N/A</v>
      </c>
      <c r="AL98" s="761" t="e">
        <f t="shared" si="19"/>
        <v>#N/A</v>
      </c>
      <c r="AM98" s="758" t="e">
        <f>INDEX([71]Listas!$F$6:$J$10,MATCH(AI98,[71]Listas!$D$6:$D$10,0),MATCH(AK98,[71]Listas!$F$4:$J$4,0))</f>
        <v>#N/A</v>
      </c>
      <c r="AN98" s="749"/>
      <c r="AO98" s="749"/>
      <c r="AP98" s="748"/>
      <c r="AQ98" s="749"/>
      <c r="AR98" s="749" t="s">
        <v>2343</v>
      </c>
      <c r="AS98" s="747"/>
      <c r="AT98" s="749"/>
      <c r="AU98" s="749"/>
      <c r="AV98" s="762"/>
      <c r="AW98" s="762"/>
      <c r="AX98" s="747"/>
      <c r="AY98" s="262"/>
    </row>
    <row r="99" spans="1:51" s="260" customFormat="1" ht="103.5" hidden="1" customHeight="1">
      <c r="A99" s="747"/>
      <c r="B99" s="754"/>
      <c r="C99" s="1605"/>
      <c r="D99" s="1607"/>
      <c r="E99" s="1606"/>
      <c r="F99" s="755"/>
      <c r="G99" s="1605"/>
      <c r="H99" s="1607"/>
      <c r="I99" s="1606"/>
      <c r="J99" s="1608"/>
      <c r="K99" s="1608"/>
      <c r="L99" s="1608"/>
      <c r="M99" s="747"/>
      <c r="N99" s="747"/>
      <c r="O99" s="747"/>
      <c r="P99" s="747"/>
      <c r="Q99" s="754"/>
      <c r="R99" s="754"/>
      <c r="S99" s="756"/>
      <c r="T99" s="757" t="e">
        <f>VLOOKUP(Q99,[71]Listas!$D$6:$E$10,2,0)</f>
        <v>#N/A</v>
      </c>
      <c r="U99" s="757" t="e">
        <f>HLOOKUP(R99,[71]Listas!$F$4:$J$5,2,0)</f>
        <v>#N/A</v>
      </c>
      <c r="V99" s="758" t="e">
        <f>INDEX([71]Listas!$F$6:$J$10,MATCH(Q99,[71]Listas!$D$6:$D$10,0),MATCH(R99,[71]Listas!$F$4:$J$4,0))</f>
        <v>#N/A</v>
      </c>
      <c r="W99" s="756"/>
      <c r="X99" s="1605"/>
      <c r="Y99" s="1607"/>
      <c r="Z99" s="1606"/>
      <c r="AA99" s="1086"/>
      <c r="AB99" s="755"/>
      <c r="AC99" s="749"/>
      <c r="AD99" s="747"/>
      <c r="AE99" s="755"/>
      <c r="AF99" s="756"/>
      <c r="AG99" s="757">
        <f t="shared" si="16"/>
        <v>0</v>
      </c>
      <c r="AH99" s="759" t="e">
        <f t="shared" si="17"/>
        <v>#N/A</v>
      </c>
      <c r="AI99" s="760" t="e">
        <f>IF(AH99&lt;=1,"Remota",VLOOKUP(AH99,[71]Listas!$C$6:$D$10,2,0))</f>
        <v>#N/A</v>
      </c>
      <c r="AJ99" s="759" t="e">
        <f t="shared" si="18"/>
        <v>#N/A</v>
      </c>
      <c r="AK99" s="760" t="e">
        <f>IF(AJ99&lt;=1,"Insignificante",HLOOKUP(AJ99,[71]Listas!$F$3:$J$4,2,0))</f>
        <v>#N/A</v>
      </c>
      <c r="AL99" s="761" t="e">
        <f t="shared" si="19"/>
        <v>#N/A</v>
      </c>
      <c r="AM99" s="758" t="e">
        <f>INDEX([71]Listas!$F$6:$J$10,MATCH(AI99,[71]Listas!$D$6:$D$10,0),MATCH(AK99,[71]Listas!$F$4:$J$4,0))</f>
        <v>#N/A</v>
      </c>
      <c r="AN99" s="749"/>
      <c r="AO99" s="749"/>
      <c r="AP99" s="748"/>
      <c r="AQ99" s="749"/>
      <c r="AR99" s="749" t="s">
        <v>2343</v>
      </c>
      <c r="AS99" s="747"/>
      <c r="AT99" s="749"/>
      <c r="AU99" s="749"/>
      <c r="AV99" s="762"/>
      <c r="AW99" s="762"/>
      <c r="AX99" s="747"/>
      <c r="AY99" s="262"/>
    </row>
    <row r="100" spans="1:51" s="260" customFormat="1" ht="103.5" hidden="1" customHeight="1">
      <c r="A100" s="747"/>
      <c r="B100" s="754"/>
      <c r="C100" s="1605"/>
      <c r="D100" s="1607"/>
      <c r="E100" s="1606"/>
      <c r="F100" s="755"/>
      <c r="G100" s="1605"/>
      <c r="H100" s="1607"/>
      <c r="I100" s="1606"/>
      <c r="J100" s="1608"/>
      <c r="K100" s="1608"/>
      <c r="L100" s="1608"/>
      <c r="M100" s="747"/>
      <c r="N100" s="747"/>
      <c r="O100" s="747"/>
      <c r="P100" s="747"/>
      <c r="Q100" s="754"/>
      <c r="R100" s="754"/>
      <c r="S100" s="756"/>
      <c r="T100" s="757" t="e">
        <f>VLOOKUP(Q100,[71]Listas!$D$6:$E$10,2,0)</f>
        <v>#N/A</v>
      </c>
      <c r="U100" s="757" t="e">
        <f>HLOOKUP(R100,[71]Listas!$F$4:$J$5,2,0)</f>
        <v>#N/A</v>
      </c>
      <c r="V100" s="758" t="e">
        <f>INDEX([71]Listas!$F$6:$J$10,MATCH(Q100,[71]Listas!$D$6:$D$10,0),MATCH(R100,[71]Listas!$F$4:$J$4,0))</f>
        <v>#N/A</v>
      </c>
      <c r="W100" s="756"/>
      <c r="X100" s="1605"/>
      <c r="Y100" s="1607"/>
      <c r="Z100" s="1606"/>
      <c r="AA100" s="1086"/>
      <c r="AB100" s="755"/>
      <c r="AC100" s="749"/>
      <c r="AD100" s="747"/>
      <c r="AE100" s="755"/>
      <c r="AF100" s="756"/>
      <c r="AG100" s="757">
        <f t="shared" si="16"/>
        <v>0</v>
      </c>
      <c r="AH100" s="759" t="e">
        <f t="shared" si="17"/>
        <v>#N/A</v>
      </c>
      <c r="AI100" s="760" t="e">
        <f>IF(AH100&lt;=1,"Remota",VLOOKUP(AH100,[71]Listas!$C$6:$D$10,2,0))</f>
        <v>#N/A</v>
      </c>
      <c r="AJ100" s="759" t="e">
        <f t="shared" si="18"/>
        <v>#N/A</v>
      </c>
      <c r="AK100" s="760" t="e">
        <f>IF(AJ100&lt;=1,"Insignificante",HLOOKUP(AJ100,[71]Listas!$F$3:$J$4,2,0))</f>
        <v>#N/A</v>
      </c>
      <c r="AL100" s="761" t="e">
        <f t="shared" si="19"/>
        <v>#N/A</v>
      </c>
      <c r="AM100" s="758" t="e">
        <f>INDEX([71]Listas!$F$6:$J$10,MATCH(AI100,[71]Listas!$D$6:$D$10,0),MATCH(AK100,[71]Listas!$F$4:$J$4,0))</f>
        <v>#N/A</v>
      </c>
      <c r="AN100" s="749"/>
      <c r="AO100" s="749"/>
      <c r="AP100" s="748"/>
      <c r="AQ100" s="749"/>
      <c r="AR100" s="749" t="s">
        <v>2343</v>
      </c>
      <c r="AS100" s="747"/>
      <c r="AT100" s="749"/>
      <c r="AU100" s="749"/>
      <c r="AV100" s="762"/>
      <c r="AW100" s="762"/>
      <c r="AX100" s="747"/>
      <c r="AY100" s="262"/>
    </row>
    <row r="101" spans="1:51" s="260" customFormat="1" ht="103.5" hidden="1" customHeight="1">
      <c r="A101" s="753"/>
      <c r="B101" s="764"/>
      <c r="C101" s="1605"/>
      <c r="D101" s="1607"/>
      <c r="E101" s="1606"/>
      <c r="F101" s="755"/>
      <c r="G101" s="1605"/>
      <c r="H101" s="1607"/>
      <c r="I101" s="1606"/>
      <c r="J101" s="1608"/>
      <c r="K101" s="1608"/>
      <c r="L101" s="1608"/>
      <c r="M101" s="747"/>
      <c r="N101" s="747"/>
      <c r="O101" s="747"/>
      <c r="P101" s="747"/>
      <c r="Q101" s="754"/>
      <c r="R101" s="754"/>
      <c r="S101" s="756"/>
      <c r="T101" s="757" t="e">
        <f>VLOOKUP(Q101,[71]Listas!$D$6:$E$10,2,0)</f>
        <v>#N/A</v>
      </c>
      <c r="U101" s="757" t="e">
        <f>HLOOKUP(R101,[71]Listas!$F$4:$J$5,2,0)</f>
        <v>#N/A</v>
      </c>
      <c r="V101" s="758" t="e">
        <f>INDEX([71]Listas!$F$6:$J$10,MATCH(Q101,[71]Listas!$D$6:$D$10,0),MATCH(R101,[71]Listas!$F$4:$J$4,0))</f>
        <v>#N/A</v>
      </c>
      <c r="W101" s="756"/>
      <c r="X101" s="1605"/>
      <c r="Y101" s="1607"/>
      <c r="Z101" s="1606"/>
      <c r="AA101" s="1086"/>
      <c r="AB101" s="755"/>
      <c r="AC101" s="749"/>
      <c r="AD101" s="747"/>
      <c r="AE101" s="755"/>
      <c r="AF101" s="756"/>
      <c r="AG101" s="757">
        <f t="shared" si="16"/>
        <v>0</v>
      </c>
      <c r="AH101" s="759" t="e">
        <f t="shared" si="17"/>
        <v>#N/A</v>
      </c>
      <c r="AI101" s="760" t="e">
        <f>IF(AH101&lt;=1,"Remota",VLOOKUP(AH101,[71]Listas!$C$6:$D$10,2,0))</f>
        <v>#N/A</v>
      </c>
      <c r="AJ101" s="759" t="e">
        <f t="shared" si="18"/>
        <v>#N/A</v>
      </c>
      <c r="AK101" s="760" t="e">
        <f>IF(AJ101&lt;=1,"Insignificante",HLOOKUP(AJ101,[71]Listas!$F$3:$J$4,2,0))</f>
        <v>#N/A</v>
      </c>
      <c r="AL101" s="761" t="e">
        <f t="shared" si="19"/>
        <v>#N/A</v>
      </c>
      <c r="AM101" s="758" t="e">
        <f>INDEX([71]Listas!$F$6:$J$10,MATCH(AI101,[71]Listas!$D$6:$D$10,0),MATCH(AK101,[71]Listas!$F$4:$J$4,0))</f>
        <v>#N/A</v>
      </c>
      <c r="AN101" s="749"/>
      <c r="AO101" s="749"/>
      <c r="AP101" s="748"/>
      <c r="AQ101" s="749"/>
      <c r="AR101" s="749" t="s">
        <v>2343</v>
      </c>
      <c r="AS101" s="747"/>
      <c r="AT101" s="749"/>
      <c r="AU101" s="749"/>
      <c r="AV101" s="762"/>
      <c r="AW101" s="762"/>
      <c r="AX101" s="747"/>
      <c r="AY101" s="262"/>
    </row>
    <row r="102" spans="1:51" s="260" customFormat="1" ht="103.5" hidden="1" customHeight="1">
      <c r="A102" s="747"/>
      <c r="B102" s="754"/>
      <c r="C102" s="1605"/>
      <c r="D102" s="1607"/>
      <c r="E102" s="1606"/>
      <c r="F102" s="755"/>
      <c r="G102" s="1605"/>
      <c r="H102" s="1607"/>
      <c r="I102" s="1606"/>
      <c r="J102" s="1608"/>
      <c r="K102" s="1608"/>
      <c r="L102" s="1608"/>
      <c r="M102" s="747"/>
      <c r="N102" s="747"/>
      <c r="O102" s="747"/>
      <c r="P102" s="747"/>
      <c r="Q102" s="754"/>
      <c r="R102" s="754"/>
      <c r="S102" s="756"/>
      <c r="T102" s="757" t="e">
        <f>VLOOKUP(Q102,[71]Listas!$D$6:$E$10,2,0)</f>
        <v>#N/A</v>
      </c>
      <c r="U102" s="757" t="e">
        <f>HLOOKUP(R102,[71]Listas!$F$4:$J$5,2,0)</f>
        <v>#N/A</v>
      </c>
      <c r="V102" s="758" t="e">
        <f>INDEX([71]Listas!$F$6:$J$10,MATCH(Q102,[71]Listas!$D$6:$D$10,0),MATCH(R102,[71]Listas!$F$4:$J$4,0))</f>
        <v>#N/A</v>
      </c>
      <c r="W102" s="756"/>
      <c r="X102" s="1605"/>
      <c r="Y102" s="1607"/>
      <c r="Z102" s="1606"/>
      <c r="AA102" s="1086"/>
      <c r="AB102" s="755"/>
      <c r="AC102" s="749"/>
      <c r="AD102" s="747"/>
      <c r="AE102" s="755"/>
      <c r="AF102" s="756"/>
      <c r="AG102" s="757">
        <f t="shared" si="16"/>
        <v>0</v>
      </c>
      <c r="AH102" s="759" t="e">
        <f t="shared" si="17"/>
        <v>#N/A</v>
      </c>
      <c r="AI102" s="760" t="e">
        <f>IF(AH102&lt;=1,"Remota",VLOOKUP(AH102,[71]Listas!$C$6:$D$10,2,0))</f>
        <v>#N/A</v>
      </c>
      <c r="AJ102" s="759" t="e">
        <f t="shared" si="18"/>
        <v>#N/A</v>
      </c>
      <c r="AK102" s="760" t="e">
        <f>IF(AJ102&lt;=1,"Insignificante",HLOOKUP(AJ102,[71]Listas!$F$3:$J$4,2,0))</f>
        <v>#N/A</v>
      </c>
      <c r="AL102" s="761" t="e">
        <f t="shared" si="19"/>
        <v>#N/A</v>
      </c>
      <c r="AM102" s="758" t="e">
        <f>INDEX([71]Listas!$F$6:$J$10,MATCH(AI102,[71]Listas!$D$6:$D$10,0),MATCH(AK102,[71]Listas!$F$4:$J$4,0))</f>
        <v>#N/A</v>
      </c>
      <c r="AN102" s="749"/>
      <c r="AO102" s="749"/>
      <c r="AP102" s="748"/>
      <c r="AQ102" s="749"/>
      <c r="AR102" s="749" t="s">
        <v>2343</v>
      </c>
      <c r="AS102" s="747"/>
      <c r="AT102" s="749"/>
      <c r="AU102" s="749"/>
      <c r="AV102" s="762"/>
      <c r="AW102" s="762"/>
      <c r="AX102" s="747"/>
      <c r="AY102" s="262"/>
    </row>
    <row r="103" spans="1:51" s="260" customFormat="1" ht="103.5" hidden="1" customHeight="1">
      <c r="A103" s="747"/>
      <c r="B103" s="754"/>
      <c r="C103" s="1605"/>
      <c r="D103" s="1607"/>
      <c r="E103" s="1606"/>
      <c r="F103" s="755"/>
      <c r="G103" s="1605"/>
      <c r="H103" s="1607"/>
      <c r="I103" s="1606"/>
      <c r="J103" s="1608"/>
      <c r="K103" s="1608"/>
      <c r="L103" s="1608"/>
      <c r="M103" s="747"/>
      <c r="N103" s="747"/>
      <c r="O103" s="747"/>
      <c r="P103" s="747"/>
      <c r="Q103" s="754"/>
      <c r="R103" s="754"/>
      <c r="S103" s="756"/>
      <c r="T103" s="757" t="e">
        <f>VLOOKUP(Q103,[71]Listas!$D$6:$E$10,2,0)</f>
        <v>#N/A</v>
      </c>
      <c r="U103" s="757" t="e">
        <f>HLOOKUP(R103,[71]Listas!$F$4:$J$5,2,0)</f>
        <v>#N/A</v>
      </c>
      <c r="V103" s="758" t="e">
        <f>INDEX([71]Listas!$F$6:$J$10,MATCH(Q103,[71]Listas!$D$6:$D$10,0),MATCH(R103,[71]Listas!$F$4:$J$4,0))</f>
        <v>#N/A</v>
      </c>
      <c r="W103" s="756"/>
      <c r="X103" s="1605"/>
      <c r="Y103" s="1607"/>
      <c r="Z103" s="1606"/>
      <c r="AA103" s="1086"/>
      <c r="AB103" s="755"/>
      <c r="AC103" s="749"/>
      <c r="AD103" s="747"/>
      <c r="AE103" s="755"/>
      <c r="AF103" s="756"/>
      <c r="AG103" s="757">
        <f t="shared" si="16"/>
        <v>0</v>
      </c>
      <c r="AH103" s="759" t="e">
        <f t="shared" si="17"/>
        <v>#N/A</v>
      </c>
      <c r="AI103" s="760" t="e">
        <f>IF(AH103&lt;=1,"Remota",VLOOKUP(AH103,[71]Listas!$C$6:$D$10,2,0))</f>
        <v>#N/A</v>
      </c>
      <c r="AJ103" s="759" t="e">
        <f t="shared" si="18"/>
        <v>#N/A</v>
      </c>
      <c r="AK103" s="760" t="e">
        <f>IF(AJ103&lt;=1,"Insignificante",HLOOKUP(AJ103,[71]Listas!$F$3:$J$4,2,0))</f>
        <v>#N/A</v>
      </c>
      <c r="AL103" s="761" t="e">
        <f t="shared" si="19"/>
        <v>#N/A</v>
      </c>
      <c r="AM103" s="758" t="e">
        <f>INDEX([71]Listas!$F$6:$J$10,MATCH(AI103,[71]Listas!$D$6:$D$10,0),MATCH(AK103,[71]Listas!$F$4:$J$4,0))</f>
        <v>#N/A</v>
      </c>
      <c r="AN103" s="749"/>
      <c r="AO103" s="749"/>
      <c r="AP103" s="748"/>
      <c r="AQ103" s="749"/>
      <c r="AR103" s="749" t="s">
        <v>2343</v>
      </c>
      <c r="AS103" s="747"/>
      <c r="AT103" s="749"/>
      <c r="AU103" s="749"/>
      <c r="AV103" s="762"/>
      <c r="AW103" s="762"/>
      <c r="AX103" s="747"/>
      <c r="AY103" s="262"/>
    </row>
    <row r="104" spans="1:51" s="260" customFormat="1" ht="103.5" hidden="1" customHeight="1">
      <c r="A104" s="747"/>
      <c r="B104" s="754"/>
      <c r="C104" s="1605"/>
      <c r="D104" s="1607"/>
      <c r="E104" s="1606"/>
      <c r="F104" s="755"/>
      <c r="G104" s="1605"/>
      <c r="H104" s="1607"/>
      <c r="I104" s="1606"/>
      <c r="J104" s="1608"/>
      <c r="K104" s="1608"/>
      <c r="L104" s="1608"/>
      <c r="M104" s="747"/>
      <c r="N104" s="747"/>
      <c r="O104" s="747"/>
      <c r="P104" s="747"/>
      <c r="Q104" s="754"/>
      <c r="R104" s="754"/>
      <c r="S104" s="756"/>
      <c r="T104" s="757" t="e">
        <f>VLOOKUP(Q104,[71]Listas!$D$6:$E$10,2,0)</f>
        <v>#N/A</v>
      </c>
      <c r="U104" s="757" t="e">
        <f>HLOOKUP(R104,[71]Listas!$F$4:$J$5,2,0)</f>
        <v>#N/A</v>
      </c>
      <c r="V104" s="758" t="e">
        <f>INDEX([71]Listas!$F$6:$J$10,MATCH(Q104,[71]Listas!$D$6:$D$10,0),MATCH(R104,[71]Listas!$F$4:$J$4,0))</f>
        <v>#N/A</v>
      </c>
      <c r="W104" s="756"/>
      <c r="X104" s="1605"/>
      <c r="Y104" s="1607"/>
      <c r="Z104" s="1606"/>
      <c r="AA104" s="1086"/>
      <c r="AB104" s="755"/>
      <c r="AC104" s="749"/>
      <c r="AD104" s="747"/>
      <c r="AE104" s="755"/>
      <c r="AF104" s="756"/>
      <c r="AG104" s="757">
        <f t="shared" si="16"/>
        <v>0</v>
      </c>
      <c r="AH104" s="759" t="e">
        <f t="shared" si="17"/>
        <v>#N/A</v>
      </c>
      <c r="AI104" s="760" t="e">
        <f>IF(AH104&lt;=1,"Remota",VLOOKUP(AH104,[71]Listas!$C$6:$D$10,2,0))</f>
        <v>#N/A</v>
      </c>
      <c r="AJ104" s="759" t="e">
        <f t="shared" si="18"/>
        <v>#N/A</v>
      </c>
      <c r="AK104" s="760" t="e">
        <f>IF(AJ104&lt;=1,"Insignificante",HLOOKUP(AJ104,[71]Listas!$F$3:$J$4,2,0))</f>
        <v>#N/A</v>
      </c>
      <c r="AL104" s="761" t="e">
        <f t="shared" si="19"/>
        <v>#N/A</v>
      </c>
      <c r="AM104" s="758" t="e">
        <f>INDEX([71]Listas!$F$6:$J$10,MATCH(AI104,[71]Listas!$D$6:$D$10,0),MATCH(AK104,[71]Listas!$F$4:$J$4,0))</f>
        <v>#N/A</v>
      </c>
      <c r="AN104" s="749"/>
      <c r="AO104" s="749"/>
      <c r="AP104" s="748"/>
      <c r="AQ104" s="749"/>
      <c r="AR104" s="749" t="s">
        <v>2343</v>
      </c>
      <c r="AS104" s="747"/>
      <c r="AT104" s="749"/>
      <c r="AU104" s="749"/>
      <c r="AV104" s="762"/>
      <c r="AW104" s="762"/>
      <c r="AX104" s="747"/>
      <c r="AY104" s="262"/>
    </row>
    <row r="105" spans="1:51" s="260" customFormat="1" ht="103.5" hidden="1" customHeight="1">
      <c r="A105" s="747"/>
      <c r="B105" s="754"/>
      <c r="C105" s="1605"/>
      <c r="D105" s="1607"/>
      <c r="E105" s="1606"/>
      <c r="F105" s="755"/>
      <c r="G105" s="1605"/>
      <c r="H105" s="1607"/>
      <c r="I105" s="1606"/>
      <c r="J105" s="1608"/>
      <c r="K105" s="1608"/>
      <c r="L105" s="1608"/>
      <c r="M105" s="747"/>
      <c r="N105" s="747"/>
      <c r="O105" s="747"/>
      <c r="P105" s="747"/>
      <c r="Q105" s="754"/>
      <c r="R105" s="754"/>
      <c r="S105" s="756"/>
      <c r="T105" s="757" t="e">
        <f>VLOOKUP(Q105,[71]Listas!$D$6:$E$10,2,0)</f>
        <v>#N/A</v>
      </c>
      <c r="U105" s="757" t="e">
        <f>HLOOKUP(R105,[71]Listas!$F$4:$J$5,2,0)</f>
        <v>#N/A</v>
      </c>
      <c r="V105" s="758" t="e">
        <f>INDEX([71]Listas!$F$6:$J$10,MATCH(Q105,[71]Listas!$D$6:$D$10,0),MATCH(R105,[71]Listas!$F$4:$J$4,0))</f>
        <v>#N/A</v>
      </c>
      <c r="W105" s="756"/>
      <c r="X105" s="1605"/>
      <c r="Y105" s="1607"/>
      <c r="Z105" s="1606"/>
      <c r="AA105" s="1086"/>
      <c r="AB105" s="755"/>
      <c r="AC105" s="749"/>
      <c r="AD105" s="747"/>
      <c r="AE105" s="755"/>
      <c r="AF105" s="756"/>
      <c r="AG105" s="757">
        <f t="shared" si="16"/>
        <v>0</v>
      </c>
      <c r="AH105" s="759" t="e">
        <f t="shared" si="17"/>
        <v>#N/A</v>
      </c>
      <c r="AI105" s="760" t="e">
        <f>IF(AH105&lt;=1,"Remota",VLOOKUP(AH105,[71]Listas!$C$6:$D$10,2,0))</f>
        <v>#N/A</v>
      </c>
      <c r="AJ105" s="759" t="e">
        <f t="shared" si="18"/>
        <v>#N/A</v>
      </c>
      <c r="AK105" s="760" t="e">
        <f>IF(AJ105&lt;=1,"Insignificante",HLOOKUP(AJ105,[71]Listas!$F$3:$J$4,2,0))</f>
        <v>#N/A</v>
      </c>
      <c r="AL105" s="761" t="e">
        <f t="shared" si="19"/>
        <v>#N/A</v>
      </c>
      <c r="AM105" s="758" t="e">
        <f>INDEX([71]Listas!$F$6:$J$10,MATCH(AI105,[71]Listas!$D$6:$D$10,0),MATCH(AK105,[71]Listas!$F$4:$J$4,0))</f>
        <v>#N/A</v>
      </c>
      <c r="AN105" s="749"/>
      <c r="AO105" s="749"/>
      <c r="AP105" s="748"/>
      <c r="AQ105" s="749"/>
      <c r="AR105" s="749" t="s">
        <v>2343</v>
      </c>
      <c r="AS105" s="747"/>
      <c r="AT105" s="749"/>
      <c r="AU105" s="749"/>
      <c r="AV105" s="762"/>
      <c r="AW105" s="762"/>
      <c r="AX105" s="747"/>
      <c r="AY105" s="262"/>
    </row>
    <row r="106" spans="1:51" s="260" customFormat="1" ht="103.5" hidden="1" customHeight="1">
      <c r="A106" s="747"/>
      <c r="B106" s="754"/>
      <c r="C106" s="1605"/>
      <c r="D106" s="1607"/>
      <c r="E106" s="1606"/>
      <c r="F106" s="755"/>
      <c r="G106" s="1605"/>
      <c r="H106" s="1607"/>
      <c r="I106" s="1606"/>
      <c r="J106" s="1608"/>
      <c r="K106" s="1608"/>
      <c r="L106" s="1608"/>
      <c r="M106" s="747"/>
      <c r="N106" s="747"/>
      <c r="O106" s="747"/>
      <c r="P106" s="747"/>
      <c r="Q106" s="754"/>
      <c r="R106" s="754"/>
      <c r="S106" s="756"/>
      <c r="T106" s="757" t="e">
        <f>VLOOKUP(Q106,[71]Listas!$D$6:$E$10,2,0)</f>
        <v>#N/A</v>
      </c>
      <c r="U106" s="757" t="e">
        <f>HLOOKUP(R106,[71]Listas!$F$4:$J$5,2,0)</f>
        <v>#N/A</v>
      </c>
      <c r="V106" s="758" t="e">
        <f>INDEX([71]Listas!$F$6:$J$10,MATCH(Q106,[71]Listas!$D$6:$D$10,0),MATCH(R106,[71]Listas!$F$4:$J$4,0))</f>
        <v>#N/A</v>
      </c>
      <c r="W106" s="756"/>
      <c r="X106" s="1605"/>
      <c r="Y106" s="1607"/>
      <c r="Z106" s="1606"/>
      <c r="AA106" s="1086"/>
      <c r="AB106" s="755"/>
      <c r="AC106" s="749"/>
      <c r="AD106" s="747"/>
      <c r="AE106" s="755"/>
      <c r="AF106" s="756"/>
      <c r="AG106" s="757">
        <f t="shared" si="16"/>
        <v>0</v>
      </c>
      <c r="AH106" s="759" t="e">
        <f t="shared" si="17"/>
        <v>#N/A</v>
      </c>
      <c r="AI106" s="760" t="e">
        <f>IF(AH106&lt;=1,"Remota",VLOOKUP(AH106,[71]Listas!$C$6:$D$10,2,0))</f>
        <v>#N/A</v>
      </c>
      <c r="AJ106" s="759" t="e">
        <f t="shared" si="18"/>
        <v>#N/A</v>
      </c>
      <c r="AK106" s="760" t="e">
        <f>IF(AJ106&lt;=1,"Insignificante",HLOOKUP(AJ106,[71]Listas!$F$3:$J$4,2,0))</f>
        <v>#N/A</v>
      </c>
      <c r="AL106" s="761" t="e">
        <f t="shared" si="19"/>
        <v>#N/A</v>
      </c>
      <c r="AM106" s="758" t="e">
        <f>INDEX([71]Listas!$F$6:$J$10,MATCH(AI106,[71]Listas!$D$6:$D$10,0),MATCH(AK106,[71]Listas!$F$4:$J$4,0))</f>
        <v>#N/A</v>
      </c>
      <c r="AN106" s="749"/>
      <c r="AO106" s="749"/>
      <c r="AP106" s="748"/>
      <c r="AQ106" s="749"/>
      <c r="AR106" s="749" t="s">
        <v>2343</v>
      </c>
      <c r="AS106" s="747"/>
      <c r="AT106" s="749"/>
      <c r="AU106" s="749"/>
      <c r="AV106" s="762"/>
      <c r="AW106" s="762"/>
      <c r="AX106" s="747"/>
      <c r="AY106" s="262"/>
    </row>
    <row r="107" spans="1:51" s="260" customFormat="1" ht="103.5" hidden="1" customHeight="1">
      <c r="A107" s="747"/>
      <c r="B107" s="754"/>
      <c r="C107" s="1605"/>
      <c r="D107" s="1607"/>
      <c r="E107" s="1606"/>
      <c r="F107" s="755"/>
      <c r="G107" s="1605"/>
      <c r="H107" s="1607"/>
      <c r="I107" s="1606"/>
      <c r="J107" s="1608"/>
      <c r="K107" s="1608"/>
      <c r="L107" s="1608"/>
      <c r="M107" s="747"/>
      <c r="N107" s="747"/>
      <c r="O107" s="747"/>
      <c r="P107" s="747"/>
      <c r="Q107" s="754"/>
      <c r="R107" s="754"/>
      <c r="S107" s="756"/>
      <c r="T107" s="757" t="e">
        <f>VLOOKUP(Q107,[71]Listas!$D$6:$E$10,2,0)</f>
        <v>#N/A</v>
      </c>
      <c r="U107" s="757" t="e">
        <f>HLOOKUP(R107,[71]Listas!$F$4:$J$5,2,0)</f>
        <v>#N/A</v>
      </c>
      <c r="V107" s="758" t="e">
        <f>INDEX([71]Listas!$F$6:$J$10,MATCH(Q107,[71]Listas!$D$6:$D$10,0),MATCH(R107,[71]Listas!$F$4:$J$4,0))</f>
        <v>#N/A</v>
      </c>
      <c r="W107" s="756"/>
      <c r="X107" s="1605"/>
      <c r="Y107" s="1607"/>
      <c r="Z107" s="1606"/>
      <c r="AA107" s="1086"/>
      <c r="AB107" s="755"/>
      <c r="AC107" s="749"/>
      <c r="AD107" s="747"/>
      <c r="AE107" s="755"/>
      <c r="AF107" s="756"/>
      <c r="AG107" s="757">
        <f t="shared" si="16"/>
        <v>0</v>
      </c>
      <c r="AH107" s="759" t="e">
        <f t="shared" si="17"/>
        <v>#N/A</v>
      </c>
      <c r="AI107" s="760" t="e">
        <f>IF(AH107&lt;=1,"Remota",VLOOKUP(AH107,[71]Listas!$C$6:$D$10,2,0))</f>
        <v>#N/A</v>
      </c>
      <c r="AJ107" s="759" t="e">
        <f t="shared" si="18"/>
        <v>#N/A</v>
      </c>
      <c r="AK107" s="760" t="e">
        <f>IF(AJ107&lt;=1,"Insignificante",HLOOKUP(AJ107,[71]Listas!$F$3:$J$4,2,0))</f>
        <v>#N/A</v>
      </c>
      <c r="AL107" s="761" t="e">
        <f t="shared" si="19"/>
        <v>#N/A</v>
      </c>
      <c r="AM107" s="758" t="e">
        <f>INDEX([71]Listas!$F$6:$J$10,MATCH(AI107,[71]Listas!$D$6:$D$10,0),MATCH(AK107,[71]Listas!$F$4:$J$4,0))</f>
        <v>#N/A</v>
      </c>
      <c r="AN107" s="749"/>
      <c r="AO107" s="749"/>
      <c r="AP107" s="748"/>
      <c r="AQ107" s="749"/>
      <c r="AR107" s="749" t="s">
        <v>2343</v>
      </c>
      <c r="AS107" s="747"/>
      <c r="AT107" s="749"/>
      <c r="AU107" s="749"/>
      <c r="AV107" s="762"/>
      <c r="AW107" s="762"/>
      <c r="AX107" s="747"/>
      <c r="AY107" s="262"/>
    </row>
    <row r="108" spans="1:51" s="260" customFormat="1" ht="103.5" hidden="1" customHeight="1">
      <c r="A108" s="747"/>
      <c r="B108" s="754"/>
      <c r="C108" s="1605"/>
      <c r="D108" s="1607"/>
      <c r="E108" s="1606"/>
      <c r="F108" s="755"/>
      <c r="G108" s="1605"/>
      <c r="H108" s="1607"/>
      <c r="I108" s="1606"/>
      <c r="J108" s="1608"/>
      <c r="K108" s="1608"/>
      <c r="L108" s="1608"/>
      <c r="M108" s="747"/>
      <c r="N108" s="747"/>
      <c r="O108" s="747"/>
      <c r="P108" s="747"/>
      <c r="Q108" s="754"/>
      <c r="R108" s="754"/>
      <c r="S108" s="756"/>
      <c r="T108" s="757" t="e">
        <f>VLOOKUP(Q108,[71]Listas!$D$6:$E$10,2,0)</f>
        <v>#N/A</v>
      </c>
      <c r="U108" s="757" t="e">
        <f>HLOOKUP(R108,[71]Listas!$F$4:$J$5,2,0)</f>
        <v>#N/A</v>
      </c>
      <c r="V108" s="758" t="e">
        <f>INDEX([71]Listas!$F$6:$J$10,MATCH(Q108,[71]Listas!$D$6:$D$10,0),MATCH(R108,[71]Listas!$F$4:$J$4,0))</f>
        <v>#N/A</v>
      </c>
      <c r="W108" s="756"/>
      <c r="X108" s="1605"/>
      <c r="Y108" s="1607"/>
      <c r="Z108" s="1606"/>
      <c r="AA108" s="1086"/>
      <c r="AB108" s="755"/>
      <c r="AC108" s="749"/>
      <c r="AD108" s="747"/>
      <c r="AE108" s="755"/>
      <c r="AF108" s="756"/>
      <c r="AG108" s="757">
        <f t="shared" si="16"/>
        <v>0</v>
      </c>
      <c r="AH108" s="759" t="e">
        <f t="shared" si="17"/>
        <v>#N/A</v>
      </c>
      <c r="AI108" s="760" t="e">
        <f>IF(AH108&lt;=1,"Remota",VLOOKUP(AH108,[71]Listas!$C$6:$D$10,2,0))</f>
        <v>#N/A</v>
      </c>
      <c r="AJ108" s="759" t="e">
        <f t="shared" si="18"/>
        <v>#N/A</v>
      </c>
      <c r="AK108" s="760" t="e">
        <f>IF(AJ108&lt;=1,"Insignificante",HLOOKUP(AJ108,[71]Listas!$F$3:$J$4,2,0))</f>
        <v>#N/A</v>
      </c>
      <c r="AL108" s="761" t="e">
        <f t="shared" si="19"/>
        <v>#N/A</v>
      </c>
      <c r="AM108" s="758" t="e">
        <f>INDEX([71]Listas!$F$6:$J$10,MATCH(AI108,[71]Listas!$D$6:$D$10,0),MATCH(AK108,[71]Listas!$F$4:$J$4,0))</f>
        <v>#N/A</v>
      </c>
      <c r="AN108" s="749"/>
      <c r="AO108" s="749"/>
      <c r="AP108" s="748"/>
      <c r="AQ108" s="749"/>
      <c r="AR108" s="749" t="s">
        <v>2343</v>
      </c>
      <c r="AS108" s="747"/>
      <c r="AT108" s="749"/>
      <c r="AU108" s="749"/>
      <c r="AV108" s="762"/>
      <c r="AW108" s="762"/>
      <c r="AX108" s="747"/>
      <c r="AY108" s="262"/>
    </row>
    <row r="109" spans="1:51" s="260" customFormat="1" ht="103.5" hidden="1" customHeight="1">
      <c r="A109" s="747"/>
      <c r="B109" s="754"/>
      <c r="C109" s="1605"/>
      <c r="D109" s="1607"/>
      <c r="E109" s="1606"/>
      <c r="F109" s="755"/>
      <c r="G109" s="1605"/>
      <c r="H109" s="1607"/>
      <c r="I109" s="1606"/>
      <c r="J109" s="1608"/>
      <c r="K109" s="1608"/>
      <c r="L109" s="1608"/>
      <c r="M109" s="747"/>
      <c r="N109" s="747"/>
      <c r="O109" s="747"/>
      <c r="P109" s="747"/>
      <c r="Q109" s="754"/>
      <c r="R109" s="754"/>
      <c r="S109" s="756"/>
      <c r="T109" s="757" t="e">
        <f>VLOOKUP(Q109,[71]Listas!$D$6:$E$10,2,0)</f>
        <v>#N/A</v>
      </c>
      <c r="U109" s="757" t="e">
        <f>HLOOKUP(R109,[71]Listas!$F$4:$J$5,2,0)</f>
        <v>#N/A</v>
      </c>
      <c r="V109" s="758" t="e">
        <f>INDEX([71]Listas!$F$6:$J$10,MATCH(Q109,[71]Listas!$D$6:$D$10,0),MATCH(R109,[71]Listas!$F$4:$J$4,0))</f>
        <v>#N/A</v>
      </c>
      <c r="W109" s="756"/>
      <c r="X109" s="1605"/>
      <c r="Y109" s="1607"/>
      <c r="Z109" s="1606"/>
      <c r="AA109" s="1086"/>
      <c r="AB109" s="755"/>
      <c r="AC109" s="749"/>
      <c r="AD109" s="747"/>
      <c r="AE109" s="755"/>
      <c r="AF109" s="756"/>
      <c r="AG109" s="757">
        <f t="shared" si="16"/>
        <v>0</v>
      </c>
      <c r="AH109" s="759" t="e">
        <f t="shared" si="17"/>
        <v>#N/A</v>
      </c>
      <c r="AI109" s="760" t="e">
        <f>IF(AH109&lt;=1,"Remota",VLOOKUP(AH109,[71]Listas!$C$6:$D$10,2,0))</f>
        <v>#N/A</v>
      </c>
      <c r="AJ109" s="759" t="e">
        <f t="shared" si="18"/>
        <v>#N/A</v>
      </c>
      <c r="AK109" s="760" t="e">
        <f>IF(AJ109&lt;=1,"Insignificante",HLOOKUP(AJ109,[71]Listas!$F$3:$J$4,2,0))</f>
        <v>#N/A</v>
      </c>
      <c r="AL109" s="761" t="e">
        <f t="shared" si="19"/>
        <v>#N/A</v>
      </c>
      <c r="AM109" s="758" t="e">
        <f>INDEX([71]Listas!$F$6:$J$10,MATCH(AI109,[71]Listas!$D$6:$D$10,0),MATCH(AK109,[71]Listas!$F$4:$J$4,0))</f>
        <v>#N/A</v>
      </c>
      <c r="AN109" s="749"/>
      <c r="AO109" s="749"/>
      <c r="AP109" s="748"/>
      <c r="AQ109" s="749"/>
      <c r="AR109" s="749" t="s">
        <v>2343</v>
      </c>
      <c r="AS109" s="747"/>
      <c r="AT109" s="749"/>
      <c r="AU109" s="749"/>
      <c r="AV109" s="762"/>
      <c r="AW109" s="762"/>
      <c r="AX109" s="747"/>
      <c r="AY109" s="262"/>
    </row>
    <row r="110" spans="1:51" s="260" customFormat="1" ht="103.5" hidden="1" customHeight="1">
      <c r="A110" s="747"/>
      <c r="B110" s="754"/>
      <c r="C110" s="1605"/>
      <c r="D110" s="1607"/>
      <c r="E110" s="1606"/>
      <c r="F110" s="755"/>
      <c r="G110" s="1605"/>
      <c r="H110" s="1607"/>
      <c r="I110" s="1606"/>
      <c r="J110" s="1608"/>
      <c r="K110" s="1608"/>
      <c r="L110" s="1608"/>
      <c r="M110" s="747"/>
      <c r="N110" s="747"/>
      <c r="O110" s="747"/>
      <c r="P110" s="747"/>
      <c r="Q110" s="754"/>
      <c r="R110" s="754"/>
      <c r="S110" s="756"/>
      <c r="T110" s="757" t="e">
        <f>VLOOKUP(Q110,[71]Listas!$D$6:$E$10,2,0)</f>
        <v>#N/A</v>
      </c>
      <c r="U110" s="757" t="e">
        <f>HLOOKUP(R110,[71]Listas!$F$4:$J$5,2,0)</f>
        <v>#N/A</v>
      </c>
      <c r="V110" s="758" t="e">
        <f>INDEX([71]Listas!$F$6:$J$10,MATCH(Q110,[71]Listas!$D$6:$D$10,0),MATCH(R110,[71]Listas!$F$4:$J$4,0))</f>
        <v>#N/A</v>
      </c>
      <c r="W110" s="756"/>
      <c r="X110" s="1605"/>
      <c r="Y110" s="1607"/>
      <c r="Z110" s="1606"/>
      <c r="AA110" s="1086"/>
      <c r="AB110" s="755"/>
      <c r="AC110" s="749"/>
      <c r="AD110" s="747"/>
      <c r="AE110" s="755"/>
      <c r="AF110" s="756"/>
      <c r="AG110" s="757">
        <f t="shared" si="16"/>
        <v>0</v>
      </c>
      <c r="AH110" s="759" t="e">
        <f t="shared" si="17"/>
        <v>#N/A</v>
      </c>
      <c r="AI110" s="760" t="e">
        <f>IF(AH110&lt;=1,"Remota",VLOOKUP(AH110,[71]Listas!$C$6:$D$10,2,0))</f>
        <v>#N/A</v>
      </c>
      <c r="AJ110" s="759" t="e">
        <f t="shared" si="18"/>
        <v>#N/A</v>
      </c>
      <c r="AK110" s="760" t="e">
        <f>IF(AJ110&lt;=1,"Insignificante",HLOOKUP(AJ110,[71]Listas!$F$3:$J$4,2,0))</f>
        <v>#N/A</v>
      </c>
      <c r="AL110" s="761" t="e">
        <f t="shared" si="19"/>
        <v>#N/A</v>
      </c>
      <c r="AM110" s="758" t="e">
        <f>INDEX([71]Listas!$F$6:$J$10,MATCH(AI110,[71]Listas!$D$6:$D$10,0),MATCH(AK110,[71]Listas!$F$4:$J$4,0))</f>
        <v>#N/A</v>
      </c>
      <c r="AN110" s="749"/>
      <c r="AO110" s="749"/>
      <c r="AP110" s="748"/>
      <c r="AQ110" s="749"/>
      <c r="AR110" s="749" t="s">
        <v>2343</v>
      </c>
      <c r="AS110" s="747"/>
      <c r="AT110" s="749"/>
      <c r="AU110" s="749"/>
      <c r="AV110" s="762"/>
      <c r="AW110" s="762"/>
      <c r="AX110" s="747"/>
      <c r="AY110" s="262"/>
    </row>
    <row r="111" spans="1:51" s="260" customFormat="1" ht="103.5" hidden="1" customHeight="1">
      <c r="A111" s="747"/>
      <c r="B111" s="754"/>
      <c r="C111" s="1605"/>
      <c r="D111" s="1607"/>
      <c r="E111" s="1606"/>
      <c r="F111" s="755"/>
      <c r="G111" s="1605"/>
      <c r="H111" s="1607"/>
      <c r="I111" s="1606"/>
      <c r="J111" s="1608"/>
      <c r="K111" s="1608"/>
      <c r="L111" s="1608"/>
      <c r="M111" s="747"/>
      <c r="N111" s="747"/>
      <c r="O111" s="747"/>
      <c r="P111" s="747"/>
      <c r="Q111" s="754"/>
      <c r="R111" s="754"/>
      <c r="S111" s="756"/>
      <c r="T111" s="757" t="e">
        <f>VLOOKUP(Q111,[71]Listas!$D$6:$E$10,2,0)</f>
        <v>#N/A</v>
      </c>
      <c r="U111" s="757" t="e">
        <f>HLOOKUP(R111,[71]Listas!$F$4:$J$5,2,0)</f>
        <v>#N/A</v>
      </c>
      <c r="V111" s="758" t="e">
        <f>INDEX([71]Listas!$F$6:$J$10,MATCH(Q111,[71]Listas!$D$6:$D$10,0),MATCH(R111,[71]Listas!$F$4:$J$4,0))</f>
        <v>#N/A</v>
      </c>
      <c r="W111" s="756"/>
      <c r="X111" s="1605"/>
      <c r="Y111" s="1607"/>
      <c r="Z111" s="1606"/>
      <c r="AA111" s="1086"/>
      <c r="AB111" s="755"/>
      <c r="AC111" s="749"/>
      <c r="AD111" s="747"/>
      <c r="AE111" s="755"/>
      <c r="AF111" s="756"/>
      <c r="AG111" s="757">
        <f t="shared" si="16"/>
        <v>0</v>
      </c>
      <c r="AH111" s="759" t="e">
        <f t="shared" si="17"/>
        <v>#N/A</v>
      </c>
      <c r="AI111" s="760" t="e">
        <f>IF(AH111&lt;=1,"Remota",VLOOKUP(AH111,[71]Listas!$C$6:$D$10,2,0))</f>
        <v>#N/A</v>
      </c>
      <c r="AJ111" s="759" t="e">
        <f t="shared" si="18"/>
        <v>#N/A</v>
      </c>
      <c r="AK111" s="760" t="e">
        <f>IF(AJ111&lt;=1,"Insignificante",HLOOKUP(AJ111,[71]Listas!$F$3:$J$4,2,0))</f>
        <v>#N/A</v>
      </c>
      <c r="AL111" s="761" t="e">
        <f t="shared" si="19"/>
        <v>#N/A</v>
      </c>
      <c r="AM111" s="758" t="e">
        <f>INDEX([71]Listas!$F$6:$J$10,MATCH(AI111,[71]Listas!$D$6:$D$10,0),MATCH(AK111,[71]Listas!$F$4:$J$4,0))</f>
        <v>#N/A</v>
      </c>
      <c r="AN111" s="749"/>
      <c r="AO111" s="749"/>
      <c r="AP111" s="748"/>
      <c r="AQ111" s="749"/>
      <c r="AR111" s="749" t="s">
        <v>2343</v>
      </c>
      <c r="AS111" s="747"/>
      <c r="AT111" s="749"/>
      <c r="AU111" s="749"/>
      <c r="AV111" s="762"/>
      <c r="AW111" s="762"/>
      <c r="AX111" s="747"/>
      <c r="AY111" s="262"/>
    </row>
    <row r="112" spans="1:51" s="260" customFormat="1" ht="103.5" hidden="1" customHeight="1">
      <c r="A112" s="747"/>
      <c r="B112" s="754"/>
      <c r="C112" s="1605"/>
      <c r="D112" s="1607"/>
      <c r="E112" s="1606"/>
      <c r="F112" s="755"/>
      <c r="G112" s="1605"/>
      <c r="H112" s="1607"/>
      <c r="I112" s="1606"/>
      <c r="J112" s="1608"/>
      <c r="K112" s="1608"/>
      <c r="L112" s="1608"/>
      <c r="M112" s="747"/>
      <c r="N112" s="747"/>
      <c r="O112" s="747"/>
      <c r="P112" s="747"/>
      <c r="Q112" s="754"/>
      <c r="R112" s="754"/>
      <c r="S112" s="756"/>
      <c r="T112" s="757" t="e">
        <f>VLOOKUP(Q112,[71]Listas!$D$6:$E$10,2,0)</f>
        <v>#N/A</v>
      </c>
      <c r="U112" s="757" t="e">
        <f>HLOOKUP(R112,[71]Listas!$F$4:$J$5,2,0)</f>
        <v>#N/A</v>
      </c>
      <c r="V112" s="758" t="e">
        <f>INDEX([71]Listas!$F$6:$J$10,MATCH(Q112,[71]Listas!$D$6:$D$10,0),MATCH(R112,[71]Listas!$F$4:$J$4,0))</f>
        <v>#N/A</v>
      </c>
      <c r="W112" s="756"/>
      <c r="X112" s="1605"/>
      <c r="Y112" s="1607"/>
      <c r="Z112" s="1606"/>
      <c r="AA112" s="1086"/>
      <c r="AB112" s="755"/>
      <c r="AC112" s="749"/>
      <c r="AD112" s="747"/>
      <c r="AE112" s="755"/>
      <c r="AF112" s="756"/>
      <c r="AG112" s="757">
        <f t="shared" si="16"/>
        <v>0</v>
      </c>
      <c r="AH112" s="759" t="e">
        <f t="shared" si="17"/>
        <v>#N/A</v>
      </c>
      <c r="AI112" s="760" t="e">
        <f>IF(AH112&lt;=1,"Remota",VLOOKUP(AH112,[71]Listas!$C$6:$D$10,2,0))</f>
        <v>#N/A</v>
      </c>
      <c r="AJ112" s="759" t="e">
        <f t="shared" si="18"/>
        <v>#N/A</v>
      </c>
      <c r="AK112" s="760" t="e">
        <f>IF(AJ112&lt;=1,"Insignificante",HLOOKUP(AJ112,[71]Listas!$F$3:$J$4,2,0))</f>
        <v>#N/A</v>
      </c>
      <c r="AL112" s="761" t="e">
        <f t="shared" si="19"/>
        <v>#N/A</v>
      </c>
      <c r="AM112" s="758" t="e">
        <f>INDEX([71]Listas!$F$6:$J$10,MATCH(AI112,[71]Listas!$D$6:$D$10,0),MATCH(AK112,[71]Listas!$F$4:$J$4,0))</f>
        <v>#N/A</v>
      </c>
      <c r="AN112" s="749"/>
      <c r="AO112" s="749"/>
      <c r="AP112" s="748"/>
      <c r="AQ112" s="749"/>
      <c r="AR112" s="749" t="s">
        <v>2343</v>
      </c>
      <c r="AS112" s="747"/>
      <c r="AT112" s="749"/>
      <c r="AU112" s="749"/>
      <c r="AV112" s="762"/>
      <c r="AW112" s="762"/>
      <c r="AX112" s="747"/>
      <c r="AY112" s="262"/>
    </row>
    <row r="113" spans="1:51" s="260" customFormat="1" ht="103.5" hidden="1" customHeight="1">
      <c r="A113" s="747"/>
      <c r="B113" s="754"/>
      <c r="C113" s="1605"/>
      <c r="D113" s="1607"/>
      <c r="E113" s="1606"/>
      <c r="F113" s="755"/>
      <c r="G113" s="1605"/>
      <c r="H113" s="1607"/>
      <c r="I113" s="1606"/>
      <c r="J113" s="1608"/>
      <c r="K113" s="1608"/>
      <c r="L113" s="1608"/>
      <c r="M113" s="747"/>
      <c r="N113" s="747"/>
      <c r="O113" s="747"/>
      <c r="P113" s="747"/>
      <c r="Q113" s="754"/>
      <c r="R113" s="754"/>
      <c r="S113" s="756"/>
      <c r="T113" s="757" t="e">
        <f>VLOOKUP(Q113,[71]Listas!$D$6:$E$10,2,0)</f>
        <v>#N/A</v>
      </c>
      <c r="U113" s="757" t="e">
        <f>HLOOKUP(R113,[71]Listas!$F$4:$J$5,2,0)</f>
        <v>#N/A</v>
      </c>
      <c r="V113" s="758" t="e">
        <f>INDEX([71]Listas!$F$6:$J$10,MATCH(Q113,[71]Listas!$D$6:$D$10,0),MATCH(R113,[71]Listas!$F$4:$J$4,0))</f>
        <v>#N/A</v>
      </c>
      <c r="W113" s="756"/>
      <c r="X113" s="1605"/>
      <c r="Y113" s="1607"/>
      <c r="Z113" s="1606"/>
      <c r="AA113" s="1086"/>
      <c r="AB113" s="755"/>
      <c r="AC113" s="749"/>
      <c r="AD113" s="747"/>
      <c r="AE113" s="755"/>
      <c r="AF113" s="756"/>
      <c r="AG113" s="757">
        <f t="shared" si="16"/>
        <v>0</v>
      </c>
      <c r="AH113" s="759" t="e">
        <f t="shared" si="17"/>
        <v>#N/A</v>
      </c>
      <c r="AI113" s="760" t="e">
        <f>IF(AH113&lt;=1,"Remota",VLOOKUP(AH113,[71]Listas!$C$6:$D$10,2,0))</f>
        <v>#N/A</v>
      </c>
      <c r="AJ113" s="759" t="e">
        <f t="shared" si="18"/>
        <v>#N/A</v>
      </c>
      <c r="AK113" s="760" t="e">
        <f>IF(AJ113&lt;=1,"Insignificante",HLOOKUP(AJ113,[71]Listas!$F$3:$J$4,2,0))</f>
        <v>#N/A</v>
      </c>
      <c r="AL113" s="761" t="e">
        <f t="shared" si="19"/>
        <v>#N/A</v>
      </c>
      <c r="AM113" s="758" t="e">
        <f>INDEX([71]Listas!$F$6:$J$10,MATCH(AI113,[71]Listas!$D$6:$D$10,0),MATCH(AK113,[71]Listas!$F$4:$J$4,0))</f>
        <v>#N/A</v>
      </c>
      <c r="AN113" s="749"/>
      <c r="AO113" s="749"/>
      <c r="AP113" s="748"/>
      <c r="AQ113" s="749"/>
      <c r="AR113" s="749" t="s">
        <v>2343</v>
      </c>
      <c r="AS113" s="747"/>
      <c r="AT113" s="749"/>
      <c r="AU113" s="749"/>
      <c r="AV113" s="762"/>
      <c r="AW113" s="762"/>
      <c r="AX113" s="747"/>
      <c r="AY113" s="262"/>
    </row>
    <row r="114" spans="1:51" s="260" customFormat="1" ht="103.5" hidden="1" customHeight="1">
      <c r="A114" s="747"/>
      <c r="B114" s="754"/>
      <c r="C114" s="1605"/>
      <c r="D114" s="1607"/>
      <c r="E114" s="1606"/>
      <c r="F114" s="755"/>
      <c r="G114" s="1605"/>
      <c r="H114" s="1607"/>
      <c r="I114" s="1606"/>
      <c r="J114" s="1608"/>
      <c r="K114" s="1608"/>
      <c r="L114" s="1608"/>
      <c r="M114" s="747"/>
      <c r="N114" s="747"/>
      <c r="O114" s="747"/>
      <c r="P114" s="747"/>
      <c r="Q114" s="754"/>
      <c r="R114" s="754"/>
      <c r="S114" s="756"/>
      <c r="T114" s="757" t="e">
        <f>VLOOKUP(Q114,[71]Listas!$D$6:$E$10,2,0)</f>
        <v>#N/A</v>
      </c>
      <c r="U114" s="757" t="e">
        <f>HLOOKUP(R114,[71]Listas!$F$4:$J$5,2,0)</f>
        <v>#N/A</v>
      </c>
      <c r="V114" s="758" t="e">
        <f>INDEX([71]Listas!$F$6:$J$10,MATCH(Q114,[71]Listas!$D$6:$D$10,0),MATCH(R114,[71]Listas!$F$4:$J$4,0))</f>
        <v>#N/A</v>
      </c>
      <c r="W114" s="756"/>
      <c r="X114" s="1605"/>
      <c r="Y114" s="1607"/>
      <c r="Z114" s="1606"/>
      <c r="AA114" s="1086"/>
      <c r="AB114" s="755"/>
      <c r="AC114" s="749"/>
      <c r="AD114" s="747"/>
      <c r="AE114" s="755"/>
      <c r="AF114" s="756"/>
      <c r="AG114" s="757">
        <f t="shared" si="16"/>
        <v>0</v>
      </c>
      <c r="AH114" s="759" t="e">
        <f t="shared" si="17"/>
        <v>#N/A</v>
      </c>
      <c r="AI114" s="760" t="e">
        <f>IF(AH114&lt;=1,"Remota",VLOOKUP(AH114,[71]Listas!$C$6:$D$10,2,0))</f>
        <v>#N/A</v>
      </c>
      <c r="AJ114" s="759" t="e">
        <f t="shared" si="18"/>
        <v>#N/A</v>
      </c>
      <c r="AK114" s="760" t="e">
        <f>IF(AJ114&lt;=1,"Insignificante",HLOOKUP(AJ114,[71]Listas!$F$3:$J$4,2,0))</f>
        <v>#N/A</v>
      </c>
      <c r="AL114" s="761" t="e">
        <f t="shared" si="19"/>
        <v>#N/A</v>
      </c>
      <c r="AM114" s="758" t="e">
        <f>INDEX([71]Listas!$F$6:$J$10,MATCH(AI114,[71]Listas!$D$6:$D$10,0),MATCH(AK114,[71]Listas!$F$4:$J$4,0))</f>
        <v>#N/A</v>
      </c>
      <c r="AN114" s="749"/>
      <c r="AO114" s="749"/>
      <c r="AP114" s="748"/>
      <c r="AQ114" s="749"/>
      <c r="AR114" s="749" t="s">
        <v>2343</v>
      </c>
      <c r="AS114" s="747"/>
      <c r="AT114" s="749"/>
      <c r="AU114" s="749"/>
      <c r="AV114" s="762"/>
      <c r="AW114" s="762"/>
      <c r="AX114" s="747"/>
      <c r="AY114" s="262"/>
    </row>
    <row r="115" spans="1:51" s="260" customFormat="1" ht="103.5" hidden="1" customHeight="1">
      <c r="A115" s="747"/>
      <c r="B115" s="754"/>
      <c r="C115" s="1605"/>
      <c r="D115" s="1607"/>
      <c r="E115" s="1606"/>
      <c r="F115" s="755"/>
      <c r="G115" s="1605"/>
      <c r="H115" s="1607"/>
      <c r="I115" s="1606"/>
      <c r="J115" s="1608"/>
      <c r="K115" s="1608"/>
      <c r="L115" s="1608"/>
      <c r="M115" s="747"/>
      <c r="N115" s="747"/>
      <c r="O115" s="747"/>
      <c r="P115" s="747"/>
      <c r="Q115" s="754"/>
      <c r="R115" s="754"/>
      <c r="S115" s="756"/>
      <c r="T115" s="757" t="e">
        <f>VLOOKUP(Q115,[71]Listas!$D$6:$E$10,2,0)</f>
        <v>#N/A</v>
      </c>
      <c r="U115" s="757" t="e">
        <f>HLOOKUP(R115,[71]Listas!$F$4:$J$5,2,0)</f>
        <v>#N/A</v>
      </c>
      <c r="V115" s="758" t="e">
        <f>INDEX([71]Listas!$F$6:$J$10,MATCH(Q115,[71]Listas!$D$6:$D$10,0),MATCH(R115,[71]Listas!$F$4:$J$4,0))</f>
        <v>#N/A</v>
      </c>
      <c r="W115" s="756"/>
      <c r="X115" s="1605"/>
      <c r="Y115" s="1607"/>
      <c r="Z115" s="1606"/>
      <c r="AA115" s="1086"/>
      <c r="AB115" s="755"/>
      <c r="AC115" s="749"/>
      <c r="AD115" s="747"/>
      <c r="AE115" s="755"/>
      <c r="AF115" s="756"/>
      <c r="AG115" s="757">
        <f t="shared" si="16"/>
        <v>0</v>
      </c>
      <c r="AH115" s="759" t="e">
        <f t="shared" si="17"/>
        <v>#N/A</v>
      </c>
      <c r="AI115" s="760" t="e">
        <f>IF(AH115&lt;=1,"Remota",VLOOKUP(AH115,[71]Listas!$C$6:$D$10,2,0))</f>
        <v>#N/A</v>
      </c>
      <c r="AJ115" s="759" t="e">
        <f t="shared" si="18"/>
        <v>#N/A</v>
      </c>
      <c r="AK115" s="760" t="e">
        <f>IF(AJ115&lt;=1,"Insignificante",HLOOKUP(AJ115,[71]Listas!$F$3:$J$4,2,0))</f>
        <v>#N/A</v>
      </c>
      <c r="AL115" s="761" t="e">
        <f t="shared" si="19"/>
        <v>#N/A</v>
      </c>
      <c r="AM115" s="758" t="e">
        <f>INDEX([71]Listas!$F$6:$J$10,MATCH(AI115,[71]Listas!$D$6:$D$10,0),MATCH(AK115,[71]Listas!$F$4:$J$4,0))</f>
        <v>#N/A</v>
      </c>
      <c r="AN115" s="749"/>
      <c r="AO115" s="749"/>
      <c r="AP115" s="748"/>
      <c r="AQ115" s="749"/>
      <c r="AR115" s="749" t="s">
        <v>2343</v>
      </c>
      <c r="AS115" s="747"/>
      <c r="AT115" s="749"/>
      <c r="AU115" s="749"/>
      <c r="AV115" s="762"/>
      <c r="AW115" s="762"/>
      <c r="AX115" s="747"/>
      <c r="AY115" s="262"/>
    </row>
    <row r="116" spans="1:51" s="260" customFormat="1" ht="103.5" hidden="1" customHeight="1">
      <c r="A116" s="747"/>
      <c r="B116" s="754"/>
      <c r="C116" s="1605"/>
      <c r="D116" s="1607"/>
      <c r="E116" s="1606"/>
      <c r="F116" s="755"/>
      <c r="G116" s="1605"/>
      <c r="H116" s="1607"/>
      <c r="I116" s="1606"/>
      <c r="J116" s="1608"/>
      <c r="K116" s="1608"/>
      <c r="L116" s="1608"/>
      <c r="M116" s="747"/>
      <c r="N116" s="747"/>
      <c r="O116" s="747"/>
      <c r="P116" s="747"/>
      <c r="Q116" s="754"/>
      <c r="R116" s="754"/>
      <c r="S116" s="756"/>
      <c r="T116" s="757" t="e">
        <f>VLOOKUP(Q116,[71]Listas!$D$6:$E$10,2,0)</f>
        <v>#N/A</v>
      </c>
      <c r="U116" s="757" t="e">
        <f>HLOOKUP(R116,[71]Listas!$F$4:$J$5,2,0)</f>
        <v>#N/A</v>
      </c>
      <c r="V116" s="758" t="e">
        <f>INDEX([71]Listas!$F$6:$J$10,MATCH(Q116,[71]Listas!$D$6:$D$10,0),MATCH(R116,[71]Listas!$F$4:$J$4,0))</f>
        <v>#N/A</v>
      </c>
      <c r="W116" s="756"/>
      <c r="X116" s="1605"/>
      <c r="Y116" s="1607"/>
      <c r="Z116" s="1606"/>
      <c r="AA116" s="1086"/>
      <c r="AB116" s="755"/>
      <c r="AC116" s="749"/>
      <c r="AD116" s="747"/>
      <c r="AE116" s="755"/>
      <c r="AF116" s="756"/>
      <c r="AG116" s="757">
        <f t="shared" si="16"/>
        <v>0</v>
      </c>
      <c r="AH116" s="759" t="e">
        <f t="shared" si="17"/>
        <v>#N/A</v>
      </c>
      <c r="AI116" s="760" t="e">
        <f>IF(AH116&lt;=1,"Remota",VLOOKUP(AH116,[71]Listas!$C$6:$D$10,2,0))</f>
        <v>#N/A</v>
      </c>
      <c r="AJ116" s="759" t="e">
        <f t="shared" si="18"/>
        <v>#N/A</v>
      </c>
      <c r="AK116" s="760" t="e">
        <f>IF(AJ116&lt;=1,"Insignificante",HLOOKUP(AJ116,[71]Listas!$F$3:$J$4,2,0))</f>
        <v>#N/A</v>
      </c>
      <c r="AL116" s="761" t="e">
        <f t="shared" si="19"/>
        <v>#N/A</v>
      </c>
      <c r="AM116" s="758" t="e">
        <f>INDEX([71]Listas!$F$6:$J$10,MATCH(AI116,[71]Listas!$D$6:$D$10,0),MATCH(AK116,[71]Listas!$F$4:$J$4,0))</f>
        <v>#N/A</v>
      </c>
      <c r="AN116" s="749"/>
      <c r="AO116" s="749"/>
      <c r="AP116" s="748"/>
      <c r="AQ116" s="749"/>
      <c r="AR116" s="749" t="s">
        <v>2343</v>
      </c>
      <c r="AS116" s="747"/>
      <c r="AT116" s="749"/>
      <c r="AU116" s="749"/>
      <c r="AV116" s="762"/>
      <c r="AW116" s="762"/>
      <c r="AX116" s="747"/>
      <c r="AY116" s="262"/>
    </row>
    <row r="117" spans="1:51" s="260" customFormat="1" ht="103.5" hidden="1" customHeight="1">
      <c r="A117" s="747"/>
      <c r="B117" s="754"/>
      <c r="C117" s="1605"/>
      <c r="D117" s="1607"/>
      <c r="E117" s="1606"/>
      <c r="F117" s="755"/>
      <c r="G117" s="1605"/>
      <c r="H117" s="1607"/>
      <c r="I117" s="1606"/>
      <c r="J117" s="1608"/>
      <c r="K117" s="1608"/>
      <c r="L117" s="1608"/>
      <c r="M117" s="747"/>
      <c r="N117" s="747"/>
      <c r="O117" s="747"/>
      <c r="P117" s="747"/>
      <c r="Q117" s="754"/>
      <c r="R117" s="754"/>
      <c r="S117" s="756"/>
      <c r="T117" s="757" t="e">
        <f>VLOOKUP(Q117,[71]Listas!$D$6:$E$10,2,0)</f>
        <v>#N/A</v>
      </c>
      <c r="U117" s="757" t="e">
        <f>HLOOKUP(R117,[71]Listas!$F$4:$J$5,2,0)</f>
        <v>#N/A</v>
      </c>
      <c r="V117" s="758" t="e">
        <f>INDEX([71]Listas!$F$6:$J$10,MATCH(Q117,[71]Listas!$D$6:$D$10,0),MATCH(R117,[71]Listas!$F$4:$J$4,0))</f>
        <v>#N/A</v>
      </c>
      <c r="W117" s="756"/>
      <c r="X117" s="1605"/>
      <c r="Y117" s="1607"/>
      <c r="Z117" s="1606"/>
      <c r="AA117" s="1086"/>
      <c r="AB117" s="755"/>
      <c r="AC117" s="749"/>
      <c r="AD117" s="747"/>
      <c r="AE117" s="755"/>
      <c r="AF117" s="756"/>
      <c r="AG117" s="757">
        <f t="shared" si="16"/>
        <v>0</v>
      </c>
      <c r="AH117" s="759" t="e">
        <f t="shared" si="17"/>
        <v>#N/A</v>
      </c>
      <c r="AI117" s="760" t="e">
        <f>IF(AH117&lt;=1,"Remota",VLOOKUP(AH117,[71]Listas!$C$6:$D$10,2,0))</f>
        <v>#N/A</v>
      </c>
      <c r="AJ117" s="759" t="e">
        <f t="shared" si="18"/>
        <v>#N/A</v>
      </c>
      <c r="AK117" s="760" t="e">
        <f>IF(AJ117&lt;=1,"Insignificante",HLOOKUP(AJ117,[71]Listas!$F$3:$J$4,2,0))</f>
        <v>#N/A</v>
      </c>
      <c r="AL117" s="761" t="e">
        <f t="shared" si="19"/>
        <v>#N/A</v>
      </c>
      <c r="AM117" s="758" t="e">
        <f>INDEX([71]Listas!$F$6:$J$10,MATCH(AI117,[71]Listas!$D$6:$D$10,0),MATCH(AK117,[71]Listas!$F$4:$J$4,0))</f>
        <v>#N/A</v>
      </c>
      <c r="AN117" s="749"/>
      <c r="AO117" s="749"/>
      <c r="AP117" s="748"/>
      <c r="AQ117" s="749"/>
      <c r="AR117" s="749" t="s">
        <v>2343</v>
      </c>
      <c r="AS117" s="747"/>
      <c r="AT117" s="749"/>
      <c r="AU117" s="749"/>
      <c r="AV117" s="762"/>
      <c r="AW117" s="762"/>
      <c r="AX117" s="747"/>
      <c r="AY117" s="262"/>
    </row>
    <row r="118" spans="1:51" s="260" customFormat="1" ht="103.5" hidden="1" customHeight="1">
      <c r="A118" s="747"/>
      <c r="B118" s="754"/>
      <c r="C118" s="1605"/>
      <c r="D118" s="1607"/>
      <c r="E118" s="1606"/>
      <c r="F118" s="755"/>
      <c r="G118" s="1605"/>
      <c r="H118" s="1607"/>
      <c r="I118" s="1606"/>
      <c r="J118" s="1608"/>
      <c r="K118" s="1608"/>
      <c r="L118" s="1608"/>
      <c r="M118" s="747"/>
      <c r="N118" s="747"/>
      <c r="O118" s="747"/>
      <c r="P118" s="747"/>
      <c r="Q118" s="754"/>
      <c r="R118" s="754"/>
      <c r="S118" s="756"/>
      <c r="T118" s="757" t="e">
        <f>VLOOKUP(Q118,[71]Listas!$D$6:$E$10,2,0)</f>
        <v>#N/A</v>
      </c>
      <c r="U118" s="757" t="e">
        <f>HLOOKUP(R118,[71]Listas!$F$4:$J$5,2,0)</f>
        <v>#N/A</v>
      </c>
      <c r="V118" s="758" t="e">
        <f>INDEX([71]Listas!$F$6:$J$10,MATCH(Q118,[71]Listas!$D$6:$D$10,0),MATCH(R118,[71]Listas!$F$4:$J$4,0))</f>
        <v>#N/A</v>
      </c>
      <c r="W118" s="756"/>
      <c r="X118" s="1605"/>
      <c r="Y118" s="1607"/>
      <c r="Z118" s="1606"/>
      <c r="AA118" s="1086"/>
      <c r="AB118" s="755"/>
      <c r="AC118" s="749"/>
      <c r="AD118" s="747"/>
      <c r="AE118" s="755"/>
      <c r="AF118" s="756"/>
      <c r="AG118" s="757">
        <f t="shared" si="16"/>
        <v>0</v>
      </c>
      <c r="AH118" s="759" t="e">
        <f t="shared" si="17"/>
        <v>#N/A</v>
      </c>
      <c r="AI118" s="760" t="e">
        <f>IF(AH118&lt;=1,"Remota",VLOOKUP(AH118,[71]Listas!$C$6:$D$10,2,0))</f>
        <v>#N/A</v>
      </c>
      <c r="AJ118" s="759" t="e">
        <f t="shared" si="18"/>
        <v>#N/A</v>
      </c>
      <c r="AK118" s="760" t="e">
        <f>IF(AJ118&lt;=1,"Insignificante",HLOOKUP(AJ118,[71]Listas!$F$3:$J$4,2,0))</f>
        <v>#N/A</v>
      </c>
      <c r="AL118" s="761" t="e">
        <f t="shared" si="19"/>
        <v>#N/A</v>
      </c>
      <c r="AM118" s="758" t="e">
        <f>INDEX([71]Listas!$F$6:$J$10,MATCH(AI118,[71]Listas!$D$6:$D$10,0),MATCH(AK118,[71]Listas!$F$4:$J$4,0))</f>
        <v>#N/A</v>
      </c>
      <c r="AN118" s="749"/>
      <c r="AO118" s="749"/>
      <c r="AP118" s="748"/>
      <c r="AQ118" s="749"/>
      <c r="AR118" s="749" t="s">
        <v>2343</v>
      </c>
      <c r="AS118" s="747"/>
      <c r="AT118" s="749"/>
      <c r="AU118" s="749"/>
      <c r="AV118" s="762"/>
      <c r="AW118" s="762"/>
      <c r="AX118" s="747"/>
      <c r="AY118" s="262"/>
    </row>
    <row r="119" spans="1:51" s="260" customFormat="1" ht="103.5" hidden="1" customHeight="1">
      <c r="A119" s="747"/>
      <c r="B119" s="754"/>
      <c r="C119" s="1605"/>
      <c r="D119" s="1607"/>
      <c r="E119" s="1606"/>
      <c r="F119" s="755"/>
      <c r="G119" s="1605"/>
      <c r="H119" s="1607"/>
      <c r="I119" s="1606"/>
      <c r="J119" s="1608"/>
      <c r="K119" s="1608"/>
      <c r="L119" s="1608"/>
      <c r="M119" s="747"/>
      <c r="N119" s="747"/>
      <c r="O119" s="747"/>
      <c r="P119" s="747"/>
      <c r="Q119" s="754"/>
      <c r="R119" s="754"/>
      <c r="S119" s="756"/>
      <c r="T119" s="757" t="e">
        <f>VLOOKUP(Q119,[71]Listas!$D$6:$E$10,2,0)</f>
        <v>#N/A</v>
      </c>
      <c r="U119" s="757" t="e">
        <f>HLOOKUP(R119,[71]Listas!$F$4:$J$5,2,0)</f>
        <v>#N/A</v>
      </c>
      <c r="V119" s="758" t="e">
        <f>INDEX([71]Listas!$F$6:$J$10,MATCH(Q119,[71]Listas!$D$6:$D$10,0),MATCH(R119,[71]Listas!$F$4:$J$4,0))</f>
        <v>#N/A</v>
      </c>
      <c r="W119" s="756"/>
      <c r="X119" s="1605"/>
      <c r="Y119" s="1607"/>
      <c r="Z119" s="1606"/>
      <c r="AA119" s="1086"/>
      <c r="AB119" s="755"/>
      <c r="AC119" s="749"/>
      <c r="AD119" s="747"/>
      <c r="AE119" s="755"/>
      <c r="AF119" s="756"/>
      <c r="AG119" s="757">
        <f t="shared" si="16"/>
        <v>0</v>
      </c>
      <c r="AH119" s="759" t="e">
        <f t="shared" si="17"/>
        <v>#N/A</v>
      </c>
      <c r="AI119" s="760" t="e">
        <f>IF(AH119&lt;=1,"Remota",VLOOKUP(AH119,[71]Listas!$C$6:$D$10,2,0))</f>
        <v>#N/A</v>
      </c>
      <c r="AJ119" s="759" t="e">
        <f t="shared" si="18"/>
        <v>#N/A</v>
      </c>
      <c r="AK119" s="760" t="e">
        <f>IF(AJ119&lt;=1,"Insignificante",HLOOKUP(AJ119,[71]Listas!$F$3:$J$4,2,0))</f>
        <v>#N/A</v>
      </c>
      <c r="AL119" s="761" t="e">
        <f t="shared" si="19"/>
        <v>#N/A</v>
      </c>
      <c r="AM119" s="758" t="e">
        <f>INDEX([71]Listas!$F$6:$J$10,MATCH(AI119,[71]Listas!$D$6:$D$10,0),MATCH(AK119,[71]Listas!$F$4:$J$4,0))</f>
        <v>#N/A</v>
      </c>
      <c r="AN119" s="749"/>
      <c r="AO119" s="749"/>
      <c r="AP119" s="748"/>
      <c r="AQ119" s="749"/>
      <c r="AR119" s="749" t="s">
        <v>2343</v>
      </c>
      <c r="AS119" s="747"/>
      <c r="AT119" s="749"/>
      <c r="AU119" s="749"/>
      <c r="AV119" s="762"/>
      <c r="AW119" s="762"/>
      <c r="AX119" s="747"/>
      <c r="AY119" s="262"/>
    </row>
    <row r="120" spans="1:51" s="260" customFormat="1" ht="103.5" hidden="1" customHeight="1">
      <c r="A120" s="747"/>
      <c r="B120" s="754"/>
      <c r="C120" s="1605"/>
      <c r="D120" s="1607"/>
      <c r="E120" s="1606"/>
      <c r="F120" s="755"/>
      <c r="G120" s="1605"/>
      <c r="H120" s="1607"/>
      <c r="I120" s="1606"/>
      <c r="J120" s="1608"/>
      <c r="K120" s="1608"/>
      <c r="L120" s="1608"/>
      <c r="M120" s="747"/>
      <c r="N120" s="747"/>
      <c r="O120" s="747"/>
      <c r="P120" s="747"/>
      <c r="Q120" s="754"/>
      <c r="R120" s="754"/>
      <c r="S120" s="756"/>
      <c r="T120" s="757" t="e">
        <f>VLOOKUP(Q120,[71]Listas!$D$6:$E$10,2,0)</f>
        <v>#N/A</v>
      </c>
      <c r="U120" s="757" t="e">
        <f>HLOOKUP(R120,[71]Listas!$F$4:$J$5,2,0)</f>
        <v>#N/A</v>
      </c>
      <c r="V120" s="758" t="e">
        <f>INDEX([71]Listas!$F$6:$J$10,MATCH(Q120,[71]Listas!$D$6:$D$10,0),MATCH(R120,[71]Listas!$F$4:$J$4,0))</f>
        <v>#N/A</v>
      </c>
      <c r="W120" s="756"/>
      <c r="X120" s="1605"/>
      <c r="Y120" s="1607"/>
      <c r="Z120" s="1606"/>
      <c r="AA120" s="1086"/>
      <c r="AB120" s="755"/>
      <c r="AC120" s="749"/>
      <c r="AD120" s="747"/>
      <c r="AE120" s="755"/>
      <c r="AF120" s="756"/>
      <c r="AG120" s="757">
        <f t="shared" si="16"/>
        <v>0</v>
      </c>
      <c r="AH120" s="759" t="e">
        <f t="shared" si="17"/>
        <v>#N/A</v>
      </c>
      <c r="AI120" s="760" t="e">
        <f>IF(AH120&lt;=1,"Remota",VLOOKUP(AH120,[71]Listas!$C$6:$D$10,2,0))</f>
        <v>#N/A</v>
      </c>
      <c r="AJ120" s="759" t="e">
        <f t="shared" si="18"/>
        <v>#N/A</v>
      </c>
      <c r="AK120" s="760" t="e">
        <f>IF(AJ120&lt;=1,"Insignificante",HLOOKUP(AJ120,[71]Listas!$F$3:$J$4,2,0))</f>
        <v>#N/A</v>
      </c>
      <c r="AL120" s="761" t="e">
        <f t="shared" si="19"/>
        <v>#N/A</v>
      </c>
      <c r="AM120" s="758" t="e">
        <f>INDEX([71]Listas!$F$6:$J$10,MATCH(AI120,[71]Listas!$D$6:$D$10,0),MATCH(AK120,[71]Listas!$F$4:$J$4,0))</f>
        <v>#N/A</v>
      </c>
      <c r="AN120" s="749"/>
      <c r="AO120" s="749"/>
      <c r="AP120" s="748"/>
      <c r="AQ120" s="749"/>
      <c r="AR120" s="749" t="s">
        <v>2343</v>
      </c>
      <c r="AS120" s="747"/>
      <c r="AT120" s="749"/>
      <c r="AU120" s="749"/>
      <c r="AV120" s="762"/>
      <c r="AW120" s="762"/>
      <c r="AX120" s="747"/>
      <c r="AY120" s="262"/>
    </row>
    <row r="121" spans="1:51" s="260" customFormat="1" ht="103.5" hidden="1" customHeight="1">
      <c r="A121" s="747"/>
      <c r="B121" s="754"/>
      <c r="C121" s="1605"/>
      <c r="D121" s="1607"/>
      <c r="E121" s="1606"/>
      <c r="F121" s="755"/>
      <c r="G121" s="1605"/>
      <c r="H121" s="1607"/>
      <c r="I121" s="1606"/>
      <c r="J121" s="1608"/>
      <c r="K121" s="1608"/>
      <c r="L121" s="1608"/>
      <c r="M121" s="747"/>
      <c r="N121" s="747"/>
      <c r="O121" s="747"/>
      <c r="P121" s="747"/>
      <c r="Q121" s="754"/>
      <c r="R121" s="754"/>
      <c r="S121" s="756"/>
      <c r="T121" s="757" t="e">
        <f>VLOOKUP(Q121,[71]Listas!$D$6:$E$10,2,0)</f>
        <v>#N/A</v>
      </c>
      <c r="U121" s="757" t="e">
        <f>HLOOKUP(R121,[71]Listas!$F$4:$J$5,2,0)</f>
        <v>#N/A</v>
      </c>
      <c r="V121" s="758" t="e">
        <f>INDEX([71]Listas!$F$6:$J$10,MATCH(Q121,[71]Listas!$D$6:$D$10,0),MATCH(R121,[71]Listas!$F$4:$J$4,0))</f>
        <v>#N/A</v>
      </c>
      <c r="W121" s="756"/>
      <c r="X121" s="1605"/>
      <c r="Y121" s="1607"/>
      <c r="Z121" s="1606"/>
      <c r="AA121" s="1086"/>
      <c r="AB121" s="755"/>
      <c r="AC121" s="749"/>
      <c r="AD121" s="747"/>
      <c r="AE121" s="755"/>
      <c r="AF121" s="756"/>
      <c r="AG121" s="757">
        <f t="shared" si="16"/>
        <v>0</v>
      </c>
      <c r="AH121" s="759" t="e">
        <f t="shared" si="17"/>
        <v>#N/A</v>
      </c>
      <c r="AI121" s="760" t="e">
        <f>IF(AH121&lt;=1,"Remota",VLOOKUP(AH121,[71]Listas!$C$6:$D$10,2,0))</f>
        <v>#N/A</v>
      </c>
      <c r="AJ121" s="759" t="e">
        <f t="shared" si="18"/>
        <v>#N/A</v>
      </c>
      <c r="AK121" s="760" t="e">
        <f>IF(AJ121&lt;=1,"Insignificante",HLOOKUP(AJ121,[71]Listas!$F$3:$J$4,2,0))</f>
        <v>#N/A</v>
      </c>
      <c r="AL121" s="761" t="e">
        <f t="shared" si="19"/>
        <v>#N/A</v>
      </c>
      <c r="AM121" s="758" t="e">
        <f>INDEX([71]Listas!$F$6:$J$10,MATCH(AI121,[71]Listas!$D$6:$D$10,0),MATCH(AK121,[71]Listas!$F$4:$J$4,0))</f>
        <v>#N/A</v>
      </c>
      <c r="AN121" s="749"/>
      <c r="AO121" s="749"/>
      <c r="AP121" s="748"/>
      <c r="AQ121" s="749"/>
      <c r="AR121" s="749" t="s">
        <v>2343</v>
      </c>
      <c r="AS121" s="747"/>
      <c r="AT121" s="749"/>
      <c r="AU121" s="749"/>
      <c r="AV121" s="762"/>
      <c r="AW121" s="762"/>
      <c r="AX121" s="747"/>
      <c r="AY121" s="262"/>
    </row>
    <row r="122" spans="1:51" s="260" customFormat="1" ht="103.5" hidden="1" customHeight="1">
      <c r="A122" s="747"/>
      <c r="B122" s="754"/>
      <c r="C122" s="1605"/>
      <c r="D122" s="1607"/>
      <c r="E122" s="1606"/>
      <c r="F122" s="755"/>
      <c r="G122" s="1605"/>
      <c r="H122" s="1607"/>
      <c r="I122" s="1606"/>
      <c r="J122" s="1608"/>
      <c r="K122" s="1608"/>
      <c r="L122" s="1608"/>
      <c r="M122" s="747"/>
      <c r="N122" s="747"/>
      <c r="O122" s="747"/>
      <c r="P122" s="747"/>
      <c r="Q122" s="754"/>
      <c r="R122" s="754"/>
      <c r="S122" s="756"/>
      <c r="T122" s="757" t="e">
        <f>VLOOKUP(Q122,[71]Listas!$D$6:$E$10,2,0)</f>
        <v>#N/A</v>
      </c>
      <c r="U122" s="757" t="e">
        <f>HLOOKUP(R122,[71]Listas!$F$4:$J$5,2,0)</f>
        <v>#N/A</v>
      </c>
      <c r="V122" s="758" t="e">
        <f>INDEX([71]Listas!$F$6:$J$10,MATCH(Q122,[71]Listas!$D$6:$D$10,0),MATCH(R122,[71]Listas!$F$4:$J$4,0))</f>
        <v>#N/A</v>
      </c>
      <c r="W122" s="756"/>
      <c r="X122" s="1605"/>
      <c r="Y122" s="1607"/>
      <c r="Z122" s="1606"/>
      <c r="AA122" s="1086"/>
      <c r="AB122" s="755"/>
      <c r="AC122" s="749"/>
      <c r="AD122" s="747"/>
      <c r="AE122" s="755"/>
      <c r="AF122" s="756"/>
      <c r="AG122" s="757">
        <f t="shared" si="16"/>
        <v>0</v>
      </c>
      <c r="AH122" s="759" t="e">
        <f t="shared" si="17"/>
        <v>#N/A</v>
      </c>
      <c r="AI122" s="760" t="e">
        <f>IF(AH122&lt;=1,"Remota",VLOOKUP(AH122,[71]Listas!$C$6:$D$10,2,0))</f>
        <v>#N/A</v>
      </c>
      <c r="AJ122" s="759" t="e">
        <f t="shared" si="18"/>
        <v>#N/A</v>
      </c>
      <c r="AK122" s="760" t="e">
        <f>IF(AJ122&lt;=1,"Insignificante",HLOOKUP(AJ122,[71]Listas!$F$3:$J$4,2,0))</f>
        <v>#N/A</v>
      </c>
      <c r="AL122" s="761" t="e">
        <f t="shared" si="19"/>
        <v>#N/A</v>
      </c>
      <c r="AM122" s="758" t="e">
        <f>INDEX([71]Listas!$F$6:$J$10,MATCH(AI122,[71]Listas!$D$6:$D$10,0),MATCH(AK122,[71]Listas!$F$4:$J$4,0))</f>
        <v>#N/A</v>
      </c>
      <c r="AN122" s="749"/>
      <c r="AO122" s="749"/>
      <c r="AP122" s="748"/>
      <c r="AQ122" s="749"/>
      <c r="AR122" s="749" t="s">
        <v>2343</v>
      </c>
      <c r="AS122" s="747"/>
      <c r="AT122" s="749"/>
      <c r="AU122" s="749"/>
      <c r="AV122" s="762"/>
      <c r="AW122" s="762"/>
      <c r="AX122" s="747"/>
      <c r="AY122" s="262"/>
    </row>
    <row r="123" spans="1:51" s="260" customFormat="1" ht="103.5" hidden="1" customHeight="1">
      <c r="A123" s="747"/>
      <c r="B123" s="754"/>
      <c r="C123" s="1605"/>
      <c r="D123" s="1607"/>
      <c r="E123" s="1606"/>
      <c r="F123" s="755"/>
      <c r="G123" s="1605"/>
      <c r="H123" s="1607"/>
      <c r="I123" s="1606"/>
      <c r="J123" s="1608"/>
      <c r="K123" s="1608"/>
      <c r="L123" s="1608"/>
      <c r="M123" s="747"/>
      <c r="N123" s="747"/>
      <c r="O123" s="747"/>
      <c r="P123" s="747"/>
      <c r="Q123" s="754"/>
      <c r="R123" s="754"/>
      <c r="S123" s="756"/>
      <c r="T123" s="757" t="e">
        <f>VLOOKUP(Q123,[71]Listas!$D$6:$E$10,2,0)</f>
        <v>#N/A</v>
      </c>
      <c r="U123" s="757" t="e">
        <f>HLOOKUP(R123,[71]Listas!$F$4:$J$5,2,0)</f>
        <v>#N/A</v>
      </c>
      <c r="V123" s="758" t="e">
        <f>INDEX([71]Listas!$F$6:$J$10,MATCH(Q123,[71]Listas!$D$6:$D$10,0),MATCH(R123,[71]Listas!$F$4:$J$4,0))</f>
        <v>#N/A</v>
      </c>
      <c r="W123" s="756"/>
      <c r="X123" s="1605"/>
      <c r="Y123" s="1607"/>
      <c r="Z123" s="1606"/>
      <c r="AA123" s="1086"/>
      <c r="AB123" s="755"/>
      <c r="AC123" s="749"/>
      <c r="AD123" s="747"/>
      <c r="AE123" s="755"/>
      <c r="AF123" s="756"/>
      <c r="AG123" s="757">
        <f t="shared" si="16"/>
        <v>0</v>
      </c>
      <c r="AH123" s="759" t="e">
        <f t="shared" si="17"/>
        <v>#N/A</v>
      </c>
      <c r="AI123" s="760" t="e">
        <f>IF(AH123&lt;=1,"Remota",VLOOKUP(AH123,[71]Listas!$C$6:$D$10,2,0))</f>
        <v>#N/A</v>
      </c>
      <c r="AJ123" s="759" t="e">
        <f t="shared" si="18"/>
        <v>#N/A</v>
      </c>
      <c r="AK123" s="760" t="e">
        <f>IF(AJ123&lt;=1,"Insignificante",HLOOKUP(AJ123,[71]Listas!$F$3:$J$4,2,0))</f>
        <v>#N/A</v>
      </c>
      <c r="AL123" s="761" t="e">
        <f t="shared" si="19"/>
        <v>#N/A</v>
      </c>
      <c r="AM123" s="758" t="e">
        <f>INDEX([71]Listas!$F$6:$J$10,MATCH(AI123,[71]Listas!$D$6:$D$10,0),MATCH(AK123,[71]Listas!$F$4:$J$4,0))</f>
        <v>#N/A</v>
      </c>
      <c r="AN123" s="749"/>
      <c r="AO123" s="749"/>
      <c r="AP123" s="748"/>
      <c r="AQ123" s="749"/>
      <c r="AR123" s="749" t="s">
        <v>2343</v>
      </c>
      <c r="AS123" s="747"/>
      <c r="AT123" s="749"/>
      <c r="AU123" s="749"/>
      <c r="AV123" s="762"/>
      <c r="AW123" s="762"/>
      <c r="AX123" s="747"/>
      <c r="AY123" s="262"/>
    </row>
    <row r="124" spans="1:51" s="260" customFormat="1" ht="103.5" hidden="1" customHeight="1">
      <c r="A124" s="747"/>
      <c r="B124" s="754"/>
      <c r="C124" s="1605"/>
      <c r="D124" s="1607"/>
      <c r="E124" s="1606"/>
      <c r="F124" s="755"/>
      <c r="G124" s="1605"/>
      <c r="H124" s="1607"/>
      <c r="I124" s="1606"/>
      <c r="J124" s="1608"/>
      <c r="K124" s="1608"/>
      <c r="L124" s="1608"/>
      <c r="M124" s="747"/>
      <c r="N124" s="747"/>
      <c r="O124" s="747"/>
      <c r="P124" s="747"/>
      <c r="Q124" s="754"/>
      <c r="R124" s="754"/>
      <c r="S124" s="756"/>
      <c r="T124" s="757" t="e">
        <f>VLOOKUP(Q124,[71]Listas!$D$6:$E$10,2,0)</f>
        <v>#N/A</v>
      </c>
      <c r="U124" s="757" t="e">
        <f>HLOOKUP(R124,[71]Listas!$F$4:$J$5,2,0)</f>
        <v>#N/A</v>
      </c>
      <c r="V124" s="758" t="e">
        <f>INDEX([71]Listas!$F$6:$J$10,MATCH(Q124,[71]Listas!$D$6:$D$10,0),MATCH(R124,[71]Listas!$F$4:$J$4,0))</f>
        <v>#N/A</v>
      </c>
      <c r="W124" s="756"/>
      <c r="X124" s="1605"/>
      <c r="Y124" s="1607"/>
      <c r="Z124" s="1606"/>
      <c r="AA124" s="1086"/>
      <c r="AB124" s="755"/>
      <c r="AC124" s="749"/>
      <c r="AD124" s="747"/>
      <c r="AE124" s="755"/>
      <c r="AF124" s="756"/>
      <c r="AG124" s="757">
        <f t="shared" si="16"/>
        <v>0</v>
      </c>
      <c r="AH124" s="759" t="e">
        <f t="shared" si="17"/>
        <v>#N/A</v>
      </c>
      <c r="AI124" s="760" t="e">
        <f>IF(AH124&lt;=1,"Remota",VLOOKUP(AH124,[71]Listas!$C$6:$D$10,2,0))</f>
        <v>#N/A</v>
      </c>
      <c r="AJ124" s="759" t="e">
        <f t="shared" si="18"/>
        <v>#N/A</v>
      </c>
      <c r="AK124" s="760" t="e">
        <f>IF(AJ124&lt;=1,"Insignificante",HLOOKUP(AJ124,[71]Listas!$F$3:$J$4,2,0))</f>
        <v>#N/A</v>
      </c>
      <c r="AL124" s="761" t="e">
        <f t="shared" si="19"/>
        <v>#N/A</v>
      </c>
      <c r="AM124" s="758" t="e">
        <f>INDEX([71]Listas!$F$6:$J$10,MATCH(AI124,[71]Listas!$D$6:$D$10,0),MATCH(AK124,[71]Listas!$F$4:$J$4,0))</f>
        <v>#N/A</v>
      </c>
      <c r="AN124" s="749"/>
      <c r="AO124" s="749"/>
      <c r="AP124" s="748"/>
      <c r="AQ124" s="749"/>
      <c r="AR124" s="749" t="s">
        <v>2343</v>
      </c>
      <c r="AS124" s="747"/>
      <c r="AT124" s="749"/>
      <c r="AU124" s="749"/>
      <c r="AV124" s="762"/>
      <c r="AW124" s="762"/>
      <c r="AX124" s="747"/>
      <c r="AY124" s="262"/>
    </row>
    <row r="125" spans="1:51" s="260" customFormat="1" ht="103.5" hidden="1" customHeight="1">
      <c r="A125" s="747"/>
      <c r="B125" s="754"/>
      <c r="C125" s="1605"/>
      <c r="D125" s="1607"/>
      <c r="E125" s="1606"/>
      <c r="F125" s="755"/>
      <c r="G125" s="1605"/>
      <c r="H125" s="1607"/>
      <c r="I125" s="1606"/>
      <c r="J125" s="1608"/>
      <c r="K125" s="1608"/>
      <c r="L125" s="1608"/>
      <c r="M125" s="747"/>
      <c r="N125" s="747"/>
      <c r="O125" s="747"/>
      <c r="P125" s="747"/>
      <c r="Q125" s="754"/>
      <c r="R125" s="754"/>
      <c r="S125" s="756"/>
      <c r="T125" s="757" t="e">
        <f>VLOOKUP(Q125,[71]Listas!$D$6:$E$10,2,0)</f>
        <v>#N/A</v>
      </c>
      <c r="U125" s="757" t="e">
        <f>HLOOKUP(R125,[71]Listas!$F$4:$J$5,2,0)</f>
        <v>#N/A</v>
      </c>
      <c r="V125" s="758" t="e">
        <f>INDEX([71]Listas!$F$6:$J$10,MATCH(Q125,[71]Listas!$D$6:$D$10,0),MATCH(R125,[71]Listas!$F$4:$J$4,0))</f>
        <v>#N/A</v>
      </c>
      <c r="W125" s="756"/>
      <c r="X125" s="1605"/>
      <c r="Y125" s="1607"/>
      <c r="Z125" s="1606"/>
      <c r="AA125" s="1086"/>
      <c r="AB125" s="755"/>
      <c r="AC125" s="749"/>
      <c r="AD125" s="747"/>
      <c r="AE125" s="755"/>
      <c r="AF125" s="756"/>
      <c r="AG125" s="757">
        <f t="shared" si="16"/>
        <v>0</v>
      </c>
      <c r="AH125" s="759" t="e">
        <f t="shared" si="17"/>
        <v>#N/A</v>
      </c>
      <c r="AI125" s="760" t="e">
        <f>IF(AH125&lt;=1,"Remota",VLOOKUP(AH125,[71]Listas!$C$6:$D$10,2,0))</f>
        <v>#N/A</v>
      </c>
      <c r="AJ125" s="759" t="e">
        <f t="shared" si="18"/>
        <v>#N/A</v>
      </c>
      <c r="AK125" s="760" t="e">
        <f>IF(AJ125&lt;=1,"Insignificante",HLOOKUP(AJ125,[71]Listas!$F$3:$J$4,2,0))</f>
        <v>#N/A</v>
      </c>
      <c r="AL125" s="761" t="e">
        <f t="shared" si="19"/>
        <v>#N/A</v>
      </c>
      <c r="AM125" s="758" t="e">
        <f>INDEX([71]Listas!$F$6:$J$10,MATCH(AI125,[71]Listas!$D$6:$D$10,0),MATCH(AK125,[71]Listas!$F$4:$J$4,0))</f>
        <v>#N/A</v>
      </c>
      <c r="AN125" s="749"/>
      <c r="AO125" s="749"/>
      <c r="AP125" s="748"/>
      <c r="AQ125" s="749"/>
      <c r="AR125" s="749" t="s">
        <v>2343</v>
      </c>
      <c r="AS125" s="747"/>
      <c r="AT125" s="749"/>
      <c r="AU125" s="749"/>
      <c r="AV125" s="762"/>
      <c r="AW125" s="762"/>
      <c r="AX125" s="747"/>
      <c r="AY125" s="262"/>
    </row>
    <row r="126" spans="1:51" s="260" customFormat="1" ht="103.5" hidden="1" customHeight="1">
      <c r="A126" s="747"/>
      <c r="B126" s="754"/>
      <c r="C126" s="1605"/>
      <c r="D126" s="1607"/>
      <c r="E126" s="1606"/>
      <c r="F126" s="755"/>
      <c r="G126" s="1605"/>
      <c r="H126" s="1607"/>
      <c r="I126" s="1606"/>
      <c r="J126" s="1608"/>
      <c r="K126" s="1608"/>
      <c r="L126" s="1608"/>
      <c r="M126" s="747"/>
      <c r="N126" s="747"/>
      <c r="O126" s="747"/>
      <c r="P126" s="747"/>
      <c r="Q126" s="754"/>
      <c r="R126" s="754"/>
      <c r="S126" s="756"/>
      <c r="T126" s="757" t="e">
        <f>VLOOKUP(Q126,[71]Listas!$D$6:$E$10,2,0)</f>
        <v>#N/A</v>
      </c>
      <c r="U126" s="757" t="e">
        <f>HLOOKUP(R126,[71]Listas!$F$4:$J$5,2,0)</f>
        <v>#N/A</v>
      </c>
      <c r="V126" s="758" t="e">
        <f>INDEX([71]Listas!$F$6:$J$10,MATCH(Q126,[71]Listas!$D$6:$D$10,0),MATCH(R126,[71]Listas!$F$4:$J$4,0))</f>
        <v>#N/A</v>
      </c>
      <c r="W126" s="756"/>
      <c r="X126" s="1605"/>
      <c r="Y126" s="1607"/>
      <c r="Z126" s="1606"/>
      <c r="AA126" s="1086"/>
      <c r="AB126" s="755"/>
      <c r="AC126" s="749"/>
      <c r="AD126" s="747"/>
      <c r="AE126" s="755"/>
      <c r="AF126" s="756"/>
      <c r="AG126" s="757">
        <f t="shared" si="16"/>
        <v>0</v>
      </c>
      <c r="AH126" s="759" t="e">
        <f t="shared" si="17"/>
        <v>#N/A</v>
      </c>
      <c r="AI126" s="760" t="e">
        <f>IF(AH126&lt;=1,"Remota",VLOOKUP(AH126,[71]Listas!$C$6:$D$10,2,0))</f>
        <v>#N/A</v>
      </c>
      <c r="AJ126" s="759" t="e">
        <f t="shared" si="18"/>
        <v>#N/A</v>
      </c>
      <c r="AK126" s="760" t="e">
        <f>IF(AJ126&lt;=1,"Insignificante",HLOOKUP(AJ126,[71]Listas!$F$3:$J$4,2,0))</f>
        <v>#N/A</v>
      </c>
      <c r="AL126" s="761" t="e">
        <f t="shared" si="19"/>
        <v>#N/A</v>
      </c>
      <c r="AM126" s="758" t="e">
        <f>INDEX([71]Listas!$F$6:$J$10,MATCH(AI126,[71]Listas!$D$6:$D$10,0),MATCH(AK126,[71]Listas!$F$4:$J$4,0))</f>
        <v>#N/A</v>
      </c>
      <c r="AN126" s="749"/>
      <c r="AO126" s="749"/>
      <c r="AP126" s="748"/>
      <c r="AQ126" s="749"/>
      <c r="AR126" s="749" t="s">
        <v>2343</v>
      </c>
      <c r="AS126" s="747"/>
      <c r="AT126" s="749"/>
      <c r="AU126" s="749"/>
      <c r="AV126" s="762"/>
      <c r="AW126" s="762"/>
      <c r="AX126" s="747"/>
      <c r="AY126" s="262"/>
    </row>
    <row r="127" spans="1:51" s="260" customFormat="1" ht="103.5" hidden="1" customHeight="1">
      <c r="A127" s="747"/>
      <c r="B127" s="754"/>
      <c r="C127" s="1605"/>
      <c r="D127" s="1607"/>
      <c r="E127" s="1606"/>
      <c r="F127" s="755"/>
      <c r="G127" s="1605"/>
      <c r="H127" s="1607"/>
      <c r="I127" s="1606"/>
      <c r="J127" s="1608"/>
      <c r="K127" s="1608"/>
      <c r="L127" s="1608"/>
      <c r="M127" s="747"/>
      <c r="N127" s="747"/>
      <c r="O127" s="747"/>
      <c r="P127" s="747"/>
      <c r="Q127" s="754"/>
      <c r="R127" s="754"/>
      <c r="S127" s="756"/>
      <c r="T127" s="757" t="e">
        <f>VLOOKUP(Q127,[71]Listas!$D$6:$E$10,2,0)</f>
        <v>#N/A</v>
      </c>
      <c r="U127" s="757" t="e">
        <f>HLOOKUP(R127,[71]Listas!$F$4:$J$5,2,0)</f>
        <v>#N/A</v>
      </c>
      <c r="V127" s="758" t="e">
        <f>INDEX([71]Listas!$F$6:$J$10,MATCH(Q127,[71]Listas!$D$6:$D$10,0),MATCH(R127,[71]Listas!$F$4:$J$4,0))</f>
        <v>#N/A</v>
      </c>
      <c r="W127" s="756"/>
      <c r="X127" s="1605"/>
      <c r="Y127" s="1607"/>
      <c r="Z127" s="1606"/>
      <c r="AA127" s="1086"/>
      <c r="AB127" s="755"/>
      <c r="AC127" s="749"/>
      <c r="AD127" s="747"/>
      <c r="AE127" s="755"/>
      <c r="AF127" s="756"/>
      <c r="AG127" s="757">
        <f t="shared" si="16"/>
        <v>0</v>
      </c>
      <c r="AH127" s="759" t="e">
        <f t="shared" si="17"/>
        <v>#N/A</v>
      </c>
      <c r="AI127" s="760" t="e">
        <f>IF(AH127&lt;=1,"Remota",VLOOKUP(AH127,[71]Listas!$C$6:$D$10,2,0))</f>
        <v>#N/A</v>
      </c>
      <c r="AJ127" s="759" t="e">
        <f t="shared" si="18"/>
        <v>#N/A</v>
      </c>
      <c r="AK127" s="760" t="e">
        <f>IF(AJ127&lt;=1,"Insignificante",HLOOKUP(AJ127,[71]Listas!$F$3:$J$4,2,0))</f>
        <v>#N/A</v>
      </c>
      <c r="AL127" s="761" t="e">
        <f t="shared" si="19"/>
        <v>#N/A</v>
      </c>
      <c r="AM127" s="758" t="e">
        <f>INDEX([71]Listas!$F$6:$J$10,MATCH(AI127,[71]Listas!$D$6:$D$10,0),MATCH(AK127,[71]Listas!$F$4:$J$4,0))</f>
        <v>#N/A</v>
      </c>
      <c r="AN127" s="749"/>
      <c r="AO127" s="749"/>
      <c r="AP127" s="748"/>
      <c r="AQ127" s="749"/>
      <c r="AR127" s="749" t="s">
        <v>2343</v>
      </c>
      <c r="AS127" s="747"/>
      <c r="AT127" s="749"/>
      <c r="AU127" s="749"/>
      <c r="AV127" s="762"/>
      <c r="AW127" s="762"/>
      <c r="AX127" s="747"/>
      <c r="AY127" s="262"/>
    </row>
    <row r="128" spans="1:51" s="260" customFormat="1" ht="103.5" hidden="1" customHeight="1">
      <c r="A128" s="747"/>
      <c r="B128" s="754"/>
      <c r="C128" s="1605"/>
      <c r="D128" s="1607"/>
      <c r="E128" s="1606"/>
      <c r="F128" s="755"/>
      <c r="G128" s="1605"/>
      <c r="H128" s="1607"/>
      <c r="I128" s="1606"/>
      <c r="J128" s="1608"/>
      <c r="K128" s="1608"/>
      <c r="L128" s="1608"/>
      <c r="M128" s="747"/>
      <c r="N128" s="747"/>
      <c r="O128" s="747"/>
      <c r="P128" s="747"/>
      <c r="Q128" s="754"/>
      <c r="R128" s="754"/>
      <c r="S128" s="756"/>
      <c r="T128" s="757" t="e">
        <f>VLOOKUP(Q128,[71]Listas!$D$6:$E$10,2,0)</f>
        <v>#N/A</v>
      </c>
      <c r="U128" s="757" t="e">
        <f>HLOOKUP(R128,[71]Listas!$F$4:$J$5,2,0)</f>
        <v>#N/A</v>
      </c>
      <c r="V128" s="758" t="e">
        <f>INDEX([71]Listas!$F$6:$J$10,MATCH(Q128,[71]Listas!$D$6:$D$10,0),MATCH(R128,[71]Listas!$F$4:$J$4,0))</f>
        <v>#N/A</v>
      </c>
      <c r="W128" s="756"/>
      <c r="X128" s="1605"/>
      <c r="Y128" s="1607"/>
      <c r="Z128" s="1606"/>
      <c r="AA128" s="1086"/>
      <c r="AB128" s="755"/>
      <c r="AC128" s="749"/>
      <c r="AD128" s="747"/>
      <c r="AE128" s="755"/>
      <c r="AF128" s="756"/>
      <c r="AG128" s="757">
        <f t="shared" si="16"/>
        <v>0</v>
      </c>
      <c r="AH128" s="759" t="e">
        <f t="shared" si="17"/>
        <v>#N/A</v>
      </c>
      <c r="AI128" s="760" t="e">
        <f>IF(AH128&lt;=1,"Remota",VLOOKUP(AH128,[71]Listas!$C$6:$D$10,2,0))</f>
        <v>#N/A</v>
      </c>
      <c r="AJ128" s="759" t="e">
        <f t="shared" si="18"/>
        <v>#N/A</v>
      </c>
      <c r="AK128" s="760" t="e">
        <f>IF(AJ128&lt;=1,"Insignificante",HLOOKUP(AJ128,[71]Listas!$F$3:$J$4,2,0))</f>
        <v>#N/A</v>
      </c>
      <c r="AL128" s="761" t="e">
        <f t="shared" si="19"/>
        <v>#N/A</v>
      </c>
      <c r="AM128" s="758" t="e">
        <f>INDEX([71]Listas!$F$6:$J$10,MATCH(AI128,[71]Listas!$D$6:$D$10,0),MATCH(AK128,[71]Listas!$F$4:$J$4,0))</f>
        <v>#N/A</v>
      </c>
      <c r="AN128" s="749"/>
      <c r="AO128" s="749"/>
      <c r="AP128" s="748"/>
      <c r="AQ128" s="749"/>
      <c r="AR128" s="749" t="s">
        <v>2343</v>
      </c>
      <c r="AS128" s="747"/>
      <c r="AT128" s="749"/>
      <c r="AU128" s="749"/>
      <c r="AV128" s="762"/>
      <c r="AW128" s="762"/>
      <c r="AX128" s="747"/>
      <c r="AY128" s="262"/>
    </row>
    <row r="129" spans="1:51" s="260" customFormat="1" ht="103.5" hidden="1" customHeight="1">
      <c r="A129" s="747"/>
      <c r="B129" s="754"/>
      <c r="C129" s="1605"/>
      <c r="D129" s="1607"/>
      <c r="E129" s="1606"/>
      <c r="F129" s="755"/>
      <c r="G129" s="1605"/>
      <c r="H129" s="1607"/>
      <c r="I129" s="1606"/>
      <c r="J129" s="1608"/>
      <c r="K129" s="1608"/>
      <c r="L129" s="1608"/>
      <c r="M129" s="747"/>
      <c r="N129" s="747"/>
      <c r="O129" s="747"/>
      <c r="P129" s="747"/>
      <c r="Q129" s="754"/>
      <c r="R129" s="754"/>
      <c r="S129" s="756"/>
      <c r="T129" s="757" t="e">
        <f>VLOOKUP(Q129,[71]Listas!$D$6:$E$10,2,0)</f>
        <v>#N/A</v>
      </c>
      <c r="U129" s="757" t="e">
        <f>HLOOKUP(R129,[71]Listas!$F$4:$J$5,2,0)</f>
        <v>#N/A</v>
      </c>
      <c r="V129" s="758" t="e">
        <f>INDEX([71]Listas!$F$6:$J$10,MATCH(Q129,[71]Listas!$D$6:$D$10,0),MATCH(R129,[71]Listas!$F$4:$J$4,0))</f>
        <v>#N/A</v>
      </c>
      <c r="W129" s="756"/>
      <c r="X129" s="1605"/>
      <c r="Y129" s="1607"/>
      <c r="Z129" s="1606"/>
      <c r="AA129" s="1086"/>
      <c r="AB129" s="755"/>
      <c r="AC129" s="749"/>
      <c r="AD129" s="747"/>
      <c r="AE129" s="755"/>
      <c r="AF129" s="756"/>
      <c r="AG129" s="757">
        <f t="shared" si="16"/>
        <v>0</v>
      </c>
      <c r="AH129" s="759" t="e">
        <f t="shared" si="17"/>
        <v>#N/A</v>
      </c>
      <c r="AI129" s="760" t="e">
        <f>IF(AH129&lt;=1,"Remota",VLOOKUP(AH129,[71]Listas!$C$6:$D$10,2,0))</f>
        <v>#N/A</v>
      </c>
      <c r="AJ129" s="759" t="e">
        <f t="shared" si="18"/>
        <v>#N/A</v>
      </c>
      <c r="AK129" s="760" t="e">
        <f>IF(AJ129&lt;=1,"Insignificante",HLOOKUP(AJ129,[71]Listas!$F$3:$J$4,2,0))</f>
        <v>#N/A</v>
      </c>
      <c r="AL129" s="761" t="e">
        <f t="shared" si="19"/>
        <v>#N/A</v>
      </c>
      <c r="AM129" s="758" t="e">
        <f>INDEX([71]Listas!$F$6:$J$10,MATCH(AI129,[71]Listas!$D$6:$D$10,0),MATCH(AK129,[71]Listas!$F$4:$J$4,0))</f>
        <v>#N/A</v>
      </c>
      <c r="AN129" s="749"/>
      <c r="AO129" s="749"/>
      <c r="AP129" s="748"/>
      <c r="AQ129" s="749"/>
      <c r="AR129" s="749" t="s">
        <v>2343</v>
      </c>
      <c r="AS129" s="747"/>
      <c r="AT129" s="749"/>
      <c r="AU129" s="749"/>
      <c r="AV129" s="762"/>
      <c r="AW129" s="762"/>
      <c r="AX129" s="747"/>
      <c r="AY129" s="262"/>
    </row>
    <row r="130" spans="1:51" s="260" customFormat="1" ht="103.5" hidden="1" customHeight="1">
      <c r="A130" s="747"/>
      <c r="B130" s="754"/>
      <c r="C130" s="1605"/>
      <c r="D130" s="1607"/>
      <c r="E130" s="1606"/>
      <c r="F130" s="755"/>
      <c r="G130" s="1605"/>
      <c r="H130" s="1607"/>
      <c r="I130" s="1606"/>
      <c r="J130" s="1608"/>
      <c r="K130" s="1608"/>
      <c r="L130" s="1608"/>
      <c r="M130" s="747"/>
      <c r="N130" s="747"/>
      <c r="O130" s="747"/>
      <c r="P130" s="747"/>
      <c r="Q130" s="754"/>
      <c r="R130" s="754"/>
      <c r="S130" s="756"/>
      <c r="T130" s="757" t="e">
        <f>VLOOKUP(Q130,[71]Listas!$D$6:$E$10,2,0)</f>
        <v>#N/A</v>
      </c>
      <c r="U130" s="757" t="e">
        <f>HLOOKUP(R130,[71]Listas!$F$4:$J$5,2,0)</f>
        <v>#N/A</v>
      </c>
      <c r="V130" s="758" t="e">
        <f>INDEX([71]Listas!$F$6:$J$10,MATCH(Q130,[71]Listas!$D$6:$D$10,0),MATCH(R130,[71]Listas!$F$4:$J$4,0))</f>
        <v>#N/A</v>
      </c>
      <c r="W130" s="756"/>
      <c r="X130" s="1605"/>
      <c r="Y130" s="1607"/>
      <c r="Z130" s="1606"/>
      <c r="AA130" s="1086"/>
      <c r="AB130" s="755"/>
      <c r="AC130" s="749"/>
      <c r="AD130" s="747"/>
      <c r="AE130" s="755"/>
      <c r="AF130" s="756"/>
      <c r="AG130" s="757">
        <f t="shared" si="16"/>
        <v>0</v>
      </c>
      <c r="AH130" s="759" t="e">
        <f t="shared" si="17"/>
        <v>#N/A</v>
      </c>
      <c r="AI130" s="760" t="e">
        <f>IF(AH130&lt;=1,"Remota",VLOOKUP(AH130,[71]Listas!$C$6:$D$10,2,0))</f>
        <v>#N/A</v>
      </c>
      <c r="AJ130" s="759" t="e">
        <f t="shared" si="18"/>
        <v>#N/A</v>
      </c>
      <c r="AK130" s="760" t="e">
        <f>IF(AJ130&lt;=1,"Insignificante",HLOOKUP(AJ130,[71]Listas!$F$3:$J$4,2,0))</f>
        <v>#N/A</v>
      </c>
      <c r="AL130" s="761" t="e">
        <f t="shared" si="19"/>
        <v>#N/A</v>
      </c>
      <c r="AM130" s="758" t="e">
        <f>INDEX([71]Listas!$F$6:$J$10,MATCH(AI130,[71]Listas!$D$6:$D$10,0),MATCH(AK130,[71]Listas!$F$4:$J$4,0))</f>
        <v>#N/A</v>
      </c>
      <c r="AN130" s="749"/>
      <c r="AO130" s="749"/>
      <c r="AP130" s="748"/>
      <c r="AQ130" s="749"/>
      <c r="AR130" s="749" t="s">
        <v>2343</v>
      </c>
      <c r="AS130" s="747"/>
      <c r="AT130" s="749"/>
      <c r="AU130" s="749"/>
      <c r="AV130" s="762"/>
      <c r="AW130" s="762"/>
      <c r="AX130" s="747"/>
      <c r="AY130" s="262"/>
    </row>
    <row r="131" spans="1:51" s="260" customFormat="1" ht="103.5" hidden="1" customHeight="1">
      <c r="A131" s="747"/>
      <c r="B131" s="754"/>
      <c r="C131" s="1605"/>
      <c r="D131" s="1607"/>
      <c r="E131" s="1606"/>
      <c r="F131" s="755"/>
      <c r="G131" s="1605"/>
      <c r="H131" s="1607"/>
      <c r="I131" s="1606"/>
      <c r="J131" s="1608"/>
      <c r="K131" s="1608"/>
      <c r="L131" s="1608"/>
      <c r="M131" s="747"/>
      <c r="N131" s="747"/>
      <c r="O131" s="747"/>
      <c r="P131" s="747"/>
      <c r="Q131" s="754"/>
      <c r="R131" s="754"/>
      <c r="S131" s="756"/>
      <c r="T131" s="757" t="e">
        <f>VLOOKUP(Q131,[71]Listas!$D$6:$E$10,2,0)</f>
        <v>#N/A</v>
      </c>
      <c r="U131" s="757" t="e">
        <f>HLOOKUP(R131,[71]Listas!$F$4:$J$5,2,0)</f>
        <v>#N/A</v>
      </c>
      <c r="V131" s="758" t="e">
        <f>INDEX([71]Listas!$F$6:$J$10,MATCH(Q131,[71]Listas!$D$6:$D$10,0),MATCH(R131,[71]Listas!$F$4:$J$4,0))</f>
        <v>#N/A</v>
      </c>
      <c r="W131" s="756"/>
      <c r="X131" s="1605"/>
      <c r="Y131" s="1607"/>
      <c r="Z131" s="1606"/>
      <c r="AA131" s="1086"/>
      <c r="AB131" s="755"/>
      <c r="AC131" s="749"/>
      <c r="AD131" s="747"/>
      <c r="AE131" s="755"/>
      <c r="AF131" s="756"/>
      <c r="AG131" s="757">
        <f t="shared" si="16"/>
        <v>0</v>
      </c>
      <c r="AH131" s="759" t="e">
        <f t="shared" si="17"/>
        <v>#N/A</v>
      </c>
      <c r="AI131" s="760" t="e">
        <f>IF(AH131&lt;=1,"Remota",VLOOKUP(AH131,[71]Listas!$C$6:$D$10,2,0))</f>
        <v>#N/A</v>
      </c>
      <c r="AJ131" s="759" t="e">
        <f t="shared" si="18"/>
        <v>#N/A</v>
      </c>
      <c r="AK131" s="760" t="e">
        <f>IF(AJ131&lt;=1,"Insignificante",HLOOKUP(AJ131,[71]Listas!$F$3:$J$4,2,0))</f>
        <v>#N/A</v>
      </c>
      <c r="AL131" s="761" t="e">
        <f t="shared" si="19"/>
        <v>#N/A</v>
      </c>
      <c r="AM131" s="758" t="e">
        <f>INDEX([71]Listas!$F$6:$J$10,MATCH(AI131,[71]Listas!$D$6:$D$10,0),MATCH(AK131,[71]Listas!$F$4:$J$4,0))</f>
        <v>#N/A</v>
      </c>
      <c r="AN131" s="749"/>
      <c r="AO131" s="749"/>
      <c r="AP131" s="748"/>
      <c r="AQ131" s="749"/>
      <c r="AR131" s="749" t="s">
        <v>2343</v>
      </c>
      <c r="AS131" s="747"/>
      <c r="AT131" s="749"/>
      <c r="AU131" s="749"/>
      <c r="AV131" s="762"/>
      <c r="AW131" s="762"/>
      <c r="AX131" s="747"/>
      <c r="AY131" s="262"/>
    </row>
    <row r="132" spans="1:51" s="260" customFormat="1" ht="103.5" hidden="1" customHeight="1">
      <c r="A132" s="747"/>
      <c r="B132" s="754"/>
      <c r="C132" s="1605"/>
      <c r="D132" s="1607"/>
      <c r="E132" s="1606"/>
      <c r="F132" s="755"/>
      <c r="G132" s="1605"/>
      <c r="H132" s="1607"/>
      <c r="I132" s="1606"/>
      <c r="J132" s="1608"/>
      <c r="K132" s="1608"/>
      <c r="L132" s="1608"/>
      <c r="M132" s="747"/>
      <c r="N132" s="747"/>
      <c r="O132" s="747"/>
      <c r="P132" s="747"/>
      <c r="Q132" s="754"/>
      <c r="R132" s="754"/>
      <c r="S132" s="756"/>
      <c r="T132" s="757" t="e">
        <f>VLOOKUP(Q132,[71]Listas!$D$6:$E$10,2,0)</f>
        <v>#N/A</v>
      </c>
      <c r="U132" s="757" t="e">
        <f>HLOOKUP(R132,[71]Listas!$F$4:$J$5,2,0)</f>
        <v>#N/A</v>
      </c>
      <c r="V132" s="758" t="e">
        <f>INDEX([71]Listas!$F$6:$J$10,MATCH(Q132,[71]Listas!$D$6:$D$10,0),MATCH(R132,[71]Listas!$F$4:$J$4,0))</f>
        <v>#N/A</v>
      </c>
      <c r="W132" s="756"/>
      <c r="X132" s="1605"/>
      <c r="Y132" s="1607"/>
      <c r="Z132" s="1606"/>
      <c r="AA132" s="1086"/>
      <c r="AB132" s="755"/>
      <c r="AC132" s="749"/>
      <c r="AD132" s="747"/>
      <c r="AE132" s="755"/>
      <c r="AF132" s="756"/>
      <c r="AG132" s="757">
        <f t="shared" si="16"/>
        <v>0</v>
      </c>
      <c r="AH132" s="759" t="e">
        <f t="shared" si="17"/>
        <v>#N/A</v>
      </c>
      <c r="AI132" s="760" t="e">
        <f>IF(AH132&lt;=1,"Remota",VLOOKUP(AH132,[71]Listas!$C$6:$D$10,2,0))</f>
        <v>#N/A</v>
      </c>
      <c r="AJ132" s="759" t="e">
        <f t="shared" si="18"/>
        <v>#N/A</v>
      </c>
      <c r="AK132" s="760" t="e">
        <f>IF(AJ132&lt;=1,"Insignificante",HLOOKUP(AJ132,[71]Listas!$F$3:$J$4,2,0))</f>
        <v>#N/A</v>
      </c>
      <c r="AL132" s="761" t="e">
        <f t="shared" si="19"/>
        <v>#N/A</v>
      </c>
      <c r="AM132" s="758" t="e">
        <f>INDEX([71]Listas!$F$6:$J$10,MATCH(AI132,[71]Listas!$D$6:$D$10,0),MATCH(AK132,[71]Listas!$F$4:$J$4,0))</f>
        <v>#N/A</v>
      </c>
      <c r="AN132" s="749"/>
      <c r="AO132" s="749"/>
      <c r="AP132" s="748"/>
      <c r="AQ132" s="749"/>
      <c r="AR132" s="749" t="s">
        <v>2343</v>
      </c>
      <c r="AS132" s="747"/>
      <c r="AT132" s="749"/>
      <c r="AU132" s="749"/>
      <c r="AV132" s="762"/>
      <c r="AW132" s="762"/>
      <c r="AX132" s="747"/>
      <c r="AY132" s="262"/>
    </row>
    <row r="133" spans="1:51" s="260" customFormat="1" ht="103.5" hidden="1" customHeight="1">
      <c r="A133" s="747"/>
      <c r="B133" s="754"/>
      <c r="C133" s="1605"/>
      <c r="D133" s="1607"/>
      <c r="E133" s="1606"/>
      <c r="F133" s="755"/>
      <c r="G133" s="1605"/>
      <c r="H133" s="1607"/>
      <c r="I133" s="1606"/>
      <c r="J133" s="1608"/>
      <c r="K133" s="1608"/>
      <c r="L133" s="1608"/>
      <c r="M133" s="747"/>
      <c r="N133" s="747"/>
      <c r="O133" s="747"/>
      <c r="P133" s="747"/>
      <c r="Q133" s="754"/>
      <c r="R133" s="754"/>
      <c r="S133" s="756"/>
      <c r="T133" s="757" t="e">
        <f>VLOOKUP(Q133,[71]Listas!$D$6:$E$10,2,0)</f>
        <v>#N/A</v>
      </c>
      <c r="U133" s="757" t="e">
        <f>HLOOKUP(R133,[71]Listas!$F$4:$J$5,2,0)</f>
        <v>#N/A</v>
      </c>
      <c r="V133" s="758" t="e">
        <f>INDEX([71]Listas!$F$6:$J$10,MATCH(Q133,[71]Listas!$D$6:$D$10,0),MATCH(R133,[71]Listas!$F$4:$J$4,0))</f>
        <v>#N/A</v>
      </c>
      <c r="W133" s="756"/>
      <c r="X133" s="1605"/>
      <c r="Y133" s="1607"/>
      <c r="Z133" s="1606"/>
      <c r="AA133" s="1086"/>
      <c r="AB133" s="755"/>
      <c r="AC133" s="749"/>
      <c r="AD133" s="747"/>
      <c r="AE133" s="755"/>
      <c r="AF133" s="756"/>
      <c r="AG133" s="757">
        <f t="shared" si="16"/>
        <v>0</v>
      </c>
      <c r="AH133" s="759" t="e">
        <f t="shared" si="17"/>
        <v>#N/A</v>
      </c>
      <c r="AI133" s="760" t="e">
        <f>IF(AH133&lt;=1,"Remota",VLOOKUP(AH133,[71]Listas!$C$6:$D$10,2,0))</f>
        <v>#N/A</v>
      </c>
      <c r="AJ133" s="759" t="e">
        <f t="shared" si="18"/>
        <v>#N/A</v>
      </c>
      <c r="AK133" s="760" t="e">
        <f>IF(AJ133&lt;=1,"Insignificante",HLOOKUP(AJ133,[71]Listas!$F$3:$J$4,2,0))</f>
        <v>#N/A</v>
      </c>
      <c r="AL133" s="761" t="e">
        <f t="shared" si="19"/>
        <v>#N/A</v>
      </c>
      <c r="AM133" s="758" t="e">
        <f>INDEX([71]Listas!$F$6:$J$10,MATCH(AI133,[71]Listas!$D$6:$D$10,0),MATCH(AK133,[71]Listas!$F$4:$J$4,0))</f>
        <v>#N/A</v>
      </c>
      <c r="AN133" s="749"/>
      <c r="AO133" s="749"/>
      <c r="AP133" s="748"/>
      <c r="AQ133" s="749"/>
      <c r="AR133" s="749" t="s">
        <v>2343</v>
      </c>
      <c r="AS133" s="747"/>
      <c r="AT133" s="749"/>
      <c r="AU133" s="749"/>
      <c r="AV133" s="762"/>
      <c r="AW133" s="762"/>
      <c r="AX133" s="747"/>
      <c r="AY133" s="262"/>
    </row>
    <row r="134" spans="1:51" s="260" customFormat="1" ht="103.5" hidden="1" customHeight="1">
      <c r="A134" s="747"/>
      <c r="B134" s="754"/>
      <c r="C134" s="1605"/>
      <c r="D134" s="1607"/>
      <c r="E134" s="1606"/>
      <c r="F134" s="755"/>
      <c r="G134" s="1605"/>
      <c r="H134" s="1607"/>
      <c r="I134" s="1606"/>
      <c r="J134" s="1608"/>
      <c r="K134" s="1608"/>
      <c r="L134" s="1608"/>
      <c r="M134" s="747"/>
      <c r="N134" s="747"/>
      <c r="O134" s="747"/>
      <c r="P134" s="747"/>
      <c r="Q134" s="754"/>
      <c r="R134" s="754"/>
      <c r="S134" s="756"/>
      <c r="T134" s="757" t="e">
        <f>VLOOKUP(Q134,[71]Listas!$D$6:$E$10,2,0)</f>
        <v>#N/A</v>
      </c>
      <c r="U134" s="757" t="e">
        <f>HLOOKUP(R134,[71]Listas!$F$4:$J$5,2,0)</f>
        <v>#N/A</v>
      </c>
      <c r="V134" s="758" t="e">
        <f>INDEX([71]Listas!$F$6:$J$10,MATCH(Q134,[71]Listas!$D$6:$D$10,0),MATCH(R134,[71]Listas!$F$4:$J$4,0))</f>
        <v>#N/A</v>
      </c>
      <c r="W134" s="756"/>
      <c r="X134" s="1605"/>
      <c r="Y134" s="1607"/>
      <c r="Z134" s="1606"/>
      <c r="AA134" s="1086"/>
      <c r="AB134" s="755"/>
      <c r="AC134" s="749"/>
      <c r="AD134" s="747"/>
      <c r="AE134" s="755"/>
      <c r="AF134" s="756"/>
      <c r="AG134" s="757">
        <f t="shared" si="16"/>
        <v>0</v>
      </c>
      <c r="AH134" s="759" t="e">
        <f t="shared" si="17"/>
        <v>#N/A</v>
      </c>
      <c r="AI134" s="760" t="e">
        <f>IF(AH134&lt;=1,"Remota",VLOOKUP(AH134,[71]Listas!$C$6:$D$10,2,0))</f>
        <v>#N/A</v>
      </c>
      <c r="AJ134" s="759" t="e">
        <f t="shared" si="18"/>
        <v>#N/A</v>
      </c>
      <c r="AK134" s="760" t="e">
        <f>IF(AJ134&lt;=1,"Insignificante",HLOOKUP(AJ134,[71]Listas!$F$3:$J$4,2,0))</f>
        <v>#N/A</v>
      </c>
      <c r="AL134" s="761" t="e">
        <f t="shared" si="19"/>
        <v>#N/A</v>
      </c>
      <c r="AM134" s="758" t="e">
        <f>INDEX([71]Listas!$F$6:$J$10,MATCH(AI134,[71]Listas!$D$6:$D$10,0),MATCH(AK134,[71]Listas!$F$4:$J$4,0))</f>
        <v>#N/A</v>
      </c>
      <c r="AN134" s="749"/>
      <c r="AO134" s="749"/>
      <c r="AP134" s="748"/>
      <c r="AQ134" s="749"/>
      <c r="AR134" s="749" t="s">
        <v>2343</v>
      </c>
      <c r="AS134" s="747"/>
      <c r="AT134" s="749"/>
      <c r="AU134" s="749"/>
      <c r="AV134" s="762"/>
      <c r="AW134" s="762"/>
      <c r="AX134" s="747"/>
      <c r="AY134" s="262"/>
    </row>
    <row r="135" spans="1:51" s="260" customFormat="1" ht="103.5" hidden="1" customHeight="1">
      <c r="A135" s="747"/>
      <c r="B135" s="754"/>
      <c r="C135" s="1605"/>
      <c r="D135" s="1607"/>
      <c r="E135" s="1606"/>
      <c r="F135" s="755"/>
      <c r="G135" s="1605"/>
      <c r="H135" s="1607"/>
      <c r="I135" s="1606"/>
      <c r="J135" s="1608"/>
      <c r="K135" s="1608"/>
      <c r="L135" s="1608"/>
      <c r="M135" s="747"/>
      <c r="N135" s="747"/>
      <c r="O135" s="747"/>
      <c r="P135" s="747"/>
      <c r="Q135" s="754"/>
      <c r="R135" s="754"/>
      <c r="S135" s="756"/>
      <c r="T135" s="757" t="e">
        <f>VLOOKUP(Q135,[71]Listas!$D$6:$E$10,2,0)</f>
        <v>#N/A</v>
      </c>
      <c r="U135" s="757" t="e">
        <f>HLOOKUP(R135,[71]Listas!$F$4:$J$5,2,0)</f>
        <v>#N/A</v>
      </c>
      <c r="V135" s="758" t="e">
        <f>INDEX([71]Listas!$F$6:$J$10,MATCH(Q135,[71]Listas!$D$6:$D$10,0),MATCH(R135,[71]Listas!$F$4:$J$4,0))</f>
        <v>#N/A</v>
      </c>
      <c r="W135" s="756"/>
      <c r="X135" s="1605"/>
      <c r="Y135" s="1607"/>
      <c r="Z135" s="1606"/>
      <c r="AA135" s="1086"/>
      <c r="AB135" s="755"/>
      <c r="AC135" s="749"/>
      <c r="AD135" s="747"/>
      <c r="AE135" s="755"/>
      <c r="AF135" s="756"/>
      <c r="AG135" s="757">
        <f t="shared" si="16"/>
        <v>0</v>
      </c>
      <c r="AH135" s="759" t="e">
        <f t="shared" si="17"/>
        <v>#N/A</v>
      </c>
      <c r="AI135" s="760" t="e">
        <f>IF(AH135&lt;=1,"Remota",VLOOKUP(AH135,[71]Listas!$C$6:$D$10,2,0))</f>
        <v>#N/A</v>
      </c>
      <c r="AJ135" s="759" t="e">
        <f t="shared" si="18"/>
        <v>#N/A</v>
      </c>
      <c r="AK135" s="760" t="e">
        <f>IF(AJ135&lt;=1,"Insignificante",HLOOKUP(AJ135,[71]Listas!$F$3:$J$4,2,0))</f>
        <v>#N/A</v>
      </c>
      <c r="AL135" s="761" t="e">
        <f t="shared" si="19"/>
        <v>#N/A</v>
      </c>
      <c r="AM135" s="758" t="e">
        <f>INDEX([71]Listas!$F$6:$J$10,MATCH(AI135,[71]Listas!$D$6:$D$10,0),MATCH(AK135,[71]Listas!$F$4:$J$4,0))</f>
        <v>#N/A</v>
      </c>
      <c r="AN135" s="749"/>
      <c r="AO135" s="749"/>
      <c r="AP135" s="748"/>
      <c r="AQ135" s="749"/>
      <c r="AR135" s="749" t="s">
        <v>2343</v>
      </c>
      <c r="AS135" s="747"/>
      <c r="AT135" s="749"/>
      <c r="AU135" s="749"/>
      <c r="AV135" s="762"/>
      <c r="AW135" s="762"/>
      <c r="AX135" s="747"/>
      <c r="AY135" s="262"/>
    </row>
    <row r="136" spans="1:51" s="260" customFormat="1" ht="103.5" hidden="1" customHeight="1">
      <c r="A136" s="747"/>
      <c r="B136" s="754"/>
      <c r="C136" s="1605"/>
      <c r="D136" s="1607"/>
      <c r="E136" s="1606"/>
      <c r="F136" s="755"/>
      <c r="G136" s="1605"/>
      <c r="H136" s="1607"/>
      <c r="I136" s="1606"/>
      <c r="J136" s="1608"/>
      <c r="K136" s="1608"/>
      <c r="L136" s="1608"/>
      <c r="M136" s="747"/>
      <c r="N136" s="747"/>
      <c r="O136" s="747"/>
      <c r="P136" s="747"/>
      <c r="Q136" s="754"/>
      <c r="R136" s="754"/>
      <c r="S136" s="756"/>
      <c r="T136" s="757" t="e">
        <f>VLOOKUP(Q136,[71]Listas!$D$6:$E$10,2,0)</f>
        <v>#N/A</v>
      </c>
      <c r="U136" s="757" t="e">
        <f>HLOOKUP(R136,[71]Listas!$F$4:$J$5,2,0)</f>
        <v>#N/A</v>
      </c>
      <c r="V136" s="758" t="e">
        <f>INDEX([71]Listas!$F$6:$J$10,MATCH(Q136,[71]Listas!$D$6:$D$10,0),MATCH(R136,[71]Listas!$F$4:$J$4,0))</f>
        <v>#N/A</v>
      </c>
      <c r="W136" s="756"/>
      <c r="X136" s="1605"/>
      <c r="Y136" s="1607"/>
      <c r="Z136" s="1606"/>
      <c r="AA136" s="1086"/>
      <c r="AB136" s="755"/>
      <c r="AC136" s="749"/>
      <c r="AD136" s="747"/>
      <c r="AE136" s="755"/>
      <c r="AF136" s="756"/>
      <c r="AG136" s="757">
        <f t="shared" si="16"/>
        <v>0</v>
      </c>
      <c r="AH136" s="759" t="e">
        <f t="shared" si="17"/>
        <v>#N/A</v>
      </c>
      <c r="AI136" s="760" t="e">
        <f>IF(AH136&lt;=1,"Remota",VLOOKUP(AH136,[71]Listas!$C$6:$D$10,2,0))</f>
        <v>#N/A</v>
      </c>
      <c r="AJ136" s="759" t="e">
        <f t="shared" si="18"/>
        <v>#N/A</v>
      </c>
      <c r="AK136" s="760" t="e">
        <f>IF(AJ136&lt;=1,"Insignificante",HLOOKUP(AJ136,[71]Listas!$F$3:$J$4,2,0))</f>
        <v>#N/A</v>
      </c>
      <c r="AL136" s="761" t="e">
        <f t="shared" si="19"/>
        <v>#N/A</v>
      </c>
      <c r="AM136" s="758" t="e">
        <f>INDEX([71]Listas!$F$6:$J$10,MATCH(AI136,[71]Listas!$D$6:$D$10,0),MATCH(AK136,[71]Listas!$F$4:$J$4,0))</f>
        <v>#N/A</v>
      </c>
      <c r="AN136" s="749"/>
      <c r="AO136" s="749"/>
      <c r="AP136" s="748"/>
      <c r="AQ136" s="749"/>
      <c r="AR136" s="749" t="s">
        <v>2343</v>
      </c>
      <c r="AS136" s="747"/>
      <c r="AT136" s="749"/>
      <c r="AU136" s="749"/>
      <c r="AV136" s="762"/>
      <c r="AW136" s="762"/>
      <c r="AX136" s="747"/>
      <c r="AY136" s="262"/>
    </row>
    <row r="137" spans="1:51" s="260" customFormat="1" ht="103.5" hidden="1" customHeight="1">
      <c r="A137" s="747"/>
      <c r="B137" s="754"/>
      <c r="C137" s="1605"/>
      <c r="D137" s="1607"/>
      <c r="E137" s="1606"/>
      <c r="F137" s="755"/>
      <c r="G137" s="1605"/>
      <c r="H137" s="1607"/>
      <c r="I137" s="1606"/>
      <c r="J137" s="1608"/>
      <c r="K137" s="1608"/>
      <c r="L137" s="1608"/>
      <c r="M137" s="747"/>
      <c r="N137" s="747"/>
      <c r="O137" s="747"/>
      <c r="P137" s="747"/>
      <c r="Q137" s="754"/>
      <c r="R137" s="754"/>
      <c r="S137" s="756"/>
      <c r="T137" s="757" t="e">
        <f>VLOOKUP(Q137,[71]Listas!$D$6:$E$10,2,0)</f>
        <v>#N/A</v>
      </c>
      <c r="U137" s="757" t="e">
        <f>HLOOKUP(R137,[71]Listas!$F$4:$J$5,2,0)</f>
        <v>#N/A</v>
      </c>
      <c r="V137" s="758" t="e">
        <f>INDEX([71]Listas!$F$6:$J$10,MATCH(Q137,[71]Listas!$D$6:$D$10,0),MATCH(R137,[71]Listas!$F$4:$J$4,0))</f>
        <v>#N/A</v>
      </c>
      <c r="W137" s="756"/>
      <c r="X137" s="1605"/>
      <c r="Y137" s="1607"/>
      <c r="Z137" s="1606"/>
      <c r="AA137" s="1086"/>
      <c r="AB137" s="755"/>
      <c r="AC137" s="749"/>
      <c r="AD137" s="747"/>
      <c r="AE137" s="755"/>
      <c r="AF137" s="756"/>
      <c r="AG137" s="757">
        <f t="shared" si="16"/>
        <v>0</v>
      </c>
      <c r="AH137" s="759" t="e">
        <f t="shared" si="17"/>
        <v>#N/A</v>
      </c>
      <c r="AI137" s="760" t="e">
        <f>IF(AH137&lt;=1,"Remota",VLOOKUP(AH137,[71]Listas!$C$6:$D$10,2,0))</f>
        <v>#N/A</v>
      </c>
      <c r="AJ137" s="759" t="e">
        <f t="shared" si="18"/>
        <v>#N/A</v>
      </c>
      <c r="AK137" s="760" t="e">
        <f>IF(AJ137&lt;=1,"Insignificante",HLOOKUP(AJ137,[71]Listas!$F$3:$J$4,2,0))</f>
        <v>#N/A</v>
      </c>
      <c r="AL137" s="761" t="e">
        <f t="shared" si="19"/>
        <v>#N/A</v>
      </c>
      <c r="AM137" s="758" t="e">
        <f>INDEX([71]Listas!$F$6:$J$10,MATCH(AI137,[71]Listas!$D$6:$D$10,0),MATCH(AK137,[71]Listas!$F$4:$J$4,0))</f>
        <v>#N/A</v>
      </c>
      <c r="AN137" s="749"/>
      <c r="AO137" s="749"/>
      <c r="AP137" s="748"/>
      <c r="AQ137" s="749"/>
      <c r="AR137" s="749" t="s">
        <v>2343</v>
      </c>
      <c r="AS137" s="747"/>
      <c r="AT137" s="749"/>
      <c r="AU137" s="749"/>
      <c r="AV137" s="762"/>
      <c r="AW137" s="762"/>
      <c r="AX137" s="747"/>
      <c r="AY137" s="262"/>
    </row>
    <row r="138" spans="1:51" s="260" customFormat="1" ht="103.5" hidden="1" customHeight="1">
      <c r="A138" s="747"/>
      <c r="B138" s="754"/>
      <c r="C138" s="1605"/>
      <c r="D138" s="1607"/>
      <c r="E138" s="1606"/>
      <c r="F138" s="755"/>
      <c r="G138" s="1605"/>
      <c r="H138" s="1607"/>
      <c r="I138" s="1606"/>
      <c r="J138" s="1608"/>
      <c r="K138" s="1608"/>
      <c r="L138" s="1608"/>
      <c r="M138" s="747"/>
      <c r="N138" s="747"/>
      <c r="O138" s="747"/>
      <c r="P138" s="747"/>
      <c r="Q138" s="754"/>
      <c r="R138" s="754"/>
      <c r="S138" s="756"/>
      <c r="T138" s="757" t="e">
        <f>VLOOKUP(Q138,[71]Listas!$D$6:$E$10,2,0)</f>
        <v>#N/A</v>
      </c>
      <c r="U138" s="757" t="e">
        <f>HLOOKUP(R138,[71]Listas!$F$4:$J$5,2,0)</f>
        <v>#N/A</v>
      </c>
      <c r="V138" s="758" t="e">
        <f>INDEX([71]Listas!$F$6:$J$10,MATCH(Q138,[71]Listas!$D$6:$D$10,0),MATCH(R138,[71]Listas!$F$4:$J$4,0))</f>
        <v>#N/A</v>
      </c>
      <c r="W138" s="756"/>
      <c r="X138" s="1605"/>
      <c r="Y138" s="1607"/>
      <c r="Z138" s="1606"/>
      <c r="AA138" s="1086"/>
      <c r="AB138" s="755"/>
      <c r="AC138" s="749"/>
      <c r="AD138" s="747"/>
      <c r="AE138" s="755"/>
      <c r="AF138" s="756"/>
      <c r="AG138" s="757">
        <f t="shared" si="16"/>
        <v>0</v>
      </c>
      <c r="AH138" s="759" t="e">
        <f t="shared" si="17"/>
        <v>#N/A</v>
      </c>
      <c r="AI138" s="760" t="e">
        <f>IF(AH138&lt;=1,"Remota",VLOOKUP(AH138,[71]Listas!$C$6:$D$10,2,0))</f>
        <v>#N/A</v>
      </c>
      <c r="AJ138" s="759" t="e">
        <f t="shared" si="18"/>
        <v>#N/A</v>
      </c>
      <c r="AK138" s="760" t="e">
        <f>IF(AJ138&lt;=1,"Insignificante",HLOOKUP(AJ138,[71]Listas!$F$3:$J$4,2,0))</f>
        <v>#N/A</v>
      </c>
      <c r="AL138" s="761" t="e">
        <f t="shared" si="19"/>
        <v>#N/A</v>
      </c>
      <c r="AM138" s="758" t="e">
        <f>INDEX([71]Listas!$F$6:$J$10,MATCH(AI138,[71]Listas!$D$6:$D$10,0),MATCH(AK138,[71]Listas!$F$4:$J$4,0))</f>
        <v>#N/A</v>
      </c>
      <c r="AN138" s="749"/>
      <c r="AO138" s="749"/>
      <c r="AP138" s="748"/>
      <c r="AQ138" s="749"/>
      <c r="AR138" s="749" t="s">
        <v>2343</v>
      </c>
      <c r="AS138" s="747"/>
      <c r="AT138" s="749"/>
      <c r="AU138" s="749"/>
      <c r="AV138" s="762"/>
      <c r="AW138" s="762"/>
      <c r="AX138" s="747"/>
      <c r="AY138" s="262"/>
    </row>
    <row r="139" spans="1:51" s="260" customFormat="1" ht="103.5" hidden="1" customHeight="1">
      <c r="A139" s="747"/>
      <c r="B139" s="754"/>
      <c r="C139" s="1605"/>
      <c r="D139" s="1607"/>
      <c r="E139" s="1606"/>
      <c r="F139" s="755"/>
      <c r="G139" s="1605"/>
      <c r="H139" s="1607"/>
      <c r="I139" s="1606"/>
      <c r="J139" s="1608"/>
      <c r="K139" s="1608"/>
      <c r="L139" s="1608"/>
      <c r="M139" s="747"/>
      <c r="N139" s="747"/>
      <c r="O139" s="747"/>
      <c r="P139" s="747"/>
      <c r="Q139" s="754"/>
      <c r="R139" s="754"/>
      <c r="S139" s="756"/>
      <c r="T139" s="757" t="e">
        <f>VLOOKUP(Q139,[71]Listas!$D$6:$E$10,2,0)</f>
        <v>#N/A</v>
      </c>
      <c r="U139" s="757" t="e">
        <f>HLOOKUP(R139,[71]Listas!$F$4:$J$5,2,0)</f>
        <v>#N/A</v>
      </c>
      <c r="V139" s="758" t="e">
        <f>INDEX([71]Listas!$F$6:$J$10,MATCH(Q139,[71]Listas!$D$6:$D$10,0),MATCH(R139,[71]Listas!$F$4:$J$4,0))</f>
        <v>#N/A</v>
      </c>
      <c r="W139" s="756"/>
      <c r="X139" s="1605"/>
      <c r="Y139" s="1607"/>
      <c r="Z139" s="1606"/>
      <c r="AA139" s="1086"/>
      <c r="AB139" s="755"/>
      <c r="AC139" s="749"/>
      <c r="AD139" s="747"/>
      <c r="AE139" s="755"/>
      <c r="AF139" s="756"/>
      <c r="AG139" s="757">
        <f t="shared" si="16"/>
        <v>0</v>
      </c>
      <c r="AH139" s="759" t="e">
        <f t="shared" si="17"/>
        <v>#N/A</v>
      </c>
      <c r="AI139" s="760" t="e">
        <f>IF(AH139&lt;=1,"Remota",VLOOKUP(AH139,[71]Listas!$C$6:$D$10,2,0))</f>
        <v>#N/A</v>
      </c>
      <c r="AJ139" s="759" t="e">
        <f t="shared" si="18"/>
        <v>#N/A</v>
      </c>
      <c r="AK139" s="760" t="e">
        <f>IF(AJ139&lt;=1,"Insignificante",HLOOKUP(AJ139,[71]Listas!$F$3:$J$4,2,0))</f>
        <v>#N/A</v>
      </c>
      <c r="AL139" s="761" t="e">
        <f t="shared" si="19"/>
        <v>#N/A</v>
      </c>
      <c r="AM139" s="758" t="e">
        <f>INDEX([71]Listas!$F$6:$J$10,MATCH(AI139,[71]Listas!$D$6:$D$10,0),MATCH(AK139,[71]Listas!$F$4:$J$4,0))</f>
        <v>#N/A</v>
      </c>
      <c r="AN139" s="749"/>
      <c r="AO139" s="749"/>
      <c r="AP139" s="748"/>
      <c r="AQ139" s="749"/>
      <c r="AR139" s="749" t="s">
        <v>2343</v>
      </c>
      <c r="AS139" s="747"/>
      <c r="AT139" s="749"/>
      <c r="AU139" s="749"/>
      <c r="AV139" s="762"/>
      <c r="AW139" s="762"/>
      <c r="AX139" s="747"/>
      <c r="AY139" s="262"/>
    </row>
    <row r="140" spans="1:51" s="260" customFormat="1" ht="103.5" hidden="1" customHeight="1">
      <c r="A140" s="747"/>
      <c r="B140" s="754"/>
      <c r="C140" s="1605"/>
      <c r="D140" s="1607"/>
      <c r="E140" s="1606"/>
      <c r="F140" s="755"/>
      <c r="G140" s="1605"/>
      <c r="H140" s="1607"/>
      <c r="I140" s="1606"/>
      <c r="J140" s="1608"/>
      <c r="K140" s="1608"/>
      <c r="L140" s="1608"/>
      <c r="M140" s="747"/>
      <c r="N140" s="747"/>
      <c r="O140" s="747"/>
      <c r="P140" s="747"/>
      <c r="Q140" s="754"/>
      <c r="R140" s="754"/>
      <c r="S140" s="756"/>
      <c r="T140" s="757" t="e">
        <f>VLOOKUP(Q140,[71]Listas!$D$6:$E$10,2,0)</f>
        <v>#N/A</v>
      </c>
      <c r="U140" s="757" t="e">
        <f>HLOOKUP(R140,[71]Listas!$F$4:$J$5,2,0)</f>
        <v>#N/A</v>
      </c>
      <c r="V140" s="758" t="e">
        <f>INDEX([71]Listas!$F$6:$J$10,MATCH(Q140,[71]Listas!$D$6:$D$10,0),MATCH(R140,[71]Listas!$F$4:$J$4,0))</f>
        <v>#N/A</v>
      </c>
      <c r="W140" s="756"/>
      <c r="X140" s="1605"/>
      <c r="Y140" s="1607"/>
      <c r="Z140" s="1606"/>
      <c r="AA140" s="1086"/>
      <c r="AB140" s="755"/>
      <c r="AC140" s="749"/>
      <c r="AD140" s="747"/>
      <c r="AE140" s="755"/>
      <c r="AF140" s="756"/>
      <c r="AG140" s="757">
        <f t="shared" si="16"/>
        <v>0</v>
      </c>
      <c r="AH140" s="759" t="e">
        <f t="shared" si="17"/>
        <v>#N/A</v>
      </c>
      <c r="AI140" s="760" t="e">
        <f>IF(AH140&lt;=1,"Remota",VLOOKUP(AH140,[71]Listas!$C$6:$D$10,2,0))</f>
        <v>#N/A</v>
      </c>
      <c r="AJ140" s="759" t="e">
        <f t="shared" si="18"/>
        <v>#N/A</v>
      </c>
      <c r="AK140" s="760" t="e">
        <f>IF(AJ140&lt;=1,"Insignificante",HLOOKUP(AJ140,[71]Listas!$F$3:$J$4,2,0))</f>
        <v>#N/A</v>
      </c>
      <c r="AL140" s="761" t="e">
        <f t="shared" si="19"/>
        <v>#N/A</v>
      </c>
      <c r="AM140" s="758" t="e">
        <f>INDEX([71]Listas!$F$6:$J$10,MATCH(AI140,[71]Listas!$D$6:$D$10,0),MATCH(AK140,[71]Listas!$F$4:$J$4,0))</f>
        <v>#N/A</v>
      </c>
      <c r="AN140" s="749"/>
      <c r="AO140" s="749"/>
      <c r="AP140" s="748"/>
      <c r="AQ140" s="749"/>
      <c r="AR140" s="749" t="s">
        <v>2343</v>
      </c>
      <c r="AS140" s="747"/>
      <c r="AT140" s="749"/>
      <c r="AU140" s="749"/>
      <c r="AV140" s="762"/>
      <c r="AW140" s="762"/>
      <c r="AX140" s="747"/>
      <c r="AY140" s="262"/>
    </row>
    <row r="141" spans="1:51" s="260" customFormat="1" ht="103.5" hidden="1" customHeight="1">
      <c r="A141" s="747"/>
      <c r="B141" s="754"/>
      <c r="C141" s="1605"/>
      <c r="D141" s="1607"/>
      <c r="E141" s="1606"/>
      <c r="F141" s="755"/>
      <c r="G141" s="1605"/>
      <c r="H141" s="1607"/>
      <c r="I141" s="1606"/>
      <c r="J141" s="1608"/>
      <c r="K141" s="1608"/>
      <c r="L141" s="1608"/>
      <c r="M141" s="747"/>
      <c r="N141" s="747"/>
      <c r="O141" s="747"/>
      <c r="P141" s="747"/>
      <c r="Q141" s="754"/>
      <c r="R141" s="754"/>
      <c r="S141" s="756"/>
      <c r="T141" s="757" t="e">
        <f>VLOOKUP(Q141,[71]Listas!$D$6:$E$10,2,0)</f>
        <v>#N/A</v>
      </c>
      <c r="U141" s="757" t="e">
        <f>HLOOKUP(R141,[71]Listas!$F$4:$J$5,2,0)</f>
        <v>#N/A</v>
      </c>
      <c r="V141" s="758" t="e">
        <f>INDEX([71]Listas!$F$6:$J$10,MATCH(Q141,[71]Listas!$D$6:$D$10,0),MATCH(R141,[71]Listas!$F$4:$J$4,0))</f>
        <v>#N/A</v>
      </c>
      <c r="W141" s="756"/>
      <c r="X141" s="1605"/>
      <c r="Y141" s="1607"/>
      <c r="Z141" s="1606"/>
      <c r="AA141" s="1086"/>
      <c r="AB141" s="755"/>
      <c r="AC141" s="749"/>
      <c r="AD141" s="747"/>
      <c r="AE141" s="755"/>
      <c r="AF141" s="756"/>
      <c r="AG141" s="757">
        <f t="shared" si="16"/>
        <v>0</v>
      </c>
      <c r="AH141" s="759" t="e">
        <f t="shared" si="17"/>
        <v>#N/A</v>
      </c>
      <c r="AI141" s="760" t="e">
        <f>IF(AH141&lt;=1,"Remota",VLOOKUP(AH141,[71]Listas!$C$6:$D$10,2,0))</f>
        <v>#N/A</v>
      </c>
      <c r="AJ141" s="759" t="e">
        <f t="shared" si="18"/>
        <v>#N/A</v>
      </c>
      <c r="AK141" s="760" t="e">
        <f>IF(AJ141&lt;=1,"Insignificante",HLOOKUP(AJ141,[71]Listas!$F$3:$J$4,2,0))</f>
        <v>#N/A</v>
      </c>
      <c r="AL141" s="761" t="e">
        <f t="shared" si="19"/>
        <v>#N/A</v>
      </c>
      <c r="AM141" s="758" t="e">
        <f>INDEX([71]Listas!$F$6:$J$10,MATCH(AI141,[71]Listas!$D$6:$D$10,0),MATCH(AK141,[71]Listas!$F$4:$J$4,0))</f>
        <v>#N/A</v>
      </c>
      <c r="AN141" s="749"/>
      <c r="AO141" s="749"/>
      <c r="AP141" s="748"/>
      <c r="AQ141" s="749"/>
      <c r="AR141" s="749" t="s">
        <v>2343</v>
      </c>
      <c r="AS141" s="747"/>
      <c r="AT141" s="749"/>
      <c r="AU141" s="749"/>
      <c r="AV141" s="762"/>
      <c r="AW141" s="762"/>
      <c r="AX141" s="747"/>
      <c r="AY141" s="262"/>
    </row>
    <row r="142" spans="1:51" s="260" customFormat="1" ht="103.5" hidden="1" customHeight="1">
      <c r="A142" s="747"/>
      <c r="B142" s="754"/>
      <c r="C142" s="1605"/>
      <c r="D142" s="1607"/>
      <c r="E142" s="1606"/>
      <c r="F142" s="755"/>
      <c r="G142" s="1605"/>
      <c r="H142" s="1607"/>
      <c r="I142" s="1606"/>
      <c r="J142" s="1608"/>
      <c r="K142" s="1608"/>
      <c r="L142" s="1608"/>
      <c r="M142" s="747"/>
      <c r="N142" s="747"/>
      <c r="O142" s="747"/>
      <c r="P142" s="747"/>
      <c r="Q142" s="754"/>
      <c r="R142" s="754"/>
      <c r="S142" s="756"/>
      <c r="T142" s="757" t="e">
        <f>VLOOKUP(Q142,[71]Listas!$D$6:$E$10,2,0)</f>
        <v>#N/A</v>
      </c>
      <c r="U142" s="757" t="e">
        <f>HLOOKUP(R142,[71]Listas!$F$4:$J$5,2,0)</f>
        <v>#N/A</v>
      </c>
      <c r="V142" s="758" t="e">
        <f>INDEX([71]Listas!$F$6:$J$10,MATCH(Q142,[71]Listas!$D$6:$D$10,0),MATCH(R142,[71]Listas!$F$4:$J$4,0))</f>
        <v>#N/A</v>
      </c>
      <c r="W142" s="756"/>
      <c r="X142" s="1605"/>
      <c r="Y142" s="1607"/>
      <c r="Z142" s="1606"/>
      <c r="AA142" s="1086"/>
      <c r="AB142" s="755"/>
      <c r="AC142" s="749"/>
      <c r="AD142" s="747"/>
      <c r="AE142" s="755"/>
      <c r="AF142" s="756"/>
      <c r="AG142" s="757">
        <f t="shared" si="16"/>
        <v>0</v>
      </c>
      <c r="AH142" s="759" t="e">
        <f t="shared" si="17"/>
        <v>#N/A</v>
      </c>
      <c r="AI142" s="760" t="e">
        <f>IF(AH142&lt;=1,"Remota",VLOOKUP(AH142,[71]Listas!$C$6:$D$10,2,0))</f>
        <v>#N/A</v>
      </c>
      <c r="AJ142" s="759" t="e">
        <f t="shared" si="18"/>
        <v>#N/A</v>
      </c>
      <c r="AK142" s="760" t="e">
        <f>IF(AJ142&lt;=1,"Insignificante",HLOOKUP(AJ142,[71]Listas!$F$3:$J$4,2,0))</f>
        <v>#N/A</v>
      </c>
      <c r="AL142" s="761" t="e">
        <f t="shared" si="19"/>
        <v>#N/A</v>
      </c>
      <c r="AM142" s="758" t="e">
        <f>INDEX([71]Listas!$F$6:$J$10,MATCH(AI142,[71]Listas!$D$6:$D$10,0),MATCH(AK142,[71]Listas!$F$4:$J$4,0))</f>
        <v>#N/A</v>
      </c>
      <c r="AN142" s="749"/>
      <c r="AO142" s="749"/>
      <c r="AP142" s="748"/>
      <c r="AQ142" s="749"/>
      <c r="AR142" s="749" t="s">
        <v>2343</v>
      </c>
      <c r="AS142" s="747"/>
      <c r="AT142" s="749"/>
      <c r="AU142" s="749"/>
      <c r="AV142" s="762"/>
      <c r="AW142" s="762"/>
      <c r="AX142" s="747"/>
      <c r="AY142" s="262"/>
    </row>
    <row r="143" spans="1:51" s="260" customFormat="1" ht="103.5" hidden="1" customHeight="1">
      <c r="A143" s="747"/>
      <c r="B143" s="754"/>
      <c r="C143" s="1605"/>
      <c r="D143" s="1607"/>
      <c r="E143" s="1606"/>
      <c r="F143" s="755"/>
      <c r="G143" s="1605"/>
      <c r="H143" s="1607"/>
      <c r="I143" s="1606"/>
      <c r="J143" s="1608"/>
      <c r="K143" s="1608"/>
      <c r="L143" s="1608"/>
      <c r="M143" s="747"/>
      <c r="N143" s="747"/>
      <c r="O143" s="747"/>
      <c r="P143" s="747"/>
      <c r="Q143" s="754"/>
      <c r="R143" s="754"/>
      <c r="S143" s="756"/>
      <c r="T143" s="757" t="e">
        <f>VLOOKUP(Q143,[71]Listas!$D$6:$E$10,2,0)</f>
        <v>#N/A</v>
      </c>
      <c r="U143" s="757" t="e">
        <f>HLOOKUP(R143,[71]Listas!$F$4:$J$5,2,0)</f>
        <v>#N/A</v>
      </c>
      <c r="V143" s="758" t="e">
        <f>INDEX([71]Listas!$F$6:$J$10,MATCH(Q143,[71]Listas!$D$6:$D$10,0),MATCH(R143,[71]Listas!$F$4:$J$4,0))</f>
        <v>#N/A</v>
      </c>
      <c r="W143" s="756"/>
      <c r="X143" s="1605"/>
      <c r="Y143" s="1607"/>
      <c r="Z143" s="1606"/>
      <c r="AA143" s="1086"/>
      <c r="AB143" s="755"/>
      <c r="AC143" s="749"/>
      <c r="AD143" s="747"/>
      <c r="AE143" s="755"/>
      <c r="AF143" s="756"/>
      <c r="AG143" s="757">
        <f t="shared" si="16"/>
        <v>0</v>
      </c>
      <c r="AH143" s="759" t="e">
        <f t="shared" si="17"/>
        <v>#N/A</v>
      </c>
      <c r="AI143" s="760" t="e">
        <f>IF(AH143&lt;=1,"Remota",VLOOKUP(AH143,[71]Listas!$C$6:$D$10,2,0))</f>
        <v>#N/A</v>
      </c>
      <c r="AJ143" s="759" t="e">
        <f t="shared" si="18"/>
        <v>#N/A</v>
      </c>
      <c r="AK143" s="760" t="e">
        <f>IF(AJ143&lt;=1,"Insignificante",HLOOKUP(AJ143,[71]Listas!$F$3:$J$4,2,0))</f>
        <v>#N/A</v>
      </c>
      <c r="AL143" s="761" t="e">
        <f t="shared" si="19"/>
        <v>#N/A</v>
      </c>
      <c r="AM143" s="758" t="e">
        <f>INDEX([71]Listas!$F$6:$J$10,MATCH(AI143,[71]Listas!$D$6:$D$10,0),MATCH(AK143,[71]Listas!$F$4:$J$4,0))</f>
        <v>#N/A</v>
      </c>
      <c r="AN143" s="749"/>
      <c r="AO143" s="749"/>
      <c r="AP143" s="748"/>
      <c r="AQ143" s="749"/>
      <c r="AR143" s="749" t="s">
        <v>2343</v>
      </c>
      <c r="AS143" s="747"/>
      <c r="AT143" s="749"/>
      <c r="AU143" s="749"/>
      <c r="AV143" s="762"/>
      <c r="AW143" s="762"/>
      <c r="AX143" s="747"/>
      <c r="AY143" s="262"/>
    </row>
    <row r="144" spans="1:51" s="260" customFormat="1" ht="103.5" hidden="1" customHeight="1">
      <c r="A144" s="747"/>
      <c r="B144" s="754"/>
      <c r="C144" s="1605"/>
      <c r="D144" s="1607"/>
      <c r="E144" s="1606"/>
      <c r="F144" s="755"/>
      <c r="G144" s="1605"/>
      <c r="H144" s="1607"/>
      <c r="I144" s="1606"/>
      <c r="J144" s="1608"/>
      <c r="K144" s="1608"/>
      <c r="L144" s="1608"/>
      <c r="M144" s="747"/>
      <c r="N144" s="747"/>
      <c r="O144" s="747"/>
      <c r="P144" s="747"/>
      <c r="Q144" s="754"/>
      <c r="R144" s="754"/>
      <c r="S144" s="756"/>
      <c r="T144" s="757" t="e">
        <f>VLOOKUP(Q144,[71]Listas!$D$6:$E$10,2,0)</f>
        <v>#N/A</v>
      </c>
      <c r="U144" s="757" t="e">
        <f>HLOOKUP(R144,[71]Listas!$F$4:$J$5,2,0)</f>
        <v>#N/A</v>
      </c>
      <c r="V144" s="758" t="e">
        <f>INDEX([71]Listas!$F$6:$J$10,MATCH(Q144,[71]Listas!$D$6:$D$10,0),MATCH(R144,[71]Listas!$F$4:$J$4,0))</f>
        <v>#N/A</v>
      </c>
      <c r="W144" s="756"/>
      <c r="X144" s="1605"/>
      <c r="Y144" s="1607"/>
      <c r="Z144" s="1606"/>
      <c r="AA144" s="1086"/>
      <c r="AB144" s="755"/>
      <c r="AC144" s="749"/>
      <c r="AD144" s="747"/>
      <c r="AE144" s="755"/>
      <c r="AF144" s="756"/>
      <c r="AG144" s="757">
        <f t="shared" si="16"/>
        <v>0</v>
      </c>
      <c r="AH144" s="759" t="e">
        <f t="shared" si="17"/>
        <v>#N/A</v>
      </c>
      <c r="AI144" s="760" t="e">
        <f>IF(AH144&lt;=1,"Remota",VLOOKUP(AH144,[71]Listas!$C$6:$D$10,2,0))</f>
        <v>#N/A</v>
      </c>
      <c r="AJ144" s="759" t="e">
        <f t="shared" si="18"/>
        <v>#N/A</v>
      </c>
      <c r="AK144" s="760" t="e">
        <f>IF(AJ144&lt;=1,"Insignificante",HLOOKUP(AJ144,[71]Listas!$F$3:$J$4,2,0))</f>
        <v>#N/A</v>
      </c>
      <c r="AL144" s="761" t="e">
        <f t="shared" si="19"/>
        <v>#N/A</v>
      </c>
      <c r="AM144" s="758" t="e">
        <f>INDEX([71]Listas!$F$6:$J$10,MATCH(AI144,[71]Listas!$D$6:$D$10,0),MATCH(AK144,[71]Listas!$F$4:$J$4,0))</f>
        <v>#N/A</v>
      </c>
      <c r="AN144" s="749"/>
      <c r="AO144" s="749"/>
      <c r="AP144" s="748"/>
      <c r="AQ144" s="749"/>
      <c r="AR144" s="749" t="s">
        <v>2343</v>
      </c>
      <c r="AS144" s="747"/>
      <c r="AT144" s="749"/>
      <c r="AU144" s="749"/>
      <c r="AV144" s="762"/>
      <c r="AW144" s="762"/>
      <c r="AX144" s="747"/>
      <c r="AY144" s="262"/>
    </row>
    <row r="145" spans="1:51" s="260" customFormat="1" ht="103.5" hidden="1" customHeight="1">
      <c r="A145" s="747"/>
      <c r="B145" s="754"/>
      <c r="C145" s="1605"/>
      <c r="D145" s="1607"/>
      <c r="E145" s="1606"/>
      <c r="F145" s="755"/>
      <c r="G145" s="1605"/>
      <c r="H145" s="1607"/>
      <c r="I145" s="1606"/>
      <c r="J145" s="1608"/>
      <c r="K145" s="1608"/>
      <c r="L145" s="1608"/>
      <c r="M145" s="747"/>
      <c r="N145" s="747"/>
      <c r="O145" s="747"/>
      <c r="P145" s="747"/>
      <c r="Q145" s="754"/>
      <c r="R145" s="754"/>
      <c r="S145" s="756"/>
      <c r="T145" s="757" t="e">
        <f>VLOOKUP(Q145,[71]Listas!$D$6:$E$10,2,0)</f>
        <v>#N/A</v>
      </c>
      <c r="U145" s="757" t="e">
        <f>HLOOKUP(R145,[71]Listas!$F$4:$J$5,2,0)</f>
        <v>#N/A</v>
      </c>
      <c r="V145" s="758" t="e">
        <f>INDEX([71]Listas!$F$6:$J$10,MATCH(Q145,[71]Listas!$D$6:$D$10,0),MATCH(R145,[71]Listas!$F$4:$J$4,0))</f>
        <v>#N/A</v>
      </c>
      <c r="W145" s="756"/>
      <c r="X145" s="1605"/>
      <c r="Y145" s="1607"/>
      <c r="Z145" s="1606"/>
      <c r="AA145" s="1086"/>
      <c r="AB145" s="755"/>
      <c r="AC145" s="749"/>
      <c r="AD145" s="747"/>
      <c r="AE145" s="755"/>
      <c r="AF145" s="756"/>
      <c r="AG145" s="757">
        <f t="shared" si="16"/>
        <v>0</v>
      </c>
      <c r="AH145" s="759" t="e">
        <f t="shared" si="17"/>
        <v>#N/A</v>
      </c>
      <c r="AI145" s="760" t="e">
        <f>IF(AH145&lt;=1,"Remota",VLOOKUP(AH145,[71]Listas!$C$6:$D$10,2,0))</f>
        <v>#N/A</v>
      </c>
      <c r="AJ145" s="759" t="e">
        <f t="shared" si="18"/>
        <v>#N/A</v>
      </c>
      <c r="AK145" s="760" t="e">
        <f>IF(AJ145&lt;=1,"Insignificante",HLOOKUP(AJ145,[71]Listas!$F$3:$J$4,2,0))</f>
        <v>#N/A</v>
      </c>
      <c r="AL145" s="761" t="e">
        <f t="shared" si="19"/>
        <v>#N/A</v>
      </c>
      <c r="AM145" s="758" t="e">
        <f>INDEX([71]Listas!$F$6:$J$10,MATCH(AI145,[71]Listas!$D$6:$D$10,0),MATCH(AK145,[71]Listas!$F$4:$J$4,0))</f>
        <v>#N/A</v>
      </c>
      <c r="AN145" s="749"/>
      <c r="AO145" s="749"/>
      <c r="AP145" s="748"/>
      <c r="AQ145" s="749"/>
      <c r="AR145" s="749" t="s">
        <v>2343</v>
      </c>
      <c r="AS145" s="747"/>
      <c r="AT145" s="749"/>
      <c r="AU145" s="749"/>
      <c r="AV145" s="762"/>
      <c r="AW145" s="762"/>
      <c r="AX145" s="747"/>
      <c r="AY145" s="262"/>
    </row>
    <row r="146" spans="1:51" s="260" customFormat="1" ht="103.5" hidden="1" customHeight="1">
      <c r="A146" s="747"/>
      <c r="B146" s="754"/>
      <c r="C146" s="1605"/>
      <c r="D146" s="1607"/>
      <c r="E146" s="1606"/>
      <c r="F146" s="755"/>
      <c r="G146" s="1605"/>
      <c r="H146" s="1607"/>
      <c r="I146" s="1606"/>
      <c r="J146" s="1608"/>
      <c r="K146" s="1608"/>
      <c r="L146" s="1608"/>
      <c r="M146" s="747"/>
      <c r="N146" s="747"/>
      <c r="O146" s="747"/>
      <c r="P146" s="747"/>
      <c r="Q146" s="754"/>
      <c r="R146" s="754"/>
      <c r="S146" s="756"/>
      <c r="T146" s="757" t="e">
        <f>VLOOKUP(Q146,[71]Listas!$D$6:$E$10,2,0)</f>
        <v>#N/A</v>
      </c>
      <c r="U146" s="757" t="e">
        <f>HLOOKUP(R146,[71]Listas!$F$4:$J$5,2,0)</f>
        <v>#N/A</v>
      </c>
      <c r="V146" s="758" t="e">
        <f>INDEX([71]Listas!$F$6:$J$10,MATCH(Q146,[71]Listas!$D$6:$D$10,0),MATCH(R146,[71]Listas!$F$4:$J$4,0))</f>
        <v>#N/A</v>
      </c>
      <c r="W146" s="756"/>
      <c r="X146" s="1605"/>
      <c r="Y146" s="1607"/>
      <c r="Z146" s="1606"/>
      <c r="AA146" s="1086"/>
      <c r="AB146" s="755"/>
      <c r="AC146" s="749"/>
      <c r="AD146" s="747"/>
      <c r="AE146" s="755"/>
      <c r="AF146" s="756"/>
      <c r="AG146" s="757">
        <f t="shared" si="16"/>
        <v>0</v>
      </c>
      <c r="AH146" s="759" t="e">
        <f t="shared" si="17"/>
        <v>#N/A</v>
      </c>
      <c r="AI146" s="760" t="e">
        <f>IF(AH146&lt;=1,"Remota",VLOOKUP(AH146,[71]Listas!$C$6:$D$10,2,0))</f>
        <v>#N/A</v>
      </c>
      <c r="AJ146" s="759" t="e">
        <f t="shared" si="18"/>
        <v>#N/A</v>
      </c>
      <c r="AK146" s="760" t="e">
        <f>IF(AJ146&lt;=1,"Insignificante",HLOOKUP(AJ146,[71]Listas!$F$3:$J$4,2,0))</f>
        <v>#N/A</v>
      </c>
      <c r="AL146" s="761" t="e">
        <f t="shared" si="19"/>
        <v>#N/A</v>
      </c>
      <c r="AM146" s="758" t="e">
        <f>INDEX([71]Listas!$F$6:$J$10,MATCH(AI146,[71]Listas!$D$6:$D$10,0),MATCH(AK146,[71]Listas!$F$4:$J$4,0))</f>
        <v>#N/A</v>
      </c>
      <c r="AN146" s="749"/>
      <c r="AO146" s="749"/>
      <c r="AP146" s="748"/>
      <c r="AQ146" s="749"/>
      <c r="AR146" s="749" t="s">
        <v>2343</v>
      </c>
      <c r="AS146" s="747"/>
      <c r="AT146" s="749"/>
      <c r="AU146" s="749"/>
      <c r="AV146" s="762"/>
      <c r="AW146" s="762"/>
      <c r="AX146" s="747"/>
      <c r="AY146" s="262"/>
    </row>
    <row r="147" spans="1:51" s="260" customFormat="1" ht="103.5" hidden="1" customHeight="1">
      <c r="A147" s="747"/>
      <c r="B147" s="754"/>
      <c r="C147" s="1605"/>
      <c r="D147" s="1607"/>
      <c r="E147" s="1606"/>
      <c r="F147" s="755"/>
      <c r="G147" s="1605"/>
      <c r="H147" s="1607"/>
      <c r="I147" s="1606"/>
      <c r="J147" s="1608"/>
      <c r="K147" s="1608"/>
      <c r="L147" s="1608"/>
      <c r="M147" s="747"/>
      <c r="N147" s="747"/>
      <c r="O147" s="747"/>
      <c r="P147" s="747"/>
      <c r="Q147" s="754"/>
      <c r="R147" s="754"/>
      <c r="S147" s="756"/>
      <c r="T147" s="757" t="e">
        <f>VLOOKUP(Q147,[71]Listas!$D$6:$E$10,2,0)</f>
        <v>#N/A</v>
      </c>
      <c r="U147" s="757" t="e">
        <f>HLOOKUP(R147,[71]Listas!$F$4:$J$5,2,0)</f>
        <v>#N/A</v>
      </c>
      <c r="V147" s="758" t="e">
        <f>INDEX([71]Listas!$F$6:$J$10,MATCH(Q147,[71]Listas!$D$6:$D$10,0),MATCH(R147,[71]Listas!$F$4:$J$4,0))</f>
        <v>#N/A</v>
      </c>
      <c r="W147" s="756"/>
      <c r="X147" s="1605"/>
      <c r="Y147" s="1607"/>
      <c r="Z147" s="1606"/>
      <c r="AA147" s="1086"/>
      <c r="AB147" s="755"/>
      <c r="AC147" s="749"/>
      <c r="AD147" s="747"/>
      <c r="AE147" s="755"/>
      <c r="AF147" s="756"/>
      <c r="AG147" s="757">
        <f t="shared" si="16"/>
        <v>0</v>
      </c>
      <c r="AH147" s="759" t="e">
        <f t="shared" si="17"/>
        <v>#N/A</v>
      </c>
      <c r="AI147" s="760" t="e">
        <f>IF(AH147&lt;=1,"Remota",VLOOKUP(AH147,[71]Listas!$C$6:$D$10,2,0))</f>
        <v>#N/A</v>
      </c>
      <c r="AJ147" s="759" t="e">
        <f t="shared" si="18"/>
        <v>#N/A</v>
      </c>
      <c r="AK147" s="760" t="e">
        <f>IF(AJ147&lt;=1,"Insignificante",HLOOKUP(AJ147,[71]Listas!$F$3:$J$4,2,0))</f>
        <v>#N/A</v>
      </c>
      <c r="AL147" s="761" t="e">
        <f t="shared" si="19"/>
        <v>#N/A</v>
      </c>
      <c r="AM147" s="758" t="e">
        <f>INDEX([71]Listas!$F$6:$J$10,MATCH(AI147,[71]Listas!$D$6:$D$10,0),MATCH(AK147,[71]Listas!$F$4:$J$4,0))</f>
        <v>#N/A</v>
      </c>
      <c r="AN147" s="749"/>
      <c r="AO147" s="749"/>
      <c r="AP147" s="748"/>
      <c r="AQ147" s="749"/>
      <c r="AR147" s="749" t="s">
        <v>2343</v>
      </c>
      <c r="AS147" s="747"/>
      <c r="AT147" s="749"/>
      <c r="AU147" s="749"/>
      <c r="AV147" s="762"/>
      <c r="AW147" s="762"/>
      <c r="AX147" s="747"/>
      <c r="AY147" s="262"/>
    </row>
    <row r="148" spans="1:51" s="260" customFormat="1" ht="103.5" hidden="1" customHeight="1">
      <c r="A148" s="747"/>
      <c r="B148" s="754"/>
      <c r="C148" s="1605"/>
      <c r="D148" s="1607"/>
      <c r="E148" s="1606"/>
      <c r="F148" s="755"/>
      <c r="G148" s="1605"/>
      <c r="H148" s="1607"/>
      <c r="I148" s="1606"/>
      <c r="J148" s="1608"/>
      <c r="K148" s="1608"/>
      <c r="L148" s="1608"/>
      <c r="M148" s="747"/>
      <c r="N148" s="747"/>
      <c r="O148" s="747"/>
      <c r="P148" s="747"/>
      <c r="Q148" s="754"/>
      <c r="R148" s="754"/>
      <c r="S148" s="756"/>
      <c r="T148" s="757" t="e">
        <f>VLOOKUP(Q148,[71]Listas!$D$6:$E$10,2,0)</f>
        <v>#N/A</v>
      </c>
      <c r="U148" s="757" t="e">
        <f>HLOOKUP(R148,[71]Listas!$F$4:$J$5,2,0)</f>
        <v>#N/A</v>
      </c>
      <c r="V148" s="758" t="e">
        <f>INDEX([71]Listas!$F$6:$J$10,MATCH(Q148,[71]Listas!$D$6:$D$10,0),MATCH(R148,[71]Listas!$F$4:$J$4,0))</f>
        <v>#N/A</v>
      </c>
      <c r="W148" s="756"/>
      <c r="X148" s="1605"/>
      <c r="Y148" s="1607"/>
      <c r="Z148" s="1606"/>
      <c r="AA148" s="1086"/>
      <c r="AB148" s="755"/>
      <c r="AC148" s="749"/>
      <c r="AD148" s="747"/>
      <c r="AE148" s="755"/>
      <c r="AF148" s="756"/>
      <c r="AG148" s="757">
        <f t="shared" si="16"/>
        <v>0</v>
      </c>
      <c r="AH148" s="759" t="e">
        <f t="shared" si="17"/>
        <v>#N/A</v>
      </c>
      <c r="AI148" s="760" t="e">
        <f>IF(AH148&lt;=1,"Remota",VLOOKUP(AH148,[71]Listas!$C$6:$D$10,2,0))</f>
        <v>#N/A</v>
      </c>
      <c r="AJ148" s="759" t="e">
        <f t="shared" si="18"/>
        <v>#N/A</v>
      </c>
      <c r="AK148" s="760" t="e">
        <f>IF(AJ148&lt;=1,"Insignificante",HLOOKUP(AJ148,[71]Listas!$F$3:$J$4,2,0))</f>
        <v>#N/A</v>
      </c>
      <c r="AL148" s="761" t="e">
        <f t="shared" si="19"/>
        <v>#N/A</v>
      </c>
      <c r="AM148" s="758" t="e">
        <f>INDEX([71]Listas!$F$6:$J$10,MATCH(AI148,[71]Listas!$D$6:$D$10,0),MATCH(AK148,[71]Listas!$F$4:$J$4,0))</f>
        <v>#N/A</v>
      </c>
      <c r="AN148" s="749"/>
      <c r="AO148" s="749"/>
      <c r="AP148" s="748"/>
      <c r="AQ148" s="749"/>
      <c r="AR148" s="749" t="s">
        <v>2343</v>
      </c>
      <c r="AS148" s="747"/>
      <c r="AT148" s="749"/>
      <c r="AU148" s="749"/>
      <c r="AV148" s="762"/>
      <c r="AW148" s="762"/>
      <c r="AX148" s="747"/>
      <c r="AY148" s="262"/>
    </row>
    <row r="149" spans="1:51" s="260" customFormat="1" ht="103.5" hidden="1" customHeight="1">
      <c r="A149" s="747"/>
      <c r="B149" s="754"/>
      <c r="C149" s="1605"/>
      <c r="D149" s="1607"/>
      <c r="E149" s="1606"/>
      <c r="F149" s="755"/>
      <c r="G149" s="1605"/>
      <c r="H149" s="1607"/>
      <c r="I149" s="1606"/>
      <c r="J149" s="1608"/>
      <c r="K149" s="1608"/>
      <c r="L149" s="1608"/>
      <c r="M149" s="747"/>
      <c r="N149" s="747"/>
      <c r="O149" s="747"/>
      <c r="P149" s="747"/>
      <c r="Q149" s="754"/>
      <c r="R149" s="754"/>
      <c r="S149" s="756"/>
      <c r="T149" s="757" t="e">
        <f>VLOOKUP(Q149,[71]Listas!$D$6:$E$10,2,0)</f>
        <v>#N/A</v>
      </c>
      <c r="U149" s="757" t="e">
        <f>HLOOKUP(R149,[71]Listas!$F$4:$J$5,2,0)</f>
        <v>#N/A</v>
      </c>
      <c r="V149" s="758" t="e">
        <f>INDEX([71]Listas!$F$6:$J$10,MATCH(Q149,[71]Listas!$D$6:$D$10,0),MATCH(R149,[71]Listas!$F$4:$J$4,0))</f>
        <v>#N/A</v>
      </c>
      <c r="W149" s="756"/>
      <c r="X149" s="1605"/>
      <c r="Y149" s="1607"/>
      <c r="Z149" s="1606"/>
      <c r="AA149" s="1086"/>
      <c r="AB149" s="755"/>
      <c r="AC149" s="749"/>
      <c r="AD149" s="747"/>
      <c r="AE149" s="755"/>
      <c r="AF149" s="756"/>
      <c r="AG149" s="757">
        <f t="shared" si="16"/>
        <v>0</v>
      </c>
      <c r="AH149" s="759" t="e">
        <f t="shared" si="17"/>
        <v>#N/A</v>
      </c>
      <c r="AI149" s="760" t="e">
        <f>IF(AH149&lt;=1,"Remota",VLOOKUP(AH149,[71]Listas!$C$6:$D$10,2,0))</f>
        <v>#N/A</v>
      </c>
      <c r="AJ149" s="759" t="e">
        <f t="shared" si="18"/>
        <v>#N/A</v>
      </c>
      <c r="AK149" s="760" t="e">
        <f>IF(AJ149&lt;=1,"Insignificante",HLOOKUP(AJ149,[71]Listas!$F$3:$J$4,2,0))</f>
        <v>#N/A</v>
      </c>
      <c r="AL149" s="761" t="e">
        <f t="shared" si="19"/>
        <v>#N/A</v>
      </c>
      <c r="AM149" s="758" t="e">
        <f>INDEX([71]Listas!$F$6:$J$10,MATCH(AI149,[71]Listas!$D$6:$D$10,0),MATCH(AK149,[71]Listas!$F$4:$J$4,0))</f>
        <v>#N/A</v>
      </c>
      <c r="AN149" s="749"/>
      <c r="AO149" s="749"/>
      <c r="AP149" s="748"/>
      <c r="AQ149" s="749"/>
      <c r="AR149" s="749" t="s">
        <v>2343</v>
      </c>
      <c r="AS149" s="747"/>
      <c r="AT149" s="749"/>
      <c r="AU149" s="749"/>
      <c r="AV149" s="762"/>
      <c r="AW149" s="762"/>
      <c r="AX149" s="747"/>
      <c r="AY149" s="262"/>
    </row>
    <row r="150" spans="1:51" s="260" customFormat="1" ht="103.5" hidden="1" customHeight="1">
      <c r="A150" s="747"/>
      <c r="B150" s="754"/>
      <c r="C150" s="1605"/>
      <c r="D150" s="1607"/>
      <c r="E150" s="1606"/>
      <c r="F150" s="755"/>
      <c r="G150" s="1605"/>
      <c r="H150" s="1607"/>
      <c r="I150" s="1606"/>
      <c r="J150" s="1608"/>
      <c r="K150" s="1608"/>
      <c r="L150" s="1608"/>
      <c r="M150" s="747"/>
      <c r="N150" s="747"/>
      <c r="O150" s="747"/>
      <c r="P150" s="747"/>
      <c r="Q150" s="754"/>
      <c r="R150" s="754"/>
      <c r="S150" s="756"/>
      <c r="T150" s="757" t="e">
        <f>VLOOKUP(Q150,[71]Listas!$D$6:$E$10,2,0)</f>
        <v>#N/A</v>
      </c>
      <c r="U150" s="757" t="e">
        <f>HLOOKUP(R150,[71]Listas!$F$4:$J$5,2,0)</f>
        <v>#N/A</v>
      </c>
      <c r="V150" s="758" t="e">
        <f>INDEX([71]Listas!$F$6:$J$10,MATCH(Q150,[71]Listas!$D$6:$D$10,0),MATCH(R150,[71]Listas!$F$4:$J$4,0))</f>
        <v>#N/A</v>
      </c>
      <c r="W150" s="756"/>
      <c r="X150" s="1605"/>
      <c r="Y150" s="1607"/>
      <c r="Z150" s="1606"/>
      <c r="AA150" s="1086"/>
      <c r="AB150" s="755"/>
      <c r="AC150" s="749"/>
      <c r="AD150" s="747"/>
      <c r="AE150" s="755"/>
      <c r="AF150" s="756"/>
      <c r="AG150" s="757">
        <f t="shared" si="16"/>
        <v>0</v>
      </c>
      <c r="AH150" s="759" t="e">
        <f t="shared" si="17"/>
        <v>#N/A</v>
      </c>
      <c r="AI150" s="760" t="e">
        <f>IF(AH150&lt;=1,"Remota",VLOOKUP(AH150,[71]Listas!$C$6:$D$10,2,0))</f>
        <v>#N/A</v>
      </c>
      <c r="AJ150" s="759" t="e">
        <f t="shared" si="18"/>
        <v>#N/A</v>
      </c>
      <c r="AK150" s="760" t="e">
        <f>IF(AJ150&lt;=1,"Insignificante",HLOOKUP(AJ150,[71]Listas!$F$3:$J$4,2,0))</f>
        <v>#N/A</v>
      </c>
      <c r="AL150" s="761" t="e">
        <f t="shared" si="19"/>
        <v>#N/A</v>
      </c>
      <c r="AM150" s="758" t="e">
        <f>INDEX([71]Listas!$F$6:$J$10,MATCH(AI150,[71]Listas!$D$6:$D$10,0),MATCH(AK150,[71]Listas!$F$4:$J$4,0))</f>
        <v>#N/A</v>
      </c>
      <c r="AN150" s="749"/>
      <c r="AO150" s="749"/>
      <c r="AP150" s="748"/>
      <c r="AQ150" s="749"/>
      <c r="AR150" s="749" t="s">
        <v>2343</v>
      </c>
      <c r="AS150" s="747"/>
      <c r="AT150" s="749"/>
      <c r="AU150" s="749"/>
      <c r="AV150" s="762"/>
      <c r="AW150" s="762"/>
      <c r="AX150" s="747"/>
      <c r="AY150" s="262"/>
    </row>
    <row r="151" spans="1:51" s="260" customFormat="1" ht="103.5" hidden="1" customHeight="1">
      <c r="A151" s="747"/>
      <c r="B151" s="754"/>
      <c r="C151" s="1605"/>
      <c r="D151" s="1607"/>
      <c r="E151" s="1606"/>
      <c r="F151" s="755"/>
      <c r="G151" s="1605"/>
      <c r="H151" s="1607"/>
      <c r="I151" s="1606"/>
      <c r="J151" s="1608"/>
      <c r="K151" s="1608"/>
      <c r="L151" s="1608"/>
      <c r="M151" s="747"/>
      <c r="N151" s="747"/>
      <c r="O151" s="747"/>
      <c r="P151" s="747"/>
      <c r="Q151" s="754"/>
      <c r="R151" s="754"/>
      <c r="S151" s="756"/>
      <c r="T151" s="757" t="e">
        <f>VLOOKUP(Q151,[71]Listas!$D$6:$E$10,2,0)</f>
        <v>#N/A</v>
      </c>
      <c r="U151" s="757" t="e">
        <f>HLOOKUP(R151,[71]Listas!$F$4:$J$5,2,0)</f>
        <v>#N/A</v>
      </c>
      <c r="V151" s="758" t="e">
        <f>INDEX([71]Listas!$F$6:$J$10,MATCH(Q151,[71]Listas!$D$6:$D$10,0),MATCH(R151,[71]Listas!$F$4:$J$4,0))</f>
        <v>#N/A</v>
      </c>
      <c r="W151" s="756"/>
      <c r="X151" s="1605"/>
      <c r="Y151" s="1607"/>
      <c r="Z151" s="1606"/>
      <c r="AA151" s="1086"/>
      <c r="AB151" s="755"/>
      <c r="AC151" s="749"/>
      <c r="AD151" s="747"/>
      <c r="AE151" s="755"/>
      <c r="AF151" s="756"/>
      <c r="AG151" s="757">
        <f t="shared" si="16"/>
        <v>0</v>
      </c>
      <c r="AH151" s="759" t="e">
        <f t="shared" si="17"/>
        <v>#N/A</v>
      </c>
      <c r="AI151" s="760" t="e">
        <f>IF(AH151&lt;=1,"Remota",VLOOKUP(AH151,[71]Listas!$C$6:$D$10,2,0))</f>
        <v>#N/A</v>
      </c>
      <c r="AJ151" s="759" t="e">
        <f t="shared" si="18"/>
        <v>#N/A</v>
      </c>
      <c r="AK151" s="760" t="e">
        <f>IF(AJ151&lt;=1,"Insignificante",HLOOKUP(AJ151,[71]Listas!$F$3:$J$4,2,0))</f>
        <v>#N/A</v>
      </c>
      <c r="AL151" s="761" t="e">
        <f t="shared" si="19"/>
        <v>#N/A</v>
      </c>
      <c r="AM151" s="758" t="e">
        <f>INDEX([71]Listas!$F$6:$J$10,MATCH(AI151,[71]Listas!$D$6:$D$10,0),MATCH(AK151,[71]Listas!$F$4:$J$4,0))</f>
        <v>#N/A</v>
      </c>
      <c r="AN151" s="749"/>
      <c r="AO151" s="749"/>
      <c r="AP151" s="748"/>
      <c r="AQ151" s="749"/>
      <c r="AR151" s="749" t="s">
        <v>2343</v>
      </c>
      <c r="AS151" s="747"/>
      <c r="AT151" s="749"/>
      <c r="AU151" s="749"/>
      <c r="AV151" s="762"/>
      <c r="AW151" s="762"/>
      <c r="AX151" s="747"/>
      <c r="AY151" s="262"/>
    </row>
    <row r="152" spans="1:51" s="260" customFormat="1" ht="103.5" hidden="1" customHeight="1">
      <c r="A152" s="747"/>
      <c r="B152" s="754"/>
      <c r="C152" s="1605"/>
      <c r="D152" s="1607"/>
      <c r="E152" s="1606"/>
      <c r="F152" s="755"/>
      <c r="G152" s="1605"/>
      <c r="H152" s="1607"/>
      <c r="I152" s="1606"/>
      <c r="J152" s="1608"/>
      <c r="K152" s="1608"/>
      <c r="L152" s="1608"/>
      <c r="M152" s="747"/>
      <c r="N152" s="747"/>
      <c r="O152" s="747"/>
      <c r="P152" s="747"/>
      <c r="Q152" s="754"/>
      <c r="R152" s="754"/>
      <c r="S152" s="756"/>
      <c r="T152" s="757" t="e">
        <f>VLOOKUP(Q152,[71]Listas!$D$6:$E$10,2,0)</f>
        <v>#N/A</v>
      </c>
      <c r="U152" s="757" t="e">
        <f>HLOOKUP(R152,[71]Listas!$F$4:$J$5,2,0)</f>
        <v>#N/A</v>
      </c>
      <c r="V152" s="758" t="e">
        <f>INDEX([71]Listas!$F$6:$J$10,MATCH(Q152,[71]Listas!$D$6:$D$10,0),MATCH(R152,[71]Listas!$F$4:$J$4,0))</f>
        <v>#N/A</v>
      </c>
      <c r="W152" s="756"/>
      <c r="X152" s="1605"/>
      <c r="Y152" s="1607"/>
      <c r="Z152" s="1606"/>
      <c r="AA152" s="1086"/>
      <c r="AB152" s="755"/>
      <c r="AC152" s="749"/>
      <c r="AD152" s="747"/>
      <c r="AE152" s="755"/>
      <c r="AF152" s="756"/>
      <c r="AG152" s="757">
        <f t="shared" ref="AG152:AG169" si="20">IF(AD152&lt;=33,0,IF(AD152&gt;81,2,1))</f>
        <v>0</v>
      </c>
      <c r="AH152" s="759" t="e">
        <f t="shared" ref="AH152:AH169" si="21">IF(OR(AE152="Probabilidad",AE152="Ambos"),T152-AG152,T152)</f>
        <v>#N/A</v>
      </c>
      <c r="AI152" s="760" t="e">
        <f>IF(AH152&lt;=1,"Remota",VLOOKUP(AH152,[71]Listas!$C$6:$D$10,2,0))</f>
        <v>#N/A</v>
      </c>
      <c r="AJ152" s="759" t="e">
        <f t="shared" ref="AJ152:AJ169" si="22">IF(OR(AE152="Impacto",AE152="Ambos"),U152-AG152,U152)</f>
        <v>#N/A</v>
      </c>
      <c r="AK152" s="760" t="e">
        <f>IF(AJ152&lt;=1,"Insignificante",HLOOKUP(AJ152,[71]Listas!$F$3:$J$4,2,0))</f>
        <v>#N/A</v>
      </c>
      <c r="AL152" s="761" t="e">
        <f t="shared" ref="AL152:AL169" si="23">AH152*AJ152</f>
        <v>#N/A</v>
      </c>
      <c r="AM152" s="758" t="e">
        <f>INDEX([71]Listas!$F$6:$J$10,MATCH(AI152,[71]Listas!$D$6:$D$10,0),MATCH(AK152,[71]Listas!$F$4:$J$4,0))</f>
        <v>#N/A</v>
      </c>
      <c r="AN152" s="749"/>
      <c r="AO152" s="749"/>
      <c r="AP152" s="748"/>
      <c r="AQ152" s="749"/>
      <c r="AR152" s="749" t="s">
        <v>2343</v>
      </c>
      <c r="AS152" s="747"/>
      <c r="AT152" s="749"/>
      <c r="AU152" s="749"/>
      <c r="AV152" s="762"/>
      <c r="AW152" s="762"/>
      <c r="AX152" s="747"/>
      <c r="AY152" s="262"/>
    </row>
    <row r="153" spans="1:51" s="260" customFormat="1" ht="103.5" hidden="1" customHeight="1">
      <c r="A153" s="747"/>
      <c r="B153" s="754"/>
      <c r="C153" s="1605"/>
      <c r="D153" s="1607"/>
      <c r="E153" s="1606"/>
      <c r="F153" s="755"/>
      <c r="G153" s="1605"/>
      <c r="H153" s="1607"/>
      <c r="I153" s="1606"/>
      <c r="J153" s="1608"/>
      <c r="K153" s="1608"/>
      <c r="L153" s="1608"/>
      <c r="M153" s="747"/>
      <c r="N153" s="747"/>
      <c r="O153" s="747"/>
      <c r="P153" s="747"/>
      <c r="Q153" s="754"/>
      <c r="R153" s="754"/>
      <c r="S153" s="756"/>
      <c r="T153" s="757" t="e">
        <f>VLOOKUP(Q153,[71]Listas!$D$6:$E$10,2,0)</f>
        <v>#N/A</v>
      </c>
      <c r="U153" s="757" t="e">
        <f>HLOOKUP(R153,[71]Listas!$F$4:$J$5,2,0)</f>
        <v>#N/A</v>
      </c>
      <c r="V153" s="758" t="e">
        <f>INDEX([71]Listas!$F$6:$J$10,MATCH(Q153,[71]Listas!$D$6:$D$10,0),MATCH(R153,[71]Listas!$F$4:$J$4,0))</f>
        <v>#N/A</v>
      </c>
      <c r="W153" s="756"/>
      <c r="X153" s="1605"/>
      <c r="Y153" s="1607"/>
      <c r="Z153" s="1606"/>
      <c r="AA153" s="1086"/>
      <c r="AB153" s="755"/>
      <c r="AC153" s="749"/>
      <c r="AD153" s="747"/>
      <c r="AE153" s="755"/>
      <c r="AF153" s="756"/>
      <c r="AG153" s="757">
        <f t="shared" si="20"/>
        <v>0</v>
      </c>
      <c r="AH153" s="759" t="e">
        <f t="shared" si="21"/>
        <v>#N/A</v>
      </c>
      <c r="AI153" s="760" t="e">
        <f>IF(AH153&lt;=1,"Remota",VLOOKUP(AH153,[71]Listas!$C$6:$D$10,2,0))</f>
        <v>#N/A</v>
      </c>
      <c r="AJ153" s="759" t="e">
        <f t="shared" si="22"/>
        <v>#N/A</v>
      </c>
      <c r="AK153" s="760" t="e">
        <f>IF(AJ153&lt;=1,"Insignificante",HLOOKUP(AJ153,[71]Listas!$F$3:$J$4,2,0))</f>
        <v>#N/A</v>
      </c>
      <c r="AL153" s="761" t="e">
        <f t="shared" si="23"/>
        <v>#N/A</v>
      </c>
      <c r="AM153" s="758" t="e">
        <f>INDEX([71]Listas!$F$6:$J$10,MATCH(AI153,[71]Listas!$D$6:$D$10,0),MATCH(AK153,[71]Listas!$F$4:$J$4,0))</f>
        <v>#N/A</v>
      </c>
      <c r="AN153" s="749"/>
      <c r="AO153" s="749"/>
      <c r="AP153" s="748"/>
      <c r="AQ153" s="749"/>
      <c r="AR153" s="749" t="s">
        <v>2343</v>
      </c>
      <c r="AS153" s="747"/>
      <c r="AT153" s="749"/>
      <c r="AU153" s="749"/>
      <c r="AV153" s="762"/>
      <c r="AW153" s="762"/>
      <c r="AX153" s="747"/>
      <c r="AY153" s="262"/>
    </row>
    <row r="154" spans="1:51" s="260" customFormat="1" ht="103.5" hidden="1" customHeight="1">
      <c r="A154" s="747"/>
      <c r="B154" s="754"/>
      <c r="C154" s="1605"/>
      <c r="D154" s="1607"/>
      <c r="E154" s="1606"/>
      <c r="F154" s="755"/>
      <c r="G154" s="1605"/>
      <c r="H154" s="1607"/>
      <c r="I154" s="1606"/>
      <c r="J154" s="1608"/>
      <c r="K154" s="1608"/>
      <c r="L154" s="1608"/>
      <c r="M154" s="747"/>
      <c r="N154" s="747"/>
      <c r="O154" s="747"/>
      <c r="P154" s="747"/>
      <c r="Q154" s="754"/>
      <c r="R154" s="754"/>
      <c r="S154" s="756"/>
      <c r="T154" s="757" t="e">
        <f>VLOOKUP(Q154,[71]Listas!$D$6:$E$10,2,0)</f>
        <v>#N/A</v>
      </c>
      <c r="U154" s="757" t="e">
        <f>HLOOKUP(R154,[71]Listas!$F$4:$J$5,2,0)</f>
        <v>#N/A</v>
      </c>
      <c r="V154" s="758" t="e">
        <f>INDEX([71]Listas!$F$6:$J$10,MATCH(Q154,[71]Listas!$D$6:$D$10,0),MATCH(R154,[71]Listas!$F$4:$J$4,0))</f>
        <v>#N/A</v>
      </c>
      <c r="W154" s="756"/>
      <c r="X154" s="1605"/>
      <c r="Y154" s="1607"/>
      <c r="Z154" s="1606"/>
      <c r="AA154" s="1086"/>
      <c r="AB154" s="755"/>
      <c r="AC154" s="749"/>
      <c r="AD154" s="747"/>
      <c r="AE154" s="755"/>
      <c r="AF154" s="756"/>
      <c r="AG154" s="757">
        <f t="shared" si="20"/>
        <v>0</v>
      </c>
      <c r="AH154" s="759" t="e">
        <f t="shared" si="21"/>
        <v>#N/A</v>
      </c>
      <c r="AI154" s="760" t="e">
        <f>IF(AH154&lt;=1,"Remota",VLOOKUP(AH154,[71]Listas!$C$6:$D$10,2,0))</f>
        <v>#N/A</v>
      </c>
      <c r="AJ154" s="759" t="e">
        <f t="shared" si="22"/>
        <v>#N/A</v>
      </c>
      <c r="AK154" s="760" t="e">
        <f>IF(AJ154&lt;=1,"Insignificante",HLOOKUP(AJ154,[71]Listas!$F$3:$J$4,2,0))</f>
        <v>#N/A</v>
      </c>
      <c r="AL154" s="761" t="e">
        <f t="shared" si="23"/>
        <v>#N/A</v>
      </c>
      <c r="AM154" s="758" t="e">
        <f>INDEX([71]Listas!$F$6:$J$10,MATCH(AI154,[71]Listas!$D$6:$D$10,0),MATCH(AK154,[71]Listas!$F$4:$J$4,0))</f>
        <v>#N/A</v>
      </c>
      <c r="AN154" s="749"/>
      <c r="AO154" s="749"/>
      <c r="AP154" s="748"/>
      <c r="AQ154" s="749"/>
      <c r="AR154" s="749" t="s">
        <v>2343</v>
      </c>
      <c r="AS154" s="747"/>
      <c r="AT154" s="749"/>
      <c r="AU154" s="749"/>
      <c r="AV154" s="762"/>
      <c r="AW154" s="762"/>
      <c r="AX154" s="747"/>
      <c r="AY154" s="262"/>
    </row>
    <row r="155" spans="1:51" s="260" customFormat="1" ht="103.5" hidden="1" customHeight="1">
      <c r="A155" s="747"/>
      <c r="B155" s="754"/>
      <c r="C155" s="1605"/>
      <c r="D155" s="1607"/>
      <c r="E155" s="1606"/>
      <c r="F155" s="755"/>
      <c r="G155" s="1605"/>
      <c r="H155" s="1607"/>
      <c r="I155" s="1606"/>
      <c r="J155" s="1608"/>
      <c r="K155" s="1608"/>
      <c r="L155" s="1608"/>
      <c r="M155" s="747"/>
      <c r="N155" s="747"/>
      <c r="O155" s="747"/>
      <c r="P155" s="747"/>
      <c r="Q155" s="754"/>
      <c r="R155" s="754"/>
      <c r="S155" s="756"/>
      <c r="T155" s="757" t="e">
        <f>VLOOKUP(Q155,[71]Listas!$D$6:$E$10,2,0)</f>
        <v>#N/A</v>
      </c>
      <c r="U155" s="757" t="e">
        <f>HLOOKUP(R155,[71]Listas!$F$4:$J$5,2,0)</f>
        <v>#N/A</v>
      </c>
      <c r="V155" s="758" t="e">
        <f>INDEX([71]Listas!$F$6:$J$10,MATCH(Q155,[71]Listas!$D$6:$D$10,0),MATCH(R155,[71]Listas!$F$4:$J$4,0))</f>
        <v>#N/A</v>
      </c>
      <c r="W155" s="756"/>
      <c r="X155" s="1605"/>
      <c r="Y155" s="1607"/>
      <c r="Z155" s="1606"/>
      <c r="AA155" s="1086"/>
      <c r="AB155" s="755"/>
      <c r="AC155" s="749"/>
      <c r="AD155" s="747"/>
      <c r="AE155" s="755"/>
      <c r="AF155" s="756"/>
      <c r="AG155" s="757">
        <f t="shared" si="20"/>
        <v>0</v>
      </c>
      <c r="AH155" s="759" t="e">
        <f t="shared" si="21"/>
        <v>#N/A</v>
      </c>
      <c r="AI155" s="760" t="e">
        <f>IF(AH155&lt;=1,"Remota",VLOOKUP(AH155,[71]Listas!$C$6:$D$10,2,0))</f>
        <v>#N/A</v>
      </c>
      <c r="AJ155" s="759" t="e">
        <f t="shared" si="22"/>
        <v>#N/A</v>
      </c>
      <c r="AK155" s="760" t="e">
        <f>IF(AJ155&lt;=1,"Insignificante",HLOOKUP(AJ155,[71]Listas!$F$3:$J$4,2,0))</f>
        <v>#N/A</v>
      </c>
      <c r="AL155" s="761" t="e">
        <f t="shared" si="23"/>
        <v>#N/A</v>
      </c>
      <c r="AM155" s="758" t="e">
        <f>INDEX([71]Listas!$F$6:$J$10,MATCH(AI155,[71]Listas!$D$6:$D$10,0),MATCH(AK155,[71]Listas!$F$4:$J$4,0))</f>
        <v>#N/A</v>
      </c>
      <c r="AN155" s="749"/>
      <c r="AO155" s="749"/>
      <c r="AP155" s="748"/>
      <c r="AQ155" s="749"/>
      <c r="AR155" s="749" t="s">
        <v>2343</v>
      </c>
      <c r="AS155" s="747"/>
      <c r="AT155" s="749"/>
      <c r="AU155" s="749"/>
      <c r="AV155" s="762"/>
      <c r="AW155" s="762"/>
      <c r="AX155" s="747"/>
      <c r="AY155" s="262"/>
    </row>
    <row r="156" spans="1:51" s="260" customFormat="1" ht="103.5" hidden="1" customHeight="1">
      <c r="A156" s="747"/>
      <c r="B156" s="754"/>
      <c r="C156" s="1605"/>
      <c r="D156" s="1607"/>
      <c r="E156" s="1606"/>
      <c r="F156" s="755"/>
      <c r="G156" s="1605"/>
      <c r="H156" s="1607"/>
      <c r="I156" s="1606"/>
      <c r="J156" s="1608"/>
      <c r="K156" s="1608"/>
      <c r="L156" s="1608"/>
      <c r="M156" s="747"/>
      <c r="N156" s="747"/>
      <c r="O156" s="747"/>
      <c r="P156" s="747"/>
      <c r="Q156" s="754"/>
      <c r="R156" s="754"/>
      <c r="S156" s="756"/>
      <c r="T156" s="757" t="e">
        <f>VLOOKUP(Q156,[71]Listas!$D$6:$E$10,2,0)</f>
        <v>#N/A</v>
      </c>
      <c r="U156" s="757" t="e">
        <f>HLOOKUP(R156,[71]Listas!$F$4:$J$5,2,0)</f>
        <v>#N/A</v>
      </c>
      <c r="V156" s="758" t="e">
        <f>INDEX([71]Listas!$F$6:$J$10,MATCH(Q156,[71]Listas!$D$6:$D$10,0),MATCH(R156,[71]Listas!$F$4:$J$4,0))</f>
        <v>#N/A</v>
      </c>
      <c r="W156" s="756"/>
      <c r="X156" s="1605"/>
      <c r="Y156" s="1607"/>
      <c r="Z156" s="1606"/>
      <c r="AA156" s="1086"/>
      <c r="AB156" s="755"/>
      <c r="AC156" s="749"/>
      <c r="AD156" s="747"/>
      <c r="AE156" s="755"/>
      <c r="AF156" s="756"/>
      <c r="AG156" s="757">
        <f t="shared" si="20"/>
        <v>0</v>
      </c>
      <c r="AH156" s="759" t="e">
        <f t="shared" si="21"/>
        <v>#N/A</v>
      </c>
      <c r="AI156" s="760" t="e">
        <f>IF(AH156&lt;=1,"Remota",VLOOKUP(AH156,[71]Listas!$C$6:$D$10,2,0))</f>
        <v>#N/A</v>
      </c>
      <c r="AJ156" s="759" t="e">
        <f t="shared" si="22"/>
        <v>#N/A</v>
      </c>
      <c r="AK156" s="760" t="e">
        <f>IF(AJ156&lt;=1,"Insignificante",HLOOKUP(AJ156,[71]Listas!$F$3:$J$4,2,0))</f>
        <v>#N/A</v>
      </c>
      <c r="AL156" s="761" t="e">
        <f t="shared" si="23"/>
        <v>#N/A</v>
      </c>
      <c r="AM156" s="758" t="e">
        <f>INDEX([71]Listas!$F$6:$J$10,MATCH(AI156,[71]Listas!$D$6:$D$10,0),MATCH(AK156,[71]Listas!$F$4:$J$4,0))</f>
        <v>#N/A</v>
      </c>
      <c r="AN156" s="749"/>
      <c r="AO156" s="749"/>
      <c r="AP156" s="748"/>
      <c r="AQ156" s="749"/>
      <c r="AR156" s="749" t="s">
        <v>2343</v>
      </c>
      <c r="AS156" s="747"/>
      <c r="AT156" s="749"/>
      <c r="AU156" s="749"/>
      <c r="AV156" s="762"/>
      <c r="AW156" s="762"/>
      <c r="AX156" s="747"/>
      <c r="AY156" s="262"/>
    </row>
    <row r="157" spans="1:51" s="260" customFormat="1" ht="103.5" hidden="1" customHeight="1">
      <c r="A157" s="747"/>
      <c r="B157" s="754"/>
      <c r="C157" s="1605"/>
      <c r="D157" s="1607"/>
      <c r="E157" s="1606"/>
      <c r="F157" s="755"/>
      <c r="G157" s="1605"/>
      <c r="H157" s="1607"/>
      <c r="I157" s="1606"/>
      <c r="J157" s="1608"/>
      <c r="K157" s="1608"/>
      <c r="L157" s="1608"/>
      <c r="M157" s="747"/>
      <c r="N157" s="747"/>
      <c r="O157" s="747"/>
      <c r="P157" s="747"/>
      <c r="Q157" s="754"/>
      <c r="R157" s="754"/>
      <c r="S157" s="756"/>
      <c r="T157" s="757" t="e">
        <f>VLOOKUP(Q157,[71]Listas!$D$6:$E$10,2,0)</f>
        <v>#N/A</v>
      </c>
      <c r="U157" s="757" t="e">
        <f>HLOOKUP(R157,[71]Listas!$F$4:$J$5,2,0)</f>
        <v>#N/A</v>
      </c>
      <c r="V157" s="758" t="e">
        <f>INDEX([71]Listas!$F$6:$J$10,MATCH(Q157,[71]Listas!$D$6:$D$10,0),MATCH(R157,[71]Listas!$F$4:$J$4,0))</f>
        <v>#N/A</v>
      </c>
      <c r="W157" s="756"/>
      <c r="X157" s="1605"/>
      <c r="Y157" s="1607"/>
      <c r="Z157" s="1606"/>
      <c r="AA157" s="1086"/>
      <c r="AB157" s="755"/>
      <c r="AC157" s="749"/>
      <c r="AD157" s="747"/>
      <c r="AE157" s="755"/>
      <c r="AF157" s="756"/>
      <c r="AG157" s="757">
        <f t="shared" si="20"/>
        <v>0</v>
      </c>
      <c r="AH157" s="759" t="e">
        <f t="shared" si="21"/>
        <v>#N/A</v>
      </c>
      <c r="AI157" s="760" t="e">
        <f>IF(AH157&lt;=1,"Remota",VLOOKUP(AH157,[71]Listas!$C$6:$D$10,2,0))</f>
        <v>#N/A</v>
      </c>
      <c r="AJ157" s="759" t="e">
        <f t="shared" si="22"/>
        <v>#N/A</v>
      </c>
      <c r="AK157" s="760" t="e">
        <f>IF(AJ157&lt;=1,"Insignificante",HLOOKUP(AJ157,[71]Listas!$F$3:$J$4,2,0))</f>
        <v>#N/A</v>
      </c>
      <c r="AL157" s="761" t="e">
        <f t="shared" si="23"/>
        <v>#N/A</v>
      </c>
      <c r="AM157" s="758" t="e">
        <f>INDEX([71]Listas!$F$6:$J$10,MATCH(AI157,[71]Listas!$D$6:$D$10,0),MATCH(AK157,[71]Listas!$F$4:$J$4,0))</f>
        <v>#N/A</v>
      </c>
      <c r="AN157" s="749"/>
      <c r="AO157" s="749"/>
      <c r="AP157" s="748"/>
      <c r="AQ157" s="749"/>
      <c r="AR157" s="749" t="s">
        <v>2343</v>
      </c>
      <c r="AS157" s="747"/>
      <c r="AT157" s="749"/>
      <c r="AU157" s="749"/>
      <c r="AV157" s="762"/>
      <c r="AW157" s="762"/>
      <c r="AX157" s="747"/>
      <c r="AY157" s="262"/>
    </row>
    <row r="158" spans="1:51" s="260" customFormat="1" ht="103.5" hidden="1" customHeight="1">
      <c r="A158" s="747"/>
      <c r="B158" s="754"/>
      <c r="C158" s="1605"/>
      <c r="D158" s="1607"/>
      <c r="E158" s="1606"/>
      <c r="F158" s="755"/>
      <c r="G158" s="1605"/>
      <c r="H158" s="1607"/>
      <c r="I158" s="1606"/>
      <c r="J158" s="1608"/>
      <c r="K158" s="1608"/>
      <c r="L158" s="1608"/>
      <c r="M158" s="747"/>
      <c r="N158" s="747"/>
      <c r="O158" s="747"/>
      <c r="P158" s="747"/>
      <c r="Q158" s="754"/>
      <c r="R158" s="754"/>
      <c r="S158" s="756"/>
      <c r="T158" s="757" t="e">
        <f>VLOOKUP(Q158,[71]Listas!$D$6:$E$10,2,0)</f>
        <v>#N/A</v>
      </c>
      <c r="U158" s="757" t="e">
        <f>HLOOKUP(R158,[71]Listas!$F$4:$J$5,2,0)</f>
        <v>#N/A</v>
      </c>
      <c r="V158" s="758" t="e">
        <f>INDEX([71]Listas!$F$6:$J$10,MATCH(Q158,[71]Listas!$D$6:$D$10,0),MATCH(R158,[71]Listas!$F$4:$J$4,0))</f>
        <v>#N/A</v>
      </c>
      <c r="W158" s="756"/>
      <c r="X158" s="1605"/>
      <c r="Y158" s="1607"/>
      <c r="Z158" s="1606"/>
      <c r="AA158" s="1086"/>
      <c r="AB158" s="755"/>
      <c r="AC158" s="749"/>
      <c r="AD158" s="747"/>
      <c r="AE158" s="755"/>
      <c r="AF158" s="756"/>
      <c r="AG158" s="757">
        <f t="shared" si="20"/>
        <v>0</v>
      </c>
      <c r="AH158" s="759" t="e">
        <f t="shared" si="21"/>
        <v>#N/A</v>
      </c>
      <c r="AI158" s="760" t="e">
        <f>IF(AH158&lt;=1,"Remota",VLOOKUP(AH158,[71]Listas!$C$6:$D$10,2,0))</f>
        <v>#N/A</v>
      </c>
      <c r="AJ158" s="759" t="e">
        <f t="shared" si="22"/>
        <v>#N/A</v>
      </c>
      <c r="AK158" s="760" t="e">
        <f>IF(AJ158&lt;=1,"Insignificante",HLOOKUP(AJ158,[71]Listas!$F$3:$J$4,2,0))</f>
        <v>#N/A</v>
      </c>
      <c r="AL158" s="761" t="e">
        <f t="shared" si="23"/>
        <v>#N/A</v>
      </c>
      <c r="AM158" s="758" t="e">
        <f>INDEX([71]Listas!$F$6:$J$10,MATCH(AI158,[71]Listas!$D$6:$D$10,0),MATCH(AK158,[71]Listas!$F$4:$J$4,0))</f>
        <v>#N/A</v>
      </c>
      <c r="AN158" s="749"/>
      <c r="AO158" s="749"/>
      <c r="AP158" s="748"/>
      <c r="AQ158" s="749"/>
      <c r="AR158" s="749" t="s">
        <v>2343</v>
      </c>
      <c r="AS158" s="747"/>
      <c r="AT158" s="749"/>
      <c r="AU158" s="749"/>
      <c r="AV158" s="762"/>
      <c r="AW158" s="762"/>
      <c r="AX158" s="747"/>
      <c r="AY158" s="262"/>
    </row>
    <row r="159" spans="1:51" s="260" customFormat="1" ht="103.5" hidden="1" customHeight="1">
      <c r="A159" s="747"/>
      <c r="B159" s="754"/>
      <c r="C159" s="1605"/>
      <c r="D159" s="1607"/>
      <c r="E159" s="1606"/>
      <c r="F159" s="755"/>
      <c r="G159" s="1605"/>
      <c r="H159" s="1607"/>
      <c r="I159" s="1606"/>
      <c r="J159" s="1608"/>
      <c r="K159" s="1608"/>
      <c r="L159" s="1608"/>
      <c r="M159" s="747"/>
      <c r="N159" s="747"/>
      <c r="O159" s="747"/>
      <c r="P159" s="747"/>
      <c r="Q159" s="754"/>
      <c r="R159" s="754"/>
      <c r="S159" s="756"/>
      <c r="T159" s="757" t="e">
        <f>VLOOKUP(Q159,[71]Listas!$D$6:$E$10,2,0)</f>
        <v>#N/A</v>
      </c>
      <c r="U159" s="757" t="e">
        <f>HLOOKUP(R159,[71]Listas!$F$4:$J$5,2,0)</f>
        <v>#N/A</v>
      </c>
      <c r="V159" s="758" t="e">
        <f>INDEX([71]Listas!$F$6:$J$10,MATCH(Q159,[71]Listas!$D$6:$D$10,0),MATCH(R159,[71]Listas!$F$4:$J$4,0))</f>
        <v>#N/A</v>
      </c>
      <c r="W159" s="756"/>
      <c r="X159" s="1605"/>
      <c r="Y159" s="1607"/>
      <c r="Z159" s="1606"/>
      <c r="AA159" s="1086"/>
      <c r="AB159" s="755"/>
      <c r="AC159" s="749"/>
      <c r="AD159" s="747"/>
      <c r="AE159" s="755"/>
      <c r="AF159" s="756"/>
      <c r="AG159" s="757">
        <f t="shared" si="20"/>
        <v>0</v>
      </c>
      <c r="AH159" s="759" t="e">
        <f t="shared" si="21"/>
        <v>#N/A</v>
      </c>
      <c r="AI159" s="760" t="e">
        <f>IF(AH159&lt;=1,"Remota",VLOOKUP(AH159,[71]Listas!$C$6:$D$10,2,0))</f>
        <v>#N/A</v>
      </c>
      <c r="AJ159" s="759" t="e">
        <f t="shared" si="22"/>
        <v>#N/A</v>
      </c>
      <c r="AK159" s="760" t="e">
        <f>IF(AJ159&lt;=1,"Insignificante",HLOOKUP(AJ159,[71]Listas!$F$3:$J$4,2,0))</f>
        <v>#N/A</v>
      </c>
      <c r="AL159" s="761" t="e">
        <f t="shared" si="23"/>
        <v>#N/A</v>
      </c>
      <c r="AM159" s="758" t="e">
        <f>INDEX([71]Listas!$F$6:$J$10,MATCH(AI159,[71]Listas!$D$6:$D$10,0),MATCH(AK159,[71]Listas!$F$4:$J$4,0))</f>
        <v>#N/A</v>
      </c>
      <c r="AN159" s="749"/>
      <c r="AO159" s="749"/>
      <c r="AP159" s="748"/>
      <c r="AQ159" s="749"/>
      <c r="AR159" s="749" t="s">
        <v>2343</v>
      </c>
      <c r="AS159" s="747"/>
      <c r="AT159" s="749"/>
      <c r="AU159" s="749"/>
      <c r="AV159" s="762"/>
      <c r="AW159" s="762"/>
      <c r="AX159" s="747"/>
      <c r="AY159" s="262"/>
    </row>
    <row r="160" spans="1:51" s="260" customFormat="1" ht="103.5" hidden="1" customHeight="1">
      <c r="A160" s="747"/>
      <c r="B160" s="754"/>
      <c r="C160" s="1605"/>
      <c r="D160" s="1607"/>
      <c r="E160" s="1606"/>
      <c r="F160" s="755"/>
      <c r="G160" s="1605"/>
      <c r="H160" s="1607"/>
      <c r="I160" s="1606"/>
      <c r="J160" s="1608"/>
      <c r="K160" s="1608"/>
      <c r="L160" s="1608"/>
      <c r="M160" s="747"/>
      <c r="N160" s="747"/>
      <c r="O160" s="747"/>
      <c r="P160" s="747"/>
      <c r="Q160" s="754"/>
      <c r="R160" s="754"/>
      <c r="S160" s="756"/>
      <c r="T160" s="757" t="e">
        <f>VLOOKUP(Q160,[71]Listas!$D$6:$E$10,2,0)</f>
        <v>#N/A</v>
      </c>
      <c r="U160" s="757" t="e">
        <f>HLOOKUP(R160,[71]Listas!$F$4:$J$5,2,0)</f>
        <v>#N/A</v>
      </c>
      <c r="V160" s="758" t="e">
        <f>INDEX([71]Listas!$F$6:$J$10,MATCH(Q160,[71]Listas!$D$6:$D$10,0),MATCH(R160,[71]Listas!$F$4:$J$4,0))</f>
        <v>#N/A</v>
      </c>
      <c r="W160" s="756"/>
      <c r="X160" s="1605"/>
      <c r="Y160" s="1607"/>
      <c r="Z160" s="1606"/>
      <c r="AA160" s="1086"/>
      <c r="AB160" s="755"/>
      <c r="AC160" s="749"/>
      <c r="AD160" s="747"/>
      <c r="AE160" s="755"/>
      <c r="AF160" s="756"/>
      <c r="AG160" s="757">
        <f t="shared" si="20"/>
        <v>0</v>
      </c>
      <c r="AH160" s="759" t="e">
        <f t="shared" si="21"/>
        <v>#N/A</v>
      </c>
      <c r="AI160" s="760" t="e">
        <f>IF(AH160&lt;=1,"Remota",VLOOKUP(AH160,[71]Listas!$C$6:$D$10,2,0))</f>
        <v>#N/A</v>
      </c>
      <c r="AJ160" s="759" t="e">
        <f t="shared" si="22"/>
        <v>#N/A</v>
      </c>
      <c r="AK160" s="760" t="e">
        <f>IF(AJ160&lt;=1,"Insignificante",HLOOKUP(AJ160,[71]Listas!$F$3:$J$4,2,0))</f>
        <v>#N/A</v>
      </c>
      <c r="AL160" s="761" t="e">
        <f t="shared" si="23"/>
        <v>#N/A</v>
      </c>
      <c r="AM160" s="758" t="e">
        <f>INDEX([71]Listas!$F$6:$J$10,MATCH(AI160,[71]Listas!$D$6:$D$10,0),MATCH(AK160,[71]Listas!$F$4:$J$4,0))</f>
        <v>#N/A</v>
      </c>
      <c r="AN160" s="749"/>
      <c r="AO160" s="749"/>
      <c r="AP160" s="748"/>
      <c r="AQ160" s="749"/>
      <c r="AR160" s="749" t="s">
        <v>2343</v>
      </c>
      <c r="AS160" s="747"/>
      <c r="AT160" s="749"/>
      <c r="AU160" s="749"/>
      <c r="AV160" s="762"/>
      <c r="AW160" s="762"/>
      <c r="AX160" s="747"/>
      <c r="AY160" s="262"/>
    </row>
    <row r="161" spans="1:1027" s="260" customFormat="1" ht="103.5" hidden="1" customHeight="1">
      <c r="A161" s="747"/>
      <c r="B161" s="754"/>
      <c r="C161" s="1605"/>
      <c r="D161" s="1607"/>
      <c r="E161" s="1606"/>
      <c r="F161" s="755"/>
      <c r="G161" s="1605"/>
      <c r="H161" s="1607"/>
      <c r="I161" s="1606"/>
      <c r="J161" s="1608"/>
      <c r="K161" s="1608"/>
      <c r="L161" s="1608"/>
      <c r="M161" s="747"/>
      <c r="N161" s="747"/>
      <c r="O161" s="747"/>
      <c r="P161" s="747"/>
      <c r="Q161" s="754"/>
      <c r="R161" s="754"/>
      <c r="S161" s="756"/>
      <c r="T161" s="757" t="e">
        <f>VLOOKUP(Q161,[71]Listas!$D$6:$E$10,2,0)</f>
        <v>#N/A</v>
      </c>
      <c r="U161" s="757" t="e">
        <f>HLOOKUP(R161,[71]Listas!$F$4:$J$5,2,0)</f>
        <v>#N/A</v>
      </c>
      <c r="V161" s="758" t="e">
        <f>INDEX([71]Listas!$F$6:$J$10,MATCH(Q161,[71]Listas!$D$6:$D$10,0),MATCH(R161,[71]Listas!$F$4:$J$4,0))</f>
        <v>#N/A</v>
      </c>
      <c r="W161" s="756"/>
      <c r="X161" s="1605"/>
      <c r="Y161" s="1607"/>
      <c r="Z161" s="1606"/>
      <c r="AA161" s="1086"/>
      <c r="AB161" s="755"/>
      <c r="AC161" s="749"/>
      <c r="AD161" s="747"/>
      <c r="AE161" s="755"/>
      <c r="AF161" s="756"/>
      <c r="AG161" s="757">
        <f t="shared" si="20"/>
        <v>0</v>
      </c>
      <c r="AH161" s="759" t="e">
        <f t="shared" si="21"/>
        <v>#N/A</v>
      </c>
      <c r="AI161" s="760" t="e">
        <f>IF(AH161&lt;=1,"Remota",VLOOKUP(AH161,[71]Listas!$C$6:$D$10,2,0))</f>
        <v>#N/A</v>
      </c>
      <c r="AJ161" s="759" t="e">
        <f t="shared" si="22"/>
        <v>#N/A</v>
      </c>
      <c r="AK161" s="760" t="e">
        <f>IF(AJ161&lt;=1,"Insignificante",HLOOKUP(AJ161,[71]Listas!$F$3:$J$4,2,0))</f>
        <v>#N/A</v>
      </c>
      <c r="AL161" s="761" t="e">
        <f t="shared" si="23"/>
        <v>#N/A</v>
      </c>
      <c r="AM161" s="758" t="e">
        <f>INDEX([71]Listas!$F$6:$J$10,MATCH(AI161,[71]Listas!$D$6:$D$10,0),MATCH(AK161,[71]Listas!$F$4:$J$4,0))</f>
        <v>#N/A</v>
      </c>
      <c r="AN161" s="749"/>
      <c r="AO161" s="749"/>
      <c r="AP161" s="748"/>
      <c r="AQ161" s="749"/>
      <c r="AR161" s="749" t="s">
        <v>2343</v>
      </c>
      <c r="AS161" s="747"/>
      <c r="AT161" s="749"/>
      <c r="AU161" s="749"/>
      <c r="AV161" s="762"/>
      <c r="AW161" s="762"/>
      <c r="AX161" s="747"/>
      <c r="AY161" s="262"/>
    </row>
    <row r="162" spans="1:1027" s="260" customFormat="1" ht="103.5" hidden="1" customHeight="1">
      <c r="A162" s="747"/>
      <c r="B162" s="754"/>
      <c r="C162" s="1605"/>
      <c r="D162" s="1607"/>
      <c r="E162" s="1606"/>
      <c r="F162" s="755"/>
      <c r="G162" s="1605"/>
      <c r="H162" s="1607"/>
      <c r="I162" s="1606"/>
      <c r="J162" s="1608"/>
      <c r="K162" s="1608"/>
      <c r="L162" s="1608"/>
      <c r="M162" s="747"/>
      <c r="N162" s="747"/>
      <c r="O162" s="747"/>
      <c r="P162" s="747"/>
      <c r="Q162" s="754"/>
      <c r="R162" s="754"/>
      <c r="S162" s="756"/>
      <c r="T162" s="757" t="e">
        <f>VLOOKUP(Q162,[71]Listas!$D$6:$E$10,2,0)</f>
        <v>#N/A</v>
      </c>
      <c r="U162" s="757" t="e">
        <f>HLOOKUP(R162,[71]Listas!$F$4:$J$5,2,0)</f>
        <v>#N/A</v>
      </c>
      <c r="V162" s="758" t="e">
        <f>INDEX([71]Listas!$F$6:$J$10,MATCH(Q162,[71]Listas!$D$6:$D$10,0),MATCH(R162,[71]Listas!$F$4:$J$4,0))</f>
        <v>#N/A</v>
      </c>
      <c r="W162" s="756"/>
      <c r="X162" s="1605"/>
      <c r="Y162" s="1607"/>
      <c r="Z162" s="1606"/>
      <c r="AA162" s="1086"/>
      <c r="AB162" s="755"/>
      <c r="AC162" s="749"/>
      <c r="AD162" s="747"/>
      <c r="AE162" s="755"/>
      <c r="AF162" s="756"/>
      <c r="AG162" s="757">
        <f t="shared" si="20"/>
        <v>0</v>
      </c>
      <c r="AH162" s="759" t="e">
        <f t="shared" si="21"/>
        <v>#N/A</v>
      </c>
      <c r="AI162" s="760" t="e">
        <f>IF(AH162&lt;=1,"Remota",VLOOKUP(AH162,[71]Listas!$C$6:$D$10,2,0))</f>
        <v>#N/A</v>
      </c>
      <c r="AJ162" s="759" t="e">
        <f t="shared" si="22"/>
        <v>#N/A</v>
      </c>
      <c r="AK162" s="760" t="e">
        <f>IF(AJ162&lt;=1,"Insignificante",HLOOKUP(AJ162,[71]Listas!$F$3:$J$4,2,0))</f>
        <v>#N/A</v>
      </c>
      <c r="AL162" s="761" t="e">
        <f t="shared" si="23"/>
        <v>#N/A</v>
      </c>
      <c r="AM162" s="758" t="e">
        <f>INDEX([71]Listas!$F$6:$J$10,MATCH(AI162,[71]Listas!$D$6:$D$10,0),MATCH(AK162,[71]Listas!$F$4:$J$4,0))</f>
        <v>#N/A</v>
      </c>
      <c r="AN162" s="749"/>
      <c r="AO162" s="749"/>
      <c r="AP162" s="748"/>
      <c r="AQ162" s="749"/>
      <c r="AR162" s="749" t="s">
        <v>2343</v>
      </c>
      <c r="AS162" s="747"/>
      <c r="AT162" s="749"/>
      <c r="AU162" s="749"/>
      <c r="AV162" s="762"/>
      <c r="AW162" s="762"/>
      <c r="AX162" s="747"/>
      <c r="AY162" s="262"/>
    </row>
    <row r="163" spans="1:1027" s="260" customFormat="1" ht="103.5" hidden="1" customHeight="1">
      <c r="A163" s="747"/>
      <c r="B163" s="754"/>
      <c r="C163" s="1605"/>
      <c r="D163" s="1607"/>
      <c r="E163" s="1606"/>
      <c r="F163" s="755"/>
      <c r="G163" s="1605"/>
      <c r="H163" s="1607"/>
      <c r="I163" s="1606"/>
      <c r="J163" s="1608"/>
      <c r="K163" s="1608"/>
      <c r="L163" s="1608"/>
      <c r="M163" s="747"/>
      <c r="N163" s="747"/>
      <c r="O163" s="747"/>
      <c r="P163" s="747"/>
      <c r="Q163" s="754"/>
      <c r="R163" s="754"/>
      <c r="S163" s="756"/>
      <c r="T163" s="757" t="e">
        <f>VLOOKUP(Q163,[71]Listas!$D$6:$E$10,2,0)</f>
        <v>#N/A</v>
      </c>
      <c r="U163" s="757" t="e">
        <f>HLOOKUP(R163,[71]Listas!$F$4:$J$5,2,0)</f>
        <v>#N/A</v>
      </c>
      <c r="V163" s="758" t="e">
        <f>INDEX([71]Listas!$F$6:$J$10,MATCH(Q163,[71]Listas!$D$6:$D$10,0),MATCH(R163,[71]Listas!$F$4:$J$4,0))</f>
        <v>#N/A</v>
      </c>
      <c r="W163" s="756"/>
      <c r="X163" s="1605"/>
      <c r="Y163" s="1607"/>
      <c r="Z163" s="1606"/>
      <c r="AA163" s="1086"/>
      <c r="AB163" s="755"/>
      <c r="AC163" s="749"/>
      <c r="AD163" s="747"/>
      <c r="AE163" s="755"/>
      <c r="AF163" s="756"/>
      <c r="AG163" s="757">
        <f t="shared" si="20"/>
        <v>0</v>
      </c>
      <c r="AH163" s="759" t="e">
        <f t="shared" si="21"/>
        <v>#N/A</v>
      </c>
      <c r="AI163" s="760" t="e">
        <f>IF(AH163&lt;=1,"Remota",VLOOKUP(AH163,[71]Listas!$C$6:$D$10,2,0))</f>
        <v>#N/A</v>
      </c>
      <c r="AJ163" s="759" t="e">
        <f t="shared" si="22"/>
        <v>#N/A</v>
      </c>
      <c r="AK163" s="760" t="e">
        <f>IF(AJ163&lt;=1,"Insignificante",HLOOKUP(AJ163,[71]Listas!$F$3:$J$4,2,0))</f>
        <v>#N/A</v>
      </c>
      <c r="AL163" s="761" t="e">
        <f t="shared" si="23"/>
        <v>#N/A</v>
      </c>
      <c r="AM163" s="758" t="e">
        <f>INDEX([71]Listas!$F$6:$J$10,MATCH(AI163,[71]Listas!$D$6:$D$10,0),MATCH(AK163,[71]Listas!$F$4:$J$4,0))</f>
        <v>#N/A</v>
      </c>
      <c r="AN163" s="749"/>
      <c r="AO163" s="749"/>
      <c r="AP163" s="748"/>
      <c r="AQ163" s="749"/>
      <c r="AR163" s="749" t="s">
        <v>2343</v>
      </c>
      <c r="AS163" s="747"/>
      <c r="AT163" s="749"/>
      <c r="AU163" s="749"/>
      <c r="AV163" s="762"/>
      <c r="AW163" s="762"/>
      <c r="AX163" s="747"/>
      <c r="AY163" s="262"/>
    </row>
    <row r="164" spans="1:1027" s="260" customFormat="1" ht="103.5" hidden="1" customHeight="1">
      <c r="A164" s="747"/>
      <c r="B164" s="754"/>
      <c r="C164" s="1605"/>
      <c r="D164" s="1607"/>
      <c r="E164" s="1606"/>
      <c r="F164" s="755"/>
      <c r="G164" s="1605"/>
      <c r="H164" s="1607"/>
      <c r="I164" s="1606"/>
      <c r="J164" s="1608"/>
      <c r="K164" s="1608"/>
      <c r="L164" s="1608"/>
      <c r="M164" s="747"/>
      <c r="N164" s="747"/>
      <c r="O164" s="747"/>
      <c r="P164" s="747"/>
      <c r="Q164" s="754"/>
      <c r="R164" s="754"/>
      <c r="S164" s="756"/>
      <c r="T164" s="757" t="e">
        <f>VLOOKUP(Q164,[71]Listas!$D$6:$E$10,2,0)</f>
        <v>#N/A</v>
      </c>
      <c r="U164" s="757" t="e">
        <f>HLOOKUP(R164,[71]Listas!$F$4:$J$5,2,0)</f>
        <v>#N/A</v>
      </c>
      <c r="V164" s="758" t="e">
        <f>INDEX([71]Listas!$F$6:$J$10,MATCH(Q164,[71]Listas!$D$6:$D$10,0),MATCH(R164,[71]Listas!$F$4:$J$4,0))</f>
        <v>#N/A</v>
      </c>
      <c r="W164" s="756"/>
      <c r="X164" s="1605"/>
      <c r="Y164" s="1607"/>
      <c r="Z164" s="1606"/>
      <c r="AA164" s="1086"/>
      <c r="AB164" s="755"/>
      <c r="AC164" s="749"/>
      <c r="AD164" s="747"/>
      <c r="AE164" s="755"/>
      <c r="AF164" s="756"/>
      <c r="AG164" s="757">
        <f t="shared" si="20"/>
        <v>0</v>
      </c>
      <c r="AH164" s="759" t="e">
        <f t="shared" si="21"/>
        <v>#N/A</v>
      </c>
      <c r="AI164" s="760" t="e">
        <f>IF(AH164&lt;=1,"Remota",VLOOKUP(AH164,[71]Listas!$C$6:$D$10,2,0))</f>
        <v>#N/A</v>
      </c>
      <c r="AJ164" s="759" t="e">
        <f t="shared" si="22"/>
        <v>#N/A</v>
      </c>
      <c r="AK164" s="760" t="e">
        <f>IF(AJ164&lt;=1,"Insignificante",HLOOKUP(AJ164,[71]Listas!$F$3:$J$4,2,0))</f>
        <v>#N/A</v>
      </c>
      <c r="AL164" s="761" t="e">
        <f t="shared" si="23"/>
        <v>#N/A</v>
      </c>
      <c r="AM164" s="758" t="e">
        <f>INDEX([71]Listas!$F$6:$J$10,MATCH(AI164,[71]Listas!$D$6:$D$10,0),MATCH(AK164,[71]Listas!$F$4:$J$4,0))</f>
        <v>#N/A</v>
      </c>
      <c r="AN164" s="749"/>
      <c r="AO164" s="749"/>
      <c r="AP164" s="748"/>
      <c r="AQ164" s="749"/>
      <c r="AR164" s="749" t="s">
        <v>2343</v>
      </c>
      <c r="AS164" s="747"/>
      <c r="AT164" s="749"/>
      <c r="AU164" s="749"/>
      <c r="AV164" s="762"/>
      <c r="AW164" s="762"/>
      <c r="AX164" s="747"/>
      <c r="AY164" s="262"/>
    </row>
    <row r="165" spans="1:1027" s="260" customFormat="1" ht="103.5" hidden="1" customHeight="1">
      <c r="A165" s="747"/>
      <c r="B165" s="754"/>
      <c r="C165" s="1605"/>
      <c r="D165" s="1607"/>
      <c r="E165" s="1606"/>
      <c r="F165" s="755"/>
      <c r="G165" s="1605"/>
      <c r="H165" s="1607"/>
      <c r="I165" s="1606"/>
      <c r="J165" s="1608"/>
      <c r="K165" s="1608"/>
      <c r="L165" s="1608"/>
      <c r="M165" s="747"/>
      <c r="N165" s="747"/>
      <c r="O165" s="747"/>
      <c r="P165" s="747"/>
      <c r="Q165" s="754"/>
      <c r="R165" s="754"/>
      <c r="S165" s="756"/>
      <c r="T165" s="757" t="e">
        <f>VLOOKUP(Q165,[71]Listas!$D$6:$E$10,2,0)</f>
        <v>#N/A</v>
      </c>
      <c r="U165" s="757" t="e">
        <f>HLOOKUP(R165,[71]Listas!$F$4:$J$5,2,0)</f>
        <v>#N/A</v>
      </c>
      <c r="V165" s="758" t="e">
        <f>INDEX([71]Listas!$F$6:$J$10,MATCH(Q165,[71]Listas!$D$6:$D$10,0),MATCH(R165,[71]Listas!$F$4:$J$4,0))</f>
        <v>#N/A</v>
      </c>
      <c r="W165" s="756"/>
      <c r="X165" s="1605"/>
      <c r="Y165" s="1607"/>
      <c r="Z165" s="1606"/>
      <c r="AA165" s="1086"/>
      <c r="AB165" s="755"/>
      <c r="AC165" s="749"/>
      <c r="AD165" s="747"/>
      <c r="AE165" s="755"/>
      <c r="AF165" s="756"/>
      <c r="AG165" s="757">
        <f t="shared" si="20"/>
        <v>0</v>
      </c>
      <c r="AH165" s="759" t="e">
        <f t="shared" si="21"/>
        <v>#N/A</v>
      </c>
      <c r="AI165" s="760" t="e">
        <f>IF(AH165&lt;=1,"Remota",VLOOKUP(AH165,[71]Listas!$C$6:$D$10,2,0))</f>
        <v>#N/A</v>
      </c>
      <c r="AJ165" s="759" t="e">
        <f t="shared" si="22"/>
        <v>#N/A</v>
      </c>
      <c r="AK165" s="760" t="e">
        <f>IF(AJ165&lt;=1,"Insignificante",HLOOKUP(AJ165,[71]Listas!$F$3:$J$4,2,0))</f>
        <v>#N/A</v>
      </c>
      <c r="AL165" s="761" t="e">
        <f t="shared" si="23"/>
        <v>#N/A</v>
      </c>
      <c r="AM165" s="758" t="e">
        <f>INDEX([71]Listas!$F$6:$J$10,MATCH(AI165,[71]Listas!$D$6:$D$10,0),MATCH(AK165,[71]Listas!$F$4:$J$4,0))</f>
        <v>#N/A</v>
      </c>
      <c r="AN165" s="749"/>
      <c r="AO165" s="749"/>
      <c r="AP165" s="748"/>
      <c r="AQ165" s="749"/>
      <c r="AR165" s="749" t="s">
        <v>2343</v>
      </c>
      <c r="AS165" s="747"/>
      <c r="AT165" s="749"/>
      <c r="AU165" s="749"/>
      <c r="AV165" s="762"/>
      <c r="AW165" s="762"/>
      <c r="AX165" s="747"/>
      <c r="AY165" s="262"/>
    </row>
    <row r="166" spans="1:1027" s="260" customFormat="1" ht="103.5" hidden="1" customHeight="1">
      <c r="A166" s="747"/>
      <c r="B166" s="754"/>
      <c r="C166" s="1605"/>
      <c r="D166" s="1607"/>
      <c r="E166" s="1606"/>
      <c r="F166" s="755"/>
      <c r="G166" s="1605"/>
      <c r="H166" s="1607"/>
      <c r="I166" s="1606"/>
      <c r="J166" s="1608"/>
      <c r="K166" s="1608"/>
      <c r="L166" s="1608"/>
      <c r="M166" s="747"/>
      <c r="N166" s="747"/>
      <c r="O166" s="747"/>
      <c r="P166" s="747"/>
      <c r="Q166" s="754"/>
      <c r="R166" s="754"/>
      <c r="S166" s="756"/>
      <c r="T166" s="757" t="e">
        <f>VLOOKUP(Q166,[71]Listas!$D$6:$E$10,2,0)</f>
        <v>#N/A</v>
      </c>
      <c r="U166" s="757" t="e">
        <f>HLOOKUP(R166,[71]Listas!$F$4:$J$5,2,0)</f>
        <v>#N/A</v>
      </c>
      <c r="V166" s="758" t="e">
        <f>INDEX([71]Listas!$F$6:$J$10,MATCH(Q166,[71]Listas!$D$6:$D$10,0),MATCH(R166,[71]Listas!$F$4:$J$4,0))</f>
        <v>#N/A</v>
      </c>
      <c r="W166" s="756"/>
      <c r="X166" s="1605"/>
      <c r="Y166" s="1607"/>
      <c r="Z166" s="1606"/>
      <c r="AA166" s="1086"/>
      <c r="AB166" s="755"/>
      <c r="AC166" s="749"/>
      <c r="AD166" s="747"/>
      <c r="AE166" s="755"/>
      <c r="AF166" s="756"/>
      <c r="AG166" s="757">
        <f t="shared" si="20"/>
        <v>0</v>
      </c>
      <c r="AH166" s="759" t="e">
        <f t="shared" si="21"/>
        <v>#N/A</v>
      </c>
      <c r="AI166" s="760" t="e">
        <f>IF(AH166&lt;=1,"Remota",VLOOKUP(AH166,[71]Listas!$C$6:$D$10,2,0))</f>
        <v>#N/A</v>
      </c>
      <c r="AJ166" s="759" t="e">
        <f t="shared" si="22"/>
        <v>#N/A</v>
      </c>
      <c r="AK166" s="760" t="e">
        <f>IF(AJ166&lt;=1,"Insignificante",HLOOKUP(AJ166,[71]Listas!$F$3:$J$4,2,0))</f>
        <v>#N/A</v>
      </c>
      <c r="AL166" s="761" t="e">
        <f t="shared" si="23"/>
        <v>#N/A</v>
      </c>
      <c r="AM166" s="758" t="e">
        <f>INDEX([71]Listas!$F$6:$J$10,MATCH(AI166,[71]Listas!$D$6:$D$10,0),MATCH(AK166,[71]Listas!$F$4:$J$4,0))</f>
        <v>#N/A</v>
      </c>
      <c r="AN166" s="749"/>
      <c r="AO166" s="749"/>
      <c r="AP166" s="748"/>
      <c r="AQ166" s="749"/>
      <c r="AR166" s="749" t="s">
        <v>2343</v>
      </c>
      <c r="AS166" s="747"/>
      <c r="AT166" s="749"/>
      <c r="AU166" s="749"/>
      <c r="AV166" s="762"/>
      <c r="AW166" s="762"/>
      <c r="AX166" s="747"/>
      <c r="AY166" s="262"/>
    </row>
    <row r="167" spans="1:1027" s="260" customFormat="1" ht="103.5" hidden="1" customHeight="1">
      <c r="A167" s="747"/>
      <c r="B167" s="754"/>
      <c r="C167" s="1605"/>
      <c r="D167" s="1607"/>
      <c r="E167" s="1606"/>
      <c r="F167" s="755"/>
      <c r="G167" s="1605"/>
      <c r="H167" s="1607"/>
      <c r="I167" s="1606"/>
      <c r="J167" s="1608"/>
      <c r="K167" s="1608"/>
      <c r="L167" s="1608"/>
      <c r="M167" s="747"/>
      <c r="N167" s="747"/>
      <c r="O167" s="747"/>
      <c r="P167" s="747"/>
      <c r="Q167" s="754"/>
      <c r="R167" s="754"/>
      <c r="S167" s="756"/>
      <c r="T167" s="757" t="e">
        <f>VLOOKUP(Q167,[71]Listas!$D$6:$E$10,2,0)</f>
        <v>#N/A</v>
      </c>
      <c r="U167" s="757" t="e">
        <f>HLOOKUP(R167,[71]Listas!$F$4:$J$5,2,0)</f>
        <v>#N/A</v>
      </c>
      <c r="V167" s="758" t="e">
        <f>INDEX([71]Listas!$F$6:$J$10,MATCH(Q167,[71]Listas!$D$6:$D$10,0),MATCH(R167,[71]Listas!$F$4:$J$4,0))</f>
        <v>#N/A</v>
      </c>
      <c r="W167" s="756"/>
      <c r="X167" s="1605"/>
      <c r="Y167" s="1607"/>
      <c r="Z167" s="1606"/>
      <c r="AA167" s="1086"/>
      <c r="AB167" s="755"/>
      <c r="AC167" s="749"/>
      <c r="AD167" s="747"/>
      <c r="AE167" s="755"/>
      <c r="AF167" s="756"/>
      <c r="AG167" s="757">
        <f t="shared" si="20"/>
        <v>0</v>
      </c>
      <c r="AH167" s="759" t="e">
        <f t="shared" si="21"/>
        <v>#N/A</v>
      </c>
      <c r="AI167" s="760" t="e">
        <f>IF(AH167&lt;=1,"Remota",VLOOKUP(AH167,[71]Listas!$C$6:$D$10,2,0))</f>
        <v>#N/A</v>
      </c>
      <c r="AJ167" s="759" t="e">
        <f t="shared" si="22"/>
        <v>#N/A</v>
      </c>
      <c r="AK167" s="760" t="e">
        <f>IF(AJ167&lt;=1,"Insignificante",HLOOKUP(AJ167,[71]Listas!$F$3:$J$4,2,0))</f>
        <v>#N/A</v>
      </c>
      <c r="AL167" s="761" t="e">
        <f t="shared" si="23"/>
        <v>#N/A</v>
      </c>
      <c r="AM167" s="758" t="e">
        <f>INDEX([71]Listas!$F$6:$J$10,MATCH(AI167,[71]Listas!$D$6:$D$10,0),MATCH(AK167,[71]Listas!$F$4:$J$4,0))</f>
        <v>#N/A</v>
      </c>
      <c r="AN167" s="749"/>
      <c r="AO167" s="749"/>
      <c r="AP167" s="748"/>
      <c r="AQ167" s="749"/>
      <c r="AR167" s="749" t="s">
        <v>2343</v>
      </c>
      <c r="AS167" s="747"/>
      <c r="AT167" s="749"/>
      <c r="AU167" s="749"/>
      <c r="AV167" s="762"/>
      <c r="AW167" s="762"/>
      <c r="AX167" s="747"/>
      <c r="AY167" s="262"/>
    </row>
    <row r="168" spans="1:1027" s="260" customFormat="1" ht="103.5" hidden="1" customHeight="1">
      <c r="A168" s="747"/>
      <c r="B168" s="754"/>
      <c r="C168" s="1605"/>
      <c r="D168" s="1607"/>
      <c r="E168" s="1606"/>
      <c r="F168" s="755"/>
      <c r="G168" s="1605"/>
      <c r="H168" s="1607"/>
      <c r="I168" s="1606"/>
      <c r="J168" s="1608"/>
      <c r="K168" s="1608"/>
      <c r="L168" s="1608"/>
      <c r="M168" s="747"/>
      <c r="N168" s="747"/>
      <c r="O168" s="747"/>
      <c r="P168" s="747"/>
      <c r="Q168" s="754"/>
      <c r="R168" s="754"/>
      <c r="S168" s="756"/>
      <c r="T168" s="757" t="e">
        <f>VLOOKUP(Q168,[71]Listas!$D$6:$E$10,2,0)</f>
        <v>#N/A</v>
      </c>
      <c r="U168" s="757" t="e">
        <f>HLOOKUP(R168,[71]Listas!$F$4:$J$5,2,0)</f>
        <v>#N/A</v>
      </c>
      <c r="V168" s="758" t="e">
        <f>INDEX([71]Listas!$F$6:$J$10,MATCH(Q168,[71]Listas!$D$6:$D$10,0),MATCH(R168,[71]Listas!$F$4:$J$4,0))</f>
        <v>#N/A</v>
      </c>
      <c r="W168" s="756"/>
      <c r="X168" s="1605"/>
      <c r="Y168" s="1607"/>
      <c r="Z168" s="1606"/>
      <c r="AA168" s="1086"/>
      <c r="AB168" s="755"/>
      <c r="AC168" s="749"/>
      <c r="AD168" s="747"/>
      <c r="AE168" s="755"/>
      <c r="AF168" s="756"/>
      <c r="AG168" s="757">
        <f t="shared" si="20"/>
        <v>0</v>
      </c>
      <c r="AH168" s="759" t="e">
        <f t="shared" si="21"/>
        <v>#N/A</v>
      </c>
      <c r="AI168" s="760" t="e">
        <f>IF(AH168&lt;=1,"Remota",VLOOKUP(AH168,[71]Listas!$C$6:$D$10,2,0))</f>
        <v>#N/A</v>
      </c>
      <c r="AJ168" s="759" t="e">
        <f t="shared" si="22"/>
        <v>#N/A</v>
      </c>
      <c r="AK168" s="760" t="e">
        <f>IF(AJ168&lt;=1,"Insignificante",HLOOKUP(AJ168,[71]Listas!$F$3:$J$4,2,0))</f>
        <v>#N/A</v>
      </c>
      <c r="AL168" s="761" t="e">
        <f t="shared" si="23"/>
        <v>#N/A</v>
      </c>
      <c r="AM168" s="758" t="e">
        <f>INDEX([71]Listas!$F$6:$J$10,MATCH(AI168,[71]Listas!$D$6:$D$10,0),MATCH(AK168,[71]Listas!$F$4:$J$4,0))</f>
        <v>#N/A</v>
      </c>
      <c r="AN168" s="749"/>
      <c r="AO168" s="749"/>
      <c r="AP168" s="748"/>
      <c r="AQ168" s="749"/>
      <c r="AR168" s="749" t="s">
        <v>2343</v>
      </c>
      <c r="AS168" s="747"/>
      <c r="AT168" s="749"/>
      <c r="AU168" s="749"/>
      <c r="AV168" s="762"/>
      <c r="AW168" s="762"/>
      <c r="AX168" s="747"/>
      <c r="AY168" s="262"/>
    </row>
    <row r="169" spans="1:1027" s="260" customFormat="1" ht="103.5" hidden="1" customHeight="1">
      <c r="A169" s="747"/>
      <c r="B169" s="754"/>
      <c r="C169" s="1605"/>
      <c r="D169" s="1607"/>
      <c r="E169" s="1606"/>
      <c r="F169" s="755"/>
      <c r="G169" s="1605"/>
      <c r="H169" s="1607"/>
      <c r="I169" s="1606"/>
      <c r="J169" s="1608"/>
      <c r="K169" s="1608"/>
      <c r="L169" s="1608"/>
      <c r="M169" s="747"/>
      <c r="N169" s="747"/>
      <c r="O169" s="747"/>
      <c r="P169" s="747"/>
      <c r="Q169" s="754"/>
      <c r="R169" s="754"/>
      <c r="S169" s="756"/>
      <c r="T169" s="757" t="e">
        <f>VLOOKUP(Q169,[71]Listas!$D$6:$E$10,2,0)</f>
        <v>#N/A</v>
      </c>
      <c r="U169" s="757" t="e">
        <f>HLOOKUP(R169,[71]Listas!$F$4:$J$5,2,0)</f>
        <v>#N/A</v>
      </c>
      <c r="V169" s="758" t="e">
        <f>INDEX([71]Listas!$F$6:$J$10,MATCH(Q169,[71]Listas!$D$6:$D$10,0),MATCH(R169,[71]Listas!$F$4:$J$4,0))</f>
        <v>#N/A</v>
      </c>
      <c r="W169" s="756"/>
      <c r="X169" s="1605"/>
      <c r="Y169" s="1607"/>
      <c r="Z169" s="1606"/>
      <c r="AA169" s="1086"/>
      <c r="AB169" s="755"/>
      <c r="AC169" s="749"/>
      <c r="AD169" s="747"/>
      <c r="AE169" s="755"/>
      <c r="AF169" s="756"/>
      <c r="AG169" s="757">
        <f t="shared" si="20"/>
        <v>0</v>
      </c>
      <c r="AH169" s="759" t="e">
        <f t="shared" si="21"/>
        <v>#N/A</v>
      </c>
      <c r="AI169" s="760" t="e">
        <f>IF(AH169&lt;=1,"Remota",VLOOKUP(AH169,[71]Listas!$C$6:$D$10,2,0))</f>
        <v>#N/A</v>
      </c>
      <c r="AJ169" s="759" t="e">
        <f t="shared" si="22"/>
        <v>#N/A</v>
      </c>
      <c r="AK169" s="760" t="e">
        <f>IF(AJ169&lt;=1,"Insignificante",HLOOKUP(AJ169,[71]Listas!$F$3:$J$4,2,0))</f>
        <v>#N/A</v>
      </c>
      <c r="AL169" s="761" t="e">
        <f t="shared" si="23"/>
        <v>#N/A</v>
      </c>
      <c r="AM169" s="758" t="e">
        <f>INDEX([71]Listas!$F$6:$J$10,MATCH(AI169,[71]Listas!$D$6:$D$10,0),MATCH(AK169,[71]Listas!$F$4:$J$4,0))</f>
        <v>#N/A</v>
      </c>
      <c r="AN169" s="749"/>
      <c r="AO169" s="749"/>
      <c r="AP169" s="748"/>
      <c r="AQ169" s="749"/>
      <c r="AR169" s="749" t="s">
        <v>2343</v>
      </c>
      <c r="AS169" s="747"/>
      <c r="AT169" s="749"/>
      <c r="AU169" s="749"/>
      <c r="AV169" s="762"/>
      <c r="AW169" s="762"/>
      <c r="AX169" s="747"/>
      <c r="AY169" s="262"/>
    </row>
    <row r="170" spans="1:1027" ht="5.25" customHeight="1">
      <c r="A170" s="765"/>
      <c r="B170" s="766"/>
      <c r="C170" s="766"/>
      <c r="D170" s="766"/>
      <c r="E170" s="765"/>
      <c r="F170" s="765"/>
      <c r="G170" s="767"/>
      <c r="H170" s="767"/>
      <c r="I170" s="767"/>
      <c r="J170" s="765"/>
      <c r="K170" s="765"/>
      <c r="L170" s="768"/>
      <c r="M170" s="768"/>
      <c r="N170" s="768"/>
      <c r="O170" s="768"/>
      <c r="P170" s="768"/>
      <c r="Q170" s="768"/>
      <c r="R170" s="768"/>
      <c r="S170" s="768"/>
      <c r="T170" s="768"/>
      <c r="U170" s="768"/>
      <c r="V170" s="765"/>
      <c r="W170" s="765"/>
      <c r="X170" s="767"/>
      <c r="Y170" s="767"/>
      <c r="Z170" s="767"/>
      <c r="AA170" s="767"/>
      <c r="AB170" s="767"/>
      <c r="AC170" s="767"/>
      <c r="AD170" s="765"/>
      <c r="AE170" s="765"/>
      <c r="AF170" s="765"/>
      <c r="AG170" s="765"/>
      <c r="AH170" s="765"/>
      <c r="AI170" s="765"/>
      <c r="AJ170" s="765"/>
      <c r="AK170" s="765"/>
      <c r="AL170" s="765"/>
      <c r="AM170" s="765"/>
      <c r="AN170" s="769"/>
      <c r="AO170" s="769"/>
      <c r="AP170" s="769"/>
      <c r="AQ170" s="769"/>
      <c r="AR170" s="769"/>
      <c r="AS170" s="769"/>
      <c r="AT170" s="769"/>
      <c r="AU170" s="769"/>
      <c r="AV170" s="769"/>
      <c r="AW170" s="769"/>
      <c r="AX170" s="769"/>
      <c r="AY170" s="262"/>
      <c r="AZ170" s="236"/>
      <c r="BA170" s="236"/>
      <c r="BB170" s="236"/>
      <c r="BC170" s="236"/>
      <c r="BD170" s="236"/>
      <c r="BE170" s="236"/>
      <c r="BF170" s="236"/>
      <c r="BG170" s="236"/>
      <c r="BH170" s="236"/>
      <c r="BI170" s="236"/>
      <c r="BJ170" s="236"/>
      <c r="BK170" s="236"/>
      <c r="BL170" s="236"/>
      <c r="BM170" s="236"/>
      <c r="BN170" s="236"/>
      <c r="BO170" s="236"/>
      <c r="BP170" s="236"/>
      <c r="BQ170" s="236"/>
      <c r="BR170" s="236"/>
      <c r="BS170" s="236"/>
      <c r="BT170" s="236"/>
      <c r="BU170" s="236"/>
      <c r="BV170" s="236"/>
      <c r="BW170" s="236"/>
      <c r="BX170" s="236"/>
      <c r="BY170" s="236"/>
      <c r="BZ170" s="236"/>
      <c r="CA170" s="236"/>
      <c r="CB170" s="236"/>
      <c r="CC170" s="236"/>
      <c r="CD170" s="236"/>
      <c r="CE170" s="236"/>
      <c r="CF170" s="236"/>
      <c r="CG170" s="236"/>
      <c r="CH170" s="236"/>
      <c r="CI170" s="236"/>
      <c r="CJ170" s="236"/>
      <c r="CK170" s="236"/>
      <c r="CL170" s="236"/>
      <c r="CM170" s="236"/>
      <c r="CN170" s="236"/>
      <c r="CO170" s="236"/>
      <c r="CP170" s="236"/>
      <c r="CQ170" s="236"/>
      <c r="CR170" s="236"/>
      <c r="CS170" s="236"/>
      <c r="CT170" s="236"/>
      <c r="CU170" s="236"/>
      <c r="CV170" s="236"/>
      <c r="CW170" s="236"/>
      <c r="CX170" s="236"/>
      <c r="CY170" s="236"/>
      <c r="CZ170" s="236"/>
      <c r="DA170" s="236"/>
      <c r="DB170" s="236"/>
      <c r="DC170" s="236"/>
      <c r="DD170" s="236"/>
      <c r="DE170" s="236"/>
      <c r="DF170" s="236"/>
      <c r="DG170" s="236"/>
      <c r="DH170" s="236"/>
      <c r="DI170" s="236"/>
      <c r="DJ170" s="236"/>
      <c r="DK170" s="236"/>
      <c r="DL170" s="236"/>
      <c r="DM170" s="236"/>
      <c r="DN170" s="236"/>
      <c r="DO170" s="236"/>
      <c r="DP170" s="236"/>
      <c r="DQ170" s="236"/>
      <c r="DR170" s="236"/>
      <c r="DS170" s="236"/>
      <c r="DT170" s="236"/>
      <c r="DU170" s="236"/>
      <c r="DV170" s="236"/>
      <c r="DW170" s="236"/>
      <c r="DX170" s="236"/>
      <c r="DY170" s="236"/>
      <c r="DZ170" s="236"/>
      <c r="EA170" s="236"/>
      <c r="EB170" s="236"/>
      <c r="EC170" s="236"/>
      <c r="ED170" s="236"/>
      <c r="EE170" s="236"/>
      <c r="EF170" s="236"/>
      <c r="EG170" s="236"/>
      <c r="EH170" s="236"/>
      <c r="EI170" s="236"/>
      <c r="EJ170" s="236"/>
      <c r="EK170" s="236"/>
      <c r="EL170" s="236"/>
      <c r="EM170" s="236"/>
      <c r="EN170" s="236"/>
      <c r="EO170" s="236"/>
      <c r="EP170" s="236"/>
      <c r="EQ170" s="236"/>
      <c r="ER170" s="236"/>
      <c r="ES170" s="236"/>
      <c r="ET170" s="236"/>
      <c r="EU170" s="236"/>
      <c r="EV170" s="236"/>
      <c r="EW170" s="236"/>
      <c r="EX170" s="236"/>
      <c r="EY170" s="236"/>
      <c r="EZ170" s="236"/>
      <c r="FA170" s="236"/>
      <c r="FB170" s="236"/>
      <c r="FC170" s="236"/>
      <c r="FD170" s="236"/>
      <c r="FE170" s="236"/>
      <c r="FF170" s="236"/>
      <c r="FG170" s="236"/>
      <c r="FH170" s="236"/>
      <c r="FI170" s="236"/>
      <c r="FJ170" s="236"/>
      <c r="FK170" s="236"/>
      <c r="FL170" s="236"/>
      <c r="FM170" s="236"/>
      <c r="FN170" s="236"/>
      <c r="FO170" s="236"/>
      <c r="FP170" s="236"/>
      <c r="FQ170" s="236"/>
      <c r="FR170" s="236"/>
      <c r="FS170" s="236"/>
      <c r="FT170" s="236"/>
      <c r="FU170" s="236"/>
      <c r="FV170" s="236"/>
      <c r="FW170" s="236"/>
      <c r="FX170" s="236"/>
      <c r="FY170" s="236"/>
      <c r="FZ170" s="236"/>
      <c r="GA170" s="236"/>
      <c r="GB170" s="236"/>
      <c r="GC170" s="236"/>
      <c r="GD170" s="236"/>
      <c r="GE170" s="236"/>
      <c r="GF170" s="236"/>
      <c r="GG170" s="236"/>
      <c r="GH170" s="236"/>
      <c r="GI170" s="236"/>
      <c r="GJ170" s="236"/>
      <c r="GK170" s="236"/>
      <c r="GL170" s="236"/>
      <c r="GM170" s="236"/>
      <c r="GN170" s="236"/>
      <c r="GO170" s="236"/>
      <c r="GP170" s="236"/>
      <c r="GQ170" s="236"/>
      <c r="GR170" s="236"/>
      <c r="GS170" s="236"/>
      <c r="GT170" s="236"/>
      <c r="GU170" s="236"/>
      <c r="GV170" s="236"/>
      <c r="GW170" s="236"/>
      <c r="GX170" s="236"/>
      <c r="GY170" s="236"/>
      <c r="GZ170" s="236"/>
      <c r="HA170" s="236"/>
      <c r="HB170" s="236"/>
      <c r="HC170" s="236"/>
      <c r="HD170" s="236"/>
      <c r="HE170" s="236"/>
      <c r="HF170" s="236"/>
      <c r="HG170" s="236"/>
      <c r="HH170" s="236"/>
      <c r="HI170" s="236"/>
      <c r="HJ170" s="236"/>
      <c r="HK170" s="236"/>
      <c r="HL170" s="236"/>
      <c r="HM170" s="236"/>
      <c r="HN170" s="236"/>
      <c r="HO170" s="236"/>
      <c r="HP170" s="236"/>
      <c r="HQ170" s="236"/>
      <c r="HR170" s="236"/>
      <c r="HS170" s="236"/>
      <c r="HT170" s="236"/>
      <c r="HU170" s="236"/>
      <c r="HV170" s="236"/>
      <c r="HW170" s="236"/>
      <c r="HX170" s="236"/>
      <c r="HY170" s="236"/>
      <c r="HZ170" s="236"/>
      <c r="IA170" s="236"/>
      <c r="IB170" s="236"/>
      <c r="IC170" s="236"/>
      <c r="ID170" s="236"/>
      <c r="IE170" s="236"/>
      <c r="IF170" s="236"/>
      <c r="IG170" s="236"/>
      <c r="IH170" s="236"/>
      <c r="II170" s="236"/>
      <c r="IJ170" s="236"/>
      <c r="IK170" s="236"/>
      <c r="IL170" s="236"/>
      <c r="IM170" s="236"/>
      <c r="IN170" s="236"/>
      <c r="IO170" s="236"/>
      <c r="IP170" s="236"/>
      <c r="IQ170" s="236"/>
      <c r="IR170" s="236"/>
      <c r="IS170" s="236"/>
      <c r="IT170" s="236"/>
      <c r="IU170" s="236"/>
      <c r="IV170" s="236"/>
      <c r="IW170" s="236"/>
      <c r="IX170" s="236"/>
      <c r="IY170" s="236"/>
      <c r="IZ170" s="236"/>
      <c r="JA170" s="236"/>
      <c r="JB170" s="236"/>
      <c r="JC170" s="236"/>
      <c r="JD170" s="236"/>
      <c r="JE170" s="236"/>
      <c r="JF170" s="236"/>
      <c r="JG170" s="236"/>
      <c r="JH170" s="236"/>
      <c r="JI170" s="236"/>
      <c r="JJ170" s="236"/>
      <c r="JK170" s="236"/>
      <c r="JL170" s="236"/>
      <c r="JM170" s="236"/>
      <c r="JN170" s="236"/>
      <c r="JO170" s="236"/>
      <c r="JP170" s="236"/>
      <c r="JQ170" s="236"/>
      <c r="JR170" s="236"/>
      <c r="JS170" s="236"/>
      <c r="JT170" s="236"/>
      <c r="JU170" s="236"/>
      <c r="JV170" s="236"/>
      <c r="JW170" s="236"/>
      <c r="JX170" s="236"/>
      <c r="JY170" s="236"/>
      <c r="JZ170" s="236"/>
      <c r="KA170" s="236"/>
      <c r="KB170" s="236"/>
      <c r="KC170" s="236"/>
      <c r="KD170" s="236"/>
      <c r="KE170" s="236"/>
      <c r="KF170" s="236"/>
      <c r="KG170" s="236"/>
      <c r="KH170" s="236"/>
      <c r="KI170" s="236"/>
      <c r="KJ170" s="236"/>
      <c r="KK170" s="236"/>
      <c r="KL170" s="236"/>
      <c r="KM170" s="236"/>
      <c r="KN170" s="236"/>
      <c r="KO170" s="236"/>
      <c r="KP170" s="236"/>
      <c r="KQ170" s="236"/>
      <c r="KR170" s="236"/>
      <c r="KS170" s="236"/>
      <c r="KT170" s="236"/>
      <c r="KU170" s="236"/>
      <c r="KV170" s="236"/>
      <c r="KW170" s="236"/>
      <c r="KX170" s="236"/>
      <c r="KY170" s="236"/>
      <c r="KZ170" s="236"/>
      <c r="LA170" s="236"/>
      <c r="LB170" s="236"/>
      <c r="LC170" s="236"/>
      <c r="LD170" s="236"/>
      <c r="LE170" s="236"/>
      <c r="LF170" s="236"/>
      <c r="LG170" s="236"/>
      <c r="LH170" s="236"/>
      <c r="LI170" s="236"/>
      <c r="LJ170" s="236"/>
      <c r="LK170" s="236"/>
      <c r="LL170" s="236"/>
      <c r="LM170" s="236"/>
      <c r="LN170" s="236"/>
      <c r="LO170" s="236"/>
      <c r="LP170" s="236"/>
      <c r="LQ170" s="236"/>
      <c r="LR170" s="236"/>
      <c r="LS170" s="236"/>
      <c r="LT170" s="236"/>
      <c r="LU170" s="236"/>
      <c r="LV170" s="236"/>
      <c r="LW170" s="236"/>
      <c r="LX170" s="236"/>
      <c r="LY170" s="236"/>
      <c r="LZ170" s="236"/>
      <c r="MA170" s="236"/>
      <c r="MB170" s="236"/>
      <c r="MC170" s="236"/>
      <c r="MD170" s="236"/>
      <c r="ME170" s="236"/>
      <c r="MF170" s="236"/>
      <c r="MG170" s="236"/>
      <c r="MH170" s="236"/>
      <c r="MI170" s="236"/>
      <c r="MJ170" s="236"/>
      <c r="MK170" s="236"/>
      <c r="ML170" s="236"/>
      <c r="MM170" s="236"/>
      <c r="MN170" s="236"/>
      <c r="MO170" s="236"/>
      <c r="MP170" s="236"/>
      <c r="MQ170" s="236"/>
      <c r="MR170" s="236"/>
      <c r="MS170" s="236"/>
      <c r="MT170" s="236"/>
      <c r="MU170" s="236"/>
      <c r="MV170" s="236"/>
      <c r="MW170" s="236"/>
      <c r="MX170" s="236"/>
      <c r="MY170" s="236"/>
      <c r="MZ170" s="236"/>
      <c r="NA170" s="236"/>
      <c r="NB170" s="236"/>
      <c r="NC170" s="236"/>
      <c r="ND170" s="236"/>
      <c r="NE170" s="236"/>
      <c r="NF170" s="236"/>
      <c r="NG170" s="236"/>
      <c r="NH170" s="236"/>
      <c r="NI170" s="236"/>
      <c r="NJ170" s="236"/>
      <c r="NK170" s="236"/>
      <c r="NL170" s="236"/>
      <c r="NM170" s="236"/>
      <c r="NN170" s="236"/>
      <c r="NO170" s="236"/>
      <c r="NP170" s="236"/>
      <c r="NQ170" s="236"/>
      <c r="NR170" s="236"/>
      <c r="NS170" s="236"/>
      <c r="NT170" s="236"/>
      <c r="NU170" s="236"/>
      <c r="NV170" s="236"/>
      <c r="NW170" s="236"/>
      <c r="NX170" s="236"/>
      <c r="NY170" s="236"/>
      <c r="NZ170" s="236"/>
      <c r="OA170" s="236"/>
      <c r="OB170" s="236"/>
      <c r="OC170" s="236"/>
      <c r="OD170" s="236"/>
      <c r="OE170" s="236"/>
      <c r="OF170" s="236"/>
      <c r="OG170" s="236"/>
      <c r="OH170" s="236"/>
      <c r="OI170" s="236"/>
      <c r="OJ170" s="236"/>
      <c r="OK170" s="236"/>
      <c r="OL170" s="236"/>
      <c r="OM170" s="236"/>
      <c r="ON170" s="236"/>
      <c r="OO170" s="236"/>
      <c r="OP170" s="236"/>
      <c r="OQ170" s="236"/>
      <c r="OR170" s="236"/>
      <c r="OS170" s="236"/>
      <c r="OT170" s="236"/>
      <c r="OU170" s="236"/>
      <c r="OV170" s="236"/>
      <c r="OW170" s="236"/>
      <c r="OX170" s="236"/>
      <c r="OY170" s="236"/>
      <c r="OZ170" s="236"/>
      <c r="PA170" s="236"/>
      <c r="PB170" s="236"/>
      <c r="PC170" s="236"/>
      <c r="PD170" s="236"/>
      <c r="PE170" s="236"/>
      <c r="PF170" s="236"/>
      <c r="PG170" s="236"/>
      <c r="PH170" s="236"/>
      <c r="PI170" s="236"/>
      <c r="PJ170" s="236"/>
      <c r="PK170" s="236"/>
      <c r="PL170" s="236"/>
      <c r="PM170" s="236"/>
      <c r="PN170" s="236"/>
      <c r="PO170" s="236"/>
      <c r="PP170" s="236"/>
      <c r="PQ170" s="236"/>
      <c r="PR170" s="236"/>
      <c r="PS170" s="236"/>
      <c r="PT170" s="236"/>
      <c r="PU170" s="236"/>
      <c r="PV170" s="236"/>
      <c r="PW170" s="236"/>
      <c r="PX170" s="236"/>
      <c r="PY170" s="236"/>
      <c r="PZ170" s="236"/>
      <c r="QA170" s="236"/>
      <c r="QB170" s="236"/>
      <c r="QC170" s="236"/>
      <c r="QD170" s="236"/>
      <c r="QE170" s="236"/>
      <c r="QF170" s="236"/>
      <c r="QG170" s="236"/>
      <c r="QH170" s="236"/>
      <c r="QI170" s="236"/>
      <c r="QJ170" s="236"/>
      <c r="QK170" s="236"/>
      <c r="QL170" s="236"/>
      <c r="QM170" s="236"/>
      <c r="QN170" s="236"/>
      <c r="QO170" s="236"/>
      <c r="QP170" s="236"/>
      <c r="QQ170" s="236"/>
      <c r="QR170" s="236"/>
      <c r="QS170" s="236"/>
      <c r="QT170" s="236"/>
      <c r="QU170" s="236"/>
      <c r="QV170" s="236"/>
      <c r="QW170" s="236"/>
      <c r="QX170" s="236"/>
      <c r="QY170" s="236"/>
      <c r="QZ170" s="236"/>
      <c r="RA170" s="236"/>
      <c r="RB170" s="236"/>
      <c r="RC170" s="236"/>
      <c r="RD170" s="236"/>
      <c r="RE170" s="236"/>
      <c r="RF170" s="236"/>
      <c r="RG170" s="236"/>
      <c r="RH170" s="236"/>
      <c r="RI170" s="236"/>
      <c r="RJ170" s="236"/>
      <c r="RK170" s="236"/>
      <c r="RL170" s="236"/>
      <c r="RM170" s="236"/>
      <c r="RN170" s="236"/>
      <c r="RO170" s="236"/>
      <c r="RP170" s="236"/>
      <c r="RQ170" s="236"/>
      <c r="RR170" s="236"/>
      <c r="RS170" s="236"/>
      <c r="RT170" s="236"/>
      <c r="RU170" s="236"/>
      <c r="RV170" s="236"/>
      <c r="RW170" s="236"/>
      <c r="RX170" s="236"/>
      <c r="RY170" s="236"/>
      <c r="RZ170" s="236"/>
      <c r="SA170" s="236"/>
      <c r="SB170" s="236"/>
      <c r="SC170" s="236"/>
      <c r="SD170" s="236"/>
      <c r="SE170" s="236"/>
      <c r="SF170" s="236"/>
      <c r="SG170" s="236"/>
      <c r="SH170" s="236"/>
      <c r="SI170" s="236"/>
      <c r="SJ170" s="236"/>
      <c r="SK170" s="236"/>
      <c r="SL170" s="236"/>
      <c r="SM170" s="236"/>
      <c r="SN170" s="236"/>
      <c r="SO170" s="236"/>
      <c r="SP170" s="236"/>
      <c r="SQ170" s="236"/>
      <c r="SR170" s="236"/>
      <c r="SS170" s="236"/>
      <c r="ST170" s="236"/>
      <c r="SU170" s="236"/>
      <c r="SV170" s="236"/>
      <c r="SW170" s="236"/>
      <c r="SX170" s="236"/>
      <c r="SY170" s="236"/>
      <c r="SZ170" s="236"/>
      <c r="TA170" s="236"/>
      <c r="TB170" s="236"/>
      <c r="TC170" s="236"/>
      <c r="TD170" s="236"/>
      <c r="TE170" s="236"/>
      <c r="TF170" s="236"/>
      <c r="TG170" s="236"/>
      <c r="TH170" s="236"/>
      <c r="TI170" s="236"/>
      <c r="TJ170" s="236"/>
      <c r="TK170" s="236"/>
      <c r="TL170" s="236"/>
      <c r="TM170" s="236"/>
      <c r="TN170" s="236"/>
      <c r="TO170" s="236"/>
      <c r="TP170" s="236"/>
      <c r="TQ170" s="236"/>
      <c r="TR170" s="236"/>
      <c r="TS170" s="236"/>
      <c r="TT170" s="236"/>
      <c r="TU170" s="236"/>
      <c r="TV170" s="236"/>
      <c r="TW170" s="236"/>
      <c r="TX170" s="236"/>
      <c r="TY170" s="236"/>
      <c r="TZ170" s="236"/>
      <c r="UA170" s="236"/>
      <c r="UB170" s="236"/>
      <c r="UC170" s="236"/>
      <c r="UD170" s="236"/>
      <c r="UE170" s="236"/>
      <c r="UF170" s="236"/>
      <c r="UG170" s="236"/>
      <c r="UH170" s="236"/>
      <c r="UI170" s="236"/>
      <c r="UJ170" s="236"/>
      <c r="UK170" s="236"/>
      <c r="UL170" s="236"/>
      <c r="UM170" s="236"/>
      <c r="UN170" s="236"/>
      <c r="UO170" s="236"/>
      <c r="UP170" s="236"/>
      <c r="UQ170" s="236"/>
      <c r="UR170" s="236"/>
      <c r="US170" s="236"/>
      <c r="UT170" s="236"/>
      <c r="UU170" s="236"/>
      <c r="UV170" s="236"/>
      <c r="UW170" s="236"/>
      <c r="UX170" s="236"/>
      <c r="UY170" s="236"/>
      <c r="UZ170" s="236"/>
      <c r="VA170" s="236"/>
      <c r="VB170" s="236"/>
      <c r="VC170" s="236"/>
      <c r="VD170" s="236"/>
      <c r="VE170" s="236"/>
      <c r="VF170" s="236"/>
      <c r="VG170" s="236"/>
      <c r="VH170" s="236"/>
      <c r="VI170" s="236"/>
      <c r="VJ170" s="236"/>
      <c r="VK170" s="236"/>
      <c r="VL170" s="236"/>
      <c r="VM170" s="236"/>
      <c r="VN170" s="236"/>
      <c r="VO170" s="236"/>
      <c r="VP170" s="236"/>
      <c r="VQ170" s="236"/>
      <c r="VR170" s="236"/>
      <c r="VS170" s="236"/>
      <c r="VT170" s="236"/>
      <c r="VU170" s="236"/>
      <c r="VV170" s="236"/>
      <c r="VW170" s="236"/>
      <c r="VX170" s="236"/>
      <c r="VY170" s="236"/>
      <c r="VZ170" s="236"/>
      <c r="WA170" s="236"/>
      <c r="WB170" s="236"/>
      <c r="WC170" s="236"/>
      <c r="WD170" s="236"/>
      <c r="WE170" s="236"/>
      <c r="WF170" s="236"/>
      <c r="WG170" s="236"/>
      <c r="WH170" s="236"/>
      <c r="WI170" s="236"/>
      <c r="WJ170" s="236"/>
      <c r="WK170" s="236"/>
      <c r="WL170" s="236"/>
      <c r="WM170" s="236"/>
      <c r="WN170" s="236"/>
      <c r="WO170" s="236"/>
      <c r="WP170" s="236"/>
      <c r="WQ170" s="236"/>
      <c r="WR170" s="236"/>
      <c r="WS170" s="236"/>
      <c r="WT170" s="236"/>
      <c r="WU170" s="236"/>
      <c r="WV170" s="236"/>
      <c r="WW170" s="236"/>
      <c r="WX170" s="236"/>
      <c r="WY170" s="236"/>
      <c r="WZ170" s="236"/>
      <c r="XA170" s="236"/>
      <c r="XB170" s="236"/>
      <c r="XC170" s="236"/>
      <c r="XD170" s="236"/>
      <c r="XE170" s="236"/>
      <c r="XF170" s="236"/>
      <c r="XG170" s="236"/>
      <c r="XH170" s="236"/>
      <c r="XI170" s="236"/>
      <c r="XJ170" s="236"/>
      <c r="XK170" s="236"/>
      <c r="XL170" s="236"/>
      <c r="XM170" s="236"/>
      <c r="XN170" s="236"/>
      <c r="XO170" s="236"/>
      <c r="XP170" s="236"/>
      <c r="XQ170" s="236"/>
      <c r="XR170" s="236"/>
      <c r="XS170" s="236"/>
      <c r="XT170" s="236"/>
      <c r="XU170" s="236"/>
      <c r="XV170" s="236"/>
      <c r="XW170" s="236"/>
      <c r="XX170" s="236"/>
      <c r="XY170" s="236"/>
      <c r="XZ170" s="236"/>
      <c r="YA170" s="236"/>
      <c r="YB170" s="236"/>
      <c r="YC170" s="236"/>
      <c r="YD170" s="236"/>
      <c r="YE170" s="236"/>
      <c r="YF170" s="236"/>
      <c r="YG170" s="236"/>
      <c r="YH170" s="236"/>
      <c r="YI170" s="236"/>
      <c r="YJ170" s="236"/>
      <c r="YK170" s="236"/>
      <c r="YL170" s="236"/>
      <c r="YM170" s="236"/>
      <c r="YN170" s="236"/>
      <c r="YO170" s="236"/>
      <c r="YP170" s="236"/>
      <c r="YQ170" s="236"/>
      <c r="YR170" s="236"/>
      <c r="YS170" s="236"/>
      <c r="YT170" s="236"/>
      <c r="YU170" s="236"/>
      <c r="YV170" s="236"/>
      <c r="YW170" s="236"/>
      <c r="YX170" s="236"/>
      <c r="YY170" s="236"/>
      <c r="YZ170" s="236"/>
      <c r="ZA170" s="236"/>
      <c r="ZB170" s="236"/>
      <c r="ZC170" s="236"/>
      <c r="ZD170" s="236"/>
      <c r="ZE170" s="236"/>
      <c r="ZF170" s="236"/>
      <c r="ZG170" s="236"/>
      <c r="ZH170" s="236"/>
      <c r="ZI170" s="236"/>
      <c r="ZJ170" s="236"/>
      <c r="ZK170" s="236"/>
      <c r="ZL170" s="236"/>
      <c r="ZM170" s="236"/>
      <c r="ZN170" s="236"/>
      <c r="ZO170" s="236"/>
      <c r="ZP170" s="236"/>
      <c r="ZQ170" s="236"/>
      <c r="ZR170" s="236"/>
      <c r="ZS170" s="236"/>
      <c r="ZT170" s="236"/>
      <c r="ZU170" s="236"/>
      <c r="ZV170" s="236"/>
      <c r="ZW170" s="236"/>
      <c r="ZX170" s="236"/>
      <c r="ZY170" s="236"/>
      <c r="ZZ170" s="236"/>
      <c r="AAA170" s="236"/>
      <c r="AAB170" s="236"/>
      <c r="AAC170" s="236"/>
      <c r="AAD170" s="236"/>
      <c r="AAE170" s="236"/>
      <c r="AAF170" s="236"/>
      <c r="AAG170" s="236"/>
      <c r="AAH170" s="236"/>
      <c r="AAI170" s="236"/>
      <c r="AAJ170" s="236"/>
      <c r="AAK170" s="236"/>
      <c r="AAL170" s="236"/>
      <c r="AAM170" s="236"/>
      <c r="AAN170" s="236"/>
      <c r="AAO170" s="236"/>
      <c r="AAP170" s="236"/>
      <c r="AAQ170" s="236"/>
      <c r="AAR170" s="236"/>
      <c r="AAS170" s="236"/>
      <c r="AAT170" s="236"/>
      <c r="AAU170" s="236"/>
      <c r="AAV170" s="236"/>
      <c r="AAW170" s="236"/>
      <c r="AAX170" s="236"/>
      <c r="AAY170" s="236"/>
      <c r="AAZ170" s="236"/>
      <c r="ABA170" s="236"/>
      <c r="ABB170" s="236"/>
      <c r="ABC170" s="236"/>
      <c r="ABD170" s="236"/>
      <c r="ABE170" s="236"/>
      <c r="ABF170" s="236"/>
      <c r="ABG170" s="236"/>
      <c r="ABH170" s="236"/>
      <c r="ABI170" s="236"/>
      <c r="ABJ170" s="236"/>
      <c r="ABK170" s="236"/>
      <c r="ABL170" s="236"/>
      <c r="ABM170" s="236"/>
      <c r="ABN170" s="236"/>
      <c r="ABO170" s="236"/>
      <c r="ABP170" s="236"/>
      <c r="ABQ170" s="236"/>
      <c r="ABR170" s="236"/>
      <c r="ABS170" s="236"/>
      <c r="ABT170" s="236"/>
      <c r="ABU170" s="236"/>
      <c r="ABV170" s="236"/>
      <c r="ABW170" s="236"/>
      <c r="ABX170" s="236"/>
      <c r="ABY170" s="236"/>
      <c r="ABZ170" s="236"/>
      <c r="ACA170" s="236"/>
      <c r="ACB170" s="236"/>
      <c r="ACC170" s="236"/>
      <c r="ACD170" s="236"/>
      <c r="ACE170" s="236"/>
      <c r="ACF170" s="236"/>
      <c r="ACG170" s="236"/>
      <c r="ACH170" s="236"/>
      <c r="ACI170" s="236"/>
      <c r="ACJ170" s="236"/>
      <c r="ACK170" s="236"/>
      <c r="ACL170" s="236"/>
      <c r="ACM170" s="236"/>
      <c r="ACN170" s="236"/>
      <c r="ACO170" s="236"/>
      <c r="ACP170" s="236"/>
      <c r="ACQ170" s="236"/>
      <c r="ACR170" s="236"/>
      <c r="ACS170" s="236"/>
      <c r="ACT170" s="236"/>
      <c r="ACU170" s="236"/>
      <c r="ACV170" s="236"/>
      <c r="ACW170" s="236"/>
      <c r="ACX170" s="236"/>
      <c r="ACY170" s="236"/>
      <c r="ACZ170" s="236"/>
      <c r="ADA170" s="236"/>
      <c r="ADB170" s="236"/>
      <c r="ADC170" s="236"/>
      <c r="ADD170" s="236"/>
      <c r="ADE170" s="236"/>
      <c r="ADF170" s="236"/>
      <c r="ADG170" s="236"/>
      <c r="ADH170" s="236"/>
      <c r="ADI170" s="236"/>
      <c r="ADJ170" s="236"/>
      <c r="ADK170" s="236"/>
      <c r="ADL170" s="236"/>
      <c r="ADM170" s="236"/>
      <c r="ADN170" s="236"/>
      <c r="ADO170" s="236"/>
      <c r="ADP170" s="236"/>
      <c r="ADQ170" s="236"/>
      <c r="ADR170" s="236"/>
      <c r="ADS170" s="236"/>
      <c r="ADT170" s="236"/>
      <c r="ADU170" s="236"/>
      <c r="ADV170" s="236"/>
      <c r="ADW170" s="236"/>
      <c r="ADX170" s="236"/>
      <c r="ADY170" s="236"/>
      <c r="ADZ170" s="236"/>
      <c r="AEA170" s="236"/>
      <c r="AEB170" s="236"/>
      <c r="AEC170" s="236"/>
      <c r="AED170" s="236"/>
      <c r="AEE170" s="236"/>
      <c r="AEF170" s="236"/>
      <c r="AEG170" s="236"/>
      <c r="AEH170" s="236"/>
      <c r="AEI170" s="236"/>
      <c r="AEJ170" s="236"/>
      <c r="AEK170" s="236"/>
      <c r="AEL170" s="236"/>
      <c r="AEM170" s="236"/>
      <c r="AEN170" s="236"/>
      <c r="AEO170" s="236"/>
      <c r="AEP170" s="236"/>
      <c r="AEQ170" s="236"/>
      <c r="AER170" s="236"/>
      <c r="AES170" s="236"/>
      <c r="AET170" s="236"/>
      <c r="AEU170" s="236"/>
      <c r="AEV170" s="236"/>
      <c r="AEW170" s="236"/>
      <c r="AEX170" s="236"/>
      <c r="AEY170" s="236"/>
      <c r="AEZ170" s="236"/>
      <c r="AFA170" s="236"/>
      <c r="AFB170" s="236"/>
      <c r="AFC170" s="236"/>
      <c r="AFD170" s="236"/>
      <c r="AFE170" s="236"/>
      <c r="AFF170" s="236"/>
      <c r="AFG170" s="236"/>
      <c r="AFH170" s="236"/>
      <c r="AFI170" s="236"/>
      <c r="AFJ170" s="236"/>
      <c r="AFK170" s="236"/>
      <c r="AFL170" s="236"/>
      <c r="AFM170" s="236"/>
      <c r="AFN170" s="236"/>
      <c r="AFO170" s="236"/>
      <c r="AFP170" s="236"/>
      <c r="AFQ170" s="236"/>
      <c r="AFR170" s="236"/>
      <c r="AFS170" s="236"/>
      <c r="AFT170" s="236"/>
      <c r="AFU170" s="236"/>
      <c r="AFV170" s="236"/>
      <c r="AFW170" s="236"/>
      <c r="AFX170" s="236"/>
      <c r="AFY170" s="236"/>
      <c r="AFZ170" s="236"/>
      <c r="AGA170" s="236"/>
      <c r="AGB170" s="236"/>
      <c r="AGC170" s="236"/>
      <c r="AGD170" s="236"/>
      <c r="AGE170" s="236"/>
      <c r="AGF170" s="236"/>
      <c r="AGG170" s="236"/>
      <c r="AGH170" s="236"/>
      <c r="AGI170" s="236"/>
      <c r="AGJ170" s="236"/>
      <c r="AGK170" s="236"/>
      <c r="AGL170" s="236"/>
      <c r="AGM170" s="236"/>
      <c r="AGN170" s="236"/>
      <c r="AGO170" s="236"/>
      <c r="AGP170" s="236"/>
      <c r="AGQ170" s="236"/>
      <c r="AGR170" s="236"/>
      <c r="AGS170" s="236"/>
      <c r="AGT170" s="236"/>
      <c r="AGU170" s="236"/>
      <c r="AGV170" s="236"/>
      <c r="AGW170" s="236"/>
      <c r="AGX170" s="236"/>
      <c r="AGY170" s="236"/>
      <c r="AGZ170" s="236"/>
      <c r="AHA170" s="236"/>
      <c r="AHB170" s="236"/>
      <c r="AHC170" s="236"/>
      <c r="AHD170" s="236"/>
      <c r="AHE170" s="236"/>
      <c r="AHF170" s="236"/>
      <c r="AHG170" s="236"/>
      <c r="AHH170" s="236"/>
      <c r="AHI170" s="236"/>
      <c r="AHJ170" s="236"/>
      <c r="AHK170" s="236"/>
      <c r="AHL170" s="236"/>
      <c r="AHM170" s="236"/>
      <c r="AHN170" s="236"/>
      <c r="AHO170" s="236"/>
      <c r="AHP170" s="236"/>
      <c r="AHQ170" s="236"/>
      <c r="AHR170" s="236"/>
      <c r="AHS170" s="236"/>
      <c r="AHT170" s="236"/>
      <c r="AHU170" s="236"/>
      <c r="AHV170" s="236"/>
      <c r="AHW170" s="236"/>
      <c r="AHX170" s="236"/>
      <c r="AHY170" s="236"/>
      <c r="AHZ170" s="236"/>
      <c r="AIA170" s="236"/>
      <c r="AIB170" s="236"/>
      <c r="AIC170" s="236"/>
      <c r="AID170" s="236"/>
      <c r="AIE170" s="236"/>
      <c r="AIF170" s="236"/>
      <c r="AIG170" s="236"/>
      <c r="AIH170" s="236"/>
      <c r="AII170" s="236"/>
      <c r="AIJ170" s="236"/>
      <c r="AIK170" s="236"/>
      <c r="AIL170" s="236"/>
      <c r="AIM170" s="236"/>
      <c r="AIN170" s="236"/>
      <c r="AIO170" s="236"/>
      <c r="AIP170" s="236"/>
      <c r="AIQ170" s="236"/>
      <c r="AIR170" s="236"/>
      <c r="AIS170" s="236"/>
      <c r="AIT170" s="236"/>
      <c r="AIU170" s="236"/>
      <c r="AIV170" s="236"/>
      <c r="AIW170" s="236"/>
      <c r="AIX170" s="236"/>
      <c r="AIY170" s="236"/>
      <c r="AIZ170" s="236"/>
      <c r="AJA170" s="236"/>
      <c r="AJB170" s="236"/>
      <c r="AJC170" s="236"/>
      <c r="AJD170" s="236"/>
      <c r="AJE170" s="236"/>
      <c r="AJF170" s="236"/>
      <c r="AJG170" s="236"/>
      <c r="AJH170" s="236"/>
      <c r="AJI170" s="236"/>
      <c r="AJJ170" s="236"/>
      <c r="AJK170" s="236"/>
      <c r="AJL170" s="236"/>
      <c r="AJM170" s="236"/>
      <c r="AJN170" s="236"/>
      <c r="AJO170" s="236"/>
      <c r="AJP170" s="236"/>
      <c r="AJQ170" s="236"/>
      <c r="AJR170" s="236"/>
      <c r="AJS170" s="236"/>
      <c r="AJT170" s="236"/>
      <c r="AJU170" s="236"/>
      <c r="AJV170" s="236"/>
      <c r="AJW170" s="236"/>
      <c r="AJX170" s="236"/>
      <c r="AJY170" s="236"/>
      <c r="AJZ170" s="236"/>
      <c r="AKA170" s="236"/>
      <c r="AKB170" s="236"/>
      <c r="AKC170" s="236"/>
      <c r="AKD170" s="236"/>
      <c r="AKE170" s="236"/>
      <c r="AKF170" s="236"/>
      <c r="AKG170" s="236"/>
      <c r="AKH170" s="236"/>
      <c r="AKI170" s="236"/>
      <c r="AKJ170" s="236"/>
      <c r="AKK170" s="236"/>
      <c r="AKL170" s="236"/>
      <c r="AKM170" s="236"/>
      <c r="AKN170" s="236"/>
      <c r="AKO170" s="236"/>
      <c r="AKP170" s="236"/>
      <c r="AKQ170" s="236"/>
      <c r="AKR170" s="236"/>
      <c r="AKS170" s="236"/>
      <c r="AKT170" s="236"/>
      <c r="AKU170" s="236"/>
      <c r="AKV170" s="236"/>
      <c r="AKW170" s="236"/>
      <c r="AKX170" s="236"/>
      <c r="AKY170" s="236"/>
      <c r="AKZ170" s="236"/>
      <c r="ALA170" s="236"/>
      <c r="ALB170" s="236"/>
      <c r="ALC170" s="236"/>
      <c r="ALD170" s="236"/>
      <c r="ALE170" s="236"/>
      <c r="ALF170" s="236"/>
      <c r="ALG170" s="236"/>
      <c r="ALH170" s="236"/>
      <c r="ALI170" s="236"/>
      <c r="ALJ170" s="236"/>
      <c r="ALK170" s="236"/>
      <c r="ALL170" s="236"/>
      <c r="ALM170" s="236"/>
      <c r="ALN170" s="236"/>
      <c r="ALO170" s="236"/>
      <c r="ALP170" s="236"/>
      <c r="ALQ170" s="236"/>
      <c r="ALR170" s="236"/>
      <c r="ALS170" s="236"/>
      <c r="ALT170" s="236"/>
      <c r="ALU170" s="236"/>
      <c r="ALV170" s="236"/>
      <c r="ALW170" s="236"/>
      <c r="ALX170" s="236"/>
      <c r="ALY170" s="236"/>
      <c r="ALZ170" s="236"/>
      <c r="AMA170" s="236"/>
      <c r="AMB170" s="236"/>
      <c r="AMC170" s="236"/>
      <c r="AMD170" s="236"/>
      <c r="AME170" s="236"/>
      <c r="AMF170" s="236"/>
      <c r="AMG170" s="236"/>
      <c r="AMH170" s="236"/>
      <c r="AMI170" s="236"/>
      <c r="AMJ170" s="236"/>
      <c r="AMK170" s="236"/>
      <c r="AML170" s="236"/>
      <c r="AMM170" s="236"/>
    </row>
    <row r="171" spans="1:1027" s="773" customFormat="1" ht="54" customHeight="1">
      <c r="A171" s="1594" t="s">
        <v>2996</v>
      </c>
      <c r="B171" s="1595"/>
      <c r="C171" s="1595"/>
      <c r="D171" s="1595"/>
      <c r="E171" s="1595"/>
      <c r="F171" s="1595"/>
      <c r="G171" s="1595"/>
      <c r="H171" s="1595"/>
      <c r="I171" s="1595"/>
      <c r="J171" s="1595"/>
      <c r="K171" s="1595"/>
      <c r="L171" s="1596"/>
      <c r="M171" s="765"/>
      <c r="N171" s="770" t="s">
        <v>650</v>
      </c>
      <c r="O171" s="770"/>
      <c r="P171" s="771"/>
      <c r="Q171" s="771"/>
      <c r="R171" s="771"/>
      <c r="S171" s="771"/>
      <c r="T171" s="771"/>
      <c r="U171" s="771"/>
      <c r="V171" s="771"/>
      <c r="W171" s="771"/>
      <c r="X171" s="772"/>
      <c r="Y171" s="772"/>
      <c r="Z171" s="772"/>
      <c r="AA171" s="772"/>
      <c r="AB171" s="772"/>
      <c r="AC171" s="772"/>
      <c r="AD171" s="771"/>
      <c r="AE171" s="771"/>
      <c r="AF171" s="771"/>
      <c r="AG171" s="771"/>
      <c r="AH171" s="771"/>
      <c r="AI171" s="771"/>
      <c r="AJ171" s="765"/>
      <c r="AK171" s="765"/>
      <c r="AL171" s="765"/>
      <c r="AM171" s="765"/>
      <c r="AN171" s="769"/>
      <c r="AO171" s="769"/>
      <c r="AP171" s="769"/>
      <c r="AQ171" s="769"/>
      <c r="AR171" s="769"/>
      <c r="AS171" s="769"/>
      <c r="AT171" s="769"/>
      <c r="AU171" s="769"/>
      <c r="AV171" s="769"/>
      <c r="AW171" s="769"/>
      <c r="AX171" s="769"/>
    </row>
    <row r="172" spans="1:1027" s="773" customFormat="1" ht="54" customHeight="1">
      <c r="A172" s="1597"/>
      <c r="B172" s="1598"/>
      <c r="C172" s="1598"/>
      <c r="D172" s="1598"/>
      <c r="E172" s="1598"/>
      <c r="F172" s="1598"/>
      <c r="G172" s="1598"/>
      <c r="H172" s="1598"/>
      <c r="I172" s="1598"/>
      <c r="J172" s="1598"/>
      <c r="K172" s="1598"/>
      <c r="L172" s="1599"/>
      <c r="M172" s="774"/>
      <c r="N172" s="1600" t="s">
        <v>278</v>
      </c>
      <c r="O172" s="1601"/>
      <c r="P172" s="1601"/>
      <c r="Q172" s="1601"/>
      <c r="R172" s="1602"/>
      <c r="S172" s="775"/>
      <c r="T172" s="775"/>
      <c r="U172" s="775"/>
      <c r="V172" s="1600" t="s">
        <v>170</v>
      </c>
      <c r="W172" s="1601"/>
      <c r="X172" s="1601"/>
      <c r="Y172" s="1601"/>
      <c r="Z172" s="1602"/>
      <c r="AA172" s="1088"/>
      <c r="AB172" s="1600" t="s">
        <v>171</v>
      </c>
      <c r="AC172" s="1602"/>
      <c r="AD172" s="1600" t="s">
        <v>172</v>
      </c>
      <c r="AE172" s="1601"/>
      <c r="AF172" s="1601"/>
      <c r="AG172" s="1601"/>
      <c r="AH172" s="1601"/>
      <c r="AI172" s="1601"/>
      <c r="AJ172" s="1601"/>
      <c r="AK172" s="1601"/>
      <c r="AL172" s="1601"/>
      <c r="AM172" s="1602"/>
      <c r="AN172" s="769"/>
      <c r="AO172" s="769"/>
      <c r="AP172" s="769"/>
      <c r="AQ172" s="769"/>
      <c r="AR172" s="769"/>
      <c r="AS172" s="769"/>
      <c r="AT172" s="769"/>
      <c r="AU172" s="769"/>
      <c r="AV172" s="769"/>
      <c r="AW172" s="769"/>
      <c r="AX172" s="769"/>
    </row>
    <row r="173" spans="1:1027" s="773" customFormat="1" ht="54" customHeight="1">
      <c r="A173" s="1603" t="s">
        <v>3358</v>
      </c>
      <c r="B173" s="1604"/>
      <c r="C173" s="1604"/>
      <c r="D173" s="1604"/>
      <c r="E173" s="1604"/>
      <c r="F173" s="1604"/>
      <c r="G173" s="1604"/>
      <c r="H173" s="1604"/>
      <c r="I173" s="1604"/>
      <c r="J173" s="1604"/>
      <c r="K173" s="1604"/>
      <c r="L173" s="1604"/>
      <c r="M173" s="776"/>
      <c r="N173" s="1591" t="s">
        <v>1153</v>
      </c>
      <c r="O173" s="1592"/>
      <c r="P173" s="1592"/>
      <c r="Q173" s="1592"/>
      <c r="R173" s="1593"/>
      <c r="S173" s="777"/>
      <c r="T173" s="777"/>
      <c r="U173" s="777"/>
      <c r="V173" s="1591" t="s">
        <v>223</v>
      </c>
      <c r="W173" s="1592"/>
      <c r="X173" s="1592"/>
      <c r="Y173" s="1592"/>
      <c r="Z173" s="1593"/>
      <c r="AA173" s="1087"/>
      <c r="AB173" s="1605" t="s">
        <v>2997</v>
      </c>
      <c r="AC173" s="1606"/>
      <c r="AD173" s="1591"/>
      <c r="AE173" s="1592"/>
      <c r="AF173" s="1592"/>
      <c r="AG173" s="1592"/>
      <c r="AH173" s="1592"/>
      <c r="AI173" s="1592"/>
      <c r="AJ173" s="1592"/>
      <c r="AK173" s="1592"/>
      <c r="AL173" s="1592"/>
      <c r="AM173" s="1593"/>
      <c r="AN173" s="769"/>
      <c r="AO173" s="769"/>
      <c r="AP173" s="769"/>
      <c r="AQ173" s="769"/>
      <c r="AR173" s="769"/>
      <c r="AS173" s="769"/>
      <c r="AT173" s="769"/>
      <c r="AU173" s="769"/>
      <c r="AV173" s="769"/>
      <c r="AW173" s="769"/>
      <c r="AX173" s="769"/>
    </row>
    <row r="174" spans="1:1027" s="773" customFormat="1" ht="54" customHeight="1">
      <c r="A174" s="1604"/>
      <c r="B174" s="1604"/>
      <c r="C174" s="1604"/>
      <c r="D174" s="1604"/>
      <c r="E174" s="1604"/>
      <c r="F174" s="1604"/>
      <c r="G174" s="1604"/>
      <c r="H174" s="1604"/>
      <c r="I174" s="1604"/>
      <c r="J174" s="1604"/>
      <c r="K174" s="1604"/>
      <c r="L174" s="1604"/>
      <c r="M174" s="776"/>
      <c r="N174" s="1591"/>
      <c r="O174" s="1592"/>
      <c r="P174" s="1592"/>
      <c r="Q174" s="1592"/>
      <c r="R174" s="1593"/>
      <c r="S174" s="777"/>
      <c r="T174" s="777"/>
      <c r="U174" s="777"/>
      <c r="V174" s="1591"/>
      <c r="W174" s="1592"/>
      <c r="X174" s="1592"/>
      <c r="Y174" s="1592"/>
      <c r="Z174" s="1593"/>
      <c r="AA174" s="1087"/>
      <c r="AB174" s="1591"/>
      <c r="AC174" s="1593"/>
      <c r="AD174" s="1591"/>
      <c r="AE174" s="1592"/>
      <c r="AF174" s="1592"/>
      <c r="AG174" s="1592"/>
      <c r="AH174" s="1592"/>
      <c r="AI174" s="1592"/>
      <c r="AJ174" s="1592"/>
      <c r="AK174" s="1592"/>
      <c r="AL174" s="1592"/>
      <c r="AM174" s="1593"/>
      <c r="AN174" s="769"/>
      <c r="AO174" s="769"/>
      <c r="AP174" s="769"/>
      <c r="AQ174" s="769"/>
      <c r="AR174" s="769"/>
      <c r="AS174" s="769"/>
      <c r="AT174" s="769"/>
      <c r="AU174" s="769"/>
      <c r="AV174" s="769"/>
      <c r="AW174" s="769"/>
      <c r="AX174" s="769"/>
    </row>
    <row r="175" spans="1:1027" s="243" customFormat="1" ht="30" customHeight="1">
      <c r="A175" s="300"/>
      <c r="B175" s="300"/>
      <c r="C175" s="300"/>
      <c r="D175" s="300"/>
      <c r="E175" s="300"/>
      <c r="F175" s="300"/>
      <c r="G175" s="300"/>
      <c r="H175" s="300"/>
      <c r="I175" s="300"/>
      <c r="J175" s="300"/>
      <c r="K175" s="300"/>
      <c r="L175" s="300"/>
      <c r="M175" s="285"/>
      <c r="N175" s="1407"/>
      <c r="O175" s="1407"/>
      <c r="P175" s="1407"/>
      <c r="Q175" s="1407"/>
      <c r="R175" s="1407"/>
      <c r="S175" s="285"/>
      <c r="T175" s="285"/>
      <c r="U175" s="285"/>
      <c r="V175" s="1407"/>
      <c r="W175" s="1407"/>
      <c r="X175" s="1407"/>
      <c r="Y175" s="1407"/>
      <c r="Z175" s="1407"/>
      <c r="AA175" s="1080"/>
      <c r="AB175" s="612"/>
      <c r="AC175" s="612"/>
      <c r="AD175" s="285"/>
      <c r="AE175" s="285"/>
      <c r="AF175" s="285"/>
      <c r="AG175" s="285"/>
      <c r="AH175" s="285"/>
      <c r="AI175" s="285"/>
      <c r="AJ175" s="285"/>
      <c r="AK175" s="285"/>
      <c r="AL175" s="285"/>
      <c r="AM175" s="285"/>
      <c r="AN175" s="245"/>
      <c r="AO175" s="245"/>
      <c r="AP175" s="245"/>
      <c r="AQ175" s="245"/>
      <c r="AR175" s="245"/>
      <c r="AS175" s="245"/>
      <c r="AT175" s="245"/>
      <c r="AU175" s="245"/>
      <c r="AV175" s="245"/>
      <c r="AW175" s="245"/>
      <c r="AX175" s="245"/>
    </row>
    <row r="176" spans="1:1027">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row>
    <row r="177" spans="1:39">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row>
  </sheetData>
  <sheetProtection formatCells="0" formatColumns="0" formatRows="0" insertRows="0" deleteColumns="0" sort="0" autoFilter="0"/>
  <mergeCells count="731">
    <mergeCell ref="AW1:AX4"/>
    <mergeCell ref="G2:V2"/>
    <mergeCell ref="AP2:AQ2"/>
    <mergeCell ref="AR2:AS2"/>
    <mergeCell ref="A3:A4"/>
    <mergeCell ref="G3:H3"/>
    <mergeCell ref="I3:N3"/>
    <mergeCell ref="O3:V3"/>
    <mergeCell ref="Z3:AB4"/>
    <mergeCell ref="AC3:AC4"/>
    <mergeCell ref="G1:V1"/>
    <mergeCell ref="X1:Y4"/>
    <mergeCell ref="Z1:AB2"/>
    <mergeCell ref="AC1:AC2"/>
    <mergeCell ref="AD1:AN2"/>
    <mergeCell ref="AP1:AS1"/>
    <mergeCell ref="AD3:AN4"/>
    <mergeCell ref="AP3:AQ3"/>
    <mergeCell ref="AR3:AS3"/>
    <mergeCell ref="G4:H4"/>
    <mergeCell ref="I4:N4"/>
    <mergeCell ref="O4:V4"/>
    <mergeCell ref="AP4:AQ4"/>
    <mergeCell ref="AR4:AS4"/>
    <mergeCell ref="AT6:AX6"/>
    <mergeCell ref="A7:A8"/>
    <mergeCell ref="B7:B8"/>
    <mergeCell ref="C7:E8"/>
    <mergeCell ref="F7:F8"/>
    <mergeCell ref="G7:I8"/>
    <mergeCell ref="J7:L8"/>
    <mergeCell ref="M7:P7"/>
    <mergeCell ref="Q7:V7"/>
    <mergeCell ref="X7:Z8"/>
    <mergeCell ref="AX7:AX8"/>
    <mergeCell ref="AR7:AR8"/>
    <mergeCell ref="AS7:AS8"/>
    <mergeCell ref="AT7:AT8"/>
    <mergeCell ref="AU7:AU8"/>
    <mergeCell ref="AV7:AV8"/>
    <mergeCell ref="AW7:AW8"/>
    <mergeCell ref="A6:P6"/>
    <mergeCell ref="Q6:V6"/>
    <mergeCell ref="X6:AM6"/>
    <mergeCell ref="AA7:AA8"/>
    <mergeCell ref="A9:A12"/>
    <mergeCell ref="B9:B12"/>
    <mergeCell ref="C9:E12"/>
    <mergeCell ref="F9:F12"/>
    <mergeCell ref="G9:I12"/>
    <mergeCell ref="J9:L12"/>
    <mergeCell ref="AO7:AO8"/>
    <mergeCell ref="AP7:AP8"/>
    <mergeCell ref="AQ7:AQ8"/>
    <mergeCell ref="AB7:AB8"/>
    <mergeCell ref="AC7:AC8"/>
    <mergeCell ref="AD7:AD8"/>
    <mergeCell ref="AE7:AE8"/>
    <mergeCell ref="AI7:AM7"/>
    <mergeCell ref="AN7:AN8"/>
    <mergeCell ref="M9:M12"/>
    <mergeCell ref="N9:N12"/>
    <mergeCell ref="O9:O12"/>
    <mergeCell ref="P9:P12"/>
    <mergeCell ref="Q9:Q12"/>
    <mergeCell ref="R9:R12"/>
    <mergeCell ref="AA9:AA12"/>
    <mergeCell ref="AW9:AW12"/>
    <mergeCell ref="AX9:AX12"/>
    <mergeCell ref="C13:E13"/>
    <mergeCell ref="G13:I13"/>
    <mergeCell ref="J13:L13"/>
    <mergeCell ref="X13:Z13"/>
    <mergeCell ref="AQ9:AQ12"/>
    <mergeCell ref="AR9:AR12"/>
    <mergeCell ref="AS9:AS12"/>
    <mergeCell ref="AT9:AT12"/>
    <mergeCell ref="AU9:AU12"/>
    <mergeCell ref="AV9:AV12"/>
    <mergeCell ref="AI9:AI12"/>
    <mergeCell ref="AK9:AK12"/>
    <mergeCell ref="AM9:AM12"/>
    <mergeCell ref="AN9:AN12"/>
    <mergeCell ref="AO9:AO12"/>
    <mergeCell ref="AP9:AP12"/>
    <mergeCell ref="V9:V12"/>
    <mergeCell ref="X9:Z12"/>
    <mergeCell ref="AB9:AB12"/>
    <mergeCell ref="AC9:AC12"/>
    <mergeCell ref="AD9:AD12"/>
    <mergeCell ref="AE9:AE12"/>
    <mergeCell ref="C16:E16"/>
    <mergeCell ref="G16:I16"/>
    <mergeCell ref="J16:L16"/>
    <mergeCell ref="X16:Z16"/>
    <mergeCell ref="C17:E17"/>
    <mergeCell ref="G17:I17"/>
    <mergeCell ref="J17:L17"/>
    <mergeCell ref="X17:Z17"/>
    <mergeCell ref="C14:E14"/>
    <mergeCell ref="G14:I14"/>
    <mergeCell ref="J14:L14"/>
    <mergeCell ref="X14:Z14"/>
    <mergeCell ref="C15:E15"/>
    <mergeCell ref="G15:I15"/>
    <mergeCell ref="J15:L15"/>
    <mergeCell ref="X15:Z15"/>
    <mergeCell ref="C20:E20"/>
    <mergeCell ref="G20:I20"/>
    <mergeCell ref="J20:L20"/>
    <mergeCell ref="X20:Z20"/>
    <mergeCell ref="C21:E21"/>
    <mergeCell ref="G21:I21"/>
    <mergeCell ref="J21:L21"/>
    <mergeCell ref="X21:Z21"/>
    <mergeCell ref="C18:E18"/>
    <mergeCell ref="G18:I18"/>
    <mergeCell ref="J18:L18"/>
    <mergeCell ref="X18:Z18"/>
    <mergeCell ref="C19:E19"/>
    <mergeCell ref="G19:I19"/>
    <mergeCell ref="J19:L19"/>
    <mergeCell ref="X19:Z19"/>
    <mergeCell ref="C24:E24"/>
    <mergeCell ref="G24:I24"/>
    <mergeCell ref="J24:L24"/>
    <mergeCell ref="X24:Z24"/>
    <mergeCell ref="C25:E25"/>
    <mergeCell ref="G25:I25"/>
    <mergeCell ref="J25:L25"/>
    <mergeCell ref="X25:Z25"/>
    <mergeCell ref="C22:E22"/>
    <mergeCell ref="G22:I22"/>
    <mergeCell ref="J22:L22"/>
    <mergeCell ref="X22:Z22"/>
    <mergeCell ref="C23:E23"/>
    <mergeCell ref="G23:I23"/>
    <mergeCell ref="J23:L23"/>
    <mergeCell ref="X23:Z23"/>
    <mergeCell ref="C28:E28"/>
    <mergeCell ref="G28:I28"/>
    <mergeCell ref="J28:L28"/>
    <mergeCell ref="X28:Z28"/>
    <mergeCell ref="C29:E29"/>
    <mergeCell ref="G29:I29"/>
    <mergeCell ref="J29:L29"/>
    <mergeCell ref="X29:Z29"/>
    <mergeCell ref="C26:E26"/>
    <mergeCell ref="G26:I26"/>
    <mergeCell ref="J26:L26"/>
    <mergeCell ref="X26:Z26"/>
    <mergeCell ref="C27:E27"/>
    <mergeCell ref="G27:I27"/>
    <mergeCell ref="J27:L27"/>
    <mergeCell ref="X27:Z27"/>
    <mergeCell ref="C32:E32"/>
    <mergeCell ref="G32:I32"/>
    <mergeCell ref="J32:L32"/>
    <mergeCell ref="X32:Z32"/>
    <mergeCell ref="C33:E33"/>
    <mergeCell ref="G33:I33"/>
    <mergeCell ref="J33:L33"/>
    <mergeCell ref="X33:Z33"/>
    <mergeCell ref="C30:E30"/>
    <mergeCell ref="G30:I30"/>
    <mergeCell ref="J30:L30"/>
    <mergeCell ref="X30:Z30"/>
    <mergeCell ref="C31:E31"/>
    <mergeCell ref="G31:I31"/>
    <mergeCell ref="J31:L31"/>
    <mergeCell ref="X31:Z31"/>
    <mergeCell ref="C36:E36"/>
    <mergeCell ref="G36:I36"/>
    <mergeCell ref="J36:L36"/>
    <mergeCell ref="X36:Z36"/>
    <mergeCell ref="C37:E37"/>
    <mergeCell ref="G37:I37"/>
    <mergeCell ref="J37:L37"/>
    <mergeCell ref="X37:Z37"/>
    <mergeCell ref="C34:E34"/>
    <mergeCell ref="G34:I34"/>
    <mergeCell ref="J34:L34"/>
    <mergeCell ref="X34:Z34"/>
    <mergeCell ref="C35:E35"/>
    <mergeCell ref="G35:I35"/>
    <mergeCell ref="J35:L35"/>
    <mergeCell ref="X35:Z35"/>
    <mergeCell ref="C40:E40"/>
    <mergeCell ref="G40:I40"/>
    <mergeCell ref="J40:L40"/>
    <mergeCell ref="X40:Z40"/>
    <mergeCell ref="C41:E41"/>
    <mergeCell ref="G41:I41"/>
    <mergeCell ref="J41:L41"/>
    <mergeCell ref="X41:Z41"/>
    <mergeCell ref="C38:E38"/>
    <mergeCell ref="G38:I38"/>
    <mergeCell ref="J38:L38"/>
    <mergeCell ref="X38:Z38"/>
    <mergeCell ref="C39:E39"/>
    <mergeCell ref="G39:I39"/>
    <mergeCell ref="J39:L39"/>
    <mergeCell ref="X39:Z39"/>
    <mergeCell ref="C44:E44"/>
    <mergeCell ref="G44:I44"/>
    <mergeCell ref="J44:L44"/>
    <mergeCell ref="X44:Z44"/>
    <mergeCell ref="C45:E45"/>
    <mergeCell ref="G45:I45"/>
    <mergeCell ref="J45:L45"/>
    <mergeCell ref="X45:Z45"/>
    <mergeCell ref="C42:E42"/>
    <mergeCell ref="G42:I42"/>
    <mergeCell ref="J42:L42"/>
    <mergeCell ref="X42:Z42"/>
    <mergeCell ref="C43:E43"/>
    <mergeCell ref="G43:I43"/>
    <mergeCell ref="J43:L43"/>
    <mergeCell ref="X43:Z43"/>
    <mergeCell ref="C48:E48"/>
    <mergeCell ref="G48:I48"/>
    <mergeCell ref="J48:L48"/>
    <mergeCell ref="X48:Z48"/>
    <mergeCell ref="C49:E49"/>
    <mergeCell ref="G49:I49"/>
    <mergeCell ref="J49:L49"/>
    <mergeCell ref="X49:Z49"/>
    <mergeCell ref="C46:E46"/>
    <mergeCell ref="G46:I46"/>
    <mergeCell ref="J46:L46"/>
    <mergeCell ref="X46:Z46"/>
    <mergeCell ref="C47:E47"/>
    <mergeCell ref="G47:I47"/>
    <mergeCell ref="J47:L47"/>
    <mergeCell ref="X47:Z47"/>
    <mergeCell ref="C52:E52"/>
    <mergeCell ref="G52:I52"/>
    <mergeCell ref="J52:L52"/>
    <mergeCell ref="X52:Z52"/>
    <mergeCell ref="C53:E53"/>
    <mergeCell ref="G53:I53"/>
    <mergeCell ref="J53:L53"/>
    <mergeCell ref="X53:Z53"/>
    <mergeCell ref="C50:E50"/>
    <mergeCell ref="G50:I50"/>
    <mergeCell ref="J50:L50"/>
    <mergeCell ref="X50:Z50"/>
    <mergeCell ref="C51:E51"/>
    <mergeCell ref="G51:I51"/>
    <mergeCell ref="J51:L51"/>
    <mergeCell ref="X51:Z51"/>
    <mergeCell ref="C56:E56"/>
    <mergeCell ref="G56:I56"/>
    <mergeCell ref="J56:L56"/>
    <mergeCell ref="X56:Z56"/>
    <mergeCell ref="C57:E57"/>
    <mergeCell ref="G57:I57"/>
    <mergeCell ref="J57:L57"/>
    <mergeCell ref="X57:Z57"/>
    <mergeCell ref="C54:E54"/>
    <mergeCell ref="G54:I54"/>
    <mergeCell ref="J54:L54"/>
    <mergeCell ref="X54:Z54"/>
    <mergeCell ref="C55:E55"/>
    <mergeCell ref="G55:I55"/>
    <mergeCell ref="J55:L55"/>
    <mergeCell ref="X55:Z55"/>
    <mergeCell ref="C60:E60"/>
    <mergeCell ref="G60:I60"/>
    <mergeCell ref="J60:L60"/>
    <mergeCell ref="X60:Z60"/>
    <mergeCell ref="C61:E61"/>
    <mergeCell ref="G61:I61"/>
    <mergeCell ref="J61:L61"/>
    <mergeCell ref="X61:Z61"/>
    <mergeCell ref="C58:E58"/>
    <mergeCell ref="G58:I58"/>
    <mergeCell ref="J58:L58"/>
    <mergeCell ref="X58:Z58"/>
    <mergeCell ref="C59:E59"/>
    <mergeCell ref="G59:I59"/>
    <mergeCell ref="J59:L59"/>
    <mergeCell ref="X59:Z59"/>
    <mergeCell ref="C64:E64"/>
    <mergeCell ref="G64:I64"/>
    <mergeCell ref="J64:L64"/>
    <mergeCell ref="X64:Z64"/>
    <mergeCell ref="C65:E65"/>
    <mergeCell ref="G65:I65"/>
    <mergeCell ref="J65:L65"/>
    <mergeCell ref="X65:Z65"/>
    <mergeCell ref="C62:E62"/>
    <mergeCell ref="G62:I62"/>
    <mergeCell ref="J62:L62"/>
    <mergeCell ref="X62:Z62"/>
    <mergeCell ref="C63:E63"/>
    <mergeCell ref="G63:I63"/>
    <mergeCell ref="J63:L63"/>
    <mergeCell ref="X63:Z63"/>
    <mergeCell ref="C68:E68"/>
    <mergeCell ref="G68:I68"/>
    <mergeCell ref="J68:L68"/>
    <mergeCell ref="X68:Z68"/>
    <mergeCell ref="C69:E69"/>
    <mergeCell ref="G69:I69"/>
    <mergeCell ref="J69:L69"/>
    <mergeCell ref="X69:Z69"/>
    <mergeCell ref="C66:E66"/>
    <mergeCell ref="G66:I66"/>
    <mergeCell ref="J66:L66"/>
    <mergeCell ref="X66:Z66"/>
    <mergeCell ref="C67:E67"/>
    <mergeCell ref="G67:I67"/>
    <mergeCell ref="J67:L67"/>
    <mergeCell ref="X67:Z67"/>
    <mergeCell ref="C72:E72"/>
    <mergeCell ref="G72:I72"/>
    <mergeCell ref="J72:L72"/>
    <mergeCell ref="X72:Z72"/>
    <mergeCell ref="C73:E73"/>
    <mergeCell ref="G73:I73"/>
    <mergeCell ref="J73:L73"/>
    <mergeCell ref="X73:Z73"/>
    <mergeCell ref="C70:E70"/>
    <mergeCell ref="G70:I70"/>
    <mergeCell ref="J70:L70"/>
    <mergeCell ref="X70:Z70"/>
    <mergeCell ref="C71:E71"/>
    <mergeCell ref="G71:I71"/>
    <mergeCell ref="J71:L71"/>
    <mergeCell ref="X71:Z71"/>
    <mergeCell ref="C76:E76"/>
    <mergeCell ref="G76:I76"/>
    <mergeCell ref="J76:L76"/>
    <mergeCell ref="X76:Z76"/>
    <mergeCell ref="C77:E77"/>
    <mergeCell ref="G77:I77"/>
    <mergeCell ref="J77:L77"/>
    <mergeCell ref="X77:Z77"/>
    <mergeCell ref="C74:E74"/>
    <mergeCell ref="G74:I74"/>
    <mergeCell ref="J74:L74"/>
    <mergeCell ref="X74:Z74"/>
    <mergeCell ref="C75:E75"/>
    <mergeCell ref="G75:I75"/>
    <mergeCell ref="J75:L75"/>
    <mergeCell ref="X75:Z75"/>
    <mergeCell ref="C80:E80"/>
    <mergeCell ref="G80:I80"/>
    <mergeCell ref="J80:L80"/>
    <mergeCell ref="X80:Z80"/>
    <mergeCell ref="C81:E81"/>
    <mergeCell ref="G81:I81"/>
    <mergeCell ref="J81:L81"/>
    <mergeCell ref="X81:Z81"/>
    <mergeCell ref="C78:E78"/>
    <mergeCell ref="G78:I78"/>
    <mergeCell ref="J78:L78"/>
    <mergeCell ref="X78:Z78"/>
    <mergeCell ref="C79:E79"/>
    <mergeCell ref="G79:I79"/>
    <mergeCell ref="J79:L79"/>
    <mergeCell ref="X79:Z79"/>
    <mergeCell ref="C84:E84"/>
    <mergeCell ref="G84:I84"/>
    <mergeCell ref="J84:L84"/>
    <mergeCell ref="X84:Z84"/>
    <mergeCell ref="C85:E85"/>
    <mergeCell ref="G85:I85"/>
    <mergeCell ref="J85:L85"/>
    <mergeCell ref="X85:Z85"/>
    <mergeCell ref="C82:E82"/>
    <mergeCell ref="G82:I82"/>
    <mergeCell ref="J82:L82"/>
    <mergeCell ref="X82:Z82"/>
    <mergeCell ref="C83:E83"/>
    <mergeCell ref="G83:I83"/>
    <mergeCell ref="J83:L83"/>
    <mergeCell ref="X83:Z83"/>
    <mergeCell ref="C88:E88"/>
    <mergeCell ref="G88:I88"/>
    <mergeCell ref="J88:L88"/>
    <mergeCell ref="X88:Z88"/>
    <mergeCell ref="C89:E89"/>
    <mergeCell ref="G89:I89"/>
    <mergeCell ref="J89:L89"/>
    <mergeCell ref="X89:Z89"/>
    <mergeCell ref="C86:E86"/>
    <mergeCell ref="G86:I86"/>
    <mergeCell ref="J86:L86"/>
    <mergeCell ref="X86:Z86"/>
    <mergeCell ref="C87:E87"/>
    <mergeCell ref="G87:I87"/>
    <mergeCell ref="J87:L87"/>
    <mergeCell ref="X87:Z87"/>
    <mergeCell ref="C92:E92"/>
    <mergeCell ref="G92:I92"/>
    <mergeCell ref="J92:L92"/>
    <mergeCell ref="X92:Z92"/>
    <mergeCell ref="C93:E93"/>
    <mergeCell ref="G93:I93"/>
    <mergeCell ref="J93:L93"/>
    <mergeCell ref="X93:Z93"/>
    <mergeCell ref="C90:E90"/>
    <mergeCell ref="G90:I90"/>
    <mergeCell ref="J90:L90"/>
    <mergeCell ref="X90:Z90"/>
    <mergeCell ref="C91:E91"/>
    <mergeCell ref="G91:I91"/>
    <mergeCell ref="J91:L91"/>
    <mergeCell ref="X91:Z91"/>
    <mergeCell ref="C96:E96"/>
    <mergeCell ref="G96:I96"/>
    <mergeCell ref="J96:L96"/>
    <mergeCell ref="X96:Z96"/>
    <mergeCell ref="C97:E97"/>
    <mergeCell ref="G97:I97"/>
    <mergeCell ref="J97:L97"/>
    <mergeCell ref="X97:Z97"/>
    <mergeCell ref="C94:E94"/>
    <mergeCell ref="G94:I94"/>
    <mergeCell ref="J94:L94"/>
    <mergeCell ref="X94:Z94"/>
    <mergeCell ref="C95:E95"/>
    <mergeCell ref="G95:I95"/>
    <mergeCell ref="J95:L95"/>
    <mergeCell ref="X95:Z95"/>
    <mergeCell ref="C100:E100"/>
    <mergeCell ref="G100:I100"/>
    <mergeCell ref="J100:L100"/>
    <mergeCell ref="X100:Z100"/>
    <mergeCell ref="C101:E101"/>
    <mergeCell ref="G101:I101"/>
    <mergeCell ref="J101:L101"/>
    <mergeCell ref="X101:Z101"/>
    <mergeCell ref="C98:E98"/>
    <mergeCell ref="G98:I98"/>
    <mergeCell ref="J98:L98"/>
    <mergeCell ref="X98:Z98"/>
    <mergeCell ref="C99:E99"/>
    <mergeCell ref="G99:I99"/>
    <mergeCell ref="J99:L99"/>
    <mergeCell ref="X99:Z99"/>
    <mergeCell ref="C104:E104"/>
    <mergeCell ref="G104:I104"/>
    <mergeCell ref="J104:L104"/>
    <mergeCell ref="X104:Z104"/>
    <mergeCell ref="C105:E105"/>
    <mergeCell ref="G105:I105"/>
    <mergeCell ref="J105:L105"/>
    <mergeCell ref="X105:Z105"/>
    <mergeCell ref="C102:E102"/>
    <mergeCell ref="G102:I102"/>
    <mergeCell ref="J102:L102"/>
    <mergeCell ref="X102:Z102"/>
    <mergeCell ref="C103:E103"/>
    <mergeCell ref="G103:I103"/>
    <mergeCell ref="J103:L103"/>
    <mergeCell ref="X103:Z103"/>
    <mergeCell ref="C108:E108"/>
    <mergeCell ref="G108:I108"/>
    <mergeCell ref="J108:L108"/>
    <mergeCell ref="X108:Z108"/>
    <mergeCell ref="C109:E109"/>
    <mergeCell ref="G109:I109"/>
    <mergeCell ref="J109:L109"/>
    <mergeCell ref="X109:Z109"/>
    <mergeCell ref="C106:E106"/>
    <mergeCell ref="G106:I106"/>
    <mergeCell ref="J106:L106"/>
    <mergeCell ref="X106:Z106"/>
    <mergeCell ref="C107:E107"/>
    <mergeCell ref="G107:I107"/>
    <mergeCell ref="J107:L107"/>
    <mergeCell ref="X107:Z107"/>
    <mergeCell ref="C112:E112"/>
    <mergeCell ref="G112:I112"/>
    <mergeCell ref="J112:L112"/>
    <mergeCell ref="X112:Z112"/>
    <mergeCell ref="C113:E113"/>
    <mergeCell ref="G113:I113"/>
    <mergeCell ref="J113:L113"/>
    <mergeCell ref="X113:Z113"/>
    <mergeCell ref="C110:E110"/>
    <mergeCell ref="G110:I110"/>
    <mergeCell ref="J110:L110"/>
    <mergeCell ref="X110:Z110"/>
    <mergeCell ref="C111:E111"/>
    <mergeCell ref="G111:I111"/>
    <mergeCell ref="J111:L111"/>
    <mergeCell ref="X111:Z111"/>
    <mergeCell ref="C116:E116"/>
    <mergeCell ref="G116:I116"/>
    <mergeCell ref="J116:L116"/>
    <mergeCell ref="X116:Z116"/>
    <mergeCell ref="C117:E117"/>
    <mergeCell ref="G117:I117"/>
    <mergeCell ref="J117:L117"/>
    <mergeCell ref="X117:Z117"/>
    <mergeCell ref="C114:E114"/>
    <mergeCell ref="G114:I114"/>
    <mergeCell ref="J114:L114"/>
    <mergeCell ref="X114:Z114"/>
    <mergeCell ref="C115:E115"/>
    <mergeCell ref="G115:I115"/>
    <mergeCell ref="J115:L115"/>
    <mergeCell ref="X115:Z115"/>
    <mergeCell ref="C120:E120"/>
    <mergeCell ref="G120:I120"/>
    <mergeCell ref="J120:L120"/>
    <mergeCell ref="X120:Z120"/>
    <mergeCell ref="C121:E121"/>
    <mergeCell ref="G121:I121"/>
    <mergeCell ref="J121:L121"/>
    <mergeCell ref="X121:Z121"/>
    <mergeCell ref="C118:E118"/>
    <mergeCell ref="G118:I118"/>
    <mergeCell ref="J118:L118"/>
    <mergeCell ref="X118:Z118"/>
    <mergeCell ref="C119:E119"/>
    <mergeCell ref="G119:I119"/>
    <mergeCell ref="J119:L119"/>
    <mergeCell ref="X119:Z119"/>
    <mergeCell ref="C124:E124"/>
    <mergeCell ref="G124:I124"/>
    <mergeCell ref="J124:L124"/>
    <mergeCell ref="X124:Z124"/>
    <mergeCell ref="C125:E125"/>
    <mergeCell ref="G125:I125"/>
    <mergeCell ref="J125:L125"/>
    <mergeCell ref="X125:Z125"/>
    <mergeCell ref="C122:E122"/>
    <mergeCell ref="G122:I122"/>
    <mergeCell ref="J122:L122"/>
    <mergeCell ref="X122:Z122"/>
    <mergeCell ref="C123:E123"/>
    <mergeCell ref="G123:I123"/>
    <mergeCell ref="J123:L123"/>
    <mergeCell ref="X123:Z123"/>
    <mergeCell ref="C128:E128"/>
    <mergeCell ref="G128:I128"/>
    <mergeCell ref="J128:L128"/>
    <mergeCell ref="X128:Z128"/>
    <mergeCell ref="C129:E129"/>
    <mergeCell ref="G129:I129"/>
    <mergeCell ref="J129:L129"/>
    <mergeCell ref="X129:Z129"/>
    <mergeCell ref="C126:E126"/>
    <mergeCell ref="G126:I126"/>
    <mergeCell ref="J126:L126"/>
    <mergeCell ref="X126:Z126"/>
    <mergeCell ref="C127:E127"/>
    <mergeCell ref="G127:I127"/>
    <mergeCell ref="J127:L127"/>
    <mergeCell ref="X127:Z127"/>
    <mergeCell ref="C132:E132"/>
    <mergeCell ref="G132:I132"/>
    <mergeCell ref="J132:L132"/>
    <mergeCell ref="X132:Z132"/>
    <mergeCell ref="C133:E133"/>
    <mergeCell ref="G133:I133"/>
    <mergeCell ref="J133:L133"/>
    <mergeCell ref="X133:Z133"/>
    <mergeCell ref="C130:E130"/>
    <mergeCell ref="G130:I130"/>
    <mergeCell ref="J130:L130"/>
    <mergeCell ref="X130:Z130"/>
    <mergeCell ref="C131:E131"/>
    <mergeCell ref="G131:I131"/>
    <mergeCell ref="J131:L131"/>
    <mergeCell ref="X131:Z131"/>
    <mergeCell ref="C136:E136"/>
    <mergeCell ref="G136:I136"/>
    <mergeCell ref="J136:L136"/>
    <mergeCell ref="X136:Z136"/>
    <mergeCell ref="C137:E137"/>
    <mergeCell ref="G137:I137"/>
    <mergeCell ref="J137:L137"/>
    <mergeCell ref="X137:Z137"/>
    <mergeCell ref="C134:E134"/>
    <mergeCell ref="G134:I134"/>
    <mergeCell ref="J134:L134"/>
    <mergeCell ref="X134:Z134"/>
    <mergeCell ref="C135:E135"/>
    <mergeCell ref="G135:I135"/>
    <mergeCell ref="J135:L135"/>
    <mergeCell ref="X135:Z135"/>
    <mergeCell ref="C140:E140"/>
    <mergeCell ref="G140:I140"/>
    <mergeCell ref="J140:L140"/>
    <mergeCell ref="X140:Z140"/>
    <mergeCell ref="C141:E141"/>
    <mergeCell ref="G141:I141"/>
    <mergeCell ref="J141:L141"/>
    <mergeCell ref="X141:Z141"/>
    <mergeCell ref="C138:E138"/>
    <mergeCell ref="G138:I138"/>
    <mergeCell ref="J138:L138"/>
    <mergeCell ref="X138:Z138"/>
    <mergeCell ref="C139:E139"/>
    <mergeCell ref="G139:I139"/>
    <mergeCell ref="J139:L139"/>
    <mergeCell ref="X139:Z139"/>
    <mergeCell ref="C144:E144"/>
    <mergeCell ref="G144:I144"/>
    <mergeCell ref="J144:L144"/>
    <mergeCell ref="X144:Z144"/>
    <mergeCell ref="C145:E145"/>
    <mergeCell ref="G145:I145"/>
    <mergeCell ref="J145:L145"/>
    <mergeCell ref="X145:Z145"/>
    <mergeCell ref="C142:E142"/>
    <mergeCell ref="G142:I142"/>
    <mergeCell ref="J142:L142"/>
    <mergeCell ref="X142:Z142"/>
    <mergeCell ref="C143:E143"/>
    <mergeCell ref="G143:I143"/>
    <mergeCell ref="J143:L143"/>
    <mergeCell ref="X143:Z143"/>
    <mergeCell ref="C148:E148"/>
    <mergeCell ref="G148:I148"/>
    <mergeCell ref="J148:L148"/>
    <mergeCell ref="X148:Z148"/>
    <mergeCell ref="C149:E149"/>
    <mergeCell ref="G149:I149"/>
    <mergeCell ref="J149:L149"/>
    <mergeCell ref="X149:Z149"/>
    <mergeCell ref="C146:E146"/>
    <mergeCell ref="G146:I146"/>
    <mergeCell ref="J146:L146"/>
    <mergeCell ref="X146:Z146"/>
    <mergeCell ref="C147:E147"/>
    <mergeCell ref="G147:I147"/>
    <mergeCell ref="J147:L147"/>
    <mergeCell ref="X147:Z147"/>
    <mergeCell ref="C152:E152"/>
    <mergeCell ref="G152:I152"/>
    <mergeCell ref="J152:L152"/>
    <mergeCell ref="X152:Z152"/>
    <mergeCell ref="C153:E153"/>
    <mergeCell ref="G153:I153"/>
    <mergeCell ref="J153:L153"/>
    <mergeCell ref="X153:Z153"/>
    <mergeCell ref="C150:E150"/>
    <mergeCell ref="G150:I150"/>
    <mergeCell ref="J150:L150"/>
    <mergeCell ref="X150:Z150"/>
    <mergeCell ref="C151:E151"/>
    <mergeCell ref="G151:I151"/>
    <mergeCell ref="J151:L151"/>
    <mergeCell ref="X151:Z151"/>
    <mergeCell ref="C156:E156"/>
    <mergeCell ref="G156:I156"/>
    <mergeCell ref="J156:L156"/>
    <mergeCell ref="X156:Z156"/>
    <mergeCell ref="C157:E157"/>
    <mergeCell ref="G157:I157"/>
    <mergeCell ref="J157:L157"/>
    <mergeCell ref="X157:Z157"/>
    <mergeCell ref="C154:E154"/>
    <mergeCell ref="G154:I154"/>
    <mergeCell ref="J154:L154"/>
    <mergeCell ref="X154:Z154"/>
    <mergeCell ref="C155:E155"/>
    <mergeCell ref="G155:I155"/>
    <mergeCell ref="J155:L155"/>
    <mergeCell ref="X155:Z155"/>
    <mergeCell ref="C160:E160"/>
    <mergeCell ref="G160:I160"/>
    <mergeCell ref="J160:L160"/>
    <mergeCell ref="X160:Z160"/>
    <mergeCell ref="C161:E161"/>
    <mergeCell ref="G161:I161"/>
    <mergeCell ref="J161:L161"/>
    <mergeCell ref="X161:Z161"/>
    <mergeCell ref="C158:E158"/>
    <mergeCell ref="G158:I158"/>
    <mergeCell ref="J158:L158"/>
    <mergeCell ref="X158:Z158"/>
    <mergeCell ref="C159:E159"/>
    <mergeCell ref="G159:I159"/>
    <mergeCell ref="J159:L159"/>
    <mergeCell ref="X159:Z159"/>
    <mergeCell ref="C164:E164"/>
    <mergeCell ref="G164:I164"/>
    <mergeCell ref="J164:L164"/>
    <mergeCell ref="X164:Z164"/>
    <mergeCell ref="C165:E165"/>
    <mergeCell ref="G165:I165"/>
    <mergeCell ref="J165:L165"/>
    <mergeCell ref="X165:Z165"/>
    <mergeCell ref="C162:E162"/>
    <mergeCell ref="G162:I162"/>
    <mergeCell ref="J162:L162"/>
    <mergeCell ref="X162:Z162"/>
    <mergeCell ref="C163:E163"/>
    <mergeCell ref="G163:I163"/>
    <mergeCell ref="J163:L163"/>
    <mergeCell ref="X163:Z163"/>
    <mergeCell ref="C168:E168"/>
    <mergeCell ref="G168:I168"/>
    <mergeCell ref="J168:L168"/>
    <mergeCell ref="X168:Z168"/>
    <mergeCell ref="C169:E169"/>
    <mergeCell ref="G169:I169"/>
    <mergeCell ref="J169:L169"/>
    <mergeCell ref="X169:Z169"/>
    <mergeCell ref="C166:E166"/>
    <mergeCell ref="G166:I166"/>
    <mergeCell ref="J166:L166"/>
    <mergeCell ref="X166:Z166"/>
    <mergeCell ref="C167:E167"/>
    <mergeCell ref="G167:I167"/>
    <mergeCell ref="J167:L167"/>
    <mergeCell ref="X167:Z167"/>
    <mergeCell ref="N174:R174"/>
    <mergeCell ref="V174:Z174"/>
    <mergeCell ref="AB174:AC174"/>
    <mergeCell ref="AD174:AM174"/>
    <mergeCell ref="N175:R175"/>
    <mergeCell ref="V175:Z175"/>
    <mergeCell ref="A171:L172"/>
    <mergeCell ref="N172:R172"/>
    <mergeCell ref="V172:Z172"/>
    <mergeCell ref="AB172:AC172"/>
    <mergeCell ref="AD172:AM172"/>
    <mergeCell ref="A173:L174"/>
    <mergeCell ref="N173:R173"/>
    <mergeCell ref="V173:Z173"/>
    <mergeCell ref="AB173:AC173"/>
    <mergeCell ref="AD173:AM173"/>
  </mergeCells>
  <dataValidations count="6">
    <dataValidation type="list" allowBlank="1" showInputMessage="1" showErrorMessage="1" sqref="WNE9:WNE169 WXA9:WXA169 KO9:KO169 UK9:UK169 AEG9:AEG169 AOC9:AOC169 AXY9:AXY169 BHU9:BHU169 BRQ9:BRQ169 CBM9:CBM169 CLI9:CLI169 CVE9:CVE169 DFA9:DFA169 DOW9:DOW169 DYS9:DYS169 EIO9:EIO169 ESK9:ESK169 FCG9:FCG169 FMC9:FMC169 FVY9:FVY169 GFU9:GFU169 GPQ9:GPQ169 GZM9:GZM169 HJI9:HJI169 HTE9:HTE169 IDA9:IDA169 IMW9:IMW169 IWS9:IWS169 JGO9:JGO169 JQK9:JQK169 KAG9:KAG169 KKC9:KKC169 KTY9:KTY169 LDU9:LDU169 LNQ9:LNQ169 LXM9:LXM169 MHI9:MHI169 MRE9:MRE169 NBA9:NBA169 NKW9:NKW169 NUS9:NUS169 OEO9:OEO169 OOK9:OOK169 OYG9:OYG169 PIC9:PIC169 PRY9:PRY169 QBU9:QBU169 QLQ9:QLQ169 QVM9:QVM169 RFI9:RFI169 RPE9:RPE169 RZA9:RZA169 SIW9:SIW169 SSS9:SSS169 TCO9:TCO169 TMK9:TMK169 TWG9:TWG169 UGC9:UGC169 UPY9:UPY169 UZU9:UZU169 VJQ9:VJQ169 VTM9:VTM169 WDI9:WDI169 AS9 AS13:AS169">
      <formula1>SINO</formula1>
    </dataValidation>
    <dataValidation type="whole" allowBlank="1" showInputMessage="1" showErrorMessage="1" sqref="WWL9:WWL169 WMP9:WMP169 JZ9:JZ169 TV9:TV169 ADR9:ADR169 ANN9:ANN169 AXJ9:AXJ169 BHF9:BHF169 BRB9:BRB169 CAX9:CAX169 CKT9:CKT169 CUP9:CUP169 DEL9:DEL169 DOH9:DOH169 DYD9:DYD169 EHZ9:EHZ169 ERV9:ERV169 FBR9:FBR169 FLN9:FLN169 FVJ9:FVJ169 GFF9:GFF169 GPB9:GPB169 GYX9:GYX169 HIT9:HIT169 HSP9:HSP169 ICL9:ICL169 IMH9:IMH169 IWD9:IWD169 JFZ9:JFZ169 JPV9:JPV169 JZR9:JZR169 KJN9:KJN169 KTJ9:KTJ169 LDF9:LDF169 LNB9:LNB169 LWX9:LWX169 MGT9:MGT169 MQP9:MQP169 NAL9:NAL169 NKH9:NKH169 NUD9:NUD169 ODZ9:ODZ169 ONV9:ONV169 OXR9:OXR169 PHN9:PHN169 PRJ9:PRJ169 QBF9:QBF169 QLB9:QLB169 QUX9:QUX169 RET9:RET169 ROP9:ROP169 RYL9:RYL169 SIH9:SIH169 SSD9:SSD169 TBZ9:TBZ169 TLV9:TLV169 TVR9:TVR169 UFN9:UFN169 UPJ9:UPJ169 UZF9:UZF169 VJB9:VJB169 VSX9:VSX169 WCT9:WCT169 AD9 AD13:AD169">
      <formula1>0</formula1>
      <formula2>100</formula2>
    </dataValidation>
    <dataValidation showInputMessage="1" showErrorMessage="1" sqref="WWO9:WWS169 WMS9:WMW169 KC9:KG169 TY9:UC169 ADU9:ADY169 ANQ9:ANU169 AXM9:AXQ169 BHI9:BHM169 BRE9:BRI169 CBA9:CBE169 CKW9:CLA169 CUS9:CUW169 DEO9:DES169 DOK9:DOO169 DYG9:DYK169 EIC9:EIG169 ERY9:ESC169 FBU9:FBY169 FLQ9:FLU169 FVM9:FVQ169 GFI9:GFM169 GPE9:GPI169 GZA9:GZE169 HIW9:HJA169 HSS9:HSW169 ICO9:ICS169 IMK9:IMO169 IWG9:IWK169 JGC9:JGG169 JPY9:JQC169 JZU9:JZY169 KJQ9:KJU169 KTM9:KTQ169 LDI9:LDM169 LNE9:LNI169 LXA9:LXE169 MGW9:MHA169 MQS9:MQW169 NAO9:NAS169 NKK9:NKO169 NUG9:NUK169 OEC9:OEG169 ONY9:OOC169 OXU9:OXY169 PHQ9:PHU169 PRM9:PRQ169 QBI9:QBM169 QLE9:QLI169 QVA9:QVE169 REW9:RFA169 ROS9:ROW169 RYO9:RYS169 SIK9:SIO169 SSG9:SSK169 TCC9:TCG169 TLY9:TMC169 TVU9:TVY169 UFQ9:UFU169 UPM9:UPQ169 UZI9:UZM169 VJE9:VJI169 VTA9:VTE169 WCW9:WDA169 AG9:AH169 AI13:AI169 AI9 AJ9:AJ169 AK9 AK13:AK169"/>
    <dataValidation type="list" showInputMessage="1" showErrorMessage="1" errorTitle="Rechazado" error="Solo son validadas las opciones de la lista" sqref="WWM9:WWM169 WMQ9:WMQ169 KA9:KA169 TW9:TW169 ADS9:ADS169 ANO9:ANO169 AXK9:AXK169 BHG9:BHG169 BRC9:BRC169 CAY9:CAY169 CKU9:CKU169 CUQ9:CUQ169 DEM9:DEM169 DOI9:DOI169 DYE9:DYE169 EIA9:EIA169 ERW9:ERW169 FBS9:FBS169 FLO9:FLO169 FVK9:FVK169 GFG9:GFG169 GPC9:GPC169 GYY9:GYY169 HIU9:HIU169 HSQ9:HSQ169 ICM9:ICM169 IMI9:IMI169 IWE9:IWE169 JGA9:JGA169 JPW9:JPW169 JZS9:JZS169 KJO9:KJO169 KTK9:KTK169 LDG9:LDG169 LNC9:LNC169 LWY9:LWY169 MGU9:MGU169 MQQ9:MQQ169 NAM9:NAM169 NKI9:NKI169 NUE9:NUE169 OEA9:OEA169 ONW9:ONW169 OXS9:OXS169 PHO9:PHO169 PRK9:PRK169 QBG9:QBG169 QLC9:QLC169 QUY9:QUY169 REU9:REU169 ROQ9:ROQ169 RYM9:RYM169 SII9:SII169 SSE9:SSE169 TCA9:TCA169 TLW9:TLW169 TVS9:TVS169 UFO9:UFO169 UPK9:UPK169 UZG9:UZG169 VJC9:VJC169 VSY9:VSY169 WCU9:WCU169 AE9 AE13:AE169">
      <formula1>Efecto</formula1>
    </dataValidation>
    <dataValidation type="list" allowBlank="1" showInputMessage="1" showErrorMessage="1" sqref="WWA9:WWA169 WME9:WME169 JO9:JO169 TK9:TK169 ADG9:ADG169 ANC9:ANC169 AWY9:AWY169 BGU9:BGU169 BQQ9:BQQ169 CAM9:CAM169 CKI9:CKI169 CUE9:CUE169 DEA9:DEA169 DNW9:DNW169 DXS9:DXS169 EHO9:EHO169 ERK9:ERK169 FBG9:FBG169 FLC9:FLC169 FUY9:FUY169 GEU9:GEU169 GOQ9:GOQ169 GYM9:GYM169 HII9:HII169 HSE9:HSE169 ICA9:ICA169 ILW9:ILW169 IVS9:IVS169 JFO9:JFO169 JPK9:JPK169 JZG9:JZG169 KJC9:KJC169 KSY9:KSY169 LCU9:LCU169 LMQ9:LMQ169 LWM9:LWM169 MGI9:MGI169 MQE9:MQE169 NAA9:NAA169 NJW9:NJW169 NTS9:NTS169 ODO9:ODO169 ONK9:ONK169 OXG9:OXG169 PHC9:PHC169 PQY9:PQY169 QAU9:QAU169 QKQ9:QKQ169 QUM9:QUM169 REI9:REI169 ROE9:ROE169 RYA9:RYA169 SHW9:SHW169 SRS9:SRS169 TBO9:TBO169 TLK9:TLK169 TVG9:TVG169 UFC9:UFC169 UOY9:UOY169 UYU9:UYU169 VIQ9:VIQ169 VSM9:VSM169 WCI9:WCI169 R9 R13:R169">
      <formula1>IMPACTO</formula1>
    </dataValidation>
    <dataValidation type="list" allowBlank="1" showInputMessage="1" showErrorMessage="1" sqref="WVZ9:WVZ169 WMD9:WMD169 JN9:JN169 TJ9:TJ169 ADF9:ADF169 ANB9:ANB169 AWX9:AWX169 BGT9:BGT169 BQP9:BQP169 CAL9:CAL169 CKH9:CKH169 CUD9:CUD169 DDZ9:DDZ169 DNV9:DNV169 DXR9:DXR169 EHN9:EHN169 ERJ9:ERJ169 FBF9:FBF169 FLB9:FLB169 FUX9:FUX169 GET9:GET169 GOP9:GOP169 GYL9:GYL169 HIH9:HIH169 HSD9:HSD169 IBZ9:IBZ169 ILV9:ILV169 IVR9:IVR169 JFN9:JFN169 JPJ9:JPJ169 JZF9:JZF169 KJB9:KJB169 KSX9:KSX169 LCT9:LCT169 LMP9:LMP169 LWL9:LWL169 MGH9:MGH169 MQD9:MQD169 MZZ9:MZZ169 NJV9:NJV169 NTR9:NTR169 ODN9:ODN169 ONJ9:ONJ169 OXF9:OXF169 PHB9:PHB169 PQX9:PQX169 QAT9:QAT169 QKP9:QKP169 QUL9:QUL169 REH9:REH169 ROD9:ROD169 RXZ9:RXZ169 SHV9:SHV169 SRR9:SRR169 TBN9:TBN169 TLJ9:TLJ169 TVF9:TVF169 UFB9:UFB169 UOX9:UOX169 UYT9:UYT169 VIP9:VIP169 VSL9:VSL169 WCH9:WCH169 Q9 Q13:Q169">
      <formula1>PROBAB</formula1>
    </dataValidation>
  </dataValidations>
  <printOptions horizontalCentered="1"/>
  <pageMargins left="0.78740157480314965" right="0.78740157480314965" top="0.59055118110236227" bottom="0.59055118110236227" header="0.51181102362204722" footer="0.27559055118110237"/>
  <pageSetup paperSize="190" scale="38" firstPageNumber="0" fitToHeight="0" orientation="landscape" r:id="rId1"/>
  <headerFooter>
    <oddFooter>&amp;L&amp;9Formato: FO-AC-07 Versión: 3&amp;C&amp;9Página &amp;P</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pageSetUpPr fitToPage="1"/>
  </sheetPr>
  <dimension ref="A1:AMK110"/>
  <sheetViews>
    <sheetView view="pageBreakPreview" zoomScale="80" zoomScaleNormal="91" zoomScaleSheetLayoutView="80" zoomScalePageLayoutView="95" workbookViewId="0">
      <pane xSplit="2" ySplit="8" topLeftCell="C9" activePane="bottomRight" state="frozen"/>
      <selection pane="topRight" activeCell="C1" sqref="C1"/>
      <selection pane="bottomLeft" activeCell="A9" sqref="A9"/>
      <selection pane="bottomRight" activeCell="A3" sqref="A3:A4"/>
    </sheetView>
  </sheetViews>
  <sheetFormatPr baseColWidth="10" defaultRowHeight="12.75"/>
  <cols>
    <col min="1" max="1" width="15.5703125" style="235" customWidth="1"/>
    <col min="2" max="2" width="2.7109375" style="235" customWidth="1"/>
    <col min="3" max="4" width="3.28515625" style="235" customWidth="1"/>
    <col min="5" max="6" width="3.5703125" style="235" customWidth="1"/>
    <col min="7" max="8" width="5.42578125" style="235" customWidth="1"/>
    <col min="9" max="9" width="6" style="235" customWidth="1"/>
    <col min="10" max="10" width="2.5703125" style="235" customWidth="1"/>
    <col min="11" max="11" width="8.85546875" style="235" customWidth="1"/>
    <col min="12" max="12" width="6.140625" style="235" customWidth="1"/>
    <col min="13" max="18" width="2.85546875" style="235" customWidth="1"/>
    <col min="19" max="20" width="2.85546875" style="235" hidden="1" customWidth="1"/>
    <col min="21" max="21" width="3.7109375" style="235" customWidth="1"/>
    <col min="22" max="22" width="22.5703125" style="235" customWidth="1"/>
    <col min="23" max="23" width="17.28515625" style="235" customWidth="1"/>
    <col min="24" max="24" width="21.5703125" style="235" customWidth="1"/>
    <col min="25" max="25" width="21.5703125" style="1126" customWidth="1"/>
    <col min="26" max="26" width="6.5703125" style="235" customWidth="1"/>
    <col min="27" max="27" width="35.28515625" style="537" customWidth="1"/>
    <col min="28" max="36" width="3" style="235" hidden="1" customWidth="1"/>
    <col min="37" max="37" width="4.140625" style="235" hidden="1" customWidth="1"/>
    <col min="38" max="38" width="27.7109375" style="235" customWidth="1"/>
    <col min="39" max="39" width="31" style="426" customWidth="1"/>
    <col min="40" max="40" width="14.42578125" style="426" customWidth="1"/>
    <col min="41" max="41" width="39" style="426" customWidth="1"/>
    <col min="42" max="42" width="23.85546875" style="235" customWidth="1"/>
    <col min="43" max="43" width="10.140625" style="235" customWidth="1"/>
    <col min="44" max="44" width="23.85546875" style="235" customWidth="1"/>
    <col min="45" max="45" width="16.7109375" style="235" customWidth="1"/>
    <col min="46" max="47" width="14" style="235" customWidth="1"/>
    <col min="48" max="48" width="13.140625" style="235" customWidth="1"/>
    <col min="49" max="49" width="2.140625" style="235" customWidth="1"/>
    <col min="50" max="50" width="11.42578125" style="235" customWidth="1"/>
    <col min="51" max="255" width="11.42578125" style="235"/>
    <col min="256" max="256" width="12" style="235" customWidth="1"/>
    <col min="257" max="257" width="2.7109375" style="235" customWidth="1"/>
    <col min="258" max="259" width="6.5703125" style="235" customWidth="1"/>
    <col min="260" max="260" width="5.85546875" style="235" customWidth="1"/>
    <col min="261" max="261" width="6.5703125" style="235" customWidth="1"/>
    <col min="262" max="262" width="13.7109375" style="235" customWidth="1"/>
    <col min="263" max="264" width="9" style="235" customWidth="1"/>
    <col min="265" max="265" width="2.5703125" style="235" customWidth="1"/>
    <col min="266" max="266" width="8.85546875" style="235" customWidth="1"/>
    <col min="267" max="267" width="7.5703125" style="235" customWidth="1"/>
    <col min="268" max="270" width="3.7109375" style="235" customWidth="1"/>
    <col min="271" max="271" width="3.5703125" style="235" customWidth="1"/>
    <col min="272" max="272" width="2.85546875" style="235" customWidth="1"/>
    <col min="273" max="273" width="3" style="235" customWidth="1"/>
    <col min="274" max="276" width="0" style="235" hidden="1" customWidth="1"/>
    <col min="277" max="277" width="4.42578125" style="235" customWidth="1"/>
    <col min="278" max="278" width="0" style="235" hidden="1" customWidth="1"/>
    <col min="279" max="280" width="14.85546875" style="235" customWidth="1"/>
    <col min="281" max="281" width="15.140625" style="235" customWidth="1"/>
    <col min="282" max="282" width="6.42578125" style="235" customWidth="1"/>
    <col min="283" max="283" width="15.140625" style="235" customWidth="1"/>
    <col min="284" max="284" width="4.140625" style="235" customWidth="1"/>
    <col min="285" max="285" width="3" style="235" customWidth="1"/>
    <col min="286" max="288" width="0" style="235" hidden="1" customWidth="1"/>
    <col min="289" max="289" width="3" style="235" customWidth="1"/>
    <col min="290" max="290" width="0" style="235" hidden="1" customWidth="1"/>
    <col min="291" max="291" width="3" style="235" customWidth="1"/>
    <col min="292" max="292" width="0" style="235" hidden="1" customWidth="1"/>
    <col min="293" max="293" width="4.42578125" style="235" customWidth="1"/>
    <col min="294" max="294" width="34.28515625" style="235" customWidth="1"/>
    <col min="295" max="295" width="23.42578125" style="235" customWidth="1"/>
    <col min="296" max="296" width="9.140625" style="235" customWidth="1"/>
    <col min="297" max="297" width="19.5703125" style="235" customWidth="1"/>
    <col min="298" max="298" width="42.7109375" style="235" customWidth="1"/>
    <col min="299" max="299" width="5.85546875" style="235" customWidth="1"/>
    <col min="300" max="300" width="31.5703125" style="235" customWidth="1"/>
    <col min="301" max="301" width="16.140625" style="235" customWidth="1"/>
    <col min="302" max="303" width="9.28515625" style="235" customWidth="1"/>
    <col min="304" max="304" width="11.140625" style="235" customWidth="1"/>
    <col min="305" max="305" width="2.140625" style="235" customWidth="1"/>
    <col min="306" max="511" width="11.42578125" style="235"/>
    <col min="512" max="512" width="12" style="235" customWidth="1"/>
    <col min="513" max="513" width="2.7109375" style="235" customWidth="1"/>
    <col min="514" max="515" width="6.5703125" style="235" customWidth="1"/>
    <col min="516" max="516" width="5.85546875" style="235" customWidth="1"/>
    <col min="517" max="517" width="6.5703125" style="235" customWidth="1"/>
    <col min="518" max="518" width="13.7109375" style="235" customWidth="1"/>
    <col min="519" max="520" width="9" style="235" customWidth="1"/>
    <col min="521" max="521" width="2.5703125" style="235" customWidth="1"/>
    <col min="522" max="522" width="8.85546875" style="235" customWidth="1"/>
    <col min="523" max="523" width="7.5703125" style="235" customWidth="1"/>
    <col min="524" max="526" width="3.7109375" style="235" customWidth="1"/>
    <col min="527" max="527" width="3.5703125" style="235" customWidth="1"/>
    <col min="528" max="528" width="2.85546875" style="235" customWidth="1"/>
    <col min="529" max="529" width="3" style="235" customWidth="1"/>
    <col min="530" max="532" width="0" style="235" hidden="1" customWidth="1"/>
    <col min="533" max="533" width="4.42578125" style="235" customWidth="1"/>
    <col min="534" max="534" width="0" style="235" hidden="1" customWidth="1"/>
    <col min="535" max="536" width="14.85546875" style="235" customWidth="1"/>
    <col min="537" max="537" width="15.140625" style="235" customWidth="1"/>
    <col min="538" max="538" width="6.42578125" style="235" customWidth="1"/>
    <col min="539" max="539" width="15.140625" style="235" customWidth="1"/>
    <col min="540" max="540" width="4.140625" style="235" customWidth="1"/>
    <col min="541" max="541" width="3" style="235" customWidth="1"/>
    <col min="542" max="544" width="0" style="235" hidden="1" customWidth="1"/>
    <col min="545" max="545" width="3" style="235" customWidth="1"/>
    <col min="546" max="546" width="0" style="235" hidden="1" customWidth="1"/>
    <col min="547" max="547" width="3" style="235" customWidth="1"/>
    <col min="548" max="548" width="0" style="235" hidden="1" customWidth="1"/>
    <col min="549" max="549" width="4.42578125" style="235" customWidth="1"/>
    <col min="550" max="550" width="34.28515625" style="235" customWidth="1"/>
    <col min="551" max="551" width="23.42578125" style="235" customWidth="1"/>
    <col min="552" max="552" width="9.140625" style="235" customWidth="1"/>
    <col min="553" max="553" width="19.5703125" style="235" customWidth="1"/>
    <col min="554" max="554" width="42.7109375" style="235" customWidth="1"/>
    <col min="555" max="555" width="5.85546875" style="235" customWidth="1"/>
    <col min="556" max="556" width="31.5703125" style="235" customWidth="1"/>
    <col min="557" max="557" width="16.140625" style="235" customWidth="1"/>
    <col min="558" max="559" width="9.28515625" style="235" customWidth="1"/>
    <col min="560" max="560" width="11.140625" style="235" customWidth="1"/>
    <col min="561" max="561" width="2.140625" style="235" customWidth="1"/>
    <col min="562" max="767" width="11.42578125" style="235"/>
    <col min="768" max="768" width="12" style="235" customWidth="1"/>
    <col min="769" max="769" width="2.7109375" style="235" customWidth="1"/>
    <col min="770" max="771" width="6.5703125" style="235" customWidth="1"/>
    <col min="772" max="772" width="5.85546875" style="235" customWidth="1"/>
    <col min="773" max="773" width="6.5703125" style="235" customWidth="1"/>
    <col min="774" max="774" width="13.7109375" style="235" customWidth="1"/>
    <col min="775" max="776" width="9" style="235" customWidth="1"/>
    <col min="777" max="777" width="2.5703125" style="235" customWidth="1"/>
    <col min="778" max="778" width="8.85546875" style="235" customWidth="1"/>
    <col min="779" max="779" width="7.5703125" style="235" customWidth="1"/>
    <col min="780" max="782" width="3.7109375" style="235" customWidth="1"/>
    <col min="783" max="783" width="3.5703125" style="235" customWidth="1"/>
    <col min="784" max="784" width="2.85546875" style="235" customWidth="1"/>
    <col min="785" max="785" width="3" style="235" customWidth="1"/>
    <col min="786" max="788" width="0" style="235" hidden="1" customWidth="1"/>
    <col min="789" max="789" width="4.42578125" style="235" customWidth="1"/>
    <col min="790" max="790" width="0" style="235" hidden="1" customWidth="1"/>
    <col min="791" max="792" width="14.85546875" style="235" customWidth="1"/>
    <col min="793" max="793" width="15.140625" style="235" customWidth="1"/>
    <col min="794" max="794" width="6.42578125" style="235" customWidth="1"/>
    <col min="795" max="795" width="15.140625" style="235" customWidth="1"/>
    <col min="796" max="796" width="4.140625" style="235" customWidth="1"/>
    <col min="797" max="797" width="3" style="235" customWidth="1"/>
    <col min="798" max="800" width="0" style="235" hidden="1" customWidth="1"/>
    <col min="801" max="801" width="3" style="235" customWidth="1"/>
    <col min="802" max="802" width="0" style="235" hidden="1" customWidth="1"/>
    <col min="803" max="803" width="3" style="235" customWidth="1"/>
    <col min="804" max="804" width="0" style="235" hidden="1" customWidth="1"/>
    <col min="805" max="805" width="4.42578125" style="235" customWidth="1"/>
    <col min="806" max="806" width="34.28515625" style="235" customWidth="1"/>
    <col min="807" max="807" width="23.42578125" style="235" customWidth="1"/>
    <col min="808" max="808" width="9.140625" style="235" customWidth="1"/>
    <col min="809" max="809" width="19.5703125" style="235" customWidth="1"/>
    <col min="810" max="810" width="42.7109375" style="235" customWidth="1"/>
    <col min="811" max="811" width="5.85546875" style="235" customWidth="1"/>
    <col min="812" max="812" width="31.5703125" style="235" customWidth="1"/>
    <col min="813" max="813" width="16.140625" style="235" customWidth="1"/>
    <col min="814" max="815" width="9.28515625" style="235" customWidth="1"/>
    <col min="816" max="816" width="11.140625" style="235" customWidth="1"/>
    <col min="817" max="817" width="2.140625" style="235" customWidth="1"/>
    <col min="818" max="1023" width="11.42578125" style="235"/>
    <col min="1024" max="1024" width="12" style="235" customWidth="1"/>
    <col min="1025" max="1025" width="2.7109375" style="235" customWidth="1"/>
    <col min="1026" max="1027" width="6.5703125" style="236" customWidth="1"/>
    <col min="1028" max="1028" width="5.85546875" style="236" customWidth="1"/>
    <col min="1029" max="1029" width="6.5703125" style="236" customWidth="1"/>
    <col min="1030" max="1030" width="13.7109375" style="236" customWidth="1"/>
    <col min="1031" max="1032" width="9" style="236" customWidth="1"/>
    <col min="1033" max="1033" width="2.5703125" style="236" customWidth="1"/>
    <col min="1034" max="1034" width="8.85546875" style="236" customWidth="1"/>
    <col min="1035" max="1035" width="7.5703125" style="236" customWidth="1"/>
    <col min="1036" max="1038" width="3.7109375" style="236" customWidth="1"/>
    <col min="1039" max="1039" width="3.5703125" style="236" customWidth="1"/>
    <col min="1040" max="1040" width="2.85546875" style="236" customWidth="1"/>
    <col min="1041" max="1041" width="3" style="236" customWidth="1"/>
    <col min="1042" max="1044" width="0" style="236" hidden="1" customWidth="1"/>
    <col min="1045" max="1045" width="4.42578125" style="236" customWidth="1"/>
    <col min="1046" max="1046" width="0" style="236" hidden="1" customWidth="1"/>
    <col min="1047" max="1048" width="14.85546875" style="236" customWidth="1"/>
    <col min="1049" max="1049" width="15.140625" style="236" customWidth="1"/>
    <col min="1050" max="1050" width="6.42578125" style="236" customWidth="1"/>
    <col min="1051" max="1051" width="15.140625" style="236" customWidth="1"/>
    <col min="1052" max="1052" width="4.140625" style="236" customWidth="1"/>
    <col min="1053" max="1053" width="3" style="236" customWidth="1"/>
    <col min="1054" max="1056" width="0" style="236" hidden="1" customWidth="1"/>
    <col min="1057" max="1057" width="3" style="236" customWidth="1"/>
    <col min="1058" max="1058" width="0" style="236" hidden="1" customWidth="1"/>
    <col min="1059" max="1059" width="3" style="236" customWidth="1"/>
    <col min="1060" max="1060" width="0" style="236" hidden="1" customWidth="1"/>
    <col min="1061" max="1061" width="4.42578125" style="236" customWidth="1"/>
    <col min="1062" max="1062" width="34.28515625" style="236" customWidth="1"/>
    <col min="1063" max="1063" width="23.42578125" style="236" customWidth="1"/>
    <col min="1064" max="1064" width="9.140625" style="236" customWidth="1"/>
    <col min="1065" max="1065" width="19.5703125" style="236" customWidth="1"/>
    <col min="1066" max="1066" width="42.7109375" style="236" customWidth="1"/>
    <col min="1067" max="1067" width="5.85546875" style="236" customWidth="1"/>
    <col min="1068" max="1068" width="31.5703125" style="236" customWidth="1"/>
    <col min="1069" max="1069" width="16.140625" style="236" customWidth="1"/>
    <col min="1070" max="1071" width="9.28515625" style="236" customWidth="1"/>
    <col min="1072" max="1072" width="11.140625" style="236" customWidth="1"/>
    <col min="1073" max="1073" width="2.140625" style="236" customWidth="1"/>
    <col min="1074" max="1279" width="11.42578125" style="236"/>
    <col min="1280" max="1280" width="12" style="236" customWidth="1"/>
    <col min="1281" max="1281" width="2.7109375" style="236" customWidth="1"/>
    <col min="1282" max="1283" width="6.5703125" style="236" customWidth="1"/>
    <col min="1284" max="1284" width="5.85546875" style="236" customWidth="1"/>
    <col min="1285" max="1285" width="6.5703125" style="236" customWidth="1"/>
    <col min="1286" max="1286" width="13.7109375" style="236" customWidth="1"/>
    <col min="1287" max="1288" width="9" style="236" customWidth="1"/>
    <col min="1289" max="1289" width="2.5703125" style="236" customWidth="1"/>
    <col min="1290" max="1290" width="8.85546875" style="236" customWidth="1"/>
    <col min="1291" max="1291" width="7.5703125" style="236" customWidth="1"/>
    <col min="1292" max="1294" width="3.7109375" style="236" customWidth="1"/>
    <col min="1295" max="1295" width="3.5703125" style="236" customWidth="1"/>
    <col min="1296" max="1296" width="2.85546875" style="236" customWidth="1"/>
    <col min="1297" max="1297" width="3" style="236" customWidth="1"/>
    <col min="1298" max="1300" width="0" style="236" hidden="1" customWidth="1"/>
    <col min="1301" max="1301" width="4.42578125" style="236" customWidth="1"/>
    <col min="1302" max="1302" width="0" style="236" hidden="1" customWidth="1"/>
    <col min="1303" max="1304" width="14.85546875" style="236" customWidth="1"/>
    <col min="1305" max="1305" width="15.140625" style="236" customWidth="1"/>
    <col min="1306" max="1306" width="6.42578125" style="236" customWidth="1"/>
    <col min="1307" max="1307" width="15.140625" style="236" customWidth="1"/>
    <col min="1308" max="1308" width="4.140625" style="236" customWidth="1"/>
    <col min="1309" max="1309" width="3" style="236" customWidth="1"/>
    <col min="1310" max="1312" width="0" style="236" hidden="1" customWidth="1"/>
    <col min="1313" max="1313" width="3" style="236" customWidth="1"/>
    <col min="1314" max="1314" width="0" style="236" hidden="1" customWidth="1"/>
    <col min="1315" max="1315" width="3" style="236" customWidth="1"/>
    <col min="1316" max="1316" width="0" style="236" hidden="1" customWidth="1"/>
    <col min="1317" max="1317" width="4.42578125" style="236" customWidth="1"/>
    <col min="1318" max="1318" width="34.28515625" style="236" customWidth="1"/>
    <col min="1319" max="1319" width="23.42578125" style="236" customWidth="1"/>
    <col min="1320" max="1320" width="9.140625" style="236" customWidth="1"/>
    <col min="1321" max="1321" width="19.5703125" style="236" customWidth="1"/>
    <col min="1322" max="1322" width="42.7109375" style="236" customWidth="1"/>
    <col min="1323" max="1323" width="5.85546875" style="236" customWidth="1"/>
    <col min="1324" max="1324" width="31.5703125" style="236" customWidth="1"/>
    <col min="1325" max="1325" width="16.140625" style="236" customWidth="1"/>
    <col min="1326" max="1327" width="9.28515625" style="236" customWidth="1"/>
    <col min="1328" max="1328" width="11.140625" style="236" customWidth="1"/>
    <col min="1329" max="1329" width="2.140625" style="236" customWidth="1"/>
    <col min="1330" max="1535" width="11.42578125" style="236"/>
    <col min="1536" max="1536" width="12" style="236" customWidth="1"/>
    <col min="1537" max="1537" width="2.7109375" style="236" customWidth="1"/>
    <col min="1538" max="1539" width="6.5703125" style="236" customWidth="1"/>
    <col min="1540" max="1540" width="5.85546875" style="236" customWidth="1"/>
    <col min="1541" max="1541" width="6.5703125" style="236" customWidth="1"/>
    <col min="1542" max="1542" width="13.7109375" style="236" customWidth="1"/>
    <col min="1543" max="1544" width="9" style="236" customWidth="1"/>
    <col min="1545" max="1545" width="2.5703125" style="236" customWidth="1"/>
    <col min="1546" max="1546" width="8.85546875" style="236" customWidth="1"/>
    <col min="1547" max="1547" width="7.5703125" style="236" customWidth="1"/>
    <col min="1548" max="1550" width="3.7109375" style="236" customWidth="1"/>
    <col min="1551" max="1551" width="3.5703125" style="236" customWidth="1"/>
    <col min="1552" max="1552" width="2.85546875" style="236" customWidth="1"/>
    <col min="1553" max="1553" width="3" style="236" customWidth="1"/>
    <col min="1554" max="1556" width="0" style="236" hidden="1" customWidth="1"/>
    <col min="1557" max="1557" width="4.42578125" style="236" customWidth="1"/>
    <col min="1558" max="1558" width="0" style="236" hidden="1" customWidth="1"/>
    <col min="1559" max="1560" width="14.85546875" style="236" customWidth="1"/>
    <col min="1561" max="1561" width="15.140625" style="236" customWidth="1"/>
    <col min="1562" max="1562" width="6.42578125" style="236" customWidth="1"/>
    <col min="1563" max="1563" width="15.140625" style="236" customWidth="1"/>
    <col min="1564" max="1564" width="4.140625" style="236" customWidth="1"/>
    <col min="1565" max="1565" width="3" style="236" customWidth="1"/>
    <col min="1566" max="1568" width="0" style="236" hidden="1" customWidth="1"/>
    <col min="1569" max="1569" width="3" style="236" customWidth="1"/>
    <col min="1570" max="1570" width="0" style="236" hidden="1" customWidth="1"/>
    <col min="1571" max="1571" width="3" style="236" customWidth="1"/>
    <col min="1572" max="1572" width="0" style="236" hidden="1" customWidth="1"/>
    <col min="1573" max="1573" width="4.42578125" style="236" customWidth="1"/>
    <col min="1574" max="1574" width="34.28515625" style="236" customWidth="1"/>
    <col min="1575" max="1575" width="23.42578125" style="236" customWidth="1"/>
    <col min="1576" max="1576" width="9.140625" style="236" customWidth="1"/>
    <col min="1577" max="1577" width="19.5703125" style="236" customWidth="1"/>
    <col min="1578" max="1578" width="42.7109375" style="236" customWidth="1"/>
    <col min="1579" max="1579" width="5.85546875" style="236" customWidth="1"/>
    <col min="1580" max="1580" width="31.5703125" style="236" customWidth="1"/>
    <col min="1581" max="1581" width="16.140625" style="236" customWidth="1"/>
    <col min="1582" max="1583" width="9.28515625" style="236" customWidth="1"/>
    <col min="1584" max="1584" width="11.140625" style="236" customWidth="1"/>
    <col min="1585" max="1585" width="2.140625" style="236" customWidth="1"/>
    <col min="1586" max="1791" width="11.42578125" style="236"/>
    <col min="1792" max="1792" width="12" style="236" customWidth="1"/>
    <col min="1793" max="1793" width="2.7109375" style="236" customWidth="1"/>
    <col min="1794" max="1795" width="6.5703125" style="236" customWidth="1"/>
    <col min="1796" max="1796" width="5.85546875" style="236" customWidth="1"/>
    <col min="1797" max="1797" width="6.5703125" style="236" customWidth="1"/>
    <col min="1798" max="1798" width="13.7109375" style="236" customWidth="1"/>
    <col min="1799" max="1800" width="9" style="236" customWidth="1"/>
    <col min="1801" max="1801" width="2.5703125" style="236" customWidth="1"/>
    <col min="1802" max="1802" width="8.85546875" style="236" customWidth="1"/>
    <col min="1803" max="1803" width="7.5703125" style="236" customWidth="1"/>
    <col min="1804" max="1806" width="3.7109375" style="236" customWidth="1"/>
    <col min="1807" max="1807" width="3.5703125" style="236" customWidth="1"/>
    <col min="1808" max="1808" width="2.85546875" style="236" customWidth="1"/>
    <col min="1809" max="1809" width="3" style="236" customWidth="1"/>
    <col min="1810" max="1812" width="0" style="236" hidden="1" customWidth="1"/>
    <col min="1813" max="1813" width="4.42578125" style="236" customWidth="1"/>
    <col min="1814" max="1814" width="0" style="236" hidden="1" customWidth="1"/>
    <col min="1815" max="1816" width="14.85546875" style="236" customWidth="1"/>
    <col min="1817" max="1817" width="15.140625" style="236" customWidth="1"/>
    <col min="1818" max="1818" width="6.42578125" style="236" customWidth="1"/>
    <col min="1819" max="1819" width="15.140625" style="236" customWidth="1"/>
    <col min="1820" max="1820" width="4.140625" style="236" customWidth="1"/>
    <col min="1821" max="1821" width="3" style="236" customWidth="1"/>
    <col min="1822" max="1824" width="0" style="236" hidden="1" customWidth="1"/>
    <col min="1825" max="1825" width="3" style="236" customWidth="1"/>
    <col min="1826" max="1826" width="0" style="236" hidden="1" customWidth="1"/>
    <col min="1827" max="1827" width="3" style="236" customWidth="1"/>
    <col min="1828" max="1828" width="0" style="236" hidden="1" customWidth="1"/>
    <col min="1829" max="1829" width="4.42578125" style="236" customWidth="1"/>
    <col min="1830" max="1830" width="34.28515625" style="236" customWidth="1"/>
    <col min="1831" max="1831" width="23.42578125" style="236" customWidth="1"/>
    <col min="1832" max="1832" width="9.140625" style="236" customWidth="1"/>
    <col min="1833" max="1833" width="19.5703125" style="236" customWidth="1"/>
    <col min="1834" max="1834" width="42.7109375" style="236" customWidth="1"/>
    <col min="1835" max="1835" width="5.85546875" style="236" customWidth="1"/>
    <col min="1836" max="1836" width="31.5703125" style="236" customWidth="1"/>
    <col min="1837" max="1837" width="16.140625" style="236" customWidth="1"/>
    <col min="1838" max="1839" width="9.28515625" style="236" customWidth="1"/>
    <col min="1840" max="1840" width="11.140625" style="236" customWidth="1"/>
    <col min="1841" max="1841" width="2.140625" style="236" customWidth="1"/>
    <col min="1842" max="2047" width="11.42578125" style="236"/>
    <col min="2048" max="2048" width="12" style="236" customWidth="1"/>
    <col min="2049" max="2049" width="2.7109375" style="236" customWidth="1"/>
    <col min="2050" max="2051" width="6.5703125" style="236" customWidth="1"/>
    <col min="2052" max="2052" width="5.85546875" style="236" customWidth="1"/>
    <col min="2053" max="2053" width="6.5703125" style="236" customWidth="1"/>
    <col min="2054" max="2054" width="13.7109375" style="236" customWidth="1"/>
    <col min="2055" max="2056" width="9" style="236" customWidth="1"/>
    <col min="2057" max="2057" width="2.5703125" style="236" customWidth="1"/>
    <col min="2058" max="2058" width="8.85546875" style="236" customWidth="1"/>
    <col min="2059" max="2059" width="7.5703125" style="236" customWidth="1"/>
    <col min="2060" max="2062" width="3.7109375" style="236" customWidth="1"/>
    <col min="2063" max="2063" width="3.5703125" style="236" customWidth="1"/>
    <col min="2064" max="2064" width="2.85546875" style="236" customWidth="1"/>
    <col min="2065" max="2065" width="3" style="236" customWidth="1"/>
    <col min="2066" max="2068" width="0" style="236" hidden="1" customWidth="1"/>
    <col min="2069" max="2069" width="4.42578125" style="236" customWidth="1"/>
    <col min="2070" max="2070" width="0" style="236" hidden="1" customWidth="1"/>
    <col min="2071" max="2072" width="14.85546875" style="236" customWidth="1"/>
    <col min="2073" max="2073" width="15.140625" style="236" customWidth="1"/>
    <col min="2074" max="2074" width="6.42578125" style="236" customWidth="1"/>
    <col min="2075" max="2075" width="15.140625" style="236" customWidth="1"/>
    <col min="2076" max="2076" width="4.140625" style="236" customWidth="1"/>
    <col min="2077" max="2077" width="3" style="236" customWidth="1"/>
    <col min="2078" max="2080" width="0" style="236" hidden="1" customWidth="1"/>
    <col min="2081" max="2081" width="3" style="236" customWidth="1"/>
    <col min="2082" max="2082" width="0" style="236" hidden="1" customWidth="1"/>
    <col min="2083" max="2083" width="3" style="236" customWidth="1"/>
    <col min="2084" max="2084" width="0" style="236" hidden="1" customWidth="1"/>
    <col min="2085" max="2085" width="4.42578125" style="236" customWidth="1"/>
    <col min="2086" max="2086" width="34.28515625" style="236" customWidth="1"/>
    <col min="2087" max="2087" width="23.42578125" style="236" customWidth="1"/>
    <col min="2088" max="2088" width="9.140625" style="236" customWidth="1"/>
    <col min="2089" max="2089" width="19.5703125" style="236" customWidth="1"/>
    <col min="2090" max="2090" width="42.7109375" style="236" customWidth="1"/>
    <col min="2091" max="2091" width="5.85546875" style="236" customWidth="1"/>
    <col min="2092" max="2092" width="31.5703125" style="236" customWidth="1"/>
    <col min="2093" max="2093" width="16.140625" style="236" customWidth="1"/>
    <col min="2094" max="2095" width="9.28515625" style="236" customWidth="1"/>
    <col min="2096" max="2096" width="11.140625" style="236" customWidth="1"/>
    <col min="2097" max="2097" width="2.140625" style="236" customWidth="1"/>
    <col min="2098" max="2303" width="11.42578125" style="236"/>
    <col min="2304" max="2304" width="12" style="236" customWidth="1"/>
    <col min="2305" max="2305" width="2.7109375" style="236" customWidth="1"/>
    <col min="2306" max="2307" width="6.5703125" style="236" customWidth="1"/>
    <col min="2308" max="2308" width="5.85546875" style="236" customWidth="1"/>
    <col min="2309" max="2309" width="6.5703125" style="236" customWidth="1"/>
    <col min="2310" max="2310" width="13.7109375" style="236" customWidth="1"/>
    <col min="2311" max="2312" width="9" style="236" customWidth="1"/>
    <col min="2313" max="2313" width="2.5703125" style="236" customWidth="1"/>
    <col min="2314" max="2314" width="8.85546875" style="236" customWidth="1"/>
    <col min="2315" max="2315" width="7.5703125" style="236" customWidth="1"/>
    <col min="2316" max="2318" width="3.7109375" style="236" customWidth="1"/>
    <col min="2319" max="2319" width="3.5703125" style="236" customWidth="1"/>
    <col min="2320" max="2320" width="2.85546875" style="236" customWidth="1"/>
    <col min="2321" max="2321" width="3" style="236" customWidth="1"/>
    <col min="2322" max="2324" width="0" style="236" hidden="1" customWidth="1"/>
    <col min="2325" max="2325" width="4.42578125" style="236" customWidth="1"/>
    <col min="2326" max="2326" width="0" style="236" hidden="1" customWidth="1"/>
    <col min="2327" max="2328" width="14.85546875" style="236" customWidth="1"/>
    <col min="2329" max="2329" width="15.140625" style="236" customWidth="1"/>
    <col min="2330" max="2330" width="6.42578125" style="236" customWidth="1"/>
    <col min="2331" max="2331" width="15.140625" style="236" customWidth="1"/>
    <col min="2332" max="2332" width="4.140625" style="236" customWidth="1"/>
    <col min="2333" max="2333" width="3" style="236" customWidth="1"/>
    <col min="2334" max="2336" width="0" style="236" hidden="1" customWidth="1"/>
    <col min="2337" max="2337" width="3" style="236" customWidth="1"/>
    <col min="2338" max="2338" width="0" style="236" hidden="1" customWidth="1"/>
    <col min="2339" max="2339" width="3" style="236" customWidth="1"/>
    <col min="2340" max="2340" width="0" style="236" hidden="1" customWidth="1"/>
    <col min="2341" max="2341" width="4.42578125" style="236" customWidth="1"/>
    <col min="2342" max="2342" width="34.28515625" style="236" customWidth="1"/>
    <col min="2343" max="2343" width="23.42578125" style="236" customWidth="1"/>
    <col min="2344" max="2344" width="9.140625" style="236" customWidth="1"/>
    <col min="2345" max="2345" width="19.5703125" style="236" customWidth="1"/>
    <col min="2346" max="2346" width="42.7109375" style="236" customWidth="1"/>
    <col min="2347" max="2347" width="5.85546875" style="236" customWidth="1"/>
    <col min="2348" max="2348" width="31.5703125" style="236" customWidth="1"/>
    <col min="2349" max="2349" width="16.140625" style="236" customWidth="1"/>
    <col min="2350" max="2351" width="9.28515625" style="236" customWidth="1"/>
    <col min="2352" max="2352" width="11.140625" style="236" customWidth="1"/>
    <col min="2353" max="2353" width="2.140625" style="236" customWidth="1"/>
    <col min="2354" max="2559" width="11.42578125" style="236"/>
    <col min="2560" max="2560" width="12" style="236" customWidth="1"/>
    <col min="2561" max="2561" width="2.7109375" style="236" customWidth="1"/>
    <col min="2562" max="2563" width="6.5703125" style="236" customWidth="1"/>
    <col min="2564" max="2564" width="5.85546875" style="236" customWidth="1"/>
    <col min="2565" max="2565" width="6.5703125" style="236" customWidth="1"/>
    <col min="2566" max="2566" width="13.7109375" style="236" customWidth="1"/>
    <col min="2567" max="2568" width="9" style="236" customWidth="1"/>
    <col min="2569" max="2569" width="2.5703125" style="236" customWidth="1"/>
    <col min="2570" max="2570" width="8.85546875" style="236" customWidth="1"/>
    <col min="2571" max="2571" width="7.5703125" style="236" customWidth="1"/>
    <col min="2572" max="2574" width="3.7109375" style="236" customWidth="1"/>
    <col min="2575" max="2575" width="3.5703125" style="236" customWidth="1"/>
    <col min="2576" max="2576" width="2.85546875" style="236" customWidth="1"/>
    <col min="2577" max="2577" width="3" style="236" customWidth="1"/>
    <col min="2578" max="2580" width="0" style="236" hidden="1" customWidth="1"/>
    <col min="2581" max="2581" width="4.42578125" style="236" customWidth="1"/>
    <col min="2582" max="2582" width="0" style="236" hidden="1" customWidth="1"/>
    <col min="2583" max="2584" width="14.85546875" style="236" customWidth="1"/>
    <col min="2585" max="2585" width="15.140625" style="236" customWidth="1"/>
    <col min="2586" max="2586" width="6.42578125" style="236" customWidth="1"/>
    <col min="2587" max="2587" width="15.140625" style="236" customWidth="1"/>
    <col min="2588" max="2588" width="4.140625" style="236" customWidth="1"/>
    <col min="2589" max="2589" width="3" style="236" customWidth="1"/>
    <col min="2590" max="2592" width="0" style="236" hidden="1" customWidth="1"/>
    <col min="2593" max="2593" width="3" style="236" customWidth="1"/>
    <col min="2594" max="2594" width="0" style="236" hidden="1" customWidth="1"/>
    <col min="2595" max="2595" width="3" style="236" customWidth="1"/>
    <col min="2596" max="2596" width="0" style="236" hidden="1" customWidth="1"/>
    <col min="2597" max="2597" width="4.42578125" style="236" customWidth="1"/>
    <col min="2598" max="2598" width="34.28515625" style="236" customWidth="1"/>
    <col min="2599" max="2599" width="23.42578125" style="236" customWidth="1"/>
    <col min="2600" max="2600" width="9.140625" style="236" customWidth="1"/>
    <col min="2601" max="2601" width="19.5703125" style="236" customWidth="1"/>
    <col min="2602" max="2602" width="42.7109375" style="236" customWidth="1"/>
    <col min="2603" max="2603" width="5.85546875" style="236" customWidth="1"/>
    <col min="2604" max="2604" width="31.5703125" style="236" customWidth="1"/>
    <col min="2605" max="2605" width="16.140625" style="236" customWidth="1"/>
    <col min="2606" max="2607" width="9.28515625" style="236" customWidth="1"/>
    <col min="2608" max="2608" width="11.140625" style="236" customWidth="1"/>
    <col min="2609" max="2609" width="2.140625" style="236" customWidth="1"/>
    <col min="2610" max="2815" width="11.42578125" style="236"/>
    <col min="2816" max="2816" width="12" style="236" customWidth="1"/>
    <col min="2817" max="2817" width="2.7109375" style="236" customWidth="1"/>
    <col min="2818" max="2819" width="6.5703125" style="236" customWidth="1"/>
    <col min="2820" max="2820" width="5.85546875" style="236" customWidth="1"/>
    <col min="2821" max="2821" width="6.5703125" style="236" customWidth="1"/>
    <col min="2822" max="2822" width="13.7109375" style="236" customWidth="1"/>
    <col min="2823" max="2824" width="9" style="236" customWidth="1"/>
    <col min="2825" max="2825" width="2.5703125" style="236" customWidth="1"/>
    <col min="2826" max="2826" width="8.85546875" style="236" customWidth="1"/>
    <col min="2827" max="2827" width="7.5703125" style="236" customWidth="1"/>
    <col min="2828" max="2830" width="3.7109375" style="236" customWidth="1"/>
    <col min="2831" max="2831" width="3.5703125" style="236" customWidth="1"/>
    <col min="2832" max="2832" width="2.85546875" style="236" customWidth="1"/>
    <col min="2833" max="2833" width="3" style="236" customWidth="1"/>
    <col min="2834" max="2836" width="0" style="236" hidden="1" customWidth="1"/>
    <col min="2837" max="2837" width="4.42578125" style="236" customWidth="1"/>
    <col min="2838" max="2838" width="0" style="236" hidden="1" customWidth="1"/>
    <col min="2839" max="2840" width="14.85546875" style="236" customWidth="1"/>
    <col min="2841" max="2841" width="15.140625" style="236" customWidth="1"/>
    <col min="2842" max="2842" width="6.42578125" style="236" customWidth="1"/>
    <col min="2843" max="2843" width="15.140625" style="236" customWidth="1"/>
    <col min="2844" max="2844" width="4.140625" style="236" customWidth="1"/>
    <col min="2845" max="2845" width="3" style="236" customWidth="1"/>
    <col min="2846" max="2848" width="0" style="236" hidden="1" customWidth="1"/>
    <col min="2849" max="2849" width="3" style="236" customWidth="1"/>
    <col min="2850" max="2850" width="0" style="236" hidden="1" customWidth="1"/>
    <col min="2851" max="2851" width="3" style="236" customWidth="1"/>
    <col min="2852" max="2852" width="0" style="236" hidden="1" customWidth="1"/>
    <col min="2853" max="2853" width="4.42578125" style="236" customWidth="1"/>
    <col min="2854" max="2854" width="34.28515625" style="236" customWidth="1"/>
    <col min="2855" max="2855" width="23.42578125" style="236" customWidth="1"/>
    <col min="2856" max="2856" width="9.140625" style="236" customWidth="1"/>
    <col min="2857" max="2857" width="19.5703125" style="236" customWidth="1"/>
    <col min="2858" max="2858" width="42.7109375" style="236" customWidth="1"/>
    <col min="2859" max="2859" width="5.85546875" style="236" customWidth="1"/>
    <col min="2860" max="2860" width="31.5703125" style="236" customWidth="1"/>
    <col min="2861" max="2861" width="16.140625" style="236" customWidth="1"/>
    <col min="2862" max="2863" width="9.28515625" style="236" customWidth="1"/>
    <col min="2864" max="2864" width="11.140625" style="236" customWidth="1"/>
    <col min="2865" max="2865" width="2.140625" style="236" customWidth="1"/>
    <col min="2866" max="3071" width="11.42578125" style="236"/>
    <col min="3072" max="3072" width="12" style="236" customWidth="1"/>
    <col min="3073" max="3073" width="2.7109375" style="236" customWidth="1"/>
    <col min="3074" max="3075" width="6.5703125" style="236" customWidth="1"/>
    <col min="3076" max="3076" width="5.85546875" style="236" customWidth="1"/>
    <col min="3077" max="3077" width="6.5703125" style="236" customWidth="1"/>
    <col min="3078" max="3078" width="13.7109375" style="236" customWidth="1"/>
    <col min="3079" max="3080" width="9" style="236" customWidth="1"/>
    <col min="3081" max="3081" width="2.5703125" style="236" customWidth="1"/>
    <col min="3082" max="3082" width="8.85546875" style="236" customWidth="1"/>
    <col min="3083" max="3083" width="7.5703125" style="236" customWidth="1"/>
    <col min="3084" max="3086" width="3.7109375" style="236" customWidth="1"/>
    <col min="3087" max="3087" width="3.5703125" style="236" customWidth="1"/>
    <col min="3088" max="3088" width="2.85546875" style="236" customWidth="1"/>
    <col min="3089" max="3089" width="3" style="236" customWidth="1"/>
    <col min="3090" max="3092" width="0" style="236" hidden="1" customWidth="1"/>
    <col min="3093" max="3093" width="4.42578125" style="236" customWidth="1"/>
    <col min="3094" max="3094" width="0" style="236" hidden="1" customWidth="1"/>
    <col min="3095" max="3096" width="14.85546875" style="236" customWidth="1"/>
    <col min="3097" max="3097" width="15.140625" style="236" customWidth="1"/>
    <col min="3098" max="3098" width="6.42578125" style="236" customWidth="1"/>
    <col min="3099" max="3099" width="15.140625" style="236" customWidth="1"/>
    <col min="3100" max="3100" width="4.140625" style="236" customWidth="1"/>
    <col min="3101" max="3101" width="3" style="236" customWidth="1"/>
    <col min="3102" max="3104" width="0" style="236" hidden="1" customWidth="1"/>
    <col min="3105" max="3105" width="3" style="236" customWidth="1"/>
    <col min="3106" max="3106" width="0" style="236" hidden="1" customWidth="1"/>
    <col min="3107" max="3107" width="3" style="236" customWidth="1"/>
    <col min="3108" max="3108" width="0" style="236" hidden="1" customWidth="1"/>
    <col min="3109" max="3109" width="4.42578125" style="236" customWidth="1"/>
    <col min="3110" max="3110" width="34.28515625" style="236" customWidth="1"/>
    <col min="3111" max="3111" width="23.42578125" style="236" customWidth="1"/>
    <col min="3112" max="3112" width="9.140625" style="236" customWidth="1"/>
    <col min="3113" max="3113" width="19.5703125" style="236" customWidth="1"/>
    <col min="3114" max="3114" width="42.7109375" style="236" customWidth="1"/>
    <col min="3115" max="3115" width="5.85546875" style="236" customWidth="1"/>
    <col min="3116" max="3116" width="31.5703125" style="236" customWidth="1"/>
    <col min="3117" max="3117" width="16.140625" style="236" customWidth="1"/>
    <col min="3118" max="3119" width="9.28515625" style="236" customWidth="1"/>
    <col min="3120" max="3120" width="11.140625" style="236" customWidth="1"/>
    <col min="3121" max="3121" width="2.140625" style="236" customWidth="1"/>
    <col min="3122" max="3327" width="11.42578125" style="236"/>
    <col min="3328" max="3328" width="12" style="236" customWidth="1"/>
    <col min="3329" max="3329" width="2.7109375" style="236" customWidth="1"/>
    <col min="3330" max="3331" width="6.5703125" style="236" customWidth="1"/>
    <col min="3332" max="3332" width="5.85546875" style="236" customWidth="1"/>
    <col min="3333" max="3333" width="6.5703125" style="236" customWidth="1"/>
    <col min="3334" max="3334" width="13.7109375" style="236" customWidth="1"/>
    <col min="3335" max="3336" width="9" style="236" customWidth="1"/>
    <col min="3337" max="3337" width="2.5703125" style="236" customWidth="1"/>
    <col min="3338" max="3338" width="8.85546875" style="236" customWidth="1"/>
    <col min="3339" max="3339" width="7.5703125" style="236" customWidth="1"/>
    <col min="3340" max="3342" width="3.7109375" style="236" customWidth="1"/>
    <col min="3343" max="3343" width="3.5703125" style="236" customWidth="1"/>
    <col min="3344" max="3344" width="2.85546875" style="236" customWidth="1"/>
    <col min="3345" max="3345" width="3" style="236" customWidth="1"/>
    <col min="3346" max="3348" width="0" style="236" hidden="1" customWidth="1"/>
    <col min="3349" max="3349" width="4.42578125" style="236" customWidth="1"/>
    <col min="3350" max="3350" width="0" style="236" hidden="1" customWidth="1"/>
    <col min="3351" max="3352" width="14.85546875" style="236" customWidth="1"/>
    <col min="3353" max="3353" width="15.140625" style="236" customWidth="1"/>
    <col min="3354" max="3354" width="6.42578125" style="236" customWidth="1"/>
    <col min="3355" max="3355" width="15.140625" style="236" customWidth="1"/>
    <col min="3356" max="3356" width="4.140625" style="236" customWidth="1"/>
    <col min="3357" max="3357" width="3" style="236" customWidth="1"/>
    <col min="3358" max="3360" width="0" style="236" hidden="1" customWidth="1"/>
    <col min="3361" max="3361" width="3" style="236" customWidth="1"/>
    <col min="3362" max="3362" width="0" style="236" hidden="1" customWidth="1"/>
    <col min="3363" max="3363" width="3" style="236" customWidth="1"/>
    <col min="3364" max="3364" width="0" style="236" hidden="1" customWidth="1"/>
    <col min="3365" max="3365" width="4.42578125" style="236" customWidth="1"/>
    <col min="3366" max="3366" width="34.28515625" style="236" customWidth="1"/>
    <col min="3367" max="3367" width="23.42578125" style="236" customWidth="1"/>
    <col min="3368" max="3368" width="9.140625" style="236" customWidth="1"/>
    <col min="3369" max="3369" width="19.5703125" style="236" customWidth="1"/>
    <col min="3370" max="3370" width="42.7109375" style="236" customWidth="1"/>
    <col min="3371" max="3371" width="5.85546875" style="236" customWidth="1"/>
    <col min="3372" max="3372" width="31.5703125" style="236" customWidth="1"/>
    <col min="3373" max="3373" width="16.140625" style="236" customWidth="1"/>
    <col min="3374" max="3375" width="9.28515625" style="236" customWidth="1"/>
    <col min="3376" max="3376" width="11.140625" style="236" customWidth="1"/>
    <col min="3377" max="3377" width="2.140625" style="236" customWidth="1"/>
    <col min="3378" max="3583" width="11.42578125" style="236"/>
    <col min="3584" max="3584" width="12" style="236" customWidth="1"/>
    <col min="3585" max="3585" width="2.7109375" style="236" customWidth="1"/>
    <col min="3586" max="3587" width="6.5703125" style="236" customWidth="1"/>
    <col min="3588" max="3588" width="5.85546875" style="236" customWidth="1"/>
    <col min="3589" max="3589" width="6.5703125" style="236" customWidth="1"/>
    <col min="3590" max="3590" width="13.7109375" style="236" customWidth="1"/>
    <col min="3591" max="3592" width="9" style="236" customWidth="1"/>
    <col min="3593" max="3593" width="2.5703125" style="236" customWidth="1"/>
    <col min="3594" max="3594" width="8.85546875" style="236" customWidth="1"/>
    <col min="3595" max="3595" width="7.5703125" style="236" customWidth="1"/>
    <col min="3596" max="3598" width="3.7109375" style="236" customWidth="1"/>
    <col min="3599" max="3599" width="3.5703125" style="236" customWidth="1"/>
    <col min="3600" max="3600" width="2.85546875" style="236" customWidth="1"/>
    <col min="3601" max="3601" width="3" style="236" customWidth="1"/>
    <col min="3602" max="3604" width="0" style="236" hidden="1" customWidth="1"/>
    <col min="3605" max="3605" width="4.42578125" style="236" customWidth="1"/>
    <col min="3606" max="3606" width="0" style="236" hidden="1" customWidth="1"/>
    <col min="3607" max="3608" width="14.85546875" style="236" customWidth="1"/>
    <col min="3609" max="3609" width="15.140625" style="236" customWidth="1"/>
    <col min="3610" max="3610" width="6.42578125" style="236" customWidth="1"/>
    <col min="3611" max="3611" width="15.140625" style="236" customWidth="1"/>
    <col min="3612" max="3612" width="4.140625" style="236" customWidth="1"/>
    <col min="3613" max="3613" width="3" style="236" customWidth="1"/>
    <col min="3614" max="3616" width="0" style="236" hidden="1" customWidth="1"/>
    <col min="3617" max="3617" width="3" style="236" customWidth="1"/>
    <col min="3618" max="3618" width="0" style="236" hidden="1" customWidth="1"/>
    <col min="3619" max="3619" width="3" style="236" customWidth="1"/>
    <col min="3620" max="3620" width="0" style="236" hidden="1" customWidth="1"/>
    <col min="3621" max="3621" width="4.42578125" style="236" customWidth="1"/>
    <col min="3622" max="3622" width="34.28515625" style="236" customWidth="1"/>
    <col min="3623" max="3623" width="23.42578125" style="236" customWidth="1"/>
    <col min="3624" max="3624" width="9.140625" style="236" customWidth="1"/>
    <col min="3625" max="3625" width="19.5703125" style="236" customWidth="1"/>
    <col min="3626" max="3626" width="42.7109375" style="236" customWidth="1"/>
    <col min="3627" max="3627" width="5.85546875" style="236" customWidth="1"/>
    <col min="3628" max="3628" width="31.5703125" style="236" customWidth="1"/>
    <col min="3629" max="3629" width="16.140625" style="236" customWidth="1"/>
    <col min="3630" max="3631" width="9.28515625" style="236" customWidth="1"/>
    <col min="3632" max="3632" width="11.140625" style="236" customWidth="1"/>
    <col min="3633" max="3633" width="2.140625" style="236" customWidth="1"/>
    <col min="3634" max="3839" width="11.42578125" style="236"/>
    <col min="3840" max="3840" width="12" style="236" customWidth="1"/>
    <col min="3841" max="3841" width="2.7109375" style="236" customWidth="1"/>
    <col min="3842" max="3843" width="6.5703125" style="236" customWidth="1"/>
    <col min="3844" max="3844" width="5.85546875" style="236" customWidth="1"/>
    <col min="3845" max="3845" width="6.5703125" style="236" customWidth="1"/>
    <col min="3846" max="3846" width="13.7109375" style="236" customWidth="1"/>
    <col min="3847" max="3848" width="9" style="236" customWidth="1"/>
    <col min="3849" max="3849" width="2.5703125" style="236" customWidth="1"/>
    <col min="3850" max="3850" width="8.85546875" style="236" customWidth="1"/>
    <col min="3851" max="3851" width="7.5703125" style="236" customWidth="1"/>
    <col min="3852" max="3854" width="3.7109375" style="236" customWidth="1"/>
    <col min="3855" max="3855" width="3.5703125" style="236" customWidth="1"/>
    <col min="3856" max="3856" width="2.85546875" style="236" customWidth="1"/>
    <col min="3857" max="3857" width="3" style="236" customWidth="1"/>
    <col min="3858" max="3860" width="0" style="236" hidden="1" customWidth="1"/>
    <col min="3861" max="3861" width="4.42578125" style="236" customWidth="1"/>
    <col min="3862" max="3862" width="0" style="236" hidden="1" customWidth="1"/>
    <col min="3863" max="3864" width="14.85546875" style="236" customWidth="1"/>
    <col min="3865" max="3865" width="15.140625" style="236" customWidth="1"/>
    <col min="3866" max="3866" width="6.42578125" style="236" customWidth="1"/>
    <col min="3867" max="3867" width="15.140625" style="236" customWidth="1"/>
    <col min="3868" max="3868" width="4.140625" style="236" customWidth="1"/>
    <col min="3869" max="3869" width="3" style="236" customWidth="1"/>
    <col min="3870" max="3872" width="0" style="236" hidden="1" customWidth="1"/>
    <col min="3873" max="3873" width="3" style="236" customWidth="1"/>
    <col min="3874" max="3874" width="0" style="236" hidden="1" customWidth="1"/>
    <col min="3875" max="3875" width="3" style="236" customWidth="1"/>
    <col min="3876" max="3876" width="0" style="236" hidden="1" customWidth="1"/>
    <col min="3877" max="3877" width="4.42578125" style="236" customWidth="1"/>
    <col min="3878" max="3878" width="34.28515625" style="236" customWidth="1"/>
    <col min="3879" max="3879" width="23.42578125" style="236" customWidth="1"/>
    <col min="3880" max="3880" width="9.140625" style="236" customWidth="1"/>
    <col min="3881" max="3881" width="19.5703125" style="236" customWidth="1"/>
    <col min="3882" max="3882" width="42.7109375" style="236" customWidth="1"/>
    <col min="3883" max="3883" width="5.85546875" style="236" customWidth="1"/>
    <col min="3884" max="3884" width="31.5703125" style="236" customWidth="1"/>
    <col min="3885" max="3885" width="16.140625" style="236" customWidth="1"/>
    <col min="3886" max="3887" width="9.28515625" style="236" customWidth="1"/>
    <col min="3888" max="3888" width="11.140625" style="236" customWidth="1"/>
    <col min="3889" max="3889" width="2.140625" style="236" customWidth="1"/>
    <col min="3890" max="4095" width="11.42578125" style="236"/>
    <col min="4096" max="4096" width="12" style="236" customWidth="1"/>
    <col min="4097" max="4097" width="2.7109375" style="236" customWidth="1"/>
    <col min="4098" max="4099" width="6.5703125" style="236" customWidth="1"/>
    <col min="4100" max="4100" width="5.85546875" style="236" customWidth="1"/>
    <col min="4101" max="4101" width="6.5703125" style="236" customWidth="1"/>
    <col min="4102" max="4102" width="13.7109375" style="236" customWidth="1"/>
    <col min="4103" max="4104" width="9" style="236" customWidth="1"/>
    <col min="4105" max="4105" width="2.5703125" style="236" customWidth="1"/>
    <col min="4106" max="4106" width="8.85546875" style="236" customWidth="1"/>
    <col min="4107" max="4107" width="7.5703125" style="236" customWidth="1"/>
    <col min="4108" max="4110" width="3.7109375" style="236" customWidth="1"/>
    <col min="4111" max="4111" width="3.5703125" style="236" customWidth="1"/>
    <col min="4112" max="4112" width="2.85546875" style="236" customWidth="1"/>
    <col min="4113" max="4113" width="3" style="236" customWidth="1"/>
    <col min="4114" max="4116" width="0" style="236" hidden="1" customWidth="1"/>
    <col min="4117" max="4117" width="4.42578125" style="236" customWidth="1"/>
    <col min="4118" max="4118" width="0" style="236" hidden="1" customWidth="1"/>
    <col min="4119" max="4120" width="14.85546875" style="236" customWidth="1"/>
    <col min="4121" max="4121" width="15.140625" style="236" customWidth="1"/>
    <col min="4122" max="4122" width="6.42578125" style="236" customWidth="1"/>
    <col min="4123" max="4123" width="15.140625" style="236" customWidth="1"/>
    <col min="4124" max="4124" width="4.140625" style="236" customWidth="1"/>
    <col min="4125" max="4125" width="3" style="236" customWidth="1"/>
    <col min="4126" max="4128" width="0" style="236" hidden="1" customWidth="1"/>
    <col min="4129" max="4129" width="3" style="236" customWidth="1"/>
    <col min="4130" max="4130" width="0" style="236" hidden="1" customWidth="1"/>
    <col min="4131" max="4131" width="3" style="236" customWidth="1"/>
    <col min="4132" max="4132" width="0" style="236" hidden="1" customWidth="1"/>
    <col min="4133" max="4133" width="4.42578125" style="236" customWidth="1"/>
    <col min="4134" max="4134" width="34.28515625" style="236" customWidth="1"/>
    <col min="4135" max="4135" width="23.42578125" style="236" customWidth="1"/>
    <col min="4136" max="4136" width="9.140625" style="236" customWidth="1"/>
    <col min="4137" max="4137" width="19.5703125" style="236" customWidth="1"/>
    <col min="4138" max="4138" width="42.7109375" style="236" customWidth="1"/>
    <col min="4139" max="4139" width="5.85546875" style="236" customWidth="1"/>
    <col min="4140" max="4140" width="31.5703125" style="236" customWidth="1"/>
    <col min="4141" max="4141" width="16.140625" style="236" customWidth="1"/>
    <col min="4142" max="4143" width="9.28515625" style="236" customWidth="1"/>
    <col min="4144" max="4144" width="11.140625" style="236" customWidth="1"/>
    <col min="4145" max="4145" width="2.140625" style="236" customWidth="1"/>
    <col min="4146" max="4351" width="11.42578125" style="236"/>
    <col min="4352" max="4352" width="12" style="236" customWidth="1"/>
    <col min="4353" max="4353" width="2.7109375" style="236" customWidth="1"/>
    <col min="4354" max="4355" width="6.5703125" style="236" customWidth="1"/>
    <col min="4356" max="4356" width="5.85546875" style="236" customWidth="1"/>
    <col min="4357" max="4357" width="6.5703125" style="236" customWidth="1"/>
    <col min="4358" max="4358" width="13.7109375" style="236" customWidth="1"/>
    <col min="4359" max="4360" width="9" style="236" customWidth="1"/>
    <col min="4361" max="4361" width="2.5703125" style="236" customWidth="1"/>
    <col min="4362" max="4362" width="8.85546875" style="236" customWidth="1"/>
    <col min="4363" max="4363" width="7.5703125" style="236" customWidth="1"/>
    <col min="4364" max="4366" width="3.7109375" style="236" customWidth="1"/>
    <col min="4367" max="4367" width="3.5703125" style="236" customWidth="1"/>
    <col min="4368" max="4368" width="2.85546875" style="236" customWidth="1"/>
    <col min="4369" max="4369" width="3" style="236" customWidth="1"/>
    <col min="4370" max="4372" width="0" style="236" hidden="1" customWidth="1"/>
    <col min="4373" max="4373" width="4.42578125" style="236" customWidth="1"/>
    <col min="4374" max="4374" width="0" style="236" hidden="1" customWidth="1"/>
    <col min="4375" max="4376" width="14.85546875" style="236" customWidth="1"/>
    <col min="4377" max="4377" width="15.140625" style="236" customWidth="1"/>
    <col min="4378" max="4378" width="6.42578125" style="236" customWidth="1"/>
    <col min="4379" max="4379" width="15.140625" style="236" customWidth="1"/>
    <col min="4380" max="4380" width="4.140625" style="236" customWidth="1"/>
    <col min="4381" max="4381" width="3" style="236" customWidth="1"/>
    <col min="4382" max="4384" width="0" style="236" hidden="1" customWidth="1"/>
    <col min="4385" max="4385" width="3" style="236" customWidth="1"/>
    <col min="4386" max="4386" width="0" style="236" hidden="1" customWidth="1"/>
    <col min="4387" max="4387" width="3" style="236" customWidth="1"/>
    <col min="4388" max="4388" width="0" style="236" hidden="1" customWidth="1"/>
    <col min="4389" max="4389" width="4.42578125" style="236" customWidth="1"/>
    <col min="4390" max="4390" width="34.28515625" style="236" customWidth="1"/>
    <col min="4391" max="4391" width="23.42578125" style="236" customWidth="1"/>
    <col min="4392" max="4392" width="9.140625" style="236" customWidth="1"/>
    <col min="4393" max="4393" width="19.5703125" style="236" customWidth="1"/>
    <col min="4394" max="4394" width="42.7109375" style="236" customWidth="1"/>
    <col min="4395" max="4395" width="5.85546875" style="236" customWidth="1"/>
    <col min="4396" max="4396" width="31.5703125" style="236" customWidth="1"/>
    <col min="4397" max="4397" width="16.140625" style="236" customWidth="1"/>
    <col min="4398" max="4399" width="9.28515625" style="236" customWidth="1"/>
    <col min="4400" max="4400" width="11.140625" style="236" customWidth="1"/>
    <col min="4401" max="4401" width="2.140625" style="236" customWidth="1"/>
    <col min="4402" max="4607" width="11.42578125" style="236"/>
    <col min="4608" max="4608" width="12" style="236" customWidth="1"/>
    <col min="4609" max="4609" width="2.7109375" style="236" customWidth="1"/>
    <col min="4610" max="4611" width="6.5703125" style="236" customWidth="1"/>
    <col min="4612" max="4612" width="5.85546875" style="236" customWidth="1"/>
    <col min="4613" max="4613" width="6.5703125" style="236" customWidth="1"/>
    <col min="4614" max="4614" width="13.7109375" style="236" customWidth="1"/>
    <col min="4615" max="4616" width="9" style="236" customWidth="1"/>
    <col min="4617" max="4617" width="2.5703125" style="236" customWidth="1"/>
    <col min="4618" max="4618" width="8.85546875" style="236" customWidth="1"/>
    <col min="4619" max="4619" width="7.5703125" style="236" customWidth="1"/>
    <col min="4620" max="4622" width="3.7109375" style="236" customWidth="1"/>
    <col min="4623" max="4623" width="3.5703125" style="236" customWidth="1"/>
    <col min="4624" max="4624" width="2.85546875" style="236" customWidth="1"/>
    <col min="4625" max="4625" width="3" style="236" customWidth="1"/>
    <col min="4626" max="4628" width="0" style="236" hidden="1" customWidth="1"/>
    <col min="4629" max="4629" width="4.42578125" style="236" customWidth="1"/>
    <col min="4630" max="4630" width="0" style="236" hidden="1" customWidth="1"/>
    <col min="4631" max="4632" width="14.85546875" style="236" customWidth="1"/>
    <col min="4633" max="4633" width="15.140625" style="236" customWidth="1"/>
    <col min="4634" max="4634" width="6.42578125" style="236" customWidth="1"/>
    <col min="4635" max="4635" width="15.140625" style="236" customWidth="1"/>
    <col min="4636" max="4636" width="4.140625" style="236" customWidth="1"/>
    <col min="4637" max="4637" width="3" style="236" customWidth="1"/>
    <col min="4638" max="4640" width="0" style="236" hidden="1" customWidth="1"/>
    <col min="4641" max="4641" width="3" style="236" customWidth="1"/>
    <col min="4642" max="4642" width="0" style="236" hidden="1" customWidth="1"/>
    <col min="4643" max="4643" width="3" style="236" customWidth="1"/>
    <col min="4644" max="4644" width="0" style="236" hidden="1" customWidth="1"/>
    <col min="4645" max="4645" width="4.42578125" style="236" customWidth="1"/>
    <col min="4646" max="4646" width="34.28515625" style="236" customWidth="1"/>
    <col min="4647" max="4647" width="23.42578125" style="236" customWidth="1"/>
    <col min="4648" max="4648" width="9.140625" style="236" customWidth="1"/>
    <col min="4649" max="4649" width="19.5703125" style="236" customWidth="1"/>
    <col min="4650" max="4650" width="42.7109375" style="236" customWidth="1"/>
    <col min="4651" max="4651" width="5.85546875" style="236" customWidth="1"/>
    <col min="4652" max="4652" width="31.5703125" style="236" customWidth="1"/>
    <col min="4653" max="4653" width="16.140625" style="236" customWidth="1"/>
    <col min="4654" max="4655" width="9.28515625" style="236" customWidth="1"/>
    <col min="4656" max="4656" width="11.140625" style="236" customWidth="1"/>
    <col min="4657" max="4657" width="2.140625" style="236" customWidth="1"/>
    <col min="4658" max="4863" width="11.42578125" style="236"/>
    <col min="4864" max="4864" width="12" style="236" customWidth="1"/>
    <col min="4865" max="4865" width="2.7109375" style="236" customWidth="1"/>
    <col min="4866" max="4867" width="6.5703125" style="236" customWidth="1"/>
    <col min="4868" max="4868" width="5.85546875" style="236" customWidth="1"/>
    <col min="4869" max="4869" width="6.5703125" style="236" customWidth="1"/>
    <col min="4870" max="4870" width="13.7109375" style="236" customWidth="1"/>
    <col min="4871" max="4872" width="9" style="236" customWidth="1"/>
    <col min="4873" max="4873" width="2.5703125" style="236" customWidth="1"/>
    <col min="4874" max="4874" width="8.85546875" style="236" customWidth="1"/>
    <col min="4875" max="4875" width="7.5703125" style="236" customWidth="1"/>
    <col min="4876" max="4878" width="3.7109375" style="236" customWidth="1"/>
    <col min="4879" max="4879" width="3.5703125" style="236" customWidth="1"/>
    <col min="4880" max="4880" width="2.85546875" style="236" customWidth="1"/>
    <col min="4881" max="4881" width="3" style="236" customWidth="1"/>
    <col min="4882" max="4884" width="0" style="236" hidden="1" customWidth="1"/>
    <col min="4885" max="4885" width="4.42578125" style="236" customWidth="1"/>
    <col min="4886" max="4886" width="0" style="236" hidden="1" customWidth="1"/>
    <col min="4887" max="4888" width="14.85546875" style="236" customWidth="1"/>
    <col min="4889" max="4889" width="15.140625" style="236" customWidth="1"/>
    <col min="4890" max="4890" width="6.42578125" style="236" customWidth="1"/>
    <col min="4891" max="4891" width="15.140625" style="236" customWidth="1"/>
    <col min="4892" max="4892" width="4.140625" style="236" customWidth="1"/>
    <col min="4893" max="4893" width="3" style="236" customWidth="1"/>
    <col min="4894" max="4896" width="0" style="236" hidden="1" customWidth="1"/>
    <col min="4897" max="4897" width="3" style="236" customWidth="1"/>
    <col min="4898" max="4898" width="0" style="236" hidden="1" customWidth="1"/>
    <col min="4899" max="4899" width="3" style="236" customWidth="1"/>
    <col min="4900" max="4900" width="0" style="236" hidden="1" customWidth="1"/>
    <col min="4901" max="4901" width="4.42578125" style="236" customWidth="1"/>
    <col min="4902" max="4902" width="34.28515625" style="236" customWidth="1"/>
    <col min="4903" max="4903" width="23.42578125" style="236" customWidth="1"/>
    <col min="4904" max="4904" width="9.140625" style="236" customWidth="1"/>
    <col min="4905" max="4905" width="19.5703125" style="236" customWidth="1"/>
    <col min="4906" max="4906" width="42.7109375" style="236" customWidth="1"/>
    <col min="4907" max="4907" width="5.85546875" style="236" customWidth="1"/>
    <col min="4908" max="4908" width="31.5703125" style="236" customWidth="1"/>
    <col min="4909" max="4909" width="16.140625" style="236" customWidth="1"/>
    <col min="4910" max="4911" width="9.28515625" style="236" customWidth="1"/>
    <col min="4912" max="4912" width="11.140625" style="236" customWidth="1"/>
    <col min="4913" max="4913" width="2.140625" style="236" customWidth="1"/>
    <col min="4914" max="5119" width="11.42578125" style="236"/>
    <col min="5120" max="5120" width="12" style="236" customWidth="1"/>
    <col min="5121" max="5121" width="2.7109375" style="236" customWidth="1"/>
    <col min="5122" max="5123" width="6.5703125" style="236" customWidth="1"/>
    <col min="5124" max="5124" width="5.85546875" style="236" customWidth="1"/>
    <col min="5125" max="5125" width="6.5703125" style="236" customWidth="1"/>
    <col min="5126" max="5126" width="13.7109375" style="236" customWidth="1"/>
    <col min="5127" max="5128" width="9" style="236" customWidth="1"/>
    <col min="5129" max="5129" width="2.5703125" style="236" customWidth="1"/>
    <col min="5130" max="5130" width="8.85546875" style="236" customWidth="1"/>
    <col min="5131" max="5131" width="7.5703125" style="236" customWidth="1"/>
    <col min="5132" max="5134" width="3.7109375" style="236" customWidth="1"/>
    <col min="5135" max="5135" width="3.5703125" style="236" customWidth="1"/>
    <col min="5136" max="5136" width="2.85546875" style="236" customWidth="1"/>
    <col min="5137" max="5137" width="3" style="236" customWidth="1"/>
    <col min="5138" max="5140" width="0" style="236" hidden="1" customWidth="1"/>
    <col min="5141" max="5141" width="4.42578125" style="236" customWidth="1"/>
    <col min="5142" max="5142" width="0" style="236" hidden="1" customWidth="1"/>
    <col min="5143" max="5144" width="14.85546875" style="236" customWidth="1"/>
    <col min="5145" max="5145" width="15.140625" style="236" customWidth="1"/>
    <col min="5146" max="5146" width="6.42578125" style="236" customWidth="1"/>
    <col min="5147" max="5147" width="15.140625" style="236" customWidth="1"/>
    <col min="5148" max="5148" width="4.140625" style="236" customWidth="1"/>
    <col min="5149" max="5149" width="3" style="236" customWidth="1"/>
    <col min="5150" max="5152" width="0" style="236" hidden="1" customWidth="1"/>
    <col min="5153" max="5153" width="3" style="236" customWidth="1"/>
    <col min="5154" max="5154" width="0" style="236" hidden="1" customWidth="1"/>
    <col min="5155" max="5155" width="3" style="236" customWidth="1"/>
    <col min="5156" max="5156" width="0" style="236" hidden="1" customWidth="1"/>
    <col min="5157" max="5157" width="4.42578125" style="236" customWidth="1"/>
    <col min="5158" max="5158" width="34.28515625" style="236" customWidth="1"/>
    <col min="5159" max="5159" width="23.42578125" style="236" customWidth="1"/>
    <col min="5160" max="5160" width="9.140625" style="236" customWidth="1"/>
    <col min="5161" max="5161" width="19.5703125" style="236" customWidth="1"/>
    <col min="5162" max="5162" width="42.7109375" style="236" customWidth="1"/>
    <col min="5163" max="5163" width="5.85546875" style="236" customWidth="1"/>
    <col min="5164" max="5164" width="31.5703125" style="236" customWidth="1"/>
    <col min="5165" max="5165" width="16.140625" style="236" customWidth="1"/>
    <col min="5166" max="5167" width="9.28515625" style="236" customWidth="1"/>
    <col min="5168" max="5168" width="11.140625" style="236" customWidth="1"/>
    <col min="5169" max="5169" width="2.140625" style="236" customWidth="1"/>
    <col min="5170" max="5375" width="11.42578125" style="236"/>
    <col min="5376" max="5376" width="12" style="236" customWidth="1"/>
    <col min="5377" max="5377" width="2.7109375" style="236" customWidth="1"/>
    <col min="5378" max="5379" width="6.5703125" style="236" customWidth="1"/>
    <col min="5380" max="5380" width="5.85546875" style="236" customWidth="1"/>
    <col min="5381" max="5381" width="6.5703125" style="236" customWidth="1"/>
    <col min="5382" max="5382" width="13.7109375" style="236" customWidth="1"/>
    <col min="5383" max="5384" width="9" style="236" customWidth="1"/>
    <col min="5385" max="5385" width="2.5703125" style="236" customWidth="1"/>
    <col min="5386" max="5386" width="8.85546875" style="236" customWidth="1"/>
    <col min="5387" max="5387" width="7.5703125" style="236" customWidth="1"/>
    <col min="5388" max="5390" width="3.7109375" style="236" customWidth="1"/>
    <col min="5391" max="5391" width="3.5703125" style="236" customWidth="1"/>
    <col min="5392" max="5392" width="2.85546875" style="236" customWidth="1"/>
    <col min="5393" max="5393" width="3" style="236" customWidth="1"/>
    <col min="5394" max="5396" width="0" style="236" hidden="1" customWidth="1"/>
    <col min="5397" max="5397" width="4.42578125" style="236" customWidth="1"/>
    <col min="5398" max="5398" width="0" style="236" hidden="1" customWidth="1"/>
    <col min="5399" max="5400" width="14.85546875" style="236" customWidth="1"/>
    <col min="5401" max="5401" width="15.140625" style="236" customWidth="1"/>
    <col min="5402" max="5402" width="6.42578125" style="236" customWidth="1"/>
    <col min="5403" max="5403" width="15.140625" style="236" customWidth="1"/>
    <col min="5404" max="5404" width="4.140625" style="236" customWidth="1"/>
    <col min="5405" max="5405" width="3" style="236" customWidth="1"/>
    <col min="5406" max="5408" width="0" style="236" hidden="1" customWidth="1"/>
    <col min="5409" max="5409" width="3" style="236" customWidth="1"/>
    <col min="5410" max="5410" width="0" style="236" hidden="1" customWidth="1"/>
    <col min="5411" max="5411" width="3" style="236" customWidth="1"/>
    <col min="5412" max="5412" width="0" style="236" hidden="1" customWidth="1"/>
    <col min="5413" max="5413" width="4.42578125" style="236" customWidth="1"/>
    <col min="5414" max="5414" width="34.28515625" style="236" customWidth="1"/>
    <col min="5415" max="5415" width="23.42578125" style="236" customWidth="1"/>
    <col min="5416" max="5416" width="9.140625" style="236" customWidth="1"/>
    <col min="5417" max="5417" width="19.5703125" style="236" customWidth="1"/>
    <col min="5418" max="5418" width="42.7109375" style="236" customWidth="1"/>
    <col min="5419" max="5419" width="5.85546875" style="236" customWidth="1"/>
    <col min="5420" max="5420" width="31.5703125" style="236" customWidth="1"/>
    <col min="5421" max="5421" width="16.140625" style="236" customWidth="1"/>
    <col min="5422" max="5423" width="9.28515625" style="236" customWidth="1"/>
    <col min="5424" max="5424" width="11.140625" style="236" customWidth="1"/>
    <col min="5425" max="5425" width="2.140625" style="236" customWidth="1"/>
    <col min="5426" max="5631" width="11.42578125" style="236"/>
    <col min="5632" max="5632" width="12" style="236" customWidth="1"/>
    <col min="5633" max="5633" width="2.7109375" style="236" customWidth="1"/>
    <col min="5634" max="5635" width="6.5703125" style="236" customWidth="1"/>
    <col min="5636" max="5636" width="5.85546875" style="236" customWidth="1"/>
    <col min="5637" max="5637" width="6.5703125" style="236" customWidth="1"/>
    <col min="5638" max="5638" width="13.7109375" style="236" customWidth="1"/>
    <col min="5639" max="5640" width="9" style="236" customWidth="1"/>
    <col min="5641" max="5641" width="2.5703125" style="236" customWidth="1"/>
    <col min="5642" max="5642" width="8.85546875" style="236" customWidth="1"/>
    <col min="5643" max="5643" width="7.5703125" style="236" customWidth="1"/>
    <col min="5644" max="5646" width="3.7109375" style="236" customWidth="1"/>
    <col min="5647" max="5647" width="3.5703125" style="236" customWidth="1"/>
    <col min="5648" max="5648" width="2.85546875" style="236" customWidth="1"/>
    <col min="5649" max="5649" width="3" style="236" customWidth="1"/>
    <col min="5650" max="5652" width="0" style="236" hidden="1" customWidth="1"/>
    <col min="5653" max="5653" width="4.42578125" style="236" customWidth="1"/>
    <col min="5654" max="5654" width="0" style="236" hidden="1" customWidth="1"/>
    <col min="5655" max="5656" width="14.85546875" style="236" customWidth="1"/>
    <col min="5657" max="5657" width="15.140625" style="236" customWidth="1"/>
    <col min="5658" max="5658" width="6.42578125" style="236" customWidth="1"/>
    <col min="5659" max="5659" width="15.140625" style="236" customWidth="1"/>
    <col min="5660" max="5660" width="4.140625" style="236" customWidth="1"/>
    <col min="5661" max="5661" width="3" style="236" customWidth="1"/>
    <col min="5662" max="5664" width="0" style="236" hidden="1" customWidth="1"/>
    <col min="5665" max="5665" width="3" style="236" customWidth="1"/>
    <col min="5666" max="5666" width="0" style="236" hidden="1" customWidth="1"/>
    <col min="5667" max="5667" width="3" style="236" customWidth="1"/>
    <col min="5668" max="5668" width="0" style="236" hidden="1" customWidth="1"/>
    <col min="5669" max="5669" width="4.42578125" style="236" customWidth="1"/>
    <col min="5670" max="5670" width="34.28515625" style="236" customWidth="1"/>
    <col min="5671" max="5671" width="23.42578125" style="236" customWidth="1"/>
    <col min="5672" max="5672" width="9.140625" style="236" customWidth="1"/>
    <col min="5673" max="5673" width="19.5703125" style="236" customWidth="1"/>
    <col min="5674" max="5674" width="42.7109375" style="236" customWidth="1"/>
    <col min="5675" max="5675" width="5.85546875" style="236" customWidth="1"/>
    <col min="5676" max="5676" width="31.5703125" style="236" customWidth="1"/>
    <col min="5677" max="5677" width="16.140625" style="236" customWidth="1"/>
    <col min="5678" max="5679" width="9.28515625" style="236" customWidth="1"/>
    <col min="5680" max="5680" width="11.140625" style="236" customWidth="1"/>
    <col min="5681" max="5681" width="2.140625" style="236" customWidth="1"/>
    <col min="5682" max="5887" width="11.42578125" style="236"/>
    <col min="5888" max="5888" width="12" style="236" customWidth="1"/>
    <col min="5889" max="5889" width="2.7109375" style="236" customWidth="1"/>
    <col min="5890" max="5891" width="6.5703125" style="236" customWidth="1"/>
    <col min="5892" max="5892" width="5.85546875" style="236" customWidth="1"/>
    <col min="5893" max="5893" width="6.5703125" style="236" customWidth="1"/>
    <col min="5894" max="5894" width="13.7109375" style="236" customWidth="1"/>
    <col min="5895" max="5896" width="9" style="236" customWidth="1"/>
    <col min="5897" max="5897" width="2.5703125" style="236" customWidth="1"/>
    <col min="5898" max="5898" width="8.85546875" style="236" customWidth="1"/>
    <col min="5899" max="5899" width="7.5703125" style="236" customWidth="1"/>
    <col min="5900" max="5902" width="3.7109375" style="236" customWidth="1"/>
    <col min="5903" max="5903" width="3.5703125" style="236" customWidth="1"/>
    <col min="5904" max="5904" width="2.85546875" style="236" customWidth="1"/>
    <col min="5905" max="5905" width="3" style="236" customWidth="1"/>
    <col min="5906" max="5908" width="0" style="236" hidden="1" customWidth="1"/>
    <col min="5909" max="5909" width="4.42578125" style="236" customWidth="1"/>
    <col min="5910" max="5910" width="0" style="236" hidden="1" customWidth="1"/>
    <col min="5911" max="5912" width="14.85546875" style="236" customWidth="1"/>
    <col min="5913" max="5913" width="15.140625" style="236" customWidth="1"/>
    <col min="5914" max="5914" width="6.42578125" style="236" customWidth="1"/>
    <col min="5915" max="5915" width="15.140625" style="236" customWidth="1"/>
    <col min="5916" max="5916" width="4.140625" style="236" customWidth="1"/>
    <col min="5917" max="5917" width="3" style="236" customWidth="1"/>
    <col min="5918" max="5920" width="0" style="236" hidden="1" customWidth="1"/>
    <col min="5921" max="5921" width="3" style="236" customWidth="1"/>
    <col min="5922" max="5922" width="0" style="236" hidden="1" customWidth="1"/>
    <col min="5923" max="5923" width="3" style="236" customWidth="1"/>
    <col min="5924" max="5924" width="0" style="236" hidden="1" customWidth="1"/>
    <col min="5925" max="5925" width="4.42578125" style="236" customWidth="1"/>
    <col min="5926" max="5926" width="34.28515625" style="236" customWidth="1"/>
    <col min="5927" max="5927" width="23.42578125" style="236" customWidth="1"/>
    <col min="5928" max="5928" width="9.140625" style="236" customWidth="1"/>
    <col min="5929" max="5929" width="19.5703125" style="236" customWidth="1"/>
    <col min="5930" max="5930" width="42.7109375" style="236" customWidth="1"/>
    <col min="5931" max="5931" width="5.85546875" style="236" customWidth="1"/>
    <col min="5932" max="5932" width="31.5703125" style="236" customWidth="1"/>
    <col min="5933" max="5933" width="16.140625" style="236" customWidth="1"/>
    <col min="5934" max="5935" width="9.28515625" style="236" customWidth="1"/>
    <col min="5936" max="5936" width="11.140625" style="236" customWidth="1"/>
    <col min="5937" max="5937" width="2.140625" style="236" customWidth="1"/>
    <col min="5938" max="6143" width="11.42578125" style="236"/>
    <col min="6144" max="6144" width="12" style="236" customWidth="1"/>
    <col min="6145" max="6145" width="2.7109375" style="236" customWidth="1"/>
    <col min="6146" max="6147" width="6.5703125" style="236" customWidth="1"/>
    <col min="6148" max="6148" width="5.85546875" style="236" customWidth="1"/>
    <col min="6149" max="6149" width="6.5703125" style="236" customWidth="1"/>
    <col min="6150" max="6150" width="13.7109375" style="236" customWidth="1"/>
    <col min="6151" max="6152" width="9" style="236" customWidth="1"/>
    <col min="6153" max="6153" width="2.5703125" style="236" customWidth="1"/>
    <col min="6154" max="6154" width="8.85546875" style="236" customWidth="1"/>
    <col min="6155" max="6155" width="7.5703125" style="236" customWidth="1"/>
    <col min="6156" max="6158" width="3.7109375" style="236" customWidth="1"/>
    <col min="6159" max="6159" width="3.5703125" style="236" customWidth="1"/>
    <col min="6160" max="6160" width="2.85546875" style="236" customWidth="1"/>
    <col min="6161" max="6161" width="3" style="236" customWidth="1"/>
    <col min="6162" max="6164" width="0" style="236" hidden="1" customWidth="1"/>
    <col min="6165" max="6165" width="4.42578125" style="236" customWidth="1"/>
    <col min="6166" max="6166" width="0" style="236" hidden="1" customWidth="1"/>
    <col min="6167" max="6168" width="14.85546875" style="236" customWidth="1"/>
    <col min="6169" max="6169" width="15.140625" style="236" customWidth="1"/>
    <col min="6170" max="6170" width="6.42578125" style="236" customWidth="1"/>
    <col min="6171" max="6171" width="15.140625" style="236" customWidth="1"/>
    <col min="6172" max="6172" width="4.140625" style="236" customWidth="1"/>
    <col min="6173" max="6173" width="3" style="236" customWidth="1"/>
    <col min="6174" max="6176" width="0" style="236" hidden="1" customWidth="1"/>
    <col min="6177" max="6177" width="3" style="236" customWidth="1"/>
    <col min="6178" max="6178" width="0" style="236" hidden="1" customWidth="1"/>
    <col min="6179" max="6179" width="3" style="236" customWidth="1"/>
    <col min="6180" max="6180" width="0" style="236" hidden="1" customWidth="1"/>
    <col min="6181" max="6181" width="4.42578125" style="236" customWidth="1"/>
    <col min="6182" max="6182" width="34.28515625" style="236" customWidth="1"/>
    <col min="6183" max="6183" width="23.42578125" style="236" customWidth="1"/>
    <col min="6184" max="6184" width="9.140625" style="236" customWidth="1"/>
    <col min="6185" max="6185" width="19.5703125" style="236" customWidth="1"/>
    <col min="6186" max="6186" width="42.7109375" style="236" customWidth="1"/>
    <col min="6187" max="6187" width="5.85546875" style="236" customWidth="1"/>
    <col min="6188" max="6188" width="31.5703125" style="236" customWidth="1"/>
    <col min="6189" max="6189" width="16.140625" style="236" customWidth="1"/>
    <col min="6190" max="6191" width="9.28515625" style="236" customWidth="1"/>
    <col min="6192" max="6192" width="11.140625" style="236" customWidth="1"/>
    <col min="6193" max="6193" width="2.140625" style="236" customWidth="1"/>
    <col min="6194" max="6399" width="11.42578125" style="236"/>
    <col min="6400" max="6400" width="12" style="236" customWidth="1"/>
    <col min="6401" max="6401" width="2.7109375" style="236" customWidth="1"/>
    <col min="6402" max="6403" width="6.5703125" style="236" customWidth="1"/>
    <col min="6404" max="6404" width="5.85546875" style="236" customWidth="1"/>
    <col min="6405" max="6405" width="6.5703125" style="236" customWidth="1"/>
    <col min="6406" max="6406" width="13.7109375" style="236" customWidth="1"/>
    <col min="6407" max="6408" width="9" style="236" customWidth="1"/>
    <col min="6409" max="6409" width="2.5703125" style="236" customWidth="1"/>
    <col min="6410" max="6410" width="8.85546875" style="236" customWidth="1"/>
    <col min="6411" max="6411" width="7.5703125" style="236" customWidth="1"/>
    <col min="6412" max="6414" width="3.7109375" style="236" customWidth="1"/>
    <col min="6415" max="6415" width="3.5703125" style="236" customWidth="1"/>
    <col min="6416" max="6416" width="2.85546875" style="236" customWidth="1"/>
    <col min="6417" max="6417" width="3" style="236" customWidth="1"/>
    <col min="6418" max="6420" width="0" style="236" hidden="1" customWidth="1"/>
    <col min="6421" max="6421" width="4.42578125" style="236" customWidth="1"/>
    <col min="6422" max="6422" width="0" style="236" hidden="1" customWidth="1"/>
    <col min="6423" max="6424" width="14.85546875" style="236" customWidth="1"/>
    <col min="6425" max="6425" width="15.140625" style="236" customWidth="1"/>
    <col min="6426" max="6426" width="6.42578125" style="236" customWidth="1"/>
    <col min="6427" max="6427" width="15.140625" style="236" customWidth="1"/>
    <col min="6428" max="6428" width="4.140625" style="236" customWidth="1"/>
    <col min="6429" max="6429" width="3" style="236" customWidth="1"/>
    <col min="6430" max="6432" width="0" style="236" hidden="1" customWidth="1"/>
    <col min="6433" max="6433" width="3" style="236" customWidth="1"/>
    <col min="6434" max="6434" width="0" style="236" hidden="1" customWidth="1"/>
    <col min="6435" max="6435" width="3" style="236" customWidth="1"/>
    <col min="6436" max="6436" width="0" style="236" hidden="1" customWidth="1"/>
    <col min="6437" max="6437" width="4.42578125" style="236" customWidth="1"/>
    <col min="6438" max="6438" width="34.28515625" style="236" customWidth="1"/>
    <col min="6439" max="6439" width="23.42578125" style="236" customWidth="1"/>
    <col min="6440" max="6440" width="9.140625" style="236" customWidth="1"/>
    <col min="6441" max="6441" width="19.5703125" style="236" customWidth="1"/>
    <col min="6442" max="6442" width="42.7109375" style="236" customWidth="1"/>
    <col min="6443" max="6443" width="5.85546875" style="236" customWidth="1"/>
    <col min="6444" max="6444" width="31.5703125" style="236" customWidth="1"/>
    <col min="6445" max="6445" width="16.140625" style="236" customWidth="1"/>
    <col min="6446" max="6447" width="9.28515625" style="236" customWidth="1"/>
    <col min="6448" max="6448" width="11.140625" style="236" customWidth="1"/>
    <col min="6449" max="6449" width="2.140625" style="236" customWidth="1"/>
    <col min="6450" max="6655" width="11.42578125" style="236"/>
    <col min="6656" max="6656" width="12" style="236" customWidth="1"/>
    <col min="6657" max="6657" width="2.7109375" style="236" customWidth="1"/>
    <col min="6658" max="6659" width="6.5703125" style="236" customWidth="1"/>
    <col min="6660" max="6660" width="5.85546875" style="236" customWidth="1"/>
    <col min="6661" max="6661" width="6.5703125" style="236" customWidth="1"/>
    <col min="6662" max="6662" width="13.7109375" style="236" customWidth="1"/>
    <col min="6663" max="6664" width="9" style="236" customWidth="1"/>
    <col min="6665" max="6665" width="2.5703125" style="236" customWidth="1"/>
    <col min="6666" max="6666" width="8.85546875" style="236" customWidth="1"/>
    <col min="6667" max="6667" width="7.5703125" style="236" customWidth="1"/>
    <col min="6668" max="6670" width="3.7109375" style="236" customWidth="1"/>
    <col min="6671" max="6671" width="3.5703125" style="236" customWidth="1"/>
    <col min="6672" max="6672" width="2.85546875" style="236" customWidth="1"/>
    <col min="6673" max="6673" width="3" style="236" customWidth="1"/>
    <col min="6674" max="6676" width="0" style="236" hidden="1" customWidth="1"/>
    <col min="6677" max="6677" width="4.42578125" style="236" customWidth="1"/>
    <col min="6678" max="6678" width="0" style="236" hidden="1" customWidth="1"/>
    <col min="6679" max="6680" width="14.85546875" style="236" customWidth="1"/>
    <col min="6681" max="6681" width="15.140625" style="236" customWidth="1"/>
    <col min="6682" max="6682" width="6.42578125" style="236" customWidth="1"/>
    <col min="6683" max="6683" width="15.140625" style="236" customWidth="1"/>
    <col min="6684" max="6684" width="4.140625" style="236" customWidth="1"/>
    <col min="6685" max="6685" width="3" style="236" customWidth="1"/>
    <col min="6686" max="6688" width="0" style="236" hidden="1" customWidth="1"/>
    <col min="6689" max="6689" width="3" style="236" customWidth="1"/>
    <col min="6690" max="6690" width="0" style="236" hidden="1" customWidth="1"/>
    <col min="6691" max="6691" width="3" style="236" customWidth="1"/>
    <col min="6692" max="6692" width="0" style="236" hidden="1" customWidth="1"/>
    <col min="6693" max="6693" width="4.42578125" style="236" customWidth="1"/>
    <col min="6694" max="6694" width="34.28515625" style="236" customWidth="1"/>
    <col min="6695" max="6695" width="23.42578125" style="236" customWidth="1"/>
    <col min="6696" max="6696" width="9.140625" style="236" customWidth="1"/>
    <col min="6697" max="6697" width="19.5703125" style="236" customWidth="1"/>
    <col min="6698" max="6698" width="42.7109375" style="236" customWidth="1"/>
    <col min="6699" max="6699" width="5.85546875" style="236" customWidth="1"/>
    <col min="6700" max="6700" width="31.5703125" style="236" customWidth="1"/>
    <col min="6701" max="6701" width="16.140625" style="236" customWidth="1"/>
    <col min="6702" max="6703" width="9.28515625" style="236" customWidth="1"/>
    <col min="6704" max="6704" width="11.140625" style="236" customWidth="1"/>
    <col min="6705" max="6705" width="2.140625" style="236" customWidth="1"/>
    <col min="6706" max="6911" width="11.42578125" style="236"/>
    <col min="6912" max="6912" width="12" style="236" customWidth="1"/>
    <col min="6913" max="6913" width="2.7109375" style="236" customWidth="1"/>
    <col min="6914" max="6915" width="6.5703125" style="236" customWidth="1"/>
    <col min="6916" max="6916" width="5.85546875" style="236" customWidth="1"/>
    <col min="6917" max="6917" width="6.5703125" style="236" customWidth="1"/>
    <col min="6918" max="6918" width="13.7109375" style="236" customWidth="1"/>
    <col min="6919" max="6920" width="9" style="236" customWidth="1"/>
    <col min="6921" max="6921" width="2.5703125" style="236" customWidth="1"/>
    <col min="6922" max="6922" width="8.85546875" style="236" customWidth="1"/>
    <col min="6923" max="6923" width="7.5703125" style="236" customWidth="1"/>
    <col min="6924" max="6926" width="3.7109375" style="236" customWidth="1"/>
    <col min="6927" max="6927" width="3.5703125" style="236" customWidth="1"/>
    <col min="6928" max="6928" width="2.85546875" style="236" customWidth="1"/>
    <col min="6929" max="6929" width="3" style="236" customWidth="1"/>
    <col min="6930" max="6932" width="0" style="236" hidden="1" customWidth="1"/>
    <col min="6933" max="6933" width="4.42578125" style="236" customWidth="1"/>
    <col min="6934" max="6934" width="0" style="236" hidden="1" customWidth="1"/>
    <col min="6935" max="6936" width="14.85546875" style="236" customWidth="1"/>
    <col min="6937" max="6937" width="15.140625" style="236" customWidth="1"/>
    <col min="6938" max="6938" width="6.42578125" style="236" customWidth="1"/>
    <col min="6939" max="6939" width="15.140625" style="236" customWidth="1"/>
    <col min="6940" max="6940" width="4.140625" style="236" customWidth="1"/>
    <col min="6941" max="6941" width="3" style="236" customWidth="1"/>
    <col min="6942" max="6944" width="0" style="236" hidden="1" customWidth="1"/>
    <col min="6945" max="6945" width="3" style="236" customWidth="1"/>
    <col min="6946" max="6946" width="0" style="236" hidden="1" customWidth="1"/>
    <col min="6947" max="6947" width="3" style="236" customWidth="1"/>
    <col min="6948" max="6948" width="0" style="236" hidden="1" customWidth="1"/>
    <col min="6949" max="6949" width="4.42578125" style="236" customWidth="1"/>
    <col min="6950" max="6950" width="34.28515625" style="236" customWidth="1"/>
    <col min="6951" max="6951" width="23.42578125" style="236" customWidth="1"/>
    <col min="6952" max="6952" width="9.140625" style="236" customWidth="1"/>
    <col min="6953" max="6953" width="19.5703125" style="236" customWidth="1"/>
    <col min="6954" max="6954" width="42.7109375" style="236" customWidth="1"/>
    <col min="6955" max="6955" width="5.85546875" style="236" customWidth="1"/>
    <col min="6956" max="6956" width="31.5703125" style="236" customWidth="1"/>
    <col min="6957" max="6957" width="16.140625" style="236" customWidth="1"/>
    <col min="6958" max="6959" width="9.28515625" style="236" customWidth="1"/>
    <col min="6960" max="6960" width="11.140625" style="236" customWidth="1"/>
    <col min="6961" max="6961" width="2.140625" style="236" customWidth="1"/>
    <col min="6962" max="7167" width="11.42578125" style="236"/>
    <col min="7168" max="7168" width="12" style="236" customWidth="1"/>
    <col min="7169" max="7169" width="2.7109375" style="236" customWidth="1"/>
    <col min="7170" max="7171" width="6.5703125" style="236" customWidth="1"/>
    <col min="7172" max="7172" width="5.85546875" style="236" customWidth="1"/>
    <col min="7173" max="7173" width="6.5703125" style="236" customWidth="1"/>
    <col min="7174" max="7174" width="13.7109375" style="236" customWidth="1"/>
    <col min="7175" max="7176" width="9" style="236" customWidth="1"/>
    <col min="7177" max="7177" width="2.5703125" style="236" customWidth="1"/>
    <col min="7178" max="7178" width="8.85546875" style="236" customWidth="1"/>
    <col min="7179" max="7179" width="7.5703125" style="236" customWidth="1"/>
    <col min="7180" max="7182" width="3.7109375" style="236" customWidth="1"/>
    <col min="7183" max="7183" width="3.5703125" style="236" customWidth="1"/>
    <col min="7184" max="7184" width="2.85546875" style="236" customWidth="1"/>
    <col min="7185" max="7185" width="3" style="236" customWidth="1"/>
    <col min="7186" max="7188" width="0" style="236" hidden="1" customWidth="1"/>
    <col min="7189" max="7189" width="4.42578125" style="236" customWidth="1"/>
    <col min="7190" max="7190" width="0" style="236" hidden="1" customWidth="1"/>
    <col min="7191" max="7192" width="14.85546875" style="236" customWidth="1"/>
    <col min="7193" max="7193" width="15.140625" style="236" customWidth="1"/>
    <col min="7194" max="7194" width="6.42578125" style="236" customWidth="1"/>
    <col min="7195" max="7195" width="15.140625" style="236" customWidth="1"/>
    <col min="7196" max="7196" width="4.140625" style="236" customWidth="1"/>
    <col min="7197" max="7197" width="3" style="236" customWidth="1"/>
    <col min="7198" max="7200" width="0" style="236" hidden="1" customWidth="1"/>
    <col min="7201" max="7201" width="3" style="236" customWidth="1"/>
    <col min="7202" max="7202" width="0" style="236" hidden="1" customWidth="1"/>
    <col min="7203" max="7203" width="3" style="236" customWidth="1"/>
    <col min="7204" max="7204" width="0" style="236" hidden="1" customWidth="1"/>
    <col min="7205" max="7205" width="4.42578125" style="236" customWidth="1"/>
    <col min="7206" max="7206" width="34.28515625" style="236" customWidth="1"/>
    <col min="7207" max="7207" width="23.42578125" style="236" customWidth="1"/>
    <col min="7208" max="7208" width="9.140625" style="236" customWidth="1"/>
    <col min="7209" max="7209" width="19.5703125" style="236" customWidth="1"/>
    <col min="7210" max="7210" width="42.7109375" style="236" customWidth="1"/>
    <col min="7211" max="7211" width="5.85546875" style="236" customWidth="1"/>
    <col min="7212" max="7212" width="31.5703125" style="236" customWidth="1"/>
    <col min="7213" max="7213" width="16.140625" style="236" customWidth="1"/>
    <col min="7214" max="7215" width="9.28515625" style="236" customWidth="1"/>
    <col min="7216" max="7216" width="11.140625" style="236" customWidth="1"/>
    <col min="7217" max="7217" width="2.140625" style="236" customWidth="1"/>
    <col min="7218" max="7423" width="11.42578125" style="236"/>
    <col min="7424" max="7424" width="12" style="236" customWidth="1"/>
    <col min="7425" max="7425" width="2.7109375" style="236" customWidth="1"/>
    <col min="7426" max="7427" width="6.5703125" style="236" customWidth="1"/>
    <col min="7428" max="7428" width="5.85546875" style="236" customWidth="1"/>
    <col min="7429" max="7429" width="6.5703125" style="236" customWidth="1"/>
    <col min="7430" max="7430" width="13.7109375" style="236" customWidth="1"/>
    <col min="7431" max="7432" width="9" style="236" customWidth="1"/>
    <col min="7433" max="7433" width="2.5703125" style="236" customWidth="1"/>
    <col min="7434" max="7434" width="8.85546875" style="236" customWidth="1"/>
    <col min="7435" max="7435" width="7.5703125" style="236" customWidth="1"/>
    <col min="7436" max="7438" width="3.7109375" style="236" customWidth="1"/>
    <col min="7439" max="7439" width="3.5703125" style="236" customWidth="1"/>
    <col min="7440" max="7440" width="2.85546875" style="236" customWidth="1"/>
    <col min="7441" max="7441" width="3" style="236" customWidth="1"/>
    <col min="7442" max="7444" width="0" style="236" hidden="1" customWidth="1"/>
    <col min="7445" max="7445" width="4.42578125" style="236" customWidth="1"/>
    <col min="7446" max="7446" width="0" style="236" hidden="1" customWidth="1"/>
    <col min="7447" max="7448" width="14.85546875" style="236" customWidth="1"/>
    <col min="7449" max="7449" width="15.140625" style="236" customWidth="1"/>
    <col min="7450" max="7450" width="6.42578125" style="236" customWidth="1"/>
    <col min="7451" max="7451" width="15.140625" style="236" customWidth="1"/>
    <col min="7452" max="7452" width="4.140625" style="236" customWidth="1"/>
    <col min="7453" max="7453" width="3" style="236" customWidth="1"/>
    <col min="7454" max="7456" width="0" style="236" hidden="1" customWidth="1"/>
    <col min="7457" max="7457" width="3" style="236" customWidth="1"/>
    <col min="7458" max="7458" width="0" style="236" hidden="1" customWidth="1"/>
    <col min="7459" max="7459" width="3" style="236" customWidth="1"/>
    <col min="7460" max="7460" width="0" style="236" hidden="1" customWidth="1"/>
    <col min="7461" max="7461" width="4.42578125" style="236" customWidth="1"/>
    <col min="7462" max="7462" width="34.28515625" style="236" customWidth="1"/>
    <col min="7463" max="7463" width="23.42578125" style="236" customWidth="1"/>
    <col min="7464" max="7464" width="9.140625" style="236" customWidth="1"/>
    <col min="7465" max="7465" width="19.5703125" style="236" customWidth="1"/>
    <col min="7466" max="7466" width="42.7109375" style="236" customWidth="1"/>
    <col min="7467" max="7467" width="5.85546875" style="236" customWidth="1"/>
    <col min="7468" max="7468" width="31.5703125" style="236" customWidth="1"/>
    <col min="7469" max="7469" width="16.140625" style="236" customWidth="1"/>
    <col min="7470" max="7471" width="9.28515625" style="236" customWidth="1"/>
    <col min="7472" max="7472" width="11.140625" style="236" customWidth="1"/>
    <col min="7473" max="7473" width="2.140625" style="236" customWidth="1"/>
    <col min="7474" max="7679" width="11.42578125" style="236"/>
    <col min="7680" max="7680" width="12" style="236" customWidth="1"/>
    <col min="7681" max="7681" width="2.7109375" style="236" customWidth="1"/>
    <col min="7682" max="7683" width="6.5703125" style="236" customWidth="1"/>
    <col min="7684" max="7684" width="5.85546875" style="236" customWidth="1"/>
    <col min="7685" max="7685" width="6.5703125" style="236" customWidth="1"/>
    <col min="7686" max="7686" width="13.7109375" style="236" customWidth="1"/>
    <col min="7687" max="7688" width="9" style="236" customWidth="1"/>
    <col min="7689" max="7689" width="2.5703125" style="236" customWidth="1"/>
    <col min="7690" max="7690" width="8.85546875" style="236" customWidth="1"/>
    <col min="7691" max="7691" width="7.5703125" style="236" customWidth="1"/>
    <col min="7692" max="7694" width="3.7109375" style="236" customWidth="1"/>
    <col min="7695" max="7695" width="3.5703125" style="236" customWidth="1"/>
    <col min="7696" max="7696" width="2.85546875" style="236" customWidth="1"/>
    <col min="7697" max="7697" width="3" style="236" customWidth="1"/>
    <col min="7698" max="7700" width="0" style="236" hidden="1" customWidth="1"/>
    <col min="7701" max="7701" width="4.42578125" style="236" customWidth="1"/>
    <col min="7702" max="7702" width="0" style="236" hidden="1" customWidth="1"/>
    <col min="7703" max="7704" width="14.85546875" style="236" customWidth="1"/>
    <col min="7705" max="7705" width="15.140625" style="236" customWidth="1"/>
    <col min="7706" max="7706" width="6.42578125" style="236" customWidth="1"/>
    <col min="7707" max="7707" width="15.140625" style="236" customWidth="1"/>
    <col min="7708" max="7708" width="4.140625" style="236" customWidth="1"/>
    <col min="7709" max="7709" width="3" style="236" customWidth="1"/>
    <col min="7710" max="7712" width="0" style="236" hidden="1" customWidth="1"/>
    <col min="7713" max="7713" width="3" style="236" customWidth="1"/>
    <col min="7714" max="7714" width="0" style="236" hidden="1" customWidth="1"/>
    <col min="7715" max="7715" width="3" style="236" customWidth="1"/>
    <col min="7716" max="7716" width="0" style="236" hidden="1" customWidth="1"/>
    <col min="7717" max="7717" width="4.42578125" style="236" customWidth="1"/>
    <col min="7718" max="7718" width="34.28515625" style="236" customWidth="1"/>
    <col min="7719" max="7719" width="23.42578125" style="236" customWidth="1"/>
    <col min="7720" max="7720" width="9.140625" style="236" customWidth="1"/>
    <col min="7721" max="7721" width="19.5703125" style="236" customWidth="1"/>
    <col min="7722" max="7722" width="42.7109375" style="236" customWidth="1"/>
    <col min="7723" max="7723" width="5.85546875" style="236" customWidth="1"/>
    <col min="7724" max="7724" width="31.5703125" style="236" customWidth="1"/>
    <col min="7725" max="7725" width="16.140625" style="236" customWidth="1"/>
    <col min="7726" max="7727" width="9.28515625" style="236" customWidth="1"/>
    <col min="7728" max="7728" width="11.140625" style="236" customWidth="1"/>
    <col min="7729" max="7729" width="2.140625" style="236" customWidth="1"/>
    <col min="7730" max="7935" width="11.42578125" style="236"/>
    <col min="7936" max="7936" width="12" style="236" customWidth="1"/>
    <col min="7937" max="7937" width="2.7109375" style="236" customWidth="1"/>
    <col min="7938" max="7939" width="6.5703125" style="236" customWidth="1"/>
    <col min="7940" max="7940" width="5.85546875" style="236" customWidth="1"/>
    <col min="7941" max="7941" width="6.5703125" style="236" customWidth="1"/>
    <col min="7942" max="7942" width="13.7109375" style="236" customWidth="1"/>
    <col min="7943" max="7944" width="9" style="236" customWidth="1"/>
    <col min="7945" max="7945" width="2.5703125" style="236" customWidth="1"/>
    <col min="7946" max="7946" width="8.85546875" style="236" customWidth="1"/>
    <col min="7947" max="7947" width="7.5703125" style="236" customWidth="1"/>
    <col min="7948" max="7950" width="3.7109375" style="236" customWidth="1"/>
    <col min="7951" max="7951" width="3.5703125" style="236" customWidth="1"/>
    <col min="7952" max="7952" width="2.85546875" style="236" customWidth="1"/>
    <col min="7953" max="7953" width="3" style="236" customWidth="1"/>
    <col min="7954" max="7956" width="0" style="236" hidden="1" customWidth="1"/>
    <col min="7957" max="7957" width="4.42578125" style="236" customWidth="1"/>
    <col min="7958" max="7958" width="0" style="236" hidden="1" customWidth="1"/>
    <col min="7959" max="7960" width="14.85546875" style="236" customWidth="1"/>
    <col min="7961" max="7961" width="15.140625" style="236" customWidth="1"/>
    <col min="7962" max="7962" width="6.42578125" style="236" customWidth="1"/>
    <col min="7963" max="7963" width="15.140625" style="236" customWidth="1"/>
    <col min="7964" max="7964" width="4.140625" style="236" customWidth="1"/>
    <col min="7965" max="7965" width="3" style="236" customWidth="1"/>
    <col min="7966" max="7968" width="0" style="236" hidden="1" customWidth="1"/>
    <col min="7969" max="7969" width="3" style="236" customWidth="1"/>
    <col min="7970" max="7970" width="0" style="236" hidden="1" customWidth="1"/>
    <col min="7971" max="7971" width="3" style="236" customWidth="1"/>
    <col min="7972" max="7972" width="0" style="236" hidden="1" customWidth="1"/>
    <col min="7973" max="7973" width="4.42578125" style="236" customWidth="1"/>
    <col min="7974" max="7974" width="34.28515625" style="236" customWidth="1"/>
    <col min="7975" max="7975" width="23.42578125" style="236" customWidth="1"/>
    <col min="7976" max="7976" width="9.140625" style="236" customWidth="1"/>
    <col min="7977" max="7977" width="19.5703125" style="236" customWidth="1"/>
    <col min="7978" max="7978" width="42.7109375" style="236" customWidth="1"/>
    <col min="7979" max="7979" width="5.85546875" style="236" customWidth="1"/>
    <col min="7980" max="7980" width="31.5703125" style="236" customWidth="1"/>
    <col min="7981" max="7981" width="16.140625" style="236" customWidth="1"/>
    <col min="7982" max="7983" width="9.28515625" style="236" customWidth="1"/>
    <col min="7984" max="7984" width="11.140625" style="236" customWidth="1"/>
    <col min="7985" max="7985" width="2.140625" style="236" customWidth="1"/>
    <col min="7986" max="8191" width="11.42578125" style="236"/>
    <col min="8192" max="8192" width="12" style="236" customWidth="1"/>
    <col min="8193" max="8193" width="2.7109375" style="236" customWidth="1"/>
    <col min="8194" max="8195" width="6.5703125" style="236" customWidth="1"/>
    <col min="8196" max="8196" width="5.85546875" style="236" customWidth="1"/>
    <col min="8197" max="8197" width="6.5703125" style="236" customWidth="1"/>
    <col min="8198" max="8198" width="13.7109375" style="236" customWidth="1"/>
    <col min="8199" max="8200" width="9" style="236" customWidth="1"/>
    <col min="8201" max="8201" width="2.5703125" style="236" customWidth="1"/>
    <col min="8202" max="8202" width="8.85546875" style="236" customWidth="1"/>
    <col min="8203" max="8203" width="7.5703125" style="236" customWidth="1"/>
    <col min="8204" max="8206" width="3.7109375" style="236" customWidth="1"/>
    <col min="8207" max="8207" width="3.5703125" style="236" customWidth="1"/>
    <col min="8208" max="8208" width="2.85546875" style="236" customWidth="1"/>
    <col min="8209" max="8209" width="3" style="236" customWidth="1"/>
    <col min="8210" max="8212" width="0" style="236" hidden="1" customWidth="1"/>
    <col min="8213" max="8213" width="4.42578125" style="236" customWidth="1"/>
    <col min="8214" max="8214" width="0" style="236" hidden="1" customWidth="1"/>
    <col min="8215" max="8216" width="14.85546875" style="236" customWidth="1"/>
    <col min="8217" max="8217" width="15.140625" style="236" customWidth="1"/>
    <col min="8218" max="8218" width="6.42578125" style="236" customWidth="1"/>
    <col min="8219" max="8219" width="15.140625" style="236" customWidth="1"/>
    <col min="8220" max="8220" width="4.140625" style="236" customWidth="1"/>
    <col min="8221" max="8221" width="3" style="236" customWidth="1"/>
    <col min="8222" max="8224" width="0" style="236" hidden="1" customWidth="1"/>
    <col min="8225" max="8225" width="3" style="236" customWidth="1"/>
    <col min="8226" max="8226" width="0" style="236" hidden="1" customWidth="1"/>
    <col min="8227" max="8227" width="3" style="236" customWidth="1"/>
    <col min="8228" max="8228" width="0" style="236" hidden="1" customWidth="1"/>
    <col min="8229" max="8229" width="4.42578125" style="236" customWidth="1"/>
    <col min="8230" max="8230" width="34.28515625" style="236" customWidth="1"/>
    <col min="8231" max="8231" width="23.42578125" style="236" customWidth="1"/>
    <col min="8232" max="8232" width="9.140625" style="236" customWidth="1"/>
    <col min="8233" max="8233" width="19.5703125" style="236" customWidth="1"/>
    <col min="8234" max="8234" width="42.7109375" style="236" customWidth="1"/>
    <col min="8235" max="8235" width="5.85546875" style="236" customWidth="1"/>
    <col min="8236" max="8236" width="31.5703125" style="236" customWidth="1"/>
    <col min="8237" max="8237" width="16.140625" style="236" customWidth="1"/>
    <col min="8238" max="8239" width="9.28515625" style="236" customWidth="1"/>
    <col min="8240" max="8240" width="11.140625" style="236" customWidth="1"/>
    <col min="8241" max="8241" width="2.140625" style="236" customWidth="1"/>
    <col min="8242" max="8447" width="11.42578125" style="236"/>
    <col min="8448" max="8448" width="12" style="236" customWidth="1"/>
    <col min="8449" max="8449" width="2.7109375" style="236" customWidth="1"/>
    <col min="8450" max="8451" width="6.5703125" style="236" customWidth="1"/>
    <col min="8452" max="8452" width="5.85546875" style="236" customWidth="1"/>
    <col min="8453" max="8453" width="6.5703125" style="236" customWidth="1"/>
    <col min="8454" max="8454" width="13.7109375" style="236" customWidth="1"/>
    <col min="8455" max="8456" width="9" style="236" customWidth="1"/>
    <col min="8457" max="8457" width="2.5703125" style="236" customWidth="1"/>
    <col min="8458" max="8458" width="8.85546875" style="236" customWidth="1"/>
    <col min="8459" max="8459" width="7.5703125" style="236" customWidth="1"/>
    <col min="8460" max="8462" width="3.7109375" style="236" customWidth="1"/>
    <col min="8463" max="8463" width="3.5703125" style="236" customWidth="1"/>
    <col min="8464" max="8464" width="2.85546875" style="236" customWidth="1"/>
    <col min="8465" max="8465" width="3" style="236" customWidth="1"/>
    <col min="8466" max="8468" width="0" style="236" hidden="1" customWidth="1"/>
    <col min="8469" max="8469" width="4.42578125" style="236" customWidth="1"/>
    <col min="8470" max="8470" width="0" style="236" hidden="1" customWidth="1"/>
    <col min="8471" max="8472" width="14.85546875" style="236" customWidth="1"/>
    <col min="8473" max="8473" width="15.140625" style="236" customWidth="1"/>
    <col min="8474" max="8474" width="6.42578125" style="236" customWidth="1"/>
    <col min="8475" max="8475" width="15.140625" style="236" customWidth="1"/>
    <col min="8476" max="8476" width="4.140625" style="236" customWidth="1"/>
    <col min="8477" max="8477" width="3" style="236" customWidth="1"/>
    <col min="8478" max="8480" width="0" style="236" hidden="1" customWidth="1"/>
    <col min="8481" max="8481" width="3" style="236" customWidth="1"/>
    <col min="8482" max="8482" width="0" style="236" hidden="1" customWidth="1"/>
    <col min="8483" max="8483" width="3" style="236" customWidth="1"/>
    <col min="8484" max="8484" width="0" style="236" hidden="1" customWidth="1"/>
    <col min="8485" max="8485" width="4.42578125" style="236" customWidth="1"/>
    <col min="8486" max="8486" width="34.28515625" style="236" customWidth="1"/>
    <col min="8487" max="8487" width="23.42578125" style="236" customWidth="1"/>
    <col min="8488" max="8488" width="9.140625" style="236" customWidth="1"/>
    <col min="8489" max="8489" width="19.5703125" style="236" customWidth="1"/>
    <col min="8490" max="8490" width="42.7109375" style="236" customWidth="1"/>
    <col min="8491" max="8491" width="5.85546875" style="236" customWidth="1"/>
    <col min="8492" max="8492" width="31.5703125" style="236" customWidth="1"/>
    <col min="8493" max="8493" width="16.140625" style="236" customWidth="1"/>
    <col min="8494" max="8495" width="9.28515625" style="236" customWidth="1"/>
    <col min="8496" max="8496" width="11.140625" style="236" customWidth="1"/>
    <col min="8497" max="8497" width="2.140625" style="236" customWidth="1"/>
    <col min="8498" max="8703" width="11.42578125" style="236"/>
    <col min="8704" max="8704" width="12" style="236" customWidth="1"/>
    <col min="8705" max="8705" width="2.7109375" style="236" customWidth="1"/>
    <col min="8706" max="8707" width="6.5703125" style="236" customWidth="1"/>
    <col min="8708" max="8708" width="5.85546875" style="236" customWidth="1"/>
    <col min="8709" max="8709" width="6.5703125" style="236" customWidth="1"/>
    <col min="8710" max="8710" width="13.7109375" style="236" customWidth="1"/>
    <col min="8711" max="8712" width="9" style="236" customWidth="1"/>
    <col min="8713" max="8713" width="2.5703125" style="236" customWidth="1"/>
    <col min="8714" max="8714" width="8.85546875" style="236" customWidth="1"/>
    <col min="8715" max="8715" width="7.5703125" style="236" customWidth="1"/>
    <col min="8716" max="8718" width="3.7109375" style="236" customWidth="1"/>
    <col min="8719" max="8719" width="3.5703125" style="236" customWidth="1"/>
    <col min="8720" max="8720" width="2.85546875" style="236" customWidth="1"/>
    <col min="8721" max="8721" width="3" style="236" customWidth="1"/>
    <col min="8722" max="8724" width="0" style="236" hidden="1" customWidth="1"/>
    <col min="8725" max="8725" width="4.42578125" style="236" customWidth="1"/>
    <col min="8726" max="8726" width="0" style="236" hidden="1" customWidth="1"/>
    <col min="8727" max="8728" width="14.85546875" style="236" customWidth="1"/>
    <col min="8729" max="8729" width="15.140625" style="236" customWidth="1"/>
    <col min="8730" max="8730" width="6.42578125" style="236" customWidth="1"/>
    <col min="8731" max="8731" width="15.140625" style="236" customWidth="1"/>
    <col min="8732" max="8732" width="4.140625" style="236" customWidth="1"/>
    <col min="8733" max="8733" width="3" style="236" customWidth="1"/>
    <col min="8734" max="8736" width="0" style="236" hidden="1" customWidth="1"/>
    <col min="8737" max="8737" width="3" style="236" customWidth="1"/>
    <col min="8738" max="8738" width="0" style="236" hidden="1" customWidth="1"/>
    <col min="8739" max="8739" width="3" style="236" customWidth="1"/>
    <col min="8740" max="8740" width="0" style="236" hidden="1" customWidth="1"/>
    <col min="8741" max="8741" width="4.42578125" style="236" customWidth="1"/>
    <col min="8742" max="8742" width="34.28515625" style="236" customWidth="1"/>
    <col min="8743" max="8743" width="23.42578125" style="236" customWidth="1"/>
    <col min="8744" max="8744" width="9.140625" style="236" customWidth="1"/>
    <col min="8745" max="8745" width="19.5703125" style="236" customWidth="1"/>
    <col min="8746" max="8746" width="42.7109375" style="236" customWidth="1"/>
    <col min="8747" max="8747" width="5.85546875" style="236" customWidth="1"/>
    <col min="8748" max="8748" width="31.5703125" style="236" customWidth="1"/>
    <col min="8749" max="8749" width="16.140625" style="236" customWidth="1"/>
    <col min="8750" max="8751" width="9.28515625" style="236" customWidth="1"/>
    <col min="8752" max="8752" width="11.140625" style="236" customWidth="1"/>
    <col min="8753" max="8753" width="2.140625" style="236" customWidth="1"/>
    <col min="8754" max="8959" width="11.42578125" style="236"/>
    <col min="8960" max="8960" width="12" style="236" customWidth="1"/>
    <col min="8961" max="8961" width="2.7109375" style="236" customWidth="1"/>
    <col min="8962" max="8963" width="6.5703125" style="236" customWidth="1"/>
    <col min="8964" max="8964" width="5.85546875" style="236" customWidth="1"/>
    <col min="8965" max="8965" width="6.5703125" style="236" customWidth="1"/>
    <col min="8966" max="8966" width="13.7109375" style="236" customWidth="1"/>
    <col min="8967" max="8968" width="9" style="236" customWidth="1"/>
    <col min="8969" max="8969" width="2.5703125" style="236" customWidth="1"/>
    <col min="8970" max="8970" width="8.85546875" style="236" customWidth="1"/>
    <col min="8971" max="8971" width="7.5703125" style="236" customWidth="1"/>
    <col min="8972" max="8974" width="3.7109375" style="236" customWidth="1"/>
    <col min="8975" max="8975" width="3.5703125" style="236" customWidth="1"/>
    <col min="8976" max="8976" width="2.85546875" style="236" customWidth="1"/>
    <col min="8977" max="8977" width="3" style="236" customWidth="1"/>
    <col min="8978" max="8980" width="0" style="236" hidden="1" customWidth="1"/>
    <col min="8981" max="8981" width="4.42578125" style="236" customWidth="1"/>
    <col min="8982" max="8982" width="0" style="236" hidden="1" customWidth="1"/>
    <col min="8983" max="8984" width="14.85546875" style="236" customWidth="1"/>
    <col min="8985" max="8985" width="15.140625" style="236" customWidth="1"/>
    <col min="8986" max="8986" width="6.42578125" style="236" customWidth="1"/>
    <col min="8987" max="8987" width="15.140625" style="236" customWidth="1"/>
    <col min="8988" max="8988" width="4.140625" style="236" customWidth="1"/>
    <col min="8989" max="8989" width="3" style="236" customWidth="1"/>
    <col min="8990" max="8992" width="0" style="236" hidden="1" customWidth="1"/>
    <col min="8993" max="8993" width="3" style="236" customWidth="1"/>
    <col min="8994" max="8994" width="0" style="236" hidden="1" customWidth="1"/>
    <col min="8995" max="8995" width="3" style="236" customWidth="1"/>
    <col min="8996" max="8996" width="0" style="236" hidden="1" customWidth="1"/>
    <col min="8997" max="8997" width="4.42578125" style="236" customWidth="1"/>
    <col min="8998" max="8998" width="34.28515625" style="236" customWidth="1"/>
    <col min="8999" max="8999" width="23.42578125" style="236" customWidth="1"/>
    <col min="9000" max="9000" width="9.140625" style="236" customWidth="1"/>
    <col min="9001" max="9001" width="19.5703125" style="236" customWidth="1"/>
    <col min="9002" max="9002" width="42.7109375" style="236" customWidth="1"/>
    <col min="9003" max="9003" width="5.85546875" style="236" customWidth="1"/>
    <col min="9004" max="9004" width="31.5703125" style="236" customWidth="1"/>
    <col min="9005" max="9005" width="16.140625" style="236" customWidth="1"/>
    <col min="9006" max="9007" width="9.28515625" style="236" customWidth="1"/>
    <col min="9008" max="9008" width="11.140625" style="236" customWidth="1"/>
    <col min="9009" max="9009" width="2.140625" style="236" customWidth="1"/>
    <col min="9010" max="9215" width="11.42578125" style="236"/>
    <col min="9216" max="9216" width="12" style="236" customWidth="1"/>
    <col min="9217" max="9217" width="2.7109375" style="236" customWidth="1"/>
    <col min="9218" max="9219" width="6.5703125" style="236" customWidth="1"/>
    <col min="9220" max="9220" width="5.85546875" style="236" customWidth="1"/>
    <col min="9221" max="9221" width="6.5703125" style="236" customWidth="1"/>
    <col min="9222" max="9222" width="13.7109375" style="236" customWidth="1"/>
    <col min="9223" max="9224" width="9" style="236" customWidth="1"/>
    <col min="9225" max="9225" width="2.5703125" style="236" customWidth="1"/>
    <col min="9226" max="9226" width="8.85546875" style="236" customWidth="1"/>
    <col min="9227" max="9227" width="7.5703125" style="236" customWidth="1"/>
    <col min="9228" max="9230" width="3.7109375" style="236" customWidth="1"/>
    <col min="9231" max="9231" width="3.5703125" style="236" customWidth="1"/>
    <col min="9232" max="9232" width="2.85546875" style="236" customWidth="1"/>
    <col min="9233" max="9233" width="3" style="236" customWidth="1"/>
    <col min="9234" max="9236" width="0" style="236" hidden="1" customWidth="1"/>
    <col min="9237" max="9237" width="4.42578125" style="236" customWidth="1"/>
    <col min="9238" max="9238" width="0" style="236" hidden="1" customWidth="1"/>
    <col min="9239" max="9240" width="14.85546875" style="236" customWidth="1"/>
    <col min="9241" max="9241" width="15.140625" style="236" customWidth="1"/>
    <col min="9242" max="9242" width="6.42578125" style="236" customWidth="1"/>
    <col min="9243" max="9243" width="15.140625" style="236" customWidth="1"/>
    <col min="9244" max="9244" width="4.140625" style="236" customWidth="1"/>
    <col min="9245" max="9245" width="3" style="236" customWidth="1"/>
    <col min="9246" max="9248" width="0" style="236" hidden="1" customWidth="1"/>
    <col min="9249" max="9249" width="3" style="236" customWidth="1"/>
    <col min="9250" max="9250" width="0" style="236" hidden="1" customWidth="1"/>
    <col min="9251" max="9251" width="3" style="236" customWidth="1"/>
    <col min="9252" max="9252" width="0" style="236" hidden="1" customWidth="1"/>
    <col min="9253" max="9253" width="4.42578125" style="236" customWidth="1"/>
    <col min="9254" max="9254" width="34.28515625" style="236" customWidth="1"/>
    <col min="9255" max="9255" width="23.42578125" style="236" customWidth="1"/>
    <col min="9256" max="9256" width="9.140625" style="236" customWidth="1"/>
    <col min="9257" max="9257" width="19.5703125" style="236" customWidth="1"/>
    <col min="9258" max="9258" width="42.7109375" style="236" customWidth="1"/>
    <col min="9259" max="9259" width="5.85546875" style="236" customWidth="1"/>
    <col min="9260" max="9260" width="31.5703125" style="236" customWidth="1"/>
    <col min="9261" max="9261" width="16.140625" style="236" customWidth="1"/>
    <col min="9262" max="9263" width="9.28515625" style="236" customWidth="1"/>
    <col min="9264" max="9264" width="11.140625" style="236" customWidth="1"/>
    <col min="9265" max="9265" width="2.140625" style="236" customWidth="1"/>
    <col min="9266" max="9471" width="11.42578125" style="236"/>
    <col min="9472" max="9472" width="12" style="236" customWidth="1"/>
    <col min="9473" max="9473" width="2.7109375" style="236" customWidth="1"/>
    <col min="9474" max="9475" width="6.5703125" style="236" customWidth="1"/>
    <col min="9476" max="9476" width="5.85546875" style="236" customWidth="1"/>
    <col min="9477" max="9477" width="6.5703125" style="236" customWidth="1"/>
    <col min="9478" max="9478" width="13.7109375" style="236" customWidth="1"/>
    <col min="9479" max="9480" width="9" style="236" customWidth="1"/>
    <col min="9481" max="9481" width="2.5703125" style="236" customWidth="1"/>
    <col min="9482" max="9482" width="8.85546875" style="236" customWidth="1"/>
    <col min="9483" max="9483" width="7.5703125" style="236" customWidth="1"/>
    <col min="9484" max="9486" width="3.7109375" style="236" customWidth="1"/>
    <col min="9487" max="9487" width="3.5703125" style="236" customWidth="1"/>
    <col min="9488" max="9488" width="2.85546875" style="236" customWidth="1"/>
    <col min="9489" max="9489" width="3" style="236" customWidth="1"/>
    <col min="9490" max="9492" width="0" style="236" hidden="1" customWidth="1"/>
    <col min="9493" max="9493" width="4.42578125" style="236" customWidth="1"/>
    <col min="9494" max="9494" width="0" style="236" hidden="1" customWidth="1"/>
    <col min="9495" max="9496" width="14.85546875" style="236" customWidth="1"/>
    <col min="9497" max="9497" width="15.140625" style="236" customWidth="1"/>
    <col min="9498" max="9498" width="6.42578125" style="236" customWidth="1"/>
    <col min="9499" max="9499" width="15.140625" style="236" customWidth="1"/>
    <col min="9500" max="9500" width="4.140625" style="236" customWidth="1"/>
    <col min="9501" max="9501" width="3" style="236" customWidth="1"/>
    <col min="9502" max="9504" width="0" style="236" hidden="1" customWidth="1"/>
    <col min="9505" max="9505" width="3" style="236" customWidth="1"/>
    <col min="9506" max="9506" width="0" style="236" hidden="1" customWidth="1"/>
    <col min="9507" max="9507" width="3" style="236" customWidth="1"/>
    <col min="9508" max="9508" width="0" style="236" hidden="1" customWidth="1"/>
    <col min="9509" max="9509" width="4.42578125" style="236" customWidth="1"/>
    <col min="9510" max="9510" width="34.28515625" style="236" customWidth="1"/>
    <col min="9511" max="9511" width="23.42578125" style="236" customWidth="1"/>
    <col min="9512" max="9512" width="9.140625" style="236" customWidth="1"/>
    <col min="9513" max="9513" width="19.5703125" style="236" customWidth="1"/>
    <col min="9514" max="9514" width="42.7109375" style="236" customWidth="1"/>
    <col min="9515" max="9515" width="5.85546875" style="236" customWidth="1"/>
    <col min="9516" max="9516" width="31.5703125" style="236" customWidth="1"/>
    <col min="9517" max="9517" width="16.140625" style="236" customWidth="1"/>
    <col min="9518" max="9519" width="9.28515625" style="236" customWidth="1"/>
    <col min="9520" max="9520" width="11.140625" style="236" customWidth="1"/>
    <col min="9521" max="9521" width="2.140625" style="236" customWidth="1"/>
    <col min="9522" max="9727" width="11.42578125" style="236"/>
    <col min="9728" max="9728" width="12" style="236" customWidth="1"/>
    <col min="9729" max="9729" width="2.7109375" style="236" customWidth="1"/>
    <col min="9730" max="9731" width="6.5703125" style="236" customWidth="1"/>
    <col min="9732" max="9732" width="5.85546875" style="236" customWidth="1"/>
    <col min="9733" max="9733" width="6.5703125" style="236" customWidth="1"/>
    <col min="9734" max="9734" width="13.7109375" style="236" customWidth="1"/>
    <col min="9735" max="9736" width="9" style="236" customWidth="1"/>
    <col min="9737" max="9737" width="2.5703125" style="236" customWidth="1"/>
    <col min="9738" max="9738" width="8.85546875" style="236" customWidth="1"/>
    <col min="9739" max="9739" width="7.5703125" style="236" customWidth="1"/>
    <col min="9740" max="9742" width="3.7109375" style="236" customWidth="1"/>
    <col min="9743" max="9743" width="3.5703125" style="236" customWidth="1"/>
    <col min="9744" max="9744" width="2.85546875" style="236" customWidth="1"/>
    <col min="9745" max="9745" width="3" style="236" customWidth="1"/>
    <col min="9746" max="9748" width="0" style="236" hidden="1" customWidth="1"/>
    <col min="9749" max="9749" width="4.42578125" style="236" customWidth="1"/>
    <col min="9750" max="9750" width="0" style="236" hidden="1" customWidth="1"/>
    <col min="9751" max="9752" width="14.85546875" style="236" customWidth="1"/>
    <col min="9753" max="9753" width="15.140625" style="236" customWidth="1"/>
    <col min="9754" max="9754" width="6.42578125" style="236" customWidth="1"/>
    <col min="9755" max="9755" width="15.140625" style="236" customWidth="1"/>
    <col min="9756" max="9756" width="4.140625" style="236" customWidth="1"/>
    <col min="9757" max="9757" width="3" style="236" customWidth="1"/>
    <col min="9758" max="9760" width="0" style="236" hidden="1" customWidth="1"/>
    <col min="9761" max="9761" width="3" style="236" customWidth="1"/>
    <col min="9762" max="9762" width="0" style="236" hidden="1" customWidth="1"/>
    <col min="9763" max="9763" width="3" style="236" customWidth="1"/>
    <col min="9764" max="9764" width="0" style="236" hidden="1" customWidth="1"/>
    <col min="9765" max="9765" width="4.42578125" style="236" customWidth="1"/>
    <col min="9766" max="9766" width="34.28515625" style="236" customWidth="1"/>
    <col min="9767" max="9767" width="23.42578125" style="236" customWidth="1"/>
    <col min="9768" max="9768" width="9.140625" style="236" customWidth="1"/>
    <col min="9769" max="9769" width="19.5703125" style="236" customWidth="1"/>
    <col min="9770" max="9770" width="42.7109375" style="236" customWidth="1"/>
    <col min="9771" max="9771" width="5.85546875" style="236" customWidth="1"/>
    <col min="9772" max="9772" width="31.5703125" style="236" customWidth="1"/>
    <col min="9773" max="9773" width="16.140625" style="236" customWidth="1"/>
    <col min="9774" max="9775" width="9.28515625" style="236" customWidth="1"/>
    <col min="9776" max="9776" width="11.140625" style="236" customWidth="1"/>
    <col min="9777" max="9777" width="2.140625" style="236" customWidth="1"/>
    <col min="9778" max="9983" width="11.42578125" style="236"/>
    <col min="9984" max="9984" width="12" style="236" customWidth="1"/>
    <col min="9985" max="9985" width="2.7109375" style="236" customWidth="1"/>
    <col min="9986" max="9987" width="6.5703125" style="236" customWidth="1"/>
    <col min="9988" max="9988" width="5.85546875" style="236" customWidth="1"/>
    <col min="9989" max="9989" width="6.5703125" style="236" customWidth="1"/>
    <col min="9990" max="9990" width="13.7109375" style="236" customWidth="1"/>
    <col min="9991" max="9992" width="9" style="236" customWidth="1"/>
    <col min="9993" max="9993" width="2.5703125" style="236" customWidth="1"/>
    <col min="9994" max="9994" width="8.85546875" style="236" customWidth="1"/>
    <col min="9995" max="9995" width="7.5703125" style="236" customWidth="1"/>
    <col min="9996" max="9998" width="3.7109375" style="236" customWidth="1"/>
    <col min="9999" max="9999" width="3.5703125" style="236" customWidth="1"/>
    <col min="10000" max="10000" width="2.85546875" style="236" customWidth="1"/>
    <col min="10001" max="10001" width="3" style="236" customWidth="1"/>
    <col min="10002" max="10004" width="0" style="236" hidden="1" customWidth="1"/>
    <col min="10005" max="10005" width="4.42578125" style="236" customWidth="1"/>
    <col min="10006" max="10006" width="0" style="236" hidden="1" customWidth="1"/>
    <col min="10007" max="10008" width="14.85546875" style="236" customWidth="1"/>
    <col min="10009" max="10009" width="15.140625" style="236" customWidth="1"/>
    <col min="10010" max="10010" width="6.42578125" style="236" customWidth="1"/>
    <col min="10011" max="10011" width="15.140625" style="236" customWidth="1"/>
    <col min="10012" max="10012" width="4.140625" style="236" customWidth="1"/>
    <col min="10013" max="10013" width="3" style="236" customWidth="1"/>
    <col min="10014" max="10016" width="0" style="236" hidden="1" customWidth="1"/>
    <col min="10017" max="10017" width="3" style="236" customWidth="1"/>
    <col min="10018" max="10018" width="0" style="236" hidden="1" customWidth="1"/>
    <col min="10019" max="10019" width="3" style="236" customWidth="1"/>
    <col min="10020" max="10020" width="0" style="236" hidden="1" customWidth="1"/>
    <col min="10021" max="10021" width="4.42578125" style="236" customWidth="1"/>
    <col min="10022" max="10022" width="34.28515625" style="236" customWidth="1"/>
    <col min="10023" max="10023" width="23.42578125" style="236" customWidth="1"/>
    <col min="10024" max="10024" width="9.140625" style="236" customWidth="1"/>
    <col min="10025" max="10025" width="19.5703125" style="236" customWidth="1"/>
    <col min="10026" max="10026" width="42.7109375" style="236" customWidth="1"/>
    <col min="10027" max="10027" width="5.85546875" style="236" customWidth="1"/>
    <col min="10028" max="10028" width="31.5703125" style="236" customWidth="1"/>
    <col min="10029" max="10029" width="16.140625" style="236" customWidth="1"/>
    <col min="10030" max="10031" width="9.28515625" style="236" customWidth="1"/>
    <col min="10032" max="10032" width="11.140625" style="236" customWidth="1"/>
    <col min="10033" max="10033" width="2.140625" style="236" customWidth="1"/>
    <col min="10034" max="10239" width="11.42578125" style="236"/>
    <col min="10240" max="10240" width="12" style="236" customWidth="1"/>
    <col min="10241" max="10241" width="2.7109375" style="236" customWidth="1"/>
    <col min="10242" max="10243" width="6.5703125" style="236" customWidth="1"/>
    <col min="10244" max="10244" width="5.85546875" style="236" customWidth="1"/>
    <col min="10245" max="10245" width="6.5703125" style="236" customWidth="1"/>
    <col min="10246" max="10246" width="13.7109375" style="236" customWidth="1"/>
    <col min="10247" max="10248" width="9" style="236" customWidth="1"/>
    <col min="10249" max="10249" width="2.5703125" style="236" customWidth="1"/>
    <col min="10250" max="10250" width="8.85546875" style="236" customWidth="1"/>
    <col min="10251" max="10251" width="7.5703125" style="236" customWidth="1"/>
    <col min="10252" max="10254" width="3.7109375" style="236" customWidth="1"/>
    <col min="10255" max="10255" width="3.5703125" style="236" customWidth="1"/>
    <col min="10256" max="10256" width="2.85546875" style="236" customWidth="1"/>
    <col min="10257" max="10257" width="3" style="236" customWidth="1"/>
    <col min="10258" max="10260" width="0" style="236" hidden="1" customWidth="1"/>
    <col min="10261" max="10261" width="4.42578125" style="236" customWidth="1"/>
    <col min="10262" max="10262" width="0" style="236" hidden="1" customWidth="1"/>
    <col min="10263" max="10264" width="14.85546875" style="236" customWidth="1"/>
    <col min="10265" max="10265" width="15.140625" style="236" customWidth="1"/>
    <col min="10266" max="10266" width="6.42578125" style="236" customWidth="1"/>
    <col min="10267" max="10267" width="15.140625" style="236" customWidth="1"/>
    <col min="10268" max="10268" width="4.140625" style="236" customWidth="1"/>
    <col min="10269" max="10269" width="3" style="236" customWidth="1"/>
    <col min="10270" max="10272" width="0" style="236" hidden="1" customWidth="1"/>
    <col min="10273" max="10273" width="3" style="236" customWidth="1"/>
    <col min="10274" max="10274" width="0" style="236" hidden="1" customWidth="1"/>
    <col min="10275" max="10275" width="3" style="236" customWidth="1"/>
    <col min="10276" max="10276" width="0" style="236" hidden="1" customWidth="1"/>
    <col min="10277" max="10277" width="4.42578125" style="236" customWidth="1"/>
    <col min="10278" max="10278" width="34.28515625" style="236" customWidth="1"/>
    <col min="10279" max="10279" width="23.42578125" style="236" customWidth="1"/>
    <col min="10280" max="10280" width="9.140625" style="236" customWidth="1"/>
    <col min="10281" max="10281" width="19.5703125" style="236" customWidth="1"/>
    <col min="10282" max="10282" width="42.7109375" style="236" customWidth="1"/>
    <col min="10283" max="10283" width="5.85546875" style="236" customWidth="1"/>
    <col min="10284" max="10284" width="31.5703125" style="236" customWidth="1"/>
    <col min="10285" max="10285" width="16.140625" style="236" customWidth="1"/>
    <col min="10286" max="10287" width="9.28515625" style="236" customWidth="1"/>
    <col min="10288" max="10288" width="11.140625" style="236" customWidth="1"/>
    <col min="10289" max="10289" width="2.140625" style="236" customWidth="1"/>
    <col min="10290" max="10495" width="11.42578125" style="236"/>
    <col min="10496" max="10496" width="12" style="236" customWidth="1"/>
    <col min="10497" max="10497" width="2.7109375" style="236" customWidth="1"/>
    <col min="10498" max="10499" width="6.5703125" style="236" customWidth="1"/>
    <col min="10500" max="10500" width="5.85546875" style="236" customWidth="1"/>
    <col min="10501" max="10501" width="6.5703125" style="236" customWidth="1"/>
    <col min="10502" max="10502" width="13.7109375" style="236" customWidth="1"/>
    <col min="10503" max="10504" width="9" style="236" customWidth="1"/>
    <col min="10505" max="10505" width="2.5703125" style="236" customWidth="1"/>
    <col min="10506" max="10506" width="8.85546875" style="236" customWidth="1"/>
    <col min="10507" max="10507" width="7.5703125" style="236" customWidth="1"/>
    <col min="10508" max="10510" width="3.7109375" style="236" customWidth="1"/>
    <col min="10511" max="10511" width="3.5703125" style="236" customWidth="1"/>
    <col min="10512" max="10512" width="2.85546875" style="236" customWidth="1"/>
    <col min="10513" max="10513" width="3" style="236" customWidth="1"/>
    <col min="10514" max="10516" width="0" style="236" hidden="1" customWidth="1"/>
    <col min="10517" max="10517" width="4.42578125" style="236" customWidth="1"/>
    <col min="10518" max="10518" width="0" style="236" hidden="1" customWidth="1"/>
    <col min="10519" max="10520" width="14.85546875" style="236" customWidth="1"/>
    <col min="10521" max="10521" width="15.140625" style="236" customWidth="1"/>
    <col min="10522" max="10522" width="6.42578125" style="236" customWidth="1"/>
    <col min="10523" max="10523" width="15.140625" style="236" customWidth="1"/>
    <col min="10524" max="10524" width="4.140625" style="236" customWidth="1"/>
    <col min="10525" max="10525" width="3" style="236" customWidth="1"/>
    <col min="10526" max="10528" width="0" style="236" hidden="1" customWidth="1"/>
    <col min="10529" max="10529" width="3" style="236" customWidth="1"/>
    <col min="10530" max="10530" width="0" style="236" hidden="1" customWidth="1"/>
    <col min="10531" max="10531" width="3" style="236" customWidth="1"/>
    <col min="10532" max="10532" width="0" style="236" hidden="1" customWidth="1"/>
    <col min="10533" max="10533" width="4.42578125" style="236" customWidth="1"/>
    <col min="10534" max="10534" width="34.28515625" style="236" customWidth="1"/>
    <col min="10535" max="10535" width="23.42578125" style="236" customWidth="1"/>
    <col min="10536" max="10536" width="9.140625" style="236" customWidth="1"/>
    <col min="10537" max="10537" width="19.5703125" style="236" customWidth="1"/>
    <col min="10538" max="10538" width="42.7109375" style="236" customWidth="1"/>
    <col min="10539" max="10539" width="5.85546875" style="236" customWidth="1"/>
    <col min="10540" max="10540" width="31.5703125" style="236" customWidth="1"/>
    <col min="10541" max="10541" width="16.140625" style="236" customWidth="1"/>
    <col min="10542" max="10543" width="9.28515625" style="236" customWidth="1"/>
    <col min="10544" max="10544" width="11.140625" style="236" customWidth="1"/>
    <col min="10545" max="10545" width="2.140625" style="236" customWidth="1"/>
    <col min="10546" max="10751" width="11.42578125" style="236"/>
    <col min="10752" max="10752" width="12" style="236" customWidth="1"/>
    <col min="10753" max="10753" width="2.7109375" style="236" customWidth="1"/>
    <col min="10754" max="10755" width="6.5703125" style="236" customWidth="1"/>
    <col min="10756" max="10756" width="5.85546875" style="236" customWidth="1"/>
    <col min="10757" max="10757" width="6.5703125" style="236" customWidth="1"/>
    <col min="10758" max="10758" width="13.7109375" style="236" customWidth="1"/>
    <col min="10759" max="10760" width="9" style="236" customWidth="1"/>
    <col min="10761" max="10761" width="2.5703125" style="236" customWidth="1"/>
    <col min="10762" max="10762" width="8.85546875" style="236" customWidth="1"/>
    <col min="10763" max="10763" width="7.5703125" style="236" customWidth="1"/>
    <col min="10764" max="10766" width="3.7109375" style="236" customWidth="1"/>
    <col min="10767" max="10767" width="3.5703125" style="236" customWidth="1"/>
    <col min="10768" max="10768" width="2.85546875" style="236" customWidth="1"/>
    <col min="10769" max="10769" width="3" style="236" customWidth="1"/>
    <col min="10770" max="10772" width="0" style="236" hidden="1" customWidth="1"/>
    <col min="10773" max="10773" width="4.42578125" style="236" customWidth="1"/>
    <col min="10774" max="10774" width="0" style="236" hidden="1" customWidth="1"/>
    <col min="10775" max="10776" width="14.85546875" style="236" customWidth="1"/>
    <col min="10777" max="10777" width="15.140625" style="236" customWidth="1"/>
    <col min="10778" max="10778" width="6.42578125" style="236" customWidth="1"/>
    <col min="10779" max="10779" width="15.140625" style="236" customWidth="1"/>
    <col min="10780" max="10780" width="4.140625" style="236" customWidth="1"/>
    <col min="10781" max="10781" width="3" style="236" customWidth="1"/>
    <col min="10782" max="10784" width="0" style="236" hidden="1" customWidth="1"/>
    <col min="10785" max="10785" width="3" style="236" customWidth="1"/>
    <col min="10786" max="10786" width="0" style="236" hidden="1" customWidth="1"/>
    <col min="10787" max="10787" width="3" style="236" customWidth="1"/>
    <col min="10788" max="10788" width="0" style="236" hidden="1" customWidth="1"/>
    <col min="10789" max="10789" width="4.42578125" style="236" customWidth="1"/>
    <col min="10790" max="10790" width="34.28515625" style="236" customWidth="1"/>
    <col min="10791" max="10791" width="23.42578125" style="236" customWidth="1"/>
    <col min="10792" max="10792" width="9.140625" style="236" customWidth="1"/>
    <col min="10793" max="10793" width="19.5703125" style="236" customWidth="1"/>
    <col min="10794" max="10794" width="42.7109375" style="236" customWidth="1"/>
    <col min="10795" max="10795" width="5.85546875" style="236" customWidth="1"/>
    <col min="10796" max="10796" width="31.5703125" style="236" customWidth="1"/>
    <col min="10797" max="10797" width="16.140625" style="236" customWidth="1"/>
    <col min="10798" max="10799" width="9.28515625" style="236" customWidth="1"/>
    <col min="10800" max="10800" width="11.140625" style="236" customWidth="1"/>
    <col min="10801" max="10801" width="2.140625" style="236" customWidth="1"/>
    <col min="10802" max="11007" width="11.42578125" style="236"/>
    <col min="11008" max="11008" width="12" style="236" customWidth="1"/>
    <col min="11009" max="11009" width="2.7109375" style="236" customWidth="1"/>
    <col min="11010" max="11011" width="6.5703125" style="236" customWidth="1"/>
    <col min="11012" max="11012" width="5.85546875" style="236" customWidth="1"/>
    <col min="11013" max="11013" width="6.5703125" style="236" customWidth="1"/>
    <col min="11014" max="11014" width="13.7109375" style="236" customWidth="1"/>
    <col min="11015" max="11016" width="9" style="236" customWidth="1"/>
    <col min="11017" max="11017" width="2.5703125" style="236" customWidth="1"/>
    <col min="11018" max="11018" width="8.85546875" style="236" customWidth="1"/>
    <col min="11019" max="11019" width="7.5703125" style="236" customWidth="1"/>
    <col min="11020" max="11022" width="3.7109375" style="236" customWidth="1"/>
    <col min="11023" max="11023" width="3.5703125" style="236" customWidth="1"/>
    <col min="11024" max="11024" width="2.85546875" style="236" customWidth="1"/>
    <col min="11025" max="11025" width="3" style="236" customWidth="1"/>
    <col min="11026" max="11028" width="0" style="236" hidden="1" customWidth="1"/>
    <col min="11029" max="11029" width="4.42578125" style="236" customWidth="1"/>
    <col min="11030" max="11030" width="0" style="236" hidden="1" customWidth="1"/>
    <col min="11031" max="11032" width="14.85546875" style="236" customWidth="1"/>
    <col min="11033" max="11033" width="15.140625" style="236" customWidth="1"/>
    <col min="11034" max="11034" width="6.42578125" style="236" customWidth="1"/>
    <col min="11035" max="11035" width="15.140625" style="236" customWidth="1"/>
    <col min="11036" max="11036" width="4.140625" style="236" customWidth="1"/>
    <col min="11037" max="11037" width="3" style="236" customWidth="1"/>
    <col min="11038" max="11040" width="0" style="236" hidden="1" customWidth="1"/>
    <col min="11041" max="11041" width="3" style="236" customWidth="1"/>
    <col min="11042" max="11042" width="0" style="236" hidden="1" customWidth="1"/>
    <col min="11043" max="11043" width="3" style="236" customWidth="1"/>
    <col min="11044" max="11044" width="0" style="236" hidden="1" customWidth="1"/>
    <col min="11045" max="11045" width="4.42578125" style="236" customWidth="1"/>
    <col min="11046" max="11046" width="34.28515625" style="236" customWidth="1"/>
    <col min="11047" max="11047" width="23.42578125" style="236" customWidth="1"/>
    <col min="11048" max="11048" width="9.140625" style="236" customWidth="1"/>
    <col min="11049" max="11049" width="19.5703125" style="236" customWidth="1"/>
    <col min="11050" max="11050" width="42.7109375" style="236" customWidth="1"/>
    <col min="11051" max="11051" width="5.85546875" style="236" customWidth="1"/>
    <col min="11052" max="11052" width="31.5703125" style="236" customWidth="1"/>
    <col min="11053" max="11053" width="16.140625" style="236" customWidth="1"/>
    <col min="11054" max="11055" width="9.28515625" style="236" customWidth="1"/>
    <col min="11056" max="11056" width="11.140625" style="236" customWidth="1"/>
    <col min="11057" max="11057" width="2.140625" style="236" customWidth="1"/>
    <col min="11058" max="11263" width="11.42578125" style="236"/>
    <col min="11264" max="11264" width="12" style="236" customWidth="1"/>
    <col min="11265" max="11265" width="2.7109375" style="236" customWidth="1"/>
    <col min="11266" max="11267" width="6.5703125" style="236" customWidth="1"/>
    <col min="11268" max="11268" width="5.85546875" style="236" customWidth="1"/>
    <col min="11269" max="11269" width="6.5703125" style="236" customWidth="1"/>
    <col min="11270" max="11270" width="13.7109375" style="236" customWidth="1"/>
    <col min="11271" max="11272" width="9" style="236" customWidth="1"/>
    <col min="11273" max="11273" width="2.5703125" style="236" customWidth="1"/>
    <col min="11274" max="11274" width="8.85546875" style="236" customWidth="1"/>
    <col min="11275" max="11275" width="7.5703125" style="236" customWidth="1"/>
    <col min="11276" max="11278" width="3.7109375" style="236" customWidth="1"/>
    <col min="11279" max="11279" width="3.5703125" style="236" customWidth="1"/>
    <col min="11280" max="11280" width="2.85546875" style="236" customWidth="1"/>
    <col min="11281" max="11281" width="3" style="236" customWidth="1"/>
    <col min="11282" max="11284" width="0" style="236" hidden="1" customWidth="1"/>
    <col min="11285" max="11285" width="4.42578125" style="236" customWidth="1"/>
    <col min="11286" max="11286" width="0" style="236" hidden="1" customWidth="1"/>
    <col min="11287" max="11288" width="14.85546875" style="236" customWidth="1"/>
    <col min="11289" max="11289" width="15.140625" style="236" customWidth="1"/>
    <col min="11290" max="11290" width="6.42578125" style="236" customWidth="1"/>
    <col min="11291" max="11291" width="15.140625" style="236" customWidth="1"/>
    <col min="11292" max="11292" width="4.140625" style="236" customWidth="1"/>
    <col min="11293" max="11293" width="3" style="236" customWidth="1"/>
    <col min="11294" max="11296" width="0" style="236" hidden="1" customWidth="1"/>
    <col min="11297" max="11297" width="3" style="236" customWidth="1"/>
    <col min="11298" max="11298" width="0" style="236" hidden="1" customWidth="1"/>
    <col min="11299" max="11299" width="3" style="236" customWidth="1"/>
    <col min="11300" max="11300" width="0" style="236" hidden="1" customWidth="1"/>
    <col min="11301" max="11301" width="4.42578125" style="236" customWidth="1"/>
    <col min="11302" max="11302" width="34.28515625" style="236" customWidth="1"/>
    <col min="11303" max="11303" width="23.42578125" style="236" customWidth="1"/>
    <col min="11304" max="11304" width="9.140625" style="236" customWidth="1"/>
    <col min="11305" max="11305" width="19.5703125" style="236" customWidth="1"/>
    <col min="11306" max="11306" width="42.7109375" style="236" customWidth="1"/>
    <col min="11307" max="11307" width="5.85546875" style="236" customWidth="1"/>
    <col min="11308" max="11308" width="31.5703125" style="236" customWidth="1"/>
    <col min="11309" max="11309" width="16.140625" style="236" customWidth="1"/>
    <col min="11310" max="11311" width="9.28515625" style="236" customWidth="1"/>
    <col min="11312" max="11312" width="11.140625" style="236" customWidth="1"/>
    <col min="11313" max="11313" width="2.140625" style="236" customWidth="1"/>
    <col min="11314" max="11519" width="11.42578125" style="236"/>
    <col min="11520" max="11520" width="12" style="236" customWidth="1"/>
    <col min="11521" max="11521" width="2.7109375" style="236" customWidth="1"/>
    <col min="11522" max="11523" width="6.5703125" style="236" customWidth="1"/>
    <col min="11524" max="11524" width="5.85546875" style="236" customWidth="1"/>
    <col min="11525" max="11525" width="6.5703125" style="236" customWidth="1"/>
    <col min="11526" max="11526" width="13.7109375" style="236" customWidth="1"/>
    <col min="11527" max="11528" width="9" style="236" customWidth="1"/>
    <col min="11529" max="11529" width="2.5703125" style="236" customWidth="1"/>
    <col min="11530" max="11530" width="8.85546875" style="236" customWidth="1"/>
    <col min="11531" max="11531" width="7.5703125" style="236" customWidth="1"/>
    <col min="11532" max="11534" width="3.7109375" style="236" customWidth="1"/>
    <col min="11535" max="11535" width="3.5703125" style="236" customWidth="1"/>
    <col min="11536" max="11536" width="2.85546875" style="236" customWidth="1"/>
    <col min="11537" max="11537" width="3" style="236" customWidth="1"/>
    <col min="11538" max="11540" width="0" style="236" hidden="1" customWidth="1"/>
    <col min="11541" max="11541" width="4.42578125" style="236" customWidth="1"/>
    <col min="11542" max="11542" width="0" style="236" hidden="1" customWidth="1"/>
    <col min="11543" max="11544" width="14.85546875" style="236" customWidth="1"/>
    <col min="11545" max="11545" width="15.140625" style="236" customWidth="1"/>
    <col min="11546" max="11546" width="6.42578125" style="236" customWidth="1"/>
    <col min="11547" max="11547" width="15.140625" style="236" customWidth="1"/>
    <col min="11548" max="11548" width="4.140625" style="236" customWidth="1"/>
    <col min="11549" max="11549" width="3" style="236" customWidth="1"/>
    <col min="11550" max="11552" width="0" style="236" hidden="1" customWidth="1"/>
    <col min="11553" max="11553" width="3" style="236" customWidth="1"/>
    <col min="11554" max="11554" width="0" style="236" hidden="1" customWidth="1"/>
    <col min="11555" max="11555" width="3" style="236" customWidth="1"/>
    <col min="11556" max="11556" width="0" style="236" hidden="1" customWidth="1"/>
    <col min="11557" max="11557" width="4.42578125" style="236" customWidth="1"/>
    <col min="11558" max="11558" width="34.28515625" style="236" customWidth="1"/>
    <col min="11559" max="11559" width="23.42578125" style="236" customWidth="1"/>
    <col min="11560" max="11560" width="9.140625" style="236" customWidth="1"/>
    <col min="11561" max="11561" width="19.5703125" style="236" customWidth="1"/>
    <col min="11562" max="11562" width="42.7109375" style="236" customWidth="1"/>
    <col min="11563" max="11563" width="5.85546875" style="236" customWidth="1"/>
    <col min="11564" max="11564" width="31.5703125" style="236" customWidth="1"/>
    <col min="11565" max="11565" width="16.140625" style="236" customWidth="1"/>
    <col min="11566" max="11567" width="9.28515625" style="236" customWidth="1"/>
    <col min="11568" max="11568" width="11.140625" style="236" customWidth="1"/>
    <col min="11569" max="11569" width="2.140625" style="236" customWidth="1"/>
    <col min="11570" max="11775" width="11.42578125" style="236"/>
    <col min="11776" max="11776" width="12" style="236" customWidth="1"/>
    <col min="11777" max="11777" width="2.7109375" style="236" customWidth="1"/>
    <col min="11778" max="11779" width="6.5703125" style="236" customWidth="1"/>
    <col min="11780" max="11780" width="5.85546875" style="236" customWidth="1"/>
    <col min="11781" max="11781" width="6.5703125" style="236" customWidth="1"/>
    <col min="11782" max="11782" width="13.7109375" style="236" customWidth="1"/>
    <col min="11783" max="11784" width="9" style="236" customWidth="1"/>
    <col min="11785" max="11785" width="2.5703125" style="236" customWidth="1"/>
    <col min="11786" max="11786" width="8.85546875" style="236" customWidth="1"/>
    <col min="11787" max="11787" width="7.5703125" style="236" customWidth="1"/>
    <col min="11788" max="11790" width="3.7109375" style="236" customWidth="1"/>
    <col min="11791" max="11791" width="3.5703125" style="236" customWidth="1"/>
    <col min="11792" max="11792" width="2.85546875" style="236" customWidth="1"/>
    <col min="11793" max="11793" width="3" style="236" customWidth="1"/>
    <col min="11794" max="11796" width="0" style="236" hidden="1" customWidth="1"/>
    <col min="11797" max="11797" width="4.42578125" style="236" customWidth="1"/>
    <col min="11798" max="11798" width="0" style="236" hidden="1" customWidth="1"/>
    <col min="11799" max="11800" width="14.85546875" style="236" customWidth="1"/>
    <col min="11801" max="11801" width="15.140625" style="236" customWidth="1"/>
    <col min="11802" max="11802" width="6.42578125" style="236" customWidth="1"/>
    <col min="11803" max="11803" width="15.140625" style="236" customWidth="1"/>
    <col min="11804" max="11804" width="4.140625" style="236" customWidth="1"/>
    <col min="11805" max="11805" width="3" style="236" customWidth="1"/>
    <col min="11806" max="11808" width="0" style="236" hidden="1" customWidth="1"/>
    <col min="11809" max="11809" width="3" style="236" customWidth="1"/>
    <col min="11810" max="11810" width="0" style="236" hidden="1" customWidth="1"/>
    <col min="11811" max="11811" width="3" style="236" customWidth="1"/>
    <col min="11812" max="11812" width="0" style="236" hidden="1" customWidth="1"/>
    <col min="11813" max="11813" width="4.42578125" style="236" customWidth="1"/>
    <col min="11814" max="11814" width="34.28515625" style="236" customWidth="1"/>
    <col min="11815" max="11815" width="23.42578125" style="236" customWidth="1"/>
    <col min="11816" max="11816" width="9.140625" style="236" customWidth="1"/>
    <col min="11817" max="11817" width="19.5703125" style="236" customWidth="1"/>
    <col min="11818" max="11818" width="42.7109375" style="236" customWidth="1"/>
    <col min="11819" max="11819" width="5.85546875" style="236" customWidth="1"/>
    <col min="11820" max="11820" width="31.5703125" style="236" customWidth="1"/>
    <col min="11821" max="11821" width="16.140625" style="236" customWidth="1"/>
    <col min="11822" max="11823" width="9.28515625" style="236" customWidth="1"/>
    <col min="11824" max="11824" width="11.140625" style="236" customWidth="1"/>
    <col min="11825" max="11825" width="2.140625" style="236" customWidth="1"/>
    <col min="11826" max="12031" width="11.42578125" style="236"/>
    <col min="12032" max="12032" width="12" style="236" customWidth="1"/>
    <col min="12033" max="12033" width="2.7109375" style="236" customWidth="1"/>
    <col min="12034" max="12035" width="6.5703125" style="236" customWidth="1"/>
    <col min="12036" max="12036" width="5.85546875" style="236" customWidth="1"/>
    <col min="12037" max="12037" width="6.5703125" style="236" customWidth="1"/>
    <col min="12038" max="12038" width="13.7109375" style="236" customWidth="1"/>
    <col min="12039" max="12040" width="9" style="236" customWidth="1"/>
    <col min="12041" max="12041" width="2.5703125" style="236" customWidth="1"/>
    <col min="12042" max="12042" width="8.85546875" style="236" customWidth="1"/>
    <col min="12043" max="12043" width="7.5703125" style="236" customWidth="1"/>
    <col min="12044" max="12046" width="3.7109375" style="236" customWidth="1"/>
    <col min="12047" max="12047" width="3.5703125" style="236" customWidth="1"/>
    <col min="12048" max="12048" width="2.85546875" style="236" customWidth="1"/>
    <col min="12049" max="12049" width="3" style="236" customWidth="1"/>
    <col min="12050" max="12052" width="0" style="236" hidden="1" customWidth="1"/>
    <col min="12053" max="12053" width="4.42578125" style="236" customWidth="1"/>
    <col min="12054" max="12054" width="0" style="236" hidden="1" customWidth="1"/>
    <col min="12055" max="12056" width="14.85546875" style="236" customWidth="1"/>
    <col min="12057" max="12057" width="15.140625" style="236" customWidth="1"/>
    <col min="12058" max="12058" width="6.42578125" style="236" customWidth="1"/>
    <col min="12059" max="12059" width="15.140625" style="236" customWidth="1"/>
    <col min="12060" max="12060" width="4.140625" style="236" customWidth="1"/>
    <col min="12061" max="12061" width="3" style="236" customWidth="1"/>
    <col min="12062" max="12064" width="0" style="236" hidden="1" customWidth="1"/>
    <col min="12065" max="12065" width="3" style="236" customWidth="1"/>
    <col min="12066" max="12066" width="0" style="236" hidden="1" customWidth="1"/>
    <col min="12067" max="12067" width="3" style="236" customWidth="1"/>
    <col min="12068" max="12068" width="0" style="236" hidden="1" customWidth="1"/>
    <col min="12069" max="12069" width="4.42578125" style="236" customWidth="1"/>
    <col min="12070" max="12070" width="34.28515625" style="236" customWidth="1"/>
    <col min="12071" max="12071" width="23.42578125" style="236" customWidth="1"/>
    <col min="12072" max="12072" width="9.140625" style="236" customWidth="1"/>
    <col min="12073" max="12073" width="19.5703125" style="236" customWidth="1"/>
    <col min="12074" max="12074" width="42.7109375" style="236" customWidth="1"/>
    <col min="12075" max="12075" width="5.85546875" style="236" customWidth="1"/>
    <col min="12076" max="12076" width="31.5703125" style="236" customWidth="1"/>
    <col min="12077" max="12077" width="16.140625" style="236" customWidth="1"/>
    <col min="12078" max="12079" width="9.28515625" style="236" customWidth="1"/>
    <col min="12080" max="12080" width="11.140625" style="236" customWidth="1"/>
    <col min="12081" max="12081" width="2.140625" style="236" customWidth="1"/>
    <col min="12082" max="12287" width="11.42578125" style="236"/>
    <col min="12288" max="12288" width="12" style="236" customWidth="1"/>
    <col min="12289" max="12289" width="2.7109375" style="236" customWidth="1"/>
    <col min="12290" max="12291" width="6.5703125" style="236" customWidth="1"/>
    <col min="12292" max="12292" width="5.85546875" style="236" customWidth="1"/>
    <col min="12293" max="12293" width="6.5703125" style="236" customWidth="1"/>
    <col min="12294" max="12294" width="13.7109375" style="236" customWidth="1"/>
    <col min="12295" max="12296" width="9" style="236" customWidth="1"/>
    <col min="12297" max="12297" width="2.5703125" style="236" customWidth="1"/>
    <col min="12298" max="12298" width="8.85546875" style="236" customWidth="1"/>
    <col min="12299" max="12299" width="7.5703125" style="236" customWidth="1"/>
    <col min="12300" max="12302" width="3.7109375" style="236" customWidth="1"/>
    <col min="12303" max="12303" width="3.5703125" style="236" customWidth="1"/>
    <col min="12304" max="12304" width="2.85546875" style="236" customWidth="1"/>
    <col min="12305" max="12305" width="3" style="236" customWidth="1"/>
    <col min="12306" max="12308" width="0" style="236" hidden="1" customWidth="1"/>
    <col min="12309" max="12309" width="4.42578125" style="236" customWidth="1"/>
    <col min="12310" max="12310" width="0" style="236" hidden="1" customWidth="1"/>
    <col min="12311" max="12312" width="14.85546875" style="236" customWidth="1"/>
    <col min="12313" max="12313" width="15.140625" style="236" customWidth="1"/>
    <col min="12314" max="12314" width="6.42578125" style="236" customWidth="1"/>
    <col min="12315" max="12315" width="15.140625" style="236" customWidth="1"/>
    <col min="12316" max="12316" width="4.140625" style="236" customWidth="1"/>
    <col min="12317" max="12317" width="3" style="236" customWidth="1"/>
    <col min="12318" max="12320" width="0" style="236" hidden="1" customWidth="1"/>
    <col min="12321" max="12321" width="3" style="236" customWidth="1"/>
    <col min="12322" max="12322" width="0" style="236" hidden="1" customWidth="1"/>
    <col min="12323" max="12323" width="3" style="236" customWidth="1"/>
    <col min="12324" max="12324" width="0" style="236" hidden="1" customWidth="1"/>
    <col min="12325" max="12325" width="4.42578125" style="236" customWidth="1"/>
    <col min="12326" max="12326" width="34.28515625" style="236" customWidth="1"/>
    <col min="12327" max="12327" width="23.42578125" style="236" customWidth="1"/>
    <col min="12328" max="12328" width="9.140625" style="236" customWidth="1"/>
    <col min="12329" max="12329" width="19.5703125" style="236" customWidth="1"/>
    <col min="12330" max="12330" width="42.7109375" style="236" customWidth="1"/>
    <col min="12331" max="12331" width="5.85546875" style="236" customWidth="1"/>
    <col min="12332" max="12332" width="31.5703125" style="236" customWidth="1"/>
    <col min="12333" max="12333" width="16.140625" style="236" customWidth="1"/>
    <col min="12334" max="12335" width="9.28515625" style="236" customWidth="1"/>
    <col min="12336" max="12336" width="11.140625" style="236" customWidth="1"/>
    <col min="12337" max="12337" width="2.140625" style="236" customWidth="1"/>
    <col min="12338" max="12543" width="11.42578125" style="236"/>
    <col min="12544" max="12544" width="12" style="236" customWidth="1"/>
    <col min="12545" max="12545" width="2.7109375" style="236" customWidth="1"/>
    <col min="12546" max="12547" width="6.5703125" style="236" customWidth="1"/>
    <col min="12548" max="12548" width="5.85546875" style="236" customWidth="1"/>
    <col min="12549" max="12549" width="6.5703125" style="236" customWidth="1"/>
    <col min="12550" max="12550" width="13.7109375" style="236" customWidth="1"/>
    <col min="12551" max="12552" width="9" style="236" customWidth="1"/>
    <col min="12553" max="12553" width="2.5703125" style="236" customWidth="1"/>
    <col min="12554" max="12554" width="8.85546875" style="236" customWidth="1"/>
    <col min="12555" max="12555" width="7.5703125" style="236" customWidth="1"/>
    <col min="12556" max="12558" width="3.7109375" style="236" customWidth="1"/>
    <col min="12559" max="12559" width="3.5703125" style="236" customWidth="1"/>
    <col min="12560" max="12560" width="2.85546875" style="236" customWidth="1"/>
    <col min="12561" max="12561" width="3" style="236" customWidth="1"/>
    <col min="12562" max="12564" width="0" style="236" hidden="1" customWidth="1"/>
    <col min="12565" max="12565" width="4.42578125" style="236" customWidth="1"/>
    <col min="12566" max="12566" width="0" style="236" hidden="1" customWidth="1"/>
    <col min="12567" max="12568" width="14.85546875" style="236" customWidth="1"/>
    <col min="12569" max="12569" width="15.140625" style="236" customWidth="1"/>
    <col min="12570" max="12570" width="6.42578125" style="236" customWidth="1"/>
    <col min="12571" max="12571" width="15.140625" style="236" customWidth="1"/>
    <col min="12572" max="12572" width="4.140625" style="236" customWidth="1"/>
    <col min="12573" max="12573" width="3" style="236" customWidth="1"/>
    <col min="12574" max="12576" width="0" style="236" hidden="1" customWidth="1"/>
    <col min="12577" max="12577" width="3" style="236" customWidth="1"/>
    <col min="12578" max="12578" width="0" style="236" hidden="1" customWidth="1"/>
    <col min="12579" max="12579" width="3" style="236" customWidth="1"/>
    <col min="12580" max="12580" width="0" style="236" hidden="1" customWidth="1"/>
    <col min="12581" max="12581" width="4.42578125" style="236" customWidth="1"/>
    <col min="12582" max="12582" width="34.28515625" style="236" customWidth="1"/>
    <col min="12583" max="12583" width="23.42578125" style="236" customWidth="1"/>
    <col min="12584" max="12584" width="9.140625" style="236" customWidth="1"/>
    <col min="12585" max="12585" width="19.5703125" style="236" customWidth="1"/>
    <col min="12586" max="12586" width="42.7109375" style="236" customWidth="1"/>
    <col min="12587" max="12587" width="5.85546875" style="236" customWidth="1"/>
    <col min="12588" max="12588" width="31.5703125" style="236" customWidth="1"/>
    <col min="12589" max="12589" width="16.140625" style="236" customWidth="1"/>
    <col min="12590" max="12591" width="9.28515625" style="236" customWidth="1"/>
    <col min="12592" max="12592" width="11.140625" style="236" customWidth="1"/>
    <col min="12593" max="12593" width="2.140625" style="236" customWidth="1"/>
    <col min="12594" max="12799" width="11.42578125" style="236"/>
    <col min="12800" max="12800" width="12" style="236" customWidth="1"/>
    <col min="12801" max="12801" width="2.7109375" style="236" customWidth="1"/>
    <col min="12802" max="12803" width="6.5703125" style="236" customWidth="1"/>
    <col min="12804" max="12804" width="5.85546875" style="236" customWidth="1"/>
    <col min="12805" max="12805" width="6.5703125" style="236" customWidth="1"/>
    <col min="12806" max="12806" width="13.7109375" style="236" customWidth="1"/>
    <col min="12807" max="12808" width="9" style="236" customWidth="1"/>
    <col min="12809" max="12809" width="2.5703125" style="236" customWidth="1"/>
    <col min="12810" max="12810" width="8.85546875" style="236" customWidth="1"/>
    <col min="12811" max="12811" width="7.5703125" style="236" customWidth="1"/>
    <col min="12812" max="12814" width="3.7109375" style="236" customWidth="1"/>
    <col min="12815" max="12815" width="3.5703125" style="236" customWidth="1"/>
    <col min="12816" max="12816" width="2.85546875" style="236" customWidth="1"/>
    <col min="12817" max="12817" width="3" style="236" customWidth="1"/>
    <col min="12818" max="12820" width="0" style="236" hidden="1" customWidth="1"/>
    <col min="12821" max="12821" width="4.42578125" style="236" customWidth="1"/>
    <col min="12822" max="12822" width="0" style="236" hidden="1" customWidth="1"/>
    <col min="12823" max="12824" width="14.85546875" style="236" customWidth="1"/>
    <col min="12825" max="12825" width="15.140625" style="236" customWidth="1"/>
    <col min="12826" max="12826" width="6.42578125" style="236" customWidth="1"/>
    <col min="12827" max="12827" width="15.140625" style="236" customWidth="1"/>
    <col min="12828" max="12828" width="4.140625" style="236" customWidth="1"/>
    <col min="12829" max="12829" width="3" style="236" customWidth="1"/>
    <col min="12830" max="12832" width="0" style="236" hidden="1" customWidth="1"/>
    <col min="12833" max="12833" width="3" style="236" customWidth="1"/>
    <col min="12834" max="12834" width="0" style="236" hidden="1" customWidth="1"/>
    <col min="12835" max="12835" width="3" style="236" customWidth="1"/>
    <col min="12836" max="12836" width="0" style="236" hidden="1" customWidth="1"/>
    <col min="12837" max="12837" width="4.42578125" style="236" customWidth="1"/>
    <col min="12838" max="12838" width="34.28515625" style="236" customWidth="1"/>
    <col min="12839" max="12839" width="23.42578125" style="236" customWidth="1"/>
    <col min="12840" max="12840" width="9.140625" style="236" customWidth="1"/>
    <col min="12841" max="12841" width="19.5703125" style="236" customWidth="1"/>
    <col min="12842" max="12842" width="42.7109375" style="236" customWidth="1"/>
    <col min="12843" max="12843" width="5.85546875" style="236" customWidth="1"/>
    <col min="12844" max="12844" width="31.5703125" style="236" customWidth="1"/>
    <col min="12845" max="12845" width="16.140625" style="236" customWidth="1"/>
    <col min="12846" max="12847" width="9.28515625" style="236" customWidth="1"/>
    <col min="12848" max="12848" width="11.140625" style="236" customWidth="1"/>
    <col min="12849" max="12849" width="2.140625" style="236" customWidth="1"/>
    <col min="12850" max="13055" width="11.42578125" style="236"/>
    <col min="13056" max="13056" width="12" style="236" customWidth="1"/>
    <col min="13057" max="13057" width="2.7109375" style="236" customWidth="1"/>
    <col min="13058" max="13059" width="6.5703125" style="236" customWidth="1"/>
    <col min="13060" max="13060" width="5.85546875" style="236" customWidth="1"/>
    <col min="13061" max="13061" width="6.5703125" style="236" customWidth="1"/>
    <col min="13062" max="13062" width="13.7109375" style="236" customWidth="1"/>
    <col min="13063" max="13064" width="9" style="236" customWidth="1"/>
    <col min="13065" max="13065" width="2.5703125" style="236" customWidth="1"/>
    <col min="13066" max="13066" width="8.85546875" style="236" customWidth="1"/>
    <col min="13067" max="13067" width="7.5703125" style="236" customWidth="1"/>
    <col min="13068" max="13070" width="3.7109375" style="236" customWidth="1"/>
    <col min="13071" max="13071" width="3.5703125" style="236" customWidth="1"/>
    <col min="13072" max="13072" width="2.85546875" style="236" customWidth="1"/>
    <col min="13073" max="13073" width="3" style="236" customWidth="1"/>
    <col min="13074" max="13076" width="0" style="236" hidden="1" customWidth="1"/>
    <col min="13077" max="13077" width="4.42578125" style="236" customWidth="1"/>
    <col min="13078" max="13078" width="0" style="236" hidden="1" customWidth="1"/>
    <col min="13079" max="13080" width="14.85546875" style="236" customWidth="1"/>
    <col min="13081" max="13081" width="15.140625" style="236" customWidth="1"/>
    <col min="13082" max="13082" width="6.42578125" style="236" customWidth="1"/>
    <col min="13083" max="13083" width="15.140625" style="236" customWidth="1"/>
    <col min="13084" max="13084" width="4.140625" style="236" customWidth="1"/>
    <col min="13085" max="13085" width="3" style="236" customWidth="1"/>
    <col min="13086" max="13088" width="0" style="236" hidden="1" customWidth="1"/>
    <col min="13089" max="13089" width="3" style="236" customWidth="1"/>
    <col min="13090" max="13090" width="0" style="236" hidden="1" customWidth="1"/>
    <col min="13091" max="13091" width="3" style="236" customWidth="1"/>
    <col min="13092" max="13092" width="0" style="236" hidden="1" customWidth="1"/>
    <col min="13093" max="13093" width="4.42578125" style="236" customWidth="1"/>
    <col min="13094" max="13094" width="34.28515625" style="236" customWidth="1"/>
    <col min="13095" max="13095" width="23.42578125" style="236" customWidth="1"/>
    <col min="13096" max="13096" width="9.140625" style="236" customWidth="1"/>
    <col min="13097" max="13097" width="19.5703125" style="236" customWidth="1"/>
    <col min="13098" max="13098" width="42.7109375" style="236" customWidth="1"/>
    <col min="13099" max="13099" width="5.85546875" style="236" customWidth="1"/>
    <col min="13100" max="13100" width="31.5703125" style="236" customWidth="1"/>
    <col min="13101" max="13101" width="16.140625" style="236" customWidth="1"/>
    <col min="13102" max="13103" width="9.28515625" style="236" customWidth="1"/>
    <col min="13104" max="13104" width="11.140625" style="236" customWidth="1"/>
    <col min="13105" max="13105" width="2.140625" style="236" customWidth="1"/>
    <col min="13106" max="13311" width="11.42578125" style="236"/>
    <col min="13312" max="13312" width="12" style="236" customWidth="1"/>
    <col min="13313" max="13313" width="2.7109375" style="236" customWidth="1"/>
    <col min="13314" max="13315" width="6.5703125" style="236" customWidth="1"/>
    <col min="13316" max="13316" width="5.85546875" style="236" customWidth="1"/>
    <col min="13317" max="13317" width="6.5703125" style="236" customWidth="1"/>
    <col min="13318" max="13318" width="13.7109375" style="236" customWidth="1"/>
    <col min="13319" max="13320" width="9" style="236" customWidth="1"/>
    <col min="13321" max="13321" width="2.5703125" style="236" customWidth="1"/>
    <col min="13322" max="13322" width="8.85546875" style="236" customWidth="1"/>
    <col min="13323" max="13323" width="7.5703125" style="236" customWidth="1"/>
    <col min="13324" max="13326" width="3.7109375" style="236" customWidth="1"/>
    <col min="13327" max="13327" width="3.5703125" style="236" customWidth="1"/>
    <col min="13328" max="13328" width="2.85546875" style="236" customWidth="1"/>
    <col min="13329" max="13329" width="3" style="236" customWidth="1"/>
    <col min="13330" max="13332" width="0" style="236" hidden="1" customWidth="1"/>
    <col min="13333" max="13333" width="4.42578125" style="236" customWidth="1"/>
    <col min="13334" max="13334" width="0" style="236" hidden="1" customWidth="1"/>
    <col min="13335" max="13336" width="14.85546875" style="236" customWidth="1"/>
    <col min="13337" max="13337" width="15.140625" style="236" customWidth="1"/>
    <col min="13338" max="13338" width="6.42578125" style="236" customWidth="1"/>
    <col min="13339" max="13339" width="15.140625" style="236" customWidth="1"/>
    <col min="13340" max="13340" width="4.140625" style="236" customWidth="1"/>
    <col min="13341" max="13341" width="3" style="236" customWidth="1"/>
    <col min="13342" max="13344" width="0" style="236" hidden="1" customWidth="1"/>
    <col min="13345" max="13345" width="3" style="236" customWidth="1"/>
    <col min="13346" max="13346" width="0" style="236" hidden="1" customWidth="1"/>
    <col min="13347" max="13347" width="3" style="236" customWidth="1"/>
    <col min="13348" max="13348" width="0" style="236" hidden="1" customWidth="1"/>
    <col min="13349" max="13349" width="4.42578125" style="236" customWidth="1"/>
    <col min="13350" max="13350" width="34.28515625" style="236" customWidth="1"/>
    <col min="13351" max="13351" width="23.42578125" style="236" customWidth="1"/>
    <col min="13352" max="13352" width="9.140625" style="236" customWidth="1"/>
    <col min="13353" max="13353" width="19.5703125" style="236" customWidth="1"/>
    <col min="13354" max="13354" width="42.7109375" style="236" customWidth="1"/>
    <col min="13355" max="13355" width="5.85546875" style="236" customWidth="1"/>
    <col min="13356" max="13356" width="31.5703125" style="236" customWidth="1"/>
    <col min="13357" max="13357" width="16.140625" style="236" customWidth="1"/>
    <col min="13358" max="13359" width="9.28515625" style="236" customWidth="1"/>
    <col min="13360" max="13360" width="11.140625" style="236" customWidth="1"/>
    <col min="13361" max="13361" width="2.140625" style="236" customWidth="1"/>
    <col min="13362" max="13567" width="11.42578125" style="236"/>
    <col min="13568" max="13568" width="12" style="236" customWidth="1"/>
    <col min="13569" max="13569" width="2.7109375" style="236" customWidth="1"/>
    <col min="13570" max="13571" width="6.5703125" style="236" customWidth="1"/>
    <col min="13572" max="13572" width="5.85546875" style="236" customWidth="1"/>
    <col min="13573" max="13573" width="6.5703125" style="236" customWidth="1"/>
    <col min="13574" max="13574" width="13.7109375" style="236" customWidth="1"/>
    <col min="13575" max="13576" width="9" style="236" customWidth="1"/>
    <col min="13577" max="13577" width="2.5703125" style="236" customWidth="1"/>
    <col min="13578" max="13578" width="8.85546875" style="236" customWidth="1"/>
    <col min="13579" max="13579" width="7.5703125" style="236" customWidth="1"/>
    <col min="13580" max="13582" width="3.7109375" style="236" customWidth="1"/>
    <col min="13583" max="13583" width="3.5703125" style="236" customWidth="1"/>
    <col min="13584" max="13584" width="2.85546875" style="236" customWidth="1"/>
    <col min="13585" max="13585" width="3" style="236" customWidth="1"/>
    <col min="13586" max="13588" width="0" style="236" hidden="1" customWidth="1"/>
    <col min="13589" max="13589" width="4.42578125" style="236" customWidth="1"/>
    <col min="13590" max="13590" width="0" style="236" hidden="1" customWidth="1"/>
    <col min="13591" max="13592" width="14.85546875" style="236" customWidth="1"/>
    <col min="13593" max="13593" width="15.140625" style="236" customWidth="1"/>
    <col min="13594" max="13594" width="6.42578125" style="236" customWidth="1"/>
    <col min="13595" max="13595" width="15.140625" style="236" customWidth="1"/>
    <col min="13596" max="13596" width="4.140625" style="236" customWidth="1"/>
    <col min="13597" max="13597" width="3" style="236" customWidth="1"/>
    <col min="13598" max="13600" width="0" style="236" hidden="1" customWidth="1"/>
    <col min="13601" max="13601" width="3" style="236" customWidth="1"/>
    <col min="13602" max="13602" width="0" style="236" hidden="1" customWidth="1"/>
    <col min="13603" max="13603" width="3" style="236" customWidth="1"/>
    <col min="13604" max="13604" width="0" style="236" hidden="1" customWidth="1"/>
    <col min="13605" max="13605" width="4.42578125" style="236" customWidth="1"/>
    <col min="13606" max="13606" width="34.28515625" style="236" customWidth="1"/>
    <col min="13607" max="13607" width="23.42578125" style="236" customWidth="1"/>
    <col min="13608" max="13608" width="9.140625" style="236" customWidth="1"/>
    <col min="13609" max="13609" width="19.5703125" style="236" customWidth="1"/>
    <col min="13610" max="13610" width="42.7109375" style="236" customWidth="1"/>
    <col min="13611" max="13611" width="5.85546875" style="236" customWidth="1"/>
    <col min="13612" max="13612" width="31.5703125" style="236" customWidth="1"/>
    <col min="13613" max="13613" width="16.140625" style="236" customWidth="1"/>
    <col min="13614" max="13615" width="9.28515625" style="236" customWidth="1"/>
    <col min="13616" max="13616" width="11.140625" style="236" customWidth="1"/>
    <col min="13617" max="13617" width="2.140625" style="236" customWidth="1"/>
    <col min="13618" max="13823" width="11.42578125" style="236"/>
    <col min="13824" max="13824" width="12" style="236" customWidth="1"/>
    <col min="13825" max="13825" width="2.7109375" style="236" customWidth="1"/>
    <col min="13826" max="13827" width="6.5703125" style="236" customWidth="1"/>
    <col min="13828" max="13828" width="5.85546875" style="236" customWidth="1"/>
    <col min="13829" max="13829" width="6.5703125" style="236" customWidth="1"/>
    <col min="13830" max="13830" width="13.7109375" style="236" customWidth="1"/>
    <col min="13831" max="13832" width="9" style="236" customWidth="1"/>
    <col min="13833" max="13833" width="2.5703125" style="236" customWidth="1"/>
    <col min="13834" max="13834" width="8.85546875" style="236" customWidth="1"/>
    <col min="13835" max="13835" width="7.5703125" style="236" customWidth="1"/>
    <col min="13836" max="13838" width="3.7109375" style="236" customWidth="1"/>
    <col min="13839" max="13839" width="3.5703125" style="236" customWidth="1"/>
    <col min="13840" max="13840" width="2.85546875" style="236" customWidth="1"/>
    <col min="13841" max="13841" width="3" style="236" customWidth="1"/>
    <col min="13842" max="13844" width="0" style="236" hidden="1" customWidth="1"/>
    <col min="13845" max="13845" width="4.42578125" style="236" customWidth="1"/>
    <col min="13846" max="13846" width="0" style="236" hidden="1" customWidth="1"/>
    <col min="13847" max="13848" width="14.85546875" style="236" customWidth="1"/>
    <col min="13849" max="13849" width="15.140625" style="236" customWidth="1"/>
    <col min="13850" max="13850" width="6.42578125" style="236" customWidth="1"/>
    <col min="13851" max="13851" width="15.140625" style="236" customWidth="1"/>
    <col min="13852" max="13852" width="4.140625" style="236" customWidth="1"/>
    <col min="13853" max="13853" width="3" style="236" customWidth="1"/>
    <col min="13854" max="13856" width="0" style="236" hidden="1" customWidth="1"/>
    <col min="13857" max="13857" width="3" style="236" customWidth="1"/>
    <col min="13858" max="13858" width="0" style="236" hidden="1" customWidth="1"/>
    <col min="13859" max="13859" width="3" style="236" customWidth="1"/>
    <col min="13860" max="13860" width="0" style="236" hidden="1" customWidth="1"/>
    <col min="13861" max="13861" width="4.42578125" style="236" customWidth="1"/>
    <col min="13862" max="13862" width="34.28515625" style="236" customWidth="1"/>
    <col min="13863" max="13863" width="23.42578125" style="236" customWidth="1"/>
    <col min="13864" max="13864" width="9.140625" style="236" customWidth="1"/>
    <col min="13865" max="13865" width="19.5703125" style="236" customWidth="1"/>
    <col min="13866" max="13866" width="42.7109375" style="236" customWidth="1"/>
    <col min="13867" max="13867" width="5.85546875" style="236" customWidth="1"/>
    <col min="13868" max="13868" width="31.5703125" style="236" customWidth="1"/>
    <col min="13869" max="13869" width="16.140625" style="236" customWidth="1"/>
    <col min="13870" max="13871" width="9.28515625" style="236" customWidth="1"/>
    <col min="13872" max="13872" width="11.140625" style="236" customWidth="1"/>
    <col min="13873" max="13873" width="2.140625" style="236" customWidth="1"/>
    <col min="13874" max="14079" width="11.42578125" style="236"/>
    <col min="14080" max="14080" width="12" style="236" customWidth="1"/>
    <col min="14081" max="14081" width="2.7109375" style="236" customWidth="1"/>
    <col min="14082" max="14083" width="6.5703125" style="236" customWidth="1"/>
    <col min="14084" max="14084" width="5.85546875" style="236" customWidth="1"/>
    <col min="14085" max="14085" width="6.5703125" style="236" customWidth="1"/>
    <col min="14086" max="14086" width="13.7109375" style="236" customWidth="1"/>
    <col min="14087" max="14088" width="9" style="236" customWidth="1"/>
    <col min="14089" max="14089" width="2.5703125" style="236" customWidth="1"/>
    <col min="14090" max="14090" width="8.85546875" style="236" customWidth="1"/>
    <col min="14091" max="14091" width="7.5703125" style="236" customWidth="1"/>
    <col min="14092" max="14094" width="3.7109375" style="236" customWidth="1"/>
    <col min="14095" max="14095" width="3.5703125" style="236" customWidth="1"/>
    <col min="14096" max="14096" width="2.85546875" style="236" customWidth="1"/>
    <col min="14097" max="14097" width="3" style="236" customWidth="1"/>
    <col min="14098" max="14100" width="0" style="236" hidden="1" customWidth="1"/>
    <col min="14101" max="14101" width="4.42578125" style="236" customWidth="1"/>
    <col min="14102" max="14102" width="0" style="236" hidden="1" customWidth="1"/>
    <col min="14103" max="14104" width="14.85546875" style="236" customWidth="1"/>
    <col min="14105" max="14105" width="15.140625" style="236" customWidth="1"/>
    <col min="14106" max="14106" width="6.42578125" style="236" customWidth="1"/>
    <col min="14107" max="14107" width="15.140625" style="236" customWidth="1"/>
    <col min="14108" max="14108" width="4.140625" style="236" customWidth="1"/>
    <col min="14109" max="14109" width="3" style="236" customWidth="1"/>
    <col min="14110" max="14112" width="0" style="236" hidden="1" customWidth="1"/>
    <col min="14113" max="14113" width="3" style="236" customWidth="1"/>
    <col min="14114" max="14114" width="0" style="236" hidden="1" customWidth="1"/>
    <col min="14115" max="14115" width="3" style="236" customWidth="1"/>
    <col min="14116" max="14116" width="0" style="236" hidden="1" customWidth="1"/>
    <col min="14117" max="14117" width="4.42578125" style="236" customWidth="1"/>
    <col min="14118" max="14118" width="34.28515625" style="236" customWidth="1"/>
    <col min="14119" max="14119" width="23.42578125" style="236" customWidth="1"/>
    <col min="14120" max="14120" width="9.140625" style="236" customWidth="1"/>
    <col min="14121" max="14121" width="19.5703125" style="236" customWidth="1"/>
    <col min="14122" max="14122" width="42.7109375" style="236" customWidth="1"/>
    <col min="14123" max="14123" width="5.85546875" style="236" customWidth="1"/>
    <col min="14124" max="14124" width="31.5703125" style="236" customWidth="1"/>
    <col min="14125" max="14125" width="16.140625" style="236" customWidth="1"/>
    <col min="14126" max="14127" width="9.28515625" style="236" customWidth="1"/>
    <col min="14128" max="14128" width="11.140625" style="236" customWidth="1"/>
    <col min="14129" max="14129" width="2.140625" style="236" customWidth="1"/>
    <col min="14130" max="14335" width="11.42578125" style="236"/>
    <col min="14336" max="14336" width="12" style="236" customWidth="1"/>
    <col min="14337" max="14337" width="2.7109375" style="236" customWidth="1"/>
    <col min="14338" max="14339" width="6.5703125" style="236" customWidth="1"/>
    <col min="14340" max="14340" width="5.85546875" style="236" customWidth="1"/>
    <col min="14341" max="14341" width="6.5703125" style="236" customWidth="1"/>
    <col min="14342" max="14342" width="13.7109375" style="236" customWidth="1"/>
    <col min="14343" max="14344" width="9" style="236" customWidth="1"/>
    <col min="14345" max="14345" width="2.5703125" style="236" customWidth="1"/>
    <col min="14346" max="14346" width="8.85546875" style="236" customWidth="1"/>
    <col min="14347" max="14347" width="7.5703125" style="236" customWidth="1"/>
    <col min="14348" max="14350" width="3.7109375" style="236" customWidth="1"/>
    <col min="14351" max="14351" width="3.5703125" style="236" customWidth="1"/>
    <col min="14352" max="14352" width="2.85546875" style="236" customWidth="1"/>
    <col min="14353" max="14353" width="3" style="236" customWidth="1"/>
    <col min="14354" max="14356" width="0" style="236" hidden="1" customWidth="1"/>
    <col min="14357" max="14357" width="4.42578125" style="236" customWidth="1"/>
    <col min="14358" max="14358" width="0" style="236" hidden="1" customWidth="1"/>
    <col min="14359" max="14360" width="14.85546875" style="236" customWidth="1"/>
    <col min="14361" max="14361" width="15.140625" style="236" customWidth="1"/>
    <col min="14362" max="14362" width="6.42578125" style="236" customWidth="1"/>
    <col min="14363" max="14363" width="15.140625" style="236" customWidth="1"/>
    <col min="14364" max="14364" width="4.140625" style="236" customWidth="1"/>
    <col min="14365" max="14365" width="3" style="236" customWidth="1"/>
    <col min="14366" max="14368" width="0" style="236" hidden="1" customWidth="1"/>
    <col min="14369" max="14369" width="3" style="236" customWidth="1"/>
    <col min="14370" max="14370" width="0" style="236" hidden="1" customWidth="1"/>
    <col min="14371" max="14371" width="3" style="236" customWidth="1"/>
    <col min="14372" max="14372" width="0" style="236" hidden="1" customWidth="1"/>
    <col min="14373" max="14373" width="4.42578125" style="236" customWidth="1"/>
    <col min="14374" max="14374" width="34.28515625" style="236" customWidth="1"/>
    <col min="14375" max="14375" width="23.42578125" style="236" customWidth="1"/>
    <col min="14376" max="14376" width="9.140625" style="236" customWidth="1"/>
    <col min="14377" max="14377" width="19.5703125" style="236" customWidth="1"/>
    <col min="14378" max="14378" width="42.7109375" style="236" customWidth="1"/>
    <col min="14379" max="14379" width="5.85546875" style="236" customWidth="1"/>
    <col min="14380" max="14380" width="31.5703125" style="236" customWidth="1"/>
    <col min="14381" max="14381" width="16.140625" style="236" customWidth="1"/>
    <col min="14382" max="14383" width="9.28515625" style="236" customWidth="1"/>
    <col min="14384" max="14384" width="11.140625" style="236" customWidth="1"/>
    <col min="14385" max="14385" width="2.140625" style="236" customWidth="1"/>
    <col min="14386" max="14591" width="11.42578125" style="236"/>
    <col min="14592" max="14592" width="12" style="236" customWidth="1"/>
    <col min="14593" max="14593" width="2.7109375" style="236" customWidth="1"/>
    <col min="14594" max="14595" width="6.5703125" style="236" customWidth="1"/>
    <col min="14596" max="14596" width="5.85546875" style="236" customWidth="1"/>
    <col min="14597" max="14597" width="6.5703125" style="236" customWidth="1"/>
    <col min="14598" max="14598" width="13.7109375" style="236" customWidth="1"/>
    <col min="14599" max="14600" width="9" style="236" customWidth="1"/>
    <col min="14601" max="14601" width="2.5703125" style="236" customWidth="1"/>
    <col min="14602" max="14602" width="8.85546875" style="236" customWidth="1"/>
    <col min="14603" max="14603" width="7.5703125" style="236" customWidth="1"/>
    <col min="14604" max="14606" width="3.7109375" style="236" customWidth="1"/>
    <col min="14607" max="14607" width="3.5703125" style="236" customWidth="1"/>
    <col min="14608" max="14608" width="2.85546875" style="236" customWidth="1"/>
    <col min="14609" max="14609" width="3" style="236" customWidth="1"/>
    <col min="14610" max="14612" width="0" style="236" hidden="1" customWidth="1"/>
    <col min="14613" max="14613" width="4.42578125" style="236" customWidth="1"/>
    <col min="14614" max="14614" width="0" style="236" hidden="1" customWidth="1"/>
    <col min="14615" max="14616" width="14.85546875" style="236" customWidth="1"/>
    <col min="14617" max="14617" width="15.140625" style="236" customWidth="1"/>
    <col min="14618" max="14618" width="6.42578125" style="236" customWidth="1"/>
    <col min="14619" max="14619" width="15.140625" style="236" customWidth="1"/>
    <col min="14620" max="14620" width="4.140625" style="236" customWidth="1"/>
    <col min="14621" max="14621" width="3" style="236" customWidth="1"/>
    <col min="14622" max="14624" width="0" style="236" hidden="1" customWidth="1"/>
    <col min="14625" max="14625" width="3" style="236" customWidth="1"/>
    <col min="14626" max="14626" width="0" style="236" hidden="1" customWidth="1"/>
    <col min="14627" max="14627" width="3" style="236" customWidth="1"/>
    <col min="14628" max="14628" width="0" style="236" hidden="1" customWidth="1"/>
    <col min="14629" max="14629" width="4.42578125" style="236" customWidth="1"/>
    <col min="14630" max="14630" width="34.28515625" style="236" customWidth="1"/>
    <col min="14631" max="14631" width="23.42578125" style="236" customWidth="1"/>
    <col min="14632" max="14632" width="9.140625" style="236" customWidth="1"/>
    <col min="14633" max="14633" width="19.5703125" style="236" customWidth="1"/>
    <col min="14634" max="14634" width="42.7109375" style="236" customWidth="1"/>
    <col min="14635" max="14635" width="5.85546875" style="236" customWidth="1"/>
    <col min="14636" max="14636" width="31.5703125" style="236" customWidth="1"/>
    <col min="14637" max="14637" width="16.140625" style="236" customWidth="1"/>
    <col min="14638" max="14639" width="9.28515625" style="236" customWidth="1"/>
    <col min="14640" max="14640" width="11.140625" style="236" customWidth="1"/>
    <col min="14641" max="14641" width="2.140625" style="236" customWidth="1"/>
    <col min="14642" max="14847" width="11.42578125" style="236"/>
    <col min="14848" max="14848" width="12" style="236" customWidth="1"/>
    <col min="14849" max="14849" width="2.7109375" style="236" customWidth="1"/>
    <col min="14850" max="14851" width="6.5703125" style="236" customWidth="1"/>
    <col min="14852" max="14852" width="5.85546875" style="236" customWidth="1"/>
    <col min="14853" max="14853" width="6.5703125" style="236" customWidth="1"/>
    <col min="14854" max="14854" width="13.7109375" style="236" customWidth="1"/>
    <col min="14855" max="14856" width="9" style="236" customWidth="1"/>
    <col min="14857" max="14857" width="2.5703125" style="236" customWidth="1"/>
    <col min="14858" max="14858" width="8.85546875" style="236" customWidth="1"/>
    <col min="14859" max="14859" width="7.5703125" style="236" customWidth="1"/>
    <col min="14860" max="14862" width="3.7109375" style="236" customWidth="1"/>
    <col min="14863" max="14863" width="3.5703125" style="236" customWidth="1"/>
    <col min="14864" max="14864" width="2.85546875" style="236" customWidth="1"/>
    <col min="14865" max="14865" width="3" style="236" customWidth="1"/>
    <col min="14866" max="14868" width="0" style="236" hidden="1" customWidth="1"/>
    <col min="14869" max="14869" width="4.42578125" style="236" customWidth="1"/>
    <col min="14870" max="14870" width="0" style="236" hidden="1" customWidth="1"/>
    <col min="14871" max="14872" width="14.85546875" style="236" customWidth="1"/>
    <col min="14873" max="14873" width="15.140625" style="236" customWidth="1"/>
    <col min="14874" max="14874" width="6.42578125" style="236" customWidth="1"/>
    <col min="14875" max="14875" width="15.140625" style="236" customWidth="1"/>
    <col min="14876" max="14876" width="4.140625" style="236" customWidth="1"/>
    <col min="14877" max="14877" width="3" style="236" customWidth="1"/>
    <col min="14878" max="14880" width="0" style="236" hidden="1" customWidth="1"/>
    <col min="14881" max="14881" width="3" style="236" customWidth="1"/>
    <col min="14882" max="14882" width="0" style="236" hidden="1" customWidth="1"/>
    <col min="14883" max="14883" width="3" style="236" customWidth="1"/>
    <col min="14884" max="14884" width="0" style="236" hidden="1" customWidth="1"/>
    <col min="14885" max="14885" width="4.42578125" style="236" customWidth="1"/>
    <col min="14886" max="14886" width="34.28515625" style="236" customWidth="1"/>
    <col min="14887" max="14887" width="23.42578125" style="236" customWidth="1"/>
    <col min="14888" max="14888" width="9.140625" style="236" customWidth="1"/>
    <col min="14889" max="14889" width="19.5703125" style="236" customWidth="1"/>
    <col min="14890" max="14890" width="42.7109375" style="236" customWidth="1"/>
    <col min="14891" max="14891" width="5.85546875" style="236" customWidth="1"/>
    <col min="14892" max="14892" width="31.5703125" style="236" customWidth="1"/>
    <col min="14893" max="14893" width="16.140625" style="236" customWidth="1"/>
    <col min="14894" max="14895" width="9.28515625" style="236" customWidth="1"/>
    <col min="14896" max="14896" width="11.140625" style="236" customWidth="1"/>
    <col min="14897" max="14897" width="2.140625" style="236" customWidth="1"/>
    <col min="14898" max="15103" width="11.42578125" style="236"/>
    <col min="15104" max="15104" width="12" style="236" customWidth="1"/>
    <col min="15105" max="15105" width="2.7109375" style="236" customWidth="1"/>
    <col min="15106" max="15107" width="6.5703125" style="236" customWidth="1"/>
    <col min="15108" max="15108" width="5.85546875" style="236" customWidth="1"/>
    <col min="15109" max="15109" width="6.5703125" style="236" customWidth="1"/>
    <col min="15110" max="15110" width="13.7109375" style="236" customWidth="1"/>
    <col min="15111" max="15112" width="9" style="236" customWidth="1"/>
    <col min="15113" max="15113" width="2.5703125" style="236" customWidth="1"/>
    <col min="15114" max="15114" width="8.85546875" style="236" customWidth="1"/>
    <col min="15115" max="15115" width="7.5703125" style="236" customWidth="1"/>
    <col min="15116" max="15118" width="3.7109375" style="236" customWidth="1"/>
    <col min="15119" max="15119" width="3.5703125" style="236" customWidth="1"/>
    <col min="15120" max="15120" width="2.85546875" style="236" customWidth="1"/>
    <col min="15121" max="15121" width="3" style="236" customWidth="1"/>
    <col min="15122" max="15124" width="0" style="236" hidden="1" customWidth="1"/>
    <col min="15125" max="15125" width="4.42578125" style="236" customWidth="1"/>
    <col min="15126" max="15126" width="0" style="236" hidden="1" customWidth="1"/>
    <col min="15127" max="15128" width="14.85546875" style="236" customWidth="1"/>
    <col min="15129" max="15129" width="15.140625" style="236" customWidth="1"/>
    <col min="15130" max="15130" width="6.42578125" style="236" customWidth="1"/>
    <col min="15131" max="15131" width="15.140625" style="236" customWidth="1"/>
    <col min="15132" max="15132" width="4.140625" style="236" customWidth="1"/>
    <col min="15133" max="15133" width="3" style="236" customWidth="1"/>
    <col min="15134" max="15136" width="0" style="236" hidden="1" customWidth="1"/>
    <col min="15137" max="15137" width="3" style="236" customWidth="1"/>
    <col min="15138" max="15138" width="0" style="236" hidden="1" customWidth="1"/>
    <col min="15139" max="15139" width="3" style="236" customWidth="1"/>
    <col min="15140" max="15140" width="0" style="236" hidden="1" customWidth="1"/>
    <col min="15141" max="15141" width="4.42578125" style="236" customWidth="1"/>
    <col min="15142" max="15142" width="34.28515625" style="236" customWidth="1"/>
    <col min="15143" max="15143" width="23.42578125" style="236" customWidth="1"/>
    <col min="15144" max="15144" width="9.140625" style="236" customWidth="1"/>
    <col min="15145" max="15145" width="19.5703125" style="236" customWidth="1"/>
    <col min="15146" max="15146" width="42.7109375" style="236" customWidth="1"/>
    <col min="15147" max="15147" width="5.85546875" style="236" customWidth="1"/>
    <col min="15148" max="15148" width="31.5703125" style="236" customWidth="1"/>
    <col min="15149" max="15149" width="16.140625" style="236" customWidth="1"/>
    <col min="15150" max="15151" width="9.28515625" style="236" customWidth="1"/>
    <col min="15152" max="15152" width="11.140625" style="236" customWidth="1"/>
    <col min="15153" max="15153" width="2.140625" style="236" customWidth="1"/>
    <col min="15154" max="15359" width="11.42578125" style="236"/>
    <col min="15360" max="15360" width="12" style="236" customWidth="1"/>
    <col min="15361" max="15361" width="2.7109375" style="236" customWidth="1"/>
    <col min="15362" max="15363" width="6.5703125" style="236" customWidth="1"/>
    <col min="15364" max="15364" width="5.85546875" style="236" customWidth="1"/>
    <col min="15365" max="15365" width="6.5703125" style="236" customWidth="1"/>
    <col min="15366" max="15366" width="13.7109375" style="236" customWidth="1"/>
    <col min="15367" max="15368" width="9" style="236" customWidth="1"/>
    <col min="15369" max="15369" width="2.5703125" style="236" customWidth="1"/>
    <col min="15370" max="15370" width="8.85546875" style="236" customWidth="1"/>
    <col min="15371" max="15371" width="7.5703125" style="236" customWidth="1"/>
    <col min="15372" max="15374" width="3.7109375" style="236" customWidth="1"/>
    <col min="15375" max="15375" width="3.5703125" style="236" customWidth="1"/>
    <col min="15376" max="15376" width="2.85546875" style="236" customWidth="1"/>
    <col min="15377" max="15377" width="3" style="236" customWidth="1"/>
    <col min="15378" max="15380" width="0" style="236" hidden="1" customWidth="1"/>
    <col min="15381" max="15381" width="4.42578125" style="236" customWidth="1"/>
    <col min="15382" max="15382" width="0" style="236" hidden="1" customWidth="1"/>
    <col min="15383" max="15384" width="14.85546875" style="236" customWidth="1"/>
    <col min="15385" max="15385" width="15.140625" style="236" customWidth="1"/>
    <col min="15386" max="15386" width="6.42578125" style="236" customWidth="1"/>
    <col min="15387" max="15387" width="15.140625" style="236" customWidth="1"/>
    <col min="15388" max="15388" width="4.140625" style="236" customWidth="1"/>
    <col min="15389" max="15389" width="3" style="236" customWidth="1"/>
    <col min="15390" max="15392" width="0" style="236" hidden="1" customWidth="1"/>
    <col min="15393" max="15393" width="3" style="236" customWidth="1"/>
    <col min="15394" max="15394" width="0" style="236" hidden="1" customWidth="1"/>
    <col min="15395" max="15395" width="3" style="236" customWidth="1"/>
    <col min="15396" max="15396" width="0" style="236" hidden="1" customWidth="1"/>
    <col min="15397" max="15397" width="4.42578125" style="236" customWidth="1"/>
    <col min="15398" max="15398" width="34.28515625" style="236" customWidth="1"/>
    <col min="15399" max="15399" width="23.42578125" style="236" customWidth="1"/>
    <col min="15400" max="15400" width="9.140625" style="236" customWidth="1"/>
    <col min="15401" max="15401" width="19.5703125" style="236" customWidth="1"/>
    <col min="15402" max="15402" width="42.7109375" style="236" customWidth="1"/>
    <col min="15403" max="15403" width="5.85546875" style="236" customWidth="1"/>
    <col min="15404" max="15404" width="31.5703125" style="236" customWidth="1"/>
    <col min="15405" max="15405" width="16.140625" style="236" customWidth="1"/>
    <col min="15406" max="15407" width="9.28515625" style="236" customWidth="1"/>
    <col min="15408" max="15408" width="11.140625" style="236" customWidth="1"/>
    <col min="15409" max="15409" width="2.140625" style="236" customWidth="1"/>
    <col min="15410" max="15615" width="11.42578125" style="236"/>
    <col min="15616" max="15616" width="12" style="236" customWidth="1"/>
    <col min="15617" max="15617" width="2.7109375" style="236" customWidth="1"/>
    <col min="15618" max="15619" width="6.5703125" style="236" customWidth="1"/>
    <col min="15620" max="15620" width="5.85546875" style="236" customWidth="1"/>
    <col min="15621" max="15621" width="6.5703125" style="236" customWidth="1"/>
    <col min="15622" max="15622" width="13.7109375" style="236" customWidth="1"/>
    <col min="15623" max="15624" width="9" style="236" customWidth="1"/>
    <col min="15625" max="15625" width="2.5703125" style="236" customWidth="1"/>
    <col min="15626" max="15626" width="8.85546875" style="236" customWidth="1"/>
    <col min="15627" max="15627" width="7.5703125" style="236" customWidth="1"/>
    <col min="15628" max="15630" width="3.7109375" style="236" customWidth="1"/>
    <col min="15631" max="15631" width="3.5703125" style="236" customWidth="1"/>
    <col min="15632" max="15632" width="2.85546875" style="236" customWidth="1"/>
    <col min="15633" max="15633" width="3" style="236" customWidth="1"/>
    <col min="15634" max="15636" width="0" style="236" hidden="1" customWidth="1"/>
    <col min="15637" max="15637" width="4.42578125" style="236" customWidth="1"/>
    <col min="15638" max="15638" width="0" style="236" hidden="1" customWidth="1"/>
    <col min="15639" max="15640" width="14.85546875" style="236" customWidth="1"/>
    <col min="15641" max="15641" width="15.140625" style="236" customWidth="1"/>
    <col min="15642" max="15642" width="6.42578125" style="236" customWidth="1"/>
    <col min="15643" max="15643" width="15.140625" style="236" customWidth="1"/>
    <col min="15644" max="15644" width="4.140625" style="236" customWidth="1"/>
    <col min="15645" max="15645" width="3" style="236" customWidth="1"/>
    <col min="15646" max="15648" width="0" style="236" hidden="1" customWidth="1"/>
    <col min="15649" max="15649" width="3" style="236" customWidth="1"/>
    <col min="15650" max="15650" width="0" style="236" hidden="1" customWidth="1"/>
    <col min="15651" max="15651" width="3" style="236" customWidth="1"/>
    <col min="15652" max="15652" width="0" style="236" hidden="1" customWidth="1"/>
    <col min="15653" max="15653" width="4.42578125" style="236" customWidth="1"/>
    <col min="15654" max="15654" width="34.28515625" style="236" customWidth="1"/>
    <col min="15655" max="15655" width="23.42578125" style="236" customWidth="1"/>
    <col min="15656" max="15656" width="9.140625" style="236" customWidth="1"/>
    <col min="15657" max="15657" width="19.5703125" style="236" customWidth="1"/>
    <col min="15658" max="15658" width="42.7109375" style="236" customWidth="1"/>
    <col min="15659" max="15659" width="5.85546875" style="236" customWidth="1"/>
    <col min="15660" max="15660" width="31.5703125" style="236" customWidth="1"/>
    <col min="15661" max="15661" width="16.140625" style="236" customWidth="1"/>
    <col min="15662" max="15663" width="9.28515625" style="236" customWidth="1"/>
    <col min="15664" max="15664" width="11.140625" style="236" customWidth="1"/>
    <col min="15665" max="15665" width="2.140625" style="236" customWidth="1"/>
    <col min="15666" max="15871" width="11.42578125" style="236"/>
    <col min="15872" max="15872" width="12" style="236" customWidth="1"/>
    <col min="15873" max="15873" width="2.7109375" style="236" customWidth="1"/>
    <col min="15874" max="15875" width="6.5703125" style="236" customWidth="1"/>
    <col min="15876" max="15876" width="5.85546875" style="236" customWidth="1"/>
    <col min="15877" max="15877" width="6.5703125" style="236" customWidth="1"/>
    <col min="15878" max="15878" width="13.7109375" style="236" customWidth="1"/>
    <col min="15879" max="15880" width="9" style="236" customWidth="1"/>
    <col min="15881" max="15881" width="2.5703125" style="236" customWidth="1"/>
    <col min="15882" max="15882" width="8.85546875" style="236" customWidth="1"/>
    <col min="15883" max="15883" width="7.5703125" style="236" customWidth="1"/>
    <col min="15884" max="15886" width="3.7109375" style="236" customWidth="1"/>
    <col min="15887" max="15887" width="3.5703125" style="236" customWidth="1"/>
    <col min="15888" max="15888" width="2.85546875" style="236" customWidth="1"/>
    <col min="15889" max="15889" width="3" style="236" customWidth="1"/>
    <col min="15890" max="15892" width="0" style="236" hidden="1" customWidth="1"/>
    <col min="15893" max="15893" width="4.42578125" style="236" customWidth="1"/>
    <col min="15894" max="15894" width="0" style="236" hidden="1" customWidth="1"/>
    <col min="15895" max="15896" width="14.85546875" style="236" customWidth="1"/>
    <col min="15897" max="15897" width="15.140625" style="236" customWidth="1"/>
    <col min="15898" max="15898" width="6.42578125" style="236" customWidth="1"/>
    <col min="15899" max="15899" width="15.140625" style="236" customWidth="1"/>
    <col min="15900" max="15900" width="4.140625" style="236" customWidth="1"/>
    <col min="15901" max="15901" width="3" style="236" customWidth="1"/>
    <col min="15902" max="15904" width="0" style="236" hidden="1" customWidth="1"/>
    <col min="15905" max="15905" width="3" style="236" customWidth="1"/>
    <col min="15906" max="15906" width="0" style="236" hidden="1" customWidth="1"/>
    <col min="15907" max="15907" width="3" style="236" customWidth="1"/>
    <col min="15908" max="15908" width="0" style="236" hidden="1" customWidth="1"/>
    <col min="15909" max="15909" width="4.42578125" style="236" customWidth="1"/>
    <col min="15910" max="15910" width="34.28515625" style="236" customWidth="1"/>
    <col min="15911" max="15911" width="23.42578125" style="236" customWidth="1"/>
    <col min="15912" max="15912" width="9.140625" style="236" customWidth="1"/>
    <col min="15913" max="15913" width="19.5703125" style="236" customWidth="1"/>
    <col min="15914" max="15914" width="42.7109375" style="236" customWidth="1"/>
    <col min="15915" max="15915" width="5.85546875" style="236" customWidth="1"/>
    <col min="15916" max="15916" width="31.5703125" style="236" customWidth="1"/>
    <col min="15917" max="15917" width="16.140625" style="236" customWidth="1"/>
    <col min="15918" max="15919" width="9.28515625" style="236" customWidth="1"/>
    <col min="15920" max="15920" width="11.140625" style="236" customWidth="1"/>
    <col min="15921" max="15921" width="2.140625" style="236" customWidth="1"/>
    <col min="15922" max="16127" width="11.42578125" style="236"/>
    <col min="16128" max="16128" width="12" style="236" customWidth="1"/>
    <col min="16129" max="16129" width="2.7109375" style="236" customWidth="1"/>
    <col min="16130" max="16131" width="6.5703125" style="236" customWidth="1"/>
    <col min="16132" max="16132" width="5.85546875" style="236" customWidth="1"/>
    <col min="16133" max="16133" width="6.5703125" style="236" customWidth="1"/>
    <col min="16134" max="16134" width="13.7109375" style="236" customWidth="1"/>
    <col min="16135" max="16136" width="9" style="236" customWidth="1"/>
    <col min="16137" max="16137" width="2.5703125" style="236" customWidth="1"/>
    <col min="16138" max="16138" width="8.85546875" style="236" customWidth="1"/>
    <col min="16139" max="16139" width="7.5703125" style="236" customWidth="1"/>
    <col min="16140" max="16142" width="3.7109375" style="236" customWidth="1"/>
    <col min="16143" max="16143" width="3.5703125" style="236" customWidth="1"/>
    <col min="16144" max="16144" width="2.85546875" style="236" customWidth="1"/>
    <col min="16145" max="16145" width="3" style="236" customWidth="1"/>
    <col min="16146" max="16148" width="0" style="236" hidden="1" customWidth="1"/>
    <col min="16149" max="16149" width="4.42578125" style="236" customWidth="1"/>
    <col min="16150" max="16150" width="0" style="236" hidden="1" customWidth="1"/>
    <col min="16151" max="16152" width="14.85546875" style="236" customWidth="1"/>
    <col min="16153" max="16153" width="15.140625" style="236" customWidth="1"/>
    <col min="16154" max="16154" width="6.42578125" style="236" customWidth="1"/>
    <col min="16155" max="16155" width="15.140625" style="236" customWidth="1"/>
    <col min="16156" max="16156" width="4.140625" style="236" customWidth="1"/>
    <col min="16157" max="16157" width="3" style="236" customWidth="1"/>
    <col min="16158" max="16160" width="0" style="236" hidden="1" customWidth="1"/>
    <col min="16161" max="16161" width="3" style="236" customWidth="1"/>
    <col min="16162" max="16162" width="0" style="236" hidden="1" customWidth="1"/>
    <col min="16163" max="16163" width="3" style="236" customWidth="1"/>
    <col min="16164" max="16164" width="0" style="236" hidden="1" customWidth="1"/>
    <col min="16165" max="16165" width="4.42578125" style="236" customWidth="1"/>
    <col min="16166" max="16166" width="34.28515625" style="236" customWidth="1"/>
    <col min="16167" max="16167" width="23.42578125" style="236" customWidth="1"/>
    <col min="16168" max="16168" width="9.140625" style="236" customWidth="1"/>
    <col min="16169" max="16169" width="19.5703125" style="236" customWidth="1"/>
    <col min="16170" max="16170" width="42.7109375" style="236" customWidth="1"/>
    <col min="16171" max="16171" width="5.85546875" style="236" customWidth="1"/>
    <col min="16172" max="16172" width="31.5703125" style="236" customWidth="1"/>
    <col min="16173" max="16173" width="16.140625" style="236" customWidth="1"/>
    <col min="16174" max="16175" width="9.28515625" style="236" customWidth="1"/>
    <col min="16176" max="16176" width="11.140625" style="236" customWidth="1"/>
    <col min="16177" max="16177" width="2.140625" style="236" customWidth="1"/>
    <col min="16178" max="16384" width="11.42578125" style="236"/>
  </cols>
  <sheetData>
    <row r="1" spans="1:1025" ht="11.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50"/>
      <c r="V1" s="1251"/>
      <c r="W1" s="1252"/>
      <c r="X1" s="1257" t="s">
        <v>2347</v>
      </c>
      <c r="Y1" s="1257"/>
      <c r="Z1" s="1257"/>
      <c r="AA1" s="1827" t="s">
        <v>636</v>
      </c>
      <c r="AB1" s="1828" t="s">
        <v>1154</v>
      </c>
      <c r="AC1" s="1828"/>
      <c r="AD1" s="1828"/>
      <c r="AE1" s="1828"/>
      <c r="AF1" s="1828"/>
      <c r="AG1" s="1828"/>
      <c r="AH1" s="1828"/>
      <c r="AI1" s="1828"/>
      <c r="AJ1" s="1828"/>
      <c r="AK1" s="1828"/>
      <c r="AL1" s="1828"/>
      <c r="AM1" s="235"/>
      <c r="AN1" s="1247" t="s">
        <v>2320</v>
      </c>
      <c r="AO1" s="1247"/>
      <c r="AP1" s="1247"/>
      <c r="AQ1" s="1247"/>
      <c r="AR1" s="233"/>
      <c r="AS1" s="233"/>
      <c r="AT1" s="233"/>
      <c r="AU1" s="1246"/>
      <c r="AV1" s="1246"/>
      <c r="AW1" s="233"/>
    </row>
    <row r="2" spans="1:1025" ht="14.25" customHeight="1">
      <c r="A2" s="237" t="s">
        <v>2348</v>
      </c>
      <c r="B2" s="233"/>
      <c r="C2" s="233"/>
      <c r="D2" s="233"/>
      <c r="E2" s="233"/>
      <c r="F2" s="233"/>
      <c r="G2" s="1214" t="str">
        <f>UPPER([50]Control!A2)</f>
        <v xml:space="preserve">MATRIZ DE RIESGOS </v>
      </c>
      <c r="H2" s="1215"/>
      <c r="I2" s="1215"/>
      <c r="J2" s="1215"/>
      <c r="K2" s="1215"/>
      <c r="L2" s="1215"/>
      <c r="M2" s="1215"/>
      <c r="N2" s="1215"/>
      <c r="O2" s="1215"/>
      <c r="P2" s="1215"/>
      <c r="Q2" s="1215"/>
      <c r="R2" s="1215"/>
      <c r="S2" s="1215"/>
      <c r="T2" s="1215"/>
      <c r="U2" s="1216"/>
      <c r="V2" s="1253"/>
      <c r="W2" s="1254"/>
      <c r="X2" s="1257"/>
      <c r="Y2" s="1257"/>
      <c r="Z2" s="1257"/>
      <c r="AA2" s="1826"/>
      <c r="AB2" s="1828"/>
      <c r="AC2" s="1828"/>
      <c r="AD2" s="1828"/>
      <c r="AE2" s="1828"/>
      <c r="AF2" s="1828"/>
      <c r="AG2" s="1828"/>
      <c r="AH2" s="1828"/>
      <c r="AI2" s="1828"/>
      <c r="AJ2" s="1828"/>
      <c r="AK2" s="1828"/>
      <c r="AL2" s="1828"/>
      <c r="AM2" s="235"/>
      <c r="AN2" s="1268" t="s">
        <v>138</v>
      </c>
      <c r="AO2" s="1269"/>
      <c r="AP2" s="1270" t="str">
        <f>AB1</f>
        <v>EJECUCION DE OBRAS</v>
      </c>
      <c r="AQ2" s="1271"/>
      <c r="AR2" s="233"/>
      <c r="AS2" s="233"/>
      <c r="AT2" s="233"/>
      <c r="AU2" s="1246"/>
      <c r="AV2" s="1246"/>
      <c r="AW2" s="233"/>
    </row>
    <row r="3" spans="1:1025" ht="11.25" customHeight="1">
      <c r="A3" s="1435">
        <v>2019</v>
      </c>
      <c r="B3" s="233"/>
      <c r="C3" s="233"/>
      <c r="D3" s="233"/>
      <c r="E3" s="233"/>
      <c r="F3" s="233"/>
      <c r="G3" s="1203" t="s">
        <v>139</v>
      </c>
      <c r="H3" s="1204"/>
      <c r="I3" s="1204" t="s">
        <v>140</v>
      </c>
      <c r="J3" s="1204"/>
      <c r="K3" s="1204"/>
      <c r="L3" s="1204"/>
      <c r="M3" s="1204"/>
      <c r="N3" s="1204"/>
      <c r="O3" s="1205" t="s">
        <v>141</v>
      </c>
      <c r="P3" s="1204"/>
      <c r="Q3" s="1204"/>
      <c r="R3" s="1204"/>
      <c r="S3" s="1204"/>
      <c r="T3" s="1204"/>
      <c r="U3" s="1206"/>
      <c r="V3" s="1253"/>
      <c r="W3" s="1254"/>
      <c r="X3" s="1824">
        <v>43452</v>
      </c>
      <c r="Y3" s="1825"/>
      <c r="Z3" s="1438"/>
      <c r="AA3" s="1826" t="s">
        <v>2349</v>
      </c>
      <c r="AB3" s="1829" t="s">
        <v>1155</v>
      </c>
      <c r="AC3" s="1829"/>
      <c r="AD3" s="1829"/>
      <c r="AE3" s="1829"/>
      <c r="AF3" s="1829"/>
      <c r="AG3" s="1829"/>
      <c r="AH3" s="1829"/>
      <c r="AI3" s="1829"/>
      <c r="AJ3" s="1829"/>
      <c r="AK3" s="1829"/>
      <c r="AL3" s="1829"/>
      <c r="AM3" s="235"/>
      <c r="AN3" s="1265" t="s">
        <v>2322</v>
      </c>
      <c r="AO3" s="1266"/>
      <c r="AP3" s="1830" t="s">
        <v>2323</v>
      </c>
      <c r="AQ3" s="1831"/>
      <c r="AR3" s="233"/>
      <c r="AS3" s="233"/>
      <c r="AT3" s="233"/>
      <c r="AU3" s="1246"/>
      <c r="AV3" s="1246"/>
      <c r="AW3" s="233"/>
    </row>
    <row r="4" spans="1:1025" ht="14.25" customHeight="1" thickBot="1">
      <c r="A4" s="1435"/>
      <c r="B4" s="233"/>
      <c r="C4" s="233"/>
      <c r="D4" s="233"/>
      <c r="E4" s="233"/>
      <c r="F4" s="233"/>
      <c r="G4" s="1236" t="str">
        <f>[50]Control!A4</f>
        <v>FO-PE-06</v>
      </c>
      <c r="H4" s="1237"/>
      <c r="I4" s="1238" t="str">
        <f>[50]Control!C4</f>
        <v>Planeación Estratégica</v>
      </c>
      <c r="J4" s="1237"/>
      <c r="K4" s="1237"/>
      <c r="L4" s="1237"/>
      <c r="M4" s="1237"/>
      <c r="N4" s="1239"/>
      <c r="O4" s="1238">
        <f>[50]Control!H4</f>
        <v>5</v>
      </c>
      <c r="P4" s="1237"/>
      <c r="Q4" s="1237"/>
      <c r="R4" s="1237"/>
      <c r="S4" s="1237"/>
      <c r="T4" s="1237"/>
      <c r="U4" s="1239"/>
      <c r="V4" s="1255"/>
      <c r="W4" s="1256"/>
      <c r="X4" s="1439"/>
      <c r="Y4" s="1440"/>
      <c r="Z4" s="1441"/>
      <c r="AA4" s="1826"/>
      <c r="AB4" s="1829"/>
      <c r="AC4" s="1829"/>
      <c r="AD4" s="1829"/>
      <c r="AE4" s="1829"/>
      <c r="AF4" s="1829"/>
      <c r="AG4" s="1829"/>
      <c r="AH4" s="1829"/>
      <c r="AI4" s="1829"/>
      <c r="AJ4" s="1829"/>
      <c r="AK4" s="1829"/>
      <c r="AL4" s="1829"/>
      <c r="AM4" s="235"/>
      <c r="AN4" s="1240">
        <v>43709</v>
      </c>
      <c r="AO4" s="1241"/>
      <c r="AP4" s="1815" t="s">
        <v>3926</v>
      </c>
      <c r="AQ4" s="1243"/>
      <c r="AR4" s="233"/>
      <c r="AS4" s="233"/>
      <c r="AT4" s="233"/>
      <c r="AU4" s="1246"/>
      <c r="AV4" s="1246"/>
      <c r="AW4" s="233"/>
    </row>
    <row r="5" spans="1:1025"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2"/>
      <c r="W5" s="971"/>
      <c r="X5" s="971"/>
      <c r="Y5" s="1129"/>
      <c r="Z5" s="971"/>
      <c r="AA5" s="971"/>
      <c r="AB5" s="241"/>
      <c r="AC5" s="241"/>
      <c r="AD5" s="241"/>
      <c r="AE5" s="241"/>
      <c r="AF5" s="241"/>
      <c r="AG5" s="241"/>
      <c r="AH5" s="241"/>
      <c r="AI5" s="241"/>
      <c r="AJ5" s="241"/>
      <c r="AK5" s="240"/>
      <c r="AL5" s="240"/>
      <c r="AM5" s="240"/>
      <c r="AO5" s="244"/>
      <c r="AW5" s="245"/>
    </row>
    <row r="6" spans="1:1025" s="243" customFormat="1" ht="11.25" customHeight="1">
      <c r="A6" s="1818" t="s">
        <v>143</v>
      </c>
      <c r="B6" s="1819"/>
      <c r="C6" s="1819"/>
      <c r="D6" s="1819"/>
      <c r="E6" s="1819"/>
      <c r="F6" s="1819"/>
      <c r="G6" s="1819"/>
      <c r="H6" s="1819"/>
      <c r="I6" s="1819"/>
      <c r="J6" s="1819"/>
      <c r="K6" s="1819"/>
      <c r="L6" s="1819"/>
      <c r="M6" s="1819"/>
      <c r="N6" s="1819"/>
      <c r="O6" s="1819"/>
      <c r="P6" s="1820"/>
      <c r="Q6" s="1821" t="s">
        <v>1003</v>
      </c>
      <c r="R6" s="1822"/>
      <c r="S6" s="1822"/>
      <c r="T6" s="1822"/>
      <c r="U6" s="1823"/>
      <c r="V6" s="1262" t="s">
        <v>2350</v>
      </c>
      <c r="W6" s="1263"/>
      <c r="X6" s="1263"/>
      <c r="Y6" s="1263"/>
      <c r="Z6" s="1263"/>
      <c r="AA6" s="1263"/>
      <c r="AB6" s="1263"/>
      <c r="AC6" s="1263"/>
      <c r="AD6" s="1263"/>
      <c r="AE6" s="1263"/>
      <c r="AF6" s="1263"/>
      <c r="AG6" s="1263"/>
      <c r="AH6" s="1263"/>
      <c r="AI6" s="1263"/>
      <c r="AJ6" s="1263"/>
      <c r="AK6" s="1264"/>
      <c r="AL6" s="782" t="s">
        <v>268</v>
      </c>
      <c r="AM6" s="342"/>
      <c r="AN6" s="247" t="s">
        <v>2325</v>
      </c>
      <c r="AO6" s="248"/>
      <c r="AP6" s="248"/>
      <c r="AQ6" s="249"/>
      <c r="AR6" s="1816" t="s">
        <v>2326</v>
      </c>
      <c r="AS6" s="1816"/>
      <c r="AT6" s="1816"/>
      <c r="AU6" s="1816"/>
      <c r="AV6" s="1817"/>
      <c r="AW6" s="245"/>
    </row>
    <row r="7" spans="1:1025" s="243" customFormat="1" ht="25.5" customHeight="1">
      <c r="A7" s="1217" t="s">
        <v>1004</v>
      </c>
      <c r="B7" s="1218" t="s">
        <v>640</v>
      </c>
      <c r="C7" s="1217" t="s">
        <v>1001</v>
      </c>
      <c r="D7" s="1217"/>
      <c r="E7" s="1217"/>
      <c r="F7" s="1217" t="s">
        <v>1000</v>
      </c>
      <c r="G7" s="1217" t="s">
        <v>999</v>
      </c>
      <c r="H7" s="1217"/>
      <c r="I7" s="1217"/>
      <c r="J7" s="1217" t="s">
        <v>145</v>
      </c>
      <c r="K7" s="1217"/>
      <c r="L7" s="1217"/>
      <c r="M7" s="1217" t="s">
        <v>144</v>
      </c>
      <c r="N7" s="1217"/>
      <c r="O7" s="1217"/>
      <c r="P7" s="1217"/>
      <c r="Q7" s="1288" t="s">
        <v>637</v>
      </c>
      <c r="R7" s="1288"/>
      <c r="S7" s="1288"/>
      <c r="T7" s="1288"/>
      <c r="U7" s="1288"/>
      <c r="V7" s="1217" t="s">
        <v>2351</v>
      </c>
      <c r="W7" s="1217"/>
      <c r="X7" s="1217"/>
      <c r="Y7" s="1284" t="s">
        <v>4175</v>
      </c>
      <c r="Z7" s="1217" t="s">
        <v>998</v>
      </c>
      <c r="AA7" s="1217" t="s">
        <v>641</v>
      </c>
      <c r="AB7" s="1218" t="s">
        <v>546</v>
      </c>
      <c r="AC7" s="1218" t="s">
        <v>638</v>
      </c>
      <c r="AD7" s="251"/>
      <c r="AE7" s="343"/>
      <c r="AF7" s="343"/>
      <c r="AG7" s="1288" t="s">
        <v>639</v>
      </c>
      <c r="AH7" s="1288"/>
      <c r="AI7" s="1288"/>
      <c r="AJ7" s="1288"/>
      <c r="AK7" s="1288"/>
      <c r="AL7" s="1288" t="s">
        <v>2327</v>
      </c>
      <c r="AM7" s="1431" t="s">
        <v>2328</v>
      </c>
      <c r="AN7" s="1432" t="s">
        <v>2353</v>
      </c>
      <c r="AO7" s="1431"/>
      <c r="AP7" s="1814" t="s">
        <v>2354</v>
      </c>
      <c r="AQ7" s="1432" t="s">
        <v>2332</v>
      </c>
      <c r="AR7" s="1432" t="s">
        <v>2333</v>
      </c>
      <c r="AS7" s="1432" t="s">
        <v>2334</v>
      </c>
      <c r="AT7" s="1432" t="s">
        <v>2335</v>
      </c>
      <c r="AU7" s="1432" t="s">
        <v>2336</v>
      </c>
      <c r="AV7" s="1432" t="s">
        <v>2337</v>
      </c>
      <c r="AW7" s="245"/>
    </row>
    <row r="8" spans="1:1025" ht="21" customHeight="1">
      <c r="A8" s="1217"/>
      <c r="B8" s="1218"/>
      <c r="C8" s="1217"/>
      <c r="D8" s="1217"/>
      <c r="E8" s="1217"/>
      <c r="F8" s="1217"/>
      <c r="G8" s="1217"/>
      <c r="H8" s="1217"/>
      <c r="I8" s="1217"/>
      <c r="J8" s="1217"/>
      <c r="K8" s="1217"/>
      <c r="L8" s="1217"/>
      <c r="M8" s="418" t="s">
        <v>146</v>
      </c>
      <c r="N8" s="419" t="s">
        <v>997</v>
      </c>
      <c r="O8" s="419" t="s">
        <v>65</v>
      </c>
      <c r="P8" s="419" t="s">
        <v>996</v>
      </c>
      <c r="Q8" s="781" t="s">
        <v>147</v>
      </c>
      <c r="R8" s="781" t="s">
        <v>148</v>
      </c>
      <c r="S8" s="255" t="s">
        <v>239</v>
      </c>
      <c r="T8" s="255" t="s">
        <v>242</v>
      </c>
      <c r="U8" s="781" t="s">
        <v>149</v>
      </c>
      <c r="V8" s="1217"/>
      <c r="W8" s="1217"/>
      <c r="X8" s="1217"/>
      <c r="Y8" s="1285"/>
      <c r="Z8" s="1217"/>
      <c r="AA8" s="1217"/>
      <c r="AB8" s="1218"/>
      <c r="AC8" s="1218"/>
      <c r="AD8" s="256"/>
      <c r="AE8" s="257" t="s">
        <v>642</v>
      </c>
      <c r="AF8" s="257" t="s">
        <v>264</v>
      </c>
      <c r="AG8" s="781" t="s">
        <v>147</v>
      </c>
      <c r="AH8" s="258" t="s">
        <v>265</v>
      </c>
      <c r="AI8" s="781" t="s">
        <v>148</v>
      </c>
      <c r="AJ8" s="255" t="s">
        <v>150</v>
      </c>
      <c r="AK8" s="781" t="s">
        <v>150</v>
      </c>
      <c r="AL8" s="1288"/>
      <c r="AM8" s="1431"/>
      <c r="AN8" s="1432"/>
      <c r="AO8" s="1432"/>
      <c r="AP8" s="1814"/>
      <c r="AQ8" s="1432"/>
      <c r="AR8" s="1432"/>
      <c r="AS8" s="1432"/>
      <c r="AT8" s="1432"/>
      <c r="AU8" s="1432"/>
      <c r="AV8" s="1432"/>
      <c r="AW8" s="245"/>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row>
    <row r="9" spans="1:1025" s="420" customFormat="1" ht="212.25">
      <c r="A9" s="799" t="s">
        <v>135</v>
      </c>
      <c r="B9" s="800" t="s">
        <v>1974</v>
      </c>
      <c r="C9" s="1813" t="s">
        <v>3173</v>
      </c>
      <c r="D9" s="1813"/>
      <c r="E9" s="1813"/>
      <c r="F9" s="789" t="s">
        <v>1156</v>
      </c>
      <c r="G9" s="1777" t="s">
        <v>3384</v>
      </c>
      <c r="H9" s="1777"/>
      <c r="I9" s="1777"/>
      <c r="J9" s="1811" t="s">
        <v>136</v>
      </c>
      <c r="K9" s="1811"/>
      <c r="L9" s="1811"/>
      <c r="M9" s="783" t="s">
        <v>8</v>
      </c>
      <c r="N9" s="783">
        <v>1</v>
      </c>
      <c r="O9" s="783"/>
      <c r="P9" s="783" t="s">
        <v>8</v>
      </c>
      <c r="Q9" s="789" t="s">
        <v>64</v>
      </c>
      <c r="R9" s="789" t="s">
        <v>643</v>
      </c>
      <c r="S9" s="806">
        <f>VLOOKUP(Q9,[74]Listas!$D$6:$E$10,2,0)</f>
        <v>3</v>
      </c>
      <c r="T9" s="806">
        <f>HLOOKUP(R9,[74]Listas!$F$4:$J$5,2,0)</f>
        <v>2</v>
      </c>
      <c r="U9" s="802" t="str">
        <f>INDEX([74]Listas!$F$6:$J$10,MATCH(Q9,[74]Listas!$D$6:$D$10,0),MATCH(R9,[74]Listas!$F$4:$J$4,0))</f>
        <v>6
MODERADO</v>
      </c>
      <c r="V9" s="1776" t="s">
        <v>3385</v>
      </c>
      <c r="W9" s="1776"/>
      <c r="X9" s="1776"/>
      <c r="Y9" s="1089" t="s">
        <v>4013</v>
      </c>
      <c r="Z9" s="788" t="s">
        <v>3174</v>
      </c>
      <c r="AA9" s="798" t="s">
        <v>3175</v>
      </c>
      <c r="AB9" s="783">
        <f>16+8+10+16+10+12</f>
        <v>72</v>
      </c>
      <c r="AC9" s="788" t="s">
        <v>152</v>
      </c>
      <c r="AD9" s="805"/>
      <c r="AE9" s="806">
        <f>IF(AB9&lt;=33,0,IF(AB9&gt;81,2,1))</f>
        <v>1</v>
      </c>
      <c r="AF9" s="806">
        <f>IF(OR(AC9="Probabilidad",AC9="Ambos"),S9-AE9,S9)</f>
        <v>2</v>
      </c>
      <c r="AG9" s="793" t="str">
        <f>IF(AF9&lt;=1,"Remota",VLOOKUP(AF9,[74]Listas!$C$6:$D$10,2,0))</f>
        <v>Baja</v>
      </c>
      <c r="AH9" s="806">
        <f>IF(OR(AC9="Impacto",AC9="Ambos"),T9-AE9,T9)</f>
        <v>1</v>
      </c>
      <c r="AI9" s="793" t="str">
        <f>IF(AH9&lt;=1,"Insignificante",HLOOKUP(AH9,[74]Listas!$F$3:$J$4,2,0))</f>
        <v>Insignificante</v>
      </c>
      <c r="AJ9" s="801">
        <f>AF9*AH9</f>
        <v>2</v>
      </c>
      <c r="AK9" s="802" t="str">
        <f>INDEX([74]Listas!$F$6:$J$10,MATCH(AG9,[74]Listas!$D$6:$D$10,0),MATCH(AI9,[74]Listas!$F$4:$J$4,0))</f>
        <v>2
INFERIOR</v>
      </c>
      <c r="AL9" s="808" t="s">
        <v>3386</v>
      </c>
      <c r="AM9" s="808" t="s">
        <v>3927</v>
      </c>
      <c r="AN9" s="808" t="s">
        <v>2573</v>
      </c>
      <c r="AO9" s="808" t="s">
        <v>3928</v>
      </c>
      <c r="AP9" s="808" t="s">
        <v>2573</v>
      </c>
      <c r="AQ9" s="532" t="s">
        <v>3248</v>
      </c>
      <c r="AR9" s="808" t="s">
        <v>2573</v>
      </c>
      <c r="AS9" s="808" t="s">
        <v>2573</v>
      </c>
      <c r="AT9" s="529" t="s">
        <v>2573</v>
      </c>
      <c r="AU9" s="529" t="s">
        <v>2573</v>
      </c>
      <c r="AV9" s="808" t="s">
        <v>2573</v>
      </c>
    </row>
    <row r="10" spans="1:1025" s="420" customFormat="1" ht="224.25">
      <c r="A10" s="1811" t="s">
        <v>135</v>
      </c>
      <c r="B10" s="1812" t="s">
        <v>1975</v>
      </c>
      <c r="C10" s="1813" t="s">
        <v>658</v>
      </c>
      <c r="D10" s="1813"/>
      <c r="E10" s="1813"/>
      <c r="F10" s="1356" t="s">
        <v>1157</v>
      </c>
      <c r="G10" s="1777" t="s">
        <v>130</v>
      </c>
      <c r="H10" s="1777"/>
      <c r="I10" s="1777"/>
      <c r="J10" s="1777" t="s">
        <v>3387</v>
      </c>
      <c r="K10" s="1777"/>
      <c r="L10" s="1777"/>
      <c r="M10" s="1320" t="s">
        <v>8</v>
      </c>
      <c r="N10" s="1320">
        <v>2</v>
      </c>
      <c r="O10" s="1320"/>
      <c r="P10" s="1320" t="s">
        <v>8</v>
      </c>
      <c r="Q10" s="1404" t="s">
        <v>655</v>
      </c>
      <c r="R10" s="1404" t="s">
        <v>274</v>
      </c>
      <c r="S10" s="1770">
        <f>VLOOKUP(Q10,[74]Listas!$D$6:$E$10,2,0)</f>
        <v>2</v>
      </c>
      <c r="T10" s="1770">
        <f>HLOOKUP(R10,[74]Listas!$F$4:$J$5,2,0)</f>
        <v>3</v>
      </c>
      <c r="U10" s="1766" t="str">
        <f>INDEX([74]Listas!$F$6:$J$10,MATCH(Q10,[74]Listas!$D$6:$D$10,0),MATCH(R10,[74]Listas!$F$4:$J$4,0))</f>
        <v>6
MODERADO</v>
      </c>
      <c r="V10" s="1776" t="s">
        <v>3388</v>
      </c>
      <c r="W10" s="1776" t="s">
        <v>126</v>
      </c>
      <c r="X10" s="1776" t="s">
        <v>126</v>
      </c>
      <c r="Y10" s="1780" t="s">
        <v>4013</v>
      </c>
      <c r="Z10" s="788" t="s">
        <v>1158</v>
      </c>
      <c r="AA10" s="807" t="s">
        <v>1159</v>
      </c>
      <c r="AB10" s="1320">
        <v>10</v>
      </c>
      <c r="AC10" s="1356" t="s">
        <v>152</v>
      </c>
      <c r="AD10" s="1769"/>
      <c r="AE10" s="1770">
        <f>IF(AB10&lt;=33,0,IF(AB10&gt;81,2,1))</f>
        <v>0</v>
      </c>
      <c r="AF10" s="1770">
        <f>IF(OR(AC10="Probabilidad",AC10="Ambos"),S10-AE10,S10)</f>
        <v>2</v>
      </c>
      <c r="AG10" s="1384" t="str">
        <f>IF(AF10&lt;=1,"Remota",VLOOKUP(AF10,[74]Listas!$C$6:$D$10,2,0))</f>
        <v>Baja</v>
      </c>
      <c r="AH10" s="1770">
        <f>IF(OR(AC10="Impacto",AC10="Ambos"),T10-AE10,T10)</f>
        <v>3</v>
      </c>
      <c r="AI10" s="1384" t="str">
        <f>IF(AH10&lt;=1,"Insignificante",HLOOKUP(AH10,[74]Listas!$F$3:$J$4,2,0))</f>
        <v>Moderado</v>
      </c>
      <c r="AJ10" s="1765">
        <f>AF10*AH10</f>
        <v>6</v>
      </c>
      <c r="AK10" s="1766" t="str">
        <f>INDEX([74]Listas!$F$6:$J$10,MATCH(AG10,[74]Listas!$D$6:$D$10,0),MATCH(AI10,[74]Listas!$F$4:$J$4,0))</f>
        <v>6
MODERADO</v>
      </c>
      <c r="AL10" s="1793" t="s">
        <v>3176</v>
      </c>
      <c r="AM10" s="1793" t="s">
        <v>3389</v>
      </c>
      <c r="AN10" s="1793" t="s">
        <v>3390</v>
      </c>
      <c r="AO10" s="1793" t="s">
        <v>3391</v>
      </c>
      <c r="AP10" s="1790" t="s">
        <v>3392</v>
      </c>
      <c r="AQ10" s="1809" t="s">
        <v>3248</v>
      </c>
      <c r="AR10" s="1790" t="s">
        <v>2573</v>
      </c>
      <c r="AS10" s="1790" t="s">
        <v>2573</v>
      </c>
      <c r="AT10" s="1790" t="s">
        <v>2573</v>
      </c>
      <c r="AU10" s="1790" t="s">
        <v>2573</v>
      </c>
      <c r="AV10" s="1790" t="s">
        <v>2573</v>
      </c>
    </row>
    <row r="11" spans="1:1025" s="420" customFormat="1" ht="204.75">
      <c r="A11" s="1811"/>
      <c r="B11" s="1812"/>
      <c r="C11" s="1813"/>
      <c r="D11" s="1813"/>
      <c r="E11" s="1813"/>
      <c r="F11" s="1356"/>
      <c r="G11" s="1777" t="s">
        <v>3177</v>
      </c>
      <c r="H11" s="1777"/>
      <c r="I11" s="1777"/>
      <c r="J11" s="1777"/>
      <c r="K11" s="1777"/>
      <c r="L11" s="1777"/>
      <c r="M11" s="1320"/>
      <c r="N11" s="1320"/>
      <c r="O11" s="1320"/>
      <c r="P11" s="1320"/>
      <c r="Q11" s="1404"/>
      <c r="R11" s="1404"/>
      <c r="S11" s="1770"/>
      <c r="T11" s="1770"/>
      <c r="U11" s="1766"/>
      <c r="V11" s="1776" t="s">
        <v>3178</v>
      </c>
      <c r="W11" s="1776"/>
      <c r="X11" s="1776"/>
      <c r="Y11" s="1782"/>
      <c r="Z11" s="788" t="s">
        <v>1160</v>
      </c>
      <c r="AA11" s="807" t="s">
        <v>1161</v>
      </c>
      <c r="AB11" s="1320"/>
      <c r="AC11" s="1356"/>
      <c r="AD11" s="1769"/>
      <c r="AE11" s="1770"/>
      <c r="AF11" s="1770"/>
      <c r="AG11" s="1384"/>
      <c r="AH11" s="1770"/>
      <c r="AI11" s="1384"/>
      <c r="AJ11" s="1765"/>
      <c r="AK11" s="1766"/>
      <c r="AL11" s="1795"/>
      <c r="AM11" s="1795"/>
      <c r="AN11" s="1795"/>
      <c r="AO11" s="1795"/>
      <c r="AP11" s="1792"/>
      <c r="AQ11" s="1810"/>
      <c r="AR11" s="1792"/>
      <c r="AS11" s="1792"/>
      <c r="AT11" s="1792"/>
      <c r="AU11" s="1792"/>
      <c r="AV11" s="1792"/>
    </row>
    <row r="12" spans="1:1025" s="420" customFormat="1" ht="200.25" customHeight="1">
      <c r="A12" s="1779" t="s">
        <v>135</v>
      </c>
      <c r="B12" s="1797" t="s">
        <v>1976</v>
      </c>
      <c r="C12" s="1800" t="s">
        <v>3393</v>
      </c>
      <c r="D12" s="1801"/>
      <c r="E12" s="1802"/>
      <c r="F12" s="1321" t="s">
        <v>1162</v>
      </c>
      <c r="G12" s="1777" t="s">
        <v>659</v>
      </c>
      <c r="H12" s="1777"/>
      <c r="I12" s="1777"/>
      <c r="J12" s="1777" t="s">
        <v>3929</v>
      </c>
      <c r="K12" s="1777"/>
      <c r="L12" s="1777"/>
      <c r="M12" s="1320" t="s">
        <v>8</v>
      </c>
      <c r="N12" s="1320">
        <v>1</v>
      </c>
      <c r="O12" s="1320"/>
      <c r="P12" s="1320" t="s">
        <v>8</v>
      </c>
      <c r="Q12" s="1404" t="s">
        <v>64</v>
      </c>
      <c r="R12" s="1404" t="s">
        <v>270</v>
      </c>
      <c r="S12" s="1770">
        <f>VLOOKUP(Q12,[74]Listas!$D$6:$E$10,2,0)</f>
        <v>3</v>
      </c>
      <c r="T12" s="1770">
        <f>HLOOKUP(R12,[74]Listas!$F$4:$J$5,2,0)</f>
        <v>4</v>
      </c>
      <c r="U12" s="1766" t="str">
        <f>INDEX([74]Listas!$F$6:$J$10,MATCH(Q12,[74]Listas!$D$6:$D$10,0),MATCH(R12,[74]Listas!$F$4:$J$4,0))</f>
        <v>12
ALTO</v>
      </c>
      <c r="V12" s="1776" t="s">
        <v>3394</v>
      </c>
      <c r="W12" s="1776" t="s">
        <v>127</v>
      </c>
      <c r="X12" s="1776" t="s">
        <v>127</v>
      </c>
      <c r="Y12" s="1780" t="s">
        <v>4013</v>
      </c>
      <c r="Z12" s="788" t="s">
        <v>1163</v>
      </c>
      <c r="AA12" s="807" t="s">
        <v>1164</v>
      </c>
      <c r="AB12" s="1320">
        <v>47</v>
      </c>
      <c r="AC12" s="1356" t="s">
        <v>152</v>
      </c>
      <c r="AD12" s="1769"/>
      <c r="AE12" s="1770">
        <f>IF(AB12&lt;=33,0,IF(AB12&gt;81,2,1))</f>
        <v>1</v>
      </c>
      <c r="AF12" s="1770">
        <f>IF(OR(AC12="Probabilidad",AC12="Ambos"),S12-AE12,S12)</f>
        <v>2</v>
      </c>
      <c r="AG12" s="1384" t="str">
        <f>IF(AF12&lt;=1,"Remota",VLOOKUP(AF12,[74]Listas!$C$6:$D$10,2,0))</f>
        <v>Baja</v>
      </c>
      <c r="AH12" s="1770">
        <f>IF(OR(AC12="Impacto",AC12="Ambos"),T12-AE12,T12)</f>
        <v>3</v>
      </c>
      <c r="AI12" s="1384" t="str">
        <f>IF(AH12&lt;=1,"Insignificante",HLOOKUP(AH12,[74]Listas!$F$3:$J$4,2,0))</f>
        <v>Moderado</v>
      </c>
      <c r="AJ12" s="1765">
        <f>AF12*AH12</f>
        <v>6</v>
      </c>
      <c r="AK12" s="1766" t="str">
        <f>INDEX([74]Listas!$F$6:$J$10,MATCH(AG12,[74]Listas!$D$6:$D$10,0),MATCH(AI12,[74]Listas!$F$4:$J$4,0))</f>
        <v>6
MODERADO</v>
      </c>
      <c r="AL12" s="1793" t="s">
        <v>3176</v>
      </c>
      <c r="AM12" s="1793" t="s">
        <v>3400</v>
      </c>
      <c r="AN12" s="1793" t="s">
        <v>3930</v>
      </c>
      <c r="AO12" s="1793" t="s">
        <v>3931</v>
      </c>
      <c r="AP12" s="1793" t="s">
        <v>3932</v>
      </c>
      <c r="AQ12" s="1790" t="s">
        <v>3933</v>
      </c>
      <c r="AR12" s="1793" t="s">
        <v>3934</v>
      </c>
      <c r="AS12" s="1793" t="s">
        <v>3935</v>
      </c>
      <c r="AT12" s="1796">
        <v>43708</v>
      </c>
      <c r="AU12" s="1796">
        <f>+AT12+30</f>
        <v>43738</v>
      </c>
      <c r="AV12" s="1793" t="s">
        <v>3936</v>
      </c>
    </row>
    <row r="13" spans="1:1025" s="420" customFormat="1" ht="209.25" customHeight="1">
      <c r="A13" s="1779"/>
      <c r="B13" s="1798"/>
      <c r="C13" s="1803"/>
      <c r="D13" s="1804"/>
      <c r="E13" s="1805"/>
      <c r="F13" s="1322"/>
      <c r="G13" s="1777" t="s">
        <v>129</v>
      </c>
      <c r="H13" s="1777"/>
      <c r="I13" s="1777"/>
      <c r="J13" s="1777"/>
      <c r="K13" s="1777"/>
      <c r="L13" s="1777"/>
      <c r="M13" s="1320"/>
      <c r="N13" s="1320"/>
      <c r="O13" s="1320"/>
      <c r="P13" s="1320"/>
      <c r="Q13" s="1404"/>
      <c r="R13" s="1404"/>
      <c r="S13" s="1770"/>
      <c r="T13" s="1770"/>
      <c r="U13" s="1766"/>
      <c r="V13" s="1776" t="s">
        <v>1165</v>
      </c>
      <c r="W13" s="1789" t="s">
        <v>126</v>
      </c>
      <c r="X13" s="1789" t="s">
        <v>126</v>
      </c>
      <c r="Y13" s="1781"/>
      <c r="Z13" s="788" t="s">
        <v>1166</v>
      </c>
      <c r="AA13" s="807" t="s">
        <v>1167</v>
      </c>
      <c r="AB13" s="1320"/>
      <c r="AC13" s="1356"/>
      <c r="AD13" s="1769"/>
      <c r="AE13" s="1770"/>
      <c r="AF13" s="1770"/>
      <c r="AG13" s="1384"/>
      <c r="AH13" s="1770"/>
      <c r="AI13" s="1384"/>
      <c r="AJ13" s="1765"/>
      <c r="AK13" s="1766"/>
      <c r="AL13" s="1794"/>
      <c r="AM13" s="1794"/>
      <c r="AN13" s="1794"/>
      <c r="AO13" s="1794"/>
      <c r="AP13" s="1794"/>
      <c r="AQ13" s="1791"/>
      <c r="AR13" s="1794"/>
      <c r="AS13" s="1794"/>
      <c r="AT13" s="1791"/>
      <c r="AU13" s="1791"/>
      <c r="AV13" s="1794"/>
    </row>
    <row r="14" spans="1:1025" s="420" customFormat="1" ht="97.5" customHeight="1">
      <c r="A14" s="1779"/>
      <c r="B14" s="1798"/>
      <c r="C14" s="1803"/>
      <c r="D14" s="1804"/>
      <c r="E14" s="1805"/>
      <c r="F14" s="1322"/>
      <c r="G14" s="1777" t="s">
        <v>128</v>
      </c>
      <c r="H14" s="1777"/>
      <c r="I14" s="1777"/>
      <c r="J14" s="1777"/>
      <c r="K14" s="1777"/>
      <c r="L14" s="1777"/>
      <c r="M14" s="1320"/>
      <c r="N14" s="1320"/>
      <c r="O14" s="1320"/>
      <c r="P14" s="1320"/>
      <c r="Q14" s="1404"/>
      <c r="R14" s="1404"/>
      <c r="S14" s="1770"/>
      <c r="T14" s="1770"/>
      <c r="U14" s="1766"/>
      <c r="V14" s="1775" t="s">
        <v>1168</v>
      </c>
      <c r="W14" s="1775"/>
      <c r="X14" s="1775"/>
      <c r="Y14" s="1781"/>
      <c r="Z14" s="788" t="s">
        <v>1169</v>
      </c>
      <c r="AA14" s="807" t="s">
        <v>1170</v>
      </c>
      <c r="AB14" s="1320"/>
      <c r="AC14" s="1356"/>
      <c r="AD14" s="1769"/>
      <c r="AE14" s="1770"/>
      <c r="AF14" s="1770"/>
      <c r="AG14" s="1384"/>
      <c r="AH14" s="1770"/>
      <c r="AI14" s="1384"/>
      <c r="AJ14" s="1765"/>
      <c r="AK14" s="1766"/>
      <c r="AL14" s="1794"/>
      <c r="AM14" s="1794"/>
      <c r="AN14" s="1794"/>
      <c r="AO14" s="1794"/>
      <c r="AP14" s="1794"/>
      <c r="AQ14" s="1791"/>
      <c r="AR14" s="1794"/>
      <c r="AS14" s="1794"/>
      <c r="AT14" s="1791"/>
      <c r="AU14" s="1791"/>
      <c r="AV14" s="1794"/>
    </row>
    <row r="15" spans="1:1025" s="420" customFormat="1" ht="97.5" customHeight="1">
      <c r="A15" s="1779"/>
      <c r="B15" s="1798"/>
      <c r="C15" s="1803"/>
      <c r="D15" s="1804"/>
      <c r="E15" s="1805"/>
      <c r="F15" s="1322"/>
      <c r="G15" s="1783" t="s">
        <v>3398</v>
      </c>
      <c r="H15" s="1784"/>
      <c r="I15" s="1785"/>
      <c r="J15" s="1777"/>
      <c r="K15" s="1777"/>
      <c r="L15" s="1777"/>
      <c r="M15" s="1320"/>
      <c r="N15" s="1320"/>
      <c r="O15" s="1320"/>
      <c r="P15" s="1320"/>
      <c r="Q15" s="1404"/>
      <c r="R15" s="1404"/>
      <c r="S15" s="1770"/>
      <c r="T15" s="1770"/>
      <c r="U15" s="1766"/>
      <c r="V15" s="1775" t="s">
        <v>3399</v>
      </c>
      <c r="W15" s="1775"/>
      <c r="X15" s="1775"/>
      <c r="Y15" s="1781"/>
      <c r="Z15" s="788" t="s">
        <v>1169</v>
      </c>
      <c r="AA15" s="807" t="s">
        <v>1159</v>
      </c>
      <c r="AB15" s="1320"/>
      <c r="AC15" s="1356"/>
      <c r="AD15" s="1769"/>
      <c r="AE15" s="1770"/>
      <c r="AF15" s="1770"/>
      <c r="AG15" s="1384"/>
      <c r="AH15" s="1770"/>
      <c r="AI15" s="1384"/>
      <c r="AJ15" s="1765"/>
      <c r="AK15" s="1766"/>
      <c r="AL15" s="1794"/>
      <c r="AM15" s="1794"/>
      <c r="AN15" s="1794"/>
      <c r="AO15" s="1794"/>
      <c r="AP15" s="1794"/>
      <c r="AQ15" s="1791"/>
      <c r="AR15" s="1794"/>
      <c r="AS15" s="1794"/>
      <c r="AT15" s="1791"/>
      <c r="AU15" s="1791"/>
      <c r="AV15" s="1794"/>
    </row>
    <row r="16" spans="1:1025" s="420" customFormat="1" ht="97.5" customHeight="1">
      <c r="A16" s="1779"/>
      <c r="B16" s="1798"/>
      <c r="C16" s="1803"/>
      <c r="D16" s="1804"/>
      <c r="E16" s="1805"/>
      <c r="F16" s="1322"/>
      <c r="G16" s="1783" t="s">
        <v>3402</v>
      </c>
      <c r="H16" s="1784"/>
      <c r="I16" s="1785"/>
      <c r="J16" s="1777"/>
      <c r="K16" s="1777"/>
      <c r="L16" s="1777"/>
      <c r="M16" s="1320"/>
      <c r="N16" s="1320"/>
      <c r="O16" s="1320"/>
      <c r="P16" s="1320"/>
      <c r="Q16" s="1404"/>
      <c r="R16" s="1404"/>
      <c r="S16" s="1770"/>
      <c r="T16" s="1770"/>
      <c r="U16" s="1766"/>
      <c r="V16" s="1775" t="s">
        <v>3403</v>
      </c>
      <c r="W16" s="1775"/>
      <c r="X16" s="1775"/>
      <c r="Y16" s="1781"/>
      <c r="Z16" s="788" t="s">
        <v>3937</v>
      </c>
      <c r="AA16" s="807" t="s">
        <v>1159</v>
      </c>
      <c r="AB16" s="1320"/>
      <c r="AC16" s="1356"/>
      <c r="AD16" s="1769"/>
      <c r="AE16" s="1770"/>
      <c r="AF16" s="1770"/>
      <c r="AG16" s="1384"/>
      <c r="AH16" s="1770"/>
      <c r="AI16" s="1384"/>
      <c r="AJ16" s="1765"/>
      <c r="AK16" s="1766"/>
      <c r="AL16" s="1794"/>
      <c r="AM16" s="1794"/>
      <c r="AN16" s="1794"/>
      <c r="AO16" s="1794"/>
      <c r="AP16" s="1794"/>
      <c r="AQ16" s="1791"/>
      <c r="AR16" s="1794"/>
      <c r="AS16" s="1794"/>
      <c r="AT16" s="1791"/>
      <c r="AU16" s="1791"/>
      <c r="AV16" s="1794"/>
    </row>
    <row r="17" spans="1:48" s="420" customFormat="1" ht="111.75" customHeight="1">
      <c r="A17" s="1779"/>
      <c r="B17" s="1798"/>
      <c r="C17" s="1803"/>
      <c r="D17" s="1804"/>
      <c r="E17" s="1805"/>
      <c r="F17" s="1322"/>
      <c r="G17" s="1777" t="s">
        <v>432</v>
      </c>
      <c r="H17" s="1777"/>
      <c r="I17" s="1777"/>
      <c r="J17" s="1777"/>
      <c r="K17" s="1777"/>
      <c r="L17" s="1777"/>
      <c r="M17" s="1320"/>
      <c r="N17" s="1320"/>
      <c r="O17" s="1320"/>
      <c r="P17" s="1320"/>
      <c r="Q17" s="1404"/>
      <c r="R17" s="1404"/>
      <c r="S17" s="1770"/>
      <c r="T17" s="1770"/>
      <c r="U17" s="1766"/>
      <c r="V17" s="1775" t="s">
        <v>1171</v>
      </c>
      <c r="W17" s="1775" t="s">
        <v>131</v>
      </c>
      <c r="X17" s="1775" t="s">
        <v>131</v>
      </c>
      <c r="Y17" s="1781"/>
      <c r="Z17" s="788" t="s">
        <v>1172</v>
      </c>
      <c r="AA17" s="807" t="s">
        <v>1173</v>
      </c>
      <c r="AB17" s="1320"/>
      <c r="AC17" s="1356"/>
      <c r="AD17" s="1769"/>
      <c r="AE17" s="1770"/>
      <c r="AF17" s="1770"/>
      <c r="AG17" s="1384"/>
      <c r="AH17" s="1770"/>
      <c r="AI17" s="1384"/>
      <c r="AJ17" s="1765"/>
      <c r="AK17" s="1766"/>
      <c r="AL17" s="1794"/>
      <c r="AM17" s="1794"/>
      <c r="AN17" s="1794"/>
      <c r="AO17" s="1794"/>
      <c r="AP17" s="1794"/>
      <c r="AQ17" s="1791"/>
      <c r="AR17" s="1794"/>
      <c r="AS17" s="1794"/>
      <c r="AT17" s="1791"/>
      <c r="AU17" s="1791"/>
      <c r="AV17" s="1794"/>
    </row>
    <row r="18" spans="1:48" s="420" customFormat="1" ht="154.5" customHeight="1">
      <c r="A18" s="803" t="s">
        <v>135</v>
      </c>
      <c r="B18" s="1799"/>
      <c r="C18" s="1806"/>
      <c r="D18" s="1807"/>
      <c r="E18" s="1808"/>
      <c r="F18" s="1515"/>
      <c r="G18" s="1783" t="s">
        <v>3404</v>
      </c>
      <c r="H18" s="1784"/>
      <c r="I18" s="1785"/>
      <c r="J18" s="1783"/>
      <c r="K18" s="1784"/>
      <c r="L18" s="1785"/>
      <c r="M18" s="784" t="s">
        <v>8</v>
      </c>
      <c r="N18" s="784">
        <v>2</v>
      </c>
      <c r="O18" s="784"/>
      <c r="P18" s="784" t="s">
        <v>8</v>
      </c>
      <c r="Q18" s="785" t="s">
        <v>648</v>
      </c>
      <c r="R18" s="785" t="s">
        <v>643</v>
      </c>
      <c r="S18" s="500">
        <f>VLOOKUP(Q18,[74]Listas!$D$6:$E$10,2,0)</f>
        <v>4</v>
      </c>
      <c r="T18" s="500">
        <f>HLOOKUP(R18,[74]Listas!$F$4:$J$5,2,0)</f>
        <v>2</v>
      </c>
      <c r="U18" s="498" t="str">
        <f>INDEX([74]Listas!$F$6:$J$10,MATCH(Q18,[74]Listas!$D$6:$D$10,0),MATCH(R18,[74]Listas!$F$4:$J$4,0))</f>
        <v>8
MODERADO</v>
      </c>
      <c r="V18" s="1786" t="s">
        <v>1174</v>
      </c>
      <c r="W18" s="1787"/>
      <c r="X18" s="1788"/>
      <c r="Y18" s="1782"/>
      <c r="Z18" s="788" t="s">
        <v>1175</v>
      </c>
      <c r="AA18" s="807" t="s">
        <v>1176</v>
      </c>
      <c r="AB18" s="784">
        <v>67</v>
      </c>
      <c r="AC18" s="786" t="s">
        <v>152</v>
      </c>
      <c r="AD18" s="499"/>
      <c r="AE18" s="500">
        <f>IF(AB18&lt;=33,0,IF(AB18&gt;81,2,1))</f>
        <v>1</v>
      </c>
      <c r="AF18" s="500">
        <f>IF(OR(AC18="Probabilidad",AC18="Ambos"),S18-AE18,S18)</f>
        <v>3</v>
      </c>
      <c r="AG18" s="787" t="str">
        <f>IF(AF18&lt;=1,"Remota",VLOOKUP(AF18,[74]Listas!$C$6:$D$10,2,0))</f>
        <v>Posible</v>
      </c>
      <c r="AH18" s="500">
        <f>IF(OR(AC18="Impacto",AC18="Ambos"),T18-AE18,T18)</f>
        <v>1</v>
      </c>
      <c r="AI18" s="787" t="str">
        <f>IF(AH18&lt;=1,"Insignificante",HLOOKUP(AH18,[74]Listas!$F$3:$J$4,2,0))</f>
        <v>Insignificante</v>
      </c>
      <c r="AJ18" s="496">
        <f>AF18*AH18</f>
        <v>3</v>
      </c>
      <c r="AK18" s="498" t="str">
        <f>INDEX([74]Listas!$F$6:$J$10,MATCH(AG18,[74]Listas!$D$6:$D$10,0),MATCH(AI18,[74]Listas!$F$4:$J$4,0))</f>
        <v>3
INFERIOR</v>
      </c>
      <c r="AL18" s="1795"/>
      <c r="AM18" s="1795"/>
      <c r="AN18" s="1795"/>
      <c r="AO18" s="1795"/>
      <c r="AP18" s="1795"/>
      <c r="AQ18" s="1792"/>
      <c r="AR18" s="1795"/>
      <c r="AS18" s="1795"/>
      <c r="AT18" s="1792"/>
      <c r="AU18" s="1792"/>
      <c r="AV18" s="1795"/>
    </row>
    <row r="19" spans="1:48" s="420" customFormat="1" ht="312.75" customHeight="1">
      <c r="A19" s="1779" t="s">
        <v>433</v>
      </c>
      <c r="B19" s="1778" t="s">
        <v>1978</v>
      </c>
      <c r="C19" s="1771" t="s">
        <v>660</v>
      </c>
      <c r="D19" s="1771"/>
      <c r="E19" s="1771"/>
      <c r="F19" s="1356" t="s">
        <v>1177</v>
      </c>
      <c r="G19" s="1777" t="s">
        <v>1178</v>
      </c>
      <c r="H19" s="1777"/>
      <c r="I19" s="1777"/>
      <c r="J19" s="1777" t="s">
        <v>3405</v>
      </c>
      <c r="K19" s="1777"/>
      <c r="L19" s="1777"/>
      <c r="M19" s="1320" t="s">
        <v>8</v>
      </c>
      <c r="N19" s="1320">
        <v>5</v>
      </c>
      <c r="O19" s="1320"/>
      <c r="P19" s="1320" t="s">
        <v>8</v>
      </c>
      <c r="Q19" s="1404" t="s">
        <v>64</v>
      </c>
      <c r="R19" s="1404" t="s">
        <v>643</v>
      </c>
      <c r="S19" s="1770">
        <f>VLOOKUP(Q19,[74]Listas!$D$6:$E$10,2,0)</f>
        <v>3</v>
      </c>
      <c r="T19" s="1770">
        <f>HLOOKUP(R19,[74]Listas!$F$4:$J$5,2,0)</f>
        <v>2</v>
      </c>
      <c r="U19" s="1766" t="str">
        <f>INDEX([74]Listas!$F$6:$J$10,MATCH(Q19,[74]Listas!$D$6:$D$10,0),MATCH(R19,[74]Listas!$F$4:$J$4,0))</f>
        <v>6
MODERADO</v>
      </c>
      <c r="V19" s="1776" t="s">
        <v>1179</v>
      </c>
      <c r="W19" s="1776" t="s">
        <v>127</v>
      </c>
      <c r="X19" s="1776" t="s">
        <v>127</v>
      </c>
      <c r="Y19" s="1780" t="s">
        <v>4013</v>
      </c>
      <c r="Z19" s="788" t="s">
        <v>1172</v>
      </c>
      <c r="AA19" s="807" t="s">
        <v>1180</v>
      </c>
      <c r="AB19" s="1320">
        <v>67</v>
      </c>
      <c r="AC19" s="1356" t="s">
        <v>152</v>
      </c>
      <c r="AD19" s="1769"/>
      <c r="AE19" s="1770">
        <f>IF(AB19&lt;=33,0,IF(AB19&gt;81,2,1))</f>
        <v>1</v>
      </c>
      <c r="AF19" s="1770">
        <f>IF(OR(AC19="Probabilidad",AC19="Ambos"),S19-AE19,S19)</f>
        <v>2</v>
      </c>
      <c r="AG19" s="1384" t="str">
        <f>IF(AF19&lt;=1,"Remota",VLOOKUP(AF19,[74]Listas!$C$6:$D$10,2,0))</f>
        <v>Baja</v>
      </c>
      <c r="AH19" s="1770">
        <f>IF(OR(AC19="Impacto",AC19="Ambos"),T19-AE19,T19)</f>
        <v>1</v>
      </c>
      <c r="AI19" s="1384" t="str">
        <f>IF(AH19&lt;=1,"Insignificante",HLOOKUP(AH19,[74]Listas!$F$3:$J$4,2,0))</f>
        <v>Insignificante</v>
      </c>
      <c r="AJ19" s="1765">
        <f>AF19*AH19</f>
        <v>2</v>
      </c>
      <c r="AK19" s="1766" t="str">
        <f>INDEX([74]Listas!$F$6:$J$10,MATCH(AG19,[74]Listas!$D$6:$D$10,0),MATCH(AI19,[74]Listas!$F$4:$J$4,0))</f>
        <v>2
INFERIOR</v>
      </c>
      <c r="AL19" s="808" t="s">
        <v>3406</v>
      </c>
      <c r="AM19" s="808" t="s">
        <v>3396</v>
      </c>
      <c r="AN19" s="808" t="s">
        <v>3397</v>
      </c>
      <c r="AO19" s="808" t="s">
        <v>3938</v>
      </c>
      <c r="AP19" s="808" t="s">
        <v>3395</v>
      </c>
      <c r="AQ19" s="530" t="s">
        <v>3248</v>
      </c>
      <c r="AR19" s="530" t="s">
        <v>2573</v>
      </c>
      <c r="AS19" s="530" t="s">
        <v>2573</v>
      </c>
      <c r="AT19" s="530" t="s">
        <v>2573</v>
      </c>
      <c r="AU19" s="530" t="s">
        <v>2573</v>
      </c>
      <c r="AV19" s="530" t="s">
        <v>2573</v>
      </c>
    </row>
    <row r="20" spans="1:48" s="420" customFormat="1" ht="94.5" customHeight="1">
      <c r="A20" s="1779"/>
      <c r="B20" s="1778"/>
      <c r="C20" s="1771"/>
      <c r="D20" s="1771"/>
      <c r="E20" s="1771"/>
      <c r="F20" s="1356"/>
      <c r="G20" s="1777" t="s">
        <v>3179</v>
      </c>
      <c r="H20" s="1777"/>
      <c r="I20" s="1777"/>
      <c r="J20" s="1777"/>
      <c r="K20" s="1777"/>
      <c r="L20" s="1777"/>
      <c r="M20" s="1320"/>
      <c r="N20" s="1320"/>
      <c r="O20" s="1320"/>
      <c r="P20" s="1320"/>
      <c r="Q20" s="1404"/>
      <c r="R20" s="1404"/>
      <c r="S20" s="1770"/>
      <c r="T20" s="1770"/>
      <c r="U20" s="1766"/>
      <c r="V20" s="1775" t="s">
        <v>3407</v>
      </c>
      <c r="W20" s="1775"/>
      <c r="X20" s="1775"/>
      <c r="Y20" s="1781"/>
      <c r="Z20" s="788" t="s">
        <v>1181</v>
      </c>
      <c r="AA20" s="807" t="s">
        <v>1182</v>
      </c>
      <c r="AB20" s="1320"/>
      <c r="AC20" s="1356"/>
      <c r="AD20" s="1769"/>
      <c r="AE20" s="1770"/>
      <c r="AF20" s="1770"/>
      <c r="AG20" s="1384"/>
      <c r="AH20" s="1770"/>
      <c r="AI20" s="1384"/>
      <c r="AJ20" s="1765"/>
      <c r="AK20" s="1766"/>
      <c r="AL20" s="808" t="s">
        <v>3408</v>
      </c>
      <c r="AM20" s="808" t="s">
        <v>3939</v>
      </c>
      <c r="AN20" s="808" t="s">
        <v>3401</v>
      </c>
      <c r="AO20" s="808" t="s">
        <v>3940</v>
      </c>
      <c r="AP20" s="808" t="s">
        <v>3395</v>
      </c>
      <c r="AQ20" s="530" t="s">
        <v>3248</v>
      </c>
      <c r="AR20" s="530" t="s">
        <v>2573</v>
      </c>
      <c r="AS20" s="530" t="s">
        <v>2573</v>
      </c>
      <c r="AT20" s="530" t="s">
        <v>2573</v>
      </c>
      <c r="AU20" s="530" t="s">
        <v>2573</v>
      </c>
      <c r="AV20" s="530" t="s">
        <v>2573</v>
      </c>
    </row>
    <row r="21" spans="1:48" s="420" customFormat="1" ht="199.5" customHeight="1">
      <c r="A21" s="1779"/>
      <c r="B21" s="1778"/>
      <c r="C21" s="1771"/>
      <c r="D21" s="1771"/>
      <c r="E21" s="1771"/>
      <c r="F21" s="1356"/>
      <c r="G21" s="1777" t="s">
        <v>3180</v>
      </c>
      <c r="H21" s="1777"/>
      <c r="I21" s="1777"/>
      <c r="J21" s="1777"/>
      <c r="K21" s="1777"/>
      <c r="L21" s="1777"/>
      <c r="M21" s="1320"/>
      <c r="N21" s="1320"/>
      <c r="O21" s="1320"/>
      <c r="P21" s="1320"/>
      <c r="Q21" s="1404"/>
      <c r="R21" s="1404"/>
      <c r="S21" s="1770"/>
      <c r="T21" s="1770"/>
      <c r="U21" s="1766"/>
      <c r="V21" s="1775" t="s">
        <v>3409</v>
      </c>
      <c r="W21" s="1775"/>
      <c r="X21" s="1775"/>
      <c r="Y21" s="1782"/>
      <c r="Z21" s="788" t="s">
        <v>1160</v>
      </c>
      <c r="AA21" s="807" t="s">
        <v>1183</v>
      </c>
      <c r="AB21" s="1320"/>
      <c r="AC21" s="1356"/>
      <c r="AD21" s="1769"/>
      <c r="AE21" s="1770"/>
      <c r="AF21" s="1770"/>
      <c r="AG21" s="1384"/>
      <c r="AH21" s="1770"/>
      <c r="AI21" s="1384"/>
      <c r="AJ21" s="1765"/>
      <c r="AK21" s="1766"/>
      <c r="AL21" s="808" t="s">
        <v>3181</v>
      </c>
      <c r="AM21" s="808" t="s">
        <v>3410</v>
      </c>
      <c r="AN21" s="808" t="s">
        <v>3941</v>
      </c>
      <c r="AO21" s="808" t="s">
        <v>3942</v>
      </c>
      <c r="AP21" s="808" t="s">
        <v>3395</v>
      </c>
      <c r="AQ21" s="530" t="s">
        <v>3248</v>
      </c>
      <c r="AR21" s="530" t="s">
        <v>2573</v>
      </c>
      <c r="AS21" s="530" t="s">
        <v>2573</v>
      </c>
      <c r="AT21" s="530" t="s">
        <v>2573</v>
      </c>
      <c r="AU21" s="530" t="s">
        <v>2573</v>
      </c>
      <c r="AV21" s="530" t="s">
        <v>2573</v>
      </c>
    </row>
    <row r="22" spans="1:48" s="420" customFormat="1" ht="202.5" customHeight="1">
      <c r="A22" s="1777" t="s">
        <v>124</v>
      </c>
      <c r="B22" s="1778" t="s">
        <v>1979</v>
      </c>
      <c r="C22" s="1771" t="s">
        <v>227</v>
      </c>
      <c r="D22" s="1771"/>
      <c r="E22" s="1771"/>
      <c r="F22" s="1356" t="s">
        <v>1177</v>
      </c>
      <c r="G22" s="1775" t="s">
        <v>3943</v>
      </c>
      <c r="H22" s="1775"/>
      <c r="I22" s="1775"/>
      <c r="J22" s="1777" t="s">
        <v>3411</v>
      </c>
      <c r="K22" s="1777"/>
      <c r="L22" s="1777"/>
      <c r="M22" s="1320" t="s">
        <v>8</v>
      </c>
      <c r="N22" s="1320">
        <v>1</v>
      </c>
      <c r="O22" s="1320"/>
      <c r="P22" s="1320" t="s">
        <v>8</v>
      </c>
      <c r="Q22" s="1404" t="s">
        <v>654</v>
      </c>
      <c r="R22" s="1404" t="s">
        <v>643</v>
      </c>
      <c r="S22" s="1770">
        <f>VLOOKUP(Q22,[74]Listas!$D$6:$E$10,2,0)</f>
        <v>1</v>
      </c>
      <c r="T22" s="1770">
        <f>HLOOKUP(R22,[74]Listas!$F$4:$J$5,2,0)</f>
        <v>2</v>
      </c>
      <c r="U22" s="1766" t="str">
        <f>INDEX([74]Listas!$F$6:$J$10,MATCH(Q22,[74]Listas!$D$6:$D$10,0),MATCH(R22,[74]Listas!$F$4:$J$4,0))</f>
        <v>2
INFERIOR</v>
      </c>
      <c r="V22" s="1775" t="s">
        <v>3944</v>
      </c>
      <c r="W22" s="1775"/>
      <c r="X22" s="1775"/>
      <c r="Y22" s="1780" t="s">
        <v>4013</v>
      </c>
      <c r="Z22" s="788" t="s">
        <v>1160</v>
      </c>
      <c r="AA22" s="807" t="s">
        <v>1184</v>
      </c>
      <c r="AB22" s="1320">
        <v>79</v>
      </c>
      <c r="AC22" s="1356" t="s">
        <v>152</v>
      </c>
      <c r="AD22" s="1769"/>
      <c r="AE22" s="1770">
        <f>IF(AB22&lt;=33,0,IF(AB22&gt;81,2,1))</f>
        <v>1</v>
      </c>
      <c r="AF22" s="1770">
        <f>IF(OR(AC22="Probabilidad",AC22="Ambos"),S22-AE22,S22)</f>
        <v>0</v>
      </c>
      <c r="AG22" s="1384" t="str">
        <f>IF(AF22&lt;=1,"Remota",VLOOKUP(AF22,[74]Listas!$C$6:$D$10,2,0))</f>
        <v>Remota</v>
      </c>
      <c r="AH22" s="1770">
        <f>IF(OR(AC22="Impacto",AC22="Ambos"),T22-AE22,T22)</f>
        <v>1</v>
      </c>
      <c r="AI22" s="1384" t="str">
        <f>IF(AH22&lt;=1,"Insignificante",HLOOKUP(AH22,[74]Listas!$F$3:$J$4,2,0))</f>
        <v>Insignificante</v>
      </c>
      <c r="AJ22" s="1765">
        <f>AF22*AH22</f>
        <v>0</v>
      </c>
      <c r="AK22" s="1766" t="str">
        <f>INDEX([74]Listas!$F$6:$J$10,MATCH(AG22,[74]Listas!$D$6:$D$10,0),MATCH(AI22,[74]Listas!$F$4:$J$4,0))</f>
        <v>1
INFERIOR</v>
      </c>
      <c r="AL22" s="808" t="s">
        <v>3182</v>
      </c>
      <c r="AM22" s="1774" t="s">
        <v>3412</v>
      </c>
      <c r="AN22" s="808" t="s">
        <v>2573</v>
      </c>
      <c r="AO22" s="421" t="s">
        <v>2573</v>
      </c>
      <c r="AP22" s="531" t="s">
        <v>3395</v>
      </c>
      <c r="AQ22" s="532" t="s">
        <v>3248</v>
      </c>
      <c r="AR22" s="530" t="s">
        <v>2573</v>
      </c>
      <c r="AS22" s="530" t="s">
        <v>2573</v>
      </c>
      <c r="AT22" s="530" t="s">
        <v>2573</v>
      </c>
      <c r="AU22" s="530" t="s">
        <v>2573</v>
      </c>
      <c r="AV22" s="530" t="s">
        <v>2573</v>
      </c>
    </row>
    <row r="23" spans="1:48" s="420" customFormat="1" ht="174.75" customHeight="1">
      <c r="A23" s="1777"/>
      <c r="B23" s="1778"/>
      <c r="C23" s="1771"/>
      <c r="D23" s="1771"/>
      <c r="E23" s="1771"/>
      <c r="F23" s="1356"/>
      <c r="G23" s="1775" t="s">
        <v>3183</v>
      </c>
      <c r="H23" s="1775"/>
      <c r="I23" s="1775"/>
      <c r="J23" s="1777"/>
      <c r="K23" s="1777"/>
      <c r="L23" s="1777"/>
      <c r="M23" s="1320"/>
      <c r="N23" s="1320"/>
      <c r="O23" s="1320"/>
      <c r="P23" s="1320"/>
      <c r="Q23" s="1404"/>
      <c r="R23" s="1404"/>
      <c r="S23" s="1770"/>
      <c r="T23" s="1770"/>
      <c r="U23" s="1766"/>
      <c r="V23" s="1776" t="s">
        <v>3413</v>
      </c>
      <c r="W23" s="1776" t="s">
        <v>126</v>
      </c>
      <c r="X23" s="1776" t="s">
        <v>126</v>
      </c>
      <c r="Y23" s="1781"/>
      <c r="Z23" s="788" t="s">
        <v>1185</v>
      </c>
      <c r="AA23" s="807" t="s">
        <v>3184</v>
      </c>
      <c r="AB23" s="1320"/>
      <c r="AC23" s="1356"/>
      <c r="AD23" s="1769"/>
      <c r="AE23" s="1770"/>
      <c r="AF23" s="1770"/>
      <c r="AG23" s="1384"/>
      <c r="AH23" s="1770"/>
      <c r="AI23" s="1384"/>
      <c r="AJ23" s="1765"/>
      <c r="AK23" s="1766"/>
      <c r="AL23" s="808" t="s">
        <v>3182</v>
      </c>
      <c r="AM23" s="1774"/>
      <c r="AN23" s="808" t="s">
        <v>2573</v>
      </c>
      <c r="AO23" s="421" t="s">
        <v>2573</v>
      </c>
      <c r="AP23" s="808" t="s">
        <v>3395</v>
      </c>
      <c r="AQ23" s="532" t="s">
        <v>3248</v>
      </c>
      <c r="AR23" s="530" t="s">
        <v>2573</v>
      </c>
      <c r="AS23" s="530" t="s">
        <v>2573</v>
      </c>
      <c r="AT23" s="530" t="s">
        <v>2573</v>
      </c>
      <c r="AU23" s="530" t="s">
        <v>2573</v>
      </c>
      <c r="AV23" s="530" t="s">
        <v>2573</v>
      </c>
    </row>
    <row r="24" spans="1:48" s="420" customFormat="1" ht="98.25" customHeight="1">
      <c r="A24" s="1777"/>
      <c r="B24" s="1778"/>
      <c r="C24" s="1771"/>
      <c r="D24" s="1771"/>
      <c r="E24" s="1771"/>
      <c r="F24" s="1356"/>
      <c r="G24" s="1775" t="s">
        <v>3414</v>
      </c>
      <c r="H24" s="1775"/>
      <c r="I24" s="1775"/>
      <c r="J24" s="1777"/>
      <c r="K24" s="1777"/>
      <c r="L24" s="1777"/>
      <c r="M24" s="1320"/>
      <c r="N24" s="1320"/>
      <c r="O24" s="1320"/>
      <c r="P24" s="1320"/>
      <c r="Q24" s="1404"/>
      <c r="R24" s="1404"/>
      <c r="S24" s="1770"/>
      <c r="T24" s="1770"/>
      <c r="U24" s="1766"/>
      <c r="V24" s="1775" t="s">
        <v>3415</v>
      </c>
      <c r="W24" s="1775"/>
      <c r="X24" s="1775"/>
      <c r="Y24" s="1782"/>
      <c r="Z24" s="788" t="s">
        <v>1186</v>
      </c>
      <c r="AA24" s="807" t="s">
        <v>3185</v>
      </c>
      <c r="AB24" s="1320"/>
      <c r="AC24" s="1356"/>
      <c r="AD24" s="1769"/>
      <c r="AE24" s="1770"/>
      <c r="AF24" s="1770"/>
      <c r="AG24" s="1384"/>
      <c r="AH24" s="1770"/>
      <c r="AI24" s="1384"/>
      <c r="AJ24" s="1765"/>
      <c r="AK24" s="1766"/>
      <c r="AL24" s="808" t="s">
        <v>3182</v>
      </c>
      <c r="AM24" s="1774"/>
      <c r="AN24" s="808" t="s">
        <v>2573</v>
      </c>
      <c r="AO24" s="421" t="s">
        <v>2573</v>
      </c>
      <c r="AP24" s="808" t="s">
        <v>3395</v>
      </c>
      <c r="AQ24" s="532" t="s">
        <v>3248</v>
      </c>
      <c r="AR24" s="530" t="s">
        <v>2573</v>
      </c>
      <c r="AS24" s="530" t="s">
        <v>2573</v>
      </c>
      <c r="AT24" s="530" t="s">
        <v>2573</v>
      </c>
      <c r="AU24" s="530" t="s">
        <v>2573</v>
      </c>
      <c r="AV24" s="530" t="s">
        <v>2573</v>
      </c>
    </row>
    <row r="25" spans="1:48" s="420" customFormat="1" ht="99.75" customHeight="1">
      <c r="A25" s="1772" t="s">
        <v>1187</v>
      </c>
      <c r="B25" s="1773" t="s">
        <v>1188</v>
      </c>
      <c r="C25" s="1771" t="s">
        <v>1189</v>
      </c>
      <c r="D25" s="1771"/>
      <c r="E25" s="1771"/>
      <c r="F25" s="1356" t="s">
        <v>1190</v>
      </c>
      <c r="G25" s="1767" t="s">
        <v>992</v>
      </c>
      <c r="H25" s="1767"/>
      <c r="I25" s="1767"/>
      <c r="J25" s="1772" t="s">
        <v>1191</v>
      </c>
      <c r="K25" s="1772"/>
      <c r="L25" s="1772"/>
      <c r="M25" s="1320"/>
      <c r="N25" s="1320"/>
      <c r="O25" s="1320" t="s">
        <v>8</v>
      </c>
      <c r="P25" s="1320"/>
      <c r="Q25" s="1404" t="s">
        <v>64</v>
      </c>
      <c r="R25" s="1404" t="s">
        <v>661</v>
      </c>
      <c r="S25" s="1770">
        <f>VLOOKUP(Q25,[74]Listas!$D$6:$E$10,2,0)</f>
        <v>3</v>
      </c>
      <c r="T25" s="1770">
        <f>HLOOKUP(R25,[74]Listas!$F$4:$J$5,2,0)</f>
        <v>1</v>
      </c>
      <c r="U25" s="1766" t="str">
        <f>INDEX([74]Listas!$F$6:$J$10,MATCH(Q25,[74]Listas!$D$6:$D$10,0),MATCH(R25,[74]Listas!$F$4:$J$4,0))</f>
        <v>3
INFERIOR</v>
      </c>
      <c r="V25" s="1768" t="s">
        <v>3945</v>
      </c>
      <c r="W25" s="1768"/>
      <c r="X25" s="1768"/>
      <c r="Y25" s="1332" t="s">
        <v>4183</v>
      </c>
      <c r="Z25" s="788" t="s">
        <v>28</v>
      </c>
      <c r="AA25" s="422" t="s">
        <v>1192</v>
      </c>
      <c r="AB25" s="1320">
        <v>54</v>
      </c>
      <c r="AC25" s="1356" t="s">
        <v>153</v>
      </c>
      <c r="AD25" s="1769"/>
      <c r="AE25" s="1770">
        <f>IF(AB25&lt;=33,0,IF(AB25&gt;81,2,1))</f>
        <v>1</v>
      </c>
      <c r="AF25" s="1770">
        <f>IF(OR(AC25="Probabilidad",AC25="Ambos"),S25-AE25,S25)</f>
        <v>2</v>
      </c>
      <c r="AG25" s="1384" t="str">
        <f>IF(AF25&lt;=1,"Remota",VLOOKUP(AF25,[74]Listas!$C$6:$D$10,2,0))</f>
        <v>Baja</v>
      </c>
      <c r="AH25" s="1770">
        <f>IF(OR(AC25="Impacto",AC25="Ambos"),T25-AE25,T25)</f>
        <v>1</v>
      </c>
      <c r="AI25" s="1384" t="str">
        <f>IF(AH25&lt;=1,"Insignificante",HLOOKUP(AH25,[74]Listas!$F$3:$J$4,2,0))</f>
        <v>Insignificante</v>
      </c>
      <c r="AJ25" s="1765">
        <f>AF25*AH25</f>
        <v>2</v>
      </c>
      <c r="AK25" s="1766" t="str">
        <f>INDEX([74]Listas!$F$6:$J$10,MATCH(AG25,[74]Listas!$D$6:$D$10,0),MATCH(AI25,[74]Listas!$F$4:$J$4,0))</f>
        <v>2
INFERIOR</v>
      </c>
      <c r="AL25" s="1774" t="s">
        <v>3186</v>
      </c>
      <c r="AM25" s="1774" t="s">
        <v>3187</v>
      </c>
      <c r="AN25" s="808" t="s">
        <v>2573</v>
      </c>
      <c r="AO25" s="421" t="s">
        <v>2573</v>
      </c>
      <c r="AP25" s="808" t="s">
        <v>3395</v>
      </c>
      <c r="AQ25" s="532" t="s">
        <v>3248</v>
      </c>
      <c r="AR25" s="530" t="s">
        <v>2573</v>
      </c>
      <c r="AS25" s="530" t="s">
        <v>2573</v>
      </c>
      <c r="AT25" s="530" t="s">
        <v>2573</v>
      </c>
      <c r="AU25" s="530" t="s">
        <v>2573</v>
      </c>
      <c r="AV25" s="530" t="s">
        <v>2573</v>
      </c>
    </row>
    <row r="26" spans="1:48" s="420" customFormat="1" ht="99.75" customHeight="1">
      <c r="A26" s="1772"/>
      <c r="B26" s="1773"/>
      <c r="C26" s="1771"/>
      <c r="D26" s="1771"/>
      <c r="E26" s="1771"/>
      <c r="F26" s="1356"/>
      <c r="G26" s="1767" t="s">
        <v>1096</v>
      </c>
      <c r="H26" s="1767"/>
      <c r="I26" s="1767"/>
      <c r="J26" s="1772"/>
      <c r="K26" s="1772"/>
      <c r="L26" s="1772"/>
      <c r="M26" s="1320"/>
      <c r="N26" s="1320"/>
      <c r="O26" s="1320"/>
      <c r="P26" s="1320"/>
      <c r="Q26" s="1404"/>
      <c r="R26" s="1404"/>
      <c r="S26" s="1770"/>
      <c r="T26" s="1770"/>
      <c r="U26" s="1766"/>
      <c r="V26" s="1768" t="s">
        <v>3946</v>
      </c>
      <c r="W26" s="1768"/>
      <c r="X26" s="1768"/>
      <c r="Y26" s="1333"/>
      <c r="Z26" s="788" t="s">
        <v>28</v>
      </c>
      <c r="AA26" s="422" t="s">
        <v>1192</v>
      </c>
      <c r="AB26" s="1320"/>
      <c r="AC26" s="1356"/>
      <c r="AD26" s="1769"/>
      <c r="AE26" s="1770"/>
      <c r="AF26" s="1770"/>
      <c r="AG26" s="1384"/>
      <c r="AH26" s="1770"/>
      <c r="AI26" s="1384"/>
      <c r="AJ26" s="1765"/>
      <c r="AK26" s="1766"/>
      <c r="AL26" s="1774"/>
      <c r="AM26" s="1774"/>
      <c r="AN26" s="808" t="s">
        <v>2573</v>
      </c>
      <c r="AO26" s="421" t="s">
        <v>2573</v>
      </c>
      <c r="AP26" s="808" t="s">
        <v>3395</v>
      </c>
      <c r="AQ26" s="532" t="s">
        <v>3248</v>
      </c>
      <c r="AR26" s="530" t="s">
        <v>2573</v>
      </c>
      <c r="AS26" s="530" t="s">
        <v>2573</v>
      </c>
      <c r="AT26" s="530" t="s">
        <v>2573</v>
      </c>
      <c r="AU26" s="530" t="s">
        <v>2573</v>
      </c>
      <c r="AV26" s="530" t="s">
        <v>2573</v>
      </c>
    </row>
    <row r="27" spans="1:48" s="420" customFormat="1" ht="99.75" customHeight="1">
      <c r="A27" s="1772"/>
      <c r="B27" s="1773"/>
      <c r="C27" s="1771"/>
      <c r="D27" s="1771"/>
      <c r="E27" s="1771"/>
      <c r="F27" s="1356"/>
      <c r="G27" s="1767" t="s">
        <v>1193</v>
      </c>
      <c r="H27" s="1767"/>
      <c r="I27" s="1767"/>
      <c r="J27" s="1772"/>
      <c r="K27" s="1772"/>
      <c r="L27" s="1772"/>
      <c r="M27" s="1320"/>
      <c r="N27" s="1320"/>
      <c r="O27" s="1320"/>
      <c r="P27" s="1320"/>
      <c r="Q27" s="1404"/>
      <c r="R27" s="1404"/>
      <c r="S27" s="1770"/>
      <c r="T27" s="1770"/>
      <c r="U27" s="1766"/>
      <c r="V27" s="1768" t="s">
        <v>3946</v>
      </c>
      <c r="W27" s="1768"/>
      <c r="X27" s="1768"/>
      <c r="Y27" s="1333"/>
      <c r="Z27" s="788" t="s">
        <v>28</v>
      </c>
      <c r="AA27" s="422" t="s">
        <v>1192</v>
      </c>
      <c r="AB27" s="1320"/>
      <c r="AC27" s="1356"/>
      <c r="AD27" s="1769"/>
      <c r="AE27" s="1770"/>
      <c r="AF27" s="1770"/>
      <c r="AG27" s="1384"/>
      <c r="AH27" s="1770"/>
      <c r="AI27" s="1384"/>
      <c r="AJ27" s="1765"/>
      <c r="AK27" s="1766"/>
      <c r="AL27" s="1774"/>
      <c r="AM27" s="1774"/>
      <c r="AN27" s="808" t="s">
        <v>2573</v>
      </c>
      <c r="AO27" s="421" t="s">
        <v>2573</v>
      </c>
      <c r="AP27" s="808" t="s">
        <v>3395</v>
      </c>
      <c r="AQ27" s="532" t="s">
        <v>3248</v>
      </c>
      <c r="AR27" s="530" t="s">
        <v>2573</v>
      </c>
      <c r="AS27" s="530" t="s">
        <v>2573</v>
      </c>
      <c r="AT27" s="530" t="s">
        <v>2573</v>
      </c>
      <c r="AU27" s="530" t="s">
        <v>2573</v>
      </c>
      <c r="AV27" s="530" t="s">
        <v>2573</v>
      </c>
    </row>
    <row r="28" spans="1:48" s="420" customFormat="1" ht="99.75" customHeight="1">
      <c r="A28" s="1772"/>
      <c r="B28" s="1773"/>
      <c r="C28" s="1771"/>
      <c r="D28" s="1771"/>
      <c r="E28" s="1771"/>
      <c r="F28" s="1356"/>
      <c r="G28" s="1767" t="s">
        <v>3947</v>
      </c>
      <c r="H28" s="1767"/>
      <c r="I28" s="1767"/>
      <c r="J28" s="1772"/>
      <c r="K28" s="1772"/>
      <c r="L28" s="1772"/>
      <c r="M28" s="1320"/>
      <c r="N28" s="1320"/>
      <c r="O28" s="1320"/>
      <c r="P28" s="1320"/>
      <c r="Q28" s="1404"/>
      <c r="R28" s="1404"/>
      <c r="S28" s="1770"/>
      <c r="T28" s="1770"/>
      <c r="U28" s="1766"/>
      <c r="V28" s="1768" t="s">
        <v>3948</v>
      </c>
      <c r="W28" s="1768"/>
      <c r="X28" s="1768"/>
      <c r="Y28" s="1333"/>
      <c r="Z28" s="788" t="s">
        <v>1194</v>
      </c>
      <c r="AA28" s="422" t="s">
        <v>3188</v>
      </c>
      <c r="AB28" s="1320"/>
      <c r="AC28" s="1356"/>
      <c r="AD28" s="1769"/>
      <c r="AE28" s="1770"/>
      <c r="AF28" s="1770"/>
      <c r="AG28" s="1384"/>
      <c r="AH28" s="1770"/>
      <c r="AI28" s="1384"/>
      <c r="AJ28" s="1765"/>
      <c r="AK28" s="1766"/>
      <c r="AL28" s="1774"/>
      <c r="AM28" s="1774"/>
      <c r="AN28" s="808" t="s">
        <v>2573</v>
      </c>
      <c r="AO28" s="421" t="s">
        <v>2573</v>
      </c>
      <c r="AP28" s="808" t="s">
        <v>3395</v>
      </c>
      <c r="AQ28" s="532" t="s">
        <v>3248</v>
      </c>
      <c r="AR28" s="530" t="s">
        <v>2573</v>
      </c>
      <c r="AS28" s="530" t="s">
        <v>2573</v>
      </c>
      <c r="AT28" s="530" t="s">
        <v>2573</v>
      </c>
      <c r="AU28" s="530" t="s">
        <v>2573</v>
      </c>
      <c r="AV28" s="530" t="s">
        <v>2573</v>
      </c>
    </row>
    <row r="29" spans="1:48" s="420" customFormat="1" ht="99.75" customHeight="1">
      <c r="A29" s="1772"/>
      <c r="B29" s="1773"/>
      <c r="C29" s="1771"/>
      <c r="D29" s="1771"/>
      <c r="E29" s="1771"/>
      <c r="F29" s="1356"/>
      <c r="G29" s="1767" t="s">
        <v>3949</v>
      </c>
      <c r="H29" s="1767"/>
      <c r="I29" s="1767"/>
      <c r="J29" s="1772"/>
      <c r="K29" s="1772"/>
      <c r="L29" s="1772"/>
      <c r="M29" s="1320"/>
      <c r="N29" s="1320"/>
      <c r="O29" s="1320"/>
      <c r="P29" s="1320"/>
      <c r="Q29" s="1404"/>
      <c r="R29" s="1404"/>
      <c r="S29" s="1770"/>
      <c r="T29" s="1770"/>
      <c r="U29" s="1766"/>
      <c r="V29" s="1768" t="s">
        <v>3948</v>
      </c>
      <c r="W29" s="1768"/>
      <c r="X29" s="1768"/>
      <c r="Y29" s="1402"/>
      <c r="Z29" s="788" t="s">
        <v>1194</v>
      </c>
      <c r="AA29" s="422" t="s">
        <v>3188</v>
      </c>
      <c r="AB29" s="1320"/>
      <c r="AC29" s="1356"/>
      <c r="AD29" s="1769"/>
      <c r="AE29" s="1770"/>
      <c r="AF29" s="1770"/>
      <c r="AG29" s="1384"/>
      <c r="AH29" s="1770"/>
      <c r="AI29" s="1384"/>
      <c r="AJ29" s="1765"/>
      <c r="AK29" s="1766"/>
      <c r="AL29" s="1774"/>
      <c r="AM29" s="1774"/>
      <c r="AN29" s="808" t="s">
        <v>2573</v>
      </c>
      <c r="AO29" s="421" t="s">
        <v>2573</v>
      </c>
      <c r="AP29" s="808" t="s">
        <v>3395</v>
      </c>
      <c r="AQ29" s="532" t="s">
        <v>3248</v>
      </c>
      <c r="AR29" s="530" t="s">
        <v>2573</v>
      </c>
      <c r="AS29" s="530" t="s">
        <v>2573</v>
      </c>
      <c r="AT29" s="530" t="s">
        <v>2573</v>
      </c>
      <c r="AU29" s="530" t="s">
        <v>2573</v>
      </c>
      <c r="AV29" s="530" t="s">
        <v>2573</v>
      </c>
    </row>
    <row r="30" spans="1:48" s="420" customFormat="1" ht="175.5" customHeight="1">
      <c r="A30" s="804" t="s">
        <v>1187</v>
      </c>
      <c r="B30" s="1114" t="s">
        <v>1195</v>
      </c>
      <c r="C30" s="1771" t="s">
        <v>982</v>
      </c>
      <c r="D30" s="1771"/>
      <c r="E30" s="1771"/>
      <c r="F30" s="788" t="str">
        <f>+F25</f>
        <v>DTC - STEST - STESV - STRF - STRH - STRT</v>
      </c>
      <c r="G30" s="1767" t="s">
        <v>981</v>
      </c>
      <c r="H30" s="1767"/>
      <c r="I30" s="1767"/>
      <c r="J30" s="1772" t="s">
        <v>1196</v>
      </c>
      <c r="K30" s="1772"/>
      <c r="L30" s="1772"/>
      <c r="M30" s="783"/>
      <c r="N30" s="783"/>
      <c r="O30" s="783" t="s">
        <v>8</v>
      </c>
      <c r="P30" s="783"/>
      <c r="Q30" s="789" t="s">
        <v>655</v>
      </c>
      <c r="R30" s="789" t="s">
        <v>661</v>
      </c>
      <c r="S30" s="806">
        <f>VLOOKUP(Q30,[74]Listas!$D$6:$E$10,2,0)</f>
        <v>2</v>
      </c>
      <c r="T30" s="806">
        <f>HLOOKUP(R30,[74]Listas!$F$4:$J$5,2,0)</f>
        <v>1</v>
      </c>
      <c r="U30" s="802" t="str">
        <f>INDEX([74]Listas!$F$6:$J$10,MATCH(Q30,[74]Listas!$D$6:$D$10,0),MATCH(R30,[74]Listas!$F$4:$J$4,0))</f>
        <v>2
INFERIOR</v>
      </c>
      <c r="V30" s="1768" t="s">
        <v>3948</v>
      </c>
      <c r="W30" s="1768"/>
      <c r="X30" s="1768"/>
      <c r="Y30" s="1091" t="s">
        <v>4180</v>
      </c>
      <c r="Z30" s="788" t="s">
        <v>1194</v>
      </c>
      <c r="AA30" s="422" t="s">
        <v>3188</v>
      </c>
      <c r="AB30" s="783">
        <v>54</v>
      </c>
      <c r="AC30" s="788" t="s">
        <v>153</v>
      </c>
      <c r="AD30" s="805"/>
      <c r="AE30" s="806">
        <f>IF(AB30&lt;=33,0,IF(AB30&gt;81,2,1))</f>
        <v>1</v>
      </c>
      <c r="AF30" s="806">
        <f>IF(OR(AC30="Probabilidad",AC30="Ambos"),S30-AE30,S30)</f>
        <v>1</v>
      </c>
      <c r="AG30" s="793" t="str">
        <f>IF(AF30&lt;=1,"Remota",VLOOKUP(AF30,[74]Listas!$C$6:$D$10,2,0))</f>
        <v>Remota</v>
      </c>
      <c r="AH30" s="806">
        <f>IF(OR(AC30="Impacto",AC30="Ambos"),T30-AE30,T30)</f>
        <v>1</v>
      </c>
      <c r="AI30" s="793" t="str">
        <f>IF(AH30&lt;=1,"Insignificante",HLOOKUP(AH30,[74]Listas!$F$3:$J$4,2,0))</f>
        <v>Insignificante</v>
      </c>
      <c r="AJ30" s="801">
        <f>AF30*AH30</f>
        <v>1</v>
      </c>
      <c r="AK30" s="802" t="str">
        <f>INDEX([74]Listas!$F$6:$J$10,MATCH(AG30,[74]Listas!$D$6:$D$10,0),MATCH(AI30,[74]Listas!$F$4:$J$4,0))</f>
        <v>1
INFERIOR</v>
      </c>
      <c r="AL30" s="808" t="s">
        <v>3189</v>
      </c>
      <c r="AM30" s="808" t="s">
        <v>3187</v>
      </c>
      <c r="AN30" s="808" t="s">
        <v>2573</v>
      </c>
      <c r="AO30" s="421" t="s">
        <v>2573</v>
      </c>
      <c r="AP30" s="808" t="s">
        <v>3395</v>
      </c>
      <c r="AQ30" s="532" t="s">
        <v>3248</v>
      </c>
      <c r="AR30" s="530" t="s">
        <v>2573</v>
      </c>
      <c r="AS30" s="530" t="s">
        <v>2573</v>
      </c>
      <c r="AT30" s="530" t="s">
        <v>2573</v>
      </c>
      <c r="AU30" s="530" t="s">
        <v>2573</v>
      </c>
      <c r="AV30" s="530" t="s">
        <v>2573</v>
      </c>
    </row>
    <row r="31" spans="1:48" s="420" customFormat="1" ht="76.5" customHeight="1">
      <c r="A31" s="1772" t="str">
        <f>+A30</f>
        <v>Actividades Administrativas en oficina</v>
      </c>
      <c r="B31" s="1773" t="s">
        <v>1197</v>
      </c>
      <c r="C31" s="1771" t="s">
        <v>1198</v>
      </c>
      <c r="D31" s="1771"/>
      <c r="E31" s="1771"/>
      <c r="F31" s="1356" t="str">
        <f>+F30</f>
        <v>DTC - STEST - STESV - STRF - STRH - STRT</v>
      </c>
      <c r="G31" s="1767" t="s">
        <v>1199</v>
      </c>
      <c r="H31" s="1767"/>
      <c r="I31" s="1767"/>
      <c r="J31" s="1772" t="s">
        <v>1041</v>
      </c>
      <c r="K31" s="1772"/>
      <c r="L31" s="1772"/>
      <c r="M31" s="1320"/>
      <c r="N31" s="1320"/>
      <c r="O31" s="1320" t="s">
        <v>8</v>
      </c>
      <c r="P31" s="1320"/>
      <c r="Q31" s="1404" t="s">
        <v>654</v>
      </c>
      <c r="R31" s="1404" t="s">
        <v>661</v>
      </c>
      <c r="S31" s="1770">
        <f>VLOOKUP(Q31,[74]Listas!$D$6:$E$10,2,0)</f>
        <v>1</v>
      </c>
      <c r="T31" s="1770">
        <f>HLOOKUP(R31,[74]Listas!$F$4:$J$5,2,0)</f>
        <v>1</v>
      </c>
      <c r="U31" s="1766" t="str">
        <f>INDEX([74]Listas!$F$6:$J$10,MATCH(Q31,[74]Listas!$D$6:$D$10,0),MATCH(R31,[74]Listas!$F$4:$J$4,0))</f>
        <v>1
INFERIOR</v>
      </c>
      <c r="V31" s="1768" t="s">
        <v>3946</v>
      </c>
      <c r="W31" s="1768"/>
      <c r="X31" s="1768"/>
      <c r="Y31" s="1332" t="s">
        <v>4180</v>
      </c>
      <c r="Z31" s="788" t="s">
        <v>28</v>
      </c>
      <c r="AA31" s="422" t="s">
        <v>1200</v>
      </c>
      <c r="AB31" s="1320">
        <v>54</v>
      </c>
      <c r="AC31" s="1356" t="s">
        <v>153</v>
      </c>
      <c r="AD31" s="1769"/>
      <c r="AE31" s="1770">
        <f>IF(AB31&lt;=33,0,IF(AB31&gt;81,2,1))</f>
        <v>1</v>
      </c>
      <c r="AF31" s="1770">
        <f>IF(OR(AC31="Probabilidad",AC31="Ambos"),S31-AE31,S31)</f>
        <v>0</v>
      </c>
      <c r="AG31" s="1384" t="str">
        <f>IF(AF31&lt;=1,"Remota",VLOOKUP(AF31,[74]Listas!$C$6:$D$10,2,0))</f>
        <v>Remota</v>
      </c>
      <c r="AH31" s="1770">
        <f>IF(OR(AC31="Impacto",AC31="Ambos"),T31-AE31,T31)</f>
        <v>1</v>
      </c>
      <c r="AI31" s="1384" t="str">
        <f>IF(AH31&lt;=1,"Insignificante",HLOOKUP(AH31,[74]Listas!$F$3:$J$4,2,0))</f>
        <v>Insignificante</v>
      </c>
      <c r="AJ31" s="1765">
        <f>AF31*AH31</f>
        <v>0</v>
      </c>
      <c r="AK31" s="1766" t="str">
        <f>INDEX([74]Listas!$F$6:$J$10,MATCH(AG31,[74]Listas!$D$6:$D$10,0),MATCH(AI31,[74]Listas!$F$4:$J$4,0))</f>
        <v>1
INFERIOR</v>
      </c>
      <c r="AL31" s="808" t="s">
        <v>3190</v>
      </c>
      <c r="AM31" s="808" t="s">
        <v>3416</v>
      </c>
      <c r="AN31" s="808" t="s">
        <v>2573</v>
      </c>
      <c r="AO31" s="421" t="s">
        <v>2573</v>
      </c>
      <c r="AP31" s="808" t="s">
        <v>3395</v>
      </c>
      <c r="AQ31" s="532" t="s">
        <v>3248</v>
      </c>
      <c r="AR31" s="530" t="s">
        <v>2573</v>
      </c>
      <c r="AS31" s="530" t="s">
        <v>2573</v>
      </c>
      <c r="AT31" s="530" t="s">
        <v>2573</v>
      </c>
      <c r="AU31" s="530" t="s">
        <v>2573</v>
      </c>
      <c r="AV31" s="530" t="s">
        <v>2573</v>
      </c>
    </row>
    <row r="32" spans="1:48" s="420" customFormat="1" ht="81.75" customHeight="1">
      <c r="A32" s="1772"/>
      <c r="B32" s="1773"/>
      <c r="C32" s="1771"/>
      <c r="D32" s="1771"/>
      <c r="E32" s="1771"/>
      <c r="F32" s="1356"/>
      <c r="G32" s="1767" t="s">
        <v>1201</v>
      </c>
      <c r="H32" s="1767"/>
      <c r="I32" s="1767"/>
      <c r="J32" s="1772"/>
      <c r="K32" s="1772"/>
      <c r="L32" s="1772"/>
      <c r="M32" s="1320"/>
      <c r="N32" s="1320"/>
      <c r="O32" s="1320"/>
      <c r="P32" s="1320"/>
      <c r="Q32" s="1404"/>
      <c r="R32" s="1404"/>
      <c r="S32" s="1770"/>
      <c r="T32" s="1770"/>
      <c r="U32" s="1766"/>
      <c r="V32" s="1768" t="s">
        <v>3946</v>
      </c>
      <c r="W32" s="1768"/>
      <c r="X32" s="1768"/>
      <c r="Y32" s="1333"/>
      <c r="Z32" s="788" t="s">
        <v>28</v>
      </c>
      <c r="AA32" s="422" t="s">
        <v>1200</v>
      </c>
      <c r="AB32" s="1320"/>
      <c r="AC32" s="1356"/>
      <c r="AD32" s="1769"/>
      <c r="AE32" s="1770"/>
      <c r="AF32" s="1770"/>
      <c r="AG32" s="1384"/>
      <c r="AH32" s="1770"/>
      <c r="AI32" s="1384"/>
      <c r="AJ32" s="1765"/>
      <c r="AK32" s="1766"/>
      <c r="AL32" s="808" t="s">
        <v>3190</v>
      </c>
      <c r="AM32" s="808" t="s">
        <v>3416</v>
      </c>
      <c r="AN32" s="808" t="s">
        <v>2573</v>
      </c>
      <c r="AO32" s="421" t="s">
        <v>2573</v>
      </c>
      <c r="AP32" s="808" t="s">
        <v>3395</v>
      </c>
      <c r="AQ32" s="532" t="s">
        <v>3248</v>
      </c>
      <c r="AR32" s="530" t="s">
        <v>2573</v>
      </c>
      <c r="AS32" s="530" t="s">
        <v>2573</v>
      </c>
      <c r="AT32" s="530" t="s">
        <v>2573</v>
      </c>
      <c r="AU32" s="530" t="s">
        <v>2573</v>
      </c>
      <c r="AV32" s="530" t="s">
        <v>2573</v>
      </c>
    </row>
    <row r="33" spans="1:49" s="420" customFormat="1" ht="90" customHeight="1">
      <c r="A33" s="1772"/>
      <c r="B33" s="1773"/>
      <c r="C33" s="1771"/>
      <c r="D33" s="1771"/>
      <c r="E33" s="1771"/>
      <c r="F33" s="1356"/>
      <c r="G33" s="1767" t="s">
        <v>1202</v>
      </c>
      <c r="H33" s="1767"/>
      <c r="I33" s="1767"/>
      <c r="J33" s="1772"/>
      <c r="K33" s="1772"/>
      <c r="L33" s="1772"/>
      <c r="M33" s="1320"/>
      <c r="N33" s="1320"/>
      <c r="O33" s="1320"/>
      <c r="P33" s="1320"/>
      <c r="Q33" s="1404"/>
      <c r="R33" s="1404"/>
      <c r="S33" s="1770"/>
      <c r="T33" s="1770"/>
      <c r="U33" s="1766"/>
      <c r="V33" s="1768" t="s">
        <v>3948</v>
      </c>
      <c r="W33" s="1768"/>
      <c r="X33" s="1768"/>
      <c r="Y33" s="1402"/>
      <c r="Z33" s="788" t="s">
        <v>1194</v>
      </c>
      <c r="AA33" s="422" t="s">
        <v>3188</v>
      </c>
      <c r="AB33" s="1320"/>
      <c r="AC33" s="1356"/>
      <c r="AD33" s="1769"/>
      <c r="AE33" s="1770"/>
      <c r="AF33" s="1770"/>
      <c r="AG33" s="1384"/>
      <c r="AH33" s="1770"/>
      <c r="AI33" s="1384"/>
      <c r="AJ33" s="1765"/>
      <c r="AK33" s="1766"/>
      <c r="AL33" s="808" t="s">
        <v>3190</v>
      </c>
      <c r="AM33" s="808" t="s">
        <v>3416</v>
      </c>
      <c r="AN33" s="808" t="s">
        <v>2573</v>
      </c>
      <c r="AO33" s="421" t="s">
        <v>2573</v>
      </c>
      <c r="AP33" s="808" t="s">
        <v>3395</v>
      </c>
      <c r="AQ33" s="532" t="s">
        <v>3248</v>
      </c>
      <c r="AR33" s="530" t="s">
        <v>2573</v>
      </c>
      <c r="AS33" s="530" t="s">
        <v>2573</v>
      </c>
      <c r="AT33" s="530" t="s">
        <v>2573</v>
      </c>
      <c r="AU33" s="530" t="s">
        <v>2573</v>
      </c>
      <c r="AV33" s="530" t="s">
        <v>2573</v>
      </c>
    </row>
    <row r="34" spans="1:49" s="260" customFormat="1" ht="103.5" hidden="1" customHeight="1">
      <c r="A34" s="790"/>
      <c r="B34" s="266"/>
      <c r="C34" s="1399"/>
      <c r="D34" s="1408"/>
      <c r="E34" s="1400"/>
      <c r="F34" s="267"/>
      <c r="G34" s="1399"/>
      <c r="H34" s="1408"/>
      <c r="I34" s="1400"/>
      <c r="J34" s="1380"/>
      <c r="K34" s="1380"/>
      <c r="L34" s="1380"/>
      <c r="M34" s="790"/>
      <c r="N34" s="790"/>
      <c r="O34" s="790"/>
      <c r="P34" s="790"/>
      <c r="Q34" s="266"/>
      <c r="R34" s="266"/>
      <c r="S34" s="269" t="e">
        <f>VLOOKUP(Q34,[75]Listas!$D$6:$E$10,2,0)</f>
        <v>#N/A</v>
      </c>
      <c r="T34" s="269" t="e">
        <f>HLOOKUP(R34,[75]Listas!$F$4:$J$5,2,0)</f>
        <v>#N/A</v>
      </c>
      <c r="U34" s="270" t="e">
        <f>INDEX([75]Listas!$F$6:$J$10,MATCH(Q34,[75]Listas!$D$6:$D$10,0),MATCH(R34,[75]Listas!$F$4:$J$4,0))</f>
        <v>#N/A</v>
      </c>
      <c r="V34" s="1399"/>
      <c r="W34" s="1408"/>
      <c r="X34" s="1400"/>
      <c r="Y34" s="1063"/>
      <c r="Z34" s="812"/>
      <c r="AA34" s="533"/>
      <c r="AB34" s="790"/>
      <c r="AC34" s="267"/>
      <c r="AD34" s="268"/>
      <c r="AE34" s="269">
        <f>IF(AB34&lt;=33,0,IF(AB34&gt;81,2,1))</f>
        <v>0</v>
      </c>
      <c r="AF34" s="271" t="e">
        <f t="shared" ref="AF34:AF97" si="0">IF(OR(AC34="Probabilidad",AC34="Ambos"),S34-AE34,S34)</f>
        <v>#N/A</v>
      </c>
      <c r="AG34" s="272" t="e">
        <f>IF(AF34&lt;=1,"Remota",VLOOKUP(AF34,[75]Listas!$C$6:$D$10,2,0))</f>
        <v>#N/A</v>
      </c>
      <c r="AH34" s="271" t="e">
        <f t="shared" ref="AH34:AH97" si="1">IF(OR(AC34="Impacto",AC34="Ambos"),T34-AE34,T34)</f>
        <v>#N/A</v>
      </c>
      <c r="AI34" s="272" t="e">
        <f>IF(AH34&lt;=1,"Insignificante",HLOOKUP(AH34,[75]Listas!$F$3:$J$4,2,0))</f>
        <v>#N/A</v>
      </c>
      <c r="AJ34" s="273" t="e">
        <f>AF34*AH34</f>
        <v>#N/A</v>
      </c>
      <c r="AK34" s="270" t="e">
        <f>INDEX([75]Listas!$F$6:$J$10,MATCH(AG34,[75]Listas!$D$6:$D$10,0),MATCH(AI34,[75]Listas!$F$4:$J$4,0))</f>
        <v>#N/A</v>
      </c>
      <c r="AL34" s="259"/>
      <c r="AM34" s="259"/>
      <c r="AN34" s="794"/>
      <c r="AO34" s="259"/>
      <c r="AP34" s="259" t="s">
        <v>2877</v>
      </c>
      <c r="AQ34" s="813"/>
      <c r="AR34" s="259"/>
      <c r="AS34" s="259"/>
      <c r="AT34" s="261"/>
      <c r="AU34" s="261"/>
      <c r="AV34" s="790"/>
      <c r="AW34" s="262"/>
    </row>
    <row r="35" spans="1:49" s="260" customFormat="1" ht="103.5" hidden="1" customHeight="1">
      <c r="A35" s="790"/>
      <c r="B35" s="266"/>
      <c r="C35" s="1399"/>
      <c r="D35" s="1408"/>
      <c r="E35" s="1400"/>
      <c r="F35" s="267"/>
      <c r="G35" s="1399"/>
      <c r="H35" s="1408"/>
      <c r="I35" s="1400"/>
      <c r="J35" s="1380"/>
      <c r="K35" s="1380"/>
      <c r="L35" s="1380"/>
      <c r="M35" s="790"/>
      <c r="N35" s="790"/>
      <c r="O35" s="790"/>
      <c r="P35" s="790"/>
      <c r="Q35" s="266"/>
      <c r="R35" s="266"/>
      <c r="S35" s="269" t="e">
        <f>VLOOKUP(Q35,[75]Listas!$D$6:$E$10,2,0)</f>
        <v>#N/A</v>
      </c>
      <c r="T35" s="269" t="e">
        <f>HLOOKUP(R35,[75]Listas!$F$4:$J$5,2,0)</f>
        <v>#N/A</v>
      </c>
      <c r="U35" s="270" t="e">
        <f>INDEX([75]Listas!$F$6:$J$10,MATCH(Q35,[75]Listas!$D$6:$D$10,0),MATCH(R35,[75]Listas!$F$4:$J$4,0))</f>
        <v>#N/A</v>
      </c>
      <c r="V35" s="1399"/>
      <c r="W35" s="1408"/>
      <c r="X35" s="1400"/>
      <c r="Y35" s="1063"/>
      <c r="Z35" s="812"/>
      <c r="AA35" s="533"/>
      <c r="AB35" s="790"/>
      <c r="AC35" s="267"/>
      <c r="AD35" s="268"/>
      <c r="AE35" s="269">
        <f>IF(AB35&lt;=33,0,IF(AB35&gt;81,2,1))</f>
        <v>0</v>
      </c>
      <c r="AF35" s="271" t="e">
        <f t="shared" si="0"/>
        <v>#N/A</v>
      </c>
      <c r="AG35" s="272" t="e">
        <f>IF(AF35&lt;=1,"Remota",VLOOKUP(AF35,[75]Listas!$C$6:$D$10,2,0))</f>
        <v>#N/A</v>
      </c>
      <c r="AH35" s="271" t="e">
        <f t="shared" si="1"/>
        <v>#N/A</v>
      </c>
      <c r="AI35" s="272" t="e">
        <f>IF(AH35&lt;=1,"Insignificante",HLOOKUP(AH35,[75]Listas!$F$3:$J$4,2,0))</f>
        <v>#N/A</v>
      </c>
      <c r="AJ35" s="273" t="e">
        <f>AF35*AH35</f>
        <v>#N/A</v>
      </c>
      <c r="AK35" s="270" t="e">
        <f>INDEX([75]Listas!$F$6:$J$10,MATCH(AG35,[75]Listas!$D$6:$D$10,0),MATCH(AI35,[75]Listas!$F$4:$J$4,0))</f>
        <v>#N/A</v>
      </c>
      <c r="AL35" s="259"/>
      <c r="AM35" s="259"/>
      <c r="AN35" s="794"/>
      <c r="AO35" s="259"/>
      <c r="AP35" s="259" t="s">
        <v>2877</v>
      </c>
      <c r="AQ35" s="813"/>
      <c r="AR35" s="259"/>
      <c r="AS35" s="259"/>
      <c r="AT35" s="261"/>
      <c r="AU35" s="261"/>
      <c r="AV35" s="790"/>
      <c r="AW35" s="262"/>
    </row>
    <row r="36" spans="1:49" s="260" customFormat="1" ht="103.5" hidden="1" customHeight="1">
      <c r="A36" s="790"/>
      <c r="B36" s="266"/>
      <c r="C36" s="1399"/>
      <c r="D36" s="1408"/>
      <c r="E36" s="1400"/>
      <c r="F36" s="267"/>
      <c r="G36" s="1399"/>
      <c r="H36" s="1408"/>
      <c r="I36" s="1400"/>
      <c r="J36" s="1380"/>
      <c r="K36" s="1380"/>
      <c r="L36" s="1380"/>
      <c r="M36" s="790"/>
      <c r="N36" s="790"/>
      <c r="O36" s="790"/>
      <c r="P36" s="790"/>
      <c r="Q36" s="266"/>
      <c r="R36" s="266"/>
      <c r="S36" s="269" t="e">
        <f>VLOOKUP(Q36,[75]Listas!$D$6:$E$10,2,0)</f>
        <v>#N/A</v>
      </c>
      <c r="T36" s="269" t="e">
        <f>HLOOKUP(R36,[75]Listas!$F$4:$J$5,2,0)</f>
        <v>#N/A</v>
      </c>
      <c r="U36" s="270" t="e">
        <f>INDEX([75]Listas!$F$6:$J$10,MATCH(Q36,[75]Listas!$D$6:$D$10,0),MATCH(R36,[75]Listas!$F$4:$J$4,0))</f>
        <v>#N/A</v>
      </c>
      <c r="V36" s="1764"/>
      <c r="W36" s="1764"/>
      <c r="X36" s="1764"/>
      <c r="Y36" s="1130"/>
      <c r="Z36" s="812"/>
      <c r="AA36" s="533"/>
      <c r="AB36" s="790"/>
      <c r="AC36" s="267"/>
      <c r="AD36" s="268"/>
      <c r="AE36" s="269">
        <f>IF(AB36&lt;=33,0,IF(AB36&gt;81,2,1))</f>
        <v>0</v>
      </c>
      <c r="AF36" s="271" t="e">
        <f t="shared" si="0"/>
        <v>#N/A</v>
      </c>
      <c r="AG36" s="272" t="e">
        <f>IF(AF36&lt;=1,"Remota",VLOOKUP(AF36,[75]Listas!$C$6:$D$10,2,0))</f>
        <v>#N/A</v>
      </c>
      <c r="AH36" s="271" t="e">
        <f t="shared" si="1"/>
        <v>#N/A</v>
      </c>
      <c r="AI36" s="272" t="e">
        <f>IF(AH36&lt;=1,"Insignificante",HLOOKUP(AH36,[75]Listas!$F$3:$J$4,2,0))</f>
        <v>#N/A</v>
      </c>
      <c r="AJ36" s="273" t="e">
        <f>AF36*AH36</f>
        <v>#N/A</v>
      </c>
      <c r="AK36" s="270" t="e">
        <f>INDEX([75]Listas!$F$6:$J$10,MATCH(AG36,[75]Listas!$D$6:$D$10,0),MATCH(AI36,[75]Listas!$F$4:$J$4,0))</f>
        <v>#N/A</v>
      </c>
      <c r="AL36" s="259"/>
      <c r="AM36" s="259"/>
      <c r="AN36" s="794"/>
      <c r="AO36" s="259"/>
      <c r="AP36" s="259" t="s">
        <v>2877</v>
      </c>
      <c r="AQ36" s="813"/>
      <c r="AR36" s="259"/>
      <c r="AS36" s="259"/>
      <c r="AT36" s="261"/>
      <c r="AU36" s="261"/>
      <c r="AV36" s="790"/>
      <c r="AW36" s="262"/>
    </row>
    <row r="37" spans="1:49" s="260" customFormat="1" ht="103.5" hidden="1" customHeight="1">
      <c r="A37" s="790"/>
      <c r="B37" s="266"/>
      <c r="C37" s="1399"/>
      <c r="D37" s="1408"/>
      <c r="E37" s="1400"/>
      <c r="F37" s="267"/>
      <c r="G37" s="1399"/>
      <c r="H37" s="1408"/>
      <c r="I37" s="1400"/>
      <c r="J37" s="1380"/>
      <c r="K37" s="1380"/>
      <c r="L37" s="1380"/>
      <c r="M37" s="790"/>
      <c r="N37" s="790"/>
      <c r="O37" s="790"/>
      <c r="P37" s="790"/>
      <c r="Q37" s="266"/>
      <c r="R37" s="266"/>
      <c r="S37" s="269" t="e">
        <f>VLOOKUP(Q37,[75]Listas!$D$6:$E$10,2,0)</f>
        <v>#N/A</v>
      </c>
      <c r="T37" s="269" t="e">
        <f>HLOOKUP(R37,[75]Listas!$F$4:$J$5,2,0)</f>
        <v>#N/A</v>
      </c>
      <c r="U37" s="270" t="e">
        <f>INDEX([75]Listas!$F$6:$J$10,MATCH(Q37,[75]Listas!$D$6:$D$10,0),MATCH(R37,[75]Listas!$F$4:$J$4,0))</f>
        <v>#N/A</v>
      </c>
      <c r="V37" s="1399"/>
      <c r="W37" s="1408"/>
      <c r="X37" s="1400"/>
      <c r="Y37" s="1063"/>
      <c r="Z37" s="267"/>
      <c r="AA37" s="259"/>
      <c r="AB37" s="790"/>
      <c r="AC37" s="267"/>
      <c r="AD37" s="268"/>
      <c r="AE37" s="269">
        <f t="shared" ref="AE37:AE98" si="2">IF(AB37&lt;=33,0,IF(AB37&gt;81,2,1))</f>
        <v>0</v>
      </c>
      <c r="AF37" s="271" t="e">
        <f t="shared" si="0"/>
        <v>#N/A</v>
      </c>
      <c r="AG37" s="272" t="e">
        <f>IF(AF37&lt;=1,"Remota",VLOOKUP(AF37,[75]Listas!$C$6:$D$10,2,0))</f>
        <v>#N/A</v>
      </c>
      <c r="AH37" s="271" t="e">
        <f t="shared" si="1"/>
        <v>#N/A</v>
      </c>
      <c r="AI37" s="272" t="e">
        <f>IF(AH37&lt;=1,"Insignificante",HLOOKUP(AH37,[75]Listas!$F$3:$J$4,2,0))</f>
        <v>#N/A</v>
      </c>
      <c r="AJ37" s="273" t="e">
        <f t="shared" ref="AJ37:AJ98" si="3">AF37*AH37</f>
        <v>#N/A</v>
      </c>
      <c r="AK37" s="270" t="e">
        <f>INDEX([75]Listas!$F$6:$J$10,MATCH(AG37,[75]Listas!$D$6:$D$10,0),MATCH(AI37,[75]Listas!$F$4:$J$4,0))</f>
        <v>#N/A</v>
      </c>
      <c r="AL37" s="259"/>
      <c r="AM37" s="259"/>
      <c r="AN37" s="794"/>
      <c r="AO37" s="259"/>
      <c r="AP37" s="259" t="s">
        <v>2877</v>
      </c>
      <c r="AQ37" s="813"/>
      <c r="AR37" s="259"/>
      <c r="AS37" s="259"/>
      <c r="AT37" s="261"/>
      <c r="AU37" s="261"/>
      <c r="AV37" s="790"/>
      <c r="AW37" s="262"/>
    </row>
    <row r="38" spans="1:49" s="260" customFormat="1" ht="103.5" hidden="1" customHeight="1">
      <c r="A38" s="790"/>
      <c r="B38" s="266"/>
      <c r="C38" s="1399"/>
      <c r="D38" s="1408"/>
      <c r="E38" s="1400"/>
      <c r="F38" s="267"/>
      <c r="G38" s="1399"/>
      <c r="H38" s="1408"/>
      <c r="I38" s="1400"/>
      <c r="J38" s="1380"/>
      <c r="K38" s="1380"/>
      <c r="L38" s="1380"/>
      <c r="M38" s="790"/>
      <c r="N38" s="790"/>
      <c r="O38" s="790"/>
      <c r="P38" s="790"/>
      <c r="Q38" s="266"/>
      <c r="R38" s="266"/>
      <c r="S38" s="269" t="e">
        <f>VLOOKUP(Q38,[75]Listas!$D$6:$E$10,2,0)</f>
        <v>#N/A</v>
      </c>
      <c r="T38" s="269" t="e">
        <f>HLOOKUP(R38,[75]Listas!$F$4:$J$5,2,0)</f>
        <v>#N/A</v>
      </c>
      <c r="U38" s="270" t="e">
        <f>INDEX([75]Listas!$F$6:$J$10,MATCH(Q38,[75]Listas!$D$6:$D$10,0),MATCH(R38,[75]Listas!$F$4:$J$4,0))</f>
        <v>#N/A</v>
      </c>
      <c r="V38" s="1399"/>
      <c r="W38" s="1408"/>
      <c r="X38" s="1400"/>
      <c r="Y38" s="1063"/>
      <c r="Z38" s="267"/>
      <c r="AA38" s="259"/>
      <c r="AB38" s="790"/>
      <c r="AC38" s="267"/>
      <c r="AD38" s="268"/>
      <c r="AE38" s="269">
        <f t="shared" si="2"/>
        <v>0</v>
      </c>
      <c r="AF38" s="271" t="e">
        <f t="shared" si="0"/>
        <v>#N/A</v>
      </c>
      <c r="AG38" s="272" t="e">
        <f>IF(AF38&lt;=1,"Remota",VLOOKUP(AF38,[75]Listas!$C$6:$D$10,2,0))</f>
        <v>#N/A</v>
      </c>
      <c r="AH38" s="271" t="e">
        <f t="shared" si="1"/>
        <v>#N/A</v>
      </c>
      <c r="AI38" s="272" t="e">
        <f>IF(AH38&lt;=1,"Insignificante",HLOOKUP(AH38,[75]Listas!$F$3:$J$4,2,0))</f>
        <v>#N/A</v>
      </c>
      <c r="AJ38" s="273" t="e">
        <f t="shared" si="3"/>
        <v>#N/A</v>
      </c>
      <c r="AK38" s="270" t="e">
        <f>INDEX([75]Listas!$F$6:$J$10,MATCH(AG38,[75]Listas!$D$6:$D$10,0),MATCH(AI38,[75]Listas!$F$4:$J$4,0))</f>
        <v>#N/A</v>
      </c>
      <c r="AL38" s="259"/>
      <c r="AM38" s="259"/>
      <c r="AN38" s="794"/>
      <c r="AO38" s="259"/>
      <c r="AP38" s="259" t="s">
        <v>2877</v>
      </c>
      <c r="AQ38" s="813"/>
      <c r="AR38" s="259"/>
      <c r="AS38" s="259"/>
      <c r="AT38" s="261"/>
      <c r="AU38" s="261"/>
      <c r="AV38" s="790"/>
      <c r="AW38" s="262"/>
    </row>
    <row r="39" spans="1:49" s="260" customFormat="1" ht="103.5" hidden="1" customHeight="1">
      <c r="A39" s="790"/>
      <c r="B39" s="266"/>
      <c r="C39" s="1399"/>
      <c r="D39" s="1408"/>
      <c r="E39" s="1400"/>
      <c r="F39" s="267"/>
      <c r="G39" s="1399"/>
      <c r="H39" s="1408"/>
      <c r="I39" s="1400"/>
      <c r="J39" s="1380"/>
      <c r="K39" s="1380"/>
      <c r="L39" s="1380"/>
      <c r="M39" s="790"/>
      <c r="N39" s="790"/>
      <c r="O39" s="790"/>
      <c r="P39" s="790"/>
      <c r="Q39" s="266"/>
      <c r="R39" s="266"/>
      <c r="S39" s="269" t="e">
        <f>VLOOKUP(Q39,[75]Listas!$D$6:$E$10,2,0)</f>
        <v>#N/A</v>
      </c>
      <c r="T39" s="269" t="e">
        <f>HLOOKUP(R39,[75]Listas!$F$4:$J$5,2,0)</f>
        <v>#N/A</v>
      </c>
      <c r="U39" s="270" t="e">
        <f>INDEX([75]Listas!$F$6:$J$10,MATCH(Q39,[75]Listas!$D$6:$D$10,0),MATCH(R39,[75]Listas!$F$4:$J$4,0))</f>
        <v>#N/A</v>
      </c>
      <c r="V39" s="1399"/>
      <c r="W39" s="1408"/>
      <c r="X39" s="1400"/>
      <c r="Y39" s="1063"/>
      <c r="Z39" s="267"/>
      <c r="AA39" s="259"/>
      <c r="AB39" s="790"/>
      <c r="AC39" s="267"/>
      <c r="AD39" s="268"/>
      <c r="AE39" s="269">
        <f t="shared" si="2"/>
        <v>0</v>
      </c>
      <c r="AF39" s="271" t="e">
        <f t="shared" si="0"/>
        <v>#N/A</v>
      </c>
      <c r="AG39" s="272" t="e">
        <f>IF(AF39&lt;=1,"Remota",VLOOKUP(AF39,[75]Listas!$C$6:$D$10,2,0))</f>
        <v>#N/A</v>
      </c>
      <c r="AH39" s="271" t="e">
        <f t="shared" si="1"/>
        <v>#N/A</v>
      </c>
      <c r="AI39" s="272" t="e">
        <f>IF(AH39&lt;=1,"Insignificante",HLOOKUP(AH39,[75]Listas!$F$3:$J$4,2,0))</f>
        <v>#N/A</v>
      </c>
      <c r="AJ39" s="273" t="e">
        <f t="shared" si="3"/>
        <v>#N/A</v>
      </c>
      <c r="AK39" s="270" t="e">
        <f>INDEX([75]Listas!$F$6:$J$10,MATCH(AG39,[75]Listas!$D$6:$D$10,0),MATCH(AI39,[75]Listas!$F$4:$J$4,0))</f>
        <v>#N/A</v>
      </c>
      <c r="AL39" s="259"/>
      <c r="AM39" s="259"/>
      <c r="AN39" s="794"/>
      <c r="AO39" s="259"/>
      <c r="AP39" s="259" t="s">
        <v>2877</v>
      </c>
      <c r="AQ39" s="813"/>
      <c r="AR39" s="259"/>
      <c r="AS39" s="259"/>
      <c r="AT39" s="261"/>
      <c r="AU39" s="261"/>
      <c r="AV39" s="790"/>
      <c r="AW39" s="262"/>
    </row>
    <row r="40" spans="1:49" s="260" customFormat="1" ht="103.5" hidden="1" customHeight="1">
      <c r="A40" s="790"/>
      <c r="B40" s="266"/>
      <c r="C40" s="1399"/>
      <c r="D40" s="1408"/>
      <c r="E40" s="1400"/>
      <c r="F40" s="267"/>
      <c r="G40" s="1399"/>
      <c r="H40" s="1408"/>
      <c r="I40" s="1400"/>
      <c r="J40" s="1380"/>
      <c r="K40" s="1380"/>
      <c r="L40" s="1380"/>
      <c r="M40" s="790"/>
      <c r="N40" s="790"/>
      <c r="O40" s="790"/>
      <c r="P40" s="790"/>
      <c r="Q40" s="266"/>
      <c r="R40" s="266"/>
      <c r="S40" s="269" t="e">
        <f>VLOOKUP(Q40,[75]Listas!$D$6:$E$10,2,0)</f>
        <v>#N/A</v>
      </c>
      <c r="T40" s="269" t="e">
        <f>HLOOKUP(R40,[75]Listas!$F$4:$J$5,2,0)</f>
        <v>#N/A</v>
      </c>
      <c r="U40" s="270" t="e">
        <f>INDEX([75]Listas!$F$6:$J$10,MATCH(Q40,[75]Listas!$D$6:$D$10,0),MATCH(R40,[75]Listas!$F$4:$J$4,0))</f>
        <v>#N/A</v>
      </c>
      <c r="V40" s="1399"/>
      <c r="W40" s="1408"/>
      <c r="X40" s="1400"/>
      <c r="Y40" s="1063"/>
      <c r="Z40" s="267"/>
      <c r="AA40" s="259"/>
      <c r="AB40" s="790"/>
      <c r="AC40" s="267"/>
      <c r="AD40" s="268"/>
      <c r="AE40" s="269">
        <f t="shared" si="2"/>
        <v>0</v>
      </c>
      <c r="AF40" s="271" t="e">
        <f t="shared" si="0"/>
        <v>#N/A</v>
      </c>
      <c r="AG40" s="272" t="e">
        <f>IF(AF40&lt;=1,"Remota",VLOOKUP(AF40,[75]Listas!$C$6:$D$10,2,0))</f>
        <v>#N/A</v>
      </c>
      <c r="AH40" s="271" t="e">
        <f t="shared" si="1"/>
        <v>#N/A</v>
      </c>
      <c r="AI40" s="272" t="e">
        <f>IF(AH40&lt;=1,"Insignificante",HLOOKUP(AH40,[75]Listas!$F$3:$J$4,2,0))</f>
        <v>#N/A</v>
      </c>
      <c r="AJ40" s="273" t="e">
        <f t="shared" si="3"/>
        <v>#N/A</v>
      </c>
      <c r="AK40" s="270" t="e">
        <f>INDEX([75]Listas!$F$6:$J$10,MATCH(AG40,[75]Listas!$D$6:$D$10,0),MATCH(AI40,[75]Listas!$F$4:$J$4,0))</f>
        <v>#N/A</v>
      </c>
      <c r="AL40" s="259"/>
      <c r="AM40" s="259"/>
      <c r="AN40" s="794"/>
      <c r="AO40" s="259"/>
      <c r="AP40" s="259" t="s">
        <v>2877</v>
      </c>
      <c r="AQ40" s="813"/>
      <c r="AR40" s="259"/>
      <c r="AS40" s="259"/>
      <c r="AT40" s="261"/>
      <c r="AU40" s="261"/>
      <c r="AV40" s="790"/>
      <c r="AW40" s="262"/>
    </row>
    <row r="41" spans="1:49" s="260" customFormat="1" ht="103.5" hidden="1" customHeight="1">
      <c r="A41" s="790"/>
      <c r="B41" s="266"/>
      <c r="C41" s="1399"/>
      <c r="D41" s="1408"/>
      <c r="E41" s="1400"/>
      <c r="F41" s="267"/>
      <c r="G41" s="1399"/>
      <c r="H41" s="1408"/>
      <c r="I41" s="1400"/>
      <c r="J41" s="1380"/>
      <c r="K41" s="1380"/>
      <c r="L41" s="1380"/>
      <c r="M41" s="790"/>
      <c r="N41" s="790"/>
      <c r="O41" s="790"/>
      <c r="P41" s="790"/>
      <c r="Q41" s="266"/>
      <c r="R41" s="266"/>
      <c r="S41" s="269" t="e">
        <f>VLOOKUP(Q41,[75]Listas!$D$6:$E$10,2,0)</f>
        <v>#N/A</v>
      </c>
      <c r="T41" s="269" t="e">
        <f>HLOOKUP(R41,[75]Listas!$F$4:$J$5,2,0)</f>
        <v>#N/A</v>
      </c>
      <c r="U41" s="270" t="e">
        <f>INDEX([75]Listas!$F$6:$J$10,MATCH(Q41,[75]Listas!$D$6:$D$10,0),MATCH(R41,[75]Listas!$F$4:$J$4,0))</f>
        <v>#N/A</v>
      </c>
      <c r="V41" s="1399"/>
      <c r="W41" s="1408"/>
      <c r="X41" s="1400"/>
      <c r="Y41" s="1063"/>
      <c r="Z41" s="267"/>
      <c r="AA41" s="259"/>
      <c r="AB41" s="790"/>
      <c r="AC41" s="267"/>
      <c r="AD41" s="268"/>
      <c r="AE41" s="269">
        <f t="shared" si="2"/>
        <v>0</v>
      </c>
      <c r="AF41" s="271" t="e">
        <f t="shared" si="0"/>
        <v>#N/A</v>
      </c>
      <c r="AG41" s="272" t="e">
        <f>IF(AF41&lt;=1,"Remota",VLOOKUP(AF41,[75]Listas!$C$6:$D$10,2,0))</f>
        <v>#N/A</v>
      </c>
      <c r="AH41" s="271" t="e">
        <f t="shared" si="1"/>
        <v>#N/A</v>
      </c>
      <c r="AI41" s="272" t="e">
        <f>IF(AH41&lt;=1,"Insignificante",HLOOKUP(AH41,[75]Listas!$F$3:$J$4,2,0))</f>
        <v>#N/A</v>
      </c>
      <c r="AJ41" s="273" t="e">
        <f t="shared" si="3"/>
        <v>#N/A</v>
      </c>
      <c r="AK41" s="270" t="e">
        <f>INDEX([75]Listas!$F$6:$J$10,MATCH(AG41,[75]Listas!$D$6:$D$10,0),MATCH(AI41,[75]Listas!$F$4:$J$4,0))</f>
        <v>#N/A</v>
      </c>
      <c r="AL41" s="259"/>
      <c r="AM41" s="259"/>
      <c r="AN41" s="794"/>
      <c r="AO41" s="259"/>
      <c r="AP41" s="259" t="s">
        <v>2877</v>
      </c>
      <c r="AQ41" s="813"/>
      <c r="AR41" s="259"/>
      <c r="AS41" s="259"/>
      <c r="AT41" s="261"/>
      <c r="AU41" s="261"/>
      <c r="AV41" s="790"/>
      <c r="AW41" s="262"/>
    </row>
    <row r="42" spans="1:49" s="260" customFormat="1" ht="103.5" hidden="1" customHeight="1">
      <c r="A42" s="790"/>
      <c r="B42" s="266"/>
      <c r="C42" s="1399"/>
      <c r="D42" s="1408"/>
      <c r="E42" s="1400"/>
      <c r="F42" s="267"/>
      <c r="G42" s="1399"/>
      <c r="H42" s="1408"/>
      <c r="I42" s="1400"/>
      <c r="J42" s="1380"/>
      <c r="K42" s="1380"/>
      <c r="L42" s="1380"/>
      <c r="M42" s="790"/>
      <c r="N42" s="790"/>
      <c r="O42" s="790"/>
      <c r="P42" s="790"/>
      <c r="Q42" s="266"/>
      <c r="R42" s="266"/>
      <c r="S42" s="269" t="e">
        <f>VLOOKUP(Q42,[75]Listas!$D$6:$E$10,2,0)</f>
        <v>#N/A</v>
      </c>
      <c r="T42" s="269" t="e">
        <f>HLOOKUP(R42,[75]Listas!$F$4:$J$5,2,0)</f>
        <v>#N/A</v>
      </c>
      <c r="U42" s="270" t="e">
        <f>INDEX([75]Listas!$F$6:$J$10,MATCH(Q42,[75]Listas!$D$6:$D$10,0),MATCH(R42,[75]Listas!$F$4:$J$4,0))</f>
        <v>#N/A</v>
      </c>
      <c r="V42" s="1399"/>
      <c r="W42" s="1408"/>
      <c r="X42" s="1400"/>
      <c r="Y42" s="1063"/>
      <c r="Z42" s="267"/>
      <c r="AA42" s="259"/>
      <c r="AB42" s="790"/>
      <c r="AC42" s="267"/>
      <c r="AD42" s="268"/>
      <c r="AE42" s="269">
        <f t="shared" si="2"/>
        <v>0</v>
      </c>
      <c r="AF42" s="271" t="e">
        <f t="shared" si="0"/>
        <v>#N/A</v>
      </c>
      <c r="AG42" s="272" t="e">
        <f>IF(AF42&lt;=1,"Remota",VLOOKUP(AF42,[75]Listas!$C$6:$D$10,2,0))</f>
        <v>#N/A</v>
      </c>
      <c r="AH42" s="271" t="e">
        <f t="shared" si="1"/>
        <v>#N/A</v>
      </c>
      <c r="AI42" s="272" t="e">
        <f>IF(AH42&lt;=1,"Insignificante",HLOOKUP(AH42,[75]Listas!$F$3:$J$4,2,0))</f>
        <v>#N/A</v>
      </c>
      <c r="AJ42" s="273" t="e">
        <f t="shared" si="3"/>
        <v>#N/A</v>
      </c>
      <c r="AK42" s="270" t="e">
        <f>INDEX([75]Listas!$F$6:$J$10,MATCH(AG42,[75]Listas!$D$6:$D$10,0),MATCH(AI42,[75]Listas!$F$4:$J$4,0))</f>
        <v>#N/A</v>
      </c>
      <c r="AL42" s="259"/>
      <c r="AM42" s="259"/>
      <c r="AN42" s="794"/>
      <c r="AO42" s="259"/>
      <c r="AP42" s="259" t="s">
        <v>2877</v>
      </c>
      <c r="AQ42" s="813"/>
      <c r="AR42" s="259"/>
      <c r="AS42" s="259"/>
      <c r="AT42" s="261"/>
      <c r="AU42" s="261"/>
      <c r="AV42" s="790"/>
      <c r="AW42" s="262"/>
    </row>
    <row r="43" spans="1:49" s="260" customFormat="1" ht="103.5" hidden="1" customHeight="1">
      <c r="A43" s="790"/>
      <c r="B43" s="266"/>
      <c r="C43" s="1399"/>
      <c r="D43" s="1408"/>
      <c r="E43" s="1400"/>
      <c r="F43" s="267"/>
      <c r="G43" s="1399"/>
      <c r="H43" s="1408"/>
      <c r="I43" s="1400"/>
      <c r="J43" s="1380"/>
      <c r="K43" s="1380"/>
      <c r="L43" s="1380"/>
      <c r="M43" s="790"/>
      <c r="N43" s="790"/>
      <c r="O43" s="790"/>
      <c r="P43" s="790"/>
      <c r="Q43" s="266"/>
      <c r="R43" s="266"/>
      <c r="S43" s="269" t="e">
        <f>VLOOKUP(Q43,[75]Listas!$D$6:$E$10,2,0)</f>
        <v>#N/A</v>
      </c>
      <c r="T43" s="269" t="e">
        <f>HLOOKUP(R43,[75]Listas!$F$4:$J$5,2,0)</f>
        <v>#N/A</v>
      </c>
      <c r="U43" s="270" t="e">
        <f>INDEX([75]Listas!$F$6:$J$10,MATCH(Q43,[75]Listas!$D$6:$D$10,0),MATCH(R43,[75]Listas!$F$4:$J$4,0))</f>
        <v>#N/A</v>
      </c>
      <c r="V43" s="1399"/>
      <c r="W43" s="1408"/>
      <c r="X43" s="1400"/>
      <c r="Y43" s="1063"/>
      <c r="Z43" s="267"/>
      <c r="AA43" s="259"/>
      <c r="AB43" s="790"/>
      <c r="AC43" s="267"/>
      <c r="AD43" s="268"/>
      <c r="AE43" s="269">
        <f t="shared" si="2"/>
        <v>0</v>
      </c>
      <c r="AF43" s="271" t="e">
        <f t="shared" si="0"/>
        <v>#N/A</v>
      </c>
      <c r="AG43" s="272" t="e">
        <f>IF(AF43&lt;=1,"Remota",VLOOKUP(AF43,[75]Listas!$C$6:$D$10,2,0))</f>
        <v>#N/A</v>
      </c>
      <c r="AH43" s="271" t="e">
        <f t="shared" si="1"/>
        <v>#N/A</v>
      </c>
      <c r="AI43" s="272" t="e">
        <f>IF(AH43&lt;=1,"Insignificante",HLOOKUP(AH43,[75]Listas!$F$3:$J$4,2,0))</f>
        <v>#N/A</v>
      </c>
      <c r="AJ43" s="273" t="e">
        <f t="shared" si="3"/>
        <v>#N/A</v>
      </c>
      <c r="AK43" s="270" t="e">
        <f>INDEX([75]Listas!$F$6:$J$10,MATCH(AG43,[75]Listas!$D$6:$D$10,0),MATCH(AI43,[75]Listas!$F$4:$J$4,0))</f>
        <v>#N/A</v>
      </c>
      <c r="AL43" s="259"/>
      <c r="AM43" s="259"/>
      <c r="AN43" s="794"/>
      <c r="AO43" s="259"/>
      <c r="AP43" s="259" t="s">
        <v>2877</v>
      </c>
      <c r="AQ43" s="813"/>
      <c r="AR43" s="259"/>
      <c r="AS43" s="259"/>
      <c r="AT43" s="261"/>
      <c r="AU43" s="261"/>
      <c r="AV43" s="790"/>
      <c r="AW43" s="262"/>
    </row>
    <row r="44" spans="1:49" s="260" customFormat="1" ht="103.5" hidden="1" customHeight="1">
      <c r="A44" s="790"/>
      <c r="B44" s="266"/>
      <c r="C44" s="1399"/>
      <c r="D44" s="1408"/>
      <c r="E44" s="1400"/>
      <c r="F44" s="267"/>
      <c r="G44" s="1399"/>
      <c r="H44" s="1408"/>
      <c r="I44" s="1400"/>
      <c r="J44" s="1380"/>
      <c r="K44" s="1380"/>
      <c r="L44" s="1380"/>
      <c r="M44" s="790"/>
      <c r="N44" s="790"/>
      <c r="O44" s="790"/>
      <c r="P44" s="790"/>
      <c r="Q44" s="266"/>
      <c r="R44" s="266"/>
      <c r="S44" s="269" t="e">
        <f>VLOOKUP(Q44,[75]Listas!$D$6:$E$10,2,0)</f>
        <v>#N/A</v>
      </c>
      <c r="T44" s="269" t="e">
        <f>HLOOKUP(R44,[75]Listas!$F$4:$J$5,2,0)</f>
        <v>#N/A</v>
      </c>
      <c r="U44" s="270" t="e">
        <f>INDEX([75]Listas!$F$6:$J$10,MATCH(Q44,[75]Listas!$D$6:$D$10,0),MATCH(R44,[75]Listas!$F$4:$J$4,0))</f>
        <v>#N/A</v>
      </c>
      <c r="V44" s="1399"/>
      <c r="W44" s="1408"/>
      <c r="X44" s="1400"/>
      <c r="Y44" s="1063"/>
      <c r="Z44" s="267"/>
      <c r="AA44" s="259"/>
      <c r="AB44" s="790"/>
      <c r="AC44" s="267"/>
      <c r="AD44" s="268"/>
      <c r="AE44" s="269">
        <f t="shared" si="2"/>
        <v>0</v>
      </c>
      <c r="AF44" s="271" t="e">
        <f t="shared" si="0"/>
        <v>#N/A</v>
      </c>
      <c r="AG44" s="272" t="e">
        <f>IF(AF44&lt;=1,"Remota",VLOOKUP(AF44,[75]Listas!$C$6:$D$10,2,0))</f>
        <v>#N/A</v>
      </c>
      <c r="AH44" s="271" t="e">
        <f t="shared" si="1"/>
        <v>#N/A</v>
      </c>
      <c r="AI44" s="272" t="e">
        <f>IF(AH44&lt;=1,"Insignificante",HLOOKUP(AH44,[75]Listas!$F$3:$J$4,2,0))</f>
        <v>#N/A</v>
      </c>
      <c r="AJ44" s="273" t="e">
        <f t="shared" si="3"/>
        <v>#N/A</v>
      </c>
      <c r="AK44" s="270" t="e">
        <f>INDEX([75]Listas!$F$6:$J$10,MATCH(AG44,[75]Listas!$D$6:$D$10,0),MATCH(AI44,[75]Listas!$F$4:$J$4,0))</f>
        <v>#N/A</v>
      </c>
      <c r="AL44" s="259"/>
      <c r="AM44" s="259"/>
      <c r="AN44" s="794"/>
      <c r="AO44" s="259"/>
      <c r="AP44" s="259" t="s">
        <v>2877</v>
      </c>
      <c r="AQ44" s="813"/>
      <c r="AR44" s="259"/>
      <c r="AS44" s="259"/>
      <c r="AT44" s="261"/>
      <c r="AU44" s="261"/>
      <c r="AV44" s="790"/>
      <c r="AW44" s="262"/>
    </row>
    <row r="45" spans="1:49" s="260" customFormat="1" ht="103.5" hidden="1" customHeight="1">
      <c r="A45" s="790"/>
      <c r="B45" s="266"/>
      <c r="C45" s="1399"/>
      <c r="D45" s="1408"/>
      <c r="E45" s="1400"/>
      <c r="F45" s="267"/>
      <c r="G45" s="1399"/>
      <c r="H45" s="1408"/>
      <c r="I45" s="1400"/>
      <c r="J45" s="1380"/>
      <c r="K45" s="1380"/>
      <c r="L45" s="1380"/>
      <c r="M45" s="790"/>
      <c r="N45" s="790"/>
      <c r="O45" s="790"/>
      <c r="P45" s="790"/>
      <c r="Q45" s="266"/>
      <c r="R45" s="266"/>
      <c r="S45" s="269" t="e">
        <f>VLOOKUP(Q45,[75]Listas!$D$6:$E$10,2,0)</f>
        <v>#N/A</v>
      </c>
      <c r="T45" s="269" t="e">
        <f>HLOOKUP(R45,[75]Listas!$F$4:$J$5,2,0)</f>
        <v>#N/A</v>
      </c>
      <c r="U45" s="270" t="e">
        <f>INDEX([75]Listas!$F$6:$J$10,MATCH(Q45,[75]Listas!$D$6:$D$10,0),MATCH(R45,[75]Listas!$F$4:$J$4,0))</f>
        <v>#N/A</v>
      </c>
      <c r="V45" s="1399"/>
      <c r="W45" s="1408"/>
      <c r="X45" s="1400"/>
      <c r="Y45" s="1063"/>
      <c r="Z45" s="267"/>
      <c r="AA45" s="259"/>
      <c r="AB45" s="790"/>
      <c r="AC45" s="267"/>
      <c r="AD45" s="268"/>
      <c r="AE45" s="269">
        <f t="shared" si="2"/>
        <v>0</v>
      </c>
      <c r="AF45" s="271" t="e">
        <f t="shared" si="0"/>
        <v>#N/A</v>
      </c>
      <c r="AG45" s="272" t="e">
        <f>IF(AF45&lt;=1,"Remota",VLOOKUP(AF45,[75]Listas!$C$6:$D$10,2,0))</f>
        <v>#N/A</v>
      </c>
      <c r="AH45" s="271" t="e">
        <f t="shared" si="1"/>
        <v>#N/A</v>
      </c>
      <c r="AI45" s="272" t="e">
        <f>IF(AH45&lt;=1,"Insignificante",HLOOKUP(AH45,[75]Listas!$F$3:$J$4,2,0))</f>
        <v>#N/A</v>
      </c>
      <c r="AJ45" s="273" t="e">
        <f t="shared" si="3"/>
        <v>#N/A</v>
      </c>
      <c r="AK45" s="270" t="e">
        <f>INDEX([75]Listas!$F$6:$J$10,MATCH(AG45,[75]Listas!$D$6:$D$10,0),MATCH(AI45,[75]Listas!$F$4:$J$4,0))</f>
        <v>#N/A</v>
      </c>
      <c r="AL45" s="259"/>
      <c r="AM45" s="259"/>
      <c r="AN45" s="794"/>
      <c r="AO45" s="259"/>
      <c r="AP45" s="259" t="s">
        <v>2877</v>
      </c>
      <c r="AQ45" s="813"/>
      <c r="AR45" s="259"/>
      <c r="AS45" s="259"/>
      <c r="AT45" s="261"/>
      <c r="AU45" s="261"/>
      <c r="AV45" s="790"/>
      <c r="AW45" s="262"/>
    </row>
    <row r="46" spans="1:49" s="260" customFormat="1" ht="103.5" hidden="1" customHeight="1">
      <c r="A46" s="790"/>
      <c r="B46" s="266"/>
      <c r="C46" s="1399"/>
      <c r="D46" s="1408"/>
      <c r="E46" s="1400"/>
      <c r="F46" s="267"/>
      <c r="G46" s="1399"/>
      <c r="H46" s="1408"/>
      <c r="I46" s="1400"/>
      <c r="J46" s="1380"/>
      <c r="K46" s="1380"/>
      <c r="L46" s="1380"/>
      <c r="M46" s="790"/>
      <c r="N46" s="790"/>
      <c r="O46" s="790"/>
      <c r="P46" s="790"/>
      <c r="Q46" s="266"/>
      <c r="R46" s="266"/>
      <c r="S46" s="269" t="e">
        <f>VLOOKUP(Q46,[75]Listas!$D$6:$E$10,2,0)</f>
        <v>#N/A</v>
      </c>
      <c r="T46" s="269" t="e">
        <f>HLOOKUP(R46,[75]Listas!$F$4:$J$5,2,0)</f>
        <v>#N/A</v>
      </c>
      <c r="U46" s="270" t="e">
        <f>INDEX([75]Listas!$F$6:$J$10,MATCH(Q46,[75]Listas!$D$6:$D$10,0),MATCH(R46,[75]Listas!$F$4:$J$4,0))</f>
        <v>#N/A</v>
      </c>
      <c r="V46" s="1399"/>
      <c r="W46" s="1408"/>
      <c r="X46" s="1400"/>
      <c r="Y46" s="1063"/>
      <c r="Z46" s="267"/>
      <c r="AA46" s="259"/>
      <c r="AB46" s="790"/>
      <c r="AC46" s="267"/>
      <c r="AD46" s="268"/>
      <c r="AE46" s="269">
        <f t="shared" si="2"/>
        <v>0</v>
      </c>
      <c r="AF46" s="271" t="e">
        <f t="shared" si="0"/>
        <v>#N/A</v>
      </c>
      <c r="AG46" s="272" t="e">
        <f>IF(AF46&lt;=1,"Remota",VLOOKUP(AF46,[75]Listas!$C$6:$D$10,2,0))</f>
        <v>#N/A</v>
      </c>
      <c r="AH46" s="271" t="e">
        <f t="shared" si="1"/>
        <v>#N/A</v>
      </c>
      <c r="AI46" s="272" t="e">
        <f>IF(AH46&lt;=1,"Insignificante",HLOOKUP(AH46,[75]Listas!$F$3:$J$4,2,0))</f>
        <v>#N/A</v>
      </c>
      <c r="AJ46" s="273" t="e">
        <f t="shared" si="3"/>
        <v>#N/A</v>
      </c>
      <c r="AK46" s="270" t="e">
        <f>INDEX([75]Listas!$F$6:$J$10,MATCH(AG46,[75]Listas!$D$6:$D$10,0),MATCH(AI46,[75]Listas!$F$4:$J$4,0))</f>
        <v>#N/A</v>
      </c>
      <c r="AL46" s="259"/>
      <c r="AM46" s="259"/>
      <c r="AN46" s="794"/>
      <c r="AO46" s="259"/>
      <c r="AP46" s="259" t="s">
        <v>2877</v>
      </c>
      <c r="AQ46" s="813"/>
      <c r="AR46" s="259"/>
      <c r="AS46" s="259"/>
      <c r="AT46" s="261"/>
      <c r="AU46" s="261"/>
      <c r="AV46" s="790"/>
      <c r="AW46" s="262"/>
    </row>
    <row r="47" spans="1:49" s="260" customFormat="1" ht="103.5" hidden="1" customHeight="1">
      <c r="A47" s="790"/>
      <c r="B47" s="266"/>
      <c r="C47" s="1399"/>
      <c r="D47" s="1408"/>
      <c r="E47" s="1400"/>
      <c r="F47" s="267"/>
      <c r="G47" s="1399"/>
      <c r="H47" s="1408"/>
      <c r="I47" s="1400"/>
      <c r="J47" s="1380"/>
      <c r="K47" s="1380"/>
      <c r="L47" s="1380"/>
      <c r="M47" s="790"/>
      <c r="N47" s="790"/>
      <c r="O47" s="790"/>
      <c r="P47" s="790"/>
      <c r="Q47" s="266"/>
      <c r="R47" s="266"/>
      <c r="S47" s="269" t="e">
        <f>VLOOKUP(Q47,[75]Listas!$D$6:$E$10,2,0)</f>
        <v>#N/A</v>
      </c>
      <c r="T47" s="269" t="e">
        <f>HLOOKUP(R47,[75]Listas!$F$4:$J$5,2,0)</f>
        <v>#N/A</v>
      </c>
      <c r="U47" s="270" t="e">
        <f>INDEX([75]Listas!$F$6:$J$10,MATCH(Q47,[75]Listas!$D$6:$D$10,0),MATCH(R47,[75]Listas!$F$4:$J$4,0))</f>
        <v>#N/A</v>
      </c>
      <c r="V47" s="1399"/>
      <c r="W47" s="1408"/>
      <c r="X47" s="1400"/>
      <c r="Y47" s="1063"/>
      <c r="Z47" s="267"/>
      <c r="AA47" s="259"/>
      <c r="AB47" s="790"/>
      <c r="AC47" s="267"/>
      <c r="AD47" s="268"/>
      <c r="AE47" s="269">
        <f t="shared" si="2"/>
        <v>0</v>
      </c>
      <c r="AF47" s="271" t="e">
        <f t="shared" si="0"/>
        <v>#N/A</v>
      </c>
      <c r="AG47" s="272" t="e">
        <f>IF(AF47&lt;=1,"Remota",VLOOKUP(AF47,[75]Listas!$C$6:$D$10,2,0))</f>
        <v>#N/A</v>
      </c>
      <c r="AH47" s="271" t="e">
        <f t="shared" si="1"/>
        <v>#N/A</v>
      </c>
      <c r="AI47" s="272" t="e">
        <f>IF(AH47&lt;=1,"Insignificante",HLOOKUP(AH47,[75]Listas!$F$3:$J$4,2,0))</f>
        <v>#N/A</v>
      </c>
      <c r="AJ47" s="273" t="e">
        <f t="shared" si="3"/>
        <v>#N/A</v>
      </c>
      <c r="AK47" s="270" t="e">
        <f>INDEX([75]Listas!$F$6:$J$10,MATCH(AG47,[75]Listas!$D$6:$D$10,0),MATCH(AI47,[75]Listas!$F$4:$J$4,0))</f>
        <v>#N/A</v>
      </c>
      <c r="AL47" s="259"/>
      <c r="AM47" s="259"/>
      <c r="AN47" s="794"/>
      <c r="AO47" s="259"/>
      <c r="AP47" s="259" t="s">
        <v>2877</v>
      </c>
      <c r="AQ47" s="813"/>
      <c r="AR47" s="259"/>
      <c r="AS47" s="259"/>
      <c r="AT47" s="261"/>
      <c r="AU47" s="261"/>
      <c r="AV47" s="790"/>
      <c r="AW47" s="262"/>
    </row>
    <row r="48" spans="1:49" s="260" customFormat="1" ht="103.5" hidden="1" customHeight="1">
      <c r="A48" s="790"/>
      <c r="B48" s="266"/>
      <c r="C48" s="1399"/>
      <c r="D48" s="1408"/>
      <c r="E48" s="1400"/>
      <c r="F48" s="267"/>
      <c r="G48" s="1399"/>
      <c r="H48" s="1408"/>
      <c r="I48" s="1400"/>
      <c r="J48" s="1380"/>
      <c r="K48" s="1380"/>
      <c r="L48" s="1380"/>
      <c r="M48" s="790"/>
      <c r="N48" s="790"/>
      <c r="O48" s="790"/>
      <c r="P48" s="790"/>
      <c r="Q48" s="266"/>
      <c r="R48" s="266"/>
      <c r="S48" s="269" t="e">
        <f>VLOOKUP(Q48,[75]Listas!$D$6:$E$10,2,0)</f>
        <v>#N/A</v>
      </c>
      <c r="T48" s="269" t="e">
        <f>HLOOKUP(R48,[75]Listas!$F$4:$J$5,2,0)</f>
        <v>#N/A</v>
      </c>
      <c r="U48" s="270" t="e">
        <f>INDEX([75]Listas!$F$6:$J$10,MATCH(Q48,[75]Listas!$D$6:$D$10,0),MATCH(R48,[75]Listas!$F$4:$J$4,0))</f>
        <v>#N/A</v>
      </c>
      <c r="V48" s="1399"/>
      <c r="W48" s="1408"/>
      <c r="X48" s="1400"/>
      <c r="Y48" s="1063"/>
      <c r="Z48" s="267"/>
      <c r="AA48" s="259"/>
      <c r="AB48" s="790"/>
      <c r="AC48" s="267"/>
      <c r="AD48" s="268"/>
      <c r="AE48" s="269">
        <f t="shared" si="2"/>
        <v>0</v>
      </c>
      <c r="AF48" s="271" t="e">
        <f t="shared" si="0"/>
        <v>#N/A</v>
      </c>
      <c r="AG48" s="272" t="e">
        <f>IF(AF48&lt;=1,"Remota",VLOOKUP(AF48,[75]Listas!$C$6:$D$10,2,0))</f>
        <v>#N/A</v>
      </c>
      <c r="AH48" s="271" t="e">
        <f t="shared" si="1"/>
        <v>#N/A</v>
      </c>
      <c r="AI48" s="272" t="e">
        <f>IF(AH48&lt;=1,"Insignificante",HLOOKUP(AH48,[75]Listas!$F$3:$J$4,2,0))</f>
        <v>#N/A</v>
      </c>
      <c r="AJ48" s="273" t="e">
        <f t="shared" si="3"/>
        <v>#N/A</v>
      </c>
      <c r="AK48" s="270" t="e">
        <f>INDEX([75]Listas!$F$6:$J$10,MATCH(AG48,[75]Listas!$D$6:$D$10,0),MATCH(AI48,[75]Listas!$F$4:$J$4,0))</f>
        <v>#N/A</v>
      </c>
      <c r="AL48" s="259"/>
      <c r="AM48" s="259"/>
      <c r="AN48" s="794"/>
      <c r="AO48" s="259"/>
      <c r="AP48" s="259" t="s">
        <v>2877</v>
      </c>
      <c r="AQ48" s="813"/>
      <c r="AR48" s="259"/>
      <c r="AS48" s="259"/>
      <c r="AT48" s="261"/>
      <c r="AU48" s="261"/>
      <c r="AV48" s="790"/>
      <c r="AW48" s="262"/>
    </row>
    <row r="49" spans="1:49" s="260" customFormat="1" ht="103.5" hidden="1" customHeight="1">
      <c r="A49" s="790"/>
      <c r="B49" s="266"/>
      <c r="C49" s="1399"/>
      <c r="D49" s="1408"/>
      <c r="E49" s="1400"/>
      <c r="F49" s="267"/>
      <c r="G49" s="1399"/>
      <c r="H49" s="1408"/>
      <c r="I49" s="1400"/>
      <c r="J49" s="1380"/>
      <c r="K49" s="1380"/>
      <c r="L49" s="1380"/>
      <c r="M49" s="790"/>
      <c r="N49" s="790"/>
      <c r="O49" s="790"/>
      <c r="P49" s="790"/>
      <c r="Q49" s="266"/>
      <c r="R49" s="266"/>
      <c r="S49" s="269" t="e">
        <f>VLOOKUP(Q49,[75]Listas!$D$6:$E$10,2,0)</f>
        <v>#N/A</v>
      </c>
      <c r="T49" s="269" t="e">
        <f>HLOOKUP(R49,[75]Listas!$F$4:$J$5,2,0)</f>
        <v>#N/A</v>
      </c>
      <c r="U49" s="270" t="e">
        <f>INDEX([75]Listas!$F$6:$J$10,MATCH(Q49,[75]Listas!$D$6:$D$10,0),MATCH(R49,[75]Listas!$F$4:$J$4,0))</f>
        <v>#N/A</v>
      </c>
      <c r="V49" s="1399"/>
      <c r="W49" s="1408"/>
      <c r="X49" s="1400"/>
      <c r="Y49" s="1063"/>
      <c r="Z49" s="267"/>
      <c r="AA49" s="259"/>
      <c r="AB49" s="790"/>
      <c r="AC49" s="267"/>
      <c r="AD49" s="268"/>
      <c r="AE49" s="269">
        <f t="shared" si="2"/>
        <v>0</v>
      </c>
      <c r="AF49" s="271" t="e">
        <f t="shared" si="0"/>
        <v>#N/A</v>
      </c>
      <c r="AG49" s="272" t="e">
        <f>IF(AF49&lt;=1,"Remota",VLOOKUP(AF49,[75]Listas!$C$6:$D$10,2,0))</f>
        <v>#N/A</v>
      </c>
      <c r="AH49" s="271" t="e">
        <f t="shared" si="1"/>
        <v>#N/A</v>
      </c>
      <c r="AI49" s="272" t="e">
        <f>IF(AH49&lt;=1,"Insignificante",HLOOKUP(AH49,[75]Listas!$F$3:$J$4,2,0))</f>
        <v>#N/A</v>
      </c>
      <c r="AJ49" s="273" t="e">
        <f t="shared" si="3"/>
        <v>#N/A</v>
      </c>
      <c r="AK49" s="270" t="e">
        <f>INDEX([75]Listas!$F$6:$J$10,MATCH(AG49,[75]Listas!$D$6:$D$10,0),MATCH(AI49,[75]Listas!$F$4:$J$4,0))</f>
        <v>#N/A</v>
      </c>
      <c r="AL49" s="259"/>
      <c r="AM49" s="259"/>
      <c r="AN49" s="794"/>
      <c r="AO49" s="259"/>
      <c r="AP49" s="259" t="s">
        <v>2877</v>
      </c>
      <c r="AQ49" s="813"/>
      <c r="AR49" s="259"/>
      <c r="AS49" s="259"/>
      <c r="AT49" s="261"/>
      <c r="AU49" s="261"/>
      <c r="AV49" s="790"/>
      <c r="AW49" s="262"/>
    </row>
    <row r="50" spans="1:49" s="260" customFormat="1" ht="103.5" hidden="1" customHeight="1">
      <c r="A50" s="790"/>
      <c r="B50" s="266"/>
      <c r="C50" s="1399"/>
      <c r="D50" s="1408"/>
      <c r="E50" s="1400"/>
      <c r="F50" s="267"/>
      <c r="G50" s="1399"/>
      <c r="H50" s="1408"/>
      <c r="I50" s="1400"/>
      <c r="J50" s="1380"/>
      <c r="K50" s="1380"/>
      <c r="L50" s="1380"/>
      <c r="M50" s="790"/>
      <c r="N50" s="790"/>
      <c r="O50" s="790"/>
      <c r="P50" s="790"/>
      <c r="Q50" s="266"/>
      <c r="R50" s="266"/>
      <c r="S50" s="269" t="e">
        <f>VLOOKUP(Q50,[75]Listas!$D$6:$E$10,2,0)</f>
        <v>#N/A</v>
      </c>
      <c r="T50" s="269" t="e">
        <f>HLOOKUP(R50,[75]Listas!$F$4:$J$5,2,0)</f>
        <v>#N/A</v>
      </c>
      <c r="U50" s="270" t="e">
        <f>INDEX([75]Listas!$F$6:$J$10,MATCH(Q50,[75]Listas!$D$6:$D$10,0),MATCH(R50,[75]Listas!$F$4:$J$4,0))</f>
        <v>#N/A</v>
      </c>
      <c r="V50" s="1399"/>
      <c r="W50" s="1408"/>
      <c r="X50" s="1400"/>
      <c r="Y50" s="1063"/>
      <c r="Z50" s="267"/>
      <c r="AA50" s="259"/>
      <c r="AB50" s="790"/>
      <c r="AC50" s="267"/>
      <c r="AD50" s="268"/>
      <c r="AE50" s="269">
        <f t="shared" si="2"/>
        <v>0</v>
      </c>
      <c r="AF50" s="271" t="e">
        <f t="shared" si="0"/>
        <v>#N/A</v>
      </c>
      <c r="AG50" s="272" t="e">
        <f>IF(AF50&lt;=1,"Remota",VLOOKUP(AF50,[75]Listas!$C$6:$D$10,2,0))</f>
        <v>#N/A</v>
      </c>
      <c r="AH50" s="271" t="e">
        <f t="shared" si="1"/>
        <v>#N/A</v>
      </c>
      <c r="AI50" s="272" t="e">
        <f>IF(AH50&lt;=1,"Insignificante",HLOOKUP(AH50,[75]Listas!$F$3:$J$4,2,0))</f>
        <v>#N/A</v>
      </c>
      <c r="AJ50" s="273" t="e">
        <f t="shared" si="3"/>
        <v>#N/A</v>
      </c>
      <c r="AK50" s="270" t="e">
        <f>INDEX([75]Listas!$F$6:$J$10,MATCH(AG50,[75]Listas!$D$6:$D$10,0),MATCH(AI50,[75]Listas!$F$4:$J$4,0))</f>
        <v>#N/A</v>
      </c>
      <c r="AL50" s="259"/>
      <c r="AM50" s="259"/>
      <c r="AN50" s="794"/>
      <c r="AO50" s="259"/>
      <c r="AP50" s="259" t="s">
        <v>2877</v>
      </c>
      <c r="AQ50" s="813"/>
      <c r="AR50" s="259"/>
      <c r="AS50" s="259"/>
      <c r="AT50" s="261"/>
      <c r="AU50" s="261"/>
      <c r="AV50" s="790"/>
      <c r="AW50" s="262"/>
    </row>
    <row r="51" spans="1:49" s="260" customFormat="1" ht="103.5" hidden="1" customHeight="1">
      <c r="A51" s="790"/>
      <c r="B51" s="266"/>
      <c r="C51" s="1399"/>
      <c r="D51" s="1408"/>
      <c r="E51" s="1400"/>
      <c r="F51" s="267"/>
      <c r="G51" s="1399"/>
      <c r="H51" s="1408"/>
      <c r="I51" s="1400"/>
      <c r="J51" s="1380"/>
      <c r="K51" s="1380"/>
      <c r="L51" s="1380"/>
      <c r="M51" s="790"/>
      <c r="N51" s="790"/>
      <c r="O51" s="790"/>
      <c r="P51" s="790"/>
      <c r="Q51" s="266"/>
      <c r="R51" s="266"/>
      <c r="S51" s="269" t="e">
        <f>VLOOKUP(Q51,[75]Listas!$D$6:$E$10,2,0)</f>
        <v>#N/A</v>
      </c>
      <c r="T51" s="269" t="e">
        <f>HLOOKUP(R51,[75]Listas!$F$4:$J$5,2,0)</f>
        <v>#N/A</v>
      </c>
      <c r="U51" s="270" t="e">
        <f>INDEX([75]Listas!$F$6:$J$10,MATCH(Q51,[75]Listas!$D$6:$D$10,0),MATCH(R51,[75]Listas!$F$4:$J$4,0))</f>
        <v>#N/A</v>
      </c>
      <c r="V51" s="1399"/>
      <c r="W51" s="1408"/>
      <c r="X51" s="1400"/>
      <c r="Y51" s="1063"/>
      <c r="Z51" s="267"/>
      <c r="AA51" s="259"/>
      <c r="AB51" s="790"/>
      <c r="AC51" s="267"/>
      <c r="AD51" s="268"/>
      <c r="AE51" s="269">
        <f t="shared" si="2"/>
        <v>0</v>
      </c>
      <c r="AF51" s="271" t="e">
        <f t="shared" si="0"/>
        <v>#N/A</v>
      </c>
      <c r="AG51" s="272" t="e">
        <f>IF(AF51&lt;=1,"Remota",VLOOKUP(AF51,[75]Listas!$C$6:$D$10,2,0))</f>
        <v>#N/A</v>
      </c>
      <c r="AH51" s="271" t="e">
        <f t="shared" si="1"/>
        <v>#N/A</v>
      </c>
      <c r="AI51" s="272" t="e">
        <f>IF(AH51&lt;=1,"Insignificante",HLOOKUP(AH51,[75]Listas!$F$3:$J$4,2,0))</f>
        <v>#N/A</v>
      </c>
      <c r="AJ51" s="273" t="e">
        <f t="shared" si="3"/>
        <v>#N/A</v>
      </c>
      <c r="AK51" s="270" t="e">
        <f>INDEX([75]Listas!$F$6:$J$10,MATCH(AG51,[75]Listas!$D$6:$D$10,0),MATCH(AI51,[75]Listas!$F$4:$J$4,0))</f>
        <v>#N/A</v>
      </c>
      <c r="AL51" s="259"/>
      <c r="AM51" s="259"/>
      <c r="AN51" s="794"/>
      <c r="AO51" s="259"/>
      <c r="AP51" s="259" t="s">
        <v>2877</v>
      </c>
      <c r="AQ51" s="813"/>
      <c r="AR51" s="259"/>
      <c r="AS51" s="259"/>
      <c r="AT51" s="261"/>
      <c r="AU51" s="261"/>
      <c r="AV51" s="790"/>
      <c r="AW51" s="262"/>
    </row>
    <row r="52" spans="1:49" s="260" customFormat="1" ht="103.5" hidden="1" customHeight="1">
      <c r="A52" s="790"/>
      <c r="B52" s="266"/>
      <c r="C52" s="1399"/>
      <c r="D52" s="1408"/>
      <c r="E52" s="1400"/>
      <c r="F52" s="267"/>
      <c r="G52" s="1399"/>
      <c r="H52" s="1408"/>
      <c r="I52" s="1400"/>
      <c r="J52" s="1380"/>
      <c r="K52" s="1380"/>
      <c r="L52" s="1380"/>
      <c r="M52" s="790"/>
      <c r="N52" s="790"/>
      <c r="O52" s="790"/>
      <c r="P52" s="790"/>
      <c r="Q52" s="266"/>
      <c r="R52" s="266"/>
      <c r="S52" s="269" t="e">
        <f>VLOOKUP(Q52,[75]Listas!$D$6:$E$10,2,0)</f>
        <v>#N/A</v>
      </c>
      <c r="T52" s="269" t="e">
        <f>HLOOKUP(R52,[75]Listas!$F$4:$J$5,2,0)</f>
        <v>#N/A</v>
      </c>
      <c r="U52" s="270" t="e">
        <f>INDEX([75]Listas!$F$6:$J$10,MATCH(Q52,[75]Listas!$D$6:$D$10,0),MATCH(R52,[75]Listas!$F$4:$J$4,0))</f>
        <v>#N/A</v>
      </c>
      <c r="V52" s="1399"/>
      <c r="W52" s="1408"/>
      <c r="X52" s="1400"/>
      <c r="Y52" s="1063"/>
      <c r="Z52" s="267"/>
      <c r="AA52" s="259"/>
      <c r="AB52" s="790"/>
      <c r="AC52" s="267"/>
      <c r="AD52" s="268"/>
      <c r="AE52" s="269">
        <f t="shared" si="2"/>
        <v>0</v>
      </c>
      <c r="AF52" s="271" t="e">
        <f t="shared" si="0"/>
        <v>#N/A</v>
      </c>
      <c r="AG52" s="272" t="e">
        <f>IF(AF52&lt;=1,"Remota",VLOOKUP(AF52,[75]Listas!$C$6:$D$10,2,0))</f>
        <v>#N/A</v>
      </c>
      <c r="AH52" s="271" t="e">
        <f t="shared" si="1"/>
        <v>#N/A</v>
      </c>
      <c r="AI52" s="272" t="e">
        <f>IF(AH52&lt;=1,"Insignificante",HLOOKUP(AH52,[75]Listas!$F$3:$J$4,2,0))</f>
        <v>#N/A</v>
      </c>
      <c r="AJ52" s="273" t="e">
        <f t="shared" si="3"/>
        <v>#N/A</v>
      </c>
      <c r="AK52" s="270" t="e">
        <f>INDEX([75]Listas!$F$6:$J$10,MATCH(AG52,[75]Listas!$D$6:$D$10,0),MATCH(AI52,[75]Listas!$F$4:$J$4,0))</f>
        <v>#N/A</v>
      </c>
      <c r="AL52" s="259"/>
      <c r="AM52" s="259"/>
      <c r="AN52" s="794"/>
      <c r="AO52" s="259"/>
      <c r="AP52" s="259" t="s">
        <v>2877</v>
      </c>
      <c r="AQ52" s="813"/>
      <c r="AR52" s="259"/>
      <c r="AS52" s="259"/>
      <c r="AT52" s="261"/>
      <c r="AU52" s="261"/>
      <c r="AV52" s="790"/>
      <c r="AW52" s="262"/>
    </row>
    <row r="53" spans="1:49" s="260" customFormat="1" ht="103.5" hidden="1" customHeight="1">
      <c r="A53" s="790"/>
      <c r="B53" s="266"/>
      <c r="C53" s="1399"/>
      <c r="D53" s="1408"/>
      <c r="E53" s="1400"/>
      <c r="F53" s="267"/>
      <c r="G53" s="1399"/>
      <c r="H53" s="1408"/>
      <c r="I53" s="1400"/>
      <c r="J53" s="1380"/>
      <c r="K53" s="1380"/>
      <c r="L53" s="1380"/>
      <c r="M53" s="790"/>
      <c r="N53" s="790"/>
      <c r="O53" s="790"/>
      <c r="P53" s="790"/>
      <c r="Q53" s="266"/>
      <c r="R53" s="266"/>
      <c r="S53" s="269" t="e">
        <f>VLOOKUP(Q53,[75]Listas!$D$6:$E$10,2,0)</f>
        <v>#N/A</v>
      </c>
      <c r="T53" s="269" t="e">
        <f>HLOOKUP(R53,[75]Listas!$F$4:$J$5,2,0)</f>
        <v>#N/A</v>
      </c>
      <c r="U53" s="270" t="e">
        <f>INDEX([75]Listas!$F$6:$J$10,MATCH(Q53,[75]Listas!$D$6:$D$10,0),MATCH(R53,[75]Listas!$F$4:$J$4,0))</f>
        <v>#N/A</v>
      </c>
      <c r="V53" s="1399"/>
      <c r="W53" s="1408"/>
      <c r="X53" s="1400"/>
      <c r="Y53" s="1063"/>
      <c r="Z53" s="267"/>
      <c r="AA53" s="259"/>
      <c r="AB53" s="790"/>
      <c r="AC53" s="267"/>
      <c r="AD53" s="268"/>
      <c r="AE53" s="269">
        <f t="shared" si="2"/>
        <v>0</v>
      </c>
      <c r="AF53" s="271" t="e">
        <f t="shared" si="0"/>
        <v>#N/A</v>
      </c>
      <c r="AG53" s="272" t="e">
        <f>IF(AF53&lt;=1,"Remota",VLOOKUP(AF53,[75]Listas!$C$6:$D$10,2,0))</f>
        <v>#N/A</v>
      </c>
      <c r="AH53" s="271" t="e">
        <f t="shared" si="1"/>
        <v>#N/A</v>
      </c>
      <c r="AI53" s="272" t="e">
        <f>IF(AH53&lt;=1,"Insignificante",HLOOKUP(AH53,[75]Listas!$F$3:$J$4,2,0))</f>
        <v>#N/A</v>
      </c>
      <c r="AJ53" s="273" t="e">
        <f t="shared" si="3"/>
        <v>#N/A</v>
      </c>
      <c r="AK53" s="270" t="e">
        <f>INDEX([75]Listas!$F$6:$J$10,MATCH(AG53,[75]Listas!$D$6:$D$10,0),MATCH(AI53,[75]Listas!$F$4:$J$4,0))</f>
        <v>#N/A</v>
      </c>
      <c r="AL53" s="259"/>
      <c r="AM53" s="259"/>
      <c r="AN53" s="794"/>
      <c r="AO53" s="259"/>
      <c r="AP53" s="259" t="s">
        <v>2877</v>
      </c>
      <c r="AQ53" s="813"/>
      <c r="AR53" s="259"/>
      <c r="AS53" s="259"/>
      <c r="AT53" s="261"/>
      <c r="AU53" s="261"/>
      <c r="AV53" s="790"/>
      <c r="AW53" s="262"/>
    </row>
    <row r="54" spans="1:49" s="260" customFormat="1" ht="103.5" hidden="1" customHeight="1">
      <c r="A54" s="790"/>
      <c r="B54" s="266"/>
      <c r="C54" s="1399"/>
      <c r="D54" s="1408"/>
      <c r="E54" s="1400"/>
      <c r="F54" s="267"/>
      <c r="G54" s="1399"/>
      <c r="H54" s="1408"/>
      <c r="I54" s="1400"/>
      <c r="J54" s="1380"/>
      <c r="K54" s="1380"/>
      <c r="L54" s="1380"/>
      <c r="M54" s="790"/>
      <c r="N54" s="790"/>
      <c r="O54" s="790"/>
      <c r="P54" s="790"/>
      <c r="Q54" s="266"/>
      <c r="R54" s="266"/>
      <c r="S54" s="269" t="e">
        <f>VLOOKUP(Q54,[75]Listas!$D$6:$E$10,2,0)</f>
        <v>#N/A</v>
      </c>
      <c r="T54" s="269" t="e">
        <f>HLOOKUP(R54,[75]Listas!$F$4:$J$5,2,0)</f>
        <v>#N/A</v>
      </c>
      <c r="U54" s="270" t="e">
        <f>INDEX([75]Listas!$F$6:$J$10,MATCH(Q54,[75]Listas!$D$6:$D$10,0),MATCH(R54,[75]Listas!$F$4:$J$4,0))</f>
        <v>#N/A</v>
      </c>
      <c r="V54" s="1399"/>
      <c r="W54" s="1408"/>
      <c r="X54" s="1400"/>
      <c r="Y54" s="1063"/>
      <c r="Z54" s="267"/>
      <c r="AA54" s="259"/>
      <c r="AB54" s="790"/>
      <c r="AC54" s="267"/>
      <c r="AD54" s="268"/>
      <c r="AE54" s="269">
        <f t="shared" si="2"/>
        <v>0</v>
      </c>
      <c r="AF54" s="271" t="e">
        <f t="shared" si="0"/>
        <v>#N/A</v>
      </c>
      <c r="AG54" s="272" t="e">
        <f>IF(AF54&lt;=1,"Remota",VLOOKUP(AF54,[75]Listas!$C$6:$D$10,2,0))</f>
        <v>#N/A</v>
      </c>
      <c r="AH54" s="271" t="e">
        <f t="shared" si="1"/>
        <v>#N/A</v>
      </c>
      <c r="AI54" s="272" t="e">
        <f>IF(AH54&lt;=1,"Insignificante",HLOOKUP(AH54,[75]Listas!$F$3:$J$4,2,0))</f>
        <v>#N/A</v>
      </c>
      <c r="AJ54" s="273" t="e">
        <f t="shared" si="3"/>
        <v>#N/A</v>
      </c>
      <c r="AK54" s="270" t="e">
        <f>INDEX([75]Listas!$F$6:$J$10,MATCH(AG54,[75]Listas!$D$6:$D$10,0),MATCH(AI54,[75]Listas!$F$4:$J$4,0))</f>
        <v>#N/A</v>
      </c>
      <c r="AL54" s="259"/>
      <c r="AM54" s="259"/>
      <c r="AN54" s="794"/>
      <c r="AO54" s="259"/>
      <c r="AP54" s="259" t="s">
        <v>2877</v>
      </c>
      <c r="AQ54" s="813"/>
      <c r="AR54" s="259"/>
      <c r="AS54" s="259"/>
      <c r="AT54" s="261"/>
      <c r="AU54" s="261"/>
      <c r="AV54" s="790"/>
      <c r="AW54" s="262"/>
    </row>
    <row r="55" spans="1:49" s="260" customFormat="1" ht="103.5" hidden="1" customHeight="1">
      <c r="A55" s="790"/>
      <c r="B55" s="266"/>
      <c r="C55" s="1399"/>
      <c r="D55" s="1408"/>
      <c r="E55" s="1400"/>
      <c r="F55" s="267"/>
      <c r="G55" s="1399"/>
      <c r="H55" s="1408"/>
      <c r="I55" s="1400"/>
      <c r="J55" s="1380"/>
      <c r="K55" s="1380"/>
      <c r="L55" s="1380"/>
      <c r="M55" s="790"/>
      <c r="N55" s="790"/>
      <c r="O55" s="790"/>
      <c r="P55" s="790"/>
      <c r="Q55" s="266"/>
      <c r="R55" s="266"/>
      <c r="S55" s="269" t="e">
        <f>VLOOKUP(Q55,[75]Listas!$D$6:$E$10,2,0)</f>
        <v>#N/A</v>
      </c>
      <c r="T55" s="269" t="e">
        <f>HLOOKUP(R55,[75]Listas!$F$4:$J$5,2,0)</f>
        <v>#N/A</v>
      </c>
      <c r="U55" s="270" t="e">
        <f>INDEX([75]Listas!$F$6:$J$10,MATCH(Q55,[75]Listas!$D$6:$D$10,0),MATCH(R55,[75]Listas!$F$4:$J$4,0))</f>
        <v>#N/A</v>
      </c>
      <c r="V55" s="1399"/>
      <c r="W55" s="1408"/>
      <c r="X55" s="1400"/>
      <c r="Y55" s="1063"/>
      <c r="Z55" s="267"/>
      <c r="AA55" s="259"/>
      <c r="AB55" s="790"/>
      <c r="AC55" s="267"/>
      <c r="AD55" s="268"/>
      <c r="AE55" s="269">
        <f t="shared" si="2"/>
        <v>0</v>
      </c>
      <c r="AF55" s="271" t="e">
        <f t="shared" si="0"/>
        <v>#N/A</v>
      </c>
      <c r="AG55" s="272" t="e">
        <f>IF(AF55&lt;=1,"Remota",VLOOKUP(AF55,[75]Listas!$C$6:$D$10,2,0))</f>
        <v>#N/A</v>
      </c>
      <c r="AH55" s="271" t="e">
        <f t="shared" si="1"/>
        <v>#N/A</v>
      </c>
      <c r="AI55" s="272" t="e">
        <f>IF(AH55&lt;=1,"Insignificante",HLOOKUP(AH55,[75]Listas!$F$3:$J$4,2,0))</f>
        <v>#N/A</v>
      </c>
      <c r="AJ55" s="273" t="e">
        <f t="shared" si="3"/>
        <v>#N/A</v>
      </c>
      <c r="AK55" s="270" t="e">
        <f>INDEX([75]Listas!$F$6:$J$10,MATCH(AG55,[75]Listas!$D$6:$D$10,0),MATCH(AI55,[75]Listas!$F$4:$J$4,0))</f>
        <v>#N/A</v>
      </c>
      <c r="AL55" s="259"/>
      <c r="AM55" s="259"/>
      <c r="AN55" s="794"/>
      <c r="AO55" s="259"/>
      <c r="AP55" s="259" t="s">
        <v>2877</v>
      </c>
      <c r="AQ55" s="813"/>
      <c r="AR55" s="259"/>
      <c r="AS55" s="259"/>
      <c r="AT55" s="261"/>
      <c r="AU55" s="261"/>
      <c r="AV55" s="790"/>
      <c r="AW55" s="262"/>
    </row>
    <row r="56" spans="1:49" s="260" customFormat="1" ht="103.5" hidden="1" customHeight="1">
      <c r="A56" s="790"/>
      <c r="B56" s="266"/>
      <c r="C56" s="1399"/>
      <c r="D56" s="1408"/>
      <c r="E56" s="1400"/>
      <c r="F56" s="267"/>
      <c r="G56" s="1399"/>
      <c r="H56" s="1408"/>
      <c r="I56" s="1400"/>
      <c r="J56" s="1380"/>
      <c r="K56" s="1380"/>
      <c r="L56" s="1380"/>
      <c r="M56" s="790"/>
      <c r="N56" s="790"/>
      <c r="O56" s="790"/>
      <c r="P56" s="790"/>
      <c r="Q56" s="266"/>
      <c r="R56" s="266"/>
      <c r="S56" s="269" t="e">
        <f>VLOOKUP(Q56,[75]Listas!$D$6:$E$10,2,0)</f>
        <v>#N/A</v>
      </c>
      <c r="T56" s="269" t="e">
        <f>HLOOKUP(R56,[75]Listas!$F$4:$J$5,2,0)</f>
        <v>#N/A</v>
      </c>
      <c r="U56" s="270" t="e">
        <f>INDEX([75]Listas!$F$6:$J$10,MATCH(Q56,[75]Listas!$D$6:$D$10,0),MATCH(R56,[75]Listas!$F$4:$J$4,0))</f>
        <v>#N/A</v>
      </c>
      <c r="V56" s="1399"/>
      <c r="W56" s="1408"/>
      <c r="X56" s="1400"/>
      <c r="Y56" s="1063"/>
      <c r="Z56" s="267"/>
      <c r="AA56" s="259"/>
      <c r="AB56" s="790"/>
      <c r="AC56" s="267"/>
      <c r="AD56" s="268"/>
      <c r="AE56" s="269">
        <f t="shared" si="2"/>
        <v>0</v>
      </c>
      <c r="AF56" s="271" t="e">
        <f t="shared" si="0"/>
        <v>#N/A</v>
      </c>
      <c r="AG56" s="272" t="e">
        <f>IF(AF56&lt;=1,"Remota",VLOOKUP(AF56,[75]Listas!$C$6:$D$10,2,0))</f>
        <v>#N/A</v>
      </c>
      <c r="AH56" s="271" t="e">
        <f t="shared" si="1"/>
        <v>#N/A</v>
      </c>
      <c r="AI56" s="272" t="e">
        <f>IF(AH56&lt;=1,"Insignificante",HLOOKUP(AH56,[75]Listas!$F$3:$J$4,2,0))</f>
        <v>#N/A</v>
      </c>
      <c r="AJ56" s="273" t="e">
        <f t="shared" si="3"/>
        <v>#N/A</v>
      </c>
      <c r="AK56" s="270" t="e">
        <f>INDEX([75]Listas!$F$6:$J$10,MATCH(AG56,[75]Listas!$D$6:$D$10,0),MATCH(AI56,[75]Listas!$F$4:$J$4,0))</f>
        <v>#N/A</v>
      </c>
      <c r="AL56" s="259"/>
      <c r="AM56" s="259"/>
      <c r="AN56" s="794"/>
      <c r="AO56" s="259"/>
      <c r="AP56" s="259" t="s">
        <v>2877</v>
      </c>
      <c r="AQ56" s="813"/>
      <c r="AR56" s="259"/>
      <c r="AS56" s="259"/>
      <c r="AT56" s="261"/>
      <c r="AU56" s="261"/>
      <c r="AV56" s="790"/>
      <c r="AW56" s="262"/>
    </row>
    <row r="57" spans="1:49" s="260" customFormat="1" ht="103.5" hidden="1" customHeight="1">
      <c r="A57" s="790"/>
      <c r="B57" s="266"/>
      <c r="C57" s="1399"/>
      <c r="D57" s="1408"/>
      <c r="E57" s="1400"/>
      <c r="F57" s="267"/>
      <c r="G57" s="1399"/>
      <c r="H57" s="1408"/>
      <c r="I57" s="1400"/>
      <c r="J57" s="1380"/>
      <c r="K57" s="1380"/>
      <c r="L57" s="1380"/>
      <c r="M57" s="790"/>
      <c r="N57" s="790"/>
      <c r="O57" s="790"/>
      <c r="P57" s="790"/>
      <c r="Q57" s="266"/>
      <c r="R57" s="266"/>
      <c r="S57" s="269" t="e">
        <f>VLOOKUP(Q57,[75]Listas!$D$6:$E$10,2,0)</f>
        <v>#N/A</v>
      </c>
      <c r="T57" s="269" t="e">
        <f>HLOOKUP(R57,[75]Listas!$F$4:$J$5,2,0)</f>
        <v>#N/A</v>
      </c>
      <c r="U57" s="270" t="e">
        <f>INDEX([75]Listas!$F$6:$J$10,MATCH(Q57,[75]Listas!$D$6:$D$10,0),MATCH(R57,[75]Listas!$F$4:$J$4,0))</f>
        <v>#N/A</v>
      </c>
      <c r="V57" s="1399"/>
      <c r="W57" s="1408"/>
      <c r="X57" s="1400"/>
      <c r="Y57" s="1063"/>
      <c r="Z57" s="267"/>
      <c r="AA57" s="259"/>
      <c r="AB57" s="790"/>
      <c r="AC57" s="267"/>
      <c r="AD57" s="268"/>
      <c r="AE57" s="269">
        <f t="shared" si="2"/>
        <v>0</v>
      </c>
      <c r="AF57" s="271" t="e">
        <f t="shared" si="0"/>
        <v>#N/A</v>
      </c>
      <c r="AG57" s="272" t="e">
        <f>IF(AF57&lt;=1,"Remota",VLOOKUP(AF57,[75]Listas!$C$6:$D$10,2,0))</f>
        <v>#N/A</v>
      </c>
      <c r="AH57" s="271" t="e">
        <f t="shared" si="1"/>
        <v>#N/A</v>
      </c>
      <c r="AI57" s="272" t="e">
        <f>IF(AH57&lt;=1,"Insignificante",HLOOKUP(AH57,[75]Listas!$F$3:$J$4,2,0))</f>
        <v>#N/A</v>
      </c>
      <c r="AJ57" s="273" t="e">
        <f t="shared" si="3"/>
        <v>#N/A</v>
      </c>
      <c r="AK57" s="270" t="e">
        <f>INDEX([75]Listas!$F$6:$J$10,MATCH(AG57,[75]Listas!$D$6:$D$10,0),MATCH(AI57,[75]Listas!$F$4:$J$4,0))</f>
        <v>#N/A</v>
      </c>
      <c r="AL57" s="259"/>
      <c r="AM57" s="259"/>
      <c r="AN57" s="794"/>
      <c r="AO57" s="259"/>
      <c r="AP57" s="259" t="s">
        <v>2877</v>
      </c>
      <c r="AQ57" s="813"/>
      <c r="AR57" s="259"/>
      <c r="AS57" s="259"/>
      <c r="AT57" s="261"/>
      <c r="AU57" s="261"/>
      <c r="AV57" s="790"/>
      <c r="AW57" s="262"/>
    </row>
    <row r="58" spans="1:49" s="260" customFormat="1" ht="103.5" hidden="1" customHeight="1">
      <c r="A58" s="790"/>
      <c r="B58" s="266"/>
      <c r="C58" s="1399"/>
      <c r="D58" s="1408"/>
      <c r="E58" s="1400"/>
      <c r="F58" s="267"/>
      <c r="G58" s="1399"/>
      <c r="H58" s="1408"/>
      <c r="I58" s="1400"/>
      <c r="J58" s="1380"/>
      <c r="K58" s="1380"/>
      <c r="L58" s="1380"/>
      <c r="M58" s="790"/>
      <c r="N58" s="790"/>
      <c r="O58" s="790"/>
      <c r="P58" s="790"/>
      <c r="Q58" s="266"/>
      <c r="R58" s="266"/>
      <c r="S58" s="269" t="e">
        <f>VLOOKUP(Q58,[75]Listas!$D$6:$E$10,2,0)</f>
        <v>#N/A</v>
      </c>
      <c r="T58" s="269" t="e">
        <f>HLOOKUP(R58,[75]Listas!$F$4:$J$5,2,0)</f>
        <v>#N/A</v>
      </c>
      <c r="U58" s="270" t="e">
        <f>INDEX([75]Listas!$F$6:$J$10,MATCH(Q58,[75]Listas!$D$6:$D$10,0),MATCH(R58,[75]Listas!$F$4:$J$4,0))</f>
        <v>#N/A</v>
      </c>
      <c r="V58" s="1399"/>
      <c r="W58" s="1408"/>
      <c r="X58" s="1400"/>
      <c r="Y58" s="1063"/>
      <c r="Z58" s="267"/>
      <c r="AA58" s="259"/>
      <c r="AB58" s="790"/>
      <c r="AC58" s="267"/>
      <c r="AD58" s="268"/>
      <c r="AE58" s="269">
        <f t="shared" si="2"/>
        <v>0</v>
      </c>
      <c r="AF58" s="271" t="e">
        <f t="shared" si="0"/>
        <v>#N/A</v>
      </c>
      <c r="AG58" s="272" t="e">
        <f>IF(AF58&lt;=1,"Remota",VLOOKUP(AF58,[75]Listas!$C$6:$D$10,2,0))</f>
        <v>#N/A</v>
      </c>
      <c r="AH58" s="271" t="e">
        <f t="shared" si="1"/>
        <v>#N/A</v>
      </c>
      <c r="AI58" s="272" t="e">
        <f>IF(AH58&lt;=1,"Insignificante",HLOOKUP(AH58,[75]Listas!$F$3:$J$4,2,0))</f>
        <v>#N/A</v>
      </c>
      <c r="AJ58" s="273" t="e">
        <f t="shared" si="3"/>
        <v>#N/A</v>
      </c>
      <c r="AK58" s="270" t="e">
        <f>INDEX([75]Listas!$F$6:$J$10,MATCH(AG58,[75]Listas!$D$6:$D$10,0),MATCH(AI58,[75]Listas!$F$4:$J$4,0))</f>
        <v>#N/A</v>
      </c>
      <c r="AL58" s="259"/>
      <c r="AM58" s="259"/>
      <c r="AN58" s="794"/>
      <c r="AO58" s="259"/>
      <c r="AP58" s="259" t="s">
        <v>2877</v>
      </c>
      <c r="AQ58" s="813"/>
      <c r="AR58" s="259"/>
      <c r="AS58" s="259"/>
      <c r="AT58" s="261"/>
      <c r="AU58" s="261"/>
      <c r="AV58" s="790"/>
      <c r="AW58" s="262"/>
    </row>
    <row r="59" spans="1:49" s="260" customFormat="1" ht="103.5" hidden="1" customHeight="1">
      <c r="A59" s="790"/>
      <c r="B59" s="266"/>
      <c r="C59" s="1399"/>
      <c r="D59" s="1408"/>
      <c r="E59" s="1400"/>
      <c r="F59" s="267"/>
      <c r="G59" s="1399"/>
      <c r="H59" s="1408"/>
      <c r="I59" s="1400"/>
      <c r="J59" s="1380"/>
      <c r="K59" s="1380"/>
      <c r="L59" s="1380"/>
      <c r="M59" s="790"/>
      <c r="N59" s="790"/>
      <c r="O59" s="790"/>
      <c r="P59" s="790"/>
      <c r="Q59" s="266"/>
      <c r="R59" s="266"/>
      <c r="S59" s="269" t="e">
        <f>VLOOKUP(Q59,[75]Listas!$D$6:$E$10,2,0)</f>
        <v>#N/A</v>
      </c>
      <c r="T59" s="269" t="e">
        <f>HLOOKUP(R59,[75]Listas!$F$4:$J$5,2,0)</f>
        <v>#N/A</v>
      </c>
      <c r="U59" s="270" t="e">
        <f>INDEX([75]Listas!$F$6:$J$10,MATCH(Q59,[75]Listas!$D$6:$D$10,0),MATCH(R59,[75]Listas!$F$4:$J$4,0))</f>
        <v>#N/A</v>
      </c>
      <c r="V59" s="1399"/>
      <c r="W59" s="1408"/>
      <c r="X59" s="1400"/>
      <c r="Y59" s="1063"/>
      <c r="Z59" s="267"/>
      <c r="AA59" s="259"/>
      <c r="AB59" s="790"/>
      <c r="AC59" s="267"/>
      <c r="AD59" s="268"/>
      <c r="AE59" s="269">
        <f t="shared" si="2"/>
        <v>0</v>
      </c>
      <c r="AF59" s="271" t="e">
        <f t="shared" si="0"/>
        <v>#N/A</v>
      </c>
      <c r="AG59" s="272" t="e">
        <f>IF(AF59&lt;=1,"Remota",VLOOKUP(AF59,[75]Listas!$C$6:$D$10,2,0))</f>
        <v>#N/A</v>
      </c>
      <c r="AH59" s="271" t="e">
        <f t="shared" si="1"/>
        <v>#N/A</v>
      </c>
      <c r="AI59" s="272" t="e">
        <f>IF(AH59&lt;=1,"Insignificante",HLOOKUP(AH59,[75]Listas!$F$3:$J$4,2,0))</f>
        <v>#N/A</v>
      </c>
      <c r="AJ59" s="273" t="e">
        <f t="shared" si="3"/>
        <v>#N/A</v>
      </c>
      <c r="AK59" s="270" t="e">
        <f>INDEX([75]Listas!$F$6:$J$10,MATCH(AG59,[75]Listas!$D$6:$D$10,0),MATCH(AI59,[75]Listas!$F$4:$J$4,0))</f>
        <v>#N/A</v>
      </c>
      <c r="AL59" s="259"/>
      <c r="AM59" s="259"/>
      <c r="AN59" s="794"/>
      <c r="AO59" s="259"/>
      <c r="AP59" s="259" t="s">
        <v>2877</v>
      </c>
      <c r="AQ59" s="813"/>
      <c r="AR59" s="259"/>
      <c r="AS59" s="259"/>
      <c r="AT59" s="261"/>
      <c r="AU59" s="261"/>
      <c r="AV59" s="790"/>
      <c r="AW59" s="262"/>
    </row>
    <row r="60" spans="1:49" s="260" customFormat="1" ht="103.5" hidden="1" customHeight="1">
      <c r="A60" s="790"/>
      <c r="B60" s="266"/>
      <c r="C60" s="1399"/>
      <c r="D60" s="1408"/>
      <c r="E60" s="1400"/>
      <c r="F60" s="267"/>
      <c r="G60" s="1399"/>
      <c r="H60" s="1408"/>
      <c r="I60" s="1400"/>
      <c r="J60" s="1380"/>
      <c r="K60" s="1380"/>
      <c r="L60" s="1380"/>
      <c r="M60" s="790"/>
      <c r="N60" s="790"/>
      <c r="O60" s="790"/>
      <c r="P60" s="790"/>
      <c r="Q60" s="266"/>
      <c r="R60" s="266"/>
      <c r="S60" s="269" t="e">
        <f>VLOOKUP(Q60,[75]Listas!$D$6:$E$10,2,0)</f>
        <v>#N/A</v>
      </c>
      <c r="T60" s="269" t="e">
        <f>HLOOKUP(R60,[75]Listas!$F$4:$J$5,2,0)</f>
        <v>#N/A</v>
      </c>
      <c r="U60" s="270" t="e">
        <f>INDEX([75]Listas!$F$6:$J$10,MATCH(Q60,[75]Listas!$D$6:$D$10,0),MATCH(R60,[75]Listas!$F$4:$J$4,0))</f>
        <v>#N/A</v>
      </c>
      <c r="V60" s="1399"/>
      <c r="W60" s="1408"/>
      <c r="X60" s="1400"/>
      <c r="Y60" s="1063"/>
      <c r="Z60" s="267"/>
      <c r="AA60" s="259"/>
      <c r="AB60" s="790"/>
      <c r="AC60" s="267"/>
      <c r="AD60" s="268"/>
      <c r="AE60" s="269">
        <f t="shared" si="2"/>
        <v>0</v>
      </c>
      <c r="AF60" s="271" t="e">
        <f t="shared" si="0"/>
        <v>#N/A</v>
      </c>
      <c r="AG60" s="272" t="e">
        <f>IF(AF60&lt;=1,"Remota",VLOOKUP(AF60,[75]Listas!$C$6:$D$10,2,0))</f>
        <v>#N/A</v>
      </c>
      <c r="AH60" s="271" t="e">
        <f t="shared" si="1"/>
        <v>#N/A</v>
      </c>
      <c r="AI60" s="272" t="e">
        <f>IF(AH60&lt;=1,"Insignificante",HLOOKUP(AH60,[75]Listas!$F$3:$J$4,2,0))</f>
        <v>#N/A</v>
      </c>
      <c r="AJ60" s="273" t="e">
        <f t="shared" si="3"/>
        <v>#N/A</v>
      </c>
      <c r="AK60" s="270" t="e">
        <f>INDEX([75]Listas!$F$6:$J$10,MATCH(AG60,[75]Listas!$D$6:$D$10,0),MATCH(AI60,[75]Listas!$F$4:$J$4,0))</f>
        <v>#N/A</v>
      </c>
      <c r="AL60" s="259"/>
      <c r="AM60" s="259"/>
      <c r="AN60" s="794"/>
      <c r="AO60" s="259"/>
      <c r="AP60" s="259" t="s">
        <v>2877</v>
      </c>
      <c r="AQ60" s="813"/>
      <c r="AR60" s="259"/>
      <c r="AS60" s="259"/>
      <c r="AT60" s="261"/>
      <c r="AU60" s="261"/>
      <c r="AV60" s="790"/>
      <c r="AW60" s="262"/>
    </row>
    <row r="61" spans="1:49" s="260" customFormat="1" ht="103.5" hidden="1" customHeight="1">
      <c r="A61" s="790"/>
      <c r="B61" s="266"/>
      <c r="C61" s="1399"/>
      <c r="D61" s="1408"/>
      <c r="E61" s="1400"/>
      <c r="F61" s="267"/>
      <c r="G61" s="1399"/>
      <c r="H61" s="1408"/>
      <c r="I61" s="1400"/>
      <c r="J61" s="1380"/>
      <c r="K61" s="1380"/>
      <c r="L61" s="1380"/>
      <c r="M61" s="790"/>
      <c r="N61" s="790"/>
      <c r="O61" s="790"/>
      <c r="P61" s="790"/>
      <c r="Q61" s="266"/>
      <c r="R61" s="266"/>
      <c r="S61" s="269" t="e">
        <f>VLOOKUP(Q61,[75]Listas!$D$6:$E$10,2,0)</f>
        <v>#N/A</v>
      </c>
      <c r="T61" s="269" t="e">
        <f>HLOOKUP(R61,[75]Listas!$F$4:$J$5,2,0)</f>
        <v>#N/A</v>
      </c>
      <c r="U61" s="270" t="e">
        <f>INDEX([75]Listas!$F$6:$J$10,MATCH(Q61,[75]Listas!$D$6:$D$10,0),MATCH(R61,[75]Listas!$F$4:$J$4,0))</f>
        <v>#N/A</v>
      </c>
      <c r="V61" s="1399"/>
      <c r="W61" s="1408"/>
      <c r="X61" s="1400"/>
      <c r="Y61" s="1063"/>
      <c r="Z61" s="267"/>
      <c r="AA61" s="259"/>
      <c r="AB61" s="790"/>
      <c r="AC61" s="267"/>
      <c r="AD61" s="268"/>
      <c r="AE61" s="269">
        <f t="shared" si="2"/>
        <v>0</v>
      </c>
      <c r="AF61" s="271" t="e">
        <f t="shared" si="0"/>
        <v>#N/A</v>
      </c>
      <c r="AG61" s="272" t="e">
        <f>IF(AF61&lt;=1,"Remota",VLOOKUP(AF61,[75]Listas!$C$6:$D$10,2,0))</f>
        <v>#N/A</v>
      </c>
      <c r="AH61" s="271" t="e">
        <f t="shared" si="1"/>
        <v>#N/A</v>
      </c>
      <c r="AI61" s="272" t="e">
        <f>IF(AH61&lt;=1,"Insignificante",HLOOKUP(AH61,[75]Listas!$F$3:$J$4,2,0))</f>
        <v>#N/A</v>
      </c>
      <c r="AJ61" s="273" t="e">
        <f t="shared" si="3"/>
        <v>#N/A</v>
      </c>
      <c r="AK61" s="270" t="e">
        <f>INDEX([75]Listas!$F$6:$J$10,MATCH(AG61,[75]Listas!$D$6:$D$10,0),MATCH(AI61,[75]Listas!$F$4:$J$4,0))</f>
        <v>#N/A</v>
      </c>
      <c r="AL61" s="259"/>
      <c r="AM61" s="259"/>
      <c r="AN61" s="794"/>
      <c r="AO61" s="259"/>
      <c r="AP61" s="259" t="s">
        <v>2877</v>
      </c>
      <c r="AQ61" s="813"/>
      <c r="AR61" s="259"/>
      <c r="AS61" s="259"/>
      <c r="AT61" s="261"/>
      <c r="AU61" s="261"/>
      <c r="AV61" s="790"/>
      <c r="AW61" s="262"/>
    </row>
    <row r="62" spans="1:49" s="260" customFormat="1" ht="103.5" hidden="1" customHeight="1">
      <c r="A62" s="790"/>
      <c r="B62" s="266"/>
      <c r="C62" s="1399"/>
      <c r="D62" s="1408"/>
      <c r="E62" s="1400"/>
      <c r="F62" s="267"/>
      <c r="G62" s="1399"/>
      <c r="H62" s="1408"/>
      <c r="I62" s="1400"/>
      <c r="J62" s="1380"/>
      <c r="K62" s="1380"/>
      <c r="L62" s="1380"/>
      <c r="M62" s="790"/>
      <c r="N62" s="790"/>
      <c r="O62" s="790"/>
      <c r="P62" s="790"/>
      <c r="Q62" s="266"/>
      <c r="R62" s="266"/>
      <c r="S62" s="269" t="e">
        <f>VLOOKUP(Q62,[75]Listas!$D$6:$E$10,2,0)</f>
        <v>#N/A</v>
      </c>
      <c r="T62" s="269" t="e">
        <f>HLOOKUP(R62,[75]Listas!$F$4:$J$5,2,0)</f>
        <v>#N/A</v>
      </c>
      <c r="U62" s="270" t="e">
        <f>INDEX([75]Listas!$F$6:$J$10,MATCH(Q62,[75]Listas!$D$6:$D$10,0),MATCH(R62,[75]Listas!$F$4:$J$4,0))</f>
        <v>#N/A</v>
      </c>
      <c r="V62" s="1399"/>
      <c r="W62" s="1408"/>
      <c r="X62" s="1400"/>
      <c r="Y62" s="1063"/>
      <c r="Z62" s="267"/>
      <c r="AA62" s="259"/>
      <c r="AB62" s="790"/>
      <c r="AC62" s="267"/>
      <c r="AD62" s="268"/>
      <c r="AE62" s="269">
        <f t="shared" si="2"/>
        <v>0</v>
      </c>
      <c r="AF62" s="271" t="e">
        <f t="shared" si="0"/>
        <v>#N/A</v>
      </c>
      <c r="AG62" s="272" t="e">
        <f>IF(AF62&lt;=1,"Remota",VLOOKUP(AF62,[75]Listas!$C$6:$D$10,2,0))</f>
        <v>#N/A</v>
      </c>
      <c r="AH62" s="271" t="e">
        <f t="shared" si="1"/>
        <v>#N/A</v>
      </c>
      <c r="AI62" s="272" t="e">
        <f>IF(AH62&lt;=1,"Insignificante",HLOOKUP(AH62,[75]Listas!$F$3:$J$4,2,0))</f>
        <v>#N/A</v>
      </c>
      <c r="AJ62" s="273" t="e">
        <f t="shared" si="3"/>
        <v>#N/A</v>
      </c>
      <c r="AK62" s="270" t="e">
        <f>INDEX([75]Listas!$F$6:$J$10,MATCH(AG62,[75]Listas!$D$6:$D$10,0),MATCH(AI62,[75]Listas!$F$4:$J$4,0))</f>
        <v>#N/A</v>
      </c>
      <c r="AL62" s="259"/>
      <c r="AM62" s="259"/>
      <c r="AN62" s="794"/>
      <c r="AO62" s="259"/>
      <c r="AP62" s="259" t="s">
        <v>2877</v>
      </c>
      <c r="AQ62" s="813"/>
      <c r="AR62" s="259"/>
      <c r="AS62" s="259"/>
      <c r="AT62" s="261"/>
      <c r="AU62" s="261"/>
      <c r="AV62" s="790"/>
      <c r="AW62" s="262"/>
    </row>
    <row r="63" spans="1:49" s="260" customFormat="1" ht="103.5" hidden="1" customHeight="1">
      <c r="A63" s="790"/>
      <c r="B63" s="266"/>
      <c r="C63" s="1399"/>
      <c r="D63" s="1408"/>
      <c r="E63" s="1400"/>
      <c r="F63" s="267"/>
      <c r="G63" s="1399"/>
      <c r="H63" s="1408"/>
      <c r="I63" s="1400"/>
      <c r="J63" s="1380"/>
      <c r="K63" s="1380"/>
      <c r="L63" s="1380"/>
      <c r="M63" s="790"/>
      <c r="N63" s="790"/>
      <c r="O63" s="790"/>
      <c r="P63" s="790"/>
      <c r="Q63" s="266"/>
      <c r="R63" s="266"/>
      <c r="S63" s="269" t="e">
        <f>VLOOKUP(Q63,[75]Listas!$D$6:$E$10,2,0)</f>
        <v>#N/A</v>
      </c>
      <c r="T63" s="269" t="e">
        <f>HLOOKUP(R63,[75]Listas!$F$4:$J$5,2,0)</f>
        <v>#N/A</v>
      </c>
      <c r="U63" s="270" t="e">
        <f>INDEX([75]Listas!$F$6:$J$10,MATCH(Q63,[75]Listas!$D$6:$D$10,0),MATCH(R63,[75]Listas!$F$4:$J$4,0))</f>
        <v>#N/A</v>
      </c>
      <c r="V63" s="1399"/>
      <c r="W63" s="1408"/>
      <c r="X63" s="1400"/>
      <c r="Y63" s="1063"/>
      <c r="Z63" s="267"/>
      <c r="AA63" s="259"/>
      <c r="AB63" s="790"/>
      <c r="AC63" s="267"/>
      <c r="AD63" s="268"/>
      <c r="AE63" s="269">
        <f t="shared" si="2"/>
        <v>0</v>
      </c>
      <c r="AF63" s="271" t="e">
        <f t="shared" si="0"/>
        <v>#N/A</v>
      </c>
      <c r="AG63" s="272" t="e">
        <f>IF(AF63&lt;=1,"Remota",VLOOKUP(AF63,[75]Listas!$C$6:$D$10,2,0))</f>
        <v>#N/A</v>
      </c>
      <c r="AH63" s="271" t="e">
        <f t="shared" si="1"/>
        <v>#N/A</v>
      </c>
      <c r="AI63" s="272" t="e">
        <f>IF(AH63&lt;=1,"Insignificante",HLOOKUP(AH63,[75]Listas!$F$3:$J$4,2,0))</f>
        <v>#N/A</v>
      </c>
      <c r="AJ63" s="273" t="e">
        <f t="shared" si="3"/>
        <v>#N/A</v>
      </c>
      <c r="AK63" s="270" t="e">
        <f>INDEX([75]Listas!$F$6:$J$10,MATCH(AG63,[75]Listas!$D$6:$D$10,0),MATCH(AI63,[75]Listas!$F$4:$J$4,0))</f>
        <v>#N/A</v>
      </c>
      <c r="AL63" s="259"/>
      <c r="AM63" s="259"/>
      <c r="AN63" s="794"/>
      <c r="AO63" s="259"/>
      <c r="AP63" s="259" t="s">
        <v>2877</v>
      </c>
      <c r="AQ63" s="813"/>
      <c r="AR63" s="259"/>
      <c r="AS63" s="259"/>
      <c r="AT63" s="261"/>
      <c r="AU63" s="261"/>
      <c r="AV63" s="790"/>
      <c r="AW63" s="262"/>
    </row>
    <row r="64" spans="1:49" s="260" customFormat="1" ht="103.5" hidden="1" customHeight="1">
      <c r="A64" s="790"/>
      <c r="B64" s="266"/>
      <c r="C64" s="1399"/>
      <c r="D64" s="1408"/>
      <c r="E64" s="1400"/>
      <c r="F64" s="267"/>
      <c r="G64" s="1399"/>
      <c r="H64" s="1408"/>
      <c r="I64" s="1400"/>
      <c r="J64" s="1380"/>
      <c r="K64" s="1380"/>
      <c r="L64" s="1380"/>
      <c r="M64" s="790"/>
      <c r="N64" s="790"/>
      <c r="O64" s="790"/>
      <c r="P64" s="790"/>
      <c r="Q64" s="266"/>
      <c r="R64" s="266"/>
      <c r="S64" s="269" t="e">
        <f>VLOOKUP(Q64,[75]Listas!$D$6:$E$10,2,0)</f>
        <v>#N/A</v>
      </c>
      <c r="T64" s="269" t="e">
        <f>HLOOKUP(R64,[75]Listas!$F$4:$J$5,2,0)</f>
        <v>#N/A</v>
      </c>
      <c r="U64" s="270" t="e">
        <f>INDEX([75]Listas!$F$6:$J$10,MATCH(Q64,[75]Listas!$D$6:$D$10,0),MATCH(R64,[75]Listas!$F$4:$J$4,0))</f>
        <v>#N/A</v>
      </c>
      <c r="V64" s="1399"/>
      <c r="W64" s="1408"/>
      <c r="X64" s="1400"/>
      <c r="Y64" s="1063"/>
      <c r="Z64" s="267"/>
      <c r="AA64" s="259"/>
      <c r="AB64" s="790"/>
      <c r="AC64" s="267"/>
      <c r="AD64" s="268"/>
      <c r="AE64" s="269">
        <f t="shared" si="2"/>
        <v>0</v>
      </c>
      <c r="AF64" s="271" t="e">
        <f t="shared" si="0"/>
        <v>#N/A</v>
      </c>
      <c r="AG64" s="272" t="e">
        <f>IF(AF64&lt;=1,"Remota",VLOOKUP(AF64,[75]Listas!$C$6:$D$10,2,0))</f>
        <v>#N/A</v>
      </c>
      <c r="AH64" s="271" t="e">
        <f t="shared" si="1"/>
        <v>#N/A</v>
      </c>
      <c r="AI64" s="272" t="e">
        <f>IF(AH64&lt;=1,"Insignificante",HLOOKUP(AH64,[75]Listas!$F$3:$J$4,2,0))</f>
        <v>#N/A</v>
      </c>
      <c r="AJ64" s="273" t="e">
        <f t="shared" si="3"/>
        <v>#N/A</v>
      </c>
      <c r="AK64" s="270" t="e">
        <f>INDEX([75]Listas!$F$6:$J$10,MATCH(AG64,[75]Listas!$D$6:$D$10,0),MATCH(AI64,[75]Listas!$F$4:$J$4,0))</f>
        <v>#N/A</v>
      </c>
      <c r="AL64" s="259"/>
      <c r="AM64" s="259"/>
      <c r="AN64" s="794"/>
      <c r="AO64" s="259"/>
      <c r="AP64" s="259" t="s">
        <v>2877</v>
      </c>
      <c r="AQ64" s="813"/>
      <c r="AR64" s="259"/>
      <c r="AS64" s="259"/>
      <c r="AT64" s="261"/>
      <c r="AU64" s="261"/>
      <c r="AV64" s="790"/>
      <c r="AW64" s="262"/>
    </row>
    <row r="65" spans="1:49" s="260" customFormat="1" ht="103.5" hidden="1" customHeight="1">
      <c r="A65" s="790"/>
      <c r="B65" s="266"/>
      <c r="C65" s="1399"/>
      <c r="D65" s="1408"/>
      <c r="E65" s="1400"/>
      <c r="F65" s="267"/>
      <c r="G65" s="1399"/>
      <c r="H65" s="1408"/>
      <c r="I65" s="1400"/>
      <c r="J65" s="1380"/>
      <c r="K65" s="1380"/>
      <c r="L65" s="1380"/>
      <c r="M65" s="790"/>
      <c r="N65" s="790"/>
      <c r="O65" s="790"/>
      <c r="P65" s="790"/>
      <c r="Q65" s="266"/>
      <c r="R65" s="266"/>
      <c r="S65" s="269" t="e">
        <f>VLOOKUP(Q65,[75]Listas!$D$6:$E$10,2,0)</f>
        <v>#N/A</v>
      </c>
      <c r="T65" s="269" t="e">
        <f>HLOOKUP(R65,[75]Listas!$F$4:$J$5,2,0)</f>
        <v>#N/A</v>
      </c>
      <c r="U65" s="270" t="e">
        <f>INDEX([75]Listas!$F$6:$J$10,MATCH(Q65,[75]Listas!$D$6:$D$10,0),MATCH(R65,[75]Listas!$F$4:$J$4,0))</f>
        <v>#N/A</v>
      </c>
      <c r="V65" s="1399"/>
      <c r="W65" s="1408"/>
      <c r="X65" s="1400"/>
      <c r="Y65" s="1063"/>
      <c r="Z65" s="267"/>
      <c r="AA65" s="259"/>
      <c r="AB65" s="790"/>
      <c r="AC65" s="267"/>
      <c r="AD65" s="268"/>
      <c r="AE65" s="269">
        <f t="shared" si="2"/>
        <v>0</v>
      </c>
      <c r="AF65" s="271" t="e">
        <f t="shared" si="0"/>
        <v>#N/A</v>
      </c>
      <c r="AG65" s="272" t="e">
        <f>IF(AF65&lt;=1,"Remota",VLOOKUP(AF65,[75]Listas!$C$6:$D$10,2,0))</f>
        <v>#N/A</v>
      </c>
      <c r="AH65" s="271" t="e">
        <f t="shared" si="1"/>
        <v>#N/A</v>
      </c>
      <c r="AI65" s="272" t="e">
        <f>IF(AH65&lt;=1,"Insignificante",HLOOKUP(AH65,[75]Listas!$F$3:$J$4,2,0))</f>
        <v>#N/A</v>
      </c>
      <c r="AJ65" s="273" t="e">
        <f t="shared" si="3"/>
        <v>#N/A</v>
      </c>
      <c r="AK65" s="270" t="e">
        <f>INDEX([75]Listas!$F$6:$J$10,MATCH(AG65,[75]Listas!$D$6:$D$10,0),MATCH(AI65,[75]Listas!$F$4:$J$4,0))</f>
        <v>#N/A</v>
      </c>
      <c r="AL65" s="259"/>
      <c r="AM65" s="259"/>
      <c r="AN65" s="794"/>
      <c r="AO65" s="259"/>
      <c r="AP65" s="259" t="s">
        <v>2877</v>
      </c>
      <c r="AQ65" s="813"/>
      <c r="AR65" s="259"/>
      <c r="AS65" s="259"/>
      <c r="AT65" s="261"/>
      <c r="AU65" s="261"/>
      <c r="AV65" s="790"/>
      <c r="AW65" s="262"/>
    </row>
    <row r="66" spans="1:49" s="260" customFormat="1" ht="103.5" hidden="1" customHeight="1">
      <c r="A66" s="790"/>
      <c r="B66" s="266"/>
      <c r="C66" s="1399"/>
      <c r="D66" s="1408"/>
      <c r="E66" s="1400"/>
      <c r="F66" s="267"/>
      <c r="G66" s="1399"/>
      <c r="H66" s="1408"/>
      <c r="I66" s="1400"/>
      <c r="J66" s="1380"/>
      <c r="K66" s="1380"/>
      <c r="L66" s="1380"/>
      <c r="M66" s="790"/>
      <c r="N66" s="790"/>
      <c r="O66" s="790"/>
      <c r="P66" s="790"/>
      <c r="Q66" s="266"/>
      <c r="R66" s="266"/>
      <c r="S66" s="269" t="e">
        <f>VLOOKUP(Q66,[75]Listas!$D$6:$E$10,2,0)</f>
        <v>#N/A</v>
      </c>
      <c r="T66" s="269" t="e">
        <f>HLOOKUP(R66,[75]Listas!$F$4:$J$5,2,0)</f>
        <v>#N/A</v>
      </c>
      <c r="U66" s="270" t="e">
        <f>INDEX([75]Listas!$F$6:$J$10,MATCH(Q66,[75]Listas!$D$6:$D$10,0),MATCH(R66,[75]Listas!$F$4:$J$4,0))</f>
        <v>#N/A</v>
      </c>
      <c r="V66" s="1399"/>
      <c r="W66" s="1408"/>
      <c r="X66" s="1400"/>
      <c r="Y66" s="1063"/>
      <c r="Z66" s="267"/>
      <c r="AA66" s="259"/>
      <c r="AB66" s="790"/>
      <c r="AC66" s="267"/>
      <c r="AD66" s="268"/>
      <c r="AE66" s="269">
        <f t="shared" si="2"/>
        <v>0</v>
      </c>
      <c r="AF66" s="271" t="e">
        <f t="shared" si="0"/>
        <v>#N/A</v>
      </c>
      <c r="AG66" s="272" t="e">
        <f>IF(AF66&lt;=1,"Remota",VLOOKUP(AF66,[75]Listas!$C$6:$D$10,2,0))</f>
        <v>#N/A</v>
      </c>
      <c r="AH66" s="271" t="e">
        <f t="shared" si="1"/>
        <v>#N/A</v>
      </c>
      <c r="AI66" s="272" t="e">
        <f>IF(AH66&lt;=1,"Insignificante",HLOOKUP(AH66,[75]Listas!$F$3:$J$4,2,0))</f>
        <v>#N/A</v>
      </c>
      <c r="AJ66" s="273" t="e">
        <f t="shared" si="3"/>
        <v>#N/A</v>
      </c>
      <c r="AK66" s="270" t="e">
        <f>INDEX([75]Listas!$F$6:$J$10,MATCH(AG66,[75]Listas!$D$6:$D$10,0),MATCH(AI66,[75]Listas!$F$4:$J$4,0))</f>
        <v>#N/A</v>
      </c>
      <c r="AL66" s="259"/>
      <c r="AM66" s="259"/>
      <c r="AN66" s="794"/>
      <c r="AO66" s="259"/>
      <c r="AP66" s="259" t="s">
        <v>2877</v>
      </c>
      <c r="AQ66" s="813"/>
      <c r="AR66" s="259"/>
      <c r="AS66" s="259"/>
      <c r="AT66" s="261"/>
      <c r="AU66" s="261"/>
      <c r="AV66" s="790"/>
      <c r="AW66" s="262"/>
    </row>
    <row r="67" spans="1:49" s="260" customFormat="1" ht="103.5" hidden="1" customHeight="1">
      <c r="A67" s="790"/>
      <c r="B67" s="266"/>
      <c r="C67" s="1399"/>
      <c r="D67" s="1408"/>
      <c r="E67" s="1400"/>
      <c r="F67" s="267"/>
      <c r="G67" s="1399"/>
      <c r="H67" s="1408"/>
      <c r="I67" s="1400"/>
      <c r="J67" s="1380"/>
      <c r="K67" s="1380"/>
      <c r="L67" s="1380"/>
      <c r="M67" s="790"/>
      <c r="N67" s="790"/>
      <c r="O67" s="790"/>
      <c r="P67" s="790"/>
      <c r="Q67" s="266"/>
      <c r="R67" s="266"/>
      <c r="S67" s="269" t="e">
        <f>VLOOKUP(Q67,[75]Listas!$D$6:$E$10,2,0)</f>
        <v>#N/A</v>
      </c>
      <c r="T67" s="269" t="e">
        <f>HLOOKUP(R67,[75]Listas!$F$4:$J$5,2,0)</f>
        <v>#N/A</v>
      </c>
      <c r="U67" s="270" t="e">
        <f>INDEX([75]Listas!$F$6:$J$10,MATCH(Q67,[75]Listas!$D$6:$D$10,0),MATCH(R67,[75]Listas!$F$4:$J$4,0))</f>
        <v>#N/A</v>
      </c>
      <c r="V67" s="1399"/>
      <c r="W67" s="1408"/>
      <c r="X67" s="1400"/>
      <c r="Y67" s="1063"/>
      <c r="Z67" s="267"/>
      <c r="AA67" s="259"/>
      <c r="AB67" s="790"/>
      <c r="AC67" s="267"/>
      <c r="AD67" s="268"/>
      <c r="AE67" s="269">
        <f t="shared" si="2"/>
        <v>0</v>
      </c>
      <c r="AF67" s="271" t="e">
        <f t="shared" si="0"/>
        <v>#N/A</v>
      </c>
      <c r="AG67" s="272" t="e">
        <f>IF(AF67&lt;=1,"Remota",VLOOKUP(AF67,[75]Listas!$C$6:$D$10,2,0))</f>
        <v>#N/A</v>
      </c>
      <c r="AH67" s="271" t="e">
        <f t="shared" si="1"/>
        <v>#N/A</v>
      </c>
      <c r="AI67" s="272" t="e">
        <f>IF(AH67&lt;=1,"Insignificante",HLOOKUP(AH67,[75]Listas!$F$3:$J$4,2,0))</f>
        <v>#N/A</v>
      </c>
      <c r="AJ67" s="273" t="e">
        <f t="shared" si="3"/>
        <v>#N/A</v>
      </c>
      <c r="AK67" s="270" t="e">
        <f>INDEX([75]Listas!$F$6:$J$10,MATCH(AG67,[75]Listas!$D$6:$D$10,0),MATCH(AI67,[75]Listas!$F$4:$J$4,0))</f>
        <v>#N/A</v>
      </c>
      <c r="AL67" s="259"/>
      <c r="AM67" s="259"/>
      <c r="AN67" s="794"/>
      <c r="AO67" s="259"/>
      <c r="AP67" s="259" t="s">
        <v>2877</v>
      </c>
      <c r="AQ67" s="813"/>
      <c r="AR67" s="259"/>
      <c r="AS67" s="259"/>
      <c r="AT67" s="261"/>
      <c r="AU67" s="261"/>
      <c r="AV67" s="790"/>
      <c r="AW67" s="262"/>
    </row>
    <row r="68" spans="1:49" s="260" customFormat="1" ht="103.5" hidden="1" customHeight="1">
      <c r="A68" s="790"/>
      <c r="B68" s="266"/>
      <c r="C68" s="1399"/>
      <c r="D68" s="1408"/>
      <c r="E68" s="1400"/>
      <c r="F68" s="267"/>
      <c r="G68" s="1399"/>
      <c r="H68" s="1408"/>
      <c r="I68" s="1400"/>
      <c r="J68" s="1380"/>
      <c r="K68" s="1380"/>
      <c r="L68" s="1380"/>
      <c r="M68" s="790"/>
      <c r="N68" s="790"/>
      <c r="O68" s="790"/>
      <c r="P68" s="790"/>
      <c r="Q68" s="266"/>
      <c r="R68" s="266"/>
      <c r="S68" s="269" t="e">
        <f>VLOOKUP(Q68,[75]Listas!$D$6:$E$10,2,0)</f>
        <v>#N/A</v>
      </c>
      <c r="T68" s="269" t="e">
        <f>HLOOKUP(R68,[75]Listas!$F$4:$J$5,2,0)</f>
        <v>#N/A</v>
      </c>
      <c r="U68" s="270" t="e">
        <f>INDEX([75]Listas!$F$6:$J$10,MATCH(Q68,[75]Listas!$D$6:$D$10,0),MATCH(R68,[75]Listas!$F$4:$J$4,0))</f>
        <v>#N/A</v>
      </c>
      <c r="V68" s="1399"/>
      <c r="W68" s="1408"/>
      <c r="X68" s="1400"/>
      <c r="Y68" s="1063"/>
      <c r="Z68" s="267"/>
      <c r="AA68" s="259"/>
      <c r="AB68" s="790"/>
      <c r="AC68" s="267"/>
      <c r="AD68" s="268"/>
      <c r="AE68" s="269">
        <f t="shared" si="2"/>
        <v>0</v>
      </c>
      <c r="AF68" s="271" t="e">
        <f t="shared" si="0"/>
        <v>#N/A</v>
      </c>
      <c r="AG68" s="272" t="e">
        <f>IF(AF68&lt;=1,"Remota",VLOOKUP(AF68,[75]Listas!$C$6:$D$10,2,0))</f>
        <v>#N/A</v>
      </c>
      <c r="AH68" s="271" t="e">
        <f t="shared" si="1"/>
        <v>#N/A</v>
      </c>
      <c r="AI68" s="272" t="e">
        <f>IF(AH68&lt;=1,"Insignificante",HLOOKUP(AH68,[75]Listas!$F$3:$J$4,2,0))</f>
        <v>#N/A</v>
      </c>
      <c r="AJ68" s="273" t="e">
        <f t="shared" si="3"/>
        <v>#N/A</v>
      </c>
      <c r="AK68" s="270" t="e">
        <f>INDEX([75]Listas!$F$6:$J$10,MATCH(AG68,[75]Listas!$D$6:$D$10,0),MATCH(AI68,[75]Listas!$F$4:$J$4,0))</f>
        <v>#N/A</v>
      </c>
      <c r="AL68" s="259"/>
      <c r="AM68" s="259"/>
      <c r="AN68" s="794"/>
      <c r="AO68" s="259"/>
      <c r="AP68" s="259" t="s">
        <v>2877</v>
      </c>
      <c r="AQ68" s="813"/>
      <c r="AR68" s="259"/>
      <c r="AS68" s="259"/>
      <c r="AT68" s="261"/>
      <c r="AU68" s="261"/>
      <c r="AV68" s="790"/>
      <c r="AW68" s="262"/>
    </row>
    <row r="69" spans="1:49" s="260" customFormat="1" ht="103.5" hidden="1" customHeight="1">
      <c r="A69" s="790"/>
      <c r="B69" s="266"/>
      <c r="C69" s="1399"/>
      <c r="D69" s="1408"/>
      <c r="E69" s="1400"/>
      <c r="F69" s="267"/>
      <c r="G69" s="1399"/>
      <c r="H69" s="1408"/>
      <c r="I69" s="1400"/>
      <c r="J69" s="1380"/>
      <c r="K69" s="1380"/>
      <c r="L69" s="1380"/>
      <c r="M69" s="790"/>
      <c r="N69" s="790"/>
      <c r="O69" s="790"/>
      <c r="P69" s="790"/>
      <c r="Q69" s="266"/>
      <c r="R69" s="266"/>
      <c r="S69" s="269" t="e">
        <f>VLOOKUP(Q69,[75]Listas!$D$6:$E$10,2,0)</f>
        <v>#N/A</v>
      </c>
      <c r="T69" s="269" t="e">
        <f>HLOOKUP(R69,[75]Listas!$F$4:$J$5,2,0)</f>
        <v>#N/A</v>
      </c>
      <c r="U69" s="270" t="e">
        <f>INDEX([75]Listas!$F$6:$J$10,MATCH(Q69,[75]Listas!$D$6:$D$10,0),MATCH(R69,[75]Listas!$F$4:$J$4,0))</f>
        <v>#N/A</v>
      </c>
      <c r="V69" s="1399"/>
      <c r="W69" s="1408"/>
      <c r="X69" s="1400"/>
      <c r="Y69" s="1063"/>
      <c r="Z69" s="267"/>
      <c r="AA69" s="259"/>
      <c r="AB69" s="790"/>
      <c r="AC69" s="267"/>
      <c r="AD69" s="268"/>
      <c r="AE69" s="269">
        <f t="shared" si="2"/>
        <v>0</v>
      </c>
      <c r="AF69" s="271" t="e">
        <f t="shared" si="0"/>
        <v>#N/A</v>
      </c>
      <c r="AG69" s="272" t="e">
        <f>IF(AF69&lt;=1,"Remota",VLOOKUP(AF69,[75]Listas!$C$6:$D$10,2,0))</f>
        <v>#N/A</v>
      </c>
      <c r="AH69" s="271" t="e">
        <f t="shared" si="1"/>
        <v>#N/A</v>
      </c>
      <c r="AI69" s="272" t="e">
        <f>IF(AH69&lt;=1,"Insignificante",HLOOKUP(AH69,[75]Listas!$F$3:$J$4,2,0))</f>
        <v>#N/A</v>
      </c>
      <c r="AJ69" s="273" t="e">
        <f t="shared" si="3"/>
        <v>#N/A</v>
      </c>
      <c r="AK69" s="270" t="e">
        <f>INDEX([75]Listas!$F$6:$J$10,MATCH(AG69,[75]Listas!$D$6:$D$10,0),MATCH(AI69,[75]Listas!$F$4:$J$4,0))</f>
        <v>#N/A</v>
      </c>
      <c r="AL69" s="259"/>
      <c r="AM69" s="259"/>
      <c r="AN69" s="794"/>
      <c r="AO69" s="259"/>
      <c r="AP69" s="259" t="s">
        <v>2877</v>
      </c>
      <c r="AQ69" s="813"/>
      <c r="AR69" s="259"/>
      <c r="AS69" s="259"/>
      <c r="AT69" s="261"/>
      <c r="AU69" s="261"/>
      <c r="AV69" s="790"/>
      <c r="AW69" s="262"/>
    </row>
    <row r="70" spans="1:49" s="260" customFormat="1" ht="103.5" hidden="1" customHeight="1">
      <c r="A70" s="790"/>
      <c r="B70" s="266"/>
      <c r="C70" s="1399"/>
      <c r="D70" s="1408"/>
      <c r="E70" s="1400"/>
      <c r="F70" s="267"/>
      <c r="G70" s="1399"/>
      <c r="H70" s="1408"/>
      <c r="I70" s="1400"/>
      <c r="J70" s="1380"/>
      <c r="K70" s="1380"/>
      <c r="L70" s="1380"/>
      <c r="M70" s="790"/>
      <c r="N70" s="790"/>
      <c r="O70" s="790"/>
      <c r="P70" s="790"/>
      <c r="Q70" s="266"/>
      <c r="R70" s="266"/>
      <c r="S70" s="269" t="e">
        <f>VLOOKUP(Q70,[75]Listas!$D$6:$E$10,2,0)</f>
        <v>#N/A</v>
      </c>
      <c r="T70" s="269" t="e">
        <f>HLOOKUP(R70,[75]Listas!$F$4:$J$5,2,0)</f>
        <v>#N/A</v>
      </c>
      <c r="U70" s="270" t="e">
        <f>INDEX([75]Listas!$F$6:$J$10,MATCH(Q70,[75]Listas!$D$6:$D$10,0),MATCH(R70,[75]Listas!$F$4:$J$4,0))</f>
        <v>#N/A</v>
      </c>
      <c r="V70" s="1399"/>
      <c r="W70" s="1408"/>
      <c r="X70" s="1400"/>
      <c r="Y70" s="1063"/>
      <c r="Z70" s="267"/>
      <c r="AA70" s="259"/>
      <c r="AB70" s="790"/>
      <c r="AC70" s="267"/>
      <c r="AD70" s="268"/>
      <c r="AE70" s="269">
        <f t="shared" si="2"/>
        <v>0</v>
      </c>
      <c r="AF70" s="271" t="e">
        <f t="shared" si="0"/>
        <v>#N/A</v>
      </c>
      <c r="AG70" s="272" t="e">
        <f>IF(AF70&lt;=1,"Remota",VLOOKUP(AF70,[75]Listas!$C$6:$D$10,2,0))</f>
        <v>#N/A</v>
      </c>
      <c r="AH70" s="271" t="e">
        <f t="shared" si="1"/>
        <v>#N/A</v>
      </c>
      <c r="AI70" s="272" t="e">
        <f>IF(AH70&lt;=1,"Insignificante",HLOOKUP(AH70,[75]Listas!$F$3:$J$4,2,0))</f>
        <v>#N/A</v>
      </c>
      <c r="AJ70" s="273" t="e">
        <f t="shared" si="3"/>
        <v>#N/A</v>
      </c>
      <c r="AK70" s="270" t="e">
        <f>INDEX([75]Listas!$F$6:$J$10,MATCH(AG70,[75]Listas!$D$6:$D$10,0),MATCH(AI70,[75]Listas!$F$4:$J$4,0))</f>
        <v>#N/A</v>
      </c>
      <c r="AL70" s="259"/>
      <c r="AM70" s="259"/>
      <c r="AN70" s="794"/>
      <c r="AO70" s="259"/>
      <c r="AP70" s="259" t="s">
        <v>2877</v>
      </c>
      <c r="AQ70" s="813"/>
      <c r="AR70" s="259"/>
      <c r="AS70" s="259"/>
      <c r="AT70" s="261"/>
      <c r="AU70" s="261"/>
      <c r="AV70" s="790"/>
      <c r="AW70" s="262"/>
    </row>
    <row r="71" spans="1:49" s="260" customFormat="1" ht="103.5" hidden="1" customHeight="1">
      <c r="A71" s="790"/>
      <c r="B71" s="266"/>
      <c r="C71" s="1399"/>
      <c r="D71" s="1408"/>
      <c r="E71" s="1400"/>
      <c r="F71" s="267"/>
      <c r="G71" s="1399"/>
      <c r="H71" s="1408"/>
      <c r="I71" s="1400"/>
      <c r="J71" s="1380"/>
      <c r="K71" s="1380"/>
      <c r="L71" s="1380"/>
      <c r="M71" s="790"/>
      <c r="N71" s="790"/>
      <c r="O71" s="790"/>
      <c r="P71" s="790"/>
      <c r="Q71" s="266"/>
      <c r="R71" s="266"/>
      <c r="S71" s="269" t="e">
        <f>VLOOKUP(Q71,[75]Listas!$D$6:$E$10,2,0)</f>
        <v>#N/A</v>
      </c>
      <c r="T71" s="269" t="e">
        <f>HLOOKUP(R71,[75]Listas!$F$4:$J$5,2,0)</f>
        <v>#N/A</v>
      </c>
      <c r="U71" s="270" t="e">
        <f>INDEX([75]Listas!$F$6:$J$10,MATCH(Q71,[75]Listas!$D$6:$D$10,0),MATCH(R71,[75]Listas!$F$4:$J$4,0))</f>
        <v>#N/A</v>
      </c>
      <c r="V71" s="1399"/>
      <c r="W71" s="1408"/>
      <c r="X71" s="1400"/>
      <c r="Y71" s="1063"/>
      <c r="Z71" s="267"/>
      <c r="AA71" s="259"/>
      <c r="AB71" s="790"/>
      <c r="AC71" s="267"/>
      <c r="AD71" s="268"/>
      <c r="AE71" s="269">
        <f t="shared" si="2"/>
        <v>0</v>
      </c>
      <c r="AF71" s="271" t="e">
        <f t="shared" si="0"/>
        <v>#N/A</v>
      </c>
      <c r="AG71" s="272" t="e">
        <f>IF(AF71&lt;=1,"Remota",VLOOKUP(AF71,[75]Listas!$C$6:$D$10,2,0))</f>
        <v>#N/A</v>
      </c>
      <c r="AH71" s="271" t="e">
        <f t="shared" si="1"/>
        <v>#N/A</v>
      </c>
      <c r="AI71" s="272" t="e">
        <f>IF(AH71&lt;=1,"Insignificante",HLOOKUP(AH71,[75]Listas!$F$3:$J$4,2,0))</f>
        <v>#N/A</v>
      </c>
      <c r="AJ71" s="273" t="e">
        <f t="shared" si="3"/>
        <v>#N/A</v>
      </c>
      <c r="AK71" s="270" t="e">
        <f>INDEX([75]Listas!$F$6:$J$10,MATCH(AG71,[75]Listas!$D$6:$D$10,0),MATCH(AI71,[75]Listas!$F$4:$J$4,0))</f>
        <v>#N/A</v>
      </c>
      <c r="AL71" s="259"/>
      <c r="AM71" s="259"/>
      <c r="AN71" s="794"/>
      <c r="AO71" s="259"/>
      <c r="AP71" s="259" t="s">
        <v>2877</v>
      </c>
      <c r="AQ71" s="813"/>
      <c r="AR71" s="259"/>
      <c r="AS71" s="259"/>
      <c r="AT71" s="261"/>
      <c r="AU71" s="261"/>
      <c r="AV71" s="790"/>
      <c r="AW71" s="262"/>
    </row>
    <row r="72" spans="1:49" s="260" customFormat="1" ht="103.5" hidden="1" customHeight="1">
      <c r="A72" s="790"/>
      <c r="B72" s="266"/>
      <c r="C72" s="1399"/>
      <c r="D72" s="1408"/>
      <c r="E72" s="1400"/>
      <c r="F72" s="267"/>
      <c r="G72" s="1399"/>
      <c r="H72" s="1408"/>
      <c r="I72" s="1400"/>
      <c r="J72" s="1380"/>
      <c r="K72" s="1380"/>
      <c r="L72" s="1380"/>
      <c r="M72" s="790"/>
      <c r="N72" s="790"/>
      <c r="O72" s="790"/>
      <c r="P72" s="790"/>
      <c r="Q72" s="266"/>
      <c r="R72" s="266"/>
      <c r="S72" s="269" t="e">
        <f>VLOOKUP(Q72,[75]Listas!$D$6:$E$10,2,0)</f>
        <v>#N/A</v>
      </c>
      <c r="T72" s="269" t="e">
        <f>HLOOKUP(R72,[75]Listas!$F$4:$J$5,2,0)</f>
        <v>#N/A</v>
      </c>
      <c r="U72" s="270" t="e">
        <f>INDEX([75]Listas!$F$6:$J$10,MATCH(Q72,[75]Listas!$D$6:$D$10,0),MATCH(R72,[75]Listas!$F$4:$J$4,0))</f>
        <v>#N/A</v>
      </c>
      <c r="V72" s="1399"/>
      <c r="W72" s="1408"/>
      <c r="X72" s="1400"/>
      <c r="Y72" s="1063"/>
      <c r="Z72" s="267"/>
      <c r="AA72" s="259"/>
      <c r="AB72" s="790"/>
      <c r="AC72" s="267"/>
      <c r="AD72" s="268"/>
      <c r="AE72" s="269">
        <f t="shared" si="2"/>
        <v>0</v>
      </c>
      <c r="AF72" s="271" t="e">
        <f t="shared" si="0"/>
        <v>#N/A</v>
      </c>
      <c r="AG72" s="272" t="e">
        <f>IF(AF72&lt;=1,"Remota",VLOOKUP(AF72,[75]Listas!$C$6:$D$10,2,0))</f>
        <v>#N/A</v>
      </c>
      <c r="AH72" s="271" t="e">
        <f t="shared" si="1"/>
        <v>#N/A</v>
      </c>
      <c r="AI72" s="272" t="e">
        <f>IF(AH72&lt;=1,"Insignificante",HLOOKUP(AH72,[75]Listas!$F$3:$J$4,2,0))</f>
        <v>#N/A</v>
      </c>
      <c r="AJ72" s="273" t="e">
        <f t="shared" si="3"/>
        <v>#N/A</v>
      </c>
      <c r="AK72" s="270" t="e">
        <f>INDEX([75]Listas!$F$6:$J$10,MATCH(AG72,[75]Listas!$D$6:$D$10,0),MATCH(AI72,[75]Listas!$F$4:$J$4,0))</f>
        <v>#N/A</v>
      </c>
      <c r="AL72" s="259"/>
      <c r="AM72" s="259"/>
      <c r="AN72" s="794"/>
      <c r="AO72" s="259"/>
      <c r="AP72" s="259" t="s">
        <v>2877</v>
      </c>
      <c r="AQ72" s="813"/>
      <c r="AR72" s="259"/>
      <c r="AS72" s="259"/>
      <c r="AT72" s="261"/>
      <c r="AU72" s="261"/>
      <c r="AV72" s="790"/>
      <c r="AW72" s="262"/>
    </row>
    <row r="73" spans="1:49" s="260" customFormat="1" ht="103.5" hidden="1" customHeight="1">
      <c r="A73" s="790"/>
      <c r="B73" s="266"/>
      <c r="C73" s="1399"/>
      <c r="D73" s="1408"/>
      <c r="E73" s="1400"/>
      <c r="F73" s="267"/>
      <c r="G73" s="1399"/>
      <c r="H73" s="1408"/>
      <c r="I73" s="1400"/>
      <c r="J73" s="1380"/>
      <c r="K73" s="1380"/>
      <c r="L73" s="1380"/>
      <c r="M73" s="790"/>
      <c r="N73" s="790"/>
      <c r="O73" s="790"/>
      <c r="P73" s="790"/>
      <c r="Q73" s="266"/>
      <c r="R73" s="266"/>
      <c r="S73" s="269" t="e">
        <f>VLOOKUP(Q73,[75]Listas!$D$6:$E$10,2,0)</f>
        <v>#N/A</v>
      </c>
      <c r="T73" s="269" t="e">
        <f>HLOOKUP(R73,[75]Listas!$F$4:$J$5,2,0)</f>
        <v>#N/A</v>
      </c>
      <c r="U73" s="270" t="e">
        <f>INDEX([75]Listas!$F$6:$J$10,MATCH(Q73,[75]Listas!$D$6:$D$10,0),MATCH(R73,[75]Listas!$F$4:$J$4,0))</f>
        <v>#N/A</v>
      </c>
      <c r="V73" s="1399"/>
      <c r="W73" s="1408"/>
      <c r="X73" s="1400"/>
      <c r="Y73" s="1063"/>
      <c r="Z73" s="267"/>
      <c r="AA73" s="259"/>
      <c r="AB73" s="790"/>
      <c r="AC73" s="267"/>
      <c r="AD73" s="268"/>
      <c r="AE73" s="269">
        <f t="shared" si="2"/>
        <v>0</v>
      </c>
      <c r="AF73" s="271" t="e">
        <f t="shared" si="0"/>
        <v>#N/A</v>
      </c>
      <c r="AG73" s="272" t="e">
        <f>IF(AF73&lt;=1,"Remota",VLOOKUP(AF73,[75]Listas!$C$6:$D$10,2,0))</f>
        <v>#N/A</v>
      </c>
      <c r="AH73" s="271" t="e">
        <f t="shared" si="1"/>
        <v>#N/A</v>
      </c>
      <c r="AI73" s="272" t="e">
        <f>IF(AH73&lt;=1,"Insignificante",HLOOKUP(AH73,[75]Listas!$F$3:$J$4,2,0))</f>
        <v>#N/A</v>
      </c>
      <c r="AJ73" s="273" t="e">
        <f t="shared" si="3"/>
        <v>#N/A</v>
      </c>
      <c r="AK73" s="270" t="e">
        <f>INDEX([75]Listas!$F$6:$J$10,MATCH(AG73,[75]Listas!$D$6:$D$10,0),MATCH(AI73,[75]Listas!$F$4:$J$4,0))</f>
        <v>#N/A</v>
      </c>
      <c r="AL73" s="259"/>
      <c r="AM73" s="259"/>
      <c r="AN73" s="794"/>
      <c r="AO73" s="259"/>
      <c r="AP73" s="259" t="s">
        <v>2877</v>
      </c>
      <c r="AQ73" s="813"/>
      <c r="AR73" s="259"/>
      <c r="AS73" s="259"/>
      <c r="AT73" s="261"/>
      <c r="AU73" s="261"/>
      <c r="AV73" s="790"/>
      <c r="AW73" s="262"/>
    </row>
    <row r="74" spans="1:49" s="260" customFormat="1" ht="103.5" hidden="1" customHeight="1">
      <c r="A74" s="790"/>
      <c r="B74" s="266"/>
      <c r="C74" s="1399"/>
      <c r="D74" s="1408"/>
      <c r="E74" s="1400"/>
      <c r="F74" s="267"/>
      <c r="G74" s="1399"/>
      <c r="H74" s="1408"/>
      <c r="I74" s="1400"/>
      <c r="J74" s="1380"/>
      <c r="K74" s="1380"/>
      <c r="L74" s="1380"/>
      <c r="M74" s="790"/>
      <c r="N74" s="790"/>
      <c r="O74" s="790"/>
      <c r="P74" s="790"/>
      <c r="Q74" s="266"/>
      <c r="R74" s="266"/>
      <c r="S74" s="269" t="e">
        <f>VLOOKUP(Q74,[75]Listas!$D$6:$E$10,2,0)</f>
        <v>#N/A</v>
      </c>
      <c r="T74" s="269" t="e">
        <f>HLOOKUP(R74,[75]Listas!$F$4:$J$5,2,0)</f>
        <v>#N/A</v>
      </c>
      <c r="U74" s="270" t="e">
        <f>INDEX([75]Listas!$F$6:$J$10,MATCH(Q74,[75]Listas!$D$6:$D$10,0),MATCH(R74,[75]Listas!$F$4:$J$4,0))</f>
        <v>#N/A</v>
      </c>
      <c r="V74" s="1399"/>
      <c r="W74" s="1408"/>
      <c r="X74" s="1400"/>
      <c r="Y74" s="1063"/>
      <c r="Z74" s="267"/>
      <c r="AA74" s="259"/>
      <c r="AB74" s="790"/>
      <c r="AC74" s="267"/>
      <c r="AD74" s="268"/>
      <c r="AE74" s="269">
        <f t="shared" si="2"/>
        <v>0</v>
      </c>
      <c r="AF74" s="271" t="e">
        <f t="shared" si="0"/>
        <v>#N/A</v>
      </c>
      <c r="AG74" s="272" t="e">
        <f>IF(AF74&lt;=1,"Remota",VLOOKUP(AF74,[75]Listas!$C$6:$D$10,2,0))</f>
        <v>#N/A</v>
      </c>
      <c r="AH74" s="271" t="e">
        <f t="shared" si="1"/>
        <v>#N/A</v>
      </c>
      <c r="AI74" s="272" t="e">
        <f>IF(AH74&lt;=1,"Insignificante",HLOOKUP(AH74,[75]Listas!$F$3:$J$4,2,0))</f>
        <v>#N/A</v>
      </c>
      <c r="AJ74" s="273" t="e">
        <f t="shared" si="3"/>
        <v>#N/A</v>
      </c>
      <c r="AK74" s="270" t="e">
        <f>INDEX([75]Listas!$F$6:$J$10,MATCH(AG74,[75]Listas!$D$6:$D$10,0),MATCH(AI74,[75]Listas!$F$4:$J$4,0))</f>
        <v>#N/A</v>
      </c>
      <c r="AL74" s="259"/>
      <c r="AM74" s="259"/>
      <c r="AN74" s="794"/>
      <c r="AO74" s="259"/>
      <c r="AP74" s="259" t="s">
        <v>2877</v>
      </c>
      <c r="AQ74" s="813"/>
      <c r="AR74" s="259"/>
      <c r="AS74" s="259"/>
      <c r="AT74" s="261"/>
      <c r="AU74" s="261"/>
      <c r="AV74" s="790"/>
      <c r="AW74" s="262"/>
    </row>
    <row r="75" spans="1:49" s="260" customFormat="1" ht="103.5" hidden="1" customHeight="1">
      <c r="A75" s="790"/>
      <c r="B75" s="266"/>
      <c r="C75" s="1399"/>
      <c r="D75" s="1408"/>
      <c r="E75" s="1400"/>
      <c r="F75" s="267"/>
      <c r="G75" s="1399"/>
      <c r="H75" s="1408"/>
      <c r="I75" s="1400"/>
      <c r="J75" s="1380"/>
      <c r="K75" s="1380"/>
      <c r="L75" s="1380"/>
      <c r="M75" s="790"/>
      <c r="N75" s="790"/>
      <c r="O75" s="790"/>
      <c r="P75" s="790"/>
      <c r="Q75" s="266"/>
      <c r="R75" s="266"/>
      <c r="S75" s="269" t="e">
        <f>VLOOKUP(Q75,[75]Listas!$D$6:$E$10,2,0)</f>
        <v>#N/A</v>
      </c>
      <c r="T75" s="269" t="e">
        <f>HLOOKUP(R75,[75]Listas!$F$4:$J$5,2,0)</f>
        <v>#N/A</v>
      </c>
      <c r="U75" s="270" t="e">
        <f>INDEX([75]Listas!$F$6:$J$10,MATCH(Q75,[75]Listas!$D$6:$D$10,0),MATCH(R75,[75]Listas!$F$4:$J$4,0))</f>
        <v>#N/A</v>
      </c>
      <c r="V75" s="1399"/>
      <c r="W75" s="1408"/>
      <c r="X75" s="1400"/>
      <c r="Y75" s="1063"/>
      <c r="Z75" s="267"/>
      <c r="AA75" s="259"/>
      <c r="AB75" s="790"/>
      <c r="AC75" s="267"/>
      <c r="AD75" s="268"/>
      <c r="AE75" s="269">
        <f t="shared" si="2"/>
        <v>0</v>
      </c>
      <c r="AF75" s="271" t="e">
        <f t="shared" si="0"/>
        <v>#N/A</v>
      </c>
      <c r="AG75" s="272" t="e">
        <f>IF(AF75&lt;=1,"Remota",VLOOKUP(AF75,[75]Listas!$C$6:$D$10,2,0))</f>
        <v>#N/A</v>
      </c>
      <c r="AH75" s="271" t="e">
        <f t="shared" si="1"/>
        <v>#N/A</v>
      </c>
      <c r="AI75" s="272" t="e">
        <f>IF(AH75&lt;=1,"Insignificante",HLOOKUP(AH75,[75]Listas!$F$3:$J$4,2,0))</f>
        <v>#N/A</v>
      </c>
      <c r="AJ75" s="273" t="e">
        <f t="shared" si="3"/>
        <v>#N/A</v>
      </c>
      <c r="AK75" s="270" t="e">
        <f>INDEX([75]Listas!$F$6:$J$10,MATCH(AG75,[75]Listas!$D$6:$D$10,0),MATCH(AI75,[75]Listas!$F$4:$J$4,0))</f>
        <v>#N/A</v>
      </c>
      <c r="AL75" s="259"/>
      <c r="AM75" s="259"/>
      <c r="AN75" s="794"/>
      <c r="AO75" s="259"/>
      <c r="AP75" s="259" t="s">
        <v>2877</v>
      </c>
      <c r="AQ75" s="813"/>
      <c r="AR75" s="259"/>
      <c r="AS75" s="259"/>
      <c r="AT75" s="261"/>
      <c r="AU75" s="261"/>
      <c r="AV75" s="790"/>
      <c r="AW75" s="262"/>
    </row>
    <row r="76" spans="1:49" s="260" customFormat="1" ht="103.5" hidden="1" customHeight="1">
      <c r="A76" s="790"/>
      <c r="B76" s="266"/>
      <c r="C76" s="1399"/>
      <c r="D76" s="1408"/>
      <c r="E76" s="1400"/>
      <c r="F76" s="267"/>
      <c r="G76" s="1399"/>
      <c r="H76" s="1408"/>
      <c r="I76" s="1400"/>
      <c r="J76" s="1380"/>
      <c r="K76" s="1380"/>
      <c r="L76" s="1380"/>
      <c r="M76" s="790"/>
      <c r="N76" s="790"/>
      <c r="O76" s="790"/>
      <c r="P76" s="790"/>
      <c r="Q76" s="266"/>
      <c r="R76" s="266"/>
      <c r="S76" s="269" t="e">
        <f>VLOOKUP(Q76,[75]Listas!$D$6:$E$10,2,0)</f>
        <v>#N/A</v>
      </c>
      <c r="T76" s="269" t="e">
        <f>HLOOKUP(R76,[75]Listas!$F$4:$J$5,2,0)</f>
        <v>#N/A</v>
      </c>
      <c r="U76" s="270" t="e">
        <f>INDEX([75]Listas!$F$6:$J$10,MATCH(Q76,[75]Listas!$D$6:$D$10,0),MATCH(R76,[75]Listas!$F$4:$J$4,0))</f>
        <v>#N/A</v>
      </c>
      <c r="V76" s="1399"/>
      <c r="W76" s="1408"/>
      <c r="X76" s="1400"/>
      <c r="Y76" s="1063"/>
      <c r="Z76" s="267"/>
      <c r="AA76" s="259"/>
      <c r="AB76" s="790"/>
      <c r="AC76" s="267"/>
      <c r="AD76" s="268"/>
      <c r="AE76" s="269">
        <f t="shared" si="2"/>
        <v>0</v>
      </c>
      <c r="AF76" s="271" t="e">
        <f t="shared" si="0"/>
        <v>#N/A</v>
      </c>
      <c r="AG76" s="272" t="e">
        <f>IF(AF76&lt;=1,"Remota",VLOOKUP(AF76,[75]Listas!$C$6:$D$10,2,0))</f>
        <v>#N/A</v>
      </c>
      <c r="AH76" s="271" t="e">
        <f t="shared" si="1"/>
        <v>#N/A</v>
      </c>
      <c r="AI76" s="272" t="e">
        <f>IF(AH76&lt;=1,"Insignificante",HLOOKUP(AH76,[75]Listas!$F$3:$J$4,2,0))</f>
        <v>#N/A</v>
      </c>
      <c r="AJ76" s="273" t="e">
        <f t="shared" si="3"/>
        <v>#N/A</v>
      </c>
      <c r="AK76" s="270" t="e">
        <f>INDEX([75]Listas!$F$6:$J$10,MATCH(AG76,[75]Listas!$D$6:$D$10,0),MATCH(AI76,[75]Listas!$F$4:$J$4,0))</f>
        <v>#N/A</v>
      </c>
      <c r="AL76" s="259"/>
      <c r="AM76" s="259"/>
      <c r="AN76" s="794"/>
      <c r="AO76" s="259"/>
      <c r="AP76" s="259" t="s">
        <v>2877</v>
      </c>
      <c r="AQ76" s="813"/>
      <c r="AR76" s="259"/>
      <c r="AS76" s="259"/>
      <c r="AT76" s="261"/>
      <c r="AU76" s="261"/>
      <c r="AV76" s="790"/>
      <c r="AW76" s="262"/>
    </row>
    <row r="77" spans="1:49" s="260" customFormat="1" ht="103.5" hidden="1" customHeight="1">
      <c r="A77" s="790"/>
      <c r="B77" s="266"/>
      <c r="C77" s="1399"/>
      <c r="D77" s="1408"/>
      <c r="E77" s="1400"/>
      <c r="F77" s="267"/>
      <c r="G77" s="1399"/>
      <c r="H77" s="1408"/>
      <c r="I77" s="1400"/>
      <c r="J77" s="1380"/>
      <c r="K77" s="1380"/>
      <c r="L77" s="1380"/>
      <c r="M77" s="790"/>
      <c r="N77" s="790"/>
      <c r="O77" s="790"/>
      <c r="P77" s="790"/>
      <c r="Q77" s="266"/>
      <c r="R77" s="266"/>
      <c r="S77" s="269" t="e">
        <f>VLOOKUP(Q77,[75]Listas!$D$6:$E$10,2,0)</f>
        <v>#N/A</v>
      </c>
      <c r="T77" s="269" t="e">
        <f>HLOOKUP(R77,[75]Listas!$F$4:$J$5,2,0)</f>
        <v>#N/A</v>
      </c>
      <c r="U77" s="270" t="e">
        <f>INDEX([75]Listas!$F$6:$J$10,MATCH(Q77,[75]Listas!$D$6:$D$10,0),MATCH(R77,[75]Listas!$F$4:$J$4,0))</f>
        <v>#N/A</v>
      </c>
      <c r="V77" s="1399"/>
      <c r="W77" s="1408"/>
      <c r="X77" s="1400"/>
      <c r="Y77" s="1063"/>
      <c r="Z77" s="267"/>
      <c r="AA77" s="259"/>
      <c r="AB77" s="790"/>
      <c r="AC77" s="267"/>
      <c r="AD77" s="268"/>
      <c r="AE77" s="269">
        <f t="shared" si="2"/>
        <v>0</v>
      </c>
      <c r="AF77" s="271" t="e">
        <f t="shared" si="0"/>
        <v>#N/A</v>
      </c>
      <c r="AG77" s="272" t="e">
        <f>IF(AF77&lt;=1,"Remota",VLOOKUP(AF77,[75]Listas!$C$6:$D$10,2,0))</f>
        <v>#N/A</v>
      </c>
      <c r="AH77" s="271" t="e">
        <f t="shared" si="1"/>
        <v>#N/A</v>
      </c>
      <c r="AI77" s="272" t="e">
        <f>IF(AH77&lt;=1,"Insignificante",HLOOKUP(AH77,[75]Listas!$F$3:$J$4,2,0))</f>
        <v>#N/A</v>
      </c>
      <c r="AJ77" s="273" t="e">
        <f t="shared" si="3"/>
        <v>#N/A</v>
      </c>
      <c r="AK77" s="270" t="e">
        <f>INDEX([75]Listas!$F$6:$J$10,MATCH(AG77,[75]Listas!$D$6:$D$10,0),MATCH(AI77,[75]Listas!$F$4:$J$4,0))</f>
        <v>#N/A</v>
      </c>
      <c r="AL77" s="259"/>
      <c r="AM77" s="259"/>
      <c r="AN77" s="794"/>
      <c r="AO77" s="259"/>
      <c r="AP77" s="259" t="s">
        <v>2877</v>
      </c>
      <c r="AQ77" s="813"/>
      <c r="AR77" s="259"/>
      <c r="AS77" s="259"/>
      <c r="AT77" s="261"/>
      <c r="AU77" s="261"/>
      <c r="AV77" s="790"/>
      <c r="AW77" s="262"/>
    </row>
    <row r="78" spans="1:49" s="260" customFormat="1" ht="103.5" hidden="1" customHeight="1">
      <c r="A78" s="790"/>
      <c r="B78" s="266"/>
      <c r="C78" s="1399"/>
      <c r="D78" s="1408"/>
      <c r="E78" s="1400"/>
      <c r="F78" s="267"/>
      <c r="G78" s="1399"/>
      <c r="H78" s="1408"/>
      <c r="I78" s="1400"/>
      <c r="J78" s="1380"/>
      <c r="K78" s="1380"/>
      <c r="L78" s="1380"/>
      <c r="M78" s="790"/>
      <c r="N78" s="790"/>
      <c r="O78" s="790"/>
      <c r="P78" s="790"/>
      <c r="Q78" s="266"/>
      <c r="R78" s="266"/>
      <c r="S78" s="269" t="e">
        <f>VLOOKUP(Q78,[75]Listas!$D$6:$E$10,2,0)</f>
        <v>#N/A</v>
      </c>
      <c r="T78" s="269" t="e">
        <f>HLOOKUP(R78,[75]Listas!$F$4:$J$5,2,0)</f>
        <v>#N/A</v>
      </c>
      <c r="U78" s="270" t="e">
        <f>INDEX([75]Listas!$F$6:$J$10,MATCH(Q78,[75]Listas!$D$6:$D$10,0),MATCH(R78,[75]Listas!$F$4:$J$4,0))</f>
        <v>#N/A</v>
      </c>
      <c r="V78" s="1399"/>
      <c r="W78" s="1408"/>
      <c r="X78" s="1400"/>
      <c r="Y78" s="1063"/>
      <c r="Z78" s="267"/>
      <c r="AA78" s="259"/>
      <c r="AB78" s="790"/>
      <c r="AC78" s="267"/>
      <c r="AD78" s="268"/>
      <c r="AE78" s="269">
        <f t="shared" si="2"/>
        <v>0</v>
      </c>
      <c r="AF78" s="271" t="e">
        <f t="shared" si="0"/>
        <v>#N/A</v>
      </c>
      <c r="AG78" s="272" t="e">
        <f>IF(AF78&lt;=1,"Remota",VLOOKUP(AF78,[75]Listas!$C$6:$D$10,2,0))</f>
        <v>#N/A</v>
      </c>
      <c r="AH78" s="271" t="e">
        <f t="shared" si="1"/>
        <v>#N/A</v>
      </c>
      <c r="AI78" s="272" t="e">
        <f>IF(AH78&lt;=1,"Insignificante",HLOOKUP(AH78,[75]Listas!$F$3:$J$4,2,0))</f>
        <v>#N/A</v>
      </c>
      <c r="AJ78" s="273" t="e">
        <f t="shared" si="3"/>
        <v>#N/A</v>
      </c>
      <c r="AK78" s="270" t="e">
        <f>INDEX([75]Listas!$F$6:$J$10,MATCH(AG78,[75]Listas!$D$6:$D$10,0),MATCH(AI78,[75]Listas!$F$4:$J$4,0))</f>
        <v>#N/A</v>
      </c>
      <c r="AL78" s="259"/>
      <c r="AM78" s="259"/>
      <c r="AN78" s="794"/>
      <c r="AO78" s="259"/>
      <c r="AP78" s="259" t="s">
        <v>2877</v>
      </c>
      <c r="AQ78" s="813"/>
      <c r="AR78" s="259"/>
      <c r="AS78" s="259"/>
      <c r="AT78" s="261"/>
      <c r="AU78" s="261"/>
      <c r="AV78" s="790"/>
      <c r="AW78" s="262"/>
    </row>
    <row r="79" spans="1:49" s="260" customFormat="1" ht="103.5" hidden="1" customHeight="1">
      <c r="A79" s="790"/>
      <c r="B79" s="266"/>
      <c r="C79" s="1399"/>
      <c r="D79" s="1408"/>
      <c r="E79" s="1400"/>
      <c r="F79" s="267"/>
      <c r="G79" s="1399"/>
      <c r="H79" s="1408"/>
      <c r="I79" s="1400"/>
      <c r="J79" s="1380"/>
      <c r="K79" s="1380"/>
      <c r="L79" s="1380"/>
      <c r="M79" s="790"/>
      <c r="N79" s="790"/>
      <c r="O79" s="790"/>
      <c r="P79" s="790"/>
      <c r="Q79" s="266"/>
      <c r="R79" s="266"/>
      <c r="S79" s="269" t="e">
        <f>VLOOKUP(Q79,[75]Listas!$D$6:$E$10,2,0)</f>
        <v>#N/A</v>
      </c>
      <c r="T79" s="269" t="e">
        <f>HLOOKUP(R79,[75]Listas!$F$4:$J$5,2,0)</f>
        <v>#N/A</v>
      </c>
      <c r="U79" s="270" t="e">
        <f>INDEX([75]Listas!$F$6:$J$10,MATCH(Q79,[75]Listas!$D$6:$D$10,0),MATCH(R79,[75]Listas!$F$4:$J$4,0))</f>
        <v>#N/A</v>
      </c>
      <c r="V79" s="1399"/>
      <c r="W79" s="1408"/>
      <c r="X79" s="1400"/>
      <c r="Y79" s="1063"/>
      <c r="Z79" s="267"/>
      <c r="AA79" s="259"/>
      <c r="AB79" s="790"/>
      <c r="AC79" s="267"/>
      <c r="AD79" s="268"/>
      <c r="AE79" s="269">
        <f t="shared" si="2"/>
        <v>0</v>
      </c>
      <c r="AF79" s="271" t="e">
        <f t="shared" si="0"/>
        <v>#N/A</v>
      </c>
      <c r="AG79" s="272" t="e">
        <f>IF(AF79&lt;=1,"Remota",VLOOKUP(AF79,[75]Listas!$C$6:$D$10,2,0))</f>
        <v>#N/A</v>
      </c>
      <c r="AH79" s="271" t="e">
        <f t="shared" si="1"/>
        <v>#N/A</v>
      </c>
      <c r="AI79" s="272" t="e">
        <f>IF(AH79&lt;=1,"Insignificante",HLOOKUP(AH79,[75]Listas!$F$3:$J$4,2,0))</f>
        <v>#N/A</v>
      </c>
      <c r="AJ79" s="273" t="e">
        <f t="shared" si="3"/>
        <v>#N/A</v>
      </c>
      <c r="AK79" s="270" t="e">
        <f>INDEX([75]Listas!$F$6:$J$10,MATCH(AG79,[75]Listas!$D$6:$D$10,0),MATCH(AI79,[75]Listas!$F$4:$J$4,0))</f>
        <v>#N/A</v>
      </c>
      <c r="AL79" s="259"/>
      <c r="AM79" s="259"/>
      <c r="AN79" s="794"/>
      <c r="AO79" s="259"/>
      <c r="AP79" s="259" t="s">
        <v>2877</v>
      </c>
      <c r="AQ79" s="813"/>
      <c r="AR79" s="259"/>
      <c r="AS79" s="259"/>
      <c r="AT79" s="261"/>
      <c r="AU79" s="261"/>
      <c r="AV79" s="790"/>
      <c r="AW79" s="262"/>
    </row>
    <row r="80" spans="1:49" s="260" customFormat="1" ht="103.5" hidden="1" customHeight="1">
      <c r="A80" s="790"/>
      <c r="B80" s="266"/>
      <c r="C80" s="1399"/>
      <c r="D80" s="1408"/>
      <c r="E80" s="1400"/>
      <c r="F80" s="267"/>
      <c r="G80" s="1399"/>
      <c r="H80" s="1408"/>
      <c r="I80" s="1400"/>
      <c r="J80" s="1380"/>
      <c r="K80" s="1380"/>
      <c r="L80" s="1380"/>
      <c r="M80" s="790"/>
      <c r="N80" s="790"/>
      <c r="O80" s="790"/>
      <c r="P80" s="790"/>
      <c r="Q80" s="266"/>
      <c r="R80" s="266"/>
      <c r="S80" s="269" t="e">
        <f>VLOOKUP(Q80,[75]Listas!$D$6:$E$10,2,0)</f>
        <v>#N/A</v>
      </c>
      <c r="T80" s="269" t="e">
        <f>HLOOKUP(R80,[75]Listas!$F$4:$J$5,2,0)</f>
        <v>#N/A</v>
      </c>
      <c r="U80" s="270" t="e">
        <f>INDEX([75]Listas!$F$6:$J$10,MATCH(Q80,[75]Listas!$D$6:$D$10,0),MATCH(R80,[75]Listas!$F$4:$J$4,0))</f>
        <v>#N/A</v>
      </c>
      <c r="V80" s="1399"/>
      <c r="W80" s="1408"/>
      <c r="X80" s="1400"/>
      <c r="Y80" s="1063"/>
      <c r="Z80" s="267"/>
      <c r="AA80" s="259"/>
      <c r="AB80" s="790"/>
      <c r="AC80" s="267"/>
      <c r="AD80" s="268"/>
      <c r="AE80" s="269">
        <f t="shared" si="2"/>
        <v>0</v>
      </c>
      <c r="AF80" s="271" t="e">
        <f t="shared" si="0"/>
        <v>#N/A</v>
      </c>
      <c r="AG80" s="272" t="e">
        <f>IF(AF80&lt;=1,"Remota",VLOOKUP(AF80,[75]Listas!$C$6:$D$10,2,0))</f>
        <v>#N/A</v>
      </c>
      <c r="AH80" s="271" t="e">
        <f t="shared" si="1"/>
        <v>#N/A</v>
      </c>
      <c r="AI80" s="272" t="e">
        <f>IF(AH80&lt;=1,"Insignificante",HLOOKUP(AH80,[75]Listas!$F$3:$J$4,2,0))</f>
        <v>#N/A</v>
      </c>
      <c r="AJ80" s="273" t="e">
        <f t="shared" si="3"/>
        <v>#N/A</v>
      </c>
      <c r="AK80" s="270" t="e">
        <f>INDEX([75]Listas!$F$6:$J$10,MATCH(AG80,[75]Listas!$D$6:$D$10,0),MATCH(AI80,[75]Listas!$F$4:$J$4,0))</f>
        <v>#N/A</v>
      </c>
      <c r="AL80" s="259"/>
      <c r="AM80" s="259"/>
      <c r="AN80" s="794"/>
      <c r="AO80" s="259"/>
      <c r="AP80" s="259" t="s">
        <v>2877</v>
      </c>
      <c r="AQ80" s="813"/>
      <c r="AR80" s="259"/>
      <c r="AS80" s="259"/>
      <c r="AT80" s="261"/>
      <c r="AU80" s="261"/>
      <c r="AV80" s="790"/>
      <c r="AW80" s="262"/>
    </row>
    <row r="81" spans="1:49" s="260" customFormat="1" ht="103.5" hidden="1" customHeight="1">
      <c r="A81" s="790"/>
      <c r="B81" s="266"/>
      <c r="C81" s="1399"/>
      <c r="D81" s="1408"/>
      <c r="E81" s="1400"/>
      <c r="F81" s="267"/>
      <c r="G81" s="1399"/>
      <c r="H81" s="1408"/>
      <c r="I81" s="1400"/>
      <c r="J81" s="1380"/>
      <c r="K81" s="1380"/>
      <c r="L81" s="1380"/>
      <c r="M81" s="790"/>
      <c r="N81" s="790"/>
      <c r="O81" s="790"/>
      <c r="P81" s="790"/>
      <c r="Q81" s="266"/>
      <c r="R81" s="266"/>
      <c r="S81" s="269" t="e">
        <f>VLOOKUP(Q81,[75]Listas!$D$6:$E$10,2,0)</f>
        <v>#N/A</v>
      </c>
      <c r="T81" s="269" t="e">
        <f>HLOOKUP(R81,[75]Listas!$F$4:$J$5,2,0)</f>
        <v>#N/A</v>
      </c>
      <c r="U81" s="270" t="e">
        <f>INDEX([75]Listas!$F$6:$J$10,MATCH(Q81,[75]Listas!$D$6:$D$10,0),MATCH(R81,[75]Listas!$F$4:$J$4,0))</f>
        <v>#N/A</v>
      </c>
      <c r="V81" s="1399"/>
      <c r="W81" s="1408"/>
      <c r="X81" s="1400"/>
      <c r="Y81" s="1063"/>
      <c r="Z81" s="267"/>
      <c r="AA81" s="259"/>
      <c r="AB81" s="790"/>
      <c r="AC81" s="267"/>
      <c r="AD81" s="268"/>
      <c r="AE81" s="269">
        <f t="shared" si="2"/>
        <v>0</v>
      </c>
      <c r="AF81" s="271" t="e">
        <f t="shared" si="0"/>
        <v>#N/A</v>
      </c>
      <c r="AG81" s="272" t="e">
        <f>IF(AF81&lt;=1,"Remota",VLOOKUP(AF81,[75]Listas!$C$6:$D$10,2,0))</f>
        <v>#N/A</v>
      </c>
      <c r="AH81" s="271" t="e">
        <f t="shared" si="1"/>
        <v>#N/A</v>
      </c>
      <c r="AI81" s="272" t="e">
        <f>IF(AH81&lt;=1,"Insignificante",HLOOKUP(AH81,[75]Listas!$F$3:$J$4,2,0))</f>
        <v>#N/A</v>
      </c>
      <c r="AJ81" s="273" t="e">
        <f t="shared" si="3"/>
        <v>#N/A</v>
      </c>
      <c r="AK81" s="270" t="e">
        <f>INDEX([75]Listas!$F$6:$J$10,MATCH(AG81,[75]Listas!$D$6:$D$10,0),MATCH(AI81,[75]Listas!$F$4:$J$4,0))</f>
        <v>#N/A</v>
      </c>
      <c r="AL81" s="259"/>
      <c r="AM81" s="259"/>
      <c r="AN81" s="794"/>
      <c r="AO81" s="259"/>
      <c r="AP81" s="259" t="s">
        <v>2877</v>
      </c>
      <c r="AQ81" s="813"/>
      <c r="AR81" s="259"/>
      <c r="AS81" s="259"/>
      <c r="AT81" s="261"/>
      <c r="AU81" s="261"/>
      <c r="AV81" s="790"/>
      <c r="AW81" s="262"/>
    </row>
    <row r="82" spans="1:49" s="260" customFormat="1" ht="103.5" hidden="1" customHeight="1">
      <c r="A82" s="790"/>
      <c r="B82" s="266"/>
      <c r="C82" s="1399"/>
      <c r="D82" s="1408"/>
      <c r="E82" s="1400"/>
      <c r="F82" s="267"/>
      <c r="G82" s="1399"/>
      <c r="H82" s="1408"/>
      <c r="I82" s="1400"/>
      <c r="J82" s="1380"/>
      <c r="K82" s="1380"/>
      <c r="L82" s="1380"/>
      <c r="M82" s="790"/>
      <c r="N82" s="790"/>
      <c r="O82" s="790"/>
      <c r="P82" s="790"/>
      <c r="Q82" s="266"/>
      <c r="R82" s="266"/>
      <c r="S82" s="269" t="e">
        <f>VLOOKUP(Q82,[75]Listas!$D$6:$E$10,2,0)</f>
        <v>#N/A</v>
      </c>
      <c r="T82" s="269" t="e">
        <f>HLOOKUP(R82,[75]Listas!$F$4:$J$5,2,0)</f>
        <v>#N/A</v>
      </c>
      <c r="U82" s="270" t="e">
        <f>INDEX([75]Listas!$F$6:$J$10,MATCH(Q82,[75]Listas!$D$6:$D$10,0),MATCH(R82,[75]Listas!$F$4:$J$4,0))</f>
        <v>#N/A</v>
      </c>
      <c r="V82" s="1399"/>
      <c r="W82" s="1408"/>
      <c r="X82" s="1400"/>
      <c r="Y82" s="1063"/>
      <c r="Z82" s="267"/>
      <c r="AA82" s="259"/>
      <c r="AB82" s="790"/>
      <c r="AC82" s="267"/>
      <c r="AD82" s="268"/>
      <c r="AE82" s="269">
        <f t="shared" si="2"/>
        <v>0</v>
      </c>
      <c r="AF82" s="271" t="e">
        <f t="shared" si="0"/>
        <v>#N/A</v>
      </c>
      <c r="AG82" s="272" t="e">
        <f>IF(AF82&lt;=1,"Remota",VLOOKUP(AF82,[75]Listas!$C$6:$D$10,2,0))</f>
        <v>#N/A</v>
      </c>
      <c r="AH82" s="271" t="e">
        <f t="shared" si="1"/>
        <v>#N/A</v>
      </c>
      <c r="AI82" s="272" t="e">
        <f>IF(AH82&lt;=1,"Insignificante",HLOOKUP(AH82,[75]Listas!$F$3:$J$4,2,0))</f>
        <v>#N/A</v>
      </c>
      <c r="AJ82" s="273" t="e">
        <f t="shared" si="3"/>
        <v>#N/A</v>
      </c>
      <c r="AK82" s="270" t="e">
        <f>INDEX([75]Listas!$F$6:$J$10,MATCH(AG82,[75]Listas!$D$6:$D$10,0),MATCH(AI82,[75]Listas!$F$4:$J$4,0))</f>
        <v>#N/A</v>
      </c>
      <c r="AL82" s="259"/>
      <c r="AM82" s="259"/>
      <c r="AN82" s="794"/>
      <c r="AO82" s="259"/>
      <c r="AP82" s="259" t="s">
        <v>2877</v>
      </c>
      <c r="AQ82" s="813"/>
      <c r="AR82" s="259"/>
      <c r="AS82" s="259"/>
      <c r="AT82" s="261"/>
      <c r="AU82" s="261"/>
      <c r="AV82" s="790"/>
      <c r="AW82" s="262"/>
    </row>
    <row r="83" spans="1:49" s="260" customFormat="1" ht="103.5" hidden="1" customHeight="1">
      <c r="A83" s="790"/>
      <c r="B83" s="266"/>
      <c r="C83" s="1399"/>
      <c r="D83" s="1408"/>
      <c r="E83" s="1400"/>
      <c r="F83" s="267"/>
      <c r="G83" s="1399"/>
      <c r="H83" s="1408"/>
      <c r="I83" s="1400"/>
      <c r="J83" s="1380"/>
      <c r="K83" s="1380"/>
      <c r="L83" s="1380"/>
      <c r="M83" s="790"/>
      <c r="N83" s="790"/>
      <c r="O83" s="790"/>
      <c r="P83" s="790"/>
      <c r="Q83" s="266"/>
      <c r="R83" s="266"/>
      <c r="S83" s="269" t="e">
        <f>VLOOKUP(Q83,[75]Listas!$D$6:$E$10,2,0)</f>
        <v>#N/A</v>
      </c>
      <c r="T83" s="269" t="e">
        <f>HLOOKUP(R83,[75]Listas!$F$4:$J$5,2,0)</f>
        <v>#N/A</v>
      </c>
      <c r="U83" s="270" t="e">
        <f>INDEX([75]Listas!$F$6:$J$10,MATCH(Q83,[75]Listas!$D$6:$D$10,0),MATCH(R83,[75]Listas!$F$4:$J$4,0))</f>
        <v>#N/A</v>
      </c>
      <c r="V83" s="1399"/>
      <c r="W83" s="1408"/>
      <c r="X83" s="1400"/>
      <c r="Y83" s="1063"/>
      <c r="Z83" s="267"/>
      <c r="AA83" s="259"/>
      <c r="AB83" s="790"/>
      <c r="AC83" s="267"/>
      <c r="AD83" s="268"/>
      <c r="AE83" s="269">
        <f t="shared" si="2"/>
        <v>0</v>
      </c>
      <c r="AF83" s="271" t="e">
        <f t="shared" si="0"/>
        <v>#N/A</v>
      </c>
      <c r="AG83" s="272" t="e">
        <f>IF(AF83&lt;=1,"Remota",VLOOKUP(AF83,[75]Listas!$C$6:$D$10,2,0))</f>
        <v>#N/A</v>
      </c>
      <c r="AH83" s="271" t="e">
        <f t="shared" si="1"/>
        <v>#N/A</v>
      </c>
      <c r="AI83" s="272" t="e">
        <f>IF(AH83&lt;=1,"Insignificante",HLOOKUP(AH83,[75]Listas!$F$3:$J$4,2,0))</f>
        <v>#N/A</v>
      </c>
      <c r="AJ83" s="273" t="e">
        <f t="shared" si="3"/>
        <v>#N/A</v>
      </c>
      <c r="AK83" s="270" t="e">
        <f>INDEX([75]Listas!$F$6:$J$10,MATCH(AG83,[75]Listas!$D$6:$D$10,0),MATCH(AI83,[75]Listas!$F$4:$J$4,0))</f>
        <v>#N/A</v>
      </c>
      <c r="AL83" s="259"/>
      <c r="AM83" s="259"/>
      <c r="AN83" s="794"/>
      <c r="AO83" s="259"/>
      <c r="AP83" s="259" t="s">
        <v>2877</v>
      </c>
      <c r="AQ83" s="813"/>
      <c r="AR83" s="259"/>
      <c r="AS83" s="259"/>
      <c r="AT83" s="261"/>
      <c r="AU83" s="261"/>
      <c r="AV83" s="790"/>
      <c r="AW83" s="262"/>
    </row>
    <row r="84" spans="1:49" s="260" customFormat="1" ht="103.5" hidden="1" customHeight="1">
      <c r="A84" s="790"/>
      <c r="B84" s="266"/>
      <c r="C84" s="1399"/>
      <c r="D84" s="1408"/>
      <c r="E84" s="1400"/>
      <c r="F84" s="267"/>
      <c r="G84" s="1399"/>
      <c r="H84" s="1408"/>
      <c r="I84" s="1400"/>
      <c r="J84" s="1380"/>
      <c r="K84" s="1380"/>
      <c r="L84" s="1380"/>
      <c r="M84" s="790"/>
      <c r="N84" s="790"/>
      <c r="O84" s="790"/>
      <c r="P84" s="790"/>
      <c r="Q84" s="266"/>
      <c r="R84" s="266"/>
      <c r="S84" s="269" t="e">
        <f>VLOOKUP(Q84,[75]Listas!$D$6:$E$10,2,0)</f>
        <v>#N/A</v>
      </c>
      <c r="T84" s="269" t="e">
        <f>HLOOKUP(R84,[75]Listas!$F$4:$J$5,2,0)</f>
        <v>#N/A</v>
      </c>
      <c r="U84" s="270" t="e">
        <f>INDEX([75]Listas!$F$6:$J$10,MATCH(Q84,[75]Listas!$D$6:$D$10,0),MATCH(R84,[75]Listas!$F$4:$J$4,0))</f>
        <v>#N/A</v>
      </c>
      <c r="V84" s="1399"/>
      <c r="W84" s="1408"/>
      <c r="X84" s="1400"/>
      <c r="Y84" s="1063"/>
      <c r="Z84" s="267"/>
      <c r="AA84" s="259"/>
      <c r="AB84" s="790"/>
      <c r="AC84" s="267"/>
      <c r="AD84" s="268"/>
      <c r="AE84" s="269">
        <f t="shared" si="2"/>
        <v>0</v>
      </c>
      <c r="AF84" s="271" t="e">
        <f t="shared" si="0"/>
        <v>#N/A</v>
      </c>
      <c r="AG84" s="272" t="e">
        <f>IF(AF84&lt;=1,"Remota",VLOOKUP(AF84,[75]Listas!$C$6:$D$10,2,0))</f>
        <v>#N/A</v>
      </c>
      <c r="AH84" s="271" t="e">
        <f t="shared" si="1"/>
        <v>#N/A</v>
      </c>
      <c r="AI84" s="272" t="e">
        <f>IF(AH84&lt;=1,"Insignificante",HLOOKUP(AH84,[75]Listas!$F$3:$J$4,2,0))</f>
        <v>#N/A</v>
      </c>
      <c r="AJ84" s="273" t="e">
        <f t="shared" si="3"/>
        <v>#N/A</v>
      </c>
      <c r="AK84" s="270" t="e">
        <f>INDEX([75]Listas!$F$6:$J$10,MATCH(AG84,[75]Listas!$D$6:$D$10,0),MATCH(AI84,[75]Listas!$F$4:$J$4,0))</f>
        <v>#N/A</v>
      </c>
      <c r="AL84" s="259"/>
      <c r="AM84" s="259"/>
      <c r="AN84" s="794"/>
      <c r="AO84" s="259"/>
      <c r="AP84" s="259" t="s">
        <v>2877</v>
      </c>
      <c r="AQ84" s="813"/>
      <c r="AR84" s="259"/>
      <c r="AS84" s="259"/>
      <c r="AT84" s="261"/>
      <c r="AU84" s="261"/>
      <c r="AV84" s="790"/>
      <c r="AW84" s="262"/>
    </row>
    <row r="85" spans="1:49" s="260" customFormat="1" ht="103.5" hidden="1" customHeight="1">
      <c r="A85" s="790"/>
      <c r="B85" s="266"/>
      <c r="C85" s="1399"/>
      <c r="D85" s="1408"/>
      <c r="E85" s="1400"/>
      <c r="F85" s="267"/>
      <c r="G85" s="1399"/>
      <c r="H85" s="1408"/>
      <c r="I85" s="1400"/>
      <c r="J85" s="1380"/>
      <c r="K85" s="1380"/>
      <c r="L85" s="1380"/>
      <c r="M85" s="790"/>
      <c r="N85" s="790"/>
      <c r="O85" s="790"/>
      <c r="P85" s="790"/>
      <c r="Q85" s="266"/>
      <c r="R85" s="266"/>
      <c r="S85" s="269" t="e">
        <f>VLOOKUP(Q85,[75]Listas!$D$6:$E$10,2,0)</f>
        <v>#N/A</v>
      </c>
      <c r="T85" s="269" t="e">
        <f>HLOOKUP(R85,[75]Listas!$F$4:$J$5,2,0)</f>
        <v>#N/A</v>
      </c>
      <c r="U85" s="270" t="e">
        <f>INDEX([75]Listas!$F$6:$J$10,MATCH(Q85,[75]Listas!$D$6:$D$10,0),MATCH(R85,[75]Listas!$F$4:$J$4,0))</f>
        <v>#N/A</v>
      </c>
      <c r="V85" s="1399"/>
      <c r="W85" s="1408"/>
      <c r="X85" s="1400"/>
      <c r="Y85" s="1063"/>
      <c r="Z85" s="267"/>
      <c r="AA85" s="259"/>
      <c r="AB85" s="790"/>
      <c r="AC85" s="267"/>
      <c r="AD85" s="268"/>
      <c r="AE85" s="269">
        <f t="shared" si="2"/>
        <v>0</v>
      </c>
      <c r="AF85" s="271" t="e">
        <f t="shared" si="0"/>
        <v>#N/A</v>
      </c>
      <c r="AG85" s="272" t="e">
        <f>IF(AF85&lt;=1,"Remota",VLOOKUP(AF85,[75]Listas!$C$6:$D$10,2,0))</f>
        <v>#N/A</v>
      </c>
      <c r="AH85" s="271" t="e">
        <f t="shared" si="1"/>
        <v>#N/A</v>
      </c>
      <c r="AI85" s="272" t="e">
        <f>IF(AH85&lt;=1,"Insignificante",HLOOKUP(AH85,[75]Listas!$F$3:$J$4,2,0))</f>
        <v>#N/A</v>
      </c>
      <c r="AJ85" s="273" t="e">
        <f t="shared" si="3"/>
        <v>#N/A</v>
      </c>
      <c r="AK85" s="270" t="e">
        <f>INDEX([75]Listas!$F$6:$J$10,MATCH(AG85,[75]Listas!$D$6:$D$10,0),MATCH(AI85,[75]Listas!$F$4:$J$4,0))</f>
        <v>#N/A</v>
      </c>
      <c r="AL85" s="259"/>
      <c r="AM85" s="259"/>
      <c r="AN85" s="794"/>
      <c r="AO85" s="259"/>
      <c r="AP85" s="259" t="s">
        <v>2877</v>
      </c>
      <c r="AQ85" s="813"/>
      <c r="AR85" s="259"/>
      <c r="AS85" s="259"/>
      <c r="AT85" s="261"/>
      <c r="AU85" s="261"/>
      <c r="AV85" s="790"/>
      <c r="AW85" s="262"/>
    </row>
    <row r="86" spans="1:49" s="260" customFormat="1" ht="103.5" hidden="1" customHeight="1">
      <c r="A86" s="790"/>
      <c r="B86" s="266"/>
      <c r="C86" s="1399"/>
      <c r="D86" s="1408"/>
      <c r="E86" s="1400"/>
      <c r="F86" s="267"/>
      <c r="G86" s="1399"/>
      <c r="H86" s="1408"/>
      <c r="I86" s="1400"/>
      <c r="J86" s="1380"/>
      <c r="K86" s="1380"/>
      <c r="L86" s="1380"/>
      <c r="M86" s="790"/>
      <c r="N86" s="790"/>
      <c r="O86" s="790"/>
      <c r="P86" s="790"/>
      <c r="Q86" s="266"/>
      <c r="R86" s="266"/>
      <c r="S86" s="269" t="e">
        <f>VLOOKUP(Q86,[75]Listas!$D$6:$E$10,2,0)</f>
        <v>#N/A</v>
      </c>
      <c r="T86" s="269" t="e">
        <f>HLOOKUP(R86,[75]Listas!$F$4:$J$5,2,0)</f>
        <v>#N/A</v>
      </c>
      <c r="U86" s="270" t="e">
        <f>INDEX([75]Listas!$F$6:$J$10,MATCH(Q86,[75]Listas!$D$6:$D$10,0),MATCH(R86,[75]Listas!$F$4:$J$4,0))</f>
        <v>#N/A</v>
      </c>
      <c r="V86" s="1399"/>
      <c r="W86" s="1408"/>
      <c r="X86" s="1400"/>
      <c r="Y86" s="1063"/>
      <c r="Z86" s="267"/>
      <c r="AA86" s="259"/>
      <c r="AB86" s="790"/>
      <c r="AC86" s="267"/>
      <c r="AD86" s="268"/>
      <c r="AE86" s="269">
        <f t="shared" si="2"/>
        <v>0</v>
      </c>
      <c r="AF86" s="271" t="e">
        <f t="shared" si="0"/>
        <v>#N/A</v>
      </c>
      <c r="AG86" s="272" t="e">
        <f>IF(AF86&lt;=1,"Remota",VLOOKUP(AF86,[75]Listas!$C$6:$D$10,2,0))</f>
        <v>#N/A</v>
      </c>
      <c r="AH86" s="271" t="e">
        <f t="shared" si="1"/>
        <v>#N/A</v>
      </c>
      <c r="AI86" s="272" t="e">
        <f>IF(AH86&lt;=1,"Insignificante",HLOOKUP(AH86,[75]Listas!$F$3:$J$4,2,0))</f>
        <v>#N/A</v>
      </c>
      <c r="AJ86" s="273" t="e">
        <f t="shared" si="3"/>
        <v>#N/A</v>
      </c>
      <c r="AK86" s="270" t="e">
        <f>INDEX([75]Listas!$F$6:$J$10,MATCH(AG86,[75]Listas!$D$6:$D$10,0),MATCH(AI86,[75]Listas!$F$4:$J$4,0))</f>
        <v>#N/A</v>
      </c>
      <c r="AL86" s="259"/>
      <c r="AM86" s="259"/>
      <c r="AN86" s="794"/>
      <c r="AO86" s="259"/>
      <c r="AP86" s="259" t="s">
        <v>2877</v>
      </c>
      <c r="AQ86" s="813"/>
      <c r="AR86" s="259"/>
      <c r="AS86" s="259"/>
      <c r="AT86" s="261"/>
      <c r="AU86" s="261"/>
      <c r="AV86" s="790"/>
      <c r="AW86" s="262"/>
    </row>
    <row r="87" spans="1:49" s="260" customFormat="1" ht="103.5" hidden="1" customHeight="1">
      <c r="A87" s="790"/>
      <c r="B87" s="266"/>
      <c r="C87" s="1399"/>
      <c r="D87" s="1408"/>
      <c r="E87" s="1400"/>
      <c r="F87" s="267"/>
      <c r="G87" s="1399"/>
      <c r="H87" s="1408"/>
      <c r="I87" s="1400"/>
      <c r="J87" s="1380"/>
      <c r="K87" s="1380"/>
      <c r="L87" s="1380"/>
      <c r="M87" s="790"/>
      <c r="N87" s="790"/>
      <c r="O87" s="790"/>
      <c r="P87" s="790"/>
      <c r="Q87" s="266"/>
      <c r="R87" s="266"/>
      <c r="S87" s="269" t="e">
        <f>VLOOKUP(Q87,[75]Listas!$D$6:$E$10,2,0)</f>
        <v>#N/A</v>
      </c>
      <c r="T87" s="269" t="e">
        <f>HLOOKUP(R87,[75]Listas!$F$4:$J$5,2,0)</f>
        <v>#N/A</v>
      </c>
      <c r="U87" s="270" t="e">
        <f>INDEX([75]Listas!$F$6:$J$10,MATCH(Q87,[75]Listas!$D$6:$D$10,0),MATCH(R87,[75]Listas!$F$4:$J$4,0))</f>
        <v>#N/A</v>
      </c>
      <c r="V87" s="1399"/>
      <c r="W87" s="1408"/>
      <c r="X87" s="1400"/>
      <c r="Y87" s="1063"/>
      <c r="Z87" s="267"/>
      <c r="AA87" s="259"/>
      <c r="AB87" s="790"/>
      <c r="AC87" s="267"/>
      <c r="AD87" s="268"/>
      <c r="AE87" s="269">
        <f t="shared" si="2"/>
        <v>0</v>
      </c>
      <c r="AF87" s="271" t="e">
        <f t="shared" si="0"/>
        <v>#N/A</v>
      </c>
      <c r="AG87" s="272" t="e">
        <f>IF(AF87&lt;=1,"Remota",VLOOKUP(AF87,[75]Listas!$C$6:$D$10,2,0))</f>
        <v>#N/A</v>
      </c>
      <c r="AH87" s="271" t="e">
        <f t="shared" si="1"/>
        <v>#N/A</v>
      </c>
      <c r="AI87" s="272" t="e">
        <f>IF(AH87&lt;=1,"Insignificante",HLOOKUP(AH87,[75]Listas!$F$3:$J$4,2,0))</f>
        <v>#N/A</v>
      </c>
      <c r="AJ87" s="273" t="e">
        <f t="shared" si="3"/>
        <v>#N/A</v>
      </c>
      <c r="AK87" s="270" t="e">
        <f>INDEX([75]Listas!$F$6:$J$10,MATCH(AG87,[75]Listas!$D$6:$D$10,0),MATCH(AI87,[75]Listas!$F$4:$J$4,0))</f>
        <v>#N/A</v>
      </c>
      <c r="AL87" s="259"/>
      <c r="AM87" s="259"/>
      <c r="AN87" s="794"/>
      <c r="AO87" s="259"/>
      <c r="AP87" s="259" t="s">
        <v>2877</v>
      </c>
      <c r="AQ87" s="813"/>
      <c r="AR87" s="259"/>
      <c r="AS87" s="259"/>
      <c r="AT87" s="261"/>
      <c r="AU87" s="261"/>
      <c r="AV87" s="790"/>
      <c r="AW87" s="262"/>
    </row>
    <row r="88" spans="1:49" s="260" customFormat="1" ht="103.5" hidden="1" customHeight="1">
      <c r="A88" s="790"/>
      <c r="B88" s="266"/>
      <c r="C88" s="1399"/>
      <c r="D88" s="1408"/>
      <c r="E88" s="1400"/>
      <c r="F88" s="267"/>
      <c r="G88" s="1399"/>
      <c r="H88" s="1408"/>
      <c r="I88" s="1400"/>
      <c r="J88" s="1380"/>
      <c r="K88" s="1380"/>
      <c r="L88" s="1380"/>
      <c r="M88" s="790"/>
      <c r="N88" s="790"/>
      <c r="O88" s="790"/>
      <c r="P88" s="790"/>
      <c r="Q88" s="266"/>
      <c r="R88" s="266"/>
      <c r="S88" s="269" t="e">
        <f>VLOOKUP(Q88,[75]Listas!$D$6:$E$10,2,0)</f>
        <v>#N/A</v>
      </c>
      <c r="T88" s="269" t="e">
        <f>HLOOKUP(R88,[75]Listas!$F$4:$J$5,2,0)</f>
        <v>#N/A</v>
      </c>
      <c r="U88" s="270" t="e">
        <f>INDEX([75]Listas!$F$6:$J$10,MATCH(Q88,[75]Listas!$D$6:$D$10,0),MATCH(R88,[75]Listas!$F$4:$J$4,0))</f>
        <v>#N/A</v>
      </c>
      <c r="V88" s="1399"/>
      <c r="W88" s="1408"/>
      <c r="X88" s="1400"/>
      <c r="Y88" s="1063"/>
      <c r="Z88" s="267"/>
      <c r="AA88" s="259"/>
      <c r="AB88" s="790"/>
      <c r="AC88" s="267"/>
      <c r="AD88" s="268"/>
      <c r="AE88" s="269">
        <f t="shared" si="2"/>
        <v>0</v>
      </c>
      <c r="AF88" s="271" t="e">
        <f t="shared" si="0"/>
        <v>#N/A</v>
      </c>
      <c r="AG88" s="272" t="e">
        <f>IF(AF88&lt;=1,"Remota",VLOOKUP(AF88,[75]Listas!$C$6:$D$10,2,0))</f>
        <v>#N/A</v>
      </c>
      <c r="AH88" s="271" t="e">
        <f t="shared" si="1"/>
        <v>#N/A</v>
      </c>
      <c r="AI88" s="272" t="e">
        <f>IF(AH88&lt;=1,"Insignificante",HLOOKUP(AH88,[75]Listas!$F$3:$J$4,2,0))</f>
        <v>#N/A</v>
      </c>
      <c r="AJ88" s="273" t="e">
        <f t="shared" si="3"/>
        <v>#N/A</v>
      </c>
      <c r="AK88" s="270" t="e">
        <f>INDEX([75]Listas!$F$6:$J$10,MATCH(AG88,[75]Listas!$D$6:$D$10,0),MATCH(AI88,[75]Listas!$F$4:$J$4,0))</f>
        <v>#N/A</v>
      </c>
      <c r="AL88" s="259"/>
      <c r="AM88" s="259"/>
      <c r="AN88" s="794"/>
      <c r="AO88" s="259"/>
      <c r="AP88" s="259" t="s">
        <v>2877</v>
      </c>
      <c r="AQ88" s="813"/>
      <c r="AR88" s="259"/>
      <c r="AS88" s="259"/>
      <c r="AT88" s="261"/>
      <c r="AU88" s="261"/>
      <c r="AV88" s="790"/>
      <c r="AW88" s="262"/>
    </row>
    <row r="89" spans="1:49" s="260" customFormat="1" ht="103.5" hidden="1" customHeight="1">
      <c r="A89" s="790"/>
      <c r="B89" s="266"/>
      <c r="C89" s="1399"/>
      <c r="D89" s="1408"/>
      <c r="E89" s="1400"/>
      <c r="F89" s="267"/>
      <c r="G89" s="1399"/>
      <c r="H89" s="1408"/>
      <c r="I89" s="1400"/>
      <c r="J89" s="1380"/>
      <c r="K89" s="1380"/>
      <c r="L89" s="1380"/>
      <c r="M89" s="790"/>
      <c r="N89" s="790"/>
      <c r="O89" s="790"/>
      <c r="P89" s="790"/>
      <c r="Q89" s="266"/>
      <c r="R89" s="266"/>
      <c r="S89" s="269" t="e">
        <f>VLOOKUP(Q89,[75]Listas!$D$6:$E$10,2,0)</f>
        <v>#N/A</v>
      </c>
      <c r="T89" s="269" t="e">
        <f>HLOOKUP(R89,[75]Listas!$F$4:$J$5,2,0)</f>
        <v>#N/A</v>
      </c>
      <c r="U89" s="270" t="e">
        <f>INDEX([75]Listas!$F$6:$J$10,MATCH(Q89,[75]Listas!$D$6:$D$10,0),MATCH(R89,[75]Listas!$F$4:$J$4,0))</f>
        <v>#N/A</v>
      </c>
      <c r="V89" s="1399"/>
      <c r="W89" s="1408"/>
      <c r="X89" s="1400"/>
      <c r="Y89" s="1063"/>
      <c r="Z89" s="267"/>
      <c r="AA89" s="259"/>
      <c r="AB89" s="790"/>
      <c r="AC89" s="267"/>
      <c r="AD89" s="268"/>
      <c r="AE89" s="269">
        <f t="shared" si="2"/>
        <v>0</v>
      </c>
      <c r="AF89" s="271" t="e">
        <f t="shared" si="0"/>
        <v>#N/A</v>
      </c>
      <c r="AG89" s="272" t="e">
        <f>IF(AF89&lt;=1,"Remota",VLOOKUP(AF89,[75]Listas!$C$6:$D$10,2,0))</f>
        <v>#N/A</v>
      </c>
      <c r="AH89" s="271" t="e">
        <f t="shared" si="1"/>
        <v>#N/A</v>
      </c>
      <c r="AI89" s="272" t="e">
        <f>IF(AH89&lt;=1,"Insignificante",HLOOKUP(AH89,[75]Listas!$F$3:$J$4,2,0))</f>
        <v>#N/A</v>
      </c>
      <c r="AJ89" s="273" t="e">
        <f t="shared" si="3"/>
        <v>#N/A</v>
      </c>
      <c r="AK89" s="270" t="e">
        <f>INDEX([75]Listas!$F$6:$J$10,MATCH(AG89,[75]Listas!$D$6:$D$10,0),MATCH(AI89,[75]Listas!$F$4:$J$4,0))</f>
        <v>#N/A</v>
      </c>
      <c r="AL89" s="259"/>
      <c r="AM89" s="259"/>
      <c r="AN89" s="794"/>
      <c r="AO89" s="259"/>
      <c r="AP89" s="259" t="s">
        <v>2877</v>
      </c>
      <c r="AQ89" s="813"/>
      <c r="AR89" s="259"/>
      <c r="AS89" s="259"/>
      <c r="AT89" s="261"/>
      <c r="AU89" s="261"/>
      <c r="AV89" s="790"/>
      <c r="AW89" s="262"/>
    </row>
    <row r="90" spans="1:49" s="260" customFormat="1" ht="103.5" hidden="1" customHeight="1">
      <c r="A90" s="790"/>
      <c r="B90" s="266"/>
      <c r="C90" s="1399"/>
      <c r="D90" s="1408"/>
      <c r="E90" s="1400"/>
      <c r="F90" s="267"/>
      <c r="G90" s="1399"/>
      <c r="H90" s="1408"/>
      <c r="I90" s="1400"/>
      <c r="J90" s="1380"/>
      <c r="K90" s="1380"/>
      <c r="L90" s="1380"/>
      <c r="M90" s="790"/>
      <c r="N90" s="790"/>
      <c r="O90" s="790"/>
      <c r="P90" s="790"/>
      <c r="Q90" s="266"/>
      <c r="R90" s="266"/>
      <c r="S90" s="269" t="e">
        <f>VLOOKUP(Q90,[75]Listas!$D$6:$E$10,2,0)</f>
        <v>#N/A</v>
      </c>
      <c r="T90" s="269" t="e">
        <f>HLOOKUP(R90,[75]Listas!$F$4:$J$5,2,0)</f>
        <v>#N/A</v>
      </c>
      <c r="U90" s="270" t="e">
        <f>INDEX([75]Listas!$F$6:$J$10,MATCH(Q90,[75]Listas!$D$6:$D$10,0),MATCH(R90,[75]Listas!$F$4:$J$4,0))</f>
        <v>#N/A</v>
      </c>
      <c r="V90" s="1399"/>
      <c r="W90" s="1408"/>
      <c r="X90" s="1400"/>
      <c r="Y90" s="1063"/>
      <c r="Z90" s="267"/>
      <c r="AA90" s="259"/>
      <c r="AB90" s="790"/>
      <c r="AC90" s="267"/>
      <c r="AD90" s="268"/>
      <c r="AE90" s="269">
        <f t="shared" si="2"/>
        <v>0</v>
      </c>
      <c r="AF90" s="271" t="e">
        <f t="shared" si="0"/>
        <v>#N/A</v>
      </c>
      <c r="AG90" s="272" t="e">
        <f>IF(AF90&lt;=1,"Remota",VLOOKUP(AF90,[75]Listas!$C$6:$D$10,2,0))</f>
        <v>#N/A</v>
      </c>
      <c r="AH90" s="271" t="e">
        <f t="shared" si="1"/>
        <v>#N/A</v>
      </c>
      <c r="AI90" s="272" t="e">
        <f>IF(AH90&lt;=1,"Insignificante",HLOOKUP(AH90,[75]Listas!$F$3:$J$4,2,0))</f>
        <v>#N/A</v>
      </c>
      <c r="AJ90" s="273" t="e">
        <f t="shared" si="3"/>
        <v>#N/A</v>
      </c>
      <c r="AK90" s="270" t="e">
        <f>INDEX([75]Listas!$F$6:$J$10,MATCH(AG90,[75]Listas!$D$6:$D$10,0),MATCH(AI90,[75]Listas!$F$4:$J$4,0))</f>
        <v>#N/A</v>
      </c>
      <c r="AL90" s="259"/>
      <c r="AM90" s="259"/>
      <c r="AN90" s="794"/>
      <c r="AO90" s="259"/>
      <c r="AP90" s="259" t="s">
        <v>2877</v>
      </c>
      <c r="AQ90" s="813"/>
      <c r="AR90" s="259"/>
      <c r="AS90" s="259"/>
      <c r="AT90" s="261"/>
      <c r="AU90" s="261"/>
      <c r="AV90" s="790"/>
      <c r="AW90" s="262"/>
    </row>
    <row r="91" spans="1:49" s="260" customFormat="1" ht="103.5" hidden="1" customHeight="1">
      <c r="A91" s="790"/>
      <c r="B91" s="266"/>
      <c r="C91" s="1399"/>
      <c r="D91" s="1408"/>
      <c r="E91" s="1400"/>
      <c r="F91" s="267"/>
      <c r="G91" s="1399"/>
      <c r="H91" s="1408"/>
      <c r="I91" s="1400"/>
      <c r="J91" s="1380"/>
      <c r="K91" s="1380"/>
      <c r="L91" s="1380"/>
      <c r="M91" s="790"/>
      <c r="N91" s="790"/>
      <c r="O91" s="790"/>
      <c r="P91" s="790"/>
      <c r="Q91" s="266"/>
      <c r="R91" s="266"/>
      <c r="S91" s="269" t="e">
        <f>VLOOKUP(Q91,[75]Listas!$D$6:$E$10,2,0)</f>
        <v>#N/A</v>
      </c>
      <c r="T91" s="269" t="e">
        <f>HLOOKUP(R91,[75]Listas!$F$4:$J$5,2,0)</f>
        <v>#N/A</v>
      </c>
      <c r="U91" s="270" t="e">
        <f>INDEX([75]Listas!$F$6:$J$10,MATCH(Q91,[75]Listas!$D$6:$D$10,0),MATCH(R91,[75]Listas!$F$4:$J$4,0))</f>
        <v>#N/A</v>
      </c>
      <c r="V91" s="1399"/>
      <c r="W91" s="1408"/>
      <c r="X91" s="1400"/>
      <c r="Y91" s="1063"/>
      <c r="Z91" s="267"/>
      <c r="AA91" s="259"/>
      <c r="AB91" s="790"/>
      <c r="AC91" s="267"/>
      <c r="AD91" s="268"/>
      <c r="AE91" s="269">
        <f t="shared" si="2"/>
        <v>0</v>
      </c>
      <c r="AF91" s="271" t="e">
        <f t="shared" si="0"/>
        <v>#N/A</v>
      </c>
      <c r="AG91" s="272" t="e">
        <f>IF(AF91&lt;=1,"Remota",VLOOKUP(AF91,[75]Listas!$C$6:$D$10,2,0))</f>
        <v>#N/A</v>
      </c>
      <c r="AH91" s="271" t="e">
        <f t="shared" si="1"/>
        <v>#N/A</v>
      </c>
      <c r="AI91" s="272" t="e">
        <f>IF(AH91&lt;=1,"Insignificante",HLOOKUP(AH91,[75]Listas!$F$3:$J$4,2,0))</f>
        <v>#N/A</v>
      </c>
      <c r="AJ91" s="273" t="e">
        <f t="shared" si="3"/>
        <v>#N/A</v>
      </c>
      <c r="AK91" s="270" t="e">
        <f>INDEX([75]Listas!$F$6:$J$10,MATCH(AG91,[75]Listas!$D$6:$D$10,0),MATCH(AI91,[75]Listas!$F$4:$J$4,0))</f>
        <v>#N/A</v>
      </c>
      <c r="AL91" s="259"/>
      <c r="AM91" s="259"/>
      <c r="AN91" s="794"/>
      <c r="AO91" s="259"/>
      <c r="AP91" s="259" t="s">
        <v>2877</v>
      </c>
      <c r="AQ91" s="813"/>
      <c r="AR91" s="259"/>
      <c r="AS91" s="259"/>
      <c r="AT91" s="261"/>
      <c r="AU91" s="261"/>
      <c r="AV91" s="790"/>
      <c r="AW91" s="262"/>
    </row>
    <row r="92" spans="1:49" s="260" customFormat="1" ht="103.5" hidden="1" customHeight="1">
      <c r="A92" s="790"/>
      <c r="B92" s="266"/>
      <c r="C92" s="1399"/>
      <c r="D92" s="1408"/>
      <c r="E92" s="1400"/>
      <c r="F92" s="267"/>
      <c r="G92" s="1399"/>
      <c r="H92" s="1408"/>
      <c r="I92" s="1400"/>
      <c r="J92" s="1380"/>
      <c r="K92" s="1380"/>
      <c r="L92" s="1380"/>
      <c r="M92" s="790"/>
      <c r="N92" s="790"/>
      <c r="O92" s="790"/>
      <c r="P92" s="790"/>
      <c r="Q92" s="266"/>
      <c r="R92" s="266"/>
      <c r="S92" s="269" t="e">
        <f>VLOOKUP(Q92,[75]Listas!$D$6:$E$10,2,0)</f>
        <v>#N/A</v>
      </c>
      <c r="T92" s="269" t="e">
        <f>HLOOKUP(R92,[75]Listas!$F$4:$J$5,2,0)</f>
        <v>#N/A</v>
      </c>
      <c r="U92" s="270" t="e">
        <f>INDEX([75]Listas!$F$6:$J$10,MATCH(Q92,[75]Listas!$D$6:$D$10,0),MATCH(R92,[75]Listas!$F$4:$J$4,0))</f>
        <v>#N/A</v>
      </c>
      <c r="V92" s="1399"/>
      <c r="W92" s="1408"/>
      <c r="X92" s="1400"/>
      <c r="Y92" s="1063"/>
      <c r="Z92" s="267"/>
      <c r="AA92" s="259"/>
      <c r="AB92" s="790"/>
      <c r="AC92" s="267"/>
      <c r="AD92" s="268"/>
      <c r="AE92" s="269">
        <f t="shared" si="2"/>
        <v>0</v>
      </c>
      <c r="AF92" s="271" t="e">
        <f t="shared" si="0"/>
        <v>#N/A</v>
      </c>
      <c r="AG92" s="272" t="e">
        <f>IF(AF92&lt;=1,"Remota",VLOOKUP(AF92,[75]Listas!$C$6:$D$10,2,0))</f>
        <v>#N/A</v>
      </c>
      <c r="AH92" s="271" t="e">
        <f t="shared" si="1"/>
        <v>#N/A</v>
      </c>
      <c r="AI92" s="272" t="e">
        <f>IF(AH92&lt;=1,"Insignificante",HLOOKUP(AH92,[75]Listas!$F$3:$J$4,2,0))</f>
        <v>#N/A</v>
      </c>
      <c r="AJ92" s="273" t="e">
        <f t="shared" si="3"/>
        <v>#N/A</v>
      </c>
      <c r="AK92" s="270" t="e">
        <f>INDEX([75]Listas!$F$6:$J$10,MATCH(AG92,[75]Listas!$D$6:$D$10,0),MATCH(AI92,[75]Listas!$F$4:$J$4,0))</f>
        <v>#N/A</v>
      </c>
      <c r="AL92" s="259"/>
      <c r="AM92" s="259"/>
      <c r="AN92" s="794"/>
      <c r="AO92" s="259"/>
      <c r="AP92" s="259" t="s">
        <v>2877</v>
      </c>
      <c r="AQ92" s="813"/>
      <c r="AR92" s="259"/>
      <c r="AS92" s="259"/>
      <c r="AT92" s="261"/>
      <c r="AU92" s="261"/>
      <c r="AV92" s="790"/>
      <c r="AW92" s="262"/>
    </row>
    <row r="93" spans="1:49" s="260" customFormat="1" ht="103.5" hidden="1" customHeight="1">
      <c r="A93" s="790"/>
      <c r="B93" s="266"/>
      <c r="C93" s="1399"/>
      <c r="D93" s="1408"/>
      <c r="E93" s="1400"/>
      <c r="F93" s="267"/>
      <c r="G93" s="1399"/>
      <c r="H93" s="1408"/>
      <c r="I93" s="1400"/>
      <c r="J93" s="1380"/>
      <c r="K93" s="1380"/>
      <c r="L93" s="1380"/>
      <c r="M93" s="790"/>
      <c r="N93" s="790"/>
      <c r="O93" s="790"/>
      <c r="P93" s="790"/>
      <c r="Q93" s="266"/>
      <c r="R93" s="266"/>
      <c r="S93" s="269" t="e">
        <f>VLOOKUP(Q93,[75]Listas!$D$6:$E$10,2,0)</f>
        <v>#N/A</v>
      </c>
      <c r="T93" s="269" t="e">
        <f>HLOOKUP(R93,[75]Listas!$F$4:$J$5,2,0)</f>
        <v>#N/A</v>
      </c>
      <c r="U93" s="270" t="e">
        <f>INDEX([75]Listas!$F$6:$J$10,MATCH(Q93,[75]Listas!$D$6:$D$10,0),MATCH(R93,[75]Listas!$F$4:$J$4,0))</f>
        <v>#N/A</v>
      </c>
      <c r="V93" s="1399"/>
      <c r="W93" s="1408"/>
      <c r="X93" s="1400"/>
      <c r="Y93" s="1063"/>
      <c r="Z93" s="267"/>
      <c r="AA93" s="259"/>
      <c r="AB93" s="790"/>
      <c r="AC93" s="267"/>
      <c r="AD93" s="268"/>
      <c r="AE93" s="269">
        <f t="shared" si="2"/>
        <v>0</v>
      </c>
      <c r="AF93" s="271" t="e">
        <f t="shared" si="0"/>
        <v>#N/A</v>
      </c>
      <c r="AG93" s="272" t="e">
        <f>IF(AF93&lt;=1,"Remota",VLOOKUP(AF93,[75]Listas!$C$6:$D$10,2,0))</f>
        <v>#N/A</v>
      </c>
      <c r="AH93" s="271" t="e">
        <f t="shared" si="1"/>
        <v>#N/A</v>
      </c>
      <c r="AI93" s="272" t="e">
        <f>IF(AH93&lt;=1,"Insignificante",HLOOKUP(AH93,[75]Listas!$F$3:$J$4,2,0))</f>
        <v>#N/A</v>
      </c>
      <c r="AJ93" s="273" t="e">
        <f t="shared" si="3"/>
        <v>#N/A</v>
      </c>
      <c r="AK93" s="270" t="e">
        <f>INDEX([75]Listas!$F$6:$J$10,MATCH(AG93,[75]Listas!$D$6:$D$10,0),MATCH(AI93,[75]Listas!$F$4:$J$4,0))</f>
        <v>#N/A</v>
      </c>
      <c r="AL93" s="259"/>
      <c r="AM93" s="259"/>
      <c r="AN93" s="794"/>
      <c r="AO93" s="259"/>
      <c r="AP93" s="259" t="s">
        <v>2877</v>
      </c>
      <c r="AQ93" s="813"/>
      <c r="AR93" s="259"/>
      <c r="AS93" s="259"/>
      <c r="AT93" s="261"/>
      <c r="AU93" s="261"/>
      <c r="AV93" s="790"/>
      <c r="AW93" s="262"/>
    </row>
    <row r="94" spans="1:49" s="260" customFormat="1" ht="103.5" hidden="1" customHeight="1">
      <c r="A94" s="790"/>
      <c r="B94" s="266"/>
      <c r="C94" s="1399"/>
      <c r="D94" s="1408"/>
      <c r="E94" s="1400"/>
      <c r="F94" s="267"/>
      <c r="G94" s="1399"/>
      <c r="H94" s="1408"/>
      <c r="I94" s="1400"/>
      <c r="J94" s="1380"/>
      <c r="K94" s="1380"/>
      <c r="L94" s="1380"/>
      <c r="M94" s="790"/>
      <c r="N94" s="790"/>
      <c r="O94" s="790"/>
      <c r="P94" s="790"/>
      <c r="Q94" s="266"/>
      <c r="R94" s="266"/>
      <c r="S94" s="269" t="e">
        <f>VLOOKUP(Q94,[75]Listas!$D$6:$E$10,2,0)</f>
        <v>#N/A</v>
      </c>
      <c r="T94" s="269" t="e">
        <f>HLOOKUP(R94,[75]Listas!$F$4:$J$5,2,0)</f>
        <v>#N/A</v>
      </c>
      <c r="U94" s="270" t="e">
        <f>INDEX([75]Listas!$F$6:$J$10,MATCH(Q94,[75]Listas!$D$6:$D$10,0),MATCH(R94,[75]Listas!$F$4:$J$4,0))</f>
        <v>#N/A</v>
      </c>
      <c r="V94" s="1399"/>
      <c r="W94" s="1408"/>
      <c r="X94" s="1400"/>
      <c r="Y94" s="1063"/>
      <c r="Z94" s="267"/>
      <c r="AA94" s="259"/>
      <c r="AB94" s="790"/>
      <c r="AC94" s="267"/>
      <c r="AD94" s="268"/>
      <c r="AE94" s="269">
        <f t="shared" si="2"/>
        <v>0</v>
      </c>
      <c r="AF94" s="271" t="e">
        <f t="shared" si="0"/>
        <v>#N/A</v>
      </c>
      <c r="AG94" s="272" t="e">
        <f>IF(AF94&lt;=1,"Remota",VLOOKUP(AF94,[75]Listas!$C$6:$D$10,2,0))</f>
        <v>#N/A</v>
      </c>
      <c r="AH94" s="271" t="e">
        <f t="shared" si="1"/>
        <v>#N/A</v>
      </c>
      <c r="AI94" s="272" t="e">
        <f>IF(AH94&lt;=1,"Insignificante",HLOOKUP(AH94,[75]Listas!$F$3:$J$4,2,0))</f>
        <v>#N/A</v>
      </c>
      <c r="AJ94" s="273" t="e">
        <f t="shared" si="3"/>
        <v>#N/A</v>
      </c>
      <c r="AK94" s="270" t="e">
        <f>INDEX([75]Listas!$F$6:$J$10,MATCH(AG94,[75]Listas!$D$6:$D$10,0),MATCH(AI94,[75]Listas!$F$4:$J$4,0))</f>
        <v>#N/A</v>
      </c>
      <c r="AL94" s="259"/>
      <c r="AM94" s="259"/>
      <c r="AN94" s="794"/>
      <c r="AO94" s="259"/>
      <c r="AP94" s="259" t="s">
        <v>2877</v>
      </c>
      <c r="AQ94" s="813"/>
      <c r="AR94" s="259"/>
      <c r="AS94" s="259"/>
      <c r="AT94" s="261"/>
      <c r="AU94" s="261"/>
      <c r="AV94" s="790"/>
      <c r="AW94" s="262"/>
    </row>
    <row r="95" spans="1:49" s="260" customFormat="1" ht="103.5" hidden="1" customHeight="1">
      <c r="A95" s="790"/>
      <c r="B95" s="266"/>
      <c r="C95" s="1399"/>
      <c r="D95" s="1408"/>
      <c r="E95" s="1400"/>
      <c r="F95" s="267"/>
      <c r="G95" s="1399"/>
      <c r="H95" s="1408"/>
      <c r="I95" s="1400"/>
      <c r="J95" s="1380"/>
      <c r="K95" s="1380"/>
      <c r="L95" s="1380"/>
      <c r="M95" s="790"/>
      <c r="N95" s="790"/>
      <c r="O95" s="790"/>
      <c r="P95" s="790"/>
      <c r="Q95" s="266"/>
      <c r="R95" s="266"/>
      <c r="S95" s="269" t="e">
        <f>VLOOKUP(Q95,[75]Listas!$D$6:$E$10,2,0)</f>
        <v>#N/A</v>
      </c>
      <c r="T95" s="269" t="e">
        <f>HLOOKUP(R95,[75]Listas!$F$4:$J$5,2,0)</f>
        <v>#N/A</v>
      </c>
      <c r="U95" s="270" t="e">
        <f>INDEX([75]Listas!$F$6:$J$10,MATCH(Q95,[75]Listas!$D$6:$D$10,0),MATCH(R95,[75]Listas!$F$4:$J$4,0))</f>
        <v>#N/A</v>
      </c>
      <c r="V95" s="1399"/>
      <c r="W95" s="1408"/>
      <c r="X95" s="1400"/>
      <c r="Y95" s="1063"/>
      <c r="Z95" s="267"/>
      <c r="AA95" s="259"/>
      <c r="AB95" s="790"/>
      <c r="AC95" s="267"/>
      <c r="AD95" s="268"/>
      <c r="AE95" s="269">
        <f t="shared" si="2"/>
        <v>0</v>
      </c>
      <c r="AF95" s="271" t="e">
        <f t="shared" si="0"/>
        <v>#N/A</v>
      </c>
      <c r="AG95" s="272" t="e">
        <f>IF(AF95&lt;=1,"Remota",VLOOKUP(AF95,[75]Listas!$C$6:$D$10,2,0))</f>
        <v>#N/A</v>
      </c>
      <c r="AH95" s="271" t="e">
        <f t="shared" si="1"/>
        <v>#N/A</v>
      </c>
      <c r="AI95" s="272" t="e">
        <f>IF(AH95&lt;=1,"Insignificante",HLOOKUP(AH95,[75]Listas!$F$3:$J$4,2,0))</f>
        <v>#N/A</v>
      </c>
      <c r="AJ95" s="273" t="e">
        <f t="shared" si="3"/>
        <v>#N/A</v>
      </c>
      <c r="AK95" s="270" t="e">
        <f>INDEX([75]Listas!$F$6:$J$10,MATCH(AG95,[75]Listas!$D$6:$D$10,0),MATCH(AI95,[75]Listas!$F$4:$J$4,0))</f>
        <v>#N/A</v>
      </c>
      <c r="AL95" s="259"/>
      <c r="AM95" s="259"/>
      <c r="AN95" s="794"/>
      <c r="AO95" s="259"/>
      <c r="AP95" s="259" t="s">
        <v>2877</v>
      </c>
      <c r="AQ95" s="813"/>
      <c r="AR95" s="259"/>
      <c r="AS95" s="259"/>
      <c r="AT95" s="261"/>
      <c r="AU95" s="261"/>
      <c r="AV95" s="790"/>
      <c r="AW95" s="262"/>
    </row>
    <row r="96" spans="1:49" s="260" customFormat="1" ht="103.5" hidden="1" customHeight="1">
      <c r="A96" s="790"/>
      <c r="B96" s="266"/>
      <c r="C96" s="1399"/>
      <c r="D96" s="1408"/>
      <c r="E96" s="1400"/>
      <c r="F96" s="267"/>
      <c r="G96" s="1399"/>
      <c r="H96" s="1408"/>
      <c r="I96" s="1400"/>
      <c r="J96" s="1380"/>
      <c r="K96" s="1380"/>
      <c r="L96" s="1380"/>
      <c r="M96" s="790"/>
      <c r="N96" s="790"/>
      <c r="O96" s="790"/>
      <c r="P96" s="790"/>
      <c r="Q96" s="266"/>
      <c r="R96" s="266"/>
      <c r="S96" s="269" t="e">
        <f>VLOOKUP(Q96,[75]Listas!$D$6:$E$10,2,0)</f>
        <v>#N/A</v>
      </c>
      <c r="T96" s="269" t="e">
        <f>HLOOKUP(R96,[75]Listas!$F$4:$J$5,2,0)</f>
        <v>#N/A</v>
      </c>
      <c r="U96" s="270" t="e">
        <f>INDEX([75]Listas!$F$6:$J$10,MATCH(Q96,[75]Listas!$D$6:$D$10,0),MATCH(R96,[75]Listas!$F$4:$J$4,0))</f>
        <v>#N/A</v>
      </c>
      <c r="V96" s="1399"/>
      <c r="W96" s="1408"/>
      <c r="X96" s="1400"/>
      <c r="Y96" s="1063"/>
      <c r="Z96" s="267"/>
      <c r="AA96" s="259"/>
      <c r="AB96" s="790"/>
      <c r="AC96" s="267"/>
      <c r="AD96" s="268"/>
      <c r="AE96" s="269">
        <f t="shared" si="2"/>
        <v>0</v>
      </c>
      <c r="AF96" s="271" t="e">
        <f t="shared" si="0"/>
        <v>#N/A</v>
      </c>
      <c r="AG96" s="272" t="e">
        <f>IF(AF96&lt;=1,"Remota",VLOOKUP(AF96,[75]Listas!$C$6:$D$10,2,0))</f>
        <v>#N/A</v>
      </c>
      <c r="AH96" s="271" t="e">
        <f t="shared" si="1"/>
        <v>#N/A</v>
      </c>
      <c r="AI96" s="272" t="e">
        <f>IF(AH96&lt;=1,"Insignificante",HLOOKUP(AH96,[75]Listas!$F$3:$J$4,2,0))</f>
        <v>#N/A</v>
      </c>
      <c r="AJ96" s="273" t="e">
        <f t="shared" si="3"/>
        <v>#N/A</v>
      </c>
      <c r="AK96" s="270" t="e">
        <f>INDEX([75]Listas!$F$6:$J$10,MATCH(AG96,[75]Listas!$D$6:$D$10,0),MATCH(AI96,[75]Listas!$F$4:$J$4,0))</f>
        <v>#N/A</v>
      </c>
      <c r="AL96" s="259"/>
      <c r="AM96" s="259"/>
      <c r="AN96" s="794"/>
      <c r="AO96" s="259"/>
      <c r="AP96" s="259" t="s">
        <v>2877</v>
      </c>
      <c r="AQ96" s="813"/>
      <c r="AR96" s="259"/>
      <c r="AS96" s="259"/>
      <c r="AT96" s="261"/>
      <c r="AU96" s="261"/>
      <c r="AV96" s="790"/>
      <c r="AW96" s="262"/>
    </row>
    <row r="97" spans="1:1025" s="260" customFormat="1" ht="103.5" hidden="1" customHeight="1">
      <c r="A97" s="790"/>
      <c r="B97" s="266"/>
      <c r="C97" s="1399"/>
      <c r="D97" s="1408"/>
      <c r="E97" s="1400"/>
      <c r="F97" s="267"/>
      <c r="G97" s="1399"/>
      <c r="H97" s="1408"/>
      <c r="I97" s="1400"/>
      <c r="J97" s="1380"/>
      <c r="K97" s="1380"/>
      <c r="L97" s="1380"/>
      <c r="M97" s="790"/>
      <c r="N97" s="790"/>
      <c r="O97" s="790"/>
      <c r="P97" s="790"/>
      <c r="Q97" s="266"/>
      <c r="R97" s="266"/>
      <c r="S97" s="269" t="e">
        <f>VLOOKUP(Q97,[75]Listas!$D$6:$E$10,2,0)</f>
        <v>#N/A</v>
      </c>
      <c r="T97" s="269" t="e">
        <f>HLOOKUP(R97,[75]Listas!$F$4:$J$5,2,0)</f>
        <v>#N/A</v>
      </c>
      <c r="U97" s="270" t="e">
        <f>INDEX([75]Listas!$F$6:$J$10,MATCH(Q97,[75]Listas!$D$6:$D$10,0),MATCH(R97,[75]Listas!$F$4:$J$4,0))</f>
        <v>#N/A</v>
      </c>
      <c r="V97" s="1399"/>
      <c r="W97" s="1408"/>
      <c r="X97" s="1400"/>
      <c r="Y97" s="1063"/>
      <c r="Z97" s="267"/>
      <c r="AA97" s="259"/>
      <c r="AB97" s="790"/>
      <c r="AC97" s="267"/>
      <c r="AD97" s="268"/>
      <c r="AE97" s="269">
        <f t="shared" si="2"/>
        <v>0</v>
      </c>
      <c r="AF97" s="271" t="e">
        <f t="shared" si="0"/>
        <v>#N/A</v>
      </c>
      <c r="AG97" s="272" t="e">
        <f>IF(AF97&lt;=1,"Remota",VLOOKUP(AF97,[75]Listas!$C$6:$D$10,2,0))</f>
        <v>#N/A</v>
      </c>
      <c r="AH97" s="271" t="e">
        <f t="shared" si="1"/>
        <v>#N/A</v>
      </c>
      <c r="AI97" s="272" t="e">
        <f>IF(AH97&lt;=1,"Insignificante",HLOOKUP(AH97,[75]Listas!$F$3:$J$4,2,0))</f>
        <v>#N/A</v>
      </c>
      <c r="AJ97" s="273" t="e">
        <f t="shared" si="3"/>
        <v>#N/A</v>
      </c>
      <c r="AK97" s="270" t="e">
        <f>INDEX([75]Listas!$F$6:$J$10,MATCH(AG97,[75]Listas!$D$6:$D$10,0),MATCH(AI97,[75]Listas!$F$4:$J$4,0))</f>
        <v>#N/A</v>
      </c>
      <c r="AL97" s="259"/>
      <c r="AM97" s="259"/>
      <c r="AN97" s="794"/>
      <c r="AO97" s="259"/>
      <c r="AP97" s="259" t="s">
        <v>2877</v>
      </c>
      <c r="AQ97" s="813"/>
      <c r="AR97" s="259"/>
      <c r="AS97" s="259"/>
      <c r="AT97" s="261"/>
      <c r="AU97" s="261"/>
      <c r="AV97" s="790"/>
      <c r="AW97" s="262"/>
    </row>
    <row r="98" spans="1:1025" s="260" customFormat="1" ht="112.5" hidden="1">
      <c r="A98" s="790"/>
      <c r="B98" s="266"/>
      <c r="C98" s="1399"/>
      <c r="D98" s="1408"/>
      <c r="E98" s="1400"/>
      <c r="F98" s="267"/>
      <c r="G98" s="1399"/>
      <c r="H98" s="1408"/>
      <c r="I98" s="1400"/>
      <c r="J98" s="1380"/>
      <c r="K98" s="1380"/>
      <c r="L98" s="1380"/>
      <c r="M98" s="790"/>
      <c r="N98" s="790"/>
      <c r="O98" s="790"/>
      <c r="P98" s="790"/>
      <c r="Q98" s="266"/>
      <c r="R98" s="266"/>
      <c r="S98" s="269" t="e">
        <f>VLOOKUP(Q98,[75]Listas!$D$6:$E$10,2,0)</f>
        <v>#N/A</v>
      </c>
      <c r="T98" s="269" t="e">
        <f>HLOOKUP(R98,[75]Listas!$F$4:$J$5,2,0)</f>
        <v>#N/A</v>
      </c>
      <c r="U98" s="270" t="e">
        <f>INDEX([75]Listas!$F$6:$J$10,MATCH(Q98,[75]Listas!$D$6:$D$10,0),MATCH(R98,[75]Listas!$F$4:$J$4,0))</f>
        <v>#N/A</v>
      </c>
      <c r="V98" s="1399"/>
      <c r="W98" s="1408"/>
      <c r="X98" s="1400"/>
      <c r="Y98" s="1063"/>
      <c r="Z98" s="267"/>
      <c r="AA98" s="259"/>
      <c r="AB98" s="790"/>
      <c r="AC98" s="267"/>
      <c r="AD98" s="268"/>
      <c r="AE98" s="269">
        <f t="shared" si="2"/>
        <v>0</v>
      </c>
      <c r="AF98" s="271" t="e">
        <f t="shared" ref="AF98" si="4">IF(OR(AC98="Probabilidad",AC98="Ambos"),S98-AE98,S98)</f>
        <v>#N/A</v>
      </c>
      <c r="AG98" s="272" t="e">
        <f>IF(AF98&lt;=1,"Remota",VLOOKUP(AF98,[75]Listas!$C$6:$D$10,2,0))</f>
        <v>#N/A</v>
      </c>
      <c r="AH98" s="271" t="e">
        <f t="shared" ref="AH98" si="5">IF(OR(AC98="Impacto",AC98="Ambos"),T98-AE98,T98)</f>
        <v>#N/A</v>
      </c>
      <c r="AI98" s="272" t="e">
        <f>IF(AH98&lt;=1,"Insignificante",HLOOKUP(AH98,[75]Listas!$F$3:$J$4,2,0))</f>
        <v>#N/A</v>
      </c>
      <c r="AJ98" s="273" t="e">
        <f t="shared" si="3"/>
        <v>#N/A</v>
      </c>
      <c r="AK98" s="270" t="e">
        <f>INDEX([75]Listas!$F$6:$J$10,MATCH(AG98,[75]Listas!$D$6:$D$10,0),MATCH(AI98,[75]Listas!$F$4:$J$4,0))</f>
        <v>#N/A</v>
      </c>
      <c r="AL98" s="259"/>
      <c r="AM98" s="259"/>
      <c r="AN98" s="794"/>
      <c r="AO98" s="259"/>
      <c r="AP98" s="259" t="s">
        <v>2877</v>
      </c>
      <c r="AQ98" s="813"/>
      <c r="AR98" s="259"/>
      <c r="AS98" s="259"/>
      <c r="AT98" s="261"/>
      <c r="AU98" s="261"/>
      <c r="AV98" s="790"/>
      <c r="AW98" s="262"/>
    </row>
    <row r="99" spans="1:1025" ht="5.25" customHeight="1">
      <c r="A99" s="275"/>
      <c r="B99" s="276"/>
      <c r="C99" s="276"/>
      <c r="D99" s="276"/>
      <c r="E99" s="275"/>
      <c r="F99" s="275"/>
      <c r="G99" s="277"/>
      <c r="H99" s="277"/>
      <c r="I99" s="277"/>
      <c r="J99" s="275"/>
      <c r="K99" s="275"/>
      <c r="L99" s="278"/>
      <c r="M99" s="278"/>
      <c r="N99" s="278"/>
      <c r="O99" s="278"/>
      <c r="P99" s="278"/>
      <c r="Q99" s="278"/>
      <c r="R99" s="278"/>
      <c r="S99" s="278"/>
      <c r="T99" s="278"/>
      <c r="U99" s="275"/>
      <c r="V99" s="277"/>
      <c r="W99" s="277"/>
      <c r="X99" s="277"/>
      <c r="Y99" s="275"/>
      <c r="Z99" s="277"/>
      <c r="AA99" s="534"/>
      <c r="AB99" s="275"/>
      <c r="AC99" s="275"/>
      <c r="AD99" s="275"/>
      <c r="AE99" s="275"/>
      <c r="AF99" s="275"/>
      <c r="AG99" s="275"/>
      <c r="AH99" s="275"/>
      <c r="AI99" s="275"/>
      <c r="AJ99" s="275"/>
      <c r="AK99" s="279"/>
      <c r="AL99" s="262"/>
      <c r="AM99" s="260"/>
      <c r="AN99" s="260"/>
      <c r="AO99" s="260"/>
      <c r="AP99" s="262"/>
      <c r="AQ99" s="262"/>
      <c r="AR99" s="262"/>
      <c r="AS99" s="262"/>
      <c r="AT99" s="262"/>
      <c r="AU99" s="262"/>
      <c r="AV99" s="262"/>
      <c r="AW99" s="262"/>
      <c r="AX99" s="236"/>
      <c r="AY99" s="236"/>
      <c r="AZ99" s="236"/>
      <c r="BA99" s="236"/>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c r="HV99" s="236"/>
      <c r="HW99" s="236"/>
      <c r="HX99" s="236"/>
      <c r="HY99" s="236"/>
      <c r="HZ99" s="236"/>
      <c r="IA99" s="236"/>
      <c r="IB99" s="236"/>
      <c r="IC99" s="236"/>
      <c r="ID99" s="236"/>
      <c r="IE99" s="236"/>
      <c r="IF99" s="236"/>
      <c r="IG99" s="236"/>
      <c r="IH99" s="236"/>
      <c r="II99" s="236"/>
      <c r="IJ99" s="236"/>
      <c r="IK99" s="236"/>
      <c r="IL99" s="236"/>
      <c r="IM99" s="236"/>
      <c r="IN99" s="236"/>
      <c r="IO99" s="236"/>
      <c r="IP99" s="236"/>
      <c r="IQ99" s="236"/>
      <c r="IR99" s="236"/>
      <c r="IS99" s="236"/>
      <c r="IT99" s="236"/>
      <c r="IU99" s="236"/>
      <c r="IV99" s="236"/>
      <c r="IW99" s="236"/>
      <c r="IX99" s="236"/>
      <c r="IY99" s="236"/>
      <c r="IZ99" s="236"/>
      <c r="JA99" s="236"/>
      <c r="JB99" s="236"/>
      <c r="JC99" s="236"/>
      <c r="JD99" s="236"/>
      <c r="JE99" s="236"/>
      <c r="JF99" s="236"/>
      <c r="JG99" s="236"/>
      <c r="JH99" s="236"/>
      <c r="JI99" s="236"/>
      <c r="JJ99" s="236"/>
      <c r="JK99" s="236"/>
      <c r="JL99" s="236"/>
      <c r="JM99" s="236"/>
      <c r="JN99" s="236"/>
      <c r="JO99" s="236"/>
      <c r="JP99" s="236"/>
      <c r="JQ99" s="236"/>
      <c r="JR99" s="236"/>
      <c r="JS99" s="236"/>
      <c r="JT99" s="236"/>
      <c r="JU99" s="236"/>
      <c r="JV99" s="236"/>
      <c r="JW99" s="236"/>
      <c r="JX99" s="236"/>
      <c r="JY99" s="236"/>
      <c r="JZ99" s="236"/>
      <c r="KA99" s="236"/>
      <c r="KB99" s="236"/>
      <c r="KC99" s="236"/>
      <c r="KD99" s="236"/>
      <c r="KE99" s="236"/>
      <c r="KF99" s="236"/>
      <c r="KG99" s="236"/>
      <c r="KH99" s="236"/>
      <c r="KI99" s="236"/>
      <c r="KJ99" s="236"/>
      <c r="KK99" s="236"/>
      <c r="KL99" s="236"/>
      <c r="KM99" s="236"/>
      <c r="KN99" s="236"/>
      <c r="KO99" s="236"/>
      <c r="KP99" s="236"/>
      <c r="KQ99" s="236"/>
      <c r="KR99" s="236"/>
      <c r="KS99" s="236"/>
      <c r="KT99" s="236"/>
      <c r="KU99" s="236"/>
      <c r="KV99" s="236"/>
      <c r="KW99" s="236"/>
      <c r="KX99" s="236"/>
      <c r="KY99" s="236"/>
      <c r="KZ99" s="236"/>
      <c r="LA99" s="236"/>
      <c r="LB99" s="236"/>
      <c r="LC99" s="236"/>
      <c r="LD99" s="236"/>
      <c r="LE99" s="236"/>
      <c r="LF99" s="236"/>
      <c r="LG99" s="236"/>
      <c r="LH99" s="236"/>
      <c r="LI99" s="236"/>
      <c r="LJ99" s="236"/>
      <c r="LK99" s="236"/>
      <c r="LL99" s="236"/>
      <c r="LM99" s="236"/>
      <c r="LN99" s="236"/>
      <c r="LO99" s="236"/>
      <c r="LP99" s="236"/>
      <c r="LQ99" s="236"/>
      <c r="LR99" s="236"/>
      <c r="LS99" s="236"/>
      <c r="LT99" s="236"/>
      <c r="LU99" s="236"/>
      <c r="LV99" s="236"/>
      <c r="LW99" s="236"/>
      <c r="LX99" s="236"/>
      <c r="LY99" s="236"/>
      <c r="LZ99" s="236"/>
      <c r="MA99" s="236"/>
      <c r="MB99" s="236"/>
      <c r="MC99" s="236"/>
      <c r="MD99" s="236"/>
      <c r="ME99" s="236"/>
      <c r="MF99" s="236"/>
      <c r="MG99" s="236"/>
      <c r="MH99" s="236"/>
      <c r="MI99" s="236"/>
      <c r="MJ99" s="236"/>
      <c r="MK99" s="236"/>
      <c r="ML99" s="236"/>
      <c r="MM99" s="236"/>
      <c r="MN99" s="236"/>
      <c r="MO99" s="236"/>
      <c r="MP99" s="236"/>
      <c r="MQ99" s="236"/>
      <c r="MR99" s="236"/>
      <c r="MS99" s="236"/>
      <c r="MT99" s="236"/>
      <c r="MU99" s="236"/>
      <c r="MV99" s="236"/>
      <c r="MW99" s="236"/>
      <c r="MX99" s="236"/>
      <c r="MY99" s="236"/>
      <c r="MZ99" s="236"/>
      <c r="NA99" s="236"/>
      <c r="NB99" s="236"/>
      <c r="NC99" s="236"/>
      <c r="ND99" s="236"/>
      <c r="NE99" s="236"/>
      <c r="NF99" s="236"/>
      <c r="NG99" s="236"/>
      <c r="NH99" s="236"/>
      <c r="NI99" s="236"/>
      <c r="NJ99" s="236"/>
      <c r="NK99" s="236"/>
      <c r="NL99" s="236"/>
      <c r="NM99" s="236"/>
      <c r="NN99" s="236"/>
      <c r="NO99" s="236"/>
      <c r="NP99" s="236"/>
      <c r="NQ99" s="236"/>
      <c r="NR99" s="236"/>
      <c r="NS99" s="236"/>
      <c r="NT99" s="236"/>
      <c r="NU99" s="236"/>
      <c r="NV99" s="236"/>
      <c r="NW99" s="236"/>
      <c r="NX99" s="236"/>
      <c r="NY99" s="236"/>
      <c r="NZ99" s="236"/>
      <c r="OA99" s="236"/>
      <c r="OB99" s="236"/>
      <c r="OC99" s="236"/>
      <c r="OD99" s="236"/>
      <c r="OE99" s="236"/>
      <c r="OF99" s="236"/>
      <c r="OG99" s="236"/>
      <c r="OH99" s="236"/>
      <c r="OI99" s="236"/>
      <c r="OJ99" s="236"/>
      <c r="OK99" s="236"/>
      <c r="OL99" s="236"/>
      <c r="OM99" s="236"/>
      <c r="ON99" s="236"/>
      <c r="OO99" s="236"/>
      <c r="OP99" s="236"/>
      <c r="OQ99" s="236"/>
      <c r="OR99" s="236"/>
      <c r="OS99" s="236"/>
      <c r="OT99" s="236"/>
      <c r="OU99" s="236"/>
      <c r="OV99" s="236"/>
      <c r="OW99" s="236"/>
      <c r="OX99" s="236"/>
      <c r="OY99" s="236"/>
      <c r="OZ99" s="236"/>
      <c r="PA99" s="236"/>
      <c r="PB99" s="236"/>
      <c r="PC99" s="236"/>
      <c r="PD99" s="236"/>
      <c r="PE99" s="236"/>
      <c r="PF99" s="236"/>
      <c r="PG99" s="236"/>
      <c r="PH99" s="236"/>
      <c r="PI99" s="236"/>
      <c r="PJ99" s="236"/>
      <c r="PK99" s="236"/>
      <c r="PL99" s="236"/>
      <c r="PM99" s="236"/>
      <c r="PN99" s="236"/>
      <c r="PO99" s="236"/>
      <c r="PP99" s="236"/>
      <c r="PQ99" s="236"/>
      <c r="PR99" s="236"/>
      <c r="PS99" s="236"/>
      <c r="PT99" s="236"/>
      <c r="PU99" s="236"/>
      <c r="PV99" s="236"/>
      <c r="PW99" s="236"/>
      <c r="PX99" s="236"/>
      <c r="PY99" s="236"/>
      <c r="PZ99" s="236"/>
      <c r="QA99" s="236"/>
      <c r="QB99" s="236"/>
      <c r="QC99" s="236"/>
      <c r="QD99" s="236"/>
      <c r="QE99" s="236"/>
      <c r="QF99" s="236"/>
      <c r="QG99" s="236"/>
      <c r="QH99" s="236"/>
      <c r="QI99" s="236"/>
      <c r="QJ99" s="236"/>
      <c r="QK99" s="236"/>
      <c r="QL99" s="236"/>
      <c r="QM99" s="236"/>
      <c r="QN99" s="236"/>
      <c r="QO99" s="236"/>
      <c r="QP99" s="236"/>
      <c r="QQ99" s="236"/>
      <c r="QR99" s="236"/>
      <c r="QS99" s="236"/>
      <c r="QT99" s="236"/>
      <c r="QU99" s="236"/>
      <c r="QV99" s="236"/>
      <c r="QW99" s="236"/>
      <c r="QX99" s="236"/>
      <c r="QY99" s="236"/>
      <c r="QZ99" s="236"/>
      <c r="RA99" s="236"/>
      <c r="RB99" s="236"/>
      <c r="RC99" s="236"/>
      <c r="RD99" s="236"/>
      <c r="RE99" s="236"/>
      <c r="RF99" s="236"/>
      <c r="RG99" s="236"/>
      <c r="RH99" s="236"/>
      <c r="RI99" s="236"/>
      <c r="RJ99" s="236"/>
      <c r="RK99" s="236"/>
      <c r="RL99" s="236"/>
      <c r="RM99" s="236"/>
      <c r="RN99" s="236"/>
      <c r="RO99" s="236"/>
      <c r="RP99" s="236"/>
      <c r="RQ99" s="236"/>
      <c r="RR99" s="236"/>
      <c r="RS99" s="236"/>
      <c r="RT99" s="236"/>
      <c r="RU99" s="236"/>
      <c r="RV99" s="236"/>
      <c r="RW99" s="236"/>
      <c r="RX99" s="236"/>
      <c r="RY99" s="236"/>
      <c r="RZ99" s="236"/>
      <c r="SA99" s="236"/>
      <c r="SB99" s="236"/>
      <c r="SC99" s="236"/>
      <c r="SD99" s="236"/>
      <c r="SE99" s="236"/>
      <c r="SF99" s="236"/>
      <c r="SG99" s="236"/>
      <c r="SH99" s="236"/>
      <c r="SI99" s="236"/>
      <c r="SJ99" s="236"/>
      <c r="SK99" s="236"/>
      <c r="SL99" s="236"/>
      <c r="SM99" s="236"/>
      <c r="SN99" s="236"/>
      <c r="SO99" s="236"/>
      <c r="SP99" s="236"/>
      <c r="SQ99" s="236"/>
      <c r="SR99" s="236"/>
      <c r="SS99" s="236"/>
      <c r="ST99" s="236"/>
      <c r="SU99" s="236"/>
      <c r="SV99" s="236"/>
      <c r="SW99" s="236"/>
      <c r="SX99" s="236"/>
      <c r="SY99" s="236"/>
      <c r="SZ99" s="236"/>
      <c r="TA99" s="236"/>
      <c r="TB99" s="236"/>
      <c r="TC99" s="236"/>
      <c r="TD99" s="236"/>
      <c r="TE99" s="236"/>
      <c r="TF99" s="236"/>
      <c r="TG99" s="236"/>
      <c r="TH99" s="236"/>
      <c r="TI99" s="236"/>
      <c r="TJ99" s="236"/>
      <c r="TK99" s="236"/>
      <c r="TL99" s="236"/>
      <c r="TM99" s="236"/>
      <c r="TN99" s="236"/>
      <c r="TO99" s="236"/>
      <c r="TP99" s="236"/>
      <c r="TQ99" s="236"/>
      <c r="TR99" s="236"/>
      <c r="TS99" s="236"/>
      <c r="TT99" s="236"/>
      <c r="TU99" s="236"/>
      <c r="TV99" s="236"/>
      <c r="TW99" s="236"/>
      <c r="TX99" s="236"/>
      <c r="TY99" s="236"/>
      <c r="TZ99" s="236"/>
      <c r="UA99" s="236"/>
      <c r="UB99" s="236"/>
      <c r="UC99" s="236"/>
      <c r="UD99" s="236"/>
      <c r="UE99" s="236"/>
      <c r="UF99" s="236"/>
      <c r="UG99" s="236"/>
      <c r="UH99" s="236"/>
      <c r="UI99" s="236"/>
      <c r="UJ99" s="236"/>
      <c r="UK99" s="236"/>
      <c r="UL99" s="236"/>
      <c r="UM99" s="236"/>
      <c r="UN99" s="236"/>
      <c r="UO99" s="236"/>
      <c r="UP99" s="236"/>
      <c r="UQ99" s="236"/>
      <c r="UR99" s="236"/>
      <c r="US99" s="236"/>
      <c r="UT99" s="236"/>
      <c r="UU99" s="236"/>
      <c r="UV99" s="236"/>
      <c r="UW99" s="236"/>
      <c r="UX99" s="236"/>
      <c r="UY99" s="236"/>
      <c r="UZ99" s="236"/>
      <c r="VA99" s="236"/>
      <c r="VB99" s="236"/>
      <c r="VC99" s="236"/>
      <c r="VD99" s="236"/>
      <c r="VE99" s="236"/>
      <c r="VF99" s="236"/>
      <c r="VG99" s="236"/>
      <c r="VH99" s="236"/>
      <c r="VI99" s="236"/>
      <c r="VJ99" s="236"/>
      <c r="VK99" s="236"/>
      <c r="VL99" s="236"/>
      <c r="VM99" s="236"/>
      <c r="VN99" s="236"/>
      <c r="VO99" s="236"/>
      <c r="VP99" s="236"/>
      <c r="VQ99" s="236"/>
      <c r="VR99" s="236"/>
      <c r="VS99" s="236"/>
      <c r="VT99" s="236"/>
      <c r="VU99" s="236"/>
      <c r="VV99" s="236"/>
      <c r="VW99" s="236"/>
      <c r="VX99" s="236"/>
      <c r="VY99" s="236"/>
      <c r="VZ99" s="236"/>
      <c r="WA99" s="236"/>
      <c r="WB99" s="236"/>
      <c r="WC99" s="236"/>
      <c r="WD99" s="236"/>
      <c r="WE99" s="236"/>
      <c r="WF99" s="236"/>
      <c r="WG99" s="236"/>
      <c r="WH99" s="236"/>
      <c r="WI99" s="236"/>
      <c r="WJ99" s="236"/>
      <c r="WK99" s="236"/>
      <c r="WL99" s="236"/>
      <c r="WM99" s="236"/>
      <c r="WN99" s="236"/>
      <c r="WO99" s="236"/>
      <c r="WP99" s="236"/>
      <c r="WQ99" s="236"/>
      <c r="WR99" s="236"/>
      <c r="WS99" s="236"/>
      <c r="WT99" s="236"/>
      <c r="WU99" s="236"/>
      <c r="WV99" s="236"/>
      <c r="WW99" s="236"/>
      <c r="WX99" s="236"/>
      <c r="WY99" s="236"/>
      <c r="WZ99" s="236"/>
      <c r="XA99" s="236"/>
      <c r="XB99" s="236"/>
      <c r="XC99" s="236"/>
      <c r="XD99" s="236"/>
      <c r="XE99" s="236"/>
      <c r="XF99" s="236"/>
      <c r="XG99" s="236"/>
      <c r="XH99" s="236"/>
      <c r="XI99" s="236"/>
      <c r="XJ99" s="236"/>
      <c r="XK99" s="236"/>
      <c r="XL99" s="236"/>
      <c r="XM99" s="236"/>
      <c r="XN99" s="236"/>
      <c r="XO99" s="236"/>
      <c r="XP99" s="236"/>
      <c r="XQ99" s="236"/>
      <c r="XR99" s="236"/>
      <c r="XS99" s="236"/>
      <c r="XT99" s="236"/>
      <c r="XU99" s="236"/>
      <c r="XV99" s="236"/>
      <c r="XW99" s="236"/>
      <c r="XX99" s="236"/>
      <c r="XY99" s="236"/>
      <c r="XZ99" s="236"/>
      <c r="YA99" s="236"/>
      <c r="YB99" s="236"/>
      <c r="YC99" s="236"/>
      <c r="YD99" s="236"/>
      <c r="YE99" s="236"/>
      <c r="YF99" s="236"/>
      <c r="YG99" s="236"/>
      <c r="YH99" s="236"/>
      <c r="YI99" s="236"/>
      <c r="YJ99" s="236"/>
      <c r="YK99" s="236"/>
      <c r="YL99" s="236"/>
      <c r="YM99" s="236"/>
      <c r="YN99" s="236"/>
      <c r="YO99" s="236"/>
      <c r="YP99" s="236"/>
      <c r="YQ99" s="236"/>
      <c r="YR99" s="236"/>
      <c r="YS99" s="236"/>
      <c r="YT99" s="236"/>
      <c r="YU99" s="236"/>
      <c r="YV99" s="236"/>
      <c r="YW99" s="236"/>
      <c r="YX99" s="236"/>
      <c r="YY99" s="236"/>
      <c r="YZ99" s="236"/>
      <c r="ZA99" s="236"/>
      <c r="ZB99" s="236"/>
      <c r="ZC99" s="236"/>
      <c r="ZD99" s="236"/>
      <c r="ZE99" s="236"/>
      <c r="ZF99" s="236"/>
      <c r="ZG99" s="236"/>
      <c r="ZH99" s="236"/>
      <c r="ZI99" s="236"/>
      <c r="ZJ99" s="236"/>
      <c r="ZK99" s="236"/>
      <c r="ZL99" s="236"/>
      <c r="ZM99" s="236"/>
      <c r="ZN99" s="236"/>
      <c r="ZO99" s="236"/>
      <c r="ZP99" s="236"/>
      <c r="ZQ99" s="236"/>
      <c r="ZR99" s="236"/>
      <c r="ZS99" s="236"/>
      <c r="ZT99" s="236"/>
      <c r="ZU99" s="236"/>
      <c r="ZV99" s="236"/>
      <c r="ZW99" s="236"/>
      <c r="ZX99" s="236"/>
      <c r="ZY99" s="236"/>
      <c r="ZZ99" s="236"/>
      <c r="AAA99" s="236"/>
      <c r="AAB99" s="236"/>
      <c r="AAC99" s="236"/>
      <c r="AAD99" s="236"/>
      <c r="AAE99" s="236"/>
      <c r="AAF99" s="236"/>
      <c r="AAG99" s="236"/>
      <c r="AAH99" s="236"/>
      <c r="AAI99" s="236"/>
      <c r="AAJ99" s="236"/>
      <c r="AAK99" s="236"/>
      <c r="AAL99" s="236"/>
      <c r="AAM99" s="236"/>
      <c r="AAN99" s="236"/>
      <c r="AAO99" s="236"/>
      <c r="AAP99" s="236"/>
      <c r="AAQ99" s="236"/>
      <c r="AAR99" s="236"/>
      <c r="AAS99" s="236"/>
      <c r="AAT99" s="236"/>
      <c r="AAU99" s="236"/>
      <c r="AAV99" s="236"/>
      <c r="AAW99" s="236"/>
      <c r="AAX99" s="236"/>
      <c r="AAY99" s="236"/>
      <c r="AAZ99" s="236"/>
      <c r="ABA99" s="236"/>
      <c r="ABB99" s="236"/>
      <c r="ABC99" s="236"/>
      <c r="ABD99" s="236"/>
      <c r="ABE99" s="236"/>
      <c r="ABF99" s="236"/>
      <c r="ABG99" s="236"/>
      <c r="ABH99" s="236"/>
      <c r="ABI99" s="236"/>
      <c r="ABJ99" s="236"/>
      <c r="ABK99" s="236"/>
      <c r="ABL99" s="236"/>
      <c r="ABM99" s="236"/>
      <c r="ABN99" s="236"/>
      <c r="ABO99" s="236"/>
      <c r="ABP99" s="236"/>
      <c r="ABQ99" s="236"/>
      <c r="ABR99" s="236"/>
      <c r="ABS99" s="236"/>
      <c r="ABT99" s="236"/>
      <c r="ABU99" s="236"/>
      <c r="ABV99" s="236"/>
      <c r="ABW99" s="236"/>
      <c r="ABX99" s="236"/>
      <c r="ABY99" s="236"/>
      <c r="ABZ99" s="236"/>
      <c r="ACA99" s="236"/>
      <c r="ACB99" s="236"/>
      <c r="ACC99" s="236"/>
      <c r="ACD99" s="236"/>
      <c r="ACE99" s="236"/>
      <c r="ACF99" s="236"/>
      <c r="ACG99" s="236"/>
      <c r="ACH99" s="236"/>
      <c r="ACI99" s="236"/>
      <c r="ACJ99" s="236"/>
      <c r="ACK99" s="236"/>
      <c r="ACL99" s="236"/>
      <c r="ACM99" s="236"/>
      <c r="ACN99" s="236"/>
      <c r="ACO99" s="236"/>
      <c r="ACP99" s="236"/>
      <c r="ACQ99" s="236"/>
      <c r="ACR99" s="236"/>
      <c r="ACS99" s="236"/>
      <c r="ACT99" s="236"/>
      <c r="ACU99" s="236"/>
      <c r="ACV99" s="236"/>
      <c r="ACW99" s="236"/>
      <c r="ACX99" s="236"/>
      <c r="ACY99" s="236"/>
      <c r="ACZ99" s="236"/>
      <c r="ADA99" s="236"/>
      <c r="ADB99" s="236"/>
      <c r="ADC99" s="236"/>
      <c r="ADD99" s="236"/>
      <c r="ADE99" s="236"/>
      <c r="ADF99" s="236"/>
      <c r="ADG99" s="236"/>
      <c r="ADH99" s="236"/>
      <c r="ADI99" s="236"/>
      <c r="ADJ99" s="236"/>
      <c r="ADK99" s="236"/>
      <c r="ADL99" s="236"/>
      <c r="ADM99" s="236"/>
      <c r="ADN99" s="236"/>
      <c r="ADO99" s="236"/>
      <c r="ADP99" s="236"/>
      <c r="ADQ99" s="236"/>
      <c r="ADR99" s="236"/>
      <c r="ADS99" s="236"/>
      <c r="ADT99" s="236"/>
      <c r="ADU99" s="236"/>
      <c r="ADV99" s="236"/>
      <c r="ADW99" s="236"/>
      <c r="ADX99" s="236"/>
      <c r="ADY99" s="236"/>
      <c r="ADZ99" s="236"/>
      <c r="AEA99" s="236"/>
      <c r="AEB99" s="236"/>
      <c r="AEC99" s="236"/>
      <c r="AED99" s="236"/>
      <c r="AEE99" s="236"/>
      <c r="AEF99" s="236"/>
      <c r="AEG99" s="236"/>
      <c r="AEH99" s="236"/>
      <c r="AEI99" s="236"/>
      <c r="AEJ99" s="236"/>
      <c r="AEK99" s="236"/>
      <c r="AEL99" s="236"/>
      <c r="AEM99" s="236"/>
      <c r="AEN99" s="236"/>
      <c r="AEO99" s="236"/>
      <c r="AEP99" s="236"/>
      <c r="AEQ99" s="236"/>
      <c r="AER99" s="236"/>
      <c r="AES99" s="236"/>
      <c r="AET99" s="236"/>
      <c r="AEU99" s="236"/>
      <c r="AEV99" s="236"/>
      <c r="AEW99" s="236"/>
      <c r="AEX99" s="236"/>
      <c r="AEY99" s="236"/>
      <c r="AEZ99" s="236"/>
      <c r="AFA99" s="236"/>
      <c r="AFB99" s="236"/>
      <c r="AFC99" s="236"/>
      <c r="AFD99" s="236"/>
      <c r="AFE99" s="236"/>
      <c r="AFF99" s="236"/>
      <c r="AFG99" s="236"/>
      <c r="AFH99" s="236"/>
      <c r="AFI99" s="236"/>
      <c r="AFJ99" s="236"/>
      <c r="AFK99" s="236"/>
      <c r="AFL99" s="236"/>
      <c r="AFM99" s="236"/>
      <c r="AFN99" s="236"/>
      <c r="AFO99" s="236"/>
      <c r="AFP99" s="236"/>
      <c r="AFQ99" s="236"/>
      <c r="AFR99" s="236"/>
      <c r="AFS99" s="236"/>
      <c r="AFT99" s="236"/>
      <c r="AFU99" s="236"/>
      <c r="AFV99" s="236"/>
      <c r="AFW99" s="236"/>
      <c r="AFX99" s="236"/>
      <c r="AFY99" s="236"/>
      <c r="AFZ99" s="236"/>
      <c r="AGA99" s="236"/>
      <c r="AGB99" s="236"/>
      <c r="AGC99" s="236"/>
      <c r="AGD99" s="236"/>
      <c r="AGE99" s="236"/>
      <c r="AGF99" s="236"/>
      <c r="AGG99" s="236"/>
      <c r="AGH99" s="236"/>
      <c r="AGI99" s="236"/>
      <c r="AGJ99" s="236"/>
      <c r="AGK99" s="236"/>
      <c r="AGL99" s="236"/>
      <c r="AGM99" s="236"/>
      <c r="AGN99" s="236"/>
      <c r="AGO99" s="236"/>
      <c r="AGP99" s="236"/>
      <c r="AGQ99" s="236"/>
      <c r="AGR99" s="236"/>
      <c r="AGS99" s="236"/>
      <c r="AGT99" s="236"/>
      <c r="AGU99" s="236"/>
      <c r="AGV99" s="236"/>
      <c r="AGW99" s="236"/>
      <c r="AGX99" s="236"/>
      <c r="AGY99" s="236"/>
      <c r="AGZ99" s="236"/>
      <c r="AHA99" s="236"/>
      <c r="AHB99" s="236"/>
      <c r="AHC99" s="236"/>
      <c r="AHD99" s="236"/>
      <c r="AHE99" s="236"/>
      <c r="AHF99" s="236"/>
      <c r="AHG99" s="236"/>
      <c r="AHH99" s="236"/>
      <c r="AHI99" s="236"/>
      <c r="AHJ99" s="236"/>
      <c r="AHK99" s="236"/>
      <c r="AHL99" s="236"/>
      <c r="AHM99" s="236"/>
      <c r="AHN99" s="236"/>
      <c r="AHO99" s="236"/>
      <c r="AHP99" s="236"/>
      <c r="AHQ99" s="236"/>
      <c r="AHR99" s="236"/>
      <c r="AHS99" s="236"/>
      <c r="AHT99" s="236"/>
      <c r="AHU99" s="236"/>
      <c r="AHV99" s="236"/>
      <c r="AHW99" s="236"/>
      <c r="AHX99" s="236"/>
      <c r="AHY99" s="236"/>
      <c r="AHZ99" s="236"/>
      <c r="AIA99" s="236"/>
      <c r="AIB99" s="236"/>
      <c r="AIC99" s="236"/>
      <c r="AID99" s="236"/>
      <c r="AIE99" s="236"/>
      <c r="AIF99" s="236"/>
      <c r="AIG99" s="236"/>
      <c r="AIH99" s="236"/>
      <c r="AII99" s="236"/>
      <c r="AIJ99" s="236"/>
      <c r="AIK99" s="236"/>
      <c r="AIL99" s="236"/>
      <c r="AIM99" s="236"/>
      <c r="AIN99" s="236"/>
      <c r="AIO99" s="236"/>
      <c r="AIP99" s="236"/>
      <c r="AIQ99" s="236"/>
      <c r="AIR99" s="236"/>
      <c r="AIS99" s="236"/>
      <c r="AIT99" s="236"/>
      <c r="AIU99" s="236"/>
      <c r="AIV99" s="236"/>
      <c r="AIW99" s="236"/>
      <c r="AIX99" s="236"/>
      <c r="AIY99" s="236"/>
      <c r="AIZ99" s="236"/>
      <c r="AJA99" s="236"/>
      <c r="AJB99" s="236"/>
      <c r="AJC99" s="236"/>
      <c r="AJD99" s="236"/>
      <c r="AJE99" s="236"/>
      <c r="AJF99" s="236"/>
      <c r="AJG99" s="236"/>
      <c r="AJH99" s="236"/>
      <c r="AJI99" s="236"/>
      <c r="AJJ99" s="236"/>
      <c r="AJK99" s="236"/>
      <c r="AJL99" s="236"/>
      <c r="AJM99" s="236"/>
      <c r="AJN99" s="236"/>
      <c r="AJO99" s="236"/>
      <c r="AJP99" s="236"/>
      <c r="AJQ99" s="236"/>
      <c r="AJR99" s="236"/>
      <c r="AJS99" s="236"/>
      <c r="AJT99" s="236"/>
      <c r="AJU99" s="236"/>
      <c r="AJV99" s="236"/>
      <c r="AJW99" s="236"/>
      <c r="AJX99" s="236"/>
      <c r="AJY99" s="236"/>
      <c r="AJZ99" s="236"/>
      <c r="AKA99" s="236"/>
      <c r="AKB99" s="236"/>
      <c r="AKC99" s="236"/>
      <c r="AKD99" s="236"/>
      <c r="AKE99" s="236"/>
      <c r="AKF99" s="236"/>
      <c r="AKG99" s="236"/>
      <c r="AKH99" s="236"/>
      <c r="AKI99" s="236"/>
      <c r="AKJ99" s="236"/>
      <c r="AKK99" s="236"/>
      <c r="AKL99" s="236"/>
      <c r="AKM99" s="236"/>
      <c r="AKN99" s="236"/>
      <c r="AKO99" s="236"/>
      <c r="AKP99" s="236"/>
      <c r="AKQ99" s="236"/>
      <c r="AKR99" s="236"/>
      <c r="AKS99" s="236"/>
      <c r="AKT99" s="236"/>
      <c r="AKU99" s="236"/>
      <c r="AKV99" s="236"/>
      <c r="AKW99" s="236"/>
      <c r="AKX99" s="236"/>
      <c r="AKY99" s="236"/>
      <c r="AKZ99" s="236"/>
      <c r="ALA99" s="236"/>
      <c r="ALB99" s="236"/>
      <c r="ALC99" s="236"/>
      <c r="ALD99" s="236"/>
      <c r="ALE99" s="236"/>
      <c r="ALF99" s="236"/>
      <c r="ALG99" s="236"/>
      <c r="ALH99" s="236"/>
      <c r="ALI99" s="236"/>
      <c r="ALJ99" s="236"/>
      <c r="ALK99" s="236"/>
      <c r="ALL99" s="236"/>
      <c r="ALM99" s="236"/>
      <c r="ALN99" s="236"/>
      <c r="ALO99" s="236"/>
      <c r="ALP99" s="236"/>
      <c r="ALQ99" s="236"/>
      <c r="ALR99" s="236"/>
      <c r="ALS99" s="236"/>
      <c r="ALT99" s="236"/>
      <c r="ALU99" s="236"/>
      <c r="ALV99" s="236"/>
      <c r="ALW99" s="236"/>
      <c r="ALX99" s="236"/>
      <c r="ALY99" s="236"/>
      <c r="ALZ99" s="236"/>
      <c r="AMA99" s="236"/>
      <c r="AMB99" s="236"/>
      <c r="AMC99" s="236"/>
      <c r="AMD99" s="236"/>
      <c r="AME99" s="236"/>
      <c r="AMF99" s="236"/>
      <c r="AMG99" s="236"/>
      <c r="AMH99" s="236"/>
      <c r="AMI99" s="236"/>
      <c r="AMJ99" s="236"/>
      <c r="AMK99" s="236"/>
    </row>
    <row r="100" spans="1:1025" ht="11.25" customHeight="1">
      <c r="A100" s="1386" t="s">
        <v>717</v>
      </c>
      <c r="B100" s="1387"/>
      <c r="C100" s="1387"/>
      <c r="D100" s="1387"/>
      <c r="E100" s="1387"/>
      <c r="F100" s="1387"/>
      <c r="G100" s="1387"/>
      <c r="H100" s="1387"/>
      <c r="I100" s="1387"/>
      <c r="J100" s="1387"/>
      <c r="K100" s="1387"/>
      <c r="L100" s="1388"/>
      <c r="M100" s="275"/>
      <c r="N100" s="280" t="s">
        <v>650</v>
      </c>
      <c r="O100" s="280"/>
      <c r="P100" s="281"/>
      <c r="Q100" s="281"/>
      <c r="R100" s="281"/>
      <c r="S100" s="281"/>
      <c r="T100" s="281"/>
      <c r="U100" s="281"/>
      <c r="V100" s="282"/>
      <c r="W100" s="282"/>
      <c r="X100" s="282"/>
      <c r="Y100" s="281"/>
      <c r="Z100" s="282"/>
      <c r="AA100" s="534"/>
      <c r="AB100" s="281"/>
      <c r="AC100" s="281"/>
      <c r="AD100" s="281"/>
      <c r="AE100" s="281"/>
      <c r="AF100" s="281"/>
      <c r="AG100" s="281"/>
      <c r="AH100" s="275"/>
      <c r="AI100" s="275"/>
      <c r="AJ100" s="275"/>
      <c r="AK100" s="279"/>
      <c r="AL100" s="262"/>
      <c r="AM100" s="260"/>
      <c r="AN100" s="260"/>
      <c r="AO100" s="535"/>
      <c r="AP100" s="262"/>
      <c r="AQ100" s="262"/>
      <c r="AR100" s="262"/>
      <c r="AS100" s="262"/>
      <c r="AT100" s="262"/>
      <c r="AU100" s="262"/>
      <c r="AV100" s="262"/>
      <c r="AW100" s="236"/>
      <c r="AX100" s="236"/>
      <c r="AY100" s="236"/>
      <c r="AZ100" s="236"/>
      <c r="BA100" s="236"/>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c r="HV100" s="236"/>
      <c r="HW100" s="236"/>
      <c r="HX100" s="236"/>
      <c r="HY100" s="236"/>
      <c r="HZ100" s="236"/>
      <c r="IA100" s="236"/>
      <c r="IB100" s="236"/>
      <c r="IC100" s="236"/>
      <c r="ID100" s="236"/>
      <c r="IE100" s="236"/>
      <c r="IF100" s="236"/>
      <c r="IG100" s="236"/>
      <c r="IH100" s="236"/>
      <c r="II100" s="236"/>
      <c r="IJ100" s="236"/>
      <c r="IK100" s="236"/>
      <c r="IL100" s="236"/>
      <c r="IM100" s="236"/>
      <c r="IN100" s="236"/>
      <c r="IO100" s="236"/>
      <c r="IP100" s="236"/>
      <c r="IQ100" s="236"/>
      <c r="IR100" s="236"/>
      <c r="IS100" s="236"/>
      <c r="IT100" s="236"/>
      <c r="IU100" s="236"/>
      <c r="IV100" s="236"/>
      <c r="IW100" s="236"/>
      <c r="IX100" s="236"/>
      <c r="IY100" s="236"/>
      <c r="IZ100" s="236"/>
      <c r="JA100" s="236"/>
      <c r="JB100" s="236"/>
      <c r="JC100" s="236"/>
      <c r="JD100" s="236"/>
      <c r="JE100" s="236"/>
      <c r="JF100" s="236"/>
      <c r="JG100" s="236"/>
      <c r="JH100" s="236"/>
      <c r="JI100" s="236"/>
      <c r="JJ100" s="236"/>
      <c r="JK100" s="236"/>
      <c r="JL100" s="236"/>
      <c r="JM100" s="236"/>
      <c r="JN100" s="236"/>
      <c r="JO100" s="236"/>
      <c r="JP100" s="236"/>
      <c r="JQ100" s="236"/>
      <c r="JR100" s="236"/>
      <c r="JS100" s="236"/>
      <c r="JT100" s="236"/>
      <c r="JU100" s="236"/>
      <c r="JV100" s="236"/>
      <c r="JW100" s="236"/>
      <c r="JX100" s="236"/>
      <c r="JY100" s="236"/>
      <c r="JZ100" s="236"/>
      <c r="KA100" s="236"/>
      <c r="KB100" s="236"/>
      <c r="KC100" s="236"/>
      <c r="KD100" s="236"/>
      <c r="KE100" s="236"/>
      <c r="KF100" s="236"/>
      <c r="KG100" s="236"/>
      <c r="KH100" s="236"/>
      <c r="KI100" s="236"/>
      <c r="KJ100" s="236"/>
      <c r="KK100" s="236"/>
      <c r="KL100" s="236"/>
      <c r="KM100" s="236"/>
      <c r="KN100" s="236"/>
      <c r="KO100" s="236"/>
      <c r="KP100" s="236"/>
      <c r="KQ100" s="236"/>
      <c r="KR100" s="236"/>
      <c r="KS100" s="236"/>
      <c r="KT100" s="236"/>
      <c r="KU100" s="236"/>
      <c r="KV100" s="236"/>
      <c r="KW100" s="236"/>
      <c r="KX100" s="236"/>
      <c r="KY100" s="236"/>
      <c r="KZ100" s="236"/>
      <c r="LA100" s="236"/>
      <c r="LB100" s="236"/>
      <c r="LC100" s="236"/>
      <c r="LD100" s="236"/>
      <c r="LE100" s="236"/>
      <c r="LF100" s="236"/>
      <c r="LG100" s="236"/>
      <c r="LH100" s="236"/>
      <c r="LI100" s="236"/>
      <c r="LJ100" s="236"/>
      <c r="LK100" s="236"/>
      <c r="LL100" s="236"/>
      <c r="LM100" s="236"/>
      <c r="LN100" s="236"/>
      <c r="LO100" s="236"/>
      <c r="LP100" s="236"/>
      <c r="LQ100" s="236"/>
      <c r="LR100" s="236"/>
      <c r="LS100" s="236"/>
      <c r="LT100" s="236"/>
      <c r="LU100" s="236"/>
      <c r="LV100" s="236"/>
      <c r="LW100" s="236"/>
      <c r="LX100" s="236"/>
      <c r="LY100" s="236"/>
      <c r="LZ100" s="236"/>
      <c r="MA100" s="236"/>
      <c r="MB100" s="236"/>
      <c r="MC100" s="236"/>
      <c r="MD100" s="236"/>
      <c r="ME100" s="236"/>
      <c r="MF100" s="236"/>
      <c r="MG100" s="236"/>
      <c r="MH100" s="236"/>
      <c r="MI100" s="236"/>
      <c r="MJ100" s="236"/>
      <c r="MK100" s="236"/>
      <c r="ML100" s="236"/>
      <c r="MM100" s="236"/>
      <c r="MN100" s="236"/>
      <c r="MO100" s="236"/>
      <c r="MP100" s="236"/>
      <c r="MQ100" s="236"/>
      <c r="MR100" s="236"/>
      <c r="MS100" s="236"/>
      <c r="MT100" s="236"/>
      <c r="MU100" s="236"/>
      <c r="MV100" s="236"/>
      <c r="MW100" s="236"/>
      <c r="MX100" s="236"/>
      <c r="MY100" s="236"/>
      <c r="MZ100" s="236"/>
      <c r="NA100" s="236"/>
      <c r="NB100" s="236"/>
      <c r="NC100" s="236"/>
      <c r="ND100" s="236"/>
      <c r="NE100" s="236"/>
      <c r="NF100" s="236"/>
      <c r="NG100" s="236"/>
      <c r="NH100" s="236"/>
      <c r="NI100" s="236"/>
      <c r="NJ100" s="236"/>
      <c r="NK100" s="236"/>
      <c r="NL100" s="236"/>
      <c r="NM100" s="236"/>
      <c r="NN100" s="236"/>
      <c r="NO100" s="236"/>
      <c r="NP100" s="236"/>
      <c r="NQ100" s="236"/>
      <c r="NR100" s="236"/>
      <c r="NS100" s="236"/>
      <c r="NT100" s="236"/>
      <c r="NU100" s="236"/>
      <c r="NV100" s="236"/>
      <c r="NW100" s="236"/>
      <c r="NX100" s="236"/>
      <c r="NY100" s="236"/>
      <c r="NZ100" s="236"/>
      <c r="OA100" s="236"/>
      <c r="OB100" s="236"/>
      <c r="OC100" s="236"/>
      <c r="OD100" s="236"/>
      <c r="OE100" s="236"/>
      <c r="OF100" s="236"/>
      <c r="OG100" s="236"/>
      <c r="OH100" s="236"/>
      <c r="OI100" s="236"/>
      <c r="OJ100" s="236"/>
      <c r="OK100" s="236"/>
      <c r="OL100" s="236"/>
      <c r="OM100" s="236"/>
      <c r="ON100" s="236"/>
      <c r="OO100" s="236"/>
      <c r="OP100" s="236"/>
      <c r="OQ100" s="236"/>
      <c r="OR100" s="236"/>
      <c r="OS100" s="236"/>
      <c r="OT100" s="236"/>
      <c r="OU100" s="236"/>
      <c r="OV100" s="236"/>
      <c r="OW100" s="236"/>
      <c r="OX100" s="236"/>
      <c r="OY100" s="236"/>
      <c r="OZ100" s="236"/>
      <c r="PA100" s="236"/>
      <c r="PB100" s="236"/>
      <c r="PC100" s="236"/>
      <c r="PD100" s="236"/>
      <c r="PE100" s="236"/>
      <c r="PF100" s="236"/>
      <c r="PG100" s="236"/>
      <c r="PH100" s="236"/>
      <c r="PI100" s="236"/>
      <c r="PJ100" s="236"/>
      <c r="PK100" s="236"/>
      <c r="PL100" s="236"/>
      <c r="PM100" s="236"/>
      <c r="PN100" s="236"/>
      <c r="PO100" s="236"/>
      <c r="PP100" s="236"/>
      <c r="PQ100" s="236"/>
      <c r="PR100" s="236"/>
      <c r="PS100" s="236"/>
      <c r="PT100" s="236"/>
      <c r="PU100" s="236"/>
      <c r="PV100" s="236"/>
      <c r="PW100" s="236"/>
      <c r="PX100" s="236"/>
      <c r="PY100" s="236"/>
      <c r="PZ100" s="236"/>
      <c r="QA100" s="236"/>
      <c r="QB100" s="236"/>
      <c r="QC100" s="236"/>
      <c r="QD100" s="236"/>
      <c r="QE100" s="236"/>
      <c r="QF100" s="236"/>
      <c r="QG100" s="236"/>
      <c r="QH100" s="236"/>
      <c r="QI100" s="236"/>
      <c r="QJ100" s="236"/>
      <c r="QK100" s="236"/>
      <c r="QL100" s="236"/>
      <c r="QM100" s="236"/>
      <c r="QN100" s="236"/>
      <c r="QO100" s="236"/>
      <c r="QP100" s="236"/>
      <c r="QQ100" s="236"/>
      <c r="QR100" s="236"/>
      <c r="QS100" s="236"/>
      <c r="QT100" s="236"/>
      <c r="QU100" s="236"/>
      <c r="QV100" s="236"/>
      <c r="QW100" s="236"/>
      <c r="QX100" s="236"/>
      <c r="QY100" s="236"/>
      <c r="QZ100" s="236"/>
      <c r="RA100" s="236"/>
      <c r="RB100" s="236"/>
      <c r="RC100" s="236"/>
      <c r="RD100" s="236"/>
      <c r="RE100" s="236"/>
      <c r="RF100" s="236"/>
      <c r="RG100" s="236"/>
      <c r="RH100" s="236"/>
      <c r="RI100" s="236"/>
      <c r="RJ100" s="236"/>
      <c r="RK100" s="236"/>
      <c r="RL100" s="236"/>
      <c r="RM100" s="236"/>
      <c r="RN100" s="236"/>
      <c r="RO100" s="236"/>
      <c r="RP100" s="236"/>
      <c r="RQ100" s="236"/>
      <c r="RR100" s="236"/>
      <c r="RS100" s="236"/>
      <c r="RT100" s="236"/>
      <c r="RU100" s="236"/>
      <c r="RV100" s="236"/>
      <c r="RW100" s="236"/>
      <c r="RX100" s="236"/>
      <c r="RY100" s="236"/>
      <c r="RZ100" s="236"/>
      <c r="SA100" s="236"/>
      <c r="SB100" s="236"/>
      <c r="SC100" s="236"/>
      <c r="SD100" s="236"/>
      <c r="SE100" s="236"/>
      <c r="SF100" s="236"/>
      <c r="SG100" s="236"/>
      <c r="SH100" s="236"/>
      <c r="SI100" s="236"/>
      <c r="SJ100" s="236"/>
      <c r="SK100" s="236"/>
      <c r="SL100" s="236"/>
      <c r="SM100" s="236"/>
      <c r="SN100" s="236"/>
      <c r="SO100" s="236"/>
      <c r="SP100" s="236"/>
      <c r="SQ100" s="236"/>
      <c r="SR100" s="236"/>
      <c r="SS100" s="236"/>
      <c r="ST100" s="236"/>
      <c r="SU100" s="236"/>
      <c r="SV100" s="236"/>
      <c r="SW100" s="236"/>
      <c r="SX100" s="236"/>
      <c r="SY100" s="236"/>
      <c r="SZ100" s="236"/>
      <c r="TA100" s="236"/>
      <c r="TB100" s="236"/>
      <c r="TC100" s="236"/>
      <c r="TD100" s="236"/>
      <c r="TE100" s="236"/>
      <c r="TF100" s="236"/>
      <c r="TG100" s="236"/>
      <c r="TH100" s="236"/>
      <c r="TI100" s="236"/>
      <c r="TJ100" s="236"/>
      <c r="TK100" s="236"/>
      <c r="TL100" s="236"/>
      <c r="TM100" s="236"/>
      <c r="TN100" s="236"/>
      <c r="TO100" s="236"/>
      <c r="TP100" s="236"/>
      <c r="TQ100" s="236"/>
      <c r="TR100" s="236"/>
      <c r="TS100" s="236"/>
      <c r="TT100" s="236"/>
      <c r="TU100" s="236"/>
      <c r="TV100" s="236"/>
      <c r="TW100" s="236"/>
      <c r="TX100" s="236"/>
      <c r="TY100" s="236"/>
      <c r="TZ100" s="236"/>
      <c r="UA100" s="236"/>
      <c r="UB100" s="236"/>
      <c r="UC100" s="236"/>
      <c r="UD100" s="236"/>
      <c r="UE100" s="236"/>
      <c r="UF100" s="236"/>
      <c r="UG100" s="236"/>
      <c r="UH100" s="236"/>
      <c r="UI100" s="236"/>
      <c r="UJ100" s="236"/>
      <c r="UK100" s="236"/>
      <c r="UL100" s="236"/>
      <c r="UM100" s="236"/>
      <c r="UN100" s="236"/>
      <c r="UO100" s="236"/>
      <c r="UP100" s="236"/>
      <c r="UQ100" s="236"/>
      <c r="UR100" s="236"/>
      <c r="US100" s="236"/>
      <c r="UT100" s="236"/>
      <c r="UU100" s="236"/>
      <c r="UV100" s="236"/>
      <c r="UW100" s="236"/>
      <c r="UX100" s="236"/>
      <c r="UY100" s="236"/>
      <c r="UZ100" s="236"/>
      <c r="VA100" s="236"/>
      <c r="VB100" s="236"/>
      <c r="VC100" s="236"/>
      <c r="VD100" s="236"/>
      <c r="VE100" s="236"/>
      <c r="VF100" s="236"/>
      <c r="VG100" s="236"/>
      <c r="VH100" s="236"/>
      <c r="VI100" s="236"/>
      <c r="VJ100" s="236"/>
      <c r="VK100" s="236"/>
      <c r="VL100" s="236"/>
      <c r="VM100" s="236"/>
      <c r="VN100" s="236"/>
      <c r="VO100" s="236"/>
      <c r="VP100" s="236"/>
      <c r="VQ100" s="236"/>
      <c r="VR100" s="236"/>
      <c r="VS100" s="236"/>
      <c r="VT100" s="236"/>
      <c r="VU100" s="236"/>
      <c r="VV100" s="236"/>
      <c r="VW100" s="236"/>
      <c r="VX100" s="236"/>
      <c r="VY100" s="236"/>
      <c r="VZ100" s="236"/>
      <c r="WA100" s="236"/>
      <c r="WB100" s="236"/>
      <c r="WC100" s="236"/>
      <c r="WD100" s="236"/>
      <c r="WE100" s="236"/>
      <c r="WF100" s="236"/>
      <c r="WG100" s="236"/>
      <c r="WH100" s="236"/>
      <c r="WI100" s="236"/>
      <c r="WJ100" s="236"/>
      <c r="WK100" s="236"/>
      <c r="WL100" s="236"/>
      <c r="WM100" s="236"/>
      <c r="WN100" s="236"/>
      <c r="WO100" s="236"/>
      <c r="WP100" s="236"/>
      <c r="WQ100" s="236"/>
      <c r="WR100" s="236"/>
      <c r="WS100" s="236"/>
      <c r="WT100" s="236"/>
      <c r="WU100" s="236"/>
      <c r="WV100" s="236"/>
      <c r="WW100" s="236"/>
      <c r="WX100" s="236"/>
      <c r="WY100" s="236"/>
      <c r="WZ100" s="236"/>
      <c r="XA100" s="236"/>
      <c r="XB100" s="236"/>
      <c r="XC100" s="236"/>
      <c r="XD100" s="236"/>
      <c r="XE100" s="236"/>
      <c r="XF100" s="236"/>
      <c r="XG100" s="236"/>
      <c r="XH100" s="236"/>
      <c r="XI100" s="236"/>
      <c r="XJ100" s="236"/>
      <c r="XK100" s="236"/>
      <c r="XL100" s="236"/>
      <c r="XM100" s="236"/>
      <c r="XN100" s="236"/>
      <c r="XO100" s="236"/>
      <c r="XP100" s="236"/>
      <c r="XQ100" s="236"/>
      <c r="XR100" s="236"/>
      <c r="XS100" s="236"/>
      <c r="XT100" s="236"/>
      <c r="XU100" s="236"/>
      <c r="XV100" s="236"/>
      <c r="XW100" s="236"/>
      <c r="XX100" s="236"/>
      <c r="XY100" s="236"/>
      <c r="XZ100" s="236"/>
      <c r="YA100" s="236"/>
      <c r="YB100" s="236"/>
      <c r="YC100" s="236"/>
      <c r="YD100" s="236"/>
      <c r="YE100" s="236"/>
      <c r="YF100" s="236"/>
      <c r="YG100" s="236"/>
      <c r="YH100" s="236"/>
      <c r="YI100" s="236"/>
      <c r="YJ100" s="236"/>
      <c r="YK100" s="236"/>
      <c r="YL100" s="236"/>
      <c r="YM100" s="236"/>
      <c r="YN100" s="236"/>
      <c r="YO100" s="236"/>
      <c r="YP100" s="236"/>
      <c r="YQ100" s="236"/>
      <c r="YR100" s="236"/>
      <c r="YS100" s="236"/>
      <c r="YT100" s="236"/>
      <c r="YU100" s="236"/>
      <c r="YV100" s="236"/>
      <c r="YW100" s="236"/>
      <c r="YX100" s="236"/>
      <c r="YY100" s="236"/>
      <c r="YZ100" s="236"/>
      <c r="ZA100" s="236"/>
      <c r="ZB100" s="236"/>
      <c r="ZC100" s="236"/>
      <c r="ZD100" s="236"/>
      <c r="ZE100" s="236"/>
      <c r="ZF100" s="236"/>
      <c r="ZG100" s="236"/>
      <c r="ZH100" s="236"/>
      <c r="ZI100" s="236"/>
      <c r="ZJ100" s="236"/>
      <c r="ZK100" s="236"/>
      <c r="ZL100" s="236"/>
      <c r="ZM100" s="236"/>
      <c r="ZN100" s="236"/>
      <c r="ZO100" s="236"/>
      <c r="ZP100" s="236"/>
      <c r="ZQ100" s="236"/>
      <c r="ZR100" s="236"/>
      <c r="ZS100" s="236"/>
      <c r="ZT100" s="236"/>
      <c r="ZU100" s="236"/>
      <c r="ZV100" s="236"/>
      <c r="ZW100" s="236"/>
      <c r="ZX100" s="236"/>
      <c r="ZY100" s="236"/>
      <c r="ZZ100" s="236"/>
      <c r="AAA100" s="236"/>
      <c r="AAB100" s="236"/>
      <c r="AAC100" s="236"/>
      <c r="AAD100" s="236"/>
      <c r="AAE100" s="236"/>
      <c r="AAF100" s="236"/>
      <c r="AAG100" s="236"/>
      <c r="AAH100" s="236"/>
      <c r="AAI100" s="236"/>
      <c r="AAJ100" s="236"/>
      <c r="AAK100" s="236"/>
      <c r="AAL100" s="236"/>
      <c r="AAM100" s="236"/>
      <c r="AAN100" s="236"/>
      <c r="AAO100" s="236"/>
      <c r="AAP100" s="236"/>
      <c r="AAQ100" s="236"/>
      <c r="AAR100" s="236"/>
      <c r="AAS100" s="236"/>
      <c r="AAT100" s="236"/>
      <c r="AAU100" s="236"/>
      <c r="AAV100" s="236"/>
      <c r="AAW100" s="236"/>
      <c r="AAX100" s="236"/>
      <c r="AAY100" s="236"/>
      <c r="AAZ100" s="236"/>
      <c r="ABA100" s="236"/>
      <c r="ABB100" s="236"/>
      <c r="ABC100" s="236"/>
      <c r="ABD100" s="236"/>
      <c r="ABE100" s="236"/>
      <c r="ABF100" s="236"/>
      <c r="ABG100" s="236"/>
      <c r="ABH100" s="236"/>
      <c r="ABI100" s="236"/>
      <c r="ABJ100" s="236"/>
      <c r="ABK100" s="236"/>
      <c r="ABL100" s="236"/>
      <c r="ABM100" s="236"/>
      <c r="ABN100" s="236"/>
      <c r="ABO100" s="236"/>
      <c r="ABP100" s="236"/>
      <c r="ABQ100" s="236"/>
      <c r="ABR100" s="236"/>
      <c r="ABS100" s="236"/>
      <c r="ABT100" s="236"/>
      <c r="ABU100" s="236"/>
      <c r="ABV100" s="236"/>
      <c r="ABW100" s="236"/>
      <c r="ABX100" s="236"/>
      <c r="ABY100" s="236"/>
      <c r="ABZ100" s="236"/>
      <c r="ACA100" s="236"/>
      <c r="ACB100" s="236"/>
      <c r="ACC100" s="236"/>
      <c r="ACD100" s="236"/>
      <c r="ACE100" s="236"/>
      <c r="ACF100" s="236"/>
      <c r="ACG100" s="236"/>
      <c r="ACH100" s="236"/>
      <c r="ACI100" s="236"/>
      <c r="ACJ100" s="236"/>
      <c r="ACK100" s="236"/>
      <c r="ACL100" s="236"/>
      <c r="ACM100" s="236"/>
      <c r="ACN100" s="236"/>
      <c r="ACO100" s="236"/>
      <c r="ACP100" s="236"/>
      <c r="ACQ100" s="236"/>
      <c r="ACR100" s="236"/>
      <c r="ACS100" s="236"/>
      <c r="ACT100" s="236"/>
      <c r="ACU100" s="236"/>
      <c r="ACV100" s="236"/>
      <c r="ACW100" s="236"/>
      <c r="ACX100" s="236"/>
      <c r="ACY100" s="236"/>
      <c r="ACZ100" s="236"/>
      <c r="ADA100" s="236"/>
      <c r="ADB100" s="236"/>
      <c r="ADC100" s="236"/>
      <c r="ADD100" s="236"/>
      <c r="ADE100" s="236"/>
      <c r="ADF100" s="236"/>
      <c r="ADG100" s="236"/>
      <c r="ADH100" s="236"/>
      <c r="ADI100" s="236"/>
      <c r="ADJ100" s="236"/>
      <c r="ADK100" s="236"/>
      <c r="ADL100" s="236"/>
      <c r="ADM100" s="236"/>
      <c r="ADN100" s="236"/>
      <c r="ADO100" s="236"/>
      <c r="ADP100" s="236"/>
      <c r="ADQ100" s="236"/>
      <c r="ADR100" s="236"/>
      <c r="ADS100" s="236"/>
      <c r="ADT100" s="236"/>
      <c r="ADU100" s="236"/>
      <c r="ADV100" s="236"/>
      <c r="ADW100" s="236"/>
      <c r="ADX100" s="236"/>
      <c r="ADY100" s="236"/>
      <c r="ADZ100" s="236"/>
      <c r="AEA100" s="236"/>
      <c r="AEB100" s="236"/>
      <c r="AEC100" s="236"/>
      <c r="AED100" s="236"/>
      <c r="AEE100" s="236"/>
      <c r="AEF100" s="236"/>
      <c r="AEG100" s="236"/>
      <c r="AEH100" s="236"/>
      <c r="AEI100" s="236"/>
      <c r="AEJ100" s="236"/>
      <c r="AEK100" s="236"/>
      <c r="AEL100" s="236"/>
      <c r="AEM100" s="236"/>
      <c r="AEN100" s="236"/>
      <c r="AEO100" s="236"/>
      <c r="AEP100" s="236"/>
      <c r="AEQ100" s="236"/>
      <c r="AER100" s="236"/>
      <c r="AES100" s="236"/>
      <c r="AET100" s="236"/>
      <c r="AEU100" s="236"/>
      <c r="AEV100" s="236"/>
      <c r="AEW100" s="236"/>
      <c r="AEX100" s="236"/>
      <c r="AEY100" s="236"/>
      <c r="AEZ100" s="236"/>
      <c r="AFA100" s="236"/>
      <c r="AFB100" s="236"/>
      <c r="AFC100" s="236"/>
      <c r="AFD100" s="236"/>
      <c r="AFE100" s="236"/>
      <c r="AFF100" s="236"/>
      <c r="AFG100" s="236"/>
      <c r="AFH100" s="236"/>
      <c r="AFI100" s="236"/>
      <c r="AFJ100" s="236"/>
      <c r="AFK100" s="236"/>
      <c r="AFL100" s="236"/>
      <c r="AFM100" s="236"/>
      <c r="AFN100" s="236"/>
      <c r="AFO100" s="236"/>
      <c r="AFP100" s="236"/>
      <c r="AFQ100" s="236"/>
      <c r="AFR100" s="236"/>
      <c r="AFS100" s="236"/>
      <c r="AFT100" s="236"/>
      <c r="AFU100" s="236"/>
      <c r="AFV100" s="236"/>
      <c r="AFW100" s="236"/>
      <c r="AFX100" s="236"/>
      <c r="AFY100" s="236"/>
      <c r="AFZ100" s="236"/>
      <c r="AGA100" s="236"/>
      <c r="AGB100" s="236"/>
      <c r="AGC100" s="236"/>
      <c r="AGD100" s="236"/>
      <c r="AGE100" s="236"/>
      <c r="AGF100" s="236"/>
      <c r="AGG100" s="236"/>
      <c r="AGH100" s="236"/>
      <c r="AGI100" s="236"/>
      <c r="AGJ100" s="236"/>
      <c r="AGK100" s="236"/>
      <c r="AGL100" s="236"/>
      <c r="AGM100" s="236"/>
      <c r="AGN100" s="236"/>
      <c r="AGO100" s="236"/>
      <c r="AGP100" s="236"/>
      <c r="AGQ100" s="236"/>
      <c r="AGR100" s="236"/>
      <c r="AGS100" s="236"/>
      <c r="AGT100" s="236"/>
      <c r="AGU100" s="236"/>
      <c r="AGV100" s="236"/>
      <c r="AGW100" s="236"/>
      <c r="AGX100" s="236"/>
      <c r="AGY100" s="236"/>
      <c r="AGZ100" s="236"/>
      <c r="AHA100" s="236"/>
      <c r="AHB100" s="236"/>
      <c r="AHC100" s="236"/>
      <c r="AHD100" s="236"/>
      <c r="AHE100" s="236"/>
      <c r="AHF100" s="236"/>
      <c r="AHG100" s="236"/>
      <c r="AHH100" s="236"/>
      <c r="AHI100" s="236"/>
      <c r="AHJ100" s="236"/>
      <c r="AHK100" s="236"/>
      <c r="AHL100" s="236"/>
      <c r="AHM100" s="236"/>
      <c r="AHN100" s="236"/>
      <c r="AHO100" s="236"/>
      <c r="AHP100" s="236"/>
      <c r="AHQ100" s="236"/>
      <c r="AHR100" s="236"/>
      <c r="AHS100" s="236"/>
      <c r="AHT100" s="236"/>
      <c r="AHU100" s="236"/>
      <c r="AHV100" s="236"/>
      <c r="AHW100" s="236"/>
      <c r="AHX100" s="236"/>
      <c r="AHY100" s="236"/>
      <c r="AHZ100" s="236"/>
      <c r="AIA100" s="236"/>
      <c r="AIB100" s="236"/>
      <c r="AIC100" s="236"/>
      <c r="AID100" s="236"/>
      <c r="AIE100" s="236"/>
      <c r="AIF100" s="236"/>
      <c r="AIG100" s="236"/>
      <c r="AIH100" s="236"/>
      <c r="AII100" s="236"/>
      <c r="AIJ100" s="236"/>
      <c r="AIK100" s="236"/>
      <c r="AIL100" s="236"/>
      <c r="AIM100" s="236"/>
      <c r="AIN100" s="236"/>
      <c r="AIO100" s="236"/>
      <c r="AIP100" s="236"/>
      <c r="AIQ100" s="236"/>
      <c r="AIR100" s="236"/>
      <c r="AIS100" s="236"/>
      <c r="AIT100" s="236"/>
      <c r="AIU100" s="236"/>
      <c r="AIV100" s="236"/>
      <c r="AIW100" s="236"/>
      <c r="AIX100" s="236"/>
      <c r="AIY100" s="236"/>
      <c r="AIZ100" s="236"/>
      <c r="AJA100" s="236"/>
      <c r="AJB100" s="236"/>
      <c r="AJC100" s="236"/>
      <c r="AJD100" s="236"/>
      <c r="AJE100" s="236"/>
      <c r="AJF100" s="236"/>
      <c r="AJG100" s="236"/>
      <c r="AJH100" s="236"/>
      <c r="AJI100" s="236"/>
      <c r="AJJ100" s="236"/>
      <c r="AJK100" s="236"/>
      <c r="AJL100" s="236"/>
      <c r="AJM100" s="236"/>
      <c r="AJN100" s="236"/>
      <c r="AJO100" s="236"/>
      <c r="AJP100" s="236"/>
      <c r="AJQ100" s="236"/>
      <c r="AJR100" s="236"/>
      <c r="AJS100" s="236"/>
      <c r="AJT100" s="236"/>
      <c r="AJU100" s="236"/>
      <c r="AJV100" s="236"/>
      <c r="AJW100" s="236"/>
      <c r="AJX100" s="236"/>
      <c r="AJY100" s="236"/>
      <c r="AJZ100" s="236"/>
      <c r="AKA100" s="236"/>
      <c r="AKB100" s="236"/>
      <c r="AKC100" s="236"/>
      <c r="AKD100" s="236"/>
      <c r="AKE100" s="236"/>
      <c r="AKF100" s="236"/>
      <c r="AKG100" s="236"/>
      <c r="AKH100" s="236"/>
      <c r="AKI100" s="236"/>
      <c r="AKJ100" s="236"/>
      <c r="AKK100" s="236"/>
      <c r="AKL100" s="236"/>
      <c r="AKM100" s="236"/>
      <c r="AKN100" s="236"/>
      <c r="AKO100" s="236"/>
      <c r="AKP100" s="236"/>
      <c r="AKQ100" s="236"/>
      <c r="AKR100" s="236"/>
      <c r="AKS100" s="236"/>
      <c r="AKT100" s="236"/>
      <c r="AKU100" s="236"/>
      <c r="AKV100" s="236"/>
      <c r="AKW100" s="236"/>
      <c r="AKX100" s="236"/>
      <c r="AKY100" s="236"/>
      <c r="AKZ100" s="236"/>
      <c r="ALA100" s="236"/>
      <c r="ALB100" s="236"/>
      <c r="ALC100" s="236"/>
      <c r="ALD100" s="236"/>
      <c r="ALE100" s="236"/>
      <c r="ALF100" s="236"/>
      <c r="ALG100" s="236"/>
      <c r="ALH100" s="236"/>
      <c r="ALI100" s="236"/>
      <c r="ALJ100" s="236"/>
      <c r="ALK100" s="236"/>
      <c r="ALL100" s="236"/>
      <c r="ALM100" s="236"/>
      <c r="ALN100" s="236"/>
      <c r="ALO100" s="236"/>
      <c r="ALP100" s="236"/>
      <c r="ALQ100" s="236"/>
      <c r="ALR100" s="236"/>
      <c r="ALS100" s="236"/>
      <c r="ALT100" s="236"/>
      <c r="ALU100" s="236"/>
      <c r="ALV100" s="236"/>
      <c r="ALW100" s="236"/>
      <c r="ALX100" s="236"/>
      <c r="ALY100" s="236"/>
      <c r="ALZ100" s="236"/>
      <c r="AMA100" s="236"/>
      <c r="AMB100" s="236"/>
      <c r="AMC100" s="236"/>
      <c r="AMD100" s="236"/>
      <c r="AME100" s="236"/>
      <c r="AMF100" s="236"/>
      <c r="AMG100" s="236"/>
      <c r="AMH100" s="236"/>
      <c r="AMI100" s="236"/>
      <c r="AMJ100" s="236"/>
      <c r="AMK100" s="236"/>
    </row>
    <row r="101" spans="1:1025">
      <c r="A101" s="1418"/>
      <c r="B101" s="1419"/>
      <c r="C101" s="1419"/>
      <c r="D101" s="1419"/>
      <c r="E101" s="1419"/>
      <c r="F101" s="1419"/>
      <c r="G101" s="1419"/>
      <c r="H101" s="1419"/>
      <c r="I101" s="1419"/>
      <c r="J101" s="1419"/>
      <c r="K101" s="1419"/>
      <c r="L101" s="1420"/>
      <c r="M101" s="283"/>
      <c r="N101" s="284" t="s">
        <v>278</v>
      </c>
      <c r="O101" s="284"/>
      <c r="P101" s="1392" t="s">
        <v>278</v>
      </c>
      <c r="Q101" s="1393"/>
      <c r="R101" s="1394"/>
      <c r="S101" s="796"/>
      <c r="T101" s="796"/>
      <c r="U101" s="1395" t="s">
        <v>170</v>
      </c>
      <c r="V101" s="1395"/>
      <c r="W101" s="1395"/>
      <c r="X101" s="1395" t="s">
        <v>171</v>
      </c>
      <c r="Y101" s="1395"/>
      <c r="Z101" s="1395"/>
      <c r="AA101" s="1395" t="s">
        <v>172</v>
      </c>
      <c r="AB101" s="1395"/>
      <c r="AC101" s="1395"/>
      <c r="AD101" s="1395"/>
      <c r="AE101" s="1395"/>
      <c r="AF101" s="1395"/>
      <c r="AG101" s="1395"/>
      <c r="AH101" s="1395"/>
      <c r="AI101" s="1395"/>
      <c r="AJ101" s="1395"/>
      <c r="AK101" s="1395"/>
      <c r="AL101" s="262"/>
      <c r="AM101" s="260"/>
      <c r="AN101" s="260"/>
      <c r="AO101" s="260"/>
      <c r="AP101" s="262"/>
      <c r="AQ101" s="262"/>
      <c r="AR101" s="262"/>
      <c r="AS101" s="262"/>
      <c r="AT101" s="262"/>
      <c r="AU101" s="262"/>
      <c r="AV101" s="262"/>
      <c r="AW101" s="236"/>
      <c r="AX101" s="236"/>
      <c r="AY101" s="236"/>
      <c r="AZ101" s="236"/>
      <c r="BA101" s="236"/>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c r="HV101" s="236"/>
      <c r="HW101" s="236"/>
      <c r="HX101" s="236"/>
      <c r="HY101" s="236"/>
      <c r="HZ101" s="236"/>
      <c r="IA101" s="236"/>
      <c r="IB101" s="236"/>
      <c r="IC101" s="236"/>
      <c r="ID101" s="236"/>
      <c r="IE101" s="236"/>
      <c r="IF101" s="236"/>
      <c r="IG101" s="236"/>
      <c r="IH101" s="236"/>
      <c r="II101" s="236"/>
      <c r="IJ101" s="236"/>
      <c r="IK101" s="236"/>
      <c r="IL101" s="236"/>
      <c r="IM101" s="236"/>
      <c r="IN101" s="236"/>
      <c r="IO101" s="236"/>
      <c r="IP101" s="236"/>
      <c r="IQ101" s="236"/>
      <c r="IR101" s="236"/>
      <c r="IS101" s="236"/>
      <c r="IT101" s="236"/>
      <c r="IU101" s="236"/>
      <c r="IV101" s="236"/>
      <c r="IW101" s="236"/>
      <c r="IX101" s="236"/>
      <c r="IY101" s="236"/>
      <c r="IZ101" s="236"/>
      <c r="JA101" s="236"/>
      <c r="JB101" s="236"/>
      <c r="JC101" s="236"/>
      <c r="JD101" s="236"/>
      <c r="JE101" s="236"/>
      <c r="JF101" s="236"/>
      <c r="JG101" s="236"/>
      <c r="JH101" s="236"/>
      <c r="JI101" s="236"/>
      <c r="JJ101" s="236"/>
      <c r="JK101" s="236"/>
      <c r="JL101" s="236"/>
      <c r="JM101" s="236"/>
      <c r="JN101" s="236"/>
      <c r="JO101" s="236"/>
      <c r="JP101" s="236"/>
      <c r="JQ101" s="236"/>
      <c r="JR101" s="236"/>
      <c r="JS101" s="236"/>
      <c r="JT101" s="236"/>
      <c r="JU101" s="236"/>
      <c r="JV101" s="236"/>
      <c r="JW101" s="236"/>
      <c r="JX101" s="236"/>
      <c r="JY101" s="236"/>
      <c r="JZ101" s="236"/>
      <c r="KA101" s="236"/>
      <c r="KB101" s="236"/>
      <c r="KC101" s="236"/>
      <c r="KD101" s="236"/>
      <c r="KE101" s="236"/>
      <c r="KF101" s="236"/>
      <c r="KG101" s="236"/>
      <c r="KH101" s="236"/>
      <c r="KI101" s="236"/>
      <c r="KJ101" s="236"/>
      <c r="KK101" s="236"/>
      <c r="KL101" s="236"/>
      <c r="KM101" s="236"/>
      <c r="KN101" s="236"/>
      <c r="KO101" s="236"/>
      <c r="KP101" s="236"/>
      <c r="KQ101" s="236"/>
      <c r="KR101" s="236"/>
      <c r="KS101" s="236"/>
      <c r="KT101" s="236"/>
      <c r="KU101" s="236"/>
      <c r="KV101" s="236"/>
      <c r="KW101" s="236"/>
      <c r="KX101" s="236"/>
      <c r="KY101" s="236"/>
      <c r="KZ101" s="236"/>
      <c r="LA101" s="236"/>
      <c r="LB101" s="236"/>
      <c r="LC101" s="236"/>
      <c r="LD101" s="236"/>
      <c r="LE101" s="236"/>
      <c r="LF101" s="236"/>
      <c r="LG101" s="236"/>
      <c r="LH101" s="236"/>
      <c r="LI101" s="236"/>
      <c r="LJ101" s="236"/>
      <c r="LK101" s="236"/>
      <c r="LL101" s="236"/>
      <c r="LM101" s="236"/>
      <c r="LN101" s="236"/>
      <c r="LO101" s="236"/>
      <c r="LP101" s="236"/>
      <c r="LQ101" s="236"/>
      <c r="LR101" s="236"/>
      <c r="LS101" s="236"/>
      <c r="LT101" s="236"/>
      <c r="LU101" s="236"/>
      <c r="LV101" s="236"/>
      <c r="LW101" s="236"/>
      <c r="LX101" s="236"/>
      <c r="LY101" s="236"/>
      <c r="LZ101" s="236"/>
      <c r="MA101" s="236"/>
      <c r="MB101" s="236"/>
      <c r="MC101" s="236"/>
      <c r="MD101" s="236"/>
      <c r="ME101" s="236"/>
      <c r="MF101" s="236"/>
      <c r="MG101" s="236"/>
      <c r="MH101" s="236"/>
      <c r="MI101" s="236"/>
      <c r="MJ101" s="236"/>
      <c r="MK101" s="236"/>
      <c r="ML101" s="236"/>
      <c r="MM101" s="236"/>
      <c r="MN101" s="236"/>
      <c r="MO101" s="236"/>
      <c r="MP101" s="236"/>
      <c r="MQ101" s="236"/>
      <c r="MR101" s="236"/>
      <c r="MS101" s="236"/>
      <c r="MT101" s="236"/>
      <c r="MU101" s="236"/>
      <c r="MV101" s="236"/>
      <c r="MW101" s="236"/>
      <c r="MX101" s="236"/>
      <c r="MY101" s="236"/>
      <c r="MZ101" s="236"/>
      <c r="NA101" s="236"/>
      <c r="NB101" s="236"/>
      <c r="NC101" s="236"/>
      <c r="ND101" s="236"/>
      <c r="NE101" s="236"/>
      <c r="NF101" s="236"/>
      <c r="NG101" s="236"/>
      <c r="NH101" s="236"/>
      <c r="NI101" s="236"/>
      <c r="NJ101" s="236"/>
      <c r="NK101" s="236"/>
      <c r="NL101" s="236"/>
      <c r="NM101" s="236"/>
      <c r="NN101" s="236"/>
      <c r="NO101" s="236"/>
      <c r="NP101" s="236"/>
      <c r="NQ101" s="236"/>
      <c r="NR101" s="236"/>
      <c r="NS101" s="236"/>
      <c r="NT101" s="236"/>
      <c r="NU101" s="236"/>
      <c r="NV101" s="236"/>
      <c r="NW101" s="236"/>
      <c r="NX101" s="236"/>
      <c r="NY101" s="236"/>
      <c r="NZ101" s="236"/>
      <c r="OA101" s="236"/>
      <c r="OB101" s="236"/>
      <c r="OC101" s="236"/>
      <c r="OD101" s="236"/>
      <c r="OE101" s="236"/>
      <c r="OF101" s="236"/>
      <c r="OG101" s="236"/>
      <c r="OH101" s="236"/>
      <c r="OI101" s="236"/>
      <c r="OJ101" s="236"/>
      <c r="OK101" s="236"/>
      <c r="OL101" s="236"/>
      <c r="OM101" s="236"/>
      <c r="ON101" s="236"/>
      <c r="OO101" s="236"/>
      <c r="OP101" s="236"/>
      <c r="OQ101" s="236"/>
      <c r="OR101" s="236"/>
      <c r="OS101" s="236"/>
      <c r="OT101" s="236"/>
      <c r="OU101" s="236"/>
      <c r="OV101" s="236"/>
      <c r="OW101" s="236"/>
      <c r="OX101" s="236"/>
      <c r="OY101" s="236"/>
      <c r="OZ101" s="236"/>
      <c r="PA101" s="236"/>
      <c r="PB101" s="236"/>
      <c r="PC101" s="236"/>
      <c r="PD101" s="236"/>
      <c r="PE101" s="236"/>
      <c r="PF101" s="236"/>
      <c r="PG101" s="236"/>
      <c r="PH101" s="236"/>
      <c r="PI101" s="236"/>
      <c r="PJ101" s="236"/>
      <c r="PK101" s="236"/>
      <c r="PL101" s="236"/>
      <c r="PM101" s="236"/>
      <c r="PN101" s="236"/>
      <c r="PO101" s="236"/>
      <c r="PP101" s="236"/>
      <c r="PQ101" s="236"/>
      <c r="PR101" s="236"/>
      <c r="PS101" s="236"/>
      <c r="PT101" s="236"/>
      <c r="PU101" s="236"/>
      <c r="PV101" s="236"/>
      <c r="PW101" s="236"/>
      <c r="PX101" s="236"/>
      <c r="PY101" s="236"/>
      <c r="PZ101" s="236"/>
      <c r="QA101" s="236"/>
      <c r="QB101" s="236"/>
      <c r="QC101" s="236"/>
      <c r="QD101" s="236"/>
      <c r="QE101" s="236"/>
      <c r="QF101" s="236"/>
      <c r="QG101" s="236"/>
      <c r="QH101" s="236"/>
      <c r="QI101" s="236"/>
      <c r="QJ101" s="236"/>
      <c r="QK101" s="236"/>
      <c r="QL101" s="236"/>
      <c r="QM101" s="236"/>
      <c r="QN101" s="236"/>
      <c r="QO101" s="236"/>
      <c r="QP101" s="236"/>
      <c r="QQ101" s="236"/>
      <c r="QR101" s="236"/>
      <c r="QS101" s="236"/>
      <c r="QT101" s="236"/>
      <c r="QU101" s="236"/>
      <c r="QV101" s="236"/>
      <c r="QW101" s="236"/>
      <c r="QX101" s="236"/>
      <c r="QY101" s="236"/>
      <c r="QZ101" s="236"/>
      <c r="RA101" s="236"/>
      <c r="RB101" s="236"/>
      <c r="RC101" s="236"/>
      <c r="RD101" s="236"/>
      <c r="RE101" s="236"/>
      <c r="RF101" s="236"/>
      <c r="RG101" s="236"/>
      <c r="RH101" s="236"/>
      <c r="RI101" s="236"/>
      <c r="RJ101" s="236"/>
      <c r="RK101" s="236"/>
      <c r="RL101" s="236"/>
      <c r="RM101" s="236"/>
      <c r="RN101" s="236"/>
      <c r="RO101" s="236"/>
      <c r="RP101" s="236"/>
      <c r="RQ101" s="236"/>
      <c r="RR101" s="236"/>
      <c r="RS101" s="236"/>
      <c r="RT101" s="236"/>
      <c r="RU101" s="236"/>
      <c r="RV101" s="236"/>
      <c r="RW101" s="236"/>
      <c r="RX101" s="236"/>
      <c r="RY101" s="236"/>
      <c r="RZ101" s="236"/>
      <c r="SA101" s="236"/>
      <c r="SB101" s="236"/>
      <c r="SC101" s="236"/>
      <c r="SD101" s="236"/>
      <c r="SE101" s="236"/>
      <c r="SF101" s="236"/>
      <c r="SG101" s="236"/>
      <c r="SH101" s="236"/>
      <c r="SI101" s="236"/>
      <c r="SJ101" s="236"/>
      <c r="SK101" s="236"/>
      <c r="SL101" s="236"/>
      <c r="SM101" s="236"/>
      <c r="SN101" s="236"/>
      <c r="SO101" s="236"/>
      <c r="SP101" s="236"/>
      <c r="SQ101" s="236"/>
      <c r="SR101" s="236"/>
      <c r="SS101" s="236"/>
      <c r="ST101" s="236"/>
      <c r="SU101" s="236"/>
      <c r="SV101" s="236"/>
      <c r="SW101" s="236"/>
      <c r="SX101" s="236"/>
      <c r="SY101" s="236"/>
      <c r="SZ101" s="236"/>
      <c r="TA101" s="236"/>
      <c r="TB101" s="236"/>
      <c r="TC101" s="236"/>
      <c r="TD101" s="236"/>
      <c r="TE101" s="236"/>
      <c r="TF101" s="236"/>
      <c r="TG101" s="236"/>
      <c r="TH101" s="236"/>
      <c r="TI101" s="236"/>
      <c r="TJ101" s="236"/>
      <c r="TK101" s="236"/>
      <c r="TL101" s="236"/>
      <c r="TM101" s="236"/>
      <c r="TN101" s="236"/>
      <c r="TO101" s="236"/>
      <c r="TP101" s="236"/>
      <c r="TQ101" s="236"/>
      <c r="TR101" s="236"/>
      <c r="TS101" s="236"/>
      <c r="TT101" s="236"/>
      <c r="TU101" s="236"/>
      <c r="TV101" s="236"/>
      <c r="TW101" s="236"/>
      <c r="TX101" s="236"/>
      <c r="TY101" s="236"/>
      <c r="TZ101" s="236"/>
      <c r="UA101" s="236"/>
      <c r="UB101" s="236"/>
      <c r="UC101" s="236"/>
      <c r="UD101" s="236"/>
      <c r="UE101" s="236"/>
      <c r="UF101" s="236"/>
      <c r="UG101" s="236"/>
      <c r="UH101" s="236"/>
      <c r="UI101" s="236"/>
      <c r="UJ101" s="236"/>
      <c r="UK101" s="236"/>
      <c r="UL101" s="236"/>
      <c r="UM101" s="236"/>
      <c r="UN101" s="236"/>
      <c r="UO101" s="236"/>
      <c r="UP101" s="236"/>
      <c r="UQ101" s="236"/>
      <c r="UR101" s="236"/>
      <c r="US101" s="236"/>
      <c r="UT101" s="236"/>
      <c r="UU101" s="236"/>
      <c r="UV101" s="236"/>
      <c r="UW101" s="236"/>
      <c r="UX101" s="236"/>
      <c r="UY101" s="236"/>
      <c r="UZ101" s="236"/>
      <c r="VA101" s="236"/>
      <c r="VB101" s="236"/>
      <c r="VC101" s="236"/>
      <c r="VD101" s="236"/>
      <c r="VE101" s="236"/>
      <c r="VF101" s="236"/>
      <c r="VG101" s="236"/>
      <c r="VH101" s="236"/>
      <c r="VI101" s="236"/>
      <c r="VJ101" s="236"/>
      <c r="VK101" s="236"/>
      <c r="VL101" s="236"/>
      <c r="VM101" s="236"/>
      <c r="VN101" s="236"/>
      <c r="VO101" s="236"/>
      <c r="VP101" s="236"/>
      <c r="VQ101" s="236"/>
      <c r="VR101" s="236"/>
      <c r="VS101" s="236"/>
      <c r="VT101" s="236"/>
      <c r="VU101" s="236"/>
      <c r="VV101" s="236"/>
      <c r="VW101" s="236"/>
      <c r="VX101" s="236"/>
      <c r="VY101" s="236"/>
      <c r="VZ101" s="236"/>
      <c r="WA101" s="236"/>
      <c r="WB101" s="236"/>
      <c r="WC101" s="236"/>
      <c r="WD101" s="236"/>
      <c r="WE101" s="236"/>
      <c r="WF101" s="236"/>
      <c r="WG101" s="236"/>
      <c r="WH101" s="236"/>
      <c r="WI101" s="236"/>
      <c r="WJ101" s="236"/>
      <c r="WK101" s="236"/>
      <c r="WL101" s="236"/>
      <c r="WM101" s="236"/>
      <c r="WN101" s="236"/>
      <c r="WO101" s="236"/>
      <c r="WP101" s="236"/>
      <c r="WQ101" s="236"/>
      <c r="WR101" s="236"/>
      <c r="WS101" s="236"/>
      <c r="WT101" s="236"/>
      <c r="WU101" s="236"/>
      <c r="WV101" s="236"/>
      <c r="WW101" s="236"/>
      <c r="WX101" s="236"/>
      <c r="WY101" s="236"/>
      <c r="WZ101" s="236"/>
      <c r="XA101" s="236"/>
      <c r="XB101" s="236"/>
      <c r="XC101" s="236"/>
      <c r="XD101" s="236"/>
      <c r="XE101" s="236"/>
      <c r="XF101" s="236"/>
      <c r="XG101" s="236"/>
      <c r="XH101" s="236"/>
      <c r="XI101" s="236"/>
      <c r="XJ101" s="236"/>
      <c r="XK101" s="236"/>
      <c r="XL101" s="236"/>
      <c r="XM101" s="236"/>
      <c r="XN101" s="236"/>
      <c r="XO101" s="236"/>
      <c r="XP101" s="236"/>
      <c r="XQ101" s="236"/>
      <c r="XR101" s="236"/>
      <c r="XS101" s="236"/>
      <c r="XT101" s="236"/>
      <c r="XU101" s="236"/>
      <c r="XV101" s="236"/>
      <c r="XW101" s="236"/>
      <c r="XX101" s="236"/>
      <c r="XY101" s="236"/>
      <c r="XZ101" s="236"/>
      <c r="YA101" s="236"/>
      <c r="YB101" s="236"/>
      <c r="YC101" s="236"/>
      <c r="YD101" s="236"/>
      <c r="YE101" s="236"/>
      <c r="YF101" s="236"/>
      <c r="YG101" s="236"/>
      <c r="YH101" s="236"/>
      <c r="YI101" s="236"/>
      <c r="YJ101" s="236"/>
      <c r="YK101" s="236"/>
      <c r="YL101" s="236"/>
      <c r="YM101" s="236"/>
      <c r="YN101" s="236"/>
      <c r="YO101" s="236"/>
      <c r="YP101" s="236"/>
      <c r="YQ101" s="236"/>
      <c r="YR101" s="236"/>
      <c r="YS101" s="236"/>
      <c r="YT101" s="236"/>
      <c r="YU101" s="236"/>
      <c r="YV101" s="236"/>
      <c r="YW101" s="236"/>
      <c r="YX101" s="236"/>
      <c r="YY101" s="236"/>
      <c r="YZ101" s="236"/>
      <c r="ZA101" s="236"/>
      <c r="ZB101" s="236"/>
      <c r="ZC101" s="236"/>
      <c r="ZD101" s="236"/>
      <c r="ZE101" s="236"/>
      <c r="ZF101" s="236"/>
      <c r="ZG101" s="236"/>
      <c r="ZH101" s="236"/>
      <c r="ZI101" s="236"/>
      <c r="ZJ101" s="236"/>
      <c r="ZK101" s="236"/>
      <c r="ZL101" s="236"/>
      <c r="ZM101" s="236"/>
      <c r="ZN101" s="236"/>
      <c r="ZO101" s="236"/>
      <c r="ZP101" s="236"/>
      <c r="ZQ101" s="236"/>
      <c r="ZR101" s="236"/>
      <c r="ZS101" s="236"/>
      <c r="ZT101" s="236"/>
      <c r="ZU101" s="236"/>
      <c r="ZV101" s="236"/>
      <c r="ZW101" s="236"/>
      <c r="ZX101" s="236"/>
      <c r="ZY101" s="236"/>
      <c r="ZZ101" s="236"/>
      <c r="AAA101" s="236"/>
      <c r="AAB101" s="236"/>
      <c r="AAC101" s="236"/>
      <c r="AAD101" s="236"/>
      <c r="AAE101" s="236"/>
      <c r="AAF101" s="236"/>
      <c r="AAG101" s="236"/>
      <c r="AAH101" s="236"/>
      <c r="AAI101" s="236"/>
      <c r="AAJ101" s="236"/>
      <c r="AAK101" s="236"/>
      <c r="AAL101" s="236"/>
      <c r="AAM101" s="236"/>
      <c r="AAN101" s="236"/>
      <c r="AAO101" s="236"/>
      <c r="AAP101" s="236"/>
      <c r="AAQ101" s="236"/>
      <c r="AAR101" s="236"/>
      <c r="AAS101" s="236"/>
      <c r="AAT101" s="236"/>
      <c r="AAU101" s="236"/>
      <c r="AAV101" s="236"/>
      <c r="AAW101" s="236"/>
      <c r="AAX101" s="236"/>
      <c r="AAY101" s="236"/>
      <c r="AAZ101" s="236"/>
      <c r="ABA101" s="236"/>
      <c r="ABB101" s="236"/>
      <c r="ABC101" s="236"/>
      <c r="ABD101" s="236"/>
      <c r="ABE101" s="236"/>
      <c r="ABF101" s="236"/>
      <c r="ABG101" s="236"/>
      <c r="ABH101" s="236"/>
      <c r="ABI101" s="236"/>
      <c r="ABJ101" s="236"/>
      <c r="ABK101" s="236"/>
      <c r="ABL101" s="236"/>
      <c r="ABM101" s="236"/>
      <c r="ABN101" s="236"/>
      <c r="ABO101" s="236"/>
      <c r="ABP101" s="236"/>
      <c r="ABQ101" s="236"/>
      <c r="ABR101" s="236"/>
      <c r="ABS101" s="236"/>
      <c r="ABT101" s="236"/>
      <c r="ABU101" s="236"/>
      <c r="ABV101" s="236"/>
      <c r="ABW101" s="236"/>
      <c r="ABX101" s="236"/>
      <c r="ABY101" s="236"/>
      <c r="ABZ101" s="236"/>
      <c r="ACA101" s="236"/>
      <c r="ACB101" s="236"/>
      <c r="ACC101" s="236"/>
      <c r="ACD101" s="236"/>
      <c r="ACE101" s="236"/>
      <c r="ACF101" s="236"/>
      <c r="ACG101" s="236"/>
      <c r="ACH101" s="236"/>
      <c r="ACI101" s="236"/>
      <c r="ACJ101" s="236"/>
      <c r="ACK101" s="236"/>
      <c r="ACL101" s="236"/>
      <c r="ACM101" s="236"/>
      <c r="ACN101" s="236"/>
      <c r="ACO101" s="236"/>
      <c r="ACP101" s="236"/>
      <c r="ACQ101" s="236"/>
      <c r="ACR101" s="236"/>
      <c r="ACS101" s="236"/>
      <c r="ACT101" s="236"/>
      <c r="ACU101" s="236"/>
      <c r="ACV101" s="236"/>
      <c r="ACW101" s="236"/>
      <c r="ACX101" s="236"/>
      <c r="ACY101" s="236"/>
      <c r="ACZ101" s="236"/>
      <c r="ADA101" s="236"/>
      <c r="ADB101" s="236"/>
      <c r="ADC101" s="236"/>
      <c r="ADD101" s="236"/>
      <c r="ADE101" s="236"/>
      <c r="ADF101" s="236"/>
      <c r="ADG101" s="236"/>
      <c r="ADH101" s="236"/>
      <c r="ADI101" s="236"/>
      <c r="ADJ101" s="236"/>
      <c r="ADK101" s="236"/>
      <c r="ADL101" s="236"/>
      <c r="ADM101" s="236"/>
      <c r="ADN101" s="236"/>
      <c r="ADO101" s="236"/>
      <c r="ADP101" s="236"/>
      <c r="ADQ101" s="236"/>
      <c r="ADR101" s="236"/>
      <c r="ADS101" s="236"/>
      <c r="ADT101" s="236"/>
      <c r="ADU101" s="236"/>
      <c r="ADV101" s="236"/>
      <c r="ADW101" s="236"/>
      <c r="ADX101" s="236"/>
      <c r="ADY101" s="236"/>
      <c r="ADZ101" s="236"/>
      <c r="AEA101" s="236"/>
      <c r="AEB101" s="236"/>
      <c r="AEC101" s="236"/>
      <c r="AED101" s="236"/>
      <c r="AEE101" s="236"/>
      <c r="AEF101" s="236"/>
      <c r="AEG101" s="236"/>
      <c r="AEH101" s="236"/>
      <c r="AEI101" s="236"/>
      <c r="AEJ101" s="236"/>
      <c r="AEK101" s="236"/>
      <c r="AEL101" s="236"/>
      <c r="AEM101" s="236"/>
      <c r="AEN101" s="236"/>
      <c r="AEO101" s="236"/>
      <c r="AEP101" s="236"/>
      <c r="AEQ101" s="236"/>
      <c r="AER101" s="236"/>
      <c r="AES101" s="236"/>
      <c r="AET101" s="236"/>
      <c r="AEU101" s="236"/>
      <c r="AEV101" s="236"/>
      <c r="AEW101" s="236"/>
      <c r="AEX101" s="236"/>
      <c r="AEY101" s="236"/>
      <c r="AEZ101" s="236"/>
      <c r="AFA101" s="236"/>
      <c r="AFB101" s="236"/>
      <c r="AFC101" s="236"/>
      <c r="AFD101" s="236"/>
      <c r="AFE101" s="236"/>
      <c r="AFF101" s="236"/>
      <c r="AFG101" s="236"/>
      <c r="AFH101" s="236"/>
      <c r="AFI101" s="236"/>
      <c r="AFJ101" s="236"/>
      <c r="AFK101" s="236"/>
      <c r="AFL101" s="236"/>
      <c r="AFM101" s="236"/>
      <c r="AFN101" s="236"/>
      <c r="AFO101" s="236"/>
      <c r="AFP101" s="236"/>
      <c r="AFQ101" s="236"/>
      <c r="AFR101" s="236"/>
      <c r="AFS101" s="236"/>
      <c r="AFT101" s="236"/>
      <c r="AFU101" s="236"/>
      <c r="AFV101" s="236"/>
      <c r="AFW101" s="236"/>
      <c r="AFX101" s="236"/>
      <c r="AFY101" s="236"/>
      <c r="AFZ101" s="236"/>
      <c r="AGA101" s="236"/>
      <c r="AGB101" s="236"/>
      <c r="AGC101" s="236"/>
      <c r="AGD101" s="236"/>
      <c r="AGE101" s="236"/>
      <c r="AGF101" s="236"/>
      <c r="AGG101" s="236"/>
      <c r="AGH101" s="236"/>
      <c r="AGI101" s="236"/>
      <c r="AGJ101" s="236"/>
      <c r="AGK101" s="236"/>
      <c r="AGL101" s="236"/>
      <c r="AGM101" s="236"/>
      <c r="AGN101" s="236"/>
      <c r="AGO101" s="236"/>
      <c r="AGP101" s="236"/>
      <c r="AGQ101" s="236"/>
      <c r="AGR101" s="236"/>
      <c r="AGS101" s="236"/>
      <c r="AGT101" s="236"/>
      <c r="AGU101" s="236"/>
      <c r="AGV101" s="236"/>
      <c r="AGW101" s="236"/>
      <c r="AGX101" s="236"/>
      <c r="AGY101" s="236"/>
      <c r="AGZ101" s="236"/>
      <c r="AHA101" s="236"/>
      <c r="AHB101" s="236"/>
      <c r="AHC101" s="236"/>
      <c r="AHD101" s="236"/>
      <c r="AHE101" s="236"/>
      <c r="AHF101" s="236"/>
      <c r="AHG101" s="236"/>
      <c r="AHH101" s="236"/>
      <c r="AHI101" s="236"/>
      <c r="AHJ101" s="236"/>
      <c r="AHK101" s="236"/>
      <c r="AHL101" s="236"/>
      <c r="AHM101" s="236"/>
      <c r="AHN101" s="236"/>
      <c r="AHO101" s="236"/>
      <c r="AHP101" s="236"/>
      <c r="AHQ101" s="236"/>
      <c r="AHR101" s="236"/>
      <c r="AHS101" s="236"/>
      <c r="AHT101" s="236"/>
      <c r="AHU101" s="236"/>
      <c r="AHV101" s="236"/>
      <c r="AHW101" s="236"/>
      <c r="AHX101" s="236"/>
      <c r="AHY101" s="236"/>
      <c r="AHZ101" s="236"/>
      <c r="AIA101" s="236"/>
      <c r="AIB101" s="236"/>
      <c r="AIC101" s="236"/>
      <c r="AID101" s="236"/>
      <c r="AIE101" s="236"/>
      <c r="AIF101" s="236"/>
      <c r="AIG101" s="236"/>
      <c r="AIH101" s="236"/>
      <c r="AII101" s="236"/>
      <c r="AIJ101" s="236"/>
      <c r="AIK101" s="236"/>
      <c r="AIL101" s="236"/>
      <c r="AIM101" s="236"/>
      <c r="AIN101" s="236"/>
      <c r="AIO101" s="236"/>
      <c r="AIP101" s="236"/>
      <c r="AIQ101" s="236"/>
      <c r="AIR101" s="236"/>
      <c r="AIS101" s="236"/>
      <c r="AIT101" s="236"/>
      <c r="AIU101" s="236"/>
      <c r="AIV101" s="236"/>
      <c r="AIW101" s="236"/>
      <c r="AIX101" s="236"/>
      <c r="AIY101" s="236"/>
      <c r="AIZ101" s="236"/>
      <c r="AJA101" s="236"/>
      <c r="AJB101" s="236"/>
      <c r="AJC101" s="236"/>
      <c r="AJD101" s="236"/>
      <c r="AJE101" s="236"/>
      <c r="AJF101" s="236"/>
      <c r="AJG101" s="236"/>
      <c r="AJH101" s="236"/>
      <c r="AJI101" s="236"/>
      <c r="AJJ101" s="236"/>
      <c r="AJK101" s="236"/>
      <c r="AJL101" s="236"/>
      <c r="AJM101" s="236"/>
      <c r="AJN101" s="236"/>
      <c r="AJO101" s="236"/>
      <c r="AJP101" s="236"/>
      <c r="AJQ101" s="236"/>
      <c r="AJR101" s="236"/>
      <c r="AJS101" s="236"/>
      <c r="AJT101" s="236"/>
      <c r="AJU101" s="236"/>
      <c r="AJV101" s="236"/>
      <c r="AJW101" s="236"/>
      <c r="AJX101" s="236"/>
      <c r="AJY101" s="236"/>
      <c r="AJZ101" s="236"/>
      <c r="AKA101" s="236"/>
      <c r="AKB101" s="236"/>
      <c r="AKC101" s="236"/>
      <c r="AKD101" s="236"/>
      <c r="AKE101" s="236"/>
      <c r="AKF101" s="236"/>
      <c r="AKG101" s="236"/>
      <c r="AKH101" s="236"/>
      <c r="AKI101" s="236"/>
      <c r="AKJ101" s="236"/>
      <c r="AKK101" s="236"/>
      <c r="AKL101" s="236"/>
      <c r="AKM101" s="236"/>
      <c r="AKN101" s="236"/>
      <c r="AKO101" s="236"/>
      <c r="AKP101" s="236"/>
      <c r="AKQ101" s="236"/>
      <c r="AKR101" s="236"/>
      <c r="AKS101" s="236"/>
      <c r="AKT101" s="236"/>
      <c r="AKU101" s="236"/>
      <c r="AKV101" s="236"/>
      <c r="AKW101" s="236"/>
      <c r="AKX101" s="236"/>
      <c r="AKY101" s="236"/>
      <c r="AKZ101" s="236"/>
      <c r="ALA101" s="236"/>
      <c r="ALB101" s="236"/>
      <c r="ALC101" s="236"/>
      <c r="ALD101" s="236"/>
      <c r="ALE101" s="236"/>
      <c r="ALF101" s="236"/>
      <c r="ALG101" s="236"/>
      <c r="ALH101" s="236"/>
      <c r="ALI101" s="236"/>
      <c r="ALJ101" s="236"/>
      <c r="ALK101" s="236"/>
      <c r="ALL101" s="236"/>
      <c r="ALM101" s="236"/>
      <c r="ALN101" s="236"/>
      <c r="ALO101" s="236"/>
      <c r="ALP101" s="236"/>
      <c r="ALQ101" s="236"/>
      <c r="ALR101" s="236"/>
      <c r="ALS101" s="236"/>
      <c r="ALT101" s="236"/>
      <c r="ALU101" s="236"/>
      <c r="ALV101" s="236"/>
      <c r="ALW101" s="236"/>
      <c r="ALX101" s="236"/>
      <c r="ALY101" s="236"/>
      <c r="ALZ101" s="236"/>
      <c r="AMA101" s="236"/>
      <c r="AMB101" s="236"/>
      <c r="AMC101" s="236"/>
      <c r="AMD101" s="236"/>
      <c r="AME101" s="236"/>
      <c r="AMF101" s="236"/>
      <c r="AMG101" s="236"/>
      <c r="AMH101" s="236"/>
      <c r="AMI101" s="236"/>
      <c r="AMJ101" s="236"/>
      <c r="AMK101" s="236"/>
    </row>
    <row r="102" spans="1:1025" s="243" customFormat="1" ht="114" customHeight="1">
      <c r="A102" s="1752" t="s">
        <v>3950</v>
      </c>
      <c r="B102" s="1753"/>
      <c r="C102" s="1753"/>
      <c r="D102" s="1753"/>
      <c r="E102" s="1753"/>
      <c r="F102" s="1753"/>
      <c r="G102" s="1753"/>
      <c r="H102" s="1753"/>
      <c r="I102" s="1753"/>
      <c r="J102" s="1753"/>
      <c r="K102" s="1753"/>
      <c r="L102" s="1754"/>
      <c r="M102" s="285"/>
      <c r="O102" s="286"/>
      <c r="P102" s="1758" t="s">
        <v>228</v>
      </c>
      <c r="Q102" s="1759"/>
      <c r="R102" s="1760"/>
      <c r="S102" s="423"/>
      <c r="T102" s="423"/>
      <c r="U102" s="1761" t="s">
        <v>3191</v>
      </c>
      <c r="V102" s="1761"/>
      <c r="W102" s="1761"/>
      <c r="X102" s="1762" t="s">
        <v>3192</v>
      </c>
      <c r="Y102" s="1762"/>
      <c r="Z102" s="1762"/>
      <c r="AA102" s="1763"/>
      <c r="AB102" s="1763"/>
      <c r="AC102" s="1763"/>
      <c r="AD102" s="1763"/>
      <c r="AE102" s="1763"/>
      <c r="AF102" s="1763"/>
      <c r="AG102" s="1763"/>
      <c r="AH102" s="1763"/>
      <c r="AI102" s="1763"/>
      <c r="AJ102" s="1763"/>
      <c r="AK102" s="1763"/>
      <c r="AL102" s="245"/>
      <c r="AM102" s="424"/>
      <c r="AN102" s="295"/>
      <c r="AO102" s="295"/>
      <c r="AP102" s="245"/>
      <c r="AQ102" s="245"/>
      <c r="AR102" s="245"/>
      <c r="AS102" s="245"/>
      <c r="AT102" s="245"/>
      <c r="AU102" s="245"/>
      <c r="AV102" s="245"/>
    </row>
    <row r="103" spans="1:1025" s="243" customFormat="1" ht="140.25" customHeight="1">
      <c r="A103" s="1755"/>
      <c r="B103" s="1756"/>
      <c r="C103" s="1756"/>
      <c r="D103" s="1756"/>
      <c r="E103" s="1756"/>
      <c r="F103" s="1756"/>
      <c r="G103" s="1756"/>
      <c r="H103" s="1756"/>
      <c r="I103" s="1756"/>
      <c r="J103" s="1756"/>
      <c r="K103" s="1756"/>
      <c r="L103" s="1757"/>
      <c r="M103" s="285"/>
      <c r="O103" s="286"/>
      <c r="P103" s="1758" t="s">
        <v>184</v>
      </c>
      <c r="Q103" s="1759"/>
      <c r="R103" s="1760"/>
      <c r="S103" s="423"/>
      <c r="T103" s="423"/>
      <c r="U103" s="1761" t="s">
        <v>597</v>
      </c>
      <c r="V103" s="1761"/>
      <c r="W103" s="1761"/>
      <c r="X103" s="1762" t="s">
        <v>3193</v>
      </c>
      <c r="Y103" s="1762"/>
      <c r="Z103" s="1762"/>
      <c r="AA103" s="1763"/>
      <c r="AB103" s="1763"/>
      <c r="AC103" s="1763"/>
      <c r="AD103" s="1763"/>
      <c r="AE103" s="1763"/>
      <c r="AF103" s="1763"/>
      <c r="AG103" s="1763"/>
      <c r="AH103" s="1763"/>
      <c r="AI103" s="1763"/>
      <c r="AJ103" s="1763"/>
      <c r="AK103" s="1763"/>
      <c r="AL103" s="1750" t="s">
        <v>3194</v>
      </c>
      <c r="AM103" s="1751"/>
      <c r="AN103" s="295"/>
      <c r="AO103" s="295"/>
      <c r="AP103" s="245"/>
      <c r="AQ103" s="245"/>
      <c r="AR103" s="245"/>
      <c r="AS103" s="245"/>
      <c r="AT103" s="245"/>
      <c r="AU103" s="245"/>
      <c r="AV103" s="245"/>
    </row>
    <row r="104" spans="1:1025" s="243" customFormat="1" ht="30" customHeight="1">
      <c r="A104" s="300"/>
      <c r="B104" s="300"/>
      <c r="C104" s="300"/>
      <c r="D104" s="300"/>
      <c r="E104" s="300"/>
      <c r="F104" s="300"/>
      <c r="G104" s="300"/>
      <c r="H104" s="300"/>
      <c r="I104" s="300"/>
      <c r="J104" s="300"/>
      <c r="K104" s="300"/>
      <c r="L104" s="300"/>
      <c r="M104" s="285"/>
      <c r="N104" s="1403"/>
      <c r="O104" s="1403"/>
      <c r="P104" s="1403"/>
      <c r="Q104" s="1403"/>
      <c r="R104" s="1403"/>
      <c r="S104" s="288"/>
      <c r="T104" s="288"/>
      <c r="U104" s="1403"/>
      <c r="V104" s="1403"/>
      <c r="W104" s="1403"/>
      <c r="X104" s="1403"/>
      <c r="Y104" s="1064"/>
      <c r="Z104" s="795"/>
      <c r="AA104" s="536"/>
      <c r="AB104" s="288"/>
      <c r="AC104" s="288"/>
      <c r="AD104" s="288"/>
      <c r="AE104" s="288"/>
      <c r="AF104" s="288"/>
      <c r="AG104" s="288"/>
      <c r="AH104" s="288"/>
      <c r="AI104" s="288"/>
      <c r="AJ104" s="288"/>
      <c r="AK104" s="288"/>
      <c r="AL104" s="245"/>
      <c r="AM104" s="425"/>
      <c r="AN104" s="295"/>
      <c r="AO104" s="295"/>
      <c r="AP104" s="245"/>
      <c r="AQ104" s="245"/>
      <c r="AR104" s="245"/>
      <c r="AS104" s="245"/>
      <c r="AT104" s="245"/>
      <c r="AU104" s="245"/>
      <c r="AV104" s="245"/>
    </row>
    <row r="105" spans="1:1025" s="235" customForma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1076"/>
      <c r="Z105" s="233"/>
      <c r="AA105" s="537"/>
      <c r="AB105" s="233"/>
      <c r="AC105" s="233"/>
      <c r="AD105" s="233"/>
      <c r="AE105" s="233"/>
      <c r="AF105" s="233"/>
      <c r="AG105" s="233"/>
      <c r="AH105" s="233"/>
      <c r="AI105" s="233"/>
      <c r="AJ105" s="233"/>
      <c r="AK105" s="233"/>
      <c r="AL105" s="233"/>
      <c r="AM105" s="424"/>
      <c r="AN105" s="426"/>
      <c r="AO105" s="426"/>
      <c r="AP105" s="233"/>
      <c r="AQ105" s="233"/>
      <c r="AR105" s="233"/>
      <c r="AS105" s="233"/>
      <c r="AT105" s="233"/>
      <c r="AU105" s="233"/>
      <c r="AV105" s="233"/>
    </row>
    <row r="106" spans="1:1025" s="235" customFormat="1" ht="11.25">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1076"/>
      <c r="Z106" s="233"/>
      <c r="AA106" s="537"/>
      <c r="AB106" s="233"/>
      <c r="AC106" s="233"/>
      <c r="AD106" s="233"/>
      <c r="AE106" s="233"/>
      <c r="AF106" s="233"/>
      <c r="AG106" s="233"/>
      <c r="AH106" s="233"/>
      <c r="AI106" s="233"/>
      <c r="AJ106" s="233"/>
      <c r="AK106" s="233"/>
      <c r="AM106" s="427"/>
      <c r="AN106" s="426"/>
      <c r="AO106" s="426"/>
    </row>
    <row r="107" spans="1:1025" s="235" customFormat="1" ht="11.25">
      <c r="Y107" s="1126"/>
      <c r="AA107" s="537"/>
      <c r="AM107" s="427"/>
      <c r="AN107" s="426"/>
      <c r="AO107" s="426"/>
    </row>
    <row r="110" spans="1:1025" s="235" customFormat="1" ht="11.25">
      <c r="Y110" s="1126"/>
      <c r="AA110" s="537"/>
      <c r="AM110" s="426"/>
      <c r="AN110" s="426"/>
      <c r="AO110" s="538"/>
    </row>
  </sheetData>
  <sheetProtection formatCells="0" formatColumns="0" formatRows="0" insertRows="0" deleteColumns="0" sort="0" autoFilter="0"/>
  <mergeCells count="561">
    <mergeCell ref="Y22:Y24"/>
    <mergeCell ref="Y25:Y29"/>
    <mergeCell ref="Y31:Y33"/>
    <mergeCell ref="AU1:AV4"/>
    <mergeCell ref="G2:U2"/>
    <mergeCell ref="AN2:AO2"/>
    <mergeCell ref="AP2:AQ2"/>
    <mergeCell ref="A3:A4"/>
    <mergeCell ref="G3:H3"/>
    <mergeCell ref="I3:N3"/>
    <mergeCell ref="O3:U3"/>
    <mergeCell ref="X3:Z4"/>
    <mergeCell ref="AA3:AA4"/>
    <mergeCell ref="G1:U1"/>
    <mergeCell ref="V1:W4"/>
    <mergeCell ref="X1:Z2"/>
    <mergeCell ref="AA1:AA2"/>
    <mergeCell ref="AB1:AL2"/>
    <mergeCell ref="AN1:AQ1"/>
    <mergeCell ref="AB3:AL4"/>
    <mergeCell ref="AN3:AO3"/>
    <mergeCell ref="AP3:AQ3"/>
    <mergeCell ref="G4:H4"/>
    <mergeCell ref="I4:N4"/>
    <mergeCell ref="O4:U4"/>
    <mergeCell ref="AN4:AO4"/>
    <mergeCell ref="AP4:AQ4"/>
    <mergeCell ref="AR6:AV6"/>
    <mergeCell ref="A7:A8"/>
    <mergeCell ref="B7:B8"/>
    <mergeCell ref="C7:E8"/>
    <mergeCell ref="F7:F8"/>
    <mergeCell ref="G7:I8"/>
    <mergeCell ref="J7:L8"/>
    <mergeCell ref="M7:P7"/>
    <mergeCell ref="Q7:U7"/>
    <mergeCell ref="V7:X8"/>
    <mergeCell ref="AS7:AS8"/>
    <mergeCell ref="AT7:AT8"/>
    <mergeCell ref="AU7:AU8"/>
    <mergeCell ref="AV7:AV8"/>
    <mergeCell ref="AR7:AR8"/>
    <mergeCell ref="A6:P6"/>
    <mergeCell ref="Q6:U6"/>
    <mergeCell ref="V6:AK6"/>
    <mergeCell ref="Y7:Y8"/>
    <mergeCell ref="C9:E9"/>
    <mergeCell ref="G9:I9"/>
    <mergeCell ref="J9:L9"/>
    <mergeCell ref="V9:X9"/>
    <mergeCell ref="AM7:AM8"/>
    <mergeCell ref="AN7:AN8"/>
    <mergeCell ref="AO7:AO8"/>
    <mergeCell ref="AP7:AP8"/>
    <mergeCell ref="AQ7:AQ8"/>
    <mergeCell ref="Z7:Z8"/>
    <mergeCell ref="AA7:AA8"/>
    <mergeCell ref="AB7:AB8"/>
    <mergeCell ref="AC7:AC8"/>
    <mergeCell ref="AG7:AK7"/>
    <mergeCell ref="AL7:AL8"/>
    <mergeCell ref="M10:M11"/>
    <mergeCell ref="N10:N11"/>
    <mergeCell ref="O10:O11"/>
    <mergeCell ref="P10:P11"/>
    <mergeCell ref="Q10:Q11"/>
    <mergeCell ref="R10:R11"/>
    <mergeCell ref="A10:A11"/>
    <mergeCell ref="B10:B11"/>
    <mergeCell ref="C10:E11"/>
    <mergeCell ref="F10:F11"/>
    <mergeCell ref="G10:I10"/>
    <mergeCell ref="J10:L11"/>
    <mergeCell ref="AF10:AF11"/>
    <mergeCell ref="AG10:AG11"/>
    <mergeCell ref="AH10:AH11"/>
    <mergeCell ref="AI10:AI11"/>
    <mergeCell ref="S10:S11"/>
    <mergeCell ref="T10:T11"/>
    <mergeCell ref="U10:U11"/>
    <mergeCell ref="V10:X10"/>
    <mergeCell ref="AB10:AB11"/>
    <mergeCell ref="AC10:AC11"/>
    <mergeCell ref="Y10:Y11"/>
    <mergeCell ref="AV10:AV11"/>
    <mergeCell ref="G11:I11"/>
    <mergeCell ref="V11:X11"/>
    <mergeCell ref="A12:A17"/>
    <mergeCell ref="B12:B18"/>
    <mergeCell ref="C12:E18"/>
    <mergeCell ref="F12:F18"/>
    <mergeCell ref="G12:I12"/>
    <mergeCell ref="J12:L17"/>
    <mergeCell ref="M12:M17"/>
    <mergeCell ref="AP10:AP11"/>
    <mergeCell ref="AQ10:AQ11"/>
    <mergeCell ref="AR10:AR11"/>
    <mergeCell ref="AS10:AS11"/>
    <mergeCell ref="AT10:AT11"/>
    <mergeCell ref="AU10:AU11"/>
    <mergeCell ref="AJ10:AJ11"/>
    <mergeCell ref="AK10:AK11"/>
    <mergeCell ref="AL10:AL11"/>
    <mergeCell ref="AM10:AM11"/>
    <mergeCell ref="AN10:AN11"/>
    <mergeCell ref="AO10:AO11"/>
    <mergeCell ref="AD10:AD11"/>
    <mergeCell ref="AE10:AE11"/>
    <mergeCell ref="AE12:AE17"/>
    <mergeCell ref="AF12:AF17"/>
    <mergeCell ref="AG12:AG17"/>
    <mergeCell ref="AH12:AH17"/>
    <mergeCell ref="AI12:AI17"/>
    <mergeCell ref="AJ12:AJ17"/>
    <mergeCell ref="T12:T17"/>
    <mergeCell ref="U12:U17"/>
    <mergeCell ref="V12:X12"/>
    <mergeCell ref="AB12:AB17"/>
    <mergeCell ref="AC12:AC17"/>
    <mergeCell ref="AD12:AD17"/>
    <mergeCell ref="Y12:Y18"/>
    <mergeCell ref="AQ12:AQ18"/>
    <mergeCell ref="AR12:AR18"/>
    <mergeCell ref="AS12:AS18"/>
    <mergeCell ref="AT12:AT18"/>
    <mergeCell ref="AU12:AU18"/>
    <mergeCell ref="AV12:AV18"/>
    <mergeCell ref="AK12:AK17"/>
    <mergeCell ref="AL12:AL18"/>
    <mergeCell ref="AM12:AM18"/>
    <mergeCell ref="AN12:AN18"/>
    <mergeCell ref="AO12:AO18"/>
    <mergeCell ref="AP12:AP18"/>
    <mergeCell ref="G16:I16"/>
    <mergeCell ref="V16:X16"/>
    <mergeCell ref="G17:I17"/>
    <mergeCell ref="V17:X17"/>
    <mergeCell ref="G18:I18"/>
    <mergeCell ref="J18:L18"/>
    <mergeCell ref="V18:X18"/>
    <mergeCell ref="G13:I13"/>
    <mergeCell ref="V13:X13"/>
    <mergeCell ref="G14:I14"/>
    <mergeCell ref="V14:X14"/>
    <mergeCell ref="G15:I15"/>
    <mergeCell ref="V15:X15"/>
    <mergeCell ref="N12:N17"/>
    <mergeCell ref="O12:O17"/>
    <mergeCell ref="P12:P17"/>
    <mergeCell ref="Q12:Q17"/>
    <mergeCell ref="R12:R17"/>
    <mergeCell ref="S12:S17"/>
    <mergeCell ref="AC19:AC21"/>
    <mergeCell ref="M19:M21"/>
    <mergeCell ref="N19:N21"/>
    <mergeCell ref="O19:O21"/>
    <mergeCell ref="P19:P21"/>
    <mergeCell ref="Q19:Q21"/>
    <mergeCell ref="R19:R21"/>
    <mergeCell ref="A19:A21"/>
    <mergeCell ref="B19:B21"/>
    <mergeCell ref="C19:E21"/>
    <mergeCell ref="F19:F21"/>
    <mergeCell ref="G19:I19"/>
    <mergeCell ref="J19:L21"/>
    <mergeCell ref="Y19:Y21"/>
    <mergeCell ref="R22:R24"/>
    <mergeCell ref="A22:A24"/>
    <mergeCell ref="B22:B24"/>
    <mergeCell ref="C22:E24"/>
    <mergeCell ref="F22:F24"/>
    <mergeCell ref="G22:I22"/>
    <mergeCell ref="J22:L24"/>
    <mergeCell ref="AJ19:AJ21"/>
    <mergeCell ref="AK19:AK21"/>
    <mergeCell ref="G20:I20"/>
    <mergeCell ref="V20:X20"/>
    <mergeCell ref="G21:I21"/>
    <mergeCell ref="V21:X21"/>
    <mergeCell ref="AD19:AD21"/>
    <mergeCell ref="AE19:AE21"/>
    <mergeCell ref="AF19:AF21"/>
    <mergeCell ref="AG19:AG21"/>
    <mergeCell ref="AH19:AH21"/>
    <mergeCell ref="AI19:AI21"/>
    <mergeCell ref="S19:S21"/>
    <mergeCell ref="T19:T21"/>
    <mergeCell ref="U19:U21"/>
    <mergeCell ref="V19:X19"/>
    <mergeCell ref="AB19:AB21"/>
    <mergeCell ref="AJ22:AJ24"/>
    <mergeCell ref="AK22:AK24"/>
    <mergeCell ref="AM22:AM24"/>
    <mergeCell ref="G23:I23"/>
    <mergeCell ref="V23:X23"/>
    <mergeCell ref="G24:I24"/>
    <mergeCell ref="V24:X24"/>
    <mergeCell ref="AD22:AD24"/>
    <mergeCell ref="AE22:AE24"/>
    <mergeCell ref="AF22:AF24"/>
    <mergeCell ref="AG22:AG24"/>
    <mergeCell ref="AH22:AH24"/>
    <mergeCell ref="AI22:AI24"/>
    <mergeCell ref="S22:S24"/>
    <mergeCell ref="T22:T24"/>
    <mergeCell ref="U22:U24"/>
    <mergeCell ref="V22:X22"/>
    <mergeCell ref="AB22:AB24"/>
    <mergeCell ref="AC22:AC24"/>
    <mergeCell ref="M22:M24"/>
    <mergeCell ref="N22:N24"/>
    <mergeCell ref="O22:O24"/>
    <mergeCell ref="P22:P24"/>
    <mergeCell ref="Q22:Q24"/>
    <mergeCell ref="N25:N29"/>
    <mergeCell ref="O25:O29"/>
    <mergeCell ref="P25:P29"/>
    <mergeCell ref="Q25:Q29"/>
    <mergeCell ref="R25:R29"/>
    <mergeCell ref="A25:A29"/>
    <mergeCell ref="B25:B29"/>
    <mergeCell ref="C25:E29"/>
    <mergeCell ref="F25:F29"/>
    <mergeCell ref="G25:I25"/>
    <mergeCell ref="J25:L29"/>
    <mergeCell ref="G29:I29"/>
    <mergeCell ref="AJ25:AJ29"/>
    <mergeCell ref="AK25:AK29"/>
    <mergeCell ref="AL25:AL29"/>
    <mergeCell ref="AM25:AM29"/>
    <mergeCell ref="G26:I26"/>
    <mergeCell ref="V26:X26"/>
    <mergeCell ref="G27:I27"/>
    <mergeCell ref="V27:X27"/>
    <mergeCell ref="G28:I28"/>
    <mergeCell ref="V28:X28"/>
    <mergeCell ref="AD25:AD29"/>
    <mergeCell ref="AE25:AE29"/>
    <mergeCell ref="AF25:AF29"/>
    <mergeCell ref="AG25:AG29"/>
    <mergeCell ref="AH25:AH29"/>
    <mergeCell ref="AI25:AI29"/>
    <mergeCell ref="S25:S29"/>
    <mergeCell ref="T25:T29"/>
    <mergeCell ref="U25:U29"/>
    <mergeCell ref="V25:X25"/>
    <mergeCell ref="AB25:AB29"/>
    <mergeCell ref="AC25:AC29"/>
    <mergeCell ref="V29:X29"/>
    <mergeCell ref="M25:M29"/>
    <mergeCell ref="C30:E30"/>
    <mergeCell ref="G30:I30"/>
    <mergeCell ref="J30:L30"/>
    <mergeCell ref="V30:X30"/>
    <mergeCell ref="A31:A33"/>
    <mergeCell ref="B31:B33"/>
    <mergeCell ref="C31:E33"/>
    <mergeCell ref="F31:F33"/>
    <mergeCell ref="G31:I31"/>
    <mergeCell ref="J31:L33"/>
    <mergeCell ref="AK31:AK33"/>
    <mergeCell ref="G32:I32"/>
    <mergeCell ref="V32:X32"/>
    <mergeCell ref="G33:I33"/>
    <mergeCell ref="V33:X33"/>
    <mergeCell ref="AD31:AD33"/>
    <mergeCell ref="AE31:AE33"/>
    <mergeCell ref="AF31:AF33"/>
    <mergeCell ref="AG31:AG33"/>
    <mergeCell ref="AH31:AH33"/>
    <mergeCell ref="AI31:AI33"/>
    <mergeCell ref="S31:S33"/>
    <mergeCell ref="T31:T33"/>
    <mergeCell ref="U31:U33"/>
    <mergeCell ref="V31:X31"/>
    <mergeCell ref="AB31:AB33"/>
    <mergeCell ref="AC31:AC33"/>
    <mergeCell ref="M31:M33"/>
    <mergeCell ref="N31:N33"/>
    <mergeCell ref="O31:O33"/>
    <mergeCell ref="P31:P33"/>
    <mergeCell ref="Q31:Q33"/>
    <mergeCell ref="R31:R33"/>
    <mergeCell ref="C34:E34"/>
    <mergeCell ref="G34:I34"/>
    <mergeCell ref="J34:L34"/>
    <mergeCell ref="V34:X34"/>
    <mergeCell ref="C35:E35"/>
    <mergeCell ref="G35:I35"/>
    <mergeCell ref="J35:L35"/>
    <mergeCell ref="V35:X35"/>
    <mergeCell ref="AJ31:AJ33"/>
    <mergeCell ref="C38:E38"/>
    <mergeCell ref="G38:I38"/>
    <mergeCell ref="J38:L38"/>
    <mergeCell ref="V38:X38"/>
    <mergeCell ref="C39:E39"/>
    <mergeCell ref="G39:I39"/>
    <mergeCell ref="J39:L39"/>
    <mergeCell ref="V39:X39"/>
    <mergeCell ref="C36:E36"/>
    <mergeCell ref="G36:I36"/>
    <mergeCell ref="J36:L36"/>
    <mergeCell ref="V36:X36"/>
    <mergeCell ref="C37:E37"/>
    <mergeCell ref="G37:I37"/>
    <mergeCell ref="J37:L37"/>
    <mergeCell ref="V37:X37"/>
    <mergeCell ref="C42:E42"/>
    <mergeCell ref="G42:I42"/>
    <mergeCell ref="J42:L42"/>
    <mergeCell ref="V42:X42"/>
    <mergeCell ref="C43:E43"/>
    <mergeCell ref="G43:I43"/>
    <mergeCell ref="J43:L43"/>
    <mergeCell ref="V43:X43"/>
    <mergeCell ref="C40:E40"/>
    <mergeCell ref="G40:I40"/>
    <mergeCell ref="J40:L40"/>
    <mergeCell ref="V40:X40"/>
    <mergeCell ref="C41:E41"/>
    <mergeCell ref="G41:I41"/>
    <mergeCell ref="J41:L41"/>
    <mergeCell ref="V41:X41"/>
    <mergeCell ref="C46:E46"/>
    <mergeCell ref="G46:I46"/>
    <mergeCell ref="J46:L46"/>
    <mergeCell ref="V46:X46"/>
    <mergeCell ref="C47:E47"/>
    <mergeCell ref="G47:I47"/>
    <mergeCell ref="J47:L47"/>
    <mergeCell ref="V47:X47"/>
    <mergeCell ref="C44:E44"/>
    <mergeCell ref="G44:I44"/>
    <mergeCell ref="J44:L44"/>
    <mergeCell ref="V44:X44"/>
    <mergeCell ref="C45:E45"/>
    <mergeCell ref="G45:I45"/>
    <mergeCell ref="J45:L45"/>
    <mergeCell ref="V45:X45"/>
    <mergeCell ref="C50:E50"/>
    <mergeCell ref="G50:I50"/>
    <mergeCell ref="J50:L50"/>
    <mergeCell ref="V50:X50"/>
    <mergeCell ref="C51:E51"/>
    <mergeCell ref="G51:I51"/>
    <mergeCell ref="J51:L51"/>
    <mergeCell ref="V51:X51"/>
    <mergeCell ref="C48:E48"/>
    <mergeCell ref="G48:I48"/>
    <mergeCell ref="J48:L48"/>
    <mergeCell ref="V48:X48"/>
    <mergeCell ref="C49:E49"/>
    <mergeCell ref="G49:I49"/>
    <mergeCell ref="J49:L49"/>
    <mergeCell ref="V49:X49"/>
    <mergeCell ref="C54:E54"/>
    <mergeCell ref="G54:I54"/>
    <mergeCell ref="J54:L54"/>
    <mergeCell ref="V54:X54"/>
    <mergeCell ref="C55:E55"/>
    <mergeCell ref="G55:I55"/>
    <mergeCell ref="J55:L55"/>
    <mergeCell ref="V55:X55"/>
    <mergeCell ref="C52:E52"/>
    <mergeCell ref="G52:I52"/>
    <mergeCell ref="J52:L52"/>
    <mergeCell ref="V52:X52"/>
    <mergeCell ref="C53:E53"/>
    <mergeCell ref="G53:I53"/>
    <mergeCell ref="J53:L53"/>
    <mergeCell ref="V53:X53"/>
    <mergeCell ref="C58:E58"/>
    <mergeCell ref="G58:I58"/>
    <mergeCell ref="J58:L58"/>
    <mergeCell ref="V58:X58"/>
    <mergeCell ref="C59:E59"/>
    <mergeCell ref="G59:I59"/>
    <mergeCell ref="J59:L59"/>
    <mergeCell ref="V59:X59"/>
    <mergeCell ref="C56:E56"/>
    <mergeCell ref="G56:I56"/>
    <mergeCell ref="J56:L56"/>
    <mergeCell ref="V56:X56"/>
    <mergeCell ref="C57:E57"/>
    <mergeCell ref="G57:I57"/>
    <mergeCell ref="J57:L57"/>
    <mergeCell ref="V57:X57"/>
    <mergeCell ref="C62:E62"/>
    <mergeCell ref="G62:I62"/>
    <mergeCell ref="J62:L62"/>
    <mergeCell ref="V62:X62"/>
    <mergeCell ref="C63:E63"/>
    <mergeCell ref="G63:I63"/>
    <mergeCell ref="J63:L63"/>
    <mergeCell ref="V63:X63"/>
    <mergeCell ref="C60:E60"/>
    <mergeCell ref="G60:I60"/>
    <mergeCell ref="J60:L60"/>
    <mergeCell ref="V60:X60"/>
    <mergeCell ref="C61:E61"/>
    <mergeCell ref="G61:I61"/>
    <mergeCell ref="J61:L61"/>
    <mergeCell ref="V61:X61"/>
    <mergeCell ref="C66:E66"/>
    <mergeCell ref="G66:I66"/>
    <mergeCell ref="J66:L66"/>
    <mergeCell ref="V66:X66"/>
    <mergeCell ref="C67:E67"/>
    <mergeCell ref="G67:I67"/>
    <mergeCell ref="J67:L67"/>
    <mergeCell ref="V67:X67"/>
    <mergeCell ref="C64:E64"/>
    <mergeCell ref="G64:I64"/>
    <mergeCell ref="J64:L64"/>
    <mergeCell ref="V64:X64"/>
    <mergeCell ref="C65:E65"/>
    <mergeCell ref="G65:I65"/>
    <mergeCell ref="J65:L65"/>
    <mergeCell ref="V65:X65"/>
    <mergeCell ref="C70:E70"/>
    <mergeCell ref="G70:I70"/>
    <mergeCell ref="J70:L70"/>
    <mergeCell ref="V70:X70"/>
    <mergeCell ref="C71:E71"/>
    <mergeCell ref="G71:I71"/>
    <mergeCell ref="J71:L71"/>
    <mergeCell ref="V71:X71"/>
    <mergeCell ref="C68:E68"/>
    <mergeCell ref="G68:I68"/>
    <mergeCell ref="J68:L68"/>
    <mergeCell ref="V68:X68"/>
    <mergeCell ref="C69:E69"/>
    <mergeCell ref="G69:I69"/>
    <mergeCell ref="J69:L69"/>
    <mergeCell ref="V69:X69"/>
    <mergeCell ref="C74:E74"/>
    <mergeCell ref="G74:I74"/>
    <mergeCell ref="J74:L74"/>
    <mergeCell ref="V74:X74"/>
    <mergeCell ref="C75:E75"/>
    <mergeCell ref="G75:I75"/>
    <mergeCell ref="J75:L75"/>
    <mergeCell ref="V75:X75"/>
    <mergeCell ref="C72:E72"/>
    <mergeCell ref="G72:I72"/>
    <mergeCell ref="J72:L72"/>
    <mergeCell ref="V72:X72"/>
    <mergeCell ref="C73:E73"/>
    <mergeCell ref="G73:I73"/>
    <mergeCell ref="J73:L73"/>
    <mergeCell ref="V73:X73"/>
    <mergeCell ref="C78:E78"/>
    <mergeCell ref="G78:I78"/>
    <mergeCell ref="J78:L78"/>
    <mergeCell ref="V78:X78"/>
    <mergeCell ref="C79:E79"/>
    <mergeCell ref="G79:I79"/>
    <mergeCell ref="J79:L79"/>
    <mergeCell ref="V79:X79"/>
    <mergeCell ref="C76:E76"/>
    <mergeCell ref="G76:I76"/>
    <mergeCell ref="J76:L76"/>
    <mergeCell ref="V76:X76"/>
    <mergeCell ref="C77:E77"/>
    <mergeCell ref="G77:I77"/>
    <mergeCell ref="J77:L77"/>
    <mergeCell ref="V77:X77"/>
    <mergeCell ref="C82:E82"/>
    <mergeCell ref="G82:I82"/>
    <mergeCell ref="J82:L82"/>
    <mergeCell ref="V82:X82"/>
    <mergeCell ref="C83:E83"/>
    <mergeCell ref="G83:I83"/>
    <mergeCell ref="J83:L83"/>
    <mergeCell ref="V83:X83"/>
    <mergeCell ref="C80:E80"/>
    <mergeCell ref="G80:I80"/>
    <mergeCell ref="J80:L80"/>
    <mergeCell ref="V80:X80"/>
    <mergeCell ref="C81:E81"/>
    <mergeCell ref="G81:I81"/>
    <mergeCell ref="J81:L81"/>
    <mergeCell ref="V81:X81"/>
    <mergeCell ref="C86:E86"/>
    <mergeCell ref="G86:I86"/>
    <mergeCell ref="J86:L86"/>
    <mergeCell ref="V86:X86"/>
    <mergeCell ref="C87:E87"/>
    <mergeCell ref="G87:I87"/>
    <mergeCell ref="J87:L87"/>
    <mergeCell ref="V87:X87"/>
    <mergeCell ref="C84:E84"/>
    <mergeCell ref="G84:I84"/>
    <mergeCell ref="J84:L84"/>
    <mergeCell ref="V84:X84"/>
    <mergeCell ref="C85:E85"/>
    <mergeCell ref="G85:I85"/>
    <mergeCell ref="J85:L85"/>
    <mergeCell ref="V85:X85"/>
    <mergeCell ref="C90:E90"/>
    <mergeCell ref="G90:I90"/>
    <mergeCell ref="J90:L90"/>
    <mergeCell ref="V90:X90"/>
    <mergeCell ref="C91:E91"/>
    <mergeCell ref="G91:I91"/>
    <mergeCell ref="J91:L91"/>
    <mergeCell ref="V91:X91"/>
    <mergeCell ref="C88:E88"/>
    <mergeCell ref="G88:I88"/>
    <mergeCell ref="J88:L88"/>
    <mergeCell ref="V88:X88"/>
    <mergeCell ref="C89:E89"/>
    <mergeCell ref="G89:I89"/>
    <mergeCell ref="J89:L89"/>
    <mergeCell ref="V89:X89"/>
    <mergeCell ref="C94:E94"/>
    <mergeCell ref="G94:I94"/>
    <mergeCell ref="J94:L94"/>
    <mergeCell ref="V94:X94"/>
    <mergeCell ref="C95:E95"/>
    <mergeCell ref="G95:I95"/>
    <mergeCell ref="J95:L95"/>
    <mergeCell ref="V95:X95"/>
    <mergeCell ref="C92:E92"/>
    <mergeCell ref="G92:I92"/>
    <mergeCell ref="J92:L92"/>
    <mergeCell ref="V92:X92"/>
    <mergeCell ref="C93:E93"/>
    <mergeCell ref="G93:I93"/>
    <mergeCell ref="J93:L93"/>
    <mergeCell ref="V93:X93"/>
    <mergeCell ref="C98:E98"/>
    <mergeCell ref="G98:I98"/>
    <mergeCell ref="J98:L98"/>
    <mergeCell ref="V98:X98"/>
    <mergeCell ref="A100:L101"/>
    <mergeCell ref="P101:R101"/>
    <mergeCell ref="U101:W101"/>
    <mergeCell ref="X101:Z101"/>
    <mergeCell ref="C96:E96"/>
    <mergeCell ref="G96:I96"/>
    <mergeCell ref="J96:L96"/>
    <mergeCell ref="V96:X96"/>
    <mergeCell ref="C97:E97"/>
    <mergeCell ref="G97:I97"/>
    <mergeCell ref="J97:L97"/>
    <mergeCell ref="V97:X97"/>
    <mergeCell ref="AL103:AM103"/>
    <mergeCell ref="N104:R104"/>
    <mergeCell ref="U104:X104"/>
    <mergeCell ref="AA101:AK101"/>
    <mergeCell ref="A102:L103"/>
    <mergeCell ref="P102:R102"/>
    <mergeCell ref="U102:W102"/>
    <mergeCell ref="X102:Z102"/>
    <mergeCell ref="AA102:AK102"/>
    <mergeCell ref="P103:R103"/>
    <mergeCell ref="U103:W103"/>
    <mergeCell ref="X103:Z103"/>
    <mergeCell ref="AA103:AK103"/>
  </mergeCells>
  <dataValidations count="6">
    <dataValidation type="list" allowBlank="1" showInputMessage="1" showErrorMessage="1" sqref="KM34:KM98 WWY34:WWY98 AQ34:AQ98 WNC34:WNC98 WDG34:WDG98 VTK34:VTK98 VJO34:VJO98 UZS34:UZS98 UPW34:UPW98 UGA34:UGA98 TWE34:TWE98 TMI34:TMI98 TCM34:TCM98 SSQ34:SSQ98 SIU34:SIU98 RYY34:RYY98 RPC34:RPC98 RFG34:RFG98 QVK34:QVK98 QLO34:QLO98 QBS34:QBS98 PRW34:PRW98 PIA34:PIA98 OYE34:OYE98 OOI34:OOI98 OEM34:OEM98 NUQ34:NUQ98 NKU34:NKU98 NAY34:NAY98 MRC34:MRC98 MHG34:MHG98 LXK34:LXK98 LNO34:LNO98 LDS34:LDS98 KTW34:KTW98 KKA34:KKA98 KAE34:KAE98 JQI34:JQI98 JGM34:JGM98 IWQ34:IWQ98 IMU34:IMU98 ICY34:ICY98 HTC34:HTC98 HJG34:HJG98 GZK34:GZK98 GPO34:GPO98 GFS34:GFS98 FVW34:FVW98 FMA34:FMA98 FCE34:FCE98 ESI34:ESI98 EIM34:EIM98 DYQ34:DYQ98 DOU34:DOU98 DEY34:DEY98 CVC34:CVC98 CLG34:CLG98 CBK34:CBK98 BRO34:BRO98 BHS34:BHS98 AXW34:AXW98 AOA34:AOA98 AEE34:AEE98 UI34:UI98">
      <formula1>SINO</formula1>
    </dataValidation>
    <dataValidation type="list" allowBlank="1" showInputMessage="1" showErrorMessage="1" sqref="Q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Q18:Q19 JL18:JL19 TH18:TH19 ADD18:ADD19 AMZ18:AMZ19 AWV18:AWV19 BGR18:BGR19 BQN18:BQN19 CAJ18:CAJ19 CKF18:CKF19 CUB18:CUB19 DDX18:DDX19 DNT18:DNT19 DXP18:DXP19 EHL18:EHL19 ERH18:ERH19 FBD18:FBD19 FKZ18:FKZ19 FUV18:FUV19 GER18:GER19 GON18:GON19 GYJ18:GYJ19 HIF18:HIF19 HSB18:HSB19 IBX18:IBX19 ILT18:ILT19 IVP18:IVP19 JFL18:JFL19 JPH18:JPH19 JZD18:JZD19 KIZ18:KIZ19 KSV18:KSV19 LCR18:LCR19 LMN18:LMN19 LWJ18:LWJ19 MGF18:MGF19 MQB18:MQB19 MZX18:MZX19 NJT18:NJT19 NTP18:NTP19 ODL18:ODL19 ONH18:ONH19 OXD18:OXD19 PGZ18:PGZ19 PQV18:PQV19 QAR18:QAR19 QKN18:QKN19 QUJ18:QUJ19 REF18:REF19 ROB18:ROB19 RXX18:RXX19 SHT18:SHT19 SRP18:SRP19 TBL18:TBL19 TLH18:TLH19 TVD18:TVD19 UEZ18:UEZ19 UOV18:UOV19 UYR18:UYR19 VIN18:VIN19 VSJ18:VSJ19 WCF18:WCF19 WMB18:WMB19 WVX18:WVX19 Q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Q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Q30:Q31 JL30:JL31 TH30:TH31 ADD30:ADD31 AMZ30:AMZ31 AWV30:AWV31 BGR30:BGR31 BQN30:BQN31 CAJ30:CAJ31 CKF30:CKF31 CUB30:CUB31 DDX30:DDX31 DNT30:DNT31 DXP30:DXP31 EHL30:EHL31 ERH30:ERH31 FBD30:FBD31 FKZ30:FKZ31 FUV30:FUV31 GER30:GER31 GON30:GON31 GYJ30:GYJ31 HIF30:HIF31 HSB30:HSB31 IBX30:IBX31 ILT30:ILT31 IVP30:IVP31 JFL30:JFL31 JPH30:JPH31 JZD30:JZD31 KIZ30:KIZ31 KSV30:KSV31 LCR30:LCR31 LMN30:LMN31 LWJ30:LWJ31 MGF30:MGF31 MQB30:MQB31 MZX30:MZX31 NJT30:NJT31 NTP30:NTP31 ODL30:ODL31 ONH30:ONH31 OXD30:OXD31 PGZ30:PGZ31 PQV30:PQV31 QAR30:QAR31 QKN30:QKN31 QUJ30:QUJ31 REF30:REF31 ROB30:ROB31 RXX30:RXX31 SHT30:SHT31 SRP30:SRP31 TBL30:TBL31 TLH30:TLH31 TVD30:TVD31 UEZ30:UEZ31 UOV30:UOV31 UYR30:UYR31 VIN30:VIN31 VSJ30:VSJ31 WCF30:WCF31 WMB30:WMB31 WVX30:WVX31 WVX9:WVX10 JL9:JL10 TH9:TH10 ADD9:ADD10 AMZ9:AMZ10 AWV9:AWV10 BGR9:BGR10 BQN9:BQN10 CAJ9:CAJ10 CKF9:CKF10 CUB9:CUB10 DDX9:DDX10 DNT9:DNT10 DXP9:DXP10 EHL9:EHL10 ERH9:ERH10 FBD9:FBD10 FKZ9:FKZ10 FUV9:FUV10 GER9:GER10 GON9:GON10 GYJ9:GYJ10 HIF9:HIF10 HSB9:HSB10 IBX9:IBX10 ILT9:ILT10 IVP9:IVP10 JFL9:JFL10 JPH9:JPH10 JZD9:JZD10 KIZ9:KIZ10 KSV9:KSV10 LCR9:LCR10 LMN9:LMN10 LWJ9:LWJ10 MGF9:MGF10 MQB9:MQB10 MZX9:MZX10 NJT9:NJT10 NTP9:NTP10 ODL9:ODL10 ONH9:ONH10 OXD9:OXD10 PGZ9:PGZ10 PQV9:PQV10 QAR9:QAR10 QKN9:QKN10 QUJ9:QUJ10 REF9:REF10 ROB9:ROB10 RXX9:RXX10 SHT9:SHT10 SRP9:SRP10 TBL9:TBL10 TLH9:TLH10 TVD9:TVD10 UEZ9:UEZ10 UOV9:UOV10 UYR9:UYR10 VIN9:VIN10 VSJ9:VSJ10 WCF9:WCF10 WMB9:WMB10 Q9:Q10 WVX34:WVX98 Q34:Q98 WMB34:WMB98 WCF34:WCF98 VSJ34:VSJ98 VIN34:VIN98 UYR34:UYR98 UOV34:UOV98 UEZ34:UEZ98 TVD34:TVD98 TLH34:TLH98 TBL34:TBL98 SRP34:SRP98 SHT34:SHT98 RXX34:RXX98 ROB34:ROB98 REF34:REF98 QUJ34:QUJ98 QKN34:QKN98 QAR34:QAR98 PQV34:PQV98 PGZ34:PGZ98 OXD34:OXD98 ONH34:ONH98 ODL34:ODL98 NTP34:NTP98 NJT34:NJT98 MZX34:MZX98 MQB34:MQB98 MGF34:MGF98 LWJ34:LWJ98 LMN34:LMN98 LCR34:LCR98 KSV34:KSV98 KIZ34:KIZ98 JZD34:JZD98 JPH34:JPH98 JFL34:JFL98 IVP34:IVP98 ILT34:ILT98 IBX34:IBX98 HSB34:HSB98 HIF34:HIF98 GYJ34:GYJ98 GON34:GON98 GER34:GER98 FUV34:FUV98 FKZ34:FKZ98 FBD34:FBD98 ERH34:ERH98 EHL34:EHL98 DXP34:DXP98 DNT34:DNT98 DDX34:DDX98 CUB34:CUB98 CKF34:CKF98 CAJ34:CAJ98 BQN34:BQN98 BGR34:BGR98 AWV34:AWV98 AMZ34:AMZ98 ADD34:ADD98 TH34:TH98 JL34:JL98">
      <formula1>PROBAB</formula1>
    </dataValidation>
    <dataValidation type="list" allowBlank="1" showInputMessage="1" showErrorMessage="1" sqref="R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R18:R19 JM18:JM19 TI18:TI19 ADE18:ADE19 ANA18:ANA19 AWW18:AWW19 BGS18:BGS19 BQO18:BQO19 CAK18:CAK19 CKG18:CKG19 CUC18:CUC19 DDY18:DDY19 DNU18:DNU19 DXQ18:DXQ19 EHM18:EHM19 ERI18:ERI19 FBE18:FBE19 FLA18:FLA19 FUW18:FUW19 GES18:GES19 GOO18:GOO19 GYK18:GYK19 HIG18:HIG19 HSC18:HSC19 IBY18:IBY19 ILU18:ILU19 IVQ18:IVQ19 JFM18:JFM19 JPI18:JPI19 JZE18:JZE19 KJA18:KJA19 KSW18:KSW19 LCS18:LCS19 LMO18:LMO19 LWK18:LWK19 MGG18:MGG19 MQC18:MQC19 MZY18:MZY19 NJU18:NJU19 NTQ18:NTQ19 ODM18:ODM19 ONI18:ONI19 OXE18:OXE19 PHA18:PHA19 PQW18:PQW19 QAS18:QAS19 QKO18:QKO19 QUK18:QUK19 REG18:REG19 ROC18:ROC19 RXY18:RXY19 SHU18:SHU19 SRQ18:SRQ19 TBM18:TBM19 TLI18:TLI19 TVE18:TVE19 UFA18:UFA19 UOW18:UOW19 UYS18:UYS19 VIO18:VIO19 VSK18:VSK19 WCG18:WCG19 WMC18:WMC19 WVY18:WVY19 R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R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R30:R31 JM30:JM31 TI30:TI31 ADE30:ADE31 ANA30:ANA31 AWW30:AWW31 BGS30:BGS31 BQO30:BQO31 CAK30:CAK31 CKG30:CKG31 CUC30:CUC31 DDY30:DDY31 DNU30:DNU31 DXQ30:DXQ31 EHM30:EHM31 ERI30:ERI31 FBE30:FBE31 FLA30:FLA31 FUW30:FUW31 GES30:GES31 GOO30:GOO31 GYK30:GYK31 HIG30:HIG31 HSC30:HSC31 IBY30:IBY31 ILU30:ILU31 IVQ30:IVQ31 JFM30:JFM31 JPI30:JPI31 JZE30:JZE31 KJA30:KJA31 KSW30:KSW31 LCS30:LCS31 LMO30:LMO31 LWK30:LWK31 MGG30:MGG31 MQC30:MQC31 MZY30:MZY31 NJU30:NJU31 NTQ30:NTQ31 ODM30:ODM31 ONI30:ONI31 OXE30:OXE31 PHA30:PHA31 PQW30:PQW31 QAS30:QAS31 QKO30:QKO31 QUK30:QUK31 REG30:REG31 ROC30:ROC31 RXY30:RXY31 SHU30:SHU31 SRQ30:SRQ31 TBM30:TBM31 TLI30:TLI31 TVE30:TVE31 UFA30:UFA31 UOW30:UOW31 UYS30:UYS31 VIO30:VIO31 VSK30:VSK31 WCG30:WCG31 WMC30:WMC31 WVY30:WVY31 WVY9:WVY10 JM9:JM10 TI9:TI10 ADE9:ADE10 ANA9:ANA10 AWW9:AWW10 BGS9:BGS10 BQO9:BQO10 CAK9:CAK10 CKG9:CKG10 CUC9:CUC10 DDY9:DDY10 DNU9:DNU10 DXQ9:DXQ10 EHM9:EHM10 ERI9:ERI10 FBE9:FBE10 FLA9:FLA10 FUW9:FUW10 GES9:GES10 GOO9:GOO10 GYK9:GYK10 HIG9:HIG10 HSC9:HSC10 IBY9:IBY10 ILU9:ILU10 IVQ9:IVQ10 JFM9:JFM10 JPI9:JPI10 JZE9:JZE10 KJA9:KJA10 KSW9:KSW10 LCS9:LCS10 LMO9:LMO10 LWK9:LWK10 MGG9:MGG10 MQC9:MQC10 MZY9:MZY10 NJU9:NJU10 NTQ9:NTQ10 ODM9:ODM10 ONI9:ONI10 OXE9:OXE10 PHA9:PHA10 PQW9:PQW10 QAS9:QAS10 QKO9:QKO10 QUK9:QUK10 REG9:REG10 ROC9:ROC10 RXY9:RXY10 SHU9:SHU10 SRQ9:SRQ10 TBM9:TBM10 TLI9:TLI10 TVE9:TVE10 UFA9:UFA10 UOW9:UOW10 UYS9:UYS10 VIO9:VIO10 VSK9:VSK10 WCG9:WCG10 WMC9:WMC10 R9:R10 WVY34:WVY98 R34:R98 WMC34:WMC98 WCG34:WCG98 VSK34:VSK98 VIO34:VIO98 UYS34:UYS98 UOW34:UOW98 UFA34:UFA98 TVE34:TVE98 TLI34:TLI98 TBM34:TBM98 SRQ34:SRQ98 SHU34:SHU98 RXY34:RXY98 ROC34:ROC98 REG34:REG98 QUK34:QUK98 QKO34:QKO98 QAS34:QAS98 PQW34:PQW98 PHA34:PHA98 OXE34:OXE98 ONI34:ONI98 ODM34:ODM98 NTQ34:NTQ98 NJU34:NJU98 MZY34:MZY98 MQC34:MQC98 MGG34:MGG98 LWK34:LWK98 LMO34:LMO98 LCS34:LCS98 KSW34:KSW98 KJA34:KJA98 JZE34:JZE98 JPI34:JPI98 JFM34:JFM98 IVQ34:IVQ98 ILU34:ILU98 IBY34:IBY98 HSC34:HSC98 HIG34:HIG98 GYK34:GYK98 GOO34:GOO98 GES34:GES98 FUW34:FUW98 FLA34:FLA98 FBE34:FBE98 ERI34:ERI98 EHM34:EHM98 DXQ34:DXQ98 DNU34:DNU98 DDY34:DDY98 CUC34:CUC98 CKG34:CKG98 CAK34:CAK98 BQO34:BQO98 BGS34:BGS98 AWW34:AWW98 ANA34:ANA98 ADE34:ADE98 TI34:TI98 JM34:JM98">
      <formula1>IMPACTO</formula1>
    </dataValidation>
    <dataValidation type="list" showInputMessage="1" showErrorMessage="1" errorTitle="Rechazado" error="Solo son validadas las opciones de la lista" sqref="AC12 JY12 TU12 ADQ12 ANM12 AXI12 BHE12 BRA12 CAW12 CKS12 CUO12 DEK12 DOG12 DYC12 EHY12 ERU12 FBQ12 FLM12 FVI12 GFE12 GPA12 GYW12 HIS12 HSO12 ICK12 IMG12 IWC12 JFY12 JPU12 JZQ12 KJM12 KTI12 LDE12 LNA12 LWW12 MGS12 MQO12 NAK12 NKG12 NUC12 ODY12 ONU12 OXQ12 PHM12 PRI12 QBE12 QLA12 QUW12 RES12 ROO12 RYK12 SIG12 SSC12 TBY12 TLU12 TVQ12 UFM12 UPI12 UZE12 VJA12 VSW12 WCS12 WMO12 WWK12 AC18:AC19 JY18:JY19 TU18:TU19 ADQ18:ADQ19 ANM18:ANM19 AXI18:AXI19 BHE18:BHE19 BRA18:BRA19 CAW18:CAW19 CKS18:CKS19 CUO18:CUO19 DEK18:DEK19 DOG18:DOG19 DYC18:DYC19 EHY18:EHY19 ERU18:ERU19 FBQ18:FBQ19 FLM18:FLM19 FVI18:FVI19 GFE18:GFE19 GPA18:GPA19 GYW18:GYW19 HIS18:HIS19 HSO18:HSO19 ICK18:ICK19 IMG18:IMG19 IWC18:IWC19 JFY18:JFY19 JPU18:JPU19 JZQ18:JZQ19 KJM18:KJM19 KTI18:KTI19 LDE18:LDE19 LNA18:LNA19 LWW18:LWW19 MGS18:MGS19 MQO18:MQO19 NAK18:NAK19 NKG18:NKG19 NUC18:NUC19 ODY18:ODY19 ONU18:ONU19 OXQ18:OXQ19 PHM18:PHM19 PRI18:PRI19 QBE18:QBE19 QLA18:QLA19 QUW18:QUW19 RES18:RES19 ROO18:ROO19 RYK18:RYK19 SIG18:SIG19 SSC18:SSC19 TBY18:TBY19 TLU18:TLU19 TVQ18:TVQ19 UFM18:UFM19 UPI18:UPI19 UZE18:UZE19 VJA18:VJA19 VSW18:VSW19 WCS18:WCS19 WMO18:WMO19 WWK18:WWK19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30:AC31 JY30:JY31 TU30:TU31 ADQ30:ADQ31 ANM30:ANM31 AXI30:AXI31 BHE30:BHE31 BRA30:BRA31 CAW30:CAW31 CKS30:CKS31 CUO30:CUO31 DEK30:DEK31 DOG30:DOG31 DYC30:DYC31 EHY30:EHY31 ERU30:ERU31 FBQ30:FBQ31 FLM30:FLM31 FVI30:FVI31 GFE30:GFE31 GPA30:GPA31 GYW30:GYW31 HIS30:HIS31 HSO30:HSO31 ICK30:ICK31 IMG30:IMG31 IWC30:IWC31 JFY30:JFY31 JPU30:JPU31 JZQ30:JZQ31 KJM30:KJM31 KTI30:KTI31 LDE30:LDE31 LNA30:LNA31 LWW30:LWW31 MGS30:MGS31 MQO30:MQO31 NAK30:NAK31 NKG30:NKG31 NUC30:NUC31 ODY30:ODY31 ONU30:ONU31 OXQ30:OXQ31 PHM30:PHM31 PRI30:PRI31 QBE30:QBE31 QLA30:QLA31 QUW30:QUW31 RES30:RES31 ROO30:ROO31 RYK30:RYK31 SIG30:SIG31 SSC30:SSC31 TBY30:TBY31 TLU30:TLU31 TVQ30:TVQ31 UFM30:UFM31 UPI30:UPI31 UZE30:UZE31 VJA30:VJA31 VSW30:VSW31 WCS30:WCS31 WMO30:WMO31 WWK30:WWK31 WWK9:WWK10 JY9:JY10 TU9:TU10 ADQ9:ADQ10 ANM9:ANM10 AXI9:AXI10 BHE9:BHE10 BRA9:BRA10 CAW9:CAW10 CKS9:CKS10 CUO9:CUO10 DEK9:DEK10 DOG9:DOG10 DYC9:DYC10 EHY9:EHY10 ERU9:ERU10 FBQ9:FBQ10 FLM9:FLM10 FVI9:FVI10 GFE9:GFE10 GPA9:GPA10 GYW9:GYW10 HIS9:HIS10 HSO9:HSO10 ICK9:ICK10 IMG9:IMG10 IWC9:IWC10 JFY9:JFY10 JPU9:JPU10 JZQ9:JZQ10 KJM9:KJM10 KTI9:KTI10 LDE9:LDE10 LNA9:LNA10 LWW9:LWW10 MGS9:MGS10 MQO9:MQO10 NAK9:NAK10 NKG9:NKG10 NUC9:NUC10 ODY9:ODY10 ONU9:ONU10 OXQ9:OXQ10 PHM9:PHM10 PRI9:PRI10 QBE9:QBE10 QLA9:QLA10 QUW9:QUW10 RES9:RES10 ROO9:ROO10 RYK9:RYK10 SIG9:SIG10 SSC9:SSC10 TBY9:TBY10 TLU9:TLU10 TVQ9:TVQ10 UFM9:UFM10 UPI9:UPI10 UZE9:UZE10 VJA9:VJA10 VSW9:VSW10 WCS9:WCS10 WMO9:WMO10 AC9:AC10 WWK34:WWK98 AC34:AC98 WMO34:WMO98 WCS34:WCS98 VSW34:VSW98 VJA34:VJA98 UZE34:UZE98 UPI34:UPI98 UFM34:UFM98 TVQ34:TVQ98 TLU34:TLU98 TBY34:TBY98 SSC34:SSC98 SIG34:SIG98 RYK34:RYK98 ROO34:ROO98 RES34:RES98 QUW34:QUW98 QLA34:QLA98 QBE34:QBE98 PRI34:PRI98 PHM34:PHM98 OXQ34:OXQ98 ONU34:ONU98 ODY34:ODY98 NUC34:NUC98 NKG34:NKG98 NAK34:NAK98 MQO34:MQO98 MGS34:MGS98 LWW34:LWW98 LNA34:LNA98 LDE34:LDE98 KTI34:KTI98 KJM34:KJM98 JZQ34:JZQ98 JPU34:JPU98 JFY34:JFY98 IWC34:IWC98 IMG34:IMG98 ICK34:ICK98 HSO34:HSO98 HIS34:HIS98 GYW34:GYW98 GPA34:GPA98 GFE34:GFE98 FVI34:FVI98 FLM34:FLM98 FBQ34:FBQ98 ERU34:ERU98 EHY34:EHY98 DYC34:DYC98 DOG34:DOG98 DEK34:DEK98 CUO34:CUO98 CKS34:CKS98 CAW34:CAW98 BRA34:BRA98 BHE34:BHE98 AXI34:AXI98 ANM34:ANM98 ADQ34:ADQ98 TU34:TU98 JY34:JY98">
      <formula1>Efecto</formula1>
    </dataValidation>
    <dataValidation showInputMessage="1" showErrorMessage="1" sqref="AE12:AI12 KA12:KE12 TW12:UA12 ADS12:ADW12 ANO12:ANS12 AXK12:AXO12 BHG12:BHK12 BRC12:BRG12 CAY12:CBC12 CKU12:CKY12 CUQ12:CUU12 DEM12:DEQ12 DOI12:DOM12 DYE12:DYI12 EIA12:EIE12 ERW12:ESA12 FBS12:FBW12 FLO12:FLS12 FVK12:FVO12 GFG12:GFK12 GPC12:GPG12 GYY12:GZC12 HIU12:HIY12 HSQ12:HSU12 ICM12:ICQ12 IMI12:IMM12 IWE12:IWI12 JGA12:JGE12 JPW12:JQA12 JZS12:JZW12 KJO12:KJS12 KTK12:KTO12 LDG12:LDK12 LNC12:LNG12 LWY12:LXC12 MGU12:MGY12 MQQ12:MQU12 NAM12:NAQ12 NKI12:NKM12 NUE12:NUI12 OEA12:OEE12 ONW12:OOA12 OXS12:OXW12 PHO12:PHS12 PRK12:PRO12 QBG12:QBK12 QLC12:QLG12 QUY12:QVC12 REU12:REY12 ROQ12:ROU12 RYM12:RYQ12 SII12:SIM12 SSE12:SSI12 TCA12:TCE12 TLW12:TMA12 TVS12:TVW12 UFO12:UFS12 UPK12:UPO12 UZG12:UZK12 VJC12:VJG12 VSY12:VTC12 WCU12:WCY12 WMQ12:WMU12 WWM12:WWQ12 AE18:AI19 KA18:KE19 TW18:UA19 ADS18:ADW19 ANO18:ANS19 AXK18:AXO19 BHG18:BHK19 BRC18:BRG19 CAY18:CBC19 CKU18:CKY19 CUQ18:CUU19 DEM18:DEQ19 DOI18:DOM19 DYE18:DYI19 EIA18:EIE19 ERW18:ESA19 FBS18:FBW19 FLO18:FLS19 FVK18:FVO19 GFG18:GFK19 GPC18:GPG19 GYY18:GZC19 HIU18:HIY19 HSQ18:HSU19 ICM18:ICQ19 IMI18:IMM19 IWE18:IWI19 JGA18:JGE19 JPW18:JQA19 JZS18:JZW19 KJO18:KJS19 KTK18:KTO19 LDG18:LDK19 LNC18:LNG19 LWY18:LXC19 MGU18:MGY19 MQQ18:MQU19 NAM18:NAQ19 NKI18:NKM19 NUE18:NUI19 OEA18:OEE19 ONW18:OOA19 OXS18:OXW19 PHO18:PHS19 PRK18:PRO19 QBG18:QBK19 QLC18:QLG19 QUY18:QVC19 REU18:REY19 ROQ18:ROU19 RYM18:RYQ19 SII18:SIM19 SSE18:SSI19 TCA18:TCE19 TLW18:TMA19 TVS18:TVW19 UFO18:UFS19 UPK18:UPO19 UZG18:UZK19 VJC18:VJG19 VSY18:VTC19 WCU18:WCY19 WMQ18:WMU19 WWM18:WWQ19 AE22:AI22 KA22:KE22 TW22:UA22 ADS22:ADW22 ANO22:ANS22 AXK22:AXO22 BHG22:BHK22 BRC22:BRG22 CAY22:CBC22 CKU22:CKY22 CUQ22:CUU22 DEM22:DEQ22 DOI22:DOM22 DYE22:DYI22 EIA22:EIE22 ERW22:ESA22 FBS22:FBW22 FLO22:FLS22 FVK22:FVO22 GFG22:GFK22 GPC22:GPG22 GYY22:GZC22 HIU22:HIY22 HSQ22:HSU22 ICM22:ICQ22 IMI22:IMM22 IWE22:IWI22 JGA22:JGE22 JPW22:JQA22 JZS22:JZW22 KJO22:KJS22 KTK22:KTO22 LDG22:LDK22 LNC22:LNG22 LWY22:LXC22 MGU22:MGY22 MQQ22:MQU22 NAM22:NAQ22 NKI22:NKM22 NUE22:NUI22 OEA22:OEE22 ONW22:OOA22 OXS22:OXW22 PHO22:PHS22 PRK22:PRO22 QBG22:QBK22 QLC22:QLG22 QUY22:QVC22 REU22:REY22 ROQ22:ROU22 RYM22:RYQ22 SII22:SIM22 SSE22:SSI22 TCA22:TCE22 TLW22:TMA22 TVS22:TVW22 UFO22:UFS22 UPK22:UPO22 UZG22:UZK22 VJC22:VJG22 VSY22:VTC22 WCU22:WCY22 WMQ22:WMU22 WWM22:WWQ22 AE25:AI25 KA25:KE25 TW25:UA25 ADS25:ADW25 ANO25:ANS25 AXK25:AXO25 BHG25:BHK25 BRC25:BRG25 CAY25:CBC25 CKU25:CKY25 CUQ25:CUU25 DEM25:DEQ25 DOI25:DOM25 DYE25:DYI25 EIA25:EIE25 ERW25:ESA25 FBS25:FBW25 FLO25:FLS25 FVK25:FVO25 GFG25:GFK25 GPC25:GPG25 GYY25:GZC25 HIU25:HIY25 HSQ25:HSU25 ICM25:ICQ25 IMI25:IMM25 IWE25:IWI25 JGA25:JGE25 JPW25:JQA25 JZS25:JZW25 KJO25:KJS25 KTK25:KTO25 LDG25:LDK25 LNC25:LNG25 LWY25:LXC25 MGU25:MGY25 MQQ25:MQU25 NAM25:NAQ25 NKI25:NKM25 NUE25:NUI25 OEA25:OEE25 ONW25:OOA25 OXS25:OXW25 PHO25:PHS25 PRK25:PRO25 QBG25:QBK25 QLC25:QLG25 QUY25:QVC25 REU25:REY25 ROQ25:ROU25 RYM25:RYQ25 SII25:SIM25 SSE25:SSI25 TCA25:TCE25 TLW25:TMA25 TVS25:TVW25 UFO25:UFS25 UPK25:UPO25 UZG25:UZK25 VJC25:VJG25 VSY25:VTC25 WCU25:WCY25 WMQ25:WMU25 WWM25:WWQ25 AE30:AI31 KA30:KE31 TW30:UA31 ADS30:ADW31 ANO30:ANS31 AXK30:AXO31 BHG30:BHK31 BRC30:BRG31 CAY30:CBC31 CKU30:CKY31 CUQ30:CUU31 DEM30:DEQ31 DOI30:DOM31 DYE30:DYI31 EIA30:EIE31 ERW30:ESA31 FBS30:FBW31 FLO30:FLS31 FVK30:FVO31 GFG30:GFK31 GPC30:GPG31 GYY30:GZC31 HIU30:HIY31 HSQ30:HSU31 ICM30:ICQ31 IMI30:IMM31 IWE30:IWI31 JGA30:JGE31 JPW30:JQA31 JZS30:JZW31 KJO30:KJS31 KTK30:KTO31 LDG30:LDK31 LNC30:LNG31 LWY30:LXC31 MGU30:MGY31 MQQ30:MQU31 NAM30:NAQ31 NKI30:NKM31 NUE30:NUI31 OEA30:OEE31 ONW30:OOA31 OXS30:OXW31 PHO30:PHS31 PRK30:PRO31 QBG30:QBK31 QLC30:QLG31 QUY30:QVC31 REU30:REY31 ROQ30:ROU31 RYM30:RYQ31 SII30:SIM31 SSE30:SSI31 TCA30:TCE31 TLW30:TMA31 TVS30:TVW31 UFO30:UFS31 UPK30:UPO31 UZG30:UZK31 VJC30:VJG31 VSY30:VTC31 WCU30:WCY31 WMQ30:WMU31 WWM30:WWQ31 WWM9:WWQ10 KA9:KE10 TW9:UA10 ADS9:ADW10 ANO9:ANS10 AXK9:AXO10 BHG9:BHK10 BRC9:BRG10 CAY9:CBC10 CKU9:CKY10 CUQ9:CUU10 DEM9:DEQ10 DOI9:DOM10 DYE9:DYI10 EIA9:EIE10 ERW9:ESA10 FBS9:FBW10 FLO9:FLS10 FVK9:FVO10 GFG9:GFK10 GPC9:GPG10 GYY9:GZC10 HIU9:HIY10 HSQ9:HSU10 ICM9:ICQ10 IMI9:IMM10 IWE9:IWI10 JGA9:JGE10 JPW9:JQA10 JZS9:JZW10 KJO9:KJS10 KTK9:KTO10 LDG9:LDK10 LNC9:LNG10 LWY9:LXC10 MGU9:MGY10 MQQ9:MQU10 NAM9:NAQ10 NKI9:NKM10 NUE9:NUI10 OEA9:OEE10 ONW9:OOA10 OXS9:OXW10 PHO9:PHS10 PRK9:PRO10 QBG9:QBK10 QLC9:QLG10 QUY9:QVC10 REU9:REY10 ROQ9:ROU10 RYM9:RYQ10 SII9:SIM10 SSE9:SSI10 TCA9:TCE10 TLW9:TMA10 TVS9:TVW10 UFO9:UFS10 UPK9:UPO10 UZG9:UZK10 VJC9:VJG10 VSY9:VTC10 WCU9:WCY10 WMQ9:WMU10 AE9:AI10 WWM34:WWQ98 AE34:AI98 WMQ34:WMU98 WCU34:WCY98 VSY34:VTC98 VJC34:VJG98 UZG34:UZK98 UPK34:UPO98 UFO34:UFS98 TVS34:TVW98 TLW34:TMA98 TCA34:TCE98 SSE34:SSI98 SII34:SIM98 RYM34:RYQ98 ROQ34:ROU98 REU34:REY98 QUY34:QVC98 QLC34:QLG98 QBG34:QBK98 PRK34:PRO98 PHO34:PHS98 OXS34:OXW98 ONW34:OOA98 OEA34:OEE98 NUE34:NUI98 NKI34:NKM98 NAM34:NAQ98 MQQ34:MQU98 MGU34:MGY98 LWY34:LXC98 LNC34:LNG98 LDG34:LDK98 KTK34:KTO98 KJO34:KJS98 JZS34:JZW98 JPW34:JQA98 JGA34:JGE98 IWE34:IWI98 IMI34:IMM98 ICM34:ICQ98 HSQ34:HSU98 HIU34:HIY98 GYY34:GZC98 GPC34:GPG98 GFG34:GFK98 FVK34:FVO98 FLO34:FLS98 FBS34:FBW98 ERW34:ESA98 EIA34:EIE98 DYE34:DYI98 DOI34:DOM98 DEM34:DEQ98 CUQ34:CUU98 CKU34:CKY98 CAY34:CBC98 BRC34:BRG98 BHG34:BHK98 AXK34:AXO98 ANO34:ANS98 ADS34:ADW98 TW34:UA98 KA34:KE98"/>
    <dataValidation type="whole" allowBlank="1" showInputMessage="1" showErrorMessage="1" sqref="AB12 JX12 TT12 ADP12 ANL12 AXH12 BHD12 BQZ12 CAV12 CKR12 CUN12 DEJ12 DOF12 DYB12 EHX12 ERT12 FBP12 FLL12 FVH12 GFD12 GOZ12 GYV12 HIR12 HSN12 ICJ12 IMF12 IWB12 JFX12 JPT12 JZP12 KJL12 KTH12 LDD12 LMZ12 LWV12 MGR12 MQN12 NAJ12 NKF12 NUB12 ODX12 ONT12 OXP12 PHL12 PRH12 QBD12 QKZ12 QUV12 RER12 RON12 RYJ12 SIF12 SSB12 TBX12 TLT12 TVP12 UFL12 UPH12 UZD12 VIZ12 VSV12 WCR12 WMN12 WWJ12 AB18:AB19 JX18:JX19 TT18:TT19 ADP18:ADP19 ANL18:ANL19 AXH18:AXH19 BHD18:BHD19 BQZ18:BQZ19 CAV18:CAV19 CKR18:CKR19 CUN18:CUN19 DEJ18:DEJ19 DOF18:DOF19 DYB18:DYB19 EHX18:EHX19 ERT18:ERT19 FBP18:FBP19 FLL18:FLL19 FVH18:FVH19 GFD18:GFD19 GOZ18:GOZ19 GYV18:GYV19 HIR18:HIR19 HSN18:HSN19 ICJ18:ICJ19 IMF18:IMF19 IWB18:IWB19 JFX18:JFX19 JPT18:JPT19 JZP18:JZP19 KJL18:KJL19 KTH18:KTH19 LDD18:LDD19 LMZ18:LMZ19 LWV18:LWV19 MGR18:MGR19 MQN18:MQN19 NAJ18:NAJ19 NKF18:NKF19 NUB18:NUB19 ODX18:ODX19 ONT18:ONT19 OXP18:OXP19 PHL18:PHL19 PRH18:PRH19 QBD18:QBD19 QKZ18:QKZ19 QUV18:QUV19 RER18:RER19 RON18:RON19 RYJ18:RYJ19 SIF18:SIF19 SSB18:SSB19 TBX18:TBX19 TLT18:TLT19 TVP18:TVP19 UFL18:UFL19 UPH18:UPH19 UZD18:UZD19 VIZ18:VIZ19 VSV18:VSV19 WCR18:WCR19 WMN18:WMN19 WWJ18:WWJ19 AB22 JX22 TT22 ADP22 ANL22 AXH22 BHD22 BQZ22 CAV22 CKR22 CUN22 DEJ22 DOF22 DYB22 EHX22 ERT22 FBP22 FLL22 FVH22 GFD22 GOZ22 GYV22 HIR22 HSN22 ICJ22 IMF22 IWB22 JFX22 JPT22 JZP22 KJL22 KTH22 LDD22 LMZ22 LWV22 MGR22 MQN22 NAJ22 NKF22 NUB22 ODX22 ONT22 OXP22 PHL22 PRH22 QBD22 QKZ22 QUV22 RER22 RON22 RYJ22 SIF22 SSB22 TBX22 TLT22 TVP22 UFL22 UPH22 UZD22 VIZ22 VSV22 WCR22 WMN22 WWJ22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30:AB31 JX30:JX31 TT30:TT31 ADP30:ADP31 ANL30:ANL31 AXH30:AXH31 BHD30:BHD31 BQZ30:BQZ31 CAV30:CAV31 CKR30:CKR31 CUN30:CUN31 DEJ30:DEJ31 DOF30:DOF31 DYB30:DYB31 EHX30:EHX31 ERT30:ERT31 FBP30:FBP31 FLL30:FLL31 FVH30:FVH31 GFD30:GFD31 GOZ30:GOZ31 GYV30:GYV31 HIR30:HIR31 HSN30:HSN31 ICJ30:ICJ31 IMF30:IMF31 IWB30:IWB31 JFX30:JFX31 JPT30:JPT31 JZP30:JZP31 KJL30:KJL31 KTH30:KTH31 LDD30:LDD31 LMZ30:LMZ31 LWV30:LWV31 MGR30:MGR31 MQN30:MQN31 NAJ30:NAJ31 NKF30:NKF31 NUB30:NUB31 ODX30:ODX31 ONT30:ONT31 OXP30:OXP31 PHL30:PHL31 PRH30:PRH31 QBD30:QBD31 QKZ30:QKZ31 QUV30:QUV31 RER30:RER31 RON30:RON31 RYJ30:RYJ31 SIF30:SIF31 SSB30:SSB31 TBX30:TBX31 TLT30:TLT31 TVP30:TVP31 UFL30:UFL31 UPH30:UPH31 UZD30:UZD31 VIZ30:VIZ31 VSV30:VSV31 WCR30:WCR31 WMN30:WMN31 WWJ30:WWJ31 WWJ9:WWJ10 JX9:JX10 TT9:TT10 ADP9:ADP10 ANL9:ANL10 AXH9:AXH10 BHD9:BHD10 BQZ9:BQZ10 CAV9:CAV10 CKR9:CKR10 CUN9:CUN10 DEJ9:DEJ10 DOF9:DOF10 DYB9:DYB10 EHX9:EHX10 ERT9:ERT10 FBP9:FBP10 FLL9:FLL10 FVH9:FVH10 GFD9:GFD10 GOZ9:GOZ10 GYV9:GYV10 HIR9:HIR10 HSN9:HSN10 ICJ9:ICJ10 IMF9:IMF10 IWB9:IWB10 JFX9:JFX10 JPT9:JPT10 JZP9:JZP10 KJL9:KJL10 KTH9:KTH10 LDD9:LDD10 LMZ9:LMZ10 LWV9:LWV10 MGR9:MGR10 MQN9:MQN10 NAJ9:NAJ10 NKF9:NKF10 NUB9:NUB10 ODX9:ODX10 ONT9:ONT10 OXP9:OXP10 PHL9:PHL10 PRH9:PRH10 QBD9:QBD10 QKZ9:QKZ10 QUV9:QUV10 RER9:RER10 RON9:RON10 RYJ9:RYJ10 SIF9:SIF10 SSB9:SSB10 TBX9:TBX10 TLT9:TLT10 TVP9:TVP10 UFL9:UFL10 UPH9:UPH10 UZD9:UZD10 VIZ9:VIZ10 VSV9:VSV10 WCR9:WCR10 WMN9:WMN10 AB9:AB10 WWJ34:WWJ98 AB34:AB98 WMN34:WMN98 WCR34:WCR98 VSV34:VSV98 VIZ34:VIZ98 UZD34:UZD98 UPH34:UPH98 UFL34:UFL98 TVP34:TVP98 TLT34:TLT98 TBX34:TBX98 SSB34:SSB98 SIF34:SIF98 RYJ34:RYJ98 RON34:RON98 RER34:RER98 QUV34:QUV98 QKZ34:QKZ98 QBD34:QBD98 PRH34:PRH98 PHL34:PHL98 OXP34:OXP98 ONT34:ONT98 ODX34:ODX98 NUB34:NUB98 NKF34:NKF98 NAJ34:NAJ98 MQN34:MQN98 MGR34:MGR98 LWV34:LWV98 LMZ34:LMZ98 LDD34:LDD98 KTH34:KTH98 KJL34:KJL98 JZP34:JZP98 JPT34:JPT98 JFX34:JFX98 IWB34:IWB98 IMF34:IMF98 ICJ34:ICJ98 HSN34:HSN98 HIR34:HIR98 GYV34:GYV98 GOZ34:GOZ98 GFD34:GFD98 FVH34:FVH98 FLL34:FLL98 FBP34:FBP98 ERT34:ERT98 EHX34:EHX98 DYB34:DYB98 DOF34:DOF98 DEJ34:DEJ98 CUN34:CUN98 CKR34:CKR98 CAV34:CAV98 BQZ34:BQZ98 BHD34:BHD98 AXH34:AXH98 ANL34:ANL98 ADP34:ADP98 TT34:TT98 JX34:JX98">
      <formula1>0</formula1>
      <formula2>100</formula2>
    </dataValidation>
  </dataValidations>
  <printOptions horizontalCentered="1"/>
  <pageMargins left="0" right="0" top="0.39370078740157483" bottom="0.39370078740157483" header="0.51181102362204722" footer="0.27559055118110237"/>
  <pageSetup scale="30" firstPageNumber="0" fitToHeight="0" orientation="landscape" r:id="rId1"/>
  <headerFooter>
    <oddFooter>&amp;L&amp;9Formato: FO-AC-07 Versión: 3&amp;C&amp;9Página &amp;P</oddFooter>
  </headerFooter>
  <rowBreaks count="4" manualBreakCount="4">
    <brk id="18" max="46" man="1"/>
    <brk id="21" max="46" man="1"/>
    <brk id="24" max="46" man="1"/>
    <brk id="29" max="46"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M160"/>
  <sheetViews>
    <sheetView view="pageBreakPreview" zoomScale="106" zoomScaleNormal="80" zoomScaleSheetLayoutView="106" zoomScalePageLayoutView="95" workbookViewId="0">
      <pane xSplit="5" ySplit="8" topLeftCell="F9" activePane="bottomRight" state="frozen"/>
      <selection pane="topRight" activeCell="F1" sqref="F1"/>
      <selection pane="bottomLeft" activeCell="A9" sqref="A9"/>
      <selection pane="bottomRight"/>
    </sheetView>
  </sheetViews>
  <sheetFormatPr baseColWidth="10" defaultRowHeight="12.75"/>
  <cols>
    <col min="1" max="1" width="11" style="235" customWidth="1"/>
    <col min="2" max="2" width="2.7109375" style="235" customWidth="1"/>
    <col min="3" max="3" width="6.5703125" style="235" customWidth="1"/>
    <col min="4" max="4" width="0.7109375" style="235" customWidth="1"/>
    <col min="5" max="5" width="4.28515625" style="235" customWidth="1"/>
    <col min="6" max="6" width="8.7109375" style="235" customWidth="1"/>
    <col min="7" max="8" width="8.42578125" style="235" customWidth="1"/>
    <col min="9" max="9" width="6.7109375" style="235" customWidth="1"/>
    <col min="10" max="10" width="2.5703125" style="235" customWidth="1"/>
    <col min="11" max="11" width="9.5703125" style="235" customWidth="1"/>
    <col min="12" max="12" width="4.140625" style="235" customWidth="1"/>
    <col min="13" max="13" width="4" style="235" customWidth="1"/>
    <col min="14" max="15" width="3.7109375" style="235" customWidth="1"/>
    <col min="16" max="16" width="3.5703125" style="235" customWidth="1"/>
    <col min="17" max="17" width="2.85546875" style="235" customWidth="1"/>
    <col min="18" max="18" width="3" style="235" customWidth="1"/>
    <col min="19" max="21" width="0" style="235" hidden="1" customWidth="1"/>
    <col min="22" max="22" width="4.42578125" style="235" customWidth="1"/>
    <col min="23" max="23" width="0" style="235" hidden="1" customWidth="1"/>
    <col min="24" max="25" width="14.28515625" style="235" customWidth="1"/>
    <col min="26" max="26" width="35.28515625" style="235" customWidth="1"/>
    <col min="27" max="27" width="22.85546875" style="1126" customWidth="1"/>
    <col min="28" max="28" width="5.7109375" style="235" customWidth="1"/>
    <col min="29" max="29" width="18.85546875" style="235" customWidth="1"/>
    <col min="30" max="30" width="4.140625" style="235" customWidth="1"/>
    <col min="31" max="31" width="3" style="235" customWidth="1"/>
    <col min="32" max="34" width="0" style="235" hidden="1" customWidth="1"/>
    <col min="35" max="35" width="3" style="235" customWidth="1"/>
    <col min="36" max="36" width="0" style="235" hidden="1" customWidth="1"/>
    <col min="37" max="37" width="3" style="235" customWidth="1"/>
    <col min="38" max="38" width="0" style="235" hidden="1" customWidth="1"/>
    <col min="39" max="39" width="4.42578125" style="235" customWidth="1"/>
    <col min="40" max="40" width="19.28515625" style="235" customWidth="1"/>
    <col min="41" max="41" width="14.7109375" style="235" customWidth="1"/>
    <col min="42" max="42" width="9.5703125" style="426" customWidth="1"/>
    <col min="43" max="43" width="10.5703125" style="235" customWidth="1"/>
    <col min="44" max="44" width="25.42578125" style="599" customWidth="1"/>
    <col min="45" max="45" width="8.42578125" style="1061" customWidth="1"/>
    <col min="46" max="46" width="100" style="235" customWidth="1"/>
    <col min="47" max="47" width="9.7109375" style="426" customWidth="1"/>
    <col min="48" max="48" width="8.5703125" style="235" customWidth="1"/>
    <col min="49" max="49" width="7.28515625" style="235" customWidth="1"/>
    <col min="50" max="50" width="11.7109375" style="426" customWidth="1"/>
    <col min="51" max="51" width="2.140625" style="235" customWidth="1"/>
    <col min="52"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11.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1260" t="s">
        <v>125</v>
      </c>
      <c r="AE1" s="1260"/>
      <c r="AF1" s="1260"/>
      <c r="AG1" s="1260"/>
      <c r="AH1" s="1260"/>
      <c r="AI1" s="1260"/>
      <c r="AJ1" s="1260"/>
      <c r="AK1" s="1260"/>
      <c r="AL1" s="1260"/>
      <c r="AM1" s="1260"/>
      <c r="AN1" s="1260"/>
      <c r="AP1" s="1247" t="s">
        <v>2320</v>
      </c>
      <c r="AQ1" s="1247"/>
      <c r="AR1" s="1247"/>
      <c r="AS1" s="1247"/>
      <c r="AT1" s="233"/>
      <c r="AV1" s="233"/>
      <c r="AW1" s="1246"/>
      <c r="AX1" s="1246"/>
      <c r="AY1" s="233"/>
    </row>
    <row r="2" spans="1:1027" ht="14.25" customHeight="1">
      <c r="A2" s="237" t="s">
        <v>2348</v>
      </c>
      <c r="B2" s="233"/>
      <c r="C2" s="233"/>
      <c r="D2" s="233"/>
      <c r="E2" s="233"/>
      <c r="F2" s="233"/>
      <c r="G2" s="1214" t="str">
        <f>UPPER([48]Control!A2)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1260"/>
      <c r="AE2" s="1260"/>
      <c r="AF2" s="1260"/>
      <c r="AG2" s="1260"/>
      <c r="AH2" s="1260"/>
      <c r="AI2" s="1260"/>
      <c r="AJ2" s="1260"/>
      <c r="AK2" s="1260"/>
      <c r="AL2" s="1260"/>
      <c r="AM2" s="1260"/>
      <c r="AN2" s="1260"/>
      <c r="AP2" s="1268" t="s">
        <v>138</v>
      </c>
      <c r="AQ2" s="1269"/>
      <c r="AR2" s="1433" t="str">
        <f>AD1</f>
        <v>CONSERVACIÓN DE INFRAESTRUCTURA</v>
      </c>
      <c r="AS2" s="1434"/>
      <c r="AT2" s="233"/>
      <c r="AV2" s="233"/>
      <c r="AW2" s="1246"/>
      <c r="AX2" s="1246"/>
      <c r="AY2" s="233"/>
    </row>
    <row r="3" spans="1:1027" ht="11.25" customHeight="1">
      <c r="A3" s="1435">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1207">
        <v>43446</v>
      </c>
      <c r="AA3" s="1208"/>
      <c r="AB3" s="1209"/>
      <c r="AC3" s="1259" t="s">
        <v>2349</v>
      </c>
      <c r="AD3" s="1261" t="s">
        <v>225</v>
      </c>
      <c r="AE3" s="1261"/>
      <c r="AF3" s="1261"/>
      <c r="AG3" s="1261"/>
      <c r="AH3" s="1261"/>
      <c r="AI3" s="1261"/>
      <c r="AJ3" s="1261"/>
      <c r="AK3" s="1261"/>
      <c r="AL3" s="1261"/>
      <c r="AM3" s="1261"/>
      <c r="AN3" s="1261"/>
      <c r="AP3" s="1265" t="s">
        <v>2322</v>
      </c>
      <c r="AQ3" s="1266"/>
      <c r="AR3" s="1266" t="s">
        <v>2323</v>
      </c>
      <c r="AS3" s="1267"/>
      <c r="AT3" s="233"/>
      <c r="AV3" s="233"/>
      <c r="AW3" s="1246"/>
      <c r="AX3" s="1246"/>
      <c r="AY3" s="233"/>
    </row>
    <row r="4" spans="1:1027" ht="14.25" customHeight="1" thickBot="1">
      <c r="A4" s="1435"/>
      <c r="B4" s="233"/>
      <c r="C4" s="233"/>
      <c r="D4" s="233"/>
      <c r="E4" s="233"/>
      <c r="F4" s="233"/>
      <c r="G4" s="1236" t="str">
        <f>[48]Control!A4</f>
        <v>FO-PE-06</v>
      </c>
      <c r="H4" s="1237"/>
      <c r="I4" s="1238" t="str">
        <f>[48]Control!C4</f>
        <v>Planeación Estratégica</v>
      </c>
      <c r="J4" s="1237"/>
      <c r="K4" s="1237"/>
      <c r="L4" s="1237"/>
      <c r="M4" s="1237"/>
      <c r="N4" s="1239"/>
      <c r="O4" s="1238">
        <f>[48]Control!H4</f>
        <v>5</v>
      </c>
      <c r="P4" s="1237"/>
      <c r="Q4" s="1237"/>
      <c r="R4" s="1237"/>
      <c r="S4" s="1237"/>
      <c r="T4" s="1237"/>
      <c r="U4" s="1237"/>
      <c r="V4" s="1239"/>
      <c r="W4" s="239"/>
      <c r="X4" s="1255"/>
      <c r="Y4" s="1256"/>
      <c r="Z4" s="1210"/>
      <c r="AA4" s="1211"/>
      <c r="AB4" s="1212"/>
      <c r="AC4" s="1259"/>
      <c r="AD4" s="1261"/>
      <c r="AE4" s="1261"/>
      <c r="AF4" s="1261"/>
      <c r="AG4" s="1261"/>
      <c r="AH4" s="1261"/>
      <c r="AI4" s="1261"/>
      <c r="AJ4" s="1261"/>
      <c r="AK4" s="1261"/>
      <c r="AL4" s="1261"/>
      <c r="AM4" s="1261"/>
      <c r="AN4" s="1261"/>
      <c r="AP4" s="1240">
        <v>43707</v>
      </c>
      <c r="AQ4" s="1241"/>
      <c r="AR4" s="1242" t="s">
        <v>4147</v>
      </c>
      <c r="AS4" s="1243"/>
      <c r="AT4" s="233"/>
      <c r="AV4" s="233"/>
      <c r="AW4" s="1246"/>
      <c r="AX4" s="1246"/>
      <c r="AY4" s="233"/>
    </row>
    <row r="5" spans="1:1027"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1"/>
      <c r="AB5" s="242"/>
      <c r="AC5" s="242"/>
      <c r="AD5" s="241"/>
      <c r="AE5" s="241"/>
      <c r="AF5" s="241"/>
      <c r="AG5" s="241"/>
      <c r="AH5" s="241"/>
      <c r="AI5" s="241"/>
      <c r="AJ5" s="241"/>
      <c r="AK5" s="241"/>
      <c r="AL5" s="241"/>
      <c r="AM5" s="240"/>
      <c r="AN5" s="240"/>
      <c r="AO5" s="240"/>
      <c r="AP5" s="295"/>
      <c r="AQ5" s="244"/>
      <c r="AR5" s="588"/>
      <c r="AS5" s="1057"/>
      <c r="AU5" s="295"/>
      <c r="AX5" s="295"/>
      <c r="AY5" s="245"/>
    </row>
    <row r="6" spans="1:1027" s="243" customFormat="1" ht="45" customHeight="1">
      <c r="A6" s="1818" t="s">
        <v>143</v>
      </c>
      <c r="B6" s="1819"/>
      <c r="C6" s="1819"/>
      <c r="D6" s="1819"/>
      <c r="E6" s="1819"/>
      <c r="F6" s="1819"/>
      <c r="G6" s="1819"/>
      <c r="H6" s="1819"/>
      <c r="I6" s="1819"/>
      <c r="J6" s="1819"/>
      <c r="K6" s="1819"/>
      <c r="L6" s="1819"/>
      <c r="M6" s="1819"/>
      <c r="N6" s="1819"/>
      <c r="O6" s="1819"/>
      <c r="P6" s="1820"/>
      <c r="Q6" s="1821" t="s">
        <v>1003</v>
      </c>
      <c r="R6" s="1822"/>
      <c r="S6" s="1822"/>
      <c r="T6" s="1822"/>
      <c r="U6" s="1822"/>
      <c r="V6" s="1823"/>
      <c r="W6" s="589"/>
      <c r="X6" s="1262" t="s">
        <v>2350</v>
      </c>
      <c r="Y6" s="1263"/>
      <c r="Z6" s="1263"/>
      <c r="AA6" s="1263"/>
      <c r="AB6" s="1263"/>
      <c r="AC6" s="1263"/>
      <c r="AD6" s="1263"/>
      <c r="AE6" s="1263"/>
      <c r="AF6" s="1263"/>
      <c r="AG6" s="1263"/>
      <c r="AH6" s="1263"/>
      <c r="AI6" s="1263"/>
      <c r="AJ6" s="1263"/>
      <c r="AK6" s="1263"/>
      <c r="AL6" s="1263"/>
      <c r="AM6" s="1264"/>
      <c r="AN6" s="1010" t="s">
        <v>268</v>
      </c>
      <c r="AO6" s="342"/>
      <c r="AP6" s="1058" t="s">
        <v>2325</v>
      </c>
      <c r="AQ6" s="248"/>
      <c r="AR6" s="590"/>
      <c r="AS6" s="1059"/>
      <c r="AT6" s="1816" t="s">
        <v>2326</v>
      </c>
      <c r="AU6" s="1816"/>
      <c r="AV6" s="1816"/>
      <c r="AW6" s="1816"/>
      <c r="AX6" s="1817"/>
      <c r="AY6" s="245"/>
    </row>
    <row r="7" spans="1:1027" s="243" customFormat="1" ht="39.6" customHeight="1">
      <c r="A7" s="1217" t="s">
        <v>1002</v>
      </c>
      <c r="B7" s="1218" t="s">
        <v>640</v>
      </c>
      <c r="C7" s="1217" t="s">
        <v>1001</v>
      </c>
      <c r="D7" s="1217"/>
      <c r="E7" s="1217"/>
      <c r="F7" s="1217" t="s">
        <v>1000</v>
      </c>
      <c r="G7" s="1217" t="s">
        <v>999</v>
      </c>
      <c r="H7" s="1217"/>
      <c r="I7" s="1217"/>
      <c r="J7" s="1217" t="s">
        <v>145</v>
      </c>
      <c r="K7" s="1217"/>
      <c r="L7" s="1217"/>
      <c r="M7" s="1217" t="s">
        <v>144</v>
      </c>
      <c r="N7" s="1217"/>
      <c r="O7" s="1217"/>
      <c r="P7" s="1217"/>
      <c r="Q7" s="1288" t="s">
        <v>637</v>
      </c>
      <c r="R7" s="1288"/>
      <c r="S7" s="1288"/>
      <c r="T7" s="1288"/>
      <c r="U7" s="1288"/>
      <c r="V7" s="1288"/>
      <c r="W7" s="251"/>
      <c r="X7" s="1217" t="s">
        <v>2351</v>
      </c>
      <c r="Y7" s="1217"/>
      <c r="Z7" s="1217"/>
      <c r="AA7" s="1284" t="s">
        <v>4175</v>
      </c>
      <c r="AB7" s="1217" t="s">
        <v>998</v>
      </c>
      <c r="AC7" s="1217" t="s">
        <v>641</v>
      </c>
      <c r="AD7" s="1218" t="s">
        <v>546</v>
      </c>
      <c r="AE7" s="1218" t="s">
        <v>638</v>
      </c>
      <c r="AF7" s="251"/>
      <c r="AG7" s="343"/>
      <c r="AH7" s="343"/>
      <c r="AI7" s="1288" t="s">
        <v>639</v>
      </c>
      <c r="AJ7" s="1288"/>
      <c r="AK7" s="1288"/>
      <c r="AL7" s="1288"/>
      <c r="AM7" s="1288"/>
      <c r="AN7" s="1935" t="s">
        <v>2327</v>
      </c>
      <c r="AO7" s="1431" t="s">
        <v>2328</v>
      </c>
      <c r="AP7" s="1934" t="s">
        <v>2353</v>
      </c>
      <c r="AQ7" s="1431" t="s">
        <v>2330</v>
      </c>
      <c r="AR7" s="1936" t="s">
        <v>2354</v>
      </c>
      <c r="AS7" s="1934" t="s">
        <v>2332</v>
      </c>
      <c r="AT7" s="1432" t="s">
        <v>2333</v>
      </c>
      <c r="AU7" s="1934" t="s">
        <v>2334</v>
      </c>
      <c r="AV7" s="1432" t="s">
        <v>2335</v>
      </c>
      <c r="AW7" s="1432" t="s">
        <v>2336</v>
      </c>
      <c r="AX7" s="1934" t="s">
        <v>2337</v>
      </c>
      <c r="AY7" s="245"/>
    </row>
    <row r="8" spans="1:1027" ht="12.75" customHeight="1">
      <c r="A8" s="1217"/>
      <c r="B8" s="1218"/>
      <c r="C8" s="1217"/>
      <c r="D8" s="1217"/>
      <c r="E8" s="1217"/>
      <c r="F8" s="1217"/>
      <c r="G8" s="1217"/>
      <c r="H8" s="1217"/>
      <c r="I8" s="1217"/>
      <c r="J8" s="1217"/>
      <c r="K8" s="1217"/>
      <c r="L8" s="1217"/>
      <c r="M8" s="254" t="s">
        <v>146</v>
      </c>
      <c r="N8" s="254" t="s">
        <v>997</v>
      </c>
      <c r="O8" s="254" t="s">
        <v>65</v>
      </c>
      <c r="P8" s="254" t="s">
        <v>996</v>
      </c>
      <c r="Q8" s="1011" t="s">
        <v>147</v>
      </c>
      <c r="R8" s="1011" t="s">
        <v>148</v>
      </c>
      <c r="S8" s="255"/>
      <c r="T8" s="255" t="s">
        <v>239</v>
      </c>
      <c r="U8" s="255" t="s">
        <v>242</v>
      </c>
      <c r="V8" s="1011" t="s">
        <v>149</v>
      </c>
      <c r="W8" s="256"/>
      <c r="X8" s="1217"/>
      <c r="Y8" s="1217"/>
      <c r="Z8" s="1217"/>
      <c r="AA8" s="1285"/>
      <c r="AB8" s="1217"/>
      <c r="AC8" s="1217"/>
      <c r="AD8" s="1218"/>
      <c r="AE8" s="1218"/>
      <c r="AF8" s="256"/>
      <c r="AG8" s="257" t="s">
        <v>642</v>
      </c>
      <c r="AH8" s="257" t="s">
        <v>264</v>
      </c>
      <c r="AI8" s="1011" t="s">
        <v>147</v>
      </c>
      <c r="AJ8" s="258" t="s">
        <v>265</v>
      </c>
      <c r="AK8" s="1011" t="s">
        <v>148</v>
      </c>
      <c r="AL8" s="255" t="s">
        <v>150</v>
      </c>
      <c r="AM8" s="1011" t="s">
        <v>150</v>
      </c>
      <c r="AN8" s="1935"/>
      <c r="AO8" s="1431"/>
      <c r="AP8" s="1934"/>
      <c r="AQ8" s="1432"/>
      <c r="AR8" s="1937"/>
      <c r="AS8" s="1934"/>
      <c r="AT8" s="1432"/>
      <c r="AU8" s="1934"/>
      <c r="AV8" s="1432"/>
      <c r="AW8" s="1432"/>
      <c r="AX8" s="1934"/>
      <c r="AY8" s="245"/>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382.15" customHeight="1">
      <c r="A9" s="1905" t="s">
        <v>2578</v>
      </c>
      <c r="B9" s="1909" t="s">
        <v>2048</v>
      </c>
      <c r="C9" s="1921" t="s">
        <v>2579</v>
      </c>
      <c r="D9" s="1921"/>
      <c r="E9" s="1921"/>
      <c r="F9" s="1909" t="s">
        <v>1492</v>
      </c>
      <c r="G9" s="1908" t="s">
        <v>2580</v>
      </c>
      <c r="H9" s="1908"/>
      <c r="I9" s="1908"/>
      <c r="J9" s="1905" t="s">
        <v>2581</v>
      </c>
      <c r="K9" s="1905"/>
      <c r="L9" s="1905"/>
      <c r="M9" s="1320" t="s">
        <v>8</v>
      </c>
      <c r="N9" s="1320">
        <v>1</v>
      </c>
      <c r="O9" s="1320"/>
      <c r="P9" s="1320" t="s">
        <v>8</v>
      </c>
      <c r="Q9" s="1909" t="s">
        <v>655</v>
      </c>
      <c r="R9" s="1909" t="s">
        <v>270</v>
      </c>
      <c r="S9" s="1028"/>
      <c r="T9" s="1029"/>
      <c r="U9" s="1029"/>
      <c r="V9" s="1909" t="str">
        <f>INDEX([76]Listas!$F$6:$J$10,MATCH(Q9,[76]Listas!$D$6:$D$10,0),MATCH(R9,[76]Listas!$F$4:$J$4,0))</f>
        <v>8
MODERADO</v>
      </c>
      <c r="W9" s="1028"/>
      <c r="X9" s="1924" t="s">
        <v>2582</v>
      </c>
      <c r="Y9" s="1924"/>
      <c r="Z9" s="1924"/>
      <c r="AA9" s="1911" t="s">
        <v>4013</v>
      </c>
      <c r="AB9" s="1356" t="s">
        <v>2583</v>
      </c>
      <c r="AC9" s="1905" t="s">
        <v>2584</v>
      </c>
      <c r="AD9" s="1320">
        <v>76</v>
      </c>
      <c r="AE9" s="1356" t="s">
        <v>152</v>
      </c>
      <c r="AF9" s="1028"/>
      <c r="AG9" s="1029"/>
      <c r="AH9" s="311"/>
      <c r="AI9" s="1930" t="str">
        <f>IF(AH9&lt;=1,"Remota",VLOOKUP(AH9,[77]Listas!$C$6:$D$10,2,0))</f>
        <v>Remota</v>
      </c>
      <c r="AJ9" s="591">
        <f>IF(OR(AE9="Impacto",AE9="Ambos"),U9-AG9,U9)</f>
        <v>0</v>
      </c>
      <c r="AK9" s="1930" t="str">
        <f>IF(AJ9&lt;=1,"Insignificante",HLOOKUP(AJ9,[77]Listas!$F$3:$J$4,2,0))</f>
        <v>Insignificante</v>
      </c>
      <c r="AL9" s="592">
        <f>AH9*AJ9</f>
        <v>0</v>
      </c>
      <c r="AM9" s="1930" t="str">
        <f>INDEX([77]Listas!$F$6:$J$10,MATCH(AI9,[77]Listas!$D$6:$D$10,0),MATCH(AK9,[77]Listas!$F$4:$J$4,0))</f>
        <v>1
INFERIOR</v>
      </c>
      <c r="AN9" s="1400" t="s">
        <v>3418</v>
      </c>
      <c r="AO9" s="1380" t="s">
        <v>2585</v>
      </c>
      <c r="AP9" s="1385" t="s">
        <v>4148</v>
      </c>
      <c r="AQ9" s="1385" t="s">
        <v>4149</v>
      </c>
      <c r="AR9" s="1381" t="s">
        <v>3419</v>
      </c>
      <c r="AS9" s="1385" t="s">
        <v>36</v>
      </c>
      <c r="AT9" s="1380"/>
      <c r="AU9" s="1385"/>
      <c r="AV9" s="1928"/>
      <c r="AW9" s="1928"/>
      <c r="AX9" s="1385"/>
      <c r="BG9" s="262"/>
      <c r="BH9" s="262"/>
      <c r="BI9" s="262"/>
      <c r="BJ9" s="262"/>
      <c r="BK9" s="262"/>
      <c r="BL9" s="262"/>
      <c r="BM9" s="262"/>
      <c r="BN9" s="262"/>
      <c r="BO9" s="262"/>
      <c r="BP9" s="262"/>
      <c r="BQ9" s="262"/>
      <c r="BR9" s="262"/>
      <c r="BS9" s="262"/>
    </row>
    <row r="10" spans="1:1027" s="260" customFormat="1" ht="207" customHeight="1">
      <c r="A10" s="1905"/>
      <c r="B10" s="1909"/>
      <c r="C10" s="1921"/>
      <c r="D10" s="1921"/>
      <c r="E10" s="1921"/>
      <c r="F10" s="1909"/>
      <c r="G10" s="1905" t="s">
        <v>2586</v>
      </c>
      <c r="H10" s="1905"/>
      <c r="I10" s="1905"/>
      <c r="J10" s="1905"/>
      <c r="K10" s="1905"/>
      <c r="L10" s="1905"/>
      <c r="M10" s="1320"/>
      <c r="N10" s="1320"/>
      <c r="O10" s="1320"/>
      <c r="P10" s="1320"/>
      <c r="Q10" s="1909"/>
      <c r="R10" s="1909"/>
      <c r="S10" s="1028"/>
      <c r="T10" s="1029"/>
      <c r="U10" s="1029"/>
      <c r="V10" s="1909" t="e">
        <f>INDEX([76]Listas!$F$6:$J$10,MATCH(Q10,[76]Listas!$D$6:$D$10,0),MATCH(R10,[76]Listas!$F$4:$J$4,0))</f>
        <v>#N/A</v>
      </c>
      <c r="W10" s="1028"/>
      <c r="X10" s="1929" t="s">
        <v>2587</v>
      </c>
      <c r="Y10" s="1929"/>
      <c r="Z10" s="1929"/>
      <c r="AA10" s="1916"/>
      <c r="AB10" s="1356"/>
      <c r="AC10" s="1905"/>
      <c r="AD10" s="1320"/>
      <c r="AE10" s="1356"/>
      <c r="AF10" s="1028"/>
      <c r="AG10" s="1029"/>
      <c r="AH10" s="311"/>
      <c r="AI10" s="1931"/>
      <c r="AJ10" s="311"/>
      <c r="AK10" s="1931"/>
      <c r="AL10" s="1027"/>
      <c r="AM10" s="1931"/>
      <c r="AN10" s="1400"/>
      <c r="AO10" s="1380"/>
      <c r="AP10" s="1385"/>
      <c r="AQ10" s="1385"/>
      <c r="AR10" s="1330"/>
      <c r="AS10" s="1385"/>
      <c r="AT10" s="1380"/>
      <c r="AU10" s="1385"/>
      <c r="AV10" s="1385"/>
      <c r="AW10" s="1385"/>
      <c r="AX10" s="1385"/>
      <c r="BG10" s="262"/>
      <c r="BH10" s="262"/>
      <c r="BI10" s="262"/>
      <c r="BJ10" s="262"/>
      <c r="BK10" s="262"/>
      <c r="BL10" s="262"/>
      <c r="BM10" s="262"/>
      <c r="BN10" s="262"/>
      <c r="BO10" s="262"/>
      <c r="BP10" s="262"/>
      <c r="BQ10" s="262"/>
      <c r="BR10" s="262"/>
      <c r="BS10" s="262"/>
    </row>
    <row r="11" spans="1:1027" s="260" customFormat="1" ht="195" customHeight="1">
      <c r="A11" s="1905"/>
      <c r="B11" s="1909"/>
      <c r="C11" s="1921"/>
      <c r="D11" s="1921"/>
      <c r="E11" s="1921"/>
      <c r="F11" s="1909"/>
      <c r="G11" s="1905" t="s">
        <v>2588</v>
      </c>
      <c r="H11" s="1905"/>
      <c r="I11" s="1905"/>
      <c r="J11" s="1905"/>
      <c r="K11" s="1905"/>
      <c r="L11" s="1905"/>
      <c r="M11" s="1320"/>
      <c r="N11" s="1320"/>
      <c r="O11" s="1320"/>
      <c r="P11" s="1320"/>
      <c r="Q11" s="1909"/>
      <c r="R11" s="1909"/>
      <c r="S11" s="1028"/>
      <c r="T11" s="1029"/>
      <c r="U11" s="1029"/>
      <c r="V11" s="1909" t="e">
        <f>INDEX([76]Listas!$F$6:$J$10,MATCH(Q11,[76]Listas!$D$6:$D$10,0),MATCH(R11,[76]Listas!$F$4:$J$4,0))</f>
        <v>#N/A</v>
      </c>
      <c r="W11" s="1028"/>
      <c r="X11" s="1929" t="s">
        <v>2589</v>
      </c>
      <c r="Y11" s="1929"/>
      <c r="Z11" s="1929"/>
      <c r="AA11" s="1916"/>
      <c r="AB11" s="1356"/>
      <c r="AC11" s="1905"/>
      <c r="AD11" s="1320"/>
      <c r="AE11" s="1356"/>
      <c r="AF11" s="1028"/>
      <c r="AG11" s="1029"/>
      <c r="AH11" s="311"/>
      <c r="AI11" s="1931"/>
      <c r="AJ11" s="311"/>
      <c r="AK11" s="1931"/>
      <c r="AL11" s="1027"/>
      <c r="AM11" s="1931"/>
      <c r="AN11" s="1400"/>
      <c r="AO11" s="1380"/>
      <c r="AP11" s="1385"/>
      <c r="AQ11" s="1385"/>
      <c r="AR11" s="1330"/>
      <c r="AS11" s="1385"/>
      <c r="AT11" s="1380"/>
      <c r="AU11" s="1385"/>
      <c r="AV11" s="1385"/>
      <c r="AW11" s="1385"/>
      <c r="AX11" s="1385"/>
      <c r="BG11" s="262"/>
      <c r="BH11" s="262"/>
      <c r="BI11" s="262"/>
      <c r="BJ11" s="262"/>
      <c r="BK11" s="262"/>
      <c r="BL11" s="262"/>
      <c r="BM11" s="262"/>
      <c r="BN11" s="262"/>
      <c r="BO11" s="262"/>
      <c r="BP11" s="262"/>
      <c r="BQ11" s="262"/>
      <c r="BR11" s="262"/>
      <c r="BS11" s="262"/>
    </row>
    <row r="12" spans="1:1027" s="260" customFormat="1" ht="91.9" customHeight="1">
      <c r="A12" s="1905"/>
      <c r="B12" s="1909"/>
      <c r="C12" s="1921"/>
      <c r="D12" s="1921"/>
      <c r="E12" s="1921"/>
      <c r="F12" s="1909"/>
      <c r="G12" s="1906" t="s">
        <v>2590</v>
      </c>
      <c r="H12" s="1906"/>
      <c r="I12" s="1906"/>
      <c r="J12" s="1905"/>
      <c r="K12" s="1905"/>
      <c r="L12" s="1905"/>
      <c r="M12" s="1320"/>
      <c r="N12" s="1320"/>
      <c r="O12" s="1320"/>
      <c r="P12" s="1320"/>
      <c r="Q12" s="1909"/>
      <c r="R12" s="1909"/>
      <c r="S12" s="1028"/>
      <c r="T12" s="1029"/>
      <c r="U12" s="1029"/>
      <c r="V12" s="1909" t="e">
        <f>INDEX([76]Listas!$F$6:$J$10,MATCH(Q12,[76]Listas!$D$6:$D$10,0),MATCH(R12,[76]Listas!$F$4:$J$4,0))</f>
        <v>#N/A</v>
      </c>
      <c r="W12" s="1028"/>
      <c r="X12" s="1908" t="s">
        <v>2591</v>
      </c>
      <c r="Y12" s="1908"/>
      <c r="Z12" s="1908"/>
      <c r="AA12" s="1916"/>
      <c r="AB12" s="1356"/>
      <c r="AC12" s="1905"/>
      <c r="AD12" s="1320"/>
      <c r="AE12" s="1356"/>
      <c r="AF12" s="1028"/>
      <c r="AG12" s="1029"/>
      <c r="AH12" s="311"/>
      <c r="AI12" s="1931"/>
      <c r="AJ12" s="311"/>
      <c r="AK12" s="1931"/>
      <c r="AL12" s="1027"/>
      <c r="AM12" s="1931"/>
      <c r="AN12" s="1400"/>
      <c r="AO12" s="1380"/>
      <c r="AP12" s="1385"/>
      <c r="AQ12" s="1385"/>
      <c r="AR12" s="1330"/>
      <c r="AS12" s="1385"/>
      <c r="AT12" s="1380"/>
      <c r="AU12" s="1385"/>
      <c r="AV12" s="1385"/>
      <c r="AW12" s="1385"/>
      <c r="AX12" s="1385"/>
      <c r="BG12" s="262"/>
      <c r="BH12" s="262"/>
      <c r="BI12" s="262"/>
      <c r="BJ12" s="262"/>
      <c r="BK12" s="262"/>
      <c r="BL12" s="262"/>
      <c r="BM12" s="262"/>
      <c r="BN12" s="262"/>
      <c r="BO12" s="262"/>
      <c r="BP12" s="262"/>
      <c r="BQ12" s="262"/>
      <c r="BR12" s="262"/>
      <c r="BS12" s="262"/>
    </row>
    <row r="13" spans="1:1027" s="260" customFormat="1" ht="47.45" customHeight="1">
      <c r="A13" s="1905"/>
      <c r="B13" s="1909"/>
      <c r="C13" s="1921"/>
      <c r="D13" s="1921"/>
      <c r="E13" s="1921"/>
      <c r="F13" s="1909"/>
      <c r="G13" s="1908" t="s">
        <v>2592</v>
      </c>
      <c r="H13" s="1908"/>
      <c r="I13" s="1908"/>
      <c r="J13" s="1905"/>
      <c r="K13" s="1905"/>
      <c r="L13" s="1905"/>
      <c r="M13" s="1320"/>
      <c r="N13" s="1320"/>
      <c r="O13" s="1320"/>
      <c r="P13" s="1320"/>
      <c r="Q13" s="1909"/>
      <c r="R13" s="1909"/>
      <c r="S13" s="1028"/>
      <c r="T13" s="1029"/>
      <c r="U13" s="1029"/>
      <c r="V13" s="1909" t="e">
        <f>INDEX([76]Listas!$F$6:$J$10,MATCH(Q13,[76]Listas!$D$6:$D$10,0),MATCH(R13,[76]Listas!$F$4:$J$4,0))</f>
        <v>#N/A</v>
      </c>
      <c r="W13" s="1028"/>
      <c r="X13" s="1908" t="s">
        <v>2593</v>
      </c>
      <c r="Y13" s="1908"/>
      <c r="Z13" s="1908"/>
      <c r="AA13" s="1916"/>
      <c r="AB13" s="1356"/>
      <c r="AC13" s="1905"/>
      <c r="AD13" s="1320"/>
      <c r="AE13" s="1356"/>
      <c r="AF13" s="1028"/>
      <c r="AG13" s="1029"/>
      <c r="AH13" s="311"/>
      <c r="AI13" s="1931"/>
      <c r="AJ13" s="311"/>
      <c r="AK13" s="1931"/>
      <c r="AL13" s="1027"/>
      <c r="AM13" s="1931"/>
      <c r="AN13" s="1400"/>
      <c r="AO13" s="1380"/>
      <c r="AP13" s="1385"/>
      <c r="AQ13" s="1385"/>
      <c r="AR13" s="1330"/>
      <c r="AS13" s="1385"/>
      <c r="AT13" s="1380"/>
      <c r="AU13" s="1385"/>
      <c r="AV13" s="1385"/>
      <c r="AW13" s="1385"/>
      <c r="AX13" s="1385"/>
      <c r="BG13" s="262"/>
      <c r="BH13" s="262"/>
      <c r="BI13" s="262"/>
      <c r="BJ13" s="262"/>
      <c r="BK13" s="262"/>
      <c r="BL13" s="262"/>
      <c r="BM13" s="262"/>
      <c r="BN13" s="262"/>
      <c r="BO13" s="262"/>
      <c r="BP13" s="262"/>
      <c r="BQ13" s="262"/>
      <c r="BR13" s="262"/>
      <c r="BS13" s="262"/>
    </row>
    <row r="14" spans="1:1027" s="260" customFormat="1" ht="128.44999999999999" customHeight="1">
      <c r="A14" s="1905"/>
      <c r="B14" s="1909"/>
      <c r="C14" s="1921"/>
      <c r="D14" s="1921"/>
      <c r="E14" s="1921"/>
      <c r="F14" s="1909"/>
      <c r="G14" s="1908" t="s">
        <v>2594</v>
      </c>
      <c r="H14" s="1908"/>
      <c r="I14" s="1908"/>
      <c r="J14" s="1905"/>
      <c r="K14" s="1905"/>
      <c r="L14" s="1905"/>
      <c r="M14" s="1320"/>
      <c r="N14" s="1320"/>
      <c r="O14" s="1320"/>
      <c r="P14" s="1320"/>
      <c r="Q14" s="1909"/>
      <c r="R14" s="1909"/>
      <c r="S14" s="1028"/>
      <c r="T14" s="1029"/>
      <c r="U14" s="1029"/>
      <c r="V14" s="1909" t="e">
        <f>INDEX([76]Listas!$F$6:$J$10,MATCH(Q14,[76]Listas!$D$6:$D$10,0),MATCH(R14,[76]Listas!$F$4:$J$4,0))</f>
        <v>#N/A</v>
      </c>
      <c r="W14" s="1028"/>
      <c r="X14" s="1908" t="s">
        <v>2595</v>
      </c>
      <c r="Y14" s="1908"/>
      <c r="Z14" s="1908"/>
      <c r="AA14" s="1916"/>
      <c r="AB14" s="1356"/>
      <c r="AC14" s="1905"/>
      <c r="AD14" s="1320"/>
      <c r="AE14" s="1356"/>
      <c r="AF14" s="1028"/>
      <c r="AG14" s="1029"/>
      <c r="AH14" s="311"/>
      <c r="AI14" s="1931"/>
      <c r="AJ14" s="311"/>
      <c r="AK14" s="1931"/>
      <c r="AL14" s="1027"/>
      <c r="AM14" s="1931"/>
      <c r="AN14" s="1400"/>
      <c r="AO14" s="1380"/>
      <c r="AP14" s="1385"/>
      <c r="AQ14" s="1385"/>
      <c r="AR14" s="1330"/>
      <c r="AS14" s="1385"/>
      <c r="AT14" s="1380"/>
      <c r="AU14" s="1385"/>
      <c r="AV14" s="1385"/>
      <c r="AW14" s="1385"/>
      <c r="AX14" s="1385"/>
      <c r="BG14" s="262"/>
      <c r="BH14" s="262"/>
      <c r="BI14" s="262"/>
      <c r="BJ14" s="262"/>
      <c r="BK14" s="262"/>
      <c r="BL14" s="262"/>
      <c r="BM14" s="262"/>
      <c r="BN14" s="262"/>
      <c r="BO14" s="262"/>
      <c r="BP14" s="262"/>
      <c r="BQ14" s="262"/>
      <c r="BR14" s="262"/>
      <c r="BS14" s="262"/>
    </row>
    <row r="15" spans="1:1027" s="260" customFormat="1" ht="228" customHeight="1">
      <c r="A15" s="1905"/>
      <c r="B15" s="1909"/>
      <c r="C15" s="1921"/>
      <c r="D15" s="1921"/>
      <c r="E15" s="1921"/>
      <c r="F15" s="1909"/>
      <c r="G15" s="1908" t="s">
        <v>2596</v>
      </c>
      <c r="H15" s="1908"/>
      <c r="I15" s="1908"/>
      <c r="J15" s="1905"/>
      <c r="K15" s="1905"/>
      <c r="L15" s="1905"/>
      <c r="M15" s="1320"/>
      <c r="N15" s="1320"/>
      <c r="O15" s="1320"/>
      <c r="P15" s="1320"/>
      <c r="Q15" s="1909"/>
      <c r="R15" s="1909"/>
      <c r="S15" s="1028"/>
      <c r="T15" s="1029"/>
      <c r="U15" s="1029"/>
      <c r="V15" s="1909" t="e">
        <f>INDEX([76]Listas!$F$6:$J$10,MATCH(Q15,[76]Listas!$D$6:$D$10,0),MATCH(R15,[76]Listas!$F$4:$J$4,0))</f>
        <v>#N/A</v>
      </c>
      <c r="W15" s="1028"/>
      <c r="X15" s="1933" t="s">
        <v>2597</v>
      </c>
      <c r="Y15" s="1933"/>
      <c r="Z15" s="1933"/>
      <c r="AA15" s="1916"/>
      <c r="AB15" s="1356"/>
      <c r="AC15" s="1905"/>
      <c r="AD15" s="1320"/>
      <c r="AE15" s="1356"/>
      <c r="AF15" s="1028"/>
      <c r="AG15" s="1029"/>
      <c r="AH15" s="311"/>
      <c r="AI15" s="1931"/>
      <c r="AJ15" s="311"/>
      <c r="AK15" s="1931"/>
      <c r="AL15" s="1027"/>
      <c r="AM15" s="1931"/>
      <c r="AN15" s="1400"/>
      <c r="AO15" s="1380"/>
      <c r="AP15" s="1385"/>
      <c r="AQ15" s="1385"/>
      <c r="AR15" s="1330"/>
      <c r="AS15" s="1385"/>
      <c r="AT15" s="1380"/>
      <c r="AU15" s="1385"/>
      <c r="AV15" s="1385"/>
      <c r="AW15" s="1385"/>
      <c r="AX15" s="1385"/>
      <c r="BG15" s="262"/>
      <c r="BH15" s="262"/>
      <c r="BI15" s="262"/>
      <c r="BJ15" s="262"/>
      <c r="BK15" s="262"/>
      <c r="BL15" s="262"/>
      <c r="BM15" s="262"/>
      <c r="BN15" s="262"/>
      <c r="BO15" s="262"/>
      <c r="BP15" s="262"/>
      <c r="BQ15" s="262"/>
      <c r="BR15" s="262"/>
      <c r="BS15" s="262"/>
    </row>
    <row r="16" spans="1:1027" s="593" customFormat="1" ht="88.15" customHeight="1">
      <c r="A16" s="1905"/>
      <c r="B16" s="1909"/>
      <c r="C16" s="1921"/>
      <c r="D16" s="1921"/>
      <c r="E16" s="1921"/>
      <c r="F16" s="1909"/>
      <c r="G16" s="1908" t="s">
        <v>2598</v>
      </c>
      <c r="H16" s="1908"/>
      <c r="I16" s="1908"/>
      <c r="J16" s="1905"/>
      <c r="K16" s="1905"/>
      <c r="L16" s="1905"/>
      <c r="M16" s="1320"/>
      <c r="N16" s="1320"/>
      <c r="O16" s="1320"/>
      <c r="P16" s="1320"/>
      <c r="Q16" s="1909"/>
      <c r="R16" s="1909"/>
      <c r="S16" s="1028"/>
      <c r="T16" s="1029"/>
      <c r="U16" s="1029"/>
      <c r="V16" s="1909" t="e">
        <f>INDEX([76]Listas!$F$6:$J$10,MATCH(Q16,[76]Listas!$D$6:$D$10,0),MATCH(R16,[76]Listas!$F$4:$J$4,0))</f>
        <v>#N/A</v>
      </c>
      <c r="W16" s="1028"/>
      <c r="X16" s="1906" t="s">
        <v>2599</v>
      </c>
      <c r="Y16" s="1906"/>
      <c r="Z16" s="1906"/>
      <c r="AA16" s="1912"/>
      <c r="AB16" s="1356"/>
      <c r="AC16" s="1905"/>
      <c r="AD16" s="1320"/>
      <c r="AE16" s="1356"/>
      <c r="AF16" s="1028"/>
      <c r="AG16" s="1029"/>
      <c r="AH16" s="311"/>
      <c r="AI16" s="1932"/>
      <c r="AJ16" s="311"/>
      <c r="AK16" s="1932"/>
      <c r="AL16" s="1027"/>
      <c r="AM16" s="1932"/>
      <c r="AN16" s="1400"/>
      <c r="AO16" s="1380"/>
      <c r="AP16" s="1385"/>
      <c r="AQ16" s="1385"/>
      <c r="AR16" s="1331"/>
      <c r="AS16" s="1385"/>
      <c r="AT16" s="1380"/>
      <c r="AU16" s="1385"/>
      <c r="AV16" s="1385"/>
      <c r="AW16" s="1385"/>
      <c r="AX16" s="1385"/>
      <c r="AY16" s="260"/>
      <c r="AZ16" s="260"/>
      <c r="BA16" s="260"/>
      <c r="BB16" s="260"/>
      <c r="BC16" s="260"/>
      <c r="BD16" s="260"/>
      <c r="BE16" s="260"/>
      <c r="BF16" s="260"/>
      <c r="BG16" s="262"/>
      <c r="BH16" s="262"/>
      <c r="BI16" s="262"/>
      <c r="BJ16" s="262"/>
      <c r="BK16" s="262"/>
      <c r="BL16" s="262"/>
      <c r="BM16" s="262"/>
      <c r="BN16" s="262"/>
      <c r="BO16" s="262"/>
      <c r="BP16" s="262"/>
      <c r="BQ16" s="262"/>
      <c r="BR16" s="262"/>
      <c r="BS16" s="262"/>
    </row>
    <row r="17" spans="1:51" s="260" customFormat="1" ht="408.6" customHeight="1">
      <c r="A17" s="1030" t="s">
        <v>2600</v>
      </c>
      <c r="B17" s="1032" t="s">
        <v>2049</v>
      </c>
      <c r="C17" s="1921" t="s">
        <v>2601</v>
      </c>
      <c r="D17" s="1921"/>
      <c r="E17" s="1921"/>
      <c r="F17" s="1032" t="s">
        <v>1492</v>
      </c>
      <c r="G17" s="1906" t="s">
        <v>2602</v>
      </c>
      <c r="H17" s="1906"/>
      <c r="I17" s="1906"/>
      <c r="J17" s="1905" t="s">
        <v>2603</v>
      </c>
      <c r="K17" s="1905"/>
      <c r="L17" s="1905"/>
      <c r="M17" s="1012" t="s">
        <v>8</v>
      </c>
      <c r="N17" s="1012">
        <v>1</v>
      </c>
      <c r="O17" s="1012"/>
      <c r="P17" s="1012" t="s">
        <v>8</v>
      </c>
      <c r="Q17" s="1015" t="s">
        <v>655</v>
      </c>
      <c r="R17" s="1015" t="s">
        <v>274</v>
      </c>
      <c r="S17" s="1028"/>
      <c r="T17" s="1029"/>
      <c r="U17" s="1029"/>
      <c r="V17" s="1033" t="str">
        <f>INDEX([76]Listas!$F$6:$J$10,MATCH(Q17,[76]Listas!$D$6:$D$10,0),MATCH(R17,[76]Listas!$F$4:$J$4,0))</f>
        <v>6
MODERADO</v>
      </c>
      <c r="W17" s="1028"/>
      <c r="X17" s="1908" t="s">
        <v>2604</v>
      </c>
      <c r="Y17" s="1908"/>
      <c r="Z17" s="1908"/>
      <c r="AA17" s="1092" t="s">
        <v>4013</v>
      </c>
      <c r="AB17" s="1013" t="s">
        <v>2583</v>
      </c>
      <c r="AC17" s="1031" t="s">
        <v>2605</v>
      </c>
      <c r="AD17" s="1012">
        <v>84</v>
      </c>
      <c r="AE17" s="1013" t="s">
        <v>152</v>
      </c>
      <c r="AF17" s="1028"/>
      <c r="AG17" s="1029"/>
      <c r="AH17" s="311"/>
      <c r="AI17" s="272" t="str">
        <f>IF(AH17&lt;=1,"Remota",VLOOKUP(AH17,[77]Listas!$C$6:$D$10,2,0))</f>
        <v>Remota</v>
      </c>
      <c r="AJ17" s="271">
        <f>IF(OR(AE17="Impacto",AE17="Ambos"),U17-AG17,U17)</f>
        <v>0</v>
      </c>
      <c r="AK17" s="272" t="str">
        <f>IF(AJ17&lt;=1,"Insignificante",HLOOKUP(AJ17,[77]Listas!$F$3:$J$4,2,0))</f>
        <v>Insignificante</v>
      </c>
      <c r="AL17" s="273">
        <f>AH17*AJ17</f>
        <v>0</v>
      </c>
      <c r="AM17" s="270" t="str">
        <f>INDEX([77]Listas!$F$6:$J$10,MATCH(AI17,[77]Listas!$D$6:$D$10,0),MATCH(AK17,[77]Listas!$F$4:$J$4,0))</f>
        <v>1
INFERIOR</v>
      </c>
      <c r="AN17" s="594" t="s">
        <v>2606</v>
      </c>
      <c r="AO17" s="259" t="s">
        <v>2607</v>
      </c>
      <c r="AP17" s="1020" t="s">
        <v>4150</v>
      </c>
      <c r="AQ17" s="259" t="s">
        <v>4151</v>
      </c>
      <c r="AR17" s="1017" t="s">
        <v>3419</v>
      </c>
      <c r="AS17" s="1016" t="s">
        <v>4152</v>
      </c>
      <c r="AT17" s="259" t="s">
        <v>4153</v>
      </c>
      <c r="AU17" s="259" t="s">
        <v>3420</v>
      </c>
      <c r="AV17" s="595">
        <v>43485</v>
      </c>
      <c r="AW17" s="259" t="s">
        <v>3421</v>
      </c>
      <c r="AX17" s="1016" t="s">
        <v>3422</v>
      </c>
    </row>
    <row r="18" spans="1:51" s="260" customFormat="1" ht="87" customHeight="1">
      <c r="A18" s="1772" t="s">
        <v>1494</v>
      </c>
      <c r="B18" s="1922" t="s">
        <v>2050</v>
      </c>
      <c r="C18" s="1921" t="s">
        <v>4154</v>
      </c>
      <c r="D18" s="1921"/>
      <c r="E18" s="1921"/>
      <c r="F18" s="1909" t="s">
        <v>1492</v>
      </c>
      <c r="G18" s="1906" t="s">
        <v>2608</v>
      </c>
      <c r="H18" s="1906"/>
      <c r="I18" s="1906"/>
      <c r="J18" s="1905" t="s">
        <v>2609</v>
      </c>
      <c r="K18" s="1905"/>
      <c r="L18" s="1905"/>
      <c r="M18" s="1320" t="s">
        <v>8</v>
      </c>
      <c r="N18" s="1320">
        <v>1</v>
      </c>
      <c r="O18" s="1320"/>
      <c r="P18" s="1320"/>
      <c r="Q18" s="1909" t="s">
        <v>64</v>
      </c>
      <c r="R18" s="1909" t="s">
        <v>643</v>
      </c>
      <c r="S18" s="1028"/>
      <c r="T18" s="1029"/>
      <c r="U18" s="1029"/>
      <c r="V18" s="1919" t="str">
        <f>INDEX([76]Listas!$F$6:$J$10,MATCH(Q18,[76]Listas!$D$6:$D$10,0),MATCH(R18,[76]Listas!$F$4:$J$4,0))</f>
        <v>6
MODERADO</v>
      </c>
      <c r="W18" s="1028"/>
      <c r="X18" s="1906" t="s">
        <v>2610</v>
      </c>
      <c r="Y18" s="1906"/>
      <c r="Z18" s="1906"/>
      <c r="AA18" s="1911" t="s">
        <v>4013</v>
      </c>
      <c r="AB18" s="1356" t="s">
        <v>2583</v>
      </c>
      <c r="AC18" s="1905" t="s">
        <v>2611</v>
      </c>
      <c r="AD18" s="1320">
        <v>76</v>
      </c>
      <c r="AE18" s="1909" t="s">
        <v>153</v>
      </c>
      <c r="AF18" s="1028"/>
      <c r="AG18" s="1029"/>
      <c r="AH18" s="311"/>
      <c r="AI18" s="1899" t="str">
        <f>IF(AH18&lt;=1,"Remota",VLOOKUP(AH18,[77]Listas!$C$6:$D$10,2,0))</f>
        <v>Remota</v>
      </c>
      <c r="AJ18" s="271">
        <f>IF(OR(AE18="Impacto",AE18="Ambos"),U18-AG18,U18)</f>
        <v>0</v>
      </c>
      <c r="AK18" s="1899" t="str">
        <f>IF(AJ18&lt;=1,"Insignificante",HLOOKUP(AJ18,[77]Listas!$F$3:$J$4,2,0))</f>
        <v>Insignificante</v>
      </c>
      <c r="AL18" s="273">
        <f>AH18*AJ18</f>
        <v>0</v>
      </c>
      <c r="AM18" s="1899" t="str">
        <f>INDEX([77]Listas!$F$6:$J$10,MATCH(AI18,[77]Listas!$D$6:$D$10,0),MATCH(AK18,[77]Listas!$F$4:$J$4,0))</f>
        <v>1
INFERIOR</v>
      </c>
      <c r="AN18" s="1913" t="s">
        <v>2612</v>
      </c>
      <c r="AO18" s="1325" t="s">
        <v>3423</v>
      </c>
      <c r="AP18" s="1353" t="s">
        <v>3424</v>
      </c>
      <c r="AQ18" s="1353" t="s">
        <v>3425</v>
      </c>
      <c r="AR18" s="1329" t="s">
        <v>3419</v>
      </c>
      <c r="AS18" s="1325" t="s">
        <v>36</v>
      </c>
      <c r="AT18" s="1925"/>
      <c r="AU18" s="1925"/>
      <c r="AV18" s="1925"/>
      <c r="AW18" s="1925"/>
      <c r="AX18" s="1925"/>
      <c r="AY18" s="262"/>
    </row>
    <row r="19" spans="1:51" s="260" customFormat="1" ht="84.6" customHeight="1">
      <c r="A19" s="1772"/>
      <c r="B19" s="1922"/>
      <c r="C19" s="1921"/>
      <c r="D19" s="1921"/>
      <c r="E19" s="1921"/>
      <c r="F19" s="1909"/>
      <c r="G19" s="1906" t="s">
        <v>2613</v>
      </c>
      <c r="H19" s="1906"/>
      <c r="I19" s="1906"/>
      <c r="J19" s="1905"/>
      <c r="K19" s="1905"/>
      <c r="L19" s="1905"/>
      <c r="M19" s="1320"/>
      <c r="N19" s="1320"/>
      <c r="O19" s="1320"/>
      <c r="P19" s="1320"/>
      <c r="Q19" s="1909"/>
      <c r="R19" s="1909"/>
      <c r="S19" s="1028"/>
      <c r="T19" s="1029"/>
      <c r="U19" s="1029"/>
      <c r="V19" s="1919" t="e">
        <f>INDEX([76]Listas!$F$6:$J$10,MATCH(Q19,[76]Listas!$D$6:$D$10,0),MATCH(R19,[76]Listas!$F$4:$J$4,0))</f>
        <v>#N/A</v>
      </c>
      <c r="W19" s="1028"/>
      <c r="X19" s="1906" t="s">
        <v>2614</v>
      </c>
      <c r="Y19" s="1906"/>
      <c r="Z19" s="1906"/>
      <c r="AA19" s="1916"/>
      <c r="AB19" s="1356"/>
      <c r="AC19" s="1905"/>
      <c r="AD19" s="1320"/>
      <c r="AE19" s="1909"/>
      <c r="AF19" s="1028"/>
      <c r="AG19" s="1029"/>
      <c r="AH19" s="311"/>
      <c r="AI19" s="1900"/>
      <c r="AJ19" s="311"/>
      <c r="AK19" s="1900"/>
      <c r="AL19" s="1027"/>
      <c r="AM19" s="1900"/>
      <c r="AN19" s="1923"/>
      <c r="AO19" s="1326"/>
      <c r="AP19" s="1354"/>
      <c r="AQ19" s="1354"/>
      <c r="AR19" s="1330"/>
      <c r="AS19" s="1326"/>
      <c r="AT19" s="1926"/>
      <c r="AU19" s="1926"/>
      <c r="AV19" s="1926"/>
      <c r="AW19" s="1926"/>
      <c r="AX19" s="1926"/>
      <c r="AY19" s="262"/>
    </row>
    <row r="20" spans="1:51" s="260" customFormat="1" ht="96.6" customHeight="1">
      <c r="A20" s="1772"/>
      <c r="B20" s="1922"/>
      <c r="C20" s="1921"/>
      <c r="D20" s="1921"/>
      <c r="E20" s="1921"/>
      <c r="F20" s="1909"/>
      <c r="G20" s="1906" t="s">
        <v>2615</v>
      </c>
      <c r="H20" s="1906"/>
      <c r="I20" s="1906"/>
      <c r="J20" s="1905"/>
      <c r="K20" s="1905"/>
      <c r="L20" s="1905"/>
      <c r="M20" s="1320"/>
      <c r="N20" s="1320"/>
      <c r="O20" s="1320"/>
      <c r="P20" s="1320"/>
      <c r="Q20" s="1909"/>
      <c r="R20" s="1909"/>
      <c r="S20" s="1028"/>
      <c r="T20" s="1029"/>
      <c r="U20" s="1029"/>
      <c r="V20" s="1919" t="e">
        <f>INDEX([76]Listas!$F$6:$J$10,MATCH(Q20,[76]Listas!$D$6:$D$10,0),MATCH(R20,[76]Listas!$F$4:$J$4,0))</f>
        <v>#N/A</v>
      </c>
      <c r="W20" s="1028"/>
      <c r="X20" s="1906" t="s">
        <v>2616</v>
      </c>
      <c r="Y20" s="1906"/>
      <c r="Z20" s="1906"/>
      <c r="AA20" s="1916"/>
      <c r="AB20" s="1356"/>
      <c r="AC20" s="1905"/>
      <c r="AD20" s="1320"/>
      <c r="AE20" s="1909"/>
      <c r="AF20" s="1028"/>
      <c r="AG20" s="1029"/>
      <c r="AH20" s="311"/>
      <c r="AI20" s="1900"/>
      <c r="AJ20" s="311"/>
      <c r="AK20" s="1900"/>
      <c r="AL20" s="1027"/>
      <c r="AM20" s="1900"/>
      <c r="AN20" s="1923"/>
      <c r="AO20" s="1326"/>
      <c r="AP20" s="1354"/>
      <c r="AQ20" s="1354"/>
      <c r="AR20" s="1330"/>
      <c r="AS20" s="1326"/>
      <c r="AT20" s="1926"/>
      <c r="AU20" s="1926"/>
      <c r="AV20" s="1926"/>
      <c r="AW20" s="1926"/>
      <c r="AX20" s="1926"/>
      <c r="AY20" s="262"/>
    </row>
    <row r="21" spans="1:51" s="260" customFormat="1" ht="49.9" customHeight="1">
      <c r="A21" s="1772"/>
      <c r="B21" s="1922"/>
      <c r="C21" s="1921"/>
      <c r="D21" s="1921"/>
      <c r="E21" s="1921"/>
      <c r="F21" s="1909"/>
      <c r="G21" s="1906" t="s">
        <v>2617</v>
      </c>
      <c r="H21" s="1906"/>
      <c r="I21" s="1906"/>
      <c r="J21" s="1905"/>
      <c r="K21" s="1905"/>
      <c r="L21" s="1905"/>
      <c r="M21" s="1320"/>
      <c r="N21" s="1320"/>
      <c r="O21" s="1320"/>
      <c r="P21" s="1320"/>
      <c r="Q21" s="1909"/>
      <c r="R21" s="1909"/>
      <c r="S21" s="1028"/>
      <c r="T21" s="1029"/>
      <c r="U21" s="1029"/>
      <c r="V21" s="1919" t="e">
        <f>INDEX([76]Listas!$F$6:$J$10,MATCH(Q21,[76]Listas!$D$6:$D$10,0),MATCH(R21,[76]Listas!$F$4:$J$4,0))</f>
        <v>#N/A</v>
      </c>
      <c r="W21" s="1028"/>
      <c r="X21" s="1906" t="s">
        <v>2618</v>
      </c>
      <c r="Y21" s="1906"/>
      <c r="Z21" s="1906"/>
      <c r="AA21" s="1916"/>
      <c r="AB21" s="1356"/>
      <c r="AC21" s="1905"/>
      <c r="AD21" s="1320"/>
      <c r="AE21" s="1909"/>
      <c r="AF21" s="1028"/>
      <c r="AG21" s="1029"/>
      <c r="AH21" s="311"/>
      <c r="AI21" s="1900"/>
      <c r="AJ21" s="311"/>
      <c r="AK21" s="1900"/>
      <c r="AL21" s="1027"/>
      <c r="AM21" s="1900"/>
      <c r="AN21" s="1923"/>
      <c r="AO21" s="1326"/>
      <c r="AP21" s="1354"/>
      <c r="AQ21" s="1354"/>
      <c r="AR21" s="1330"/>
      <c r="AS21" s="1326"/>
      <c r="AT21" s="1926"/>
      <c r="AU21" s="1926"/>
      <c r="AV21" s="1926"/>
      <c r="AW21" s="1926"/>
      <c r="AX21" s="1926"/>
      <c r="AY21" s="262"/>
    </row>
    <row r="22" spans="1:51" s="260" customFormat="1" ht="85.9" customHeight="1">
      <c r="A22" s="1772"/>
      <c r="B22" s="1922"/>
      <c r="C22" s="1921"/>
      <c r="D22" s="1921"/>
      <c r="E22" s="1921"/>
      <c r="F22" s="1909"/>
      <c r="G22" s="1906" t="s">
        <v>2619</v>
      </c>
      <c r="H22" s="1906"/>
      <c r="I22" s="1906"/>
      <c r="J22" s="1905"/>
      <c r="K22" s="1905"/>
      <c r="L22" s="1905"/>
      <c r="M22" s="1320"/>
      <c r="N22" s="1320"/>
      <c r="O22" s="1320"/>
      <c r="P22" s="1320"/>
      <c r="Q22" s="1909"/>
      <c r="R22" s="1909"/>
      <c r="S22" s="1028"/>
      <c r="T22" s="1029"/>
      <c r="U22" s="1029"/>
      <c r="V22" s="1919" t="e">
        <f>INDEX([76]Listas!$F$6:$J$10,MATCH(Q22,[76]Listas!$D$6:$D$10,0),MATCH(R22,[76]Listas!$F$4:$J$4,0))</f>
        <v>#N/A</v>
      </c>
      <c r="W22" s="1028"/>
      <c r="X22" s="1907" t="s">
        <v>2620</v>
      </c>
      <c r="Y22" s="1907"/>
      <c r="Z22" s="1907"/>
      <c r="AA22" s="1912"/>
      <c r="AB22" s="1356"/>
      <c r="AC22" s="1905"/>
      <c r="AD22" s="1320"/>
      <c r="AE22" s="1909"/>
      <c r="AF22" s="1028"/>
      <c r="AG22" s="1029"/>
      <c r="AH22" s="311"/>
      <c r="AI22" s="1901"/>
      <c r="AJ22" s="311"/>
      <c r="AK22" s="1901"/>
      <c r="AL22" s="1027"/>
      <c r="AM22" s="1901"/>
      <c r="AN22" s="1914"/>
      <c r="AO22" s="1327"/>
      <c r="AP22" s="1355"/>
      <c r="AQ22" s="1355"/>
      <c r="AR22" s="1331"/>
      <c r="AS22" s="1327"/>
      <c r="AT22" s="1927"/>
      <c r="AU22" s="1927"/>
      <c r="AV22" s="1927"/>
      <c r="AW22" s="1927"/>
      <c r="AX22" s="1927"/>
      <c r="AY22" s="262"/>
    </row>
    <row r="23" spans="1:51" s="260" customFormat="1" ht="87" hidden="1" customHeight="1">
      <c r="A23" s="1905" t="s">
        <v>1494</v>
      </c>
      <c r="B23" s="1922" t="s">
        <v>2052</v>
      </c>
      <c r="C23" s="1921" t="s">
        <v>1496</v>
      </c>
      <c r="D23" s="1921"/>
      <c r="E23" s="1921"/>
      <c r="F23" s="1909" t="s">
        <v>1492</v>
      </c>
      <c r="G23" s="1906" t="s">
        <v>1497</v>
      </c>
      <c r="H23" s="1906"/>
      <c r="I23" s="1906"/>
      <c r="J23" s="1905" t="s">
        <v>1498</v>
      </c>
      <c r="K23" s="1905"/>
      <c r="L23" s="1905"/>
      <c r="M23" s="1320" t="s">
        <v>8</v>
      </c>
      <c r="N23" s="1320">
        <v>2</v>
      </c>
      <c r="O23" s="1320"/>
      <c r="P23" s="1320"/>
      <c r="Q23" s="1909" t="s">
        <v>64</v>
      </c>
      <c r="R23" s="1909" t="s">
        <v>643</v>
      </c>
      <c r="S23" s="1028"/>
      <c r="T23" s="1029"/>
      <c r="U23" s="1029"/>
      <c r="V23" s="1919" t="s">
        <v>1499</v>
      </c>
      <c r="W23" s="1028"/>
      <c r="X23" s="1908" t="s">
        <v>1500</v>
      </c>
      <c r="Y23" s="1908"/>
      <c r="Z23" s="1908"/>
      <c r="AA23" s="1092"/>
      <c r="AB23" s="1356" t="s">
        <v>1491</v>
      </c>
      <c r="AC23" s="1031" t="s">
        <v>1501</v>
      </c>
      <c r="AD23" s="1320">
        <v>84</v>
      </c>
      <c r="AE23" s="1909" t="s">
        <v>153</v>
      </c>
      <c r="AF23" s="1028"/>
      <c r="AG23" s="1029"/>
      <c r="AH23" s="311"/>
      <c r="AI23" s="347" t="s">
        <v>654</v>
      </c>
      <c r="AJ23" s="311"/>
      <c r="AK23" s="347" t="s">
        <v>643</v>
      </c>
      <c r="AL23" s="1027"/>
      <c r="AM23" s="347" t="s">
        <v>1495</v>
      </c>
      <c r="AN23" s="1913" t="s">
        <v>2621</v>
      </c>
      <c r="AO23" s="1886"/>
      <c r="AP23" s="1020"/>
      <c r="AQ23" s="259"/>
      <c r="AR23" s="1017" t="s">
        <v>2343</v>
      </c>
      <c r="AS23" s="1016"/>
      <c r="AT23" s="259"/>
      <c r="AU23" s="259"/>
      <c r="AV23" s="261"/>
      <c r="AW23" s="261"/>
      <c r="AX23" s="1016"/>
      <c r="AY23" s="262"/>
    </row>
    <row r="24" spans="1:51" s="260" customFormat="1" ht="249.6" hidden="1" customHeight="1">
      <c r="A24" s="1905"/>
      <c r="B24" s="1922"/>
      <c r="C24" s="1921"/>
      <c r="D24" s="1921"/>
      <c r="E24" s="1921"/>
      <c r="F24" s="1909"/>
      <c r="G24" s="1906" t="s">
        <v>1502</v>
      </c>
      <c r="H24" s="1906"/>
      <c r="I24" s="1906"/>
      <c r="J24" s="1905"/>
      <c r="K24" s="1905"/>
      <c r="L24" s="1905"/>
      <c r="M24" s="1320"/>
      <c r="N24" s="1320"/>
      <c r="O24" s="1320"/>
      <c r="P24" s="1320"/>
      <c r="Q24" s="1909"/>
      <c r="R24" s="1909"/>
      <c r="S24" s="1028"/>
      <c r="T24" s="1029"/>
      <c r="U24" s="1029"/>
      <c r="V24" s="1919"/>
      <c r="W24" s="1028"/>
      <c r="X24" s="1908" t="s">
        <v>1503</v>
      </c>
      <c r="Y24" s="1908"/>
      <c r="Z24" s="1908"/>
      <c r="AA24" s="1092"/>
      <c r="AB24" s="1356"/>
      <c r="AC24" s="1031" t="s">
        <v>1504</v>
      </c>
      <c r="AD24" s="1320"/>
      <c r="AE24" s="1909"/>
      <c r="AF24" s="1028"/>
      <c r="AG24" s="1029"/>
      <c r="AH24" s="311"/>
      <c r="AI24" s="347"/>
      <c r="AJ24" s="311"/>
      <c r="AK24" s="347"/>
      <c r="AL24" s="1027"/>
      <c r="AM24" s="347"/>
      <c r="AN24" s="1923"/>
      <c r="AO24" s="1887"/>
      <c r="AP24" s="1020"/>
      <c r="AQ24" s="259"/>
      <c r="AR24" s="1017" t="s">
        <v>2343</v>
      </c>
      <c r="AS24" s="1016"/>
      <c r="AT24" s="259"/>
      <c r="AU24" s="259"/>
      <c r="AV24" s="261"/>
      <c r="AW24" s="261"/>
      <c r="AX24" s="1016"/>
      <c r="AY24" s="262"/>
    </row>
    <row r="25" spans="1:51" s="260" customFormat="1" ht="83.45" hidden="1" customHeight="1">
      <c r="A25" s="1905"/>
      <c r="B25" s="1922"/>
      <c r="C25" s="1921"/>
      <c r="D25" s="1921"/>
      <c r="E25" s="1921"/>
      <c r="F25" s="1909"/>
      <c r="G25" s="1906" t="s">
        <v>1505</v>
      </c>
      <c r="H25" s="1906"/>
      <c r="I25" s="1906"/>
      <c r="J25" s="1905"/>
      <c r="K25" s="1905"/>
      <c r="L25" s="1905"/>
      <c r="M25" s="1320"/>
      <c r="N25" s="1320"/>
      <c r="O25" s="1320"/>
      <c r="P25" s="1320"/>
      <c r="Q25" s="1909"/>
      <c r="R25" s="1909"/>
      <c r="S25" s="1028"/>
      <c r="T25" s="1029"/>
      <c r="U25" s="1029"/>
      <c r="V25" s="1919"/>
      <c r="W25" s="1028"/>
      <c r="X25" s="1908" t="s">
        <v>1506</v>
      </c>
      <c r="Y25" s="1908"/>
      <c r="Z25" s="1908"/>
      <c r="AA25" s="1092"/>
      <c r="AB25" s="1356"/>
      <c r="AC25" s="1031" t="s">
        <v>1507</v>
      </c>
      <c r="AD25" s="1320"/>
      <c r="AE25" s="1909"/>
      <c r="AF25" s="1028"/>
      <c r="AG25" s="1029"/>
      <c r="AH25" s="311"/>
      <c r="AI25" s="347"/>
      <c r="AJ25" s="311"/>
      <c r="AK25" s="347"/>
      <c r="AL25" s="1027"/>
      <c r="AM25" s="347"/>
      <c r="AN25" s="1914"/>
      <c r="AO25" s="1888"/>
      <c r="AP25" s="1020"/>
      <c r="AQ25" s="259"/>
      <c r="AR25" s="1017" t="s">
        <v>2343</v>
      </c>
      <c r="AS25" s="1016"/>
      <c r="AT25" s="259"/>
      <c r="AU25" s="259"/>
      <c r="AV25" s="261"/>
      <c r="AW25" s="261"/>
      <c r="AX25" s="1016"/>
      <c r="AY25" s="262"/>
    </row>
    <row r="26" spans="1:51" s="260" customFormat="1" ht="141.6" customHeight="1">
      <c r="A26" s="1772" t="s">
        <v>2622</v>
      </c>
      <c r="B26" s="1909" t="s">
        <v>2051</v>
      </c>
      <c r="C26" s="1921" t="s">
        <v>2623</v>
      </c>
      <c r="D26" s="1921"/>
      <c r="E26" s="1921"/>
      <c r="F26" s="1909" t="s">
        <v>1492</v>
      </c>
      <c r="G26" s="1908" t="s">
        <v>2624</v>
      </c>
      <c r="H26" s="1908"/>
      <c r="I26" s="1908"/>
      <c r="J26" s="1908" t="s">
        <v>2625</v>
      </c>
      <c r="K26" s="1908"/>
      <c r="L26" s="1908"/>
      <c r="M26" s="1320"/>
      <c r="N26" s="1320">
        <v>5</v>
      </c>
      <c r="O26" s="1320"/>
      <c r="P26" s="1320"/>
      <c r="Q26" s="1909" t="s">
        <v>655</v>
      </c>
      <c r="R26" s="1909" t="s">
        <v>661</v>
      </c>
      <c r="S26" s="1028"/>
      <c r="T26" s="1029"/>
      <c r="U26" s="1029"/>
      <c r="V26" s="1919" t="str">
        <f>INDEX([76]Listas!$F$6:$J$10,MATCH(Q26,[76]Listas!$D$6:$D$10,0),MATCH(R26,[76]Listas!$F$4:$J$4,0))</f>
        <v>2
INFERIOR</v>
      </c>
      <c r="W26" s="1028"/>
      <c r="X26" s="1924" t="s">
        <v>3426</v>
      </c>
      <c r="Y26" s="1924"/>
      <c r="Z26" s="1924"/>
      <c r="AA26" s="1911" t="s">
        <v>4013</v>
      </c>
      <c r="AB26" s="1356" t="s">
        <v>2626</v>
      </c>
      <c r="AC26" s="1905" t="s">
        <v>2627</v>
      </c>
      <c r="AD26" s="1320">
        <v>76</v>
      </c>
      <c r="AE26" s="1909" t="s">
        <v>152</v>
      </c>
      <c r="AF26" s="1028"/>
      <c r="AG26" s="1029"/>
      <c r="AH26" s="311"/>
      <c r="AI26" s="1899" t="str">
        <f>IF(AH26&lt;=1,"Remota",VLOOKUP(AH26,[77]Listas!$C$6:$D$10,2,0))</f>
        <v>Remota</v>
      </c>
      <c r="AJ26" s="271">
        <f>IF(OR(AE26="Impacto",AE26="Ambos"),U26-AG26,U26)</f>
        <v>0</v>
      </c>
      <c r="AK26" s="1899" t="str">
        <f>IF(AJ26&lt;=1,"Insignificante",HLOOKUP(AJ26,[77]Listas!$F$3:$J$4,2,0))</f>
        <v>Insignificante</v>
      </c>
      <c r="AL26" s="273">
        <f>AH26*AJ26</f>
        <v>0</v>
      </c>
      <c r="AM26" s="1899" t="str">
        <f>INDEX([77]Listas!$F$6:$J$10,MATCH(AI26,[77]Listas!$D$6:$D$10,0),MATCH(AK26,[77]Listas!$F$4:$J$4,0))</f>
        <v>1
INFERIOR</v>
      </c>
      <c r="AN26" s="1917" t="s">
        <v>2628</v>
      </c>
      <c r="AO26" s="1325" t="s">
        <v>2629</v>
      </c>
      <c r="AP26" s="1325" t="s">
        <v>4155</v>
      </c>
      <c r="AQ26" s="1325" t="s">
        <v>4156</v>
      </c>
      <c r="AR26" s="1329" t="s">
        <v>3419</v>
      </c>
      <c r="AS26" s="1325" t="s">
        <v>36</v>
      </c>
      <c r="AT26" s="1325"/>
      <c r="AU26" s="1325"/>
      <c r="AV26" s="1325"/>
      <c r="AW26" s="1325"/>
      <c r="AX26" s="1325"/>
    </row>
    <row r="27" spans="1:51" s="260" customFormat="1" ht="99" customHeight="1">
      <c r="A27" s="1772"/>
      <c r="B27" s="1909"/>
      <c r="C27" s="1921"/>
      <c r="D27" s="1921"/>
      <c r="E27" s="1921"/>
      <c r="F27" s="1909"/>
      <c r="G27" s="1908" t="s">
        <v>2630</v>
      </c>
      <c r="H27" s="1908"/>
      <c r="I27" s="1908"/>
      <c r="J27" s="1908"/>
      <c r="K27" s="1908"/>
      <c r="L27" s="1908"/>
      <c r="M27" s="1320"/>
      <c r="N27" s="1320"/>
      <c r="O27" s="1320"/>
      <c r="P27" s="1320"/>
      <c r="Q27" s="1909"/>
      <c r="R27" s="1909"/>
      <c r="S27" s="1028"/>
      <c r="T27" s="1029"/>
      <c r="U27" s="1029"/>
      <c r="V27" s="1919"/>
      <c r="W27" s="1028"/>
      <c r="X27" s="1908" t="s">
        <v>2631</v>
      </c>
      <c r="Y27" s="1908"/>
      <c r="Z27" s="1908"/>
      <c r="AA27" s="1916"/>
      <c r="AB27" s="1356"/>
      <c r="AC27" s="1905"/>
      <c r="AD27" s="1320"/>
      <c r="AE27" s="1909"/>
      <c r="AF27" s="1028"/>
      <c r="AG27" s="1029"/>
      <c r="AH27" s="311"/>
      <c r="AI27" s="1900"/>
      <c r="AJ27" s="311"/>
      <c r="AK27" s="1900"/>
      <c r="AL27" s="1027"/>
      <c r="AM27" s="1900"/>
      <c r="AN27" s="1918"/>
      <c r="AO27" s="1326"/>
      <c r="AP27" s="1326"/>
      <c r="AQ27" s="1326"/>
      <c r="AR27" s="1330"/>
      <c r="AS27" s="1326"/>
      <c r="AT27" s="1326"/>
      <c r="AU27" s="1326"/>
      <c r="AV27" s="1326"/>
      <c r="AW27" s="1326"/>
      <c r="AX27" s="1326"/>
    </row>
    <row r="28" spans="1:51" s="260" customFormat="1" ht="58.9" customHeight="1">
      <c r="A28" s="1772"/>
      <c r="B28" s="1909"/>
      <c r="C28" s="1921"/>
      <c r="D28" s="1921"/>
      <c r="E28" s="1921"/>
      <c r="F28" s="1909"/>
      <c r="G28" s="1908" t="s">
        <v>2632</v>
      </c>
      <c r="H28" s="1908"/>
      <c r="I28" s="1908"/>
      <c r="J28" s="1908"/>
      <c r="K28" s="1908"/>
      <c r="L28" s="1908"/>
      <c r="M28" s="1320"/>
      <c r="N28" s="1320"/>
      <c r="O28" s="1320"/>
      <c r="P28" s="1320"/>
      <c r="Q28" s="1909"/>
      <c r="R28" s="1909"/>
      <c r="S28" s="1028"/>
      <c r="T28" s="1029"/>
      <c r="U28" s="1029"/>
      <c r="V28" s="1919"/>
      <c r="W28" s="1028"/>
      <c r="X28" s="1908" t="s">
        <v>2633</v>
      </c>
      <c r="Y28" s="1908"/>
      <c r="Z28" s="1908"/>
      <c r="AA28" s="1916"/>
      <c r="AB28" s="1356"/>
      <c r="AC28" s="1905"/>
      <c r="AD28" s="1320"/>
      <c r="AE28" s="1909"/>
      <c r="AF28" s="1028"/>
      <c r="AG28" s="1029"/>
      <c r="AH28" s="311"/>
      <c r="AI28" s="1900"/>
      <c r="AJ28" s="311"/>
      <c r="AK28" s="1900"/>
      <c r="AL28" s="1027"/>
      <c r="AM28" s="1900"/>
      <c r="AN28" s="1918"/>
      <c r="AO28" s="1326"/>
      <c r="AP28" s="1326"/>
      <c r="AQ28" s="1326"/>
      <c r="AR28" s="1330"/>
      <c r="AS28" s="1326"/>
      <c r="AT28" s="1326"/>
      <c r="AU28" s="1326"/>
      <c r="AV28" s="1326"/>
      <c r="AW28" s="1326"/>
      <c r="AX28" s="1326"/>
    </row>
    <row r="29" spans="1:51" s="260" customFormat="1" ht="200.45" customHeight="1">
      <c r="A29" s="1772"/>
      <c r="B29" s="1909"/>
      <c r="C29" s="1921"/>
      <c r="D29" s="1921"/>
      <c r="E29" s="1921"/>
      <c r="F29" s="1909"/>
      <c r="G29" s="1908" t="s">
        <v>2634</v>
      </c>
      <c r="H29" s="1908"/>
      <c r="I29" s="1908"/>
      <c r="J29" s="1908"/>
      <c r="K29" s="1908"/>
      <c r="L29" s="1908"/>
      <c r="M29" s="1320"/>
      <c r="N29" s="1320"/>
      <c r="O29" s="1320"/>
      <c r="P29" s="1320"/>
      <c r="Q29" s="1909"/>
      <c r="R29" s="1909"/>
      <c r="S29" s="1028"/>
      <c r="T29" s="1029"/>
      <c r="U29" s="1029"/>
      <c r="V29" s="1919"/>
      <c r="W29" s="1028"/>
      <c r="X29" s="1908" t="s">
        <v>2635</v>
      </c>
      <c r="Y29" s="1908"/>
      <c r="Z29" s="1908"/>
      <c r="AA29" s="1912"/>
      <c r="AB29" s="1356"/>
      <c r="AC29" s="1905"/>
      <c r="AD29" s="1320"/>
      <c r="AE29" s="1909"/>
      <c r="AF29" s="1028"/>
      <c r="AG29" s="1029"/>
      <c r="AH29" s="311"/>
      <c r="AI29" s="1901"/>
      <c r="AJ29" s="311"/>
      <c r="AK29" s="1901"/>
      <c r="AL29" s="1027"/>
      <c r="AM29" s="1901"/>
      <c r="AN29" s="1584"/>
      <c r="AO29" s="1327"/>
      <c r="AP29" s="1327"/>
      <c r="AQ29" s="1327"/>
      <c r="AR29" s="1331"/>
      <c r="AS29" s="1327"/>
      <c r="AT29" s="1327"/>
      <c r="AU29" s="1327"/>
      <c r="AV29" s="1327"/>
      <c r="AW29" s="1327"/>
      <c r="AX29" s="1327"/>
    </row>
    <row r="30" spans="1:51" s="260" customFormat="1" ht="76.900000000000006" customHeight="1">
      <c r="A30" s="1905" t="s">
        <v>1510</v>
      </c>
      <c r="B30" s="1922" t="s">
        <v>2052</v>
      </c>
      <c r="C30" s="1921" t="s">
        <v>2636</v>
      </c>
      <c r="D30" s="1921"/>
      <c r="E30" s="1921"/>
      <c r="F30" s="1909" t="s">
        <v>1492</v>
      </c>
      <c r="G30" s="1908" t="s">
        <v>1509</v>
      </c>
      <c r="H30" s="1908"/>
      <c r="I30" s="1908"/>
      <c r="J30" s="1905" t="s">
        <v>2637</v>
      </c>
      <c r="K30" s="1905"/>
      <c r="L30" s="1905"/>
      <c r="M30" s="1320" t="s">
        <v>8</v>
      </c>
      <c r="N30" s="1320">
        <v>1</v>
      </c>
      <c r="O30" s="1320"/>
      <c r="P30" s="1320" t="s">
        <v>8</v>
      </c>
      <c r="Q30" s="1404" t="s">
        <v>655</v>
      </c>
      <c r="R30" s="1404" t="s">
        <v>643</v>
      </c>
      <c r="S30" s="1028"/>
      <c r="T30" s="1029"/>
      <c r="U30" s="1029"/>
      <c r="V30" s="1915" t="str">
        <f>INDEX([76]Listas!$F$6:$J$10,MATCH(Q30,[76]Listas!$D$6:$D$10,0),MATCH(R30,[76]Listas!$F$4:$J$4,0))</f>
        <v>4
INFERIOR</v>
      </c>
      <c r="W30" s="1028"/>
      <c r="X30" s="1908" t="s">
        <v>2638</v>
      </c>
      <c r="Y30" s="1908"/>
      <c r="Z30" s="1908"/>
      <c r="AA30" s="1911" t="s">
        <v>4013</v>
      </c>
      <c r="AB30" s="1356" t="s">
        <v>2639</v>
      </c>
      <c r="AC30" s="1905" t="s">
        <v>2640</v>
      </c>
      <c r="AD30" s="1320">
        <v>72</v>
      </c>
      <c r="AE30" s="1909" t="s">
        <v>152</v>
      </c>
      <c r="AF30" s="1028"/>
      <c r="AG30" s="1029"/>
      <c r="AH30" s="311"/>
      <c r="AI30" s="1899" t="str">
        <f>IF(AH30&lt;=1,"Remota",VLOOKUP(AH30,[77]Listas!$C$6:$D$10,2,0))</f>
        <v>Remota</v>
      </c>
      <c r="AJ30" s="271">
        <f>IF(OR(AE30="Impacto",AE30="Ambos"),U30-AG30,U30)</f>
        <v>0</v>
      </c>
      <c r="AK30" s="1899" t="str">
        <f>IF(AJ30&lt;=1,"Insignificante",HLOOKUP(AJ30,[77]Listas!$F$3:$J$4,2,0))</f>
        <v>Insignificante</v>
      </c>
      <c r="AL30" s="273">
        <f>AH30*AJ30</f>
        <v>0</v>
      </c>
      <c r="AM30" s="1899" t="str">
        <f>INDEX([77]Listas!$F$6:$J$10,MATCH(AI30,[77]Listas!$D$6:$D$10,0),MATCH(AK30,[77]Listas!$F$4:$J$4,0))</f>
        <v>1
INFERIOR</v>
      </c>
      <c r="AN30" s="1913" t="s">
        <v>2641</v>
      </c>
      <c r="AO30" s="1886" t="s">
        <v>2642</v>
      </c>
      <c r="AP30" s="1325" t="s">
        <v>3427</v>
      </c>
      <c r="AQ30" s="1886" t="s">
        <v>4157</v>
      </c>
      <c r="AR30" s="1329" t="s">
        <v>3419</v>
      </c>
      <c r="AS30" s="1325" t="s">
        <v>36</v>
      </c>
      <c r="AT30" s="1886"/>
      <c r="AU30" s="1325"/>
      <c r="AV30" s="1886"/>
      <c r="AW30" s="1886"/>
      <c r="AX30" s="1325"/>
      <c r="AY30" s="262"/>
    </row>
    <row r="31" spans="1:51" s="260" customFormat="1" ht="294.60000000000002" customHeight="1">
      <c r="A31" s="1905"/>
      <c r="B31" s="1922"/>
      <c r="C31" s="1921"/>
      <c r="D31" s="1921"/>
      <c r="E31" s="1921"/>
      <c r="F31" s="1909"/>
      <c r="G31" s="1906" t="s">
        <v>2643</v>
      </c>
      <c r="H31" s="1906"/>
      <c r="I31" s="1906"/>
      <c r="J31" s="1905"/>
      <c r="K31" s="1905"/>
      <c r="L31" s="1905"/>
      <c r="M31" s="1320"/>
      <c r="N31" s="1320"/>
      <c r="O31" s="1320"/>
      <c r="P31" s="1320"/>
      <c r="Q31" s="1404"/>
      <c r="R31" s="1404"/>
      <c r="S31" s="1028"/>
      <c r="T31" s="1029"/>
      <c r="U31" s="1029"/>
      <c r="V31" s="1915"/>
      <c r="W31" s="1028"/>
      <c r="X31" s="1908" t="s">
        <v>2644</v>
      </c>
      <c r="Y31" s="1908"/>
      <c r="Z31" s="1908"/>
      <c r="AA31" s="1912"/>
      <c r="AB31" s="1356"/>
      <c r="AC31" s="1905"/>
      <c r="AD31" s="1320"/>
      <c r="AE31" s="1909"/>
      <c r="AF31" s="1028"/>
      <c r="AG31" s="1029"/>
      <c r="AH31" s="311"/>
      <c r="AI31" s="1901"/>
      <c r="AJ31" s="311"/>
      <c r="AK31" s="1901"/>
      <c r="AL31" s="1027"/>
      <c r="AM31" s="1901"/>
      <c r="AN31" s="1914"/>
      <c r="AO31" s="1888"/>
      <c r="AP31" s="1327"/>
      <c r="AQ31" s="1888"/>
      <c r="AR31" s="1331"/>
      <c r="AS31" s="1327"/>
      <c r="AT31" s="1888"/>
      <c r="AU31" s="1327"/>
      <c r="AV31" s="1888"/>
      <c r="AW31" s="1888"/>
      <c r="AX31" s="1327"/>
      <c r="AY31" s="262"/>
    </row>
    <row r="32" spans="1:51" s="260" customFormat="1" ht="94.15" customHeight="1">
      <c r="A32" s="1772" t="s">
        <v>2645</v>
      </c>
      <c r="B32" s="1920" t="s">
        <v>1235</v>
      </c>
      <c r="C32" s="1921" t="s">
        <v>2646</v>
      </c>
      <c r="D32" s="1921"/>
      <c r="E32" s="1921"/>
      <c r="F32" s="1909" t="s">
        <v>1492</v>
      </c>
      <c r="G32" s="1908" t="s">
        <v>2647</v>
      </c>
      <c r="H32" s="1908"/>
      <c r="I32" s="1908"/>
      <c r="J32" s="1905" t="s">
        <v>2648</v>
      </c>
      <c r="K32" s="1905"/>
      <c r="L32" s="1905"/>
      <c r="M32" s="1320"/>
      <c r="N32" s="1905">
        <v>5</v>
      </c>
      <c r="O32" s="1905" t="s">
        <v>8</v>
      </c>
      <c r="P32" s="1905" t="s">
        <v>8</v>
      </c>
      <c r="Q32" s="1909" t="s">
        <v>655</v>
      </c>
      <c r="R32" s="1909" t="s">
        <v>643</v>
      </c>
      <c r="S32" s="1028"/>
      <c r="T32" s="1029"/>
      <c r="U32" s="1029"/>
      <c r="V32" s="1919" t="str">
        <f>INDEX([76]Listas!$F$6:$J$10,MATCH(Q32,[76]Listas!$D$6:$D$10,0),MATCH(R32,[76]Listas!$F$4:$J$4,0))</f>
        <v>4
INFERIOR</v>
      </c>
      <c r="W32" s="1028"/>
      <c r="X32" s="1908" t="s">
        <v>2649</v>
      </c>
      <c r="Y32" s="1908"/>
      <c r="Z32" s="1908"/>
      <c r="AA32" s="1911" t="s">
        <v>4184</v>
      </c>
      <c r="AB32" s="1356" t="s">
        <v>2583</v>
      </c>
      <c r="AC32" s="1905" t="s">
        <v>2650</v>
      </c>
      <c r="AD32" s="1320">
        <v>67</v>
      </c>
      <c r="AE32" s="1909" t="s">
        <v>153</v>
      </c>
      <c r="AF32" s="1028"/>
      <c r="AG32" s="1029"/>
      <c r="AH32" s="311"/>
      <c r="AI32" s="1899" t="str">
        <f>IF(AH32&lt;=1,"Remota",VLOOKUP(AH32,[77]Listas!$C$6:$D$10,2,0))</f>
        <v>Remota</v>
      </c>
      <c r="AJ32" s="271">
        <f>IF(OR(AE32="Impacto",AE32="Ambos"),U32-AG32,U32)</f>
        <v>0</v>
      </c>
      <c r="AK32" s="1899" t="str">
        <f>IF(AJ32&lt;=1,"Insignificante",HLOOKUP(AJ32,[77]Listas!$F$3:$J$4,2,0))</f>
        <v>Insignificante</v>
      </c>
      <c r="AL32" s="273">
        <f>AH32*AJ32</f>
        <v>0</v>
      </c>
      <c r="AM32" s="1899" t="str">
        <f>INDEX([77]Listas!$F$6:$J$10,MATCH(AI32,[77]Listas!$D$6:$D$10,0),MATCH(AK32,[77]Listas!$F$4:$J$4,0))</f>
        <v>1
INFERIOR</v>
      </c>
      <c r="AN32" s="1917" t="s">
        <v>2651</v>
      </c>
      <c r="AO32" s="1325" t="s">
        <v>2652</v>
      </c>
      <c r="AP32" s="1325" t="s">
        <v>3427</v>
      </c>
      <c r="AQ32" s="1325" t="s">
        <v>4158</v>
      </c>
      <c r="AR32" s="1329" t="s">
        <v>3419</v>
      </c>
      <c r="AS32" s="1325" t="s">
        <v>36</v>
      </c>
      <c r="AT32" s="1325"/>
      <c r="AU32" s="1325"/>
      <c r="AV32" s="1325"/>
      <c r="AW32" s="1325"/>
      <c r="AX32" s="1325"/>
    </row>
    <row r="33" spans="1:51" s="260" customFormat="1" ht="48" customHeight="1">
      <c r="A33" s="1772"/>
      <c r="B33" s="1920"/>
      <c r="C33" s="1921"/>
      <c r="D33" s="1921"/>
      <c r="E33" s="1921"/>
      <c r="F33" s="1909"/>
      <c r="G33" s="1905" t="s">
        <v>2444</v>
      </c>
      <c r="H33" s="1905"/>
      <c r="I33" s="1905"/>
      <c r="J33" s="1905"/>
      <c r="K33" s="1905"/>
      <c r="L33" s="1905"/>
      <c r="M33" s="1320"/>
      <c r="N33" s="1905"/>
      <c r="O33" s="1905"/>
      <c r="P33" s="1905"/>
      <c r="Q33" s="1909"/>
      <c r="R33" s="1909"/>
      <c r="S33" s="1028"/>
      <c r="T33" s="1029"/>
      <c r="U33" s="1029"/>
      <c r="V33" s="1919"/>
      <c r="W33" s="1028"/>
      <c r="X33" s="1906" t="s">
        <v>2653</v>
      </c>
      <c r="Y33" s="1906"/>
      <c r="Z33" s="1906"/>
      <c r="AA33" s="1916"/>
      <c r="AB33" s="1356"/>
      <c r="AC33" s="1905"/>
      <c r="AD33" s="1320"/>
      <c r="AE33" s="1909"/>
      <c r="AF33" s="1028"/>
      <c r="AG33" s="1029"/>
      <c r="AH33" s="311"/>
      <c r="AI33" s="1900"/>
      <c r="AJ33" s="311"/>
      <c r="AK33" s="1900"/>
      <c r="AL33" s="1027"/>
      <c r="AM33" s="1900"/>
      <c r="AN33" s="1918"/>
      <c r="AO33" s="1326"/>
      <c r="AP33" s="1326"/>
      <c r="AQ33" s="1326"/>
      <c r="AR33" s="1330"/>
      <c r="AS33" s="1326"/>
      <c r="AT33" s="1326"/>
      <c r="AU33" s="1326"/>
      <c r="AV33" s="1326"/>
      <c r="AW33" s="1326"/>
      <c r="AX33" s="1326"/>
    </row>
    <row r="34" spans="1:51" s="260" customFormat="1" ht="43.15" customHeight="1">
      <c r="A34" s="1772"/>
      <c r="B34" s="1920"/>
      <c r="C34" s="1921"/>
      <c r="D34" s="1921"/>
      <c r="E34" s="1921"/>
      <c r="F34" s="1909"/>
      <c r="G34" s="1905" t="s">
        <v>1786</v>
      </c>
      <c r="H34" s="1905"/>
      <c r="I34" s="1905"/>
      <c r="J34" s="1905"/>
      <c r="K34" s="1905"/>
      <c r="L34" s="1905"/>
      <c r="M34" s="1320"/>
      <c r="N34" s="1905"/>
      <c r="O34" s="1905"/>
      <c r="P34" s="1905"/>
      <c r="Q34" s="1909"/>
      <c r="R34" s="1909"/>
      <c r="S34" s="1028"/>
      <c r="T34" s="1029"/>
      <c r="U34" s="1029"/>
      <c r="V34" s="1919"/>
      <c r="W34" s="1028"/>
      <c r="X34" s="1906"/>
      <c r="Y34" s="1906"/>
      <c r="Z34" s="1906"/>
      <c r="AA34" s="1916"/>
      <c r="AB34" s="1356"/>
      <c r="AC34" s="1905"/>
      <c r="AD34" s="1320"/>
      <c r="AE34" s="1909"/>
      <c r="AF34" s="1028"/>
      <c r="AG34" s="1029"/>
      <c r="AH34" s="311"/>
      <c r="AI34" s="1900"/>
      <c r="AJ34" s="311"/>
      <c r="AK34" s="1900"/>
      <c r="AL34" s="1027"/>
      <c r="AM34" s="1900"/>
      <c r="AN34" s="1918"/>
      <c r="AO34" s="1326"/>
      <c r="AP34" s="1326"/>
      <c r="AQ34" s="1326"/>
      <c r="AR34" s="1330"/>
      <c r="AS34" s="1326"/>
      <c r="AT34" s="1326"/>
      <c r="AU34" s="1326"/>
      <c r="AV34" s="1326"/>
      <c r="AW34" s="1326"/>
      <c r="AX34" s="1326"/>
    </row>
    <row r="35" spans="1:51" s="260" customFormat="1" ht="40.9" customHeight="1">
      <c r="A35" s="1772"/>
      <c r="B35" s="1920"/>
      <c r="C35" s="1921"/>
      <c r="D35" s="1921"/>
      <c r="E35" s="1921"/>
      <c r="F35" s="1909"/>
      <c r="G35" s="1905" t="s">
        <v>2654</v>
      </c>
      <c r="H35" s="1905"/>
      <c r="I35" s="1905"/>
      <c r="J35" s="1905"/>
      <c r="K35" s="1905"/>
      <c r="L35" s="1905"/>
      <c r="M35" s="1320"/>
      <c r="N35" s="1905"/>
      <c r="O35" s="1905"/>
      <c r="P35" s="1905"/>
      <c r="Q35" s="1909"/>
      <c r="R35" s="1909"/>
      <c r="S35" s="1028"/>
      <c r="T35" s="1029"/>
      <c r="U35" s="1029"/>
      <c r="V35" s="1919"/>
      <c r="W35" s="1028"/>
      <c r="X35" s="1907" t="s">
        <v>1485</v>
      </c>
      <c r="Y35" s="1907"/>
      <c r="Z35" s="1907"/>
      <c r="AA35" s="1916"/>
      <c r="AB35" s="1356"/>
      <c r="AC35" s="1905"/>
      <c r="AD35" s="1320"/>
      <c r="AE35" s="1909"/>
      <c r="AF35" s="1028"/>
      <c r="AG35" s="1029"/>
      <c r="AH35" s="311"/>
      <c r="AI35" s="1900"/>
      <c r="AJ35" s="311"/>
      <c r="AK35" s="1900"/>
      <c r="AL35" s="1027"/>
      <c r="AM35" s="1900"/>
      <c r="AN35" s="1918"/>
      <c r="AO35" s="1326"/>
      <c r="AP35" s="1326"/>
      <c r="AQ35" s="1326"/>
      <c r="AR35" s="1330"/>
      <c r="AS35" s="1326"/>
      <c r="AT35" s="1326"/>
      <c r="AU35" s="1326"/>
      <c r="AV35" s="1326"/>
      <c r="AW35" s="1326"/>
      <c r="AX35" s="1326"/>
    </row>
    <row r="36" spans="1:51" s="260" customFormat="1" ht="166.9" customHeight="1">
      <c r="A36" s="1772"/>
      <c r="B36" s="1920"/>
      <c r="C36" s="1921"/>
      <c r="D36" s="1921"/>
      <c r="E36" s="1921"/>
      <c r="F36" s="1909"/>
      <c r="G36" s="1906" t="s">
        <v>2655</v>
      </c>
      <c r="H36" s="1906"/>
      <c r="I36" s="1906"/>
      <c r="J36" s="1905"/>
      <c r="K36" s="1905"/>
      <c r="L36" s="1905"/>
      <c r="M36" s="1320"/>
      <c r="N36" s="1905"/>
      <c r="O36" s="1905"/>
      <c r="P36" s="1905"/>
      <c r="Q36" s="1909"/>
      <c r="R36" s="1909"/>
      <c r="S36" s="1028"/>
      <c r="T36" s="1029"/>
      <c r="U36" s="1029"/>
      <c r="V36" s="1919" t="e">
        <f>INDEX([76]Listas!$F$6:$J$10,MATCH(Q36,[76]Listas!$D$6:$D$10,0),MATCH(R36,[76]Listas!$F$4:$J$4,0))</f>
        <v>#N/A</v>
      </c>
      <c r="W36" s="1028"/>
      <c r="X36" s="1908" t="s">
        <v>2656</v>
      </c>
      <c r="Y36" s="1908"/>
      <c r="Z36" s="1908"/>
      <c r="AA36" s="1912"/>
      <c r="AB36" s="1356"/>
      <c r="AC36" s="1905"/>
      <c r="AD36" s="1320"/>
      <c r="AE36" s="1909"/>
      <c r="AF36" s="1028"/>
      <c r="AG36" s="1029"/>
      <c r="AH36" s="311"/>
      <c r="AI36" s="1901"/>
      <c r="AJ36" s="311"/>
      <c r="AK36" s="1901"/>
      <c r="AL36" s="1027"/>
      <c r="AM36" s="1901"/>
      <c r="AN36" s="1584"/>
      <c r="AO36" s="1327"/>
      <c r="AP36" s="1327"/>
      <c r="AQ36" s="1327"/>
      <c r="AR36" s="1331"/>
      <c r="AS36" s="1327"/>
      <c r="AT36" s="1327"/>
      <c r="AU36" s="1327"/>
      <c r="AV36" s="1327"/>
      <c r="AW36" s="1327"/>
      <c r="AX36" s="1327"/>
    </row>
    <row r="37" spans="1:51" s="309" customFormat="1" ht="42.6" customHeight="1">
      <c r="A37" s="1890" t="s">
        <v>1512</v>
      </c>
      <c r="B37" s="1366" t="s">
        <v>1241</v>
      </c>
      <c r="C37" s="1910" t="s">
        <v>1198</v>
      </c>
      <c r="D37" s="1910"/>
      <c r="E37" s="1910"/>
      <c r="F37" s="1903" t="s">
        <v>1537</v>
      </c>
      <c r="G37" s="1895" t="s">
        <v>1199</v>
      </c>
      <c r="H37" s="1895"/>
      <c r="I37" s="1895"/>
      <c r="J37" s="1904" t="s">
        <v>2657</v>
      </c>
      <c r="K37" s="1904"/>
      <c r="L37" s="1904"/>
      <c r="M37" s="1890" t="s">
        <v>684</v>
      </c>
      <c r="N37" s="1890">
        <v>5</v>
      </c>
      <c r="O37" s="1890" t="s">
        <v>684</v>
      </c>
      <c r="P37" s="1890" t="s">
        <v>684</v>
      </c>
      <c r="Q37" s="1891" t="s">
        <v>654</v>
      </c>
      <c r="R37" s="1891" t="s">
        <v>661</v>
      </c>
      <c r="S37" s="344"/>
      <c r="T37" s="1036"/>
      <c r="U37" s="1036"/>
      <c r="V37" s="1902" t="str">
        <f>INDEX([76]Listas!$F$6:$J$10,MATCH(Q37,[76]Listas!$D$6:$D$10,0),MATCH(R37,[76]Listas!$F$4:$J$4,0))</f>
        <v>1
INFERIOR</v>
      </c>
      <c r="W37" s="344"/>
      <c r="X37" s="1895" t="s">
        <v>2658</v>
      </c>
      <c r="Y37" s="1895"/>
      <c r="Z37" s="1895"/>
      <c r="AA37" s="1892" t="s">
        <v>4185</v>
      </c>
      <c r="AB37" s="1903" t="s">
        <v>2659</v>
      </c>
      <c r="AC37" s="1904" t="s">
        <v>1541</v>
      </c>
      <c r="AD37" s="1890">
        <v>76</v>
      </c>
      <c r="AE37" s="1889" t="s">
        <v>153</v>
      </c>
      <c r="AF37" s="1890"/>
      <c r="AG37" s="1890"/>
      <c r="AH37" s="1890"/>
      <c r="AI37" s="1899" t="str">
        <f>IF(AH37&lt;=1,"Remota",VLOOKUP(AH37,[77]Listas!$C$6:$D$10,2,0))</f>
        <v>Remota</v>
      </c>
      <c r="AJ37" s="271">
        <f>IF(OR(AE37="Impacto",AE37="Ambos"),U37-AG37,U37)</f>
        <v>0</v>
      </c>
      <c r="AK37" s="1899" t="str">
        <f>IF(AJ37&lt;=1,"Insignificante",HLOOKUP(AJ37,[77]Listas!$F$3:$J$4,2,0))</f>
        <v>Insignificante</v>
      </c>
      <c r="AL37" s="273">
        <f>AH37*AJ37</f>
        <v>0</v>
      </c>
      <c r="AM37" s="1899" t="str">
        <f>INDEX([77]Listas!$F$6:$J$10,MATCH(AI37,[77]Listas!$D$6:$D$10,0),MATCH(AK37,[77]Listas!$F$4:$J$4,0))</f>
        <v>1
INFERIOR</v>
      </c>
      <c r="AN37" s="1897" t="s">
        <v>2660</v>
      </c>
      <c r="AO37" s="1897" t="s">
        <v>2661</v>
      </c>
      <c r="AP37" s="1380" t="s">
        <v>4159</v>
      </c>
      <c r="AQ37" s="1897" t="s">
        <v>4160</v>
      </c>
      <c r="AR37" s="1898" t="s">
        <v>3419</v>
      </c>
      <c r="AS37" s="1380" t="s">
        <v>36</v>
      </c>
      <c r="AT37" s="1886"/>
      <c r="AU37" s="1325"/>
      <c r="AV37" s="1886"/>
      <c r="AW37" s="1886"/>
      <c r="AX37" s="1325"/>
    </row>
    <row r="38" spans="1:51" s="309" customFormat="1" ht="36.6" customHeight="1">
      <c r="A38" s="1890"/>
      <c r="B38" s="1366"/>
      <c r="C38" s="1910"/>
      <c r="D38" s="1910"/>
      <c r="E38" s="1910"/>
      <c r="F38" s="1903"/>
      <c r="G38" s="1895" t="s">
        <v>1201</v>
      </c>
      <c r="H38" s="1895"/>
      <c r="I38" s="1895"/>
      <c r="J38" s="1904"/>
      <c r="K38" s="1904"/>
      <c r="L38" s="1904"/>
      <c r="M38" s="1890"/>
      <c r="N38" s="1890"/>
      <c r="O38" s="1890"/>
      <c r="P38" s="1890"/>
      <c r="Q38" s="1891"/>
      <c r="R38" s="1891"/>
      <c r="S38" s="344"/>
      <c r="T38" s="1036"/>
      <c r="U38" s="1036"/>
      <c r="V38" s="1902"/>
      <c r="W38" s="344"/>
      <c r="X38" s="1895"/>
      <c r="Y38" s="1895"/>
      <c r="Z38" s="1895"/>
      <c r="AA38" s="1893"/>
      <c r="AB38" s="1903"/>
      <c r="AC38" s="1904"/>
      <c r="AD38" s="1890"/>
      <c r="AE38" s="1889"/>
      <c r="AF38" s="1890"/>
      <c r="AG38" s="1890"/>
      <c r="AH38" s="1890"/>
      <c r="AI38" s="1900"/>
      <c r="AJ38" s="348"/>
      <c r="AK38" s="1900"/>
      <c r="AL38" s="348"/>
      <c r="AM38" s="1900"/>
      <c r="AN38" s="1897"/>
      <c r="AO38" s="1897"/>
      <c r="AP38" s="1380"/>
      <c r="AQ38" s="1897"/>
      <c r="AR38" s="1898"/>
      <c r="AS38" s="1380"/>
      <c r="AT38" s="1887"/>
      <c r="AU38" s="1326"/>
      <c r="AV38" s="1887"/>
      <c r="AW38" s="1887"/>
      <c r="AX38" s="1326"/>
    </row>
    <row r="39" spans="1:51" s="309" customFormat="1" ht="230.45" customHeight="1">
      <c r="A39" s="1890"/>
      <c r="B39" s="1366"/>
      <c r="C39" s="1910"/>
      <c r="D39" s="1910"/>
      <c r="E39" s="1910"/>
      <c r="F39" s="1903"/>
      <c r="G39" s="1895" t="s">
        <v>1202</v>
      </c>
      <c r="H39" s="1895"/>
      <c r="I39" s="1895"/>
      <c r="J39" s="1904"/>
      <c r="K39" s="1904"/>
      <c r="L39" s="1904"/>
      <c r="M39" s="1890"/>
      <c r="N39" s="1890"/>
      <c r="O39" s="1890"/>
      <c r="P39" s="1890"/>
      <c r="Q39" s="1891"/>
      <c r="R39" s="1891"/>
      <c r="S39" s="344"/>
      <c r="T39" s="1036"/>
      <c r="U39" s="1036"/>
      <c r="V39" s="1902"/>
      <c r="W39" s="344"/>
      <c r="X39" s="1896" t="s">
        <v>2662</v>
      </c>
      <c r="Y39" s="1896"/>
      <c r="Z39" s="1896"/>
      <c r="AA39" s="1894"/>
      <c r="AB39" s="1903"/>
      <c r="AC39" s="1904"/>
      <c r="AD39" s="1890"/>
      <c r="AE39" s="1889"/>
      <c r="AF39" s="1890"/>
      <c r="AG39" s="1890"/>
      <c r="AH39" s="1890"/>
      <c r="AI39" s="1901"/>
      <c r="AJ39" s="348"/>
      <c r="AK39" s="1901"/>
      <c r="AL39" s="348"/>
      <c r="AM39" s="1901"/>
      <c r="AN39" s="1897"/>
      <c r="AO39" s="1897"/>
      <c r="AP39" s="1380"/>
      <c r="AQ39" s="1897"/>
      <c r="AR39" s="1898"/>
      <c r="AS39" s="1380"/>
      <c r="AT39" s="1888"/>
      <c r="AU39" s="1327"/>
      <c r="AV39" s="1888"/>
      <c r="AW39" s="1888"/>
      <c r="AX39" s="1327"/>
    </row>
    <row r="40" spans="1:51" s="260" customFormat="1" ht="103.5" hidden="1" customHeight="1">
      <c r="A40" s="349"/>
      <c r="B40" s="1025"/>
      <c r="C40" s="1883"/>
      <c r="D40" s="1884"/>
      <c r="E40" s="1885"/>
      <c r="F40" s="1023"/>
      <c r="G40" s="1883"/>
      <c r="H40" s="1884"/>
      <c r="I40" s="1885"/>
      <c r="J40" s="1883"/>
      <c r="K40" s="1884"/>
      <c r="L40" s="1885"/>
      <c r="M40" s="1014"/>
      <c r="N40" s="1014"/>
      <c r="O40" s="1014"/>
      <c r="P40" s="1014"/>
      <c r="Q40" s="1025"/>
      <c r="R40" s="1025"/>
      <c r="S40" s="299"/>
      <c r="T40" s="501" t="e">
        <f>VLOOKUP(Q40,[76]Listas!$D$6:$E$10,2,0)</f>
        <v>#N/A</v>
      </c>
      <c r="U40" s="501" t="e">
        <f>HLOOKUP(R40,[76]Listas!$F$4:$J$5,2,0)</f>
        <v>#N/A</v>
      </c>
      <c r="V40" s="1022"/>
      <c r="W40" s="299"/>
      <c r="X40" s="1883"/>
      <c r="Y40" s="1884"/>
      <c r="Z40" s="1885"/>
      <c r="AA40" s="1094"/>
      <c r="AB40" s="1023"/>
      <c r="AC40" s="1035"/>
      <c r="AD40" s="1014"/>
      <c r="AE40" s="1023"/>
      <c r="AF40" s="299"/>
      <c r="AG40" s="501">
        <f t="shared" ref="AG40:AG87" si="0">IF(AD40&lt;=33,0,IF(AD40&gt;81,2,1))</f>
        <v>0</v>
      </c>
      <c r="AH40" s="350" t="e">
        <f t="shared" ref="AH40:AH87" si="1">IF(OR(AE40="Probabilidad",AE40="Ambos"),T40-AG40,T40)</f>
        <v>#N/A</v>
      </c>
      <c r="AI40" s="1024" t="e">
        <f>IF(AH40&lt;=1,"Remota",VLOOKUP(AH40,[76]Listas!$C$6:$D$10,2,0))</f>
        <v>#N/A</v>
      </c>
      <c r="AJ40" s="350" t="e">
        <f t="shared" ref="AJ40:AJ87" si="2">IF(OR(AE40="Impacto",AE40="Ambos"),U40-AG40,U40)</f>
        <v>#N/A</v>
      </c>
      <c r="AK40" s="1024" t="e">
        <f>IF(AJ40&lt;=1,"Insignificante",HLOOKUP(AJ40,[76]Listas!$F$3:$J$4,2,0))</f>
        <v>#N/A</v>
      </c>
      <c r="AL40" s="497" t="e">
        <f t="shared" ref="AL40:AL87" si="3">AH40*AJ40</f>
        <v>#N/A</v>
      </c>
      <c r="AM40" s="1034" t="e">
        <f>INDEX([76]Listas!$F$6:$J$10,MATCH(AI40,[76]Listas!$D$6:$D$10,0),MATCH(AK40,[76]Listas!$F$4:$J$4,0))</f>
        <v>#N/A</v>
      </c>
      <c r="AN40" s="259"/>
      <c r="AO40" s="259"/>
      <c r="AP40" s="1020"/>
      <c r="AQ40" s="259"/>
      <c r="AR40" s="1017" t="s">
        <v>2343</v>
      </c>
      <c r="AS40" s="1016"/>
      <c r="AT40" s="259"/>
      <c r="AU40" s="259"/>
      <c r="AV40" s="261"/>
      <c r="AW40" s="261"/>
      <c r="AX40" s="1016"/>
      <c r="AY40" s="262"/>
    </row>
    <row r="41" spans="1:51" s="260" customFormat="1" ht="103.5" hidden="1" customHeight="1">
      <c r="A41" s="351"/>
      <c r="B41" s="1015"/>
      <c r="C41" s="1342"/>
      <c r="D41" s="1343"/>
      <c r="E41" s="1344"/>
      <c r="F41" s="1013"/>
      <c r="G41" s="1342"/>
      <c r="H41" s="1343"/>
      <c r="I41" s="1344"/>
      <c r="J41" s="1342"/>
      <c r="K41" s="1343"/>
      <c r="L41" s="1344"/>
      <c r="M41" s="1012"/>
      <c r="N41" s="1012"/>
      <c r="O41" s="1012"/>
      <c r="P41" s="1012"/>
      <c r="Q41" s="1015"/>
      <c r="R41" s="1015"/>
      <c r="S41" s="499"/>
      <c r="T41" s="1029" t="e">
        <f>VLOOKUP(Q41,[76]Listas!$D$6:$E$10,2,0)</f>
        <v>#N/A</v>
      </c>
      <c r="U41" s="1029" t="e">
        <f>HLOOKUP(R41,[76]Listas!$F$4:$J$5,2,0)</f>
        <v>#N/A</v>
      </c>
      <c r="V41" s="1019"/>
      <c r="W41" s="499"/>
      <c r="X41" s="1342"/>
      <c r="Y41" s="1343"/>
      <c r="Z41" s="1344"/>
      <c r="AA41" s="1071"/>
      <c r="AB41" s="1013"/>
      <c r="AC41" s="1026"/>
      <c r="AD41" s="1012"/>
      <c r="AE41" s="1013"/>
      <c r="AF41" s="499"/>
      <c r="AG41" s="1029">
        <f t="shared" si="0"/>
        <v>0</v>
      </c>
      <c r="AH41" s="298" t="e">
        <f t="shared" si="1"/>
        <v>#N/A</v>
      </c>
      <c r="AI41" s="1018" t="e">
        <f>IF(AH41&lt;=1,"Remota",VLOOKUP(AH41,[76]Listas!$C$6:$D$10,2,0))</f>
        <v>#N/A</v>
      </c>
      <c r="AJ41" s="298" t="e">
        <f t="shared" si="2"/>
        <v>#N/A</v>
      </c>
      <c r="AK41" s="1018" t="e">
        <f>IF(AJ41&lt;=1,"Insignificante",HLOOKUP(AJ41,[76]Listas!$F$3:$J$4,2,0))</f>
        <v>#N/A</v>
      </c>
      <c r="AL41" s="1027" t="e">
        <f t="shared" si="3"/>
        <v>#N/A</v>
      </c>
      <c r="AM41" s="352" t="e">
        <f>INDEX([76]Listas!$F$6:$J$10,MATCH(AI41,[76]Listas!$D$6:$D$10,0),MATCH(AK41,[76]Listas!$F$4:$J$4,0))</f>
        <v>#N/A</v>
      </c>
      <c r="AN41" s="259"/>
      <c r="AO41" s="259"/>
      <c r="AP41" s="1020"/>
      <c r="AQ41" s="259"/>
      <c r="AR41" s="1017" t="s">
        <v>2343</v>
      </c>
      <c r="AS41" s="1016"/>
      <c r="AT41" s="259"/>
      <c r="AU41" s="259"/>
      <c r="AV41" s="261"/>
      <c r="AW41" s="261"/>
      <c r="AX41" s="1016"/>
      <c r="AY41" s="262"/>
    </row>
    <row r="42" spans="1:51" s="260" customFormat="1" ht="103.5" hidden="1" customHeight="1">
      <c r="A42" s="351"/>
      <c r="B42" s="1015"/>
      <c r="C42" s="1342"/>
      <c r="D42" s="1343"/>
      <c r="E42" s="1344"/>
      <c r="F42" s="1013"/>
      <c r="G42" s="1342"/>
      <c r="H42" s="1343"/>
      <c r="I42" s="1344"/>
      <c r="J42" s="1342"/>
      <c r="K42" s="1343"/>
      <c r="L42" s="1344"/>
      <c r="M42" s="1012"/>
      <c r="N42" s="1012"/>
      <c r="O42" s="1012"/>
      <c r="P42" s="1012"/>
      <c r="Q42" s="1015"/>
      <c r="R42" s="1015"/>
      <c r="S42" s="499"/>
      <c r="T42" s="1029" t="e">
        <f>VLOOKUP(Q42,[76]Listas!$D$6:$E$10,2,0)</f>
        <v>#N/A</v>
      </c>
      <c r="U42" s="1029" t="e">
        <f>HLOOKUP(R42,[76]Listas!$F$4:$J$5,2,0)</f>
        <v>#N/A</v>
      </c>
      <c r="V42" s="1019"/>
      <c r="W42" s="499"/>
      <c r="X42" s="1342"/>
      <c r="Y42" s="1343"/>
      <c r="Z42" s="1344"/>
      <c r="AA42" s="1071"/>
      <c r="AB42" s="1013"/>
      <c r="AC42" s="1026"/>
      <c r="AD42" s="1012"/>
      <c r="AE42" s="1013"/>
      <c r="AF42" s="499"/>
      <c r="AG42" s="1029">
        <f t="shared" si="0"/>
        <v>0</v>
      </c>
      <c r="AH42" s="298" t="e">
        <f t="shared" si="1"/>
        <v>#N/A</v>
      </c>
      <c r="AI42" s="1018" t="e">
        <f>IF(AH42&lt;=1,"Remota",VLOOKUP(AH42,[76]Listas!$C$6:$D$10,2,0))</f>
        <v>#N/A</v>
      </c>
      <c r="AJ42" s="298" t="e">
        <f t="shared" si="2"/>
        <v>#N/A</v>
      </c>
      <c r="AK42" s="1018" t="e">
        <f>IF(AJ42&lt;=1,"Insignificante",HLOOKUP(AJ42,[76]Listas!$F$3:$J$4,2,0))</f>
        <v>#N/A</v>
      </c>
      <c r="AL42" s="1027" t="e">
        <f t="shared" si="3"/>
        <v>#N/A</v>
      </c>
      <c r="AM42" s="352" t="e">
        <f>INDEX([76]Listas!$F$6:$J$10,MATCH(AI42,[76]Listas!$D$6:$D$10,0),MATCH(AK42,[76]Listas!$F$4:$J$4,0))</f>
        <v>#N/A</v>
      </c>
      <c r="AN42" s="259"/>
      <c r="AO42" s="259"/>
      <c r="AP42" s="1020"/>
      <c r="AQ42" s="259"/>
      <c r="AR42" s="1017" t="s">
        <v>2343</v>
      </c>
      <c r="AS42" s="1016"/>
      <c r="AT42" s="259"/>
      <c r="AU42" s="259"/>
      <c r="AV42" s="261"/>
      <c r="AW42" s="261"/>
      <c r="AX42" s="1016"/>
      <c r="AY42" s="262"/>
    </row>
    <row r="43" spans="1:51" s="260" customFormat="1" ht="103.5" hidden="1" customHeight="1">
      <c r="A43" s="351"/>
      <c r="B43" s="1015"/>
      <c r="C43" s="1342"/>
      <c r="D43" s="1343"/>
      <c r="E43" s="1344"/>
      <c r="F43" s="1013"/>
      <c r="G43" s="1342"/>
      <c r="H43" s="1343"/>
      <c r="I43" s="1344"/>
      <c r="J43" s="1342"/>
      <c r="K43" s="1343"/>
      <c r="L43" s="1344"/>
      <c r="M43" s="1012"/>
      <c r="N43" s="1012"/>
      <c r="O43" s="1012"/>
      <c r="P43" s="1012"/>
      <c r="Q43" s="1015"/>
      <c r="R43" s="1015"/>
      <c r="S43" s="499"/>
      <c r="T43" s="1029" t="e">
        <f>VLOOKUP(Q43,[76]Listas!$D$6:$E$10,2,0)</f>
        <v>#N/A</v>
      </c>
      <c r="U43" s="1029" t="e">
        <f>HLOOKUP(R43,[76]Listas!$F$4:$J$5,2,0)</f>
        <v>#N/A</v>
      </c>
      <c r="V43" s="1019"/>
      <c r="W43" s="499"/>
      <c r="X43" s="1342"/>
      <c r="Y43" s="1343"/>
      <c r="Z43" s="1344"/>
      <c r="AA43" s="1071"/>
      <c r="AB43" s="1013"/>
      <c r="AC43" s="1026"/>
      <c r="AD43" s="1012"/>
      <c r="AE43" s="1013"/>
      <c r="AF43" s="499"/>
      <c r="AG43" s="1029">
        <f t="shared" si="0"/>
        <v>0</v>
      </c>
      <c r="AH43" s="298" t="e">
        <f t="shared" si="1"/>
        <v>#N/A</v>
      </c>
      <c r="AI43" s="1018" t="e">
        <f>IF(AH43&lt;=1,"Remota",VLOOKUP(AH43,[76]Listas!$C$6:$D$10,2,0))</f>
        <v>#N/A</v>
      </c>
      <c r="AJ43" s="298" t="e">
        <f t="shared" si="2"/>
        <v>#N/A</v>
      </c>
      <c r="AK43" s="1018" t="e">
        <f>IF(AJ43&lt;=1,"Insignificante",HLOOKUP(AJ43,[76]Listas!$F$3:$J$4,2,0))</f>
        <v>#N/A</v>
      </c>
      <c r="AL43" s="1027" t="e">
        <f t="shared" si="3"/>
        <v>#N/A</v>
      </c>
      <c r="AM43" s="352" t="e">
        <f>INDEX([76]Listas!$F$6:$J$10,MATCH(AI43,[76]Listas!$D$6:$D$10,0),MATCH(AK43,[76]Listas!$F$4:$J$4,0))</f>
        <v>#N/A</v>
      </c>
      <c r="AN43" s="259"/>
      <c r="AO43" s="259"/>
      <c r="AP43" s="1020"/>
      <c r="AQ43" s="259"/>
      <c r="AR43" s="1017" t="s">
        <v>2343</v>
      </c>
      <c r="AS43" s="1016"/>
      <c r="AT43" s="259"/>
      <c r="AU43" s="259"/>
      <c r="AV43" s="261"/>
      <c r="AW43" s="261"/>
      <c r="AX43" s="1016"/>
      <c r="AY43" s="262"/>
    </row>
    <row r="44" spans="1:51" s="260" customFormat="1" ht="103.5" hidden="1" customHeight="1">
      <c r="A44" s="351"/>
      <c r="B44" s="1015"/>
      <c r="C44" s="1342"/>
      <c r="D44" s="1343"/>
      <c r="E44" s="1344"/>
      <c r="F44" s="1013"/>
      <c r="G44" s="1342"/>
      <c r="H44" s="1343"/>
      <c r="I44" s="1344"/>
      <c r="J44" s="1342"/>
      <c r="K44" s="1343"/>
      <c r="L44" s="1344"/>
      <c r="M44" s="1012"/>
      <c r="N44" s="1012"/>
      <c r="O44" s="1012"/>
      <c r="P44" s="1012"/>
      <c r="Q44" s="1015"/>
      <c r="R44" s="1015"/>
      <c r="S44" s="499"/>
      <c r="T44" s="1029" t="e">
        <f>VLOOKUP(Q44,[76]Listas!$D$6:$E$10,2,0)</f>
        <v>#N/A</v>
      </c>
      <c r="U44" s="1029" t="e">
        <f>HLOOKUP(R44,[76]Listas!$F$4:$J$5,2,0)</f>
        <v>#N/A</v>
      </c>
      <c r="V44" s="1019"/>
      <c r="W44" s="499"/>
      <c r="X44" s="1342"/>
      <c r="Y44" s="1343"/>
      <c r="Z44" s="1344"/>
      <c r="AA44" s="1071"/>
      <c r="AB44" s="1013"/>
      <c r="AC44" s="1026"/>
      <c r="AD44" s="1012"/>
      <c r="AE44" s="1013"/>
      <c r="AF44" s="499"/>
      <c r="AG44" s="1029">
        <f t="shared" si="0"/>
        <v>0</v>
      </c>
      <c r="AH44" s="298" t="e">
        <f t="shared" si="1"/>
        <v>#N/A</v>
      </c>
      <c r="AI44" s="1018" t="e">
        <f>IF(AH44&lt;=1,"Remota",VLOOKUP(AH44,[76]Listas!$C$6:$D$10,2,0))</f>
        <v>#N/A</v>
      </c>
      <c r="AJ44" s="298" t="e">
        <f t="shared" si="2"/>
        <v>#N/A</v>
      </c>
      <c r="AK44" s="1018" t="e">
        <f>IF(AJ44&lt;=1,"Insignificante",HLOOKUP(AJ44,[76]Listas!$F$3:$J$4,2,0))</f>
        <v>#N/A</v>
      </c>
      <c r="AL44" s="1027" t="e">
        <f t="shared" si="3"/>
        <v>#N/A</v>
      </c>
      <c r="AM44" s="352" t="e">
        <f>INDEX([76]Listas!$F$6:$J$10,MATCH(AI44,[76]Listas!$D$6:$D$10,0),MATCH(AK44,[76]Listas!$F$4:$J$4,0))</f>
        <v>#N/A</v>
      </c>
      <c r="AN44" s="259"/>
      <c r="AO44" s="259"/>
      <c r="AP44" s="1020"/>
      <c r="AQ44" s="259"/>
      <c r="AR44" s="1017" t="s">
        <v>2343</v>
      </c>
      <c r="AS44" s="1016"/>
      <c r="AT44" s="259"/>
      <c r="AU44" s="259"/>
      <c r="AV44" s="261"/>
      <c r="AW44" s="261"/>
      <c r="AX44" s="1016"/>
      <c r="AY44" s="262"/>
    </row>
    <row r="45" spans="1:51" s="260" customFormat="1" ht="103.5" hidden="1" customHeight="1">
      <c r="A45" s="351"/>
      <c r="B45" s="1015"/>
      <c r="C45" s="1342"/>
      <c r="D45" s="1343"/>
      <c r="E45" s="1344"/>
      <c r="F45" s="1013"/>
      <c r="G45" s="1342"/>
      <c r="H45" s="1343"/>
      <c r="I45" s="1344"/>
      <c r="J45" s="1342"/>
      <c r="K45" s="1343"/>
      <c r="L45" s="1344"/>
      <c r="M45" s="1012"/>
      <c r="N45" s="1012"/>
      <c r="O45" s="1012"/>
      <c r="P45" s="1012"/>
      <c r="Q45" s="1015"/>
      <c r="R45" s="1015"/>
      <c r="S45" s="499"/>
      <c r="T45" s="1029" t="e">
        <f>VLOOKUP(Q45,[76]Listas!$D$6:$E$10,2,0)</f>
        <v>#N/A</v>
      </c>
      <c r="U45" s="1029" t="e">
        <f>HLOOKUP(R45,[76]Listas!$F$4:$J$5,2,0)</f>
        <v>#N/A</v>
      </c>
      <c r="V45" s="1019"/>
      <c r="W45" s="499"/>
      <c r="X45" s="1342"/>
      <c r="Y45" s="1343"/>
      <c r="Z45" s="1344"/>
      <c r="AA45" s="1071"/>
      <c r="AB45" s="1013"/>
      <c r="AC45" s="1026"/>
      <c r="AD45" s="1012"/>
      <c r="AE45" s="1013"/>
      <c r="AF45" s="499"/>
      <c r="AG45" s="1029">
        <f t="shared" si="0"/>
        <v>0</v>
      </c>
      <c r="AH45" s="298" t="e">
        <f t="shared" si="1"/>
        <v>#N/A</v>
      </c>
      <c r="AI45" s="1018" t="e">
        <f>IF(AH45&lt;=1,"Remota",VLOOKUP(AH45,[76]Listas!$C$6:$D$10,2,0))</f>
        <v>#N/A</v>
      </c>
      <c r="AJ45" s="298" t="e">
        <f t="shared" si="2"/>
        <v>#N/A</v>
      </c>
      <c r="AK45" s="1018" t="e">
        <f>IF(AJ45&lt;=1,"Insignificante",HLOOKUP(AJ45,[76]Listas!$F$3:$J$4,2,0))</f>
        <v>#N/A</v>
      </c>
      <c r="AL45" s="1027" t="e">
        <f t="shared" si="3"/>
        <v>#N/A</v>
      </c>
      <c r="AM45" s="352" t="e">
        <f>INDEX([76]Listas!$F$6:$J$10,MATCH(AI45,[76]Listas!$D$6:$D$10,0),MATCH(AK45,[76]Listas!$F$4:$J$4,0))</f>
        <v>#N/A</v>
      </c>
      <c r="AN45" s="259"/>
      <c r="AO45" s="259"/>
      <c r="AP45" s="1020"/>
      <c r="AQ45" s="259"/>
      <c r="AR45" s="1017" t="s">
        <v>2343</v>
      </c>
      <c r="AS45" s="1016"/>
      <c r="AT45" s="259"/>
      <c r="AU45" s="259"/>
      <c r="AV45" s="261"/>
      <c r="AW45" s="261"/>
      <c r="AX45" s="1016"/>
      <c r="AY45" s="262"/>
    </row>
    <row r="46" spans="1:51" s="260" customFormat="1" ht="103.5" hidden="1" customHeight="1">
      <c r="A46" s="351"/>
      <c r="B46" s="1015"/>
      <c r="C46" s="1342"/>
      <c r="D46" s="1343"/>
      <c r="E46" s="1344"/>
      <c r="F46" s="1013"/>
      <c r="G46" s="1342"/>
      <c r="H46" s="1343"/>
      <c r="I46" s="1344"/>
      <c r="J46" s="1342"/>
      <c r="K46" s="1343"/>
      <c r="L46" s="1344"/>
      <c r="M46" s="1012"/>
      <c r="N46" s="1012"/>
      <c r="O46" s="1012"/>
      <c r="P46" s="1012"/>
      <c r="Q46" s="1015"/>
      <c r="R46" s="1015"/>
      <c r="S46" s="499"/>
      <c r="T46" s="1029" t="e">
        <f>VLOOKUP(Q46,[76]Listas!$D$6:$E$10,2,0)</f>
        <v>#N/A</v>
      </c>
      <c r="U46" s="1029" t="e">
        <f>HLOOKUP(R46,[76]Listas!$F$4:$J$5,2,0)</f>
        <v>#N/A</v>
      </c>
      <c r="V46" s="1019"/>
      <c r="W46" s="499"/>
      <c r="X46" s="1342"/>
      <c r="Y46" s="1343"/>
      <c r="Z46" s="1344"/>
      <c r="AA46" s="1071"/>
      <c r="AB46" s="1013"/>
      <c r="AC46" s="1026"/>
      <c r="AD46" s="1012"/>
      <c r="AE46" s="1013"/>
      <c r="AF46" s="499"/>
      <c r="AG46" s="1029">
        <f t="shared" si="0"/>
        <v>0</v>
      </c>
      <c r="AH46" s="298" t="e">
        <f t="shared" si="1"/>
        <v>#N/A</v>
      </c>
      <c r="AI46" s="1018" t="e">
        <f>IF(AH46&lt;=1,"Remota",VLOOKUP(AH46,[76]Listas!$C$6:$D$10,2,0))</f>
        <v>#N/A</v>
      </c>
      <c r="AJ46" s="298" t="e">
        <f t="shared" si="2"/>
        <v>#N/A</v>
      </c>
      <c r="AK46" s="1018" t="e">
        <f>IF(AJ46&lt;=1,"Insignificante",HLOOKUP(AJ46,[76]Listas!$F$3:$J$4,2,0))</f>
        <v>#N/A</v>
      </c>
      <c r="AL46" s="1027" t="e">
        <f t="shared" si="3"/>
        <v>#N/A</v>
      </c>
      <c r="AM46" s="352" t="e">
        <f>INDEX([76]Listas!$F$6:$J$10,MATCH(AI46,[76]Listas!$D$6:$D$10,0),MATCH(AK46,[76]Listas!$F$4:$J$4,0))</f>
        <v>#N/A</v>
      </c>
      <c r="AN46" s="259"/>
      <c r="AO46" s="259"/>
      <c r="AP46" s="1020"/>
      <c r="AQ46" s="259"/>
      <c r="AR46" s="1017" t="s">
        <v>2343</v>
      </c>
      <c r="AS46" s="1016"/>
      <c r="AT46" s="259"/>
      <c r="AU46" s="259"/>
      <c r="AV46" s="261"/>
      <c r="AW46" s="261"/>
      <c r="AX46" s="1016"/>
      <c r="AY46" s="262"/>
    </row>
    <row r="47" spans="1:51" s="260" customFormat="1" ht="103.5" hidden="1" customHeight="1">
      <c r="A47" s="351"/>
      <c r="B47" s="1015"/>
      <c r="C47" s="1342"/>
      <c r="D47" s="1343"/>
      <c r="E47" s="1344"/>
      <c r="F47" s="1013"/>
      <c r="G47" s="1342"/>
      <c r="H47" s="1343"/>
      <c r="I47" s="1344"/>
      <c r="J47" s="1342"/>
      <c r="K47" s="1343"/>
      <c r="L47" s="1344"/>
      <c r="M47" s="1012"/>
      <c r="N47" s="1012"/>
      <c r="O47" s="1012"/>
      <c r="P47" s="1012"/>
      <c r="Q47" s="1015"/>
      <c r="R47" s="1015"/>
      <c r="S47" s="499"/>
      <c r="T47" s="1029" t="e">
        <f>VLOOKUP(Q47,[76]Listas!$D$6:$E$10,2,0)</f>
        <v>#N/A</v>
      </c>
      <c r="U47" s="1029" t="e">
        <f>HLOOKUP(R47,[76]Listas!$F$4:$J$5,2,0)</f>
        <v>#N/A</v>
      </c>
      <c r="V47" s="1019"/>
      <c r="W47" s="499"/>
      <c r="X47" s="1342"/>
      <c r="Y47" s="1343"/>
      <c r="Z47" s="1344"/>
      <c r="AA47" s="1071"/>
      <c r="AB47" s="1013"/>
      <c r="AC47" s="1026"/>
      <c r="AD47" s="1012"/>
      <c r="AE47" s="1013"/>
      <c r="AF47" s="499"/>
      <c r="AG47" s="1029">
        <f t="shared" si="0"/>
        <v>0</v>
      </c>
      <c r="AH47" s="298" t="e">
        <f t="shared" si="1"/>
        <v>#N/A</v>
      </c>
      <c r="AI47" s="1018" t="e">
        <f>IF(AH47&lt;=1,"Remota",VLOOKUP(AH47,[76]Listas!$C$6:$D$10,2,0))</f>
        <v>#N/A</v>
      </c>
      <c r="AJ47" s="298" t="e">
        <f t="shared" si="2"/>
        <v>#N/A</v>
      </c>
      <c r="AK47" s="1018" t="e">
        <f>IF(AJ47&lt;=1,"Insignificante",HLOOKUP(AJ47,[76]Listas!$F$3:$J$4,2,0))</f>
        <v>#N/A</v>
      </c>
      <c r="AL47" s="1027" t="e">
        <f t="shared" si="3"/>
        <v>#N/A</v>
      </c>
      <c r="AM47" s="352" t="e">
        <f>INDEX([76]Listas!$F$6:$J$10,MATCH(AI47,[76]Listas!$D$6:$D$10,0),MATCH(AK47,[76]Listas!$F$4:$J$4,0))</f>
        <v>#N/A</v>
      </c>
      <c r="AN47" s="259"/>
      <c r="AO47" s="259"/>
      <c r="AP47" s="1020"/>
      <c r="AQ47" s="259"/>
      <c r="AR47" s="1017" t="s">
        <v>2343</v>
      </c>
      <c r="AS47" s="1016"/>
      <c r="AU47" s="259"/>
      <c r="AV47" s="261"/>
      <c r="AW47" s="261"/>
      <c r="AX47" s="1016"/>
      <c r="AY47" s="262"/>
    </row>
    <row r="48" spans="1:51" s="260" customFormat="1" ht="103.5" hidden="1" customHeight="1">
      <c r="A48" s="351"/>
      <c r="B48" s="1015"/>
      <c r="C48" s="1342"/>
      <c r="D48" s="1343"/>
      <c r="E48" s="1344"/>
      <c r="F48" s="1013"/>
      <c r="G48" s="1342"/>
      <c r="H48" s="1343"/>
      <c r="I48" s="1344"/>
      <c r="J48" s="1342"/>
      <c r="K48" s="1343"/>
      <c r="L48" s="1344"/>
      <c r="M48" s="1012"/>
      <c r="N48" s="1012"/>
      <c r="O48" s="1012"/>
      <c r="P48" s="1012"/>
      <c r="Q48" s="1015"/>
      <c r="R48" s="1015"/>
      <c r="S48" s="499"/>
      <c r="T48" s="1029" t="e">
        <f>VLOOKUP(Q48,[76]Listas!$D$6:$E$10,2,0)</f>
        <v>#N/A</v>
      </c>
      <c r="U48" s="1029" t="e">
        <f>HLOOKUP(R48,[76]Listas!$F$4:$J$5,2,0)</f>
        <v>#N/A</v>
      </c>
      <c r="V48" s="1019" t="e">
        <f>INDEX([76]Listas!$F$6:$J$10,MATCH(Q48,[76]Listas!$D$6:$D$10,0),MATCH(R48,[76]Listas!$F$4:$J$4,0))</f>
        <v>#N/A</v>
      </c>
      <c r="W48" s="499"/>
      <c r="X48" s="1342"/>
      <c r="Y48" s="1343"/>
      <c r="Z48" s="1344"/>
      <c r="AA48" s="1071"/>
      <c r="AB48" s="1013"/>
      <c r="AC48" s="1026"/>
      <c r="AD48" s="1012"/>
      <c r="AE48" s="1013"/>
      <c r="AF48" s="499"/>
      <c r="AG48" s="1029">
        <f t="shared" si="0"/>
        <v>0</v>
      </c>
      <c r="AH48" s="298" t="e">
        <f t="shared" si="1"/>
        <v>#N/A</v>
      </c>
      <c r="AI48" s="1018" t="e">
        <f>IF(AH48&lt;=1,"Remota",VLOOKUP(AH48,[76]Listas!$C$6:$D$10,2,0))</f>
        <v>#N/A</v>
      </c>
      <c r="AJ48" s="298" t="e">
        <f t="shared" si="2"/>
        <v>#N/A</v>
      </c>
      <c r="AK48" s="1018" t="e">
        <f>IF(AJ48&lt;=1,"Insignificante",HLOOKUP(AJ48,[76]Listas!$F$3:$J$4,2,0))</f>
        <v>#N/A</v>
      </c>
      <c r="AL48" s="1027" t="e">
        <f t="shared" si="3"/>
        <v>#N/A</v>
      </c>
      <c r="AM48" s="352" t="e">
        <f>INDEX([76]Listas!$F$6:$J$10,MATCH(AI48,[76]Listas!$D$6:$D$10,0),MATCH(AK48,[76]Listas!$F$4:$J$4,0))</f>
        <v>#N/A</v>
      </c>
      <c r="AN48" s="259"/>
      <c r="AO48" s="259"/>
      <c r="AP48" s="1020"/>
      <c r="AQ48" s="259"/>
      <c r="AR48" s="1017" t="s">
        <v>2343</v>
      </c>
      <c r="AS48" s="1016"/>
      <c r="AT48" s="259"/>
      <c r="AU48" s="259"/>
      <c r="AV48" s="261"/>
      <c r="AW48" s="261"/>
      <c r="AX48" s="1016"/>
      <c r="AY48" s="262"/>
    </row>
    <row r="49" spans="1:51" s="260" customFormat="1" ht="103.5" hidden="1" customHeight="1">
      <c r="A49" s="351"/>
      <c r="B49" s="1015"/>
      <c r="C49" s="1342"/>
      <c r="D49" s="1343"/>
      <c r="E49" s="1344"/>
      <c r="F49" s="1013"/>
      <c r="G49" s="1342"/>
      <c r="H49" s="1343"/>
      <c r="I49" s="1344"/>
      <c r="J49" s="1342"/>
      <c r="K49" s="1343"/>
      <c r="L49" s="1344"/>
      <c r="M49" s="1012"/>
      <c r="N49" s="1012"/>
      <c r="O49" s="1012"/>
      <c r="P49" s="1012"/>
      <c r="Q49" s="1015"/>
      <c r="R49" s="1015"/>
      <c r="S49" s="499"/>
      <c r="T49" s="1029" t="e">
        <f>VLOOKUP(Q49,[76]Listas!$D$6:$E$10,2,0)</f>
        <v>#N/A</v>
      </c>
      <c r="U49" s="1029" t="e">
        <f>HLOOKUP(R49,[76]Listas!$F$4:$J$5,2,0)</f>
        <v>#N/A</v>
      </c>
      <c r="V49" s="1019" t="e">
        <f>INDEX([76]Listas!$F$6:$J$10,MATCH(Q49,[76]Listas!$D$6:$D$10,0),MATCH(R49,[76]Listas!$F$4:$J$4,0))</f>
        <v>#N/A</v>
      </c>
      <c r="W49" s="499"/>
      <c r="X49" s="1342"/>
      <c r="Y49" s="1343"/>
      <c r="Z49" s="1344"/>
      <c r="AA49" s="1071"/>
      <c r="AB49" s="1013"/>
      <c r="AC49" s="1026"/>
      <c r="AD49" s="1012"/>
      <c r="AE49" s="1013"/>
      <c r="AF49" s="499"/>
      <c r="AG49" s="1029">
        <f t="shared" si="0"/>
        <v>0</v>
      </c>
      <c r="AH49" s="298" t="e">
        <f t="shared" si="1"/>
        <v>#N/A</v>
      </c>
      <c r="AI49" s="1018" t="e">
        <f>IF(AH49&lt;=1,"Remota",VLOOKUP(AH49,[76]Listas!$C$6:$D$10,2,0))</f>
        <v>#N/A</v>
      </c>
      <c r="AJ49" s="298" t="e">
        <f t="shared" si="2"/>
        <v>#N/A</v>
      </c>
      <c r="AK49" s="1018" t="e">
        <f>IF(AJ49&lt;=1,"Insignificante",HLOOKUP(AJ49,[76]Listas!$F$3:$J$4,2,0))</f>
        <v>#N/A</v>
      </c>
      <c r="AL49" s="1027" t="e">
        <f t="shared" si="3"/>
        <v>#N/A</v>
      </c>
      <c r="AM49" s="352" t="e">
        <f>INDEX([76]Listas!$F$6:$J$10,MATCH(AI49,[76]Listas!$D$6:$D$10,0),MATCH(AK49,[76]Listas!$F$4:$J$4,0))</f>
        <v>#N/A</v>
      </c>
      <c r="AN49" s="259"/>
      <c r="AO49" s="259"/>
      <c r="AP49" s="1020"/>
      <c r="AQ49" s="259"/>
      <c r="AR49" s="1017" t="s">
        <v>2343</v>
      </c>
      <c r="AS49" s="1016"/>
      <c r="AT49" s="259"/>
      <c r="AU49" s="259"/>
      <c r="AV49" s="261"/>
      <c r="AW49" s="261"/>
      <c r="AX49" s="1016"/>
      <c r="AY49" s="262"/>
    </row>
    <row r="50" spans="1:51" s="260" customFormat="1" ht="103.5" hidden="1" customHeight="1">
      <c r="A50" s="351"/>
      <c r="B50" s="1015"/>
      <c r="C50" s="1342"/>
      <c r="D50" s="1343"/>
      <c r="E50" s="1344"/>
      <c r="F50" s="1013"/>
      <c r="G50" s="1342"/>
      <c r="H50" s="1343"/>
      <c r="I50" s="1344"/>
      <c r="J50" s="1342"/>
      <c r="K50" s="1343"/>
      <c r="L50" s="1344"/>
      <c r="M50" s="1012"/>
      <c r="N50" s="1012"/>
      <c r="O50" s="1012"/>
      <c r="P50" s="1012"/>
      <c r="Q50" s="1015"/>
      <c r="R50" s="1015"/>
      <c r="S50" s="499"/>
      <c r="T50" s="1029" t="e">
        <f>VLOOKUP(Q50,[76]Listas!$D$6:$E$10,2,0)</f>
        <v>#N/A</v>
      </c>
      <c r="U50" s="1029" t="e">
        <f>HLOOKUP(R50,[76]Listas!$F$4:$J$5,2,0)</f>
        <v>#N/A</v>
      </c>
      <c r="V50" s="1019" t="e">
        <f>INDEX([76]Listas!$F$6:$J$10,MATCH(Q50,[76]Listas!$D$6:$D$10,0),MATCH(R50,[76]Listas!$F$4:$J$4,0))</f>
        <v>#N/A</v>
      </c>
      <c r="W50" s="499"/>
      <c r="X50" s="1342"/>
      <c r="Y50" s="1343"/>
      <c r="Z50" s="1344"/>
      <c r="AA50" s="1071"/>
      <c r="AB50" s="1013"/>
      <c r="AC50" s="1026"/>
      <c r="AD50" s="1012"/>
      <c r="AE50" s="1013"/>
      <c r="AF50" s="499"/>
      <c r="AG50" s="1029">
        <f t="shared" si="0"/>
        <v>0</v>
      </c>
      <c r="AH50" s="298" t="e">
        <f t="shared" si="1"/>
        <v>#N/A</v>
      </c>
      <c r="AI50" s="1018" t="e">
        <f>IF(AH50&lt;=1,"Remota",VLOOKUP(AH50,[76]Listas!$C$6:$D$10,2,0))</f>
        <v>#N/A</v>
      </c>
      <c r="AJ50" s="298" t="e">
        <f t="shared" si="2"/>
        <v>#N/A</v>
      </c>
      <c r="AK50" s="1018" t="e">
        <f>IF(AJ50&lt;=1,"Insignificante",HLOOKUP(AJ50,[76]Listas!$F$3:$J$4,2,0))</f>
        <v>#N/A</v>
      </c>
      <c r="AL50" s="1027" t="e">
        <f t="shared" si="3"/>
        <v>#N/A</v>
      </c>
      <c r="AM50" s="352" t="e">
        <f>INDEX([76]Listas!$F$6:$J$10,MATCH(AI50,[76]Listas!$D$6:$D$10,0),MATCH(AK50,[76]Listas!$F$4:$J$4,0))</f>
        <v>#N/A</v>
      </c>
      <c r="AN50" s="259"/>
      <c r="AO50" s="259"/>
      <c r="AP50" s="1020"/>
      <c r="AQ50" s="259"/>
      <c r="AR50" s="1017" t="s">
        <v>2343</v>
      </c>
      <c r="AS50" s="1016"/>
      <c r="AT50" s="259"/>
      <c r="AU50" s="259"/>
      <c r="AV50" s="261"/>
      <c r="AW50" s="261"/>
      <c r="AX50" s="1016"/>
      <c r="AY50" s="262"/>
    </row>
    <row r="51" spans="1:51" s="260" customFormat="1" ht="103.5" hidden="1" customHeight="1">
      <c r="A51" s="351"/>
      <c r="B51" s="1015"/>
      <c r="C51" s="1342"/>
      <c r="D51" s="1343"/>
      <c r="E51" s="1344"/>
      <c r="F51" s="1013"/>
      <c r="G51" s="1342"/>
      <c r="H51" s="1343"/>
      <c r="I51" s="1344"/>
      <c r="J51" s="1342"/>
      <c r="K51" s="1343"/>
      <c r="L51" s="1344"/>
      <c r="M51" s="1012"/>
      <c r="N51" s="1012"/>
      <c r="O51" s="1012"/>
      <c r="P51" s="1012"/>
      <c r="Q51" s="1015"/>
      <c r="R51" s="1015"/>
      <c r="S51" s="499"/>
      <c r="T51" s="1029" t="e">
        <f>VLOOKUP(Q51,[76]Listas!$D$6:$E$10,2,0)</f>
        <v>#N/A</v>
      </c>
      <c r="U51" s="1029" t="e">
        <f>HLOOKUP(R51,[76]Listas!$F$4:$J$5,2,0)</f>
        <v>#N/A</v>
      </c>
      <c r="V51" s="1019" t="e">
        <f>INDEX([76]Listas!$F$6:$J$10,MATCH(Q51,[76]Listas!$D$6:$D$10,0),MATCH(R51,[76]Listas!$F$4:$J$4,0))</f>
        <v>#N/A</v>
      </c>
      <c r="W51" s="499"/>
      <c r="X51" s="1342"/>
      <c r="Y51" s="1343"/>
      <c r="Z51" s="1344"/>
      <c r="AA51" s="1071"/>
      <c r="AB51" s="1013"/>
      <c r="AC51" s="1026"/>
      <c r="AD51" s="1012"/>
      <c r="AE51" s="1013"/>
      <c r="AF51" s="499"/>
      <c r="AG51" s="1029">
        <f t="shared" si="0"/>
        <v>0</v>
      </c>
      <c r="AH51" s="298" t="e">
        <f t="shared" si="1"/>
        <v>#N/A</v>
      </c>
      <c r="AI51" s="1018" t="e">
        <f>IF(AH51&lt;=1,"Remota",VLOOKUP(AH51,[76]Listas!$C$6:$D$10,2,0))</f>
        <v>#N/A</v>
      </c>
      <c r="AJ51" s="298" t="e">
        <f t="shared" si="2"/>
        <v>#N/A</v>
      </c>
      <c r="AK51" s="1018" t="e">
        <f>IF(AJ51&lt;=1,"Insignificante",HLOOKUP(AJ51,[76]Listas!$F$3:$J$4,2,0))</f>
        <v>#N/A</v>
      </c>
      <c r="AL51" s="1027" t="e">
        <f t="shared" si="3"/>
        <v>#N/A</v>
      </c>
      <c r="AM51" s="352" t="e">
        <f>INDEX([76]Listas!$F$6:$J$10,MATCH(AI51,[76]Listas!$D$6:$D$10,0),MATCH(AK51,[76]Listas!$F$4:$J$4,0))</f>
        <v>#N/A</v>
      </c>
      <c r="AN51" s="259"/>
      <c r="AO51" s="259"/>
      <c r="AP51" s="1020"/>
      <c r="AQ51" s="259"/>
      <c r="AR51" s="1017" t="s">
        <v>2343</v>
      </c>
      <c r="AS51" s="1016"/>
      <c r="AT51" s="259"/>
      <c r="AU51" s="259"/>
      <c r="AV51" s="261"/>
      <c r="AW51" s="261"/>
      <c r="AX51" s="1016"/>
      <c r="AY51" s="262"/>
    </row>
    <row r="52" spans="1:51" s="260" customFormat="1" ht="103.5" hidden="1" customHeight="1">
      <c r="A52" s="351"/>
      <c r="B52" s="1015"/>
      <c r="C52" s="1342"/>
      <c r="D52" s="1343"/>
      <c r="E52" s="1344"/>
      <c r="F52" s="1013"/>
      <c r="G52" s="1342"/>
      <c r="H52" s="1343"/>
      <c r="I52" s="1344"/>
      <c r="J52" s="1342"/>
      <c r="K52" s="1343"/>
      <c r="L52" s="1344"/>
      <c r="M52" s="1012"/>
      <c r="N52" s="1012"/>
      <c r="O52" s="1012"/>
      <c r="P52" s="1012"/>
      <c r="Q52" s="1015"/>
      <c r="R52" s="1015"/>
      <c r="S52" s="499"/>
      <c r="T52" s="1029" t="e">
        <f>VLOOKUP(Q52,[76]Listas!$D$6:$E$10,2,0)</f>
        <v>#N/A</v>
      </c>
      <c r="U52" s="1029" t="e">
        <f>HLOOKUP(R52,[76]Listas!$F$4:$J$5,2,0)</f>
        <v>#N/A</v>
      </c>
      <c r="V52" s="1019" t="e">
        <f>INDEX([76]Listas!$F$6:$J$10,MATCH(Q52,[76]Listas!$D$6:$D$10,0),MATCH(R52,[76]Listas!$F$4:$J$4,0))</f>
        <v>#N/A</v>
      </c>
      <c r="W52" s="499"/>
      <c r="X52" s="1342"/>
      <c r="Y52" s="1343"/>
      <c r="Z52" s="1344"/>
      <c r="AA52" s="1071"/>
      <c r="AB52" s="1013"/>
      <c r="AC52" s="1026"/>
      <c r="AD52" s="1012"/>
      <c r="AE52" s="1013"/>
      <c r="AF52" s="499"/>
      <c r="AG52" s="1029">
        <f t="shared" si="0"/>
        <v>0</v>
      </c>
      <c r="AH52" s="298" t="e">
        <f t="shared" si="1"/>
        <v>#N/A</v>
      </c>
      <c r="AI52" s="1018" t="e">
        <f>IF(AH52&lt;=1,"Remota",VLOOKUP(AH52,[76]Listas!$C$6:$D$10,2,0))</f>
        <v>#N/A</v>
      </c>
      <c r="AJ52" s="298" t="e">
        <f t="shared" si="2"/>
        <v>#N/A</v>
      </c>
      <c r="AK52" s="1018" t="e">
        <f>IF(AJ52&lt;=1,"Insignificante",HLOOKUP(AJ52,[76]Listas!$F$3:$J$4,2,0))</f>
        <v>#N/A</v>
      </c>
      <c r="AL52" s="1027" t="e">
        <f t="shared" si="3"/>
        <v>#N/A</v>
      </c>
      <c r="AM52" s="352" t="e">
        <f>INDEX([76]Listas!$F$6:$J$10,MATCH(AI52,[76]Listas!$D$6:$D$10,0),MATCH(AK52,[76]Listas!$F$4:$J$4,0))</f>
        <v>#N/A</v>
      </c>
      <c r="AN52" s="259"/>
      <c r="AO52" s="259"/>
      <c r="AP52" s="1020"/>
      <c r="AQ52" s="259"/>
      <c r="AR52" s="1017" t="s">
        <v>2343</v>
      </c>
      <c r="AS52" s="1016"/>
      <c r="AT52" s="259"/>
      <c r="AU52" s="259"/>
      <c r="AV52" s="261"/>
      <c r="AW52" s="261"/>
      <c r="AX52" s="1016"/>
      <c r="AY52" s="262"/>
    </row>
    <row r="53" spans="1:51" s="260" customFormat="1" ht="103.5" hidden="1" customHeight="1">
      <c r="A53" s="351"/>
      <c r="B53" s="1015"/>
      <c r="C53" s="1342"/>
      <c r="D53" s="1343"/>
      <c r="E53" s="1344"/>
      <c r="F53" s="1013"/>
      <c r="G53" s="1342"/>
      <c r="H53" s="1343"/>
      <c r="I53" s="1344"/>
      <c r="J53" s="1342"/>
      <c r="K53" s="1343"/>
      <c r="L53" s="1344"/>
      <c r="M53" s="1012"/>
      <c r="N53" s="1012"/>
      <c r="O53" s="1012"/>
      <c r="P53" s="1012"/>
      <c r="Q53" s="1015"/>
      <c r="R53" s="1015"/>
      <c r="S53" s="499"/>
      <c r="T53" s="1029" t="e">
        <f>VLOOKUP(Q53,[76]Listas!$D$6:$E$10,2,0)</f>
        <v>#N/A</v>
      </c>
      <c r="U53" s="1029" t="e">
        <f>HLOOKUP(R53,[76]Listas!$F$4:$J$5,2,0)</f>
        <v>#N/A</v>
      </c>
      <c r="V53" s="1019" t="e">
        <f>INDEX([76]Listas!$F$6:$J$10,MATCH(Q53,[76]Listas!$D$6:$D$10,0),MATCH(R53,[76]Listas!$F$4:$J$4,0))</f>
        <v>#N/A</v>
      </c>
      <c r="W53" s="499"/>
      <c r="X53" s="1342"/>
      <c r="Y53" s="1343"/>
      <c r="Z53" s="1344"/>
      <c r="AA53" s="1071"/>
      <c r="AB53" s="1013"/>
      <c r="AC53" s="1026"/>
      <c r="AD53" s="1012"/>
      <c r="AE53" s="1013"/>
      <c r="AF53" s="499"/>
      <c r="AG53" s="1029">
        <f t="shared" si="0"/>
        <v>0</v>
      </c>
      <c r="AH53" s="298" t="e">
        <f t="shared" si="1"/>
        <v>#N/A</v>
      </c>
      <c r="AI53" s="1018" t="e">
        <f>IF(AH53&lt;=1,"Remota",VLOOKUP(AH53,[76]Listas!$C$6:$D$10,2,0))</f>
        <v>#N/A</v>
      </c>
      <c r="AJ53" s="298" t="e">
        <f t="shared" si="2"/>
        <v>#N/A</v>
      </c>
      <c r="AK53" s="1018" t="e">
        <f>IF(AJ53&lt;=1,"Insignificante",HLOOKUP(AJ53,[76]Listas!$F$3:$J$4,2,0))</f>
        <v>#N/A</v>
      </c>
      <c r="AL53" s="1027" t="e">
        <f t="shared" si="3"/>
        <v>#N/A</v>
      </c>
      <c r="AM53" s="352" t="e">
        <f>INDEX([76]Listas!$F$6:$J$10,MATCH(AI53,[76]Listas!$D$6:$D$10,0),MATCH(AK53,[76]Listas!$F$4:$J$4,0))</f>
        <v>#N/A</v>
      </c>
      <c r="AN53" s="259"/>
      <c r="AO53" s="259"/>
      <c r="AP53" s="1020"/>
      <c r="AQ53" s="259"/>
      <c r="AR53" s="1017" t="s">
        <v>2343</v>
      </c>
      <c r="AS53" s="1016"/>
      <c r="AT53" s="259"/>
      <c r="AU53" s="259"/>
      <c r="AV53" s="261"/>
      <c r="AW53" s="261"/>
      <c r="AX53" s="1016"/>
      <c r="AY53" s="262"/>
    </row>
    <row r="54" spans="1:51" s="260" customFormat="1" ht="103.5" hidden="1" customHeight="1">
      <c r="A54" s="351"/>
      <c r="B54" s="1015"/>
      <c r="C54" s="1342"/>
      <c r="D54" s="1343"/>
      <c r="E54" s="1344"/>
      <c r="F54" s="1013"/>
      <c r="G54" s="1342"/>
      <c r="H54" s="1343"/>
      <c r="I54" s="1344"/>
      <c r="J54" s="1342"/>
      <c r="K54" s="1343"/>
      <c r="L54" s="1344"/>
      <c r="M54" s="1012"/>
      <c r="N54" s="1012"/>
      <c r="O54" s="1012"/>
      <c r="P54" s="1012"/>
      <c r="Q54" s="1015"/>
      <c r="R54" s="1015"/>
      <c r="S54" s="499"/>
      <c r="T54" s="1029" t="e">
        <f>VLOOKUP(Q54,[76]Listas!$D$6:$E$10,2,0)</f>
        <v>#N/A</v>
      </c>
      <c r="U54" s="1029" t="e">
        <f>HLOOKUP(R54,[76]Listas!$F$4:$J$5,2,0)</f>
        <v>#N/A</v>
      </c>
      <c r="V54" s="1019" t="e">
        <f>INDEX([76]Listas!$F$6:$J$10,MATCH(Q54,[76]Listas!$D$6:$D$10,0),MATCH(R54,[76]Listas!$F$4:$J$4,0))</f>
        <v>#N/A</v>
      </c>
      <c r="W54" s="499"/>
      <c r="X54" s="1342"/>
      <c r="Y54" s="1343"/>
      <c r="Z54" s="1344"/>
      <c r="AA54" s="1071"/>
      <c r="AB54" s="1013"/>
      <c r="AC54" s="1026"/>
      <c r="AD54" s="1012"/>
      <c r="AE54" s="1013"/>
      <c r="AF54" s="499"/>
      <c r="AG54" s="1029">
        <f t="shared" si="0"/>
        <v>0</v>
      </c>
      <c r="AH54" s="298" t="e">
        <f t="shared" si="1"/>
        <v>#N/A</v>
      </c>
      <c r="AI54" s="1018" t="e">
        <f>IF(AH54&lt;=1,"Remota",VLOOKUP(AH54,[76]Listas!$C$6:$D$10,2,0))</f>
        <v>#N/A</v>
      </c>
      <c r="AJ54" s="298" t="e">
        <f t="shared" si="2"/>
        <v>#N/A</v>
      </c>
      <c r="AK54" s="1018" t="e">
        <f>IF(AJ54&lt;=1,"Insignificante",HLOOKUP(AJ54,[76]Listas!$F$3:$J$4,2,0))</f>
        <v>#N/A</v>
      </c>
      <c r="AL54" s="1027" t="e">
        <f t="shared" si="3"/>
        <v>#N/A</v>
      </c>
      <c r="AM54" s="352" t="e">
        <f>INDEX([76]Listas!$F$6:$J$10,MATCH(AI54,[76]Listas!$D$6:$D$10,0),MATCH(AK54,[76]Listas!$F$4:$J$4,0))</f>
        <v>#N/A</v>
      </c>
      <c r="AN54" s="259"/>
      <c r="AO54" s="259"/>
      <c r="AP54" s="1020"/>
      <c r="AQ54" s="259"/>
      <c r="AR54" s="1017" t="s">
        <v>2343</v>
      </c>
      <c r="AS54" s="1016"/>
      <c r="AT54" s="259"/>
      <c r="AU54" s="259"/>
      <c r="AV54" s="261"/>
      <c r="AW54" s="261"/>
      <c r="AX54" s="1016"/>
      <c r="AY54" s="262"/>
    </row>
    <row r="55" spans="1:51" s="260" customFormat="1" ht="103.5" hidden="1" customHeight="1">
      <c r="A55" s="351"/>
      <c r="B55" s="1015"/>
      <c r="C55" s="1342"/>
      <c r="D55" s="1343"/>
      <c r="E55" s="1344"/>
      <c r="F55" s="1013"/>
      <c r="G55" s="1342"/>
      <c r="H55" s="1343"/>
      <c r="I55" s="1344"/>
      <c r="J55" s="1342"/>
      <c r="K55" s="1343"/>
      <c r="L55" s="1344"/>
      <c r="M55" s="1012"/>
      <c r="N55" s="1012"/>
      <c r="O55" s="1012"/>
      <c r="P55" s="1012"/>
      <c r="Q55" s="1015"/>
      <c r="R55" s="1015"/>
      <c r="S55" s="499"/>
      <c r="T55" s="1029" t="e">
        <f>VLOOKUP(Q55,[76]Listas!$D$6:$E$10,2,0)</f>
        <v>#N/A</v>
      </c>
      <c r="U55" s="1029" t="e">
        <f>HLOOKUP(R55,[76]Listas!$F$4:$J$5,2,0)</f>
        <v>#N/A</v>
      </c>
      <c r="V55" s="1019" t="e">
        <f>INDEX([76]Listas!$F$6:$J$10,MATCH(Q55,[76]Listas!$D$6:$D$10,0),MATCH(R55,[76]Listas!$F$4:$J$4,0))</f>
        <v>#N/A</v>
      </c>
      <c r="W55" s="499"/>
      <c r="X55" s="1342"/>
      <c r="Y55" s="1343"/>
      <c r="Z55" s="1344"/>
      <c r="AA55" s="1071"/>
      <c r="AB55" s="1013"/>
      <c r="AC55" s="1026"/>
      <c r="AD55" s="1012"/>
      <c r="AE55" s="1013"/>
      <c r="AF55" s="499"/>
      <c r="AG55" s="1029">
        <f t="shared" si="0"/>
        <v>0</v>
      </c>
      <c r="AH55" s="298" t="e">
        <f t="shared" si="1"/>
        <v>#N/A</v>
      </c>
      <c r="AI55" s="1018" t="e">
        <f>IF(AH55&lt;=1,"Remota",VLOOKUP(AH55,[76]Listas!$C$6:$D$10,2,0))</f>
        <v>#N/A</v>
      </c>
      <c r="AJ55" s="298" t="e">
        <f t="shared" si="2"/>
        <v>#N/A</v>
      </c>
      <c r="AK55" s="1018" t="e">
        <f>IF(AJ55&lt;=1,"Insignificante",HLOOKUP(AJ55,[76]Listas!$F$3:$J$4,2,0))</f>
        <v>#N/A</v>
      </c>
      <c r="AL55" s="1027" t="e">
        <f t="shared" si="3"/>
        <v>#N/A</v>
      </c>
      <c r="AM55" s="352" t="e">
        <f>INDEX([76]Listas!$F$6:$J$10,MATCH(AI55,[76]Listas!$D$6:$D$10,0),MATCH(AK55,[76]Listas!$F$4:$J$4,0))</f>
        <v>#N/A</v>
      </c>
      <c r="AN55" s="259"/>
      <c r="AO55" s="259"/>
      <c r="AP55" s="1020"/>
      <c r="AQ55" s="259"/>
      <c r="AR55" s="1017" t="s">
        <v>2343</v>
      </c>
      <c r="AS55" s="1016"/>
      <c r="AT55" s="259"/>
      <c r="AU55" s="259"/>
      <c r="AV55" s="261"/>
      <c r="AW55" s="261"/>
      <c r="AX55" s="1016"/>
      <c r="AY55" s="262"/>
    </row>
    <row r="56" spans="1:51" s="260" customFormat="1" ht="103.5" hidden="1" customHeight="1">
      <c r="A56" s="351"/>
      <c r="B56" s="1015"/>
      <c r="C56" s="1342"/>
      <c r="D56" s="1343"/>
      <c r="E56" s="1344"/>
      <c r="F56" s="1013"/>
      <c r="G56" s="1342"/>
      <c r="H56" s="1343"/>
      <c r="I56" s="1344"/>
      <c r="J56" s="1342"/>
      <c r="K56" s="1343"/>
      <c r="L56" s="1344"/>
      <c r="M56" s="1012"/>
      <c r="N56" s="1012"/>
      <c r="O56" s="1012"/>
      <c r="P56" s="1012"/>
      <c r="Q56" s="1015"/>
      <c r="R56" s="1015"/>
      <c r="S56" s="499"/>
      <c r="T56" s="1029" t="e">
        <f>VLOOKUP(Q56,[76]Listas!$D$6:$E$10,2,0)</f>
        <v>#N/A</v>
      </c>
      <c r="U56" s="1029" t="e">
        <f>HLOOKUP(R56,[76]Listas!$F$4:$J$5,2,0)</f>
        <v>#N/A</v>
      </c>
      <c r="V56" s="1019" t="e">
        <f>INDEX([76]Listas!$F$6:$J$10,MATCH(Q56,[76]Listas!$D$6:$D$10,0),MATCH(R56,[76]Listas!$F$4:$J$4,0))</f>
        <v>#N/A</v>
      </c>
      <c r="W56" s="499"/>
      <c r="X56" s="1342"/>
      <c r="Y56" s="1343"/>
      <c r="Z56" s="1344"/>
      <c r="AA56" s="1071"/>
      <c r="AB56" s="1013"/>
      <c r="AC56" s="1026"/>
      <c r="AD56" s="1012"/>
      <c r="AE56" s="1013"/>
      <c r="AF56" s="499"/>
      <c r="AG56" s="1029">
        <f t="shared" si="0"/>
        <v>0</v>
      </c>
      <c r="AH56" s="298" t="e">
        <f t="shared" si="1"/>
        <v>#N/A</v>
      </c>
      <c r="AI56" s="1018" t="e">
        <f>IF(AH56&lt;=1,"Remota",VLOOKUP(AH56,[76]Listas!$C$6:$D$10,2,0))</f>
        <v>#N/A</v>
      </c>
      <c r="AJ56" s="298" t="e">
        <f t="shared" si="2"/>
        <v>#N/A</v>
      </c>
      <c r="AK56" s="1018" t="e">
        <f>IF(AJ56&lt;=1,"Insignificante",HLOOKUP(AJ56,[76]Listas!$F$3:$J$4,2,0))</f>
        <v>#N/A</v>
      </c>
      <c r="AL56" s="1027" t="e">
        <f t="shared" si="3"/>
        <v>#N/A</v>
      </c>
      <c r="AM56" s="352" t="e">
        <f>INDEX([76]Listas!$F$6:$J$10,MATCH(AI56,[76]Listas!$D$6:$D$10,0),MATCH(AK56,[76]Listas!$F$4:$J$4,0))</f>
        <v>#N/A</v>
      </c>
      <c r="AN56" s="259"/>
      <c r="AO56" s="259"/>
      <c r="AP56" s="1020"/>
      <c r="AQ56" s="259"/>
      <c r="AR56" s="1017" t="s">
        <v>2343</v>
      </c>
      <c r="AS56" s="1016"/>
      <c r="AT56" s="259"/>
      <c r="AU56" s="259"/>
      <c r="AV56" s="261"/>
      <c r="AW56" s="261"/>
      <c r="AX56" s="1016"/>
      <c r="AY56" s="262"/>
    </row>
    <row r="57" spans="1:51" s="260" customFormat="1" ht="103.5" hidden="1" customHeight="1">
      <c r="A57" s="351"/>
      <c r="B57" s="1015"/>
      <c r="C57" s="1342"/>
      <c r="D57" s="1343"/>
      <c r="E57" s="1344"/>
      <c r="F57" s="1013"/>
      <c r="G57" s="1342"/>
      <c r="H57" s="1343"/>
      <c r="I57" s="1344"/>
      <c r="J57" s="1342"/>
      <c r="K57" s="1343"/>
      <c r="L57" s="1344"/>
      <c r="M57" s="1012"/>
      <c r="N57" s="1012"/>
      <c r="O57" s="1012"/>
      <c r="P57" s="1012"/>
      <c r="Q57" s="1015"/>
      <c r="R57" s="1015"/>
      <c r="S57" s="499"/>
      <c r="T57" s="1029" t="e">
        <f>VLOOKUP(Q57,[76]Listas!$D$6:$E$10,2,0)</f>
        <v>#N/A</v>
      </c>
      <c r="U57" s="1029" t="e">
        <f>HLOOKUP(R57,[76]Listas!$F$4:$J$5,2,0)</f>
        <v>#N/A</v>
      </c>
      <c r="V57" s="1019" t="e">
        <f>INDEX([76]Listas!$F$6:$J$10,MATCH(Q57,[76]Listas!$D$6:$D$10,0),MATCH(R57,[76]Listas!$F$4:$J$4,0))</f>
        <v>#N/A</v>
      </c>
      <c r="W57" s="499"/>
      <c r="X57" s="1342"/>
      <c r="Y57" s="1343"/>
      <c r="Z57" s="1344"/>
      <c r="AA57" s="1071"/>
      <c r="AB57" s="1013"/>
      <c r="AC57" s="1026"/>
      <c r="AD57" s="1012"/>
      <c r="AE57" s="1013"/>
      <c r="AF57" s="499"/>
      <c r="AG57" s="1029">
        <f t="shared" si="0"/>
        <v>0</v>
      </c>
      <c r="AH57" s="298" t="e">
        <f t="shared" si="1"/>
        <v>#N/A</v>
      </c>
      <c r="AI57" s="1018" t="e">
        <f>IF(AH57&lt;=1,"Remota",VLOOKUP(AH57,[76]Listas!$C$6:$D$10,2,0))</f>
        <v>#N/A</v>
      </c>
      <c r="AJ57" s="298" t="e">
        <f t="shared" si="2"/>
        <v>#N/A</v>
      </c>
      <c r="AK57" s="1018" t="e">
        <f>IF(AJ57&lt;=1,"Insignificante",HLOOKUP(AJ57,[76]Listas!$F$3:$J$4,2,0))</f>
        <v>#N/A</v>
      </c>
      <c r="AL57" s="1027" t="e">
        <f t="shared" si="3"/>
        <v>#N/A</v>
      </c>
      <c r="AM57" s="352" t="e">
        <f>INDEX([76]Listas!$F$6:$J$10,MATCH(AI57,[76]Listas!$D$6:$D$10,0),MATCH(AK57,[76]Listas!$F$4:$J$4,0))</f>
        <v>#N/A</v>
      </c>
      <c r="AN57" s="259"/>
      <c r="AO57" s="259"/>
      <c r="AP57" s="1020"/>
      <c r="AQ57" s="259"/>
      <c r="AR57" s="1017" t="s">
        <v>2343</v>
      </c>
      <c r="AS57" s="1016"/>
      <c r="AT57" s="259"/>
      <c r="AU57" s="259"/>
      <c r="AV57" s="261"/>
      <c r="AW57" s="261"/>
      <c r="AX57" s="1016"/>
      <c r="AY57" s="262"/>
    </row>
    <row r="58" spans="1:51" s="260" customFormat="1" ht="103.5" hidden="1" customHeight="1">
      <c r="A58" s="351"/>
      <c r="B58" s="1015"/>
      <c r="C58" s="1342"/>
      <c r="D58" s="1343"/>
      <c r="E58" s="1344"/>
      <c r="F58" s="1013"/>
      <c r="G58" s="1342"/>
      <c r="H58" s="1343"/>
      <c r="I58" s="1344"/>
      <c r="J58" s="1342"/>
      <c r="K58" s="1343"/>
      <c r="L58" s="1344"/>
      <c r="M58" s="1012"/>
      <c r="N58" s="1012"/>
      <c r="O58" s="1012"/>
      <c r="P58" s="1012"/>
      <c r="Q58" s="1015"/>
      <c r="R58" s="1015"/>
      <c r="S58" s="499"/>
      <c r="T58" s="1029" t="e">
        <f>VLOOKUP(Q58,[76]Listas!$D$6:$E$10,2,0)</f>
        <v>#N/A</v>
      </c>
      <c r="U58" s="1029" t="e">
        <f>HLOOKUP(R58,[76]Listas!$F$4:$J$5,2,0)</f>
        <v>#N/A</v>
      </c>
      <c r="V58" s="1019" t="e">
        <f>INDEX([76]Listas!$F$6:$J$10,MATCH(Q58,[76]Listas!$D$6:$D$10,0),MATCH(R58,[76]Listas!$F$4:$J$4,0))</f>
        <v>#N/A</v>
      </c>
      <c r="W58" s="499"/>
      <c r="X58" s="1342"/>
      <c r="Y58" s="1343"/>
      <c r="Z58" s="1344"/>
      <c r="AA58" s="1071"/>
      <c r="AB58" s="1013"/>
      <c r="AC58" s="1026"/>
      <c r="AD58" s="1012"/>
      <c r="AE58" s="1013"/>
      <c r="AF58" s="499"/>
      <c r="AG58" s="1029">
        <f t="shared" si="0"/>
        <v>0</v>
      </c>
      <c r="AH58" s="298" t="e">
        <f t="shared" si="1"/>
        <v>#N/A</v>
      </c>
      <c r="AI58" s="1018" t="e">
        <f>IF(AH58&lt;=1,"Remota",VLOOKUP(AH58,[76]Listas!$C$6:$D$10,2,0))</f>
        <v>#N/A</v>
      </c>
      <c r="AJ58" s="298" t="e">
        <f t="shared" si="2"/>
        <v>#N/A</v>
      </c>
      <c r="AK58" s="1018" t="e">
        <f>IF(AJ58&lt;=1,"Insignificante",HLOOKUP(AJ58,[76]Listas!$F$3:$J$4,2,0))</f>
        <v>#N/A</v>
      </c>
      <c r="AL58" s="1027" t="e">
        <f t="shared" si="3"/>
        <v>#N/A</v>
      </c>
      <c r="AM58" s="352" t="e">
        <f>INDEX([76]Listas!$F$6:$J$10,MATCH(AI58,[76]Listas!$D$6:$D$10,0),MATCH(AK58,[76]Listas!$F$4:$J$4,0))</f>
        <v>#N/A</v>
      </c>
      <c r="AN58" s="259"/>
      <c r="AO58" s="259"/>
      <c r="AP58" s="1020"/>
      <c r="AQ58" s="259"/>
      <c r="AR58" s="1017" t="s">
        <v>2343</v>
      </c>
      <c r="AS58" s="1016"/>
      <c r="AT58" s="259"/>
      <c r="AU58" s="259"/>
      <c r="AV58" s="261"/>
      <c r="AW58" s="261"/>
      <c r="AX58" s="1016"/>
      <c r="AY58" s="262"/>
    </row>
    <row r="59" spans="1:51" s="260" customFormat="1" ht="103.5" hidden="1" customHeight="1">
      <c r="A59" s="351"/>
      <c r="B59" s="1015"/>
      <c r="C59" s="1342"/>
      <c r="D59" s="1343"/>
      <c r="E59" s="1344"/>
      <c r="F59" s="1013"/>
      <c r="G59" s="1342"/>
      <c r="H59" s="1343"/>
      <c r="I59" s="1344"/>
      <c r="J59" s="1342"/>
      <c r="K59" s="1343"/>
      <c r="L59" s="1344"/>
      <c r="M59" s="1012"/>
      <c r="N59" s="1012"/>
      <c r="O59" s="1012"/>
      <c r="P59" s="1012"/>
      <c r="Q59" s="1015"/>
      <c r="R59" s="1015"/>
      <c r="S59" s="499"/>
      <c r="T59" s="1029" t="e">
        <f>VLOOKUP(Q59,[76]Listas!$D$6:$E$10,2,0)</f>
        <v>#N/A</v>
      </c>
      <c r="U59" s="1029" t="e">
        <f>HLOOKUP(R59,[76]Listas!$F$4:$J$5,2,0)</f>
        <v>#N/A</v>
      </c>
      <c r="V59" s="1019" t="e">
        <f>INDEX([76]Listas!$F$6:$J$10,MATCH(Q59,[76]Listas!$D$6:$D$10,0),MATCH(R59,[76]Listas!$F$4:$J$4,0))</f>
        <v>#N/A</v>
      </c>
      <c r="W59" s="499"/>
      <c r="X59" s="1342"/>
      <c r="Y59" s="1343"/>
      <c r="Z59" s="1344"/>
      <c r="AA59" s="1071"/>
      <c r="AB59" s="1013"/>
      <c r="AC59" s="1026"/>
      <c r="AD59" s="1012"/>
      <c r="AE59" s="1013"/>
      <c r="AF59" s="499"/>
      <c r="AG59" s="1029">
        <f t="shared" si="0"/>
        <v>0</v>
      </c>
      <c r="AH59" s="298" t="e">
        <f t="shared" si="1"/>
        <v>#N/A</v>
      </c>
      <c r="AI59" s="1018" t="e">
        <f>IF(AH59&lt;=1,"Remota",VLOOKUP(AH59,[76]Listas!$C$6:$D$10,2,0))</f>
        <v>#N/A</v>
      </c>
      <c r="AJ59" s="298" t="e">
        <f t="shared" si="2"/>
        <v>#N/A</v>
      </c>
      <c r="AK59" s="1018" t="e">
        <f>IF(AJ59&lt;=1,"Insignificante",HLOOKUP(AJ59,[76]Listas!$F$3:$J$4,2,0))</f>
        <v>#N/A</v>
      </c>
      <c r="AL59" s="1027" t="e">
        <f t="shared" si="3"/>
        <v>#N/A</v>
      </c>
      <c r="AM59" s="352" t="e">
        <f>INDEX([76]Listas!$F$6:$J$10,MATCH(AI59,[76]Listas!$D$6:$D$10,0),MATCH(AK59,[76]Listas!$F$4:$J$4,0))</f>
        <v>#N/A</v>
      </c>
      <c r="AN59" s="259"/>
      <c r="AO59" s="259"/>
      <c r="AP59" s="1020"/>
      <c r="AQ59" s="259"/>
      <c r="AR59" s="1017" t="s">
        <v>2343</v>
      </c>
      <c r="AS59" s="1016"/>
      <c r="AT59" s="259"/>
      <c r="AU59" s="259"/>
      <c r="AV59" s="261"/>
      <c r="AW59" s="261"/>
      <c r="AX59" s="1016"/>
      <c r="AY59" s="262"/>
    </row>
    <row r="60" spans="1:51" s="260" customFormat="1" ht="103.5" hidden="1" customHeight="1">
      <c r="A60" s="351"/>
      <c r="B60" s="1015"/>
      <c r="C60" s="1342"/>
      <c r="D60" s="1343"/>
      <c r="E60" s="1344"/>
      <c r="F60" s="1013"/>
      <c r="G60" s="1342"/>
      <c r="H60" s="1343"/>
      <c r="I60" s="1344"/>
      <c r="J60" s="1342"/>
      <c r="K60" s="1343"/>
      <c r="L60" s="1344"/>
      <c r="M60" s="1012"/>
      <c r="N60" s="1012"/>
      <c r="O60" s="1012"/>
      <c r="P60" s="1012"/>
      <c r="Q60" s="1015"/>
      <c r="R60" s="1015"/>
      <c r="S60" s="499"/>
      <c r="T60" s="1029" t="e">
        <f>VLOOKUP(Q60,[76]Listas!$D$6:$E$10,2,0)</f>
        <v>#N/A</v>
      </c>
      <c r="U60" s="1029" t="e">
        <f>HLOOKUP(R60,[76]Listas!$F$4:$J$5,2,0)</f>
        <v>#N/A</v>
      </c>
      <c r="V60" s="1019" t="e">
        <f>INDEX([76]Listas!$F$6:$J$10,MATCH(Q60,[76]Listas!$D$6:$D$10,0),MATCH(R60,[76]Listas!$F$4:$J$4,0))</f>
        <v>#N/A</v>
      </c>
      <c r="W60" s="499"/>
      <c r="X60" s="1342"/>
      <c r="Y60" s="1343"/>
      <c r="Z60" s="1344"/>
      <c r="AA60" s="1071"/>
      <c r="AB60" s="1013"/>
      <c r="AC60" s="1026"/>
      <c r="AD60" s="1012"/>
      <c r="AE60" s="1013"/>
      <c r="AF60" s="499"/>
      <c r="AG60" s="1029">
        <f t="shared" si="0"/>
        <v>0</v>
      </c>
      <c r="AH60" s="298" t="e">
        <f t="shared" si="1"/>
        <v>#N/A</v>
      </c>
      <c r="AI60" s="1018" t="e">
        <f>IF(AH60&lt;=1,"Remota",VLOOKUP(AH60,[76]Listas!$C$6:$D$10,2,0))</f>
        <v>#N/A</v>
      </c>
      <c r="AJ60" s="298" t="e">
        <f t="shared" si="2"/>
        <v>#N/A</v>
      </c>
      <c r="AK60" s="1018" t="e">
        <f>IF(AJ60&lt;=1,"Insignificante",HLOOKUP(AJ60,[76]Listas!$F$3:$J$4,2,0))</f>
        <v>#N/A</v>
      </c>
      <c r="AL60" s="1027" t="e">
        <f t="shared" si="3"/>
        <v>#N/A</v>
      </c>
      <c r="AM60" s="352" t="e">
        <f>INDEX([76]Listas!$F$6:$J$10,MATCH(AI60,[76]Listas!$D$6:$D$10,0),MATCH(AK60,[76]Listas!$F$4:$J$4,0))</f>
        <v>#N/A</v>
      </c>
      <c r="AN60" s="259"/>
      <c r="AO60" s="259"/>
      <c r="AP60" s="1020"/>
      <c r="AQ60" s="259"/>
      <c r="AR60" s="1017" t="s">
        <v>2343</v>
      </c>
      <c r="AS60" s="1016"/>
      <c r="AT60" s="259"/>
      <c r="AU60" s="259"/>
      <c r="AV60" s="261"/>
      <c r="AW60" s="261"/>
      <c r="AX60" s="1016"/>
      <c r="AY60" s="262"/>
    </row>
    <row r="61" spans="1:51" s="260" customFormat="1" ht="103.5" hidden="1" customHeight="1">
      <c r="A61" s="351"/>
      <c r="B61" s="1015"/>
      <c r="C61" s="1342"/>
      <c r="D61" s="1343"/>
      <c r="E61" s="1344"/>
      <c r="F61" s="1013"/>
      <c r="G61" s="1342"/>
      <c r="H61" s="1343"/>
      <c r="I61" s="1344"/>
      <c r="J61" s="1342"/>
      <c r="K61" s="1343"/>
      <c r="L61" s="1344"/>
      <c r="M61" s="1012"/>
      <c r="N61" s="1012"/>
      <c r="O61" s="1012"/>
      <c r="P61" s="1012"/>
      <c r="Q61" s="1015"/>
      <c r="R61" s="1015"/>
      <c r="S61" s="499"/>
      <c r="T61" s="1029" t="e">
        <f>VLOOKUP(Q61,[76]Listas!$D$6:$E$10,2,0)</f>
        <v>#N/A</v>
      </c>
      <c r="U61" s="1029" t="e">
        <f>HLOOKUP(R61,[76]Listas!$F$4:$J$5,2,0)</f>
        <v>#N/A</v>
      </c>
      <c r="V61" s="1019" t="e">
        <f>INDEX([76]Listas!$F$6:$J$10,MATCH(Q61,[76]Listas!$D$6:$D$10,0),MATCH(R61,[76]Listas!$F$4:$J$4,0))</f>
        <v>#N/A</v>
      </c>
      <c r="W61" s="499"/>
      <c r="X61" s="1342"/>
      <c r="Y61" s="1343"/>
      <c r="Z61" s="1344"/>
      <c r="AA61" s="1071"/>
      <c r="AB61" s="1013"/>
      <c r="AC61" s="1026"/>
      <c r="AD61" s="1012"/>
      <c r="AE61" s="1013"/>
      <c r="AF61" s="499"/>
      <c r="AG61" s="1029">
        <f t="shared" si="0"/>
        <v>0</v>
      </c>
      <c r="AH61" s="298" t="e">
        <f t="shared" si="1"/>
        <v>#N/A</v>
      </c>
      <c r="AI61" s="1018" t="e">
        <f>IF(AH61&lt;=1,"Remota",VLOOKUP(AH61,[76]Listas!$C$6:$D$10,2,0))</f>
        <v>#N/A</v>
      </c>
      <c r="AJ61" s="298" t="e">
        <f t="shared" si="2"/>
        <v>#N/A</v>
      </c>
      <c r="AK61" s="1018" t="e">
        <f>IF(AJ61&lt;=1,"Insignificante",HLOOKUP(AJ61,[76]Listas!$F$3:$J$4,2,0))</f>
        <v>#N/A</v>
      </c>
      <c r="AL61" s="1027" t="e">
        <f t="shared" si="3"/>
        <v>#N/A</v>
      </c>
      <c r="AM61" s="352" t="e">
        <f>INDEX([76]Listas!$F$6:$J$10,MATCH(AI61,[76]Listas!$D$6:$D$10,0),MATCH(AK61,[76]Listas!$F$4:$J$4,0))</f>
        <v>#N/A</v>
      </c>
      <c r="AN61" s="259"/>
      <c r="AO61" s="259"/>
      <c r="AP61" s="1020"/>
      <c r="AQ61" s="259"/>
      <c r="AR61" s="1017" t="s">
        <v>2343</v>
      </c>
      <c r="AS61" s="1016"/>
      <c r="AT61" s="259"/>
      <c r="AU61" s="259"/>
      <c r="AV61" s="261"/>
      <c r="AW61" s="261"/>
      <c r="AX61" s="1016"/>
      <c r="AY61" s="262"/>
    </row>
    <row r="62" spans="1:51" s="260" customFormat="1" ht="103.5" hidden="1" customHeight="1">
      <c r="A62" s="351"/>
      <c r="B62" s="1015"/>
      <c r="C62" s="1342"/>
      <c r="D62" s="1343"/>
      <c r="E62" s="1344"/>
      <c r="F62" s="1013"/>
      <c r="G62" s="1342"/>
      <c r="H62" s="1343"/>
      <c r="I62" s="1344"/>
      <c r="J62" s="1342"/>
      <c r="K62" s="1343"/>
      <c r="L62" s="1344"/>
      <c r="M62" s="1012"/>
      <c r="N62" s="1012"/>
      <c r="O62" s="1012"/>
      <c r="P62" s="1012"/>
      <c r="Q62" s="1015"/>
      <c r="R62" s="1015"/>
      <c r="S62" s="499"/>
      <c r="T62" s="1029" t="e">
        <f>VLOOKUP(Q62,[76]Listas!$D$6:$E$10,2,0)</f>
        <v>#N/A</v>
      </c>
      <c r="U62" s="1029" t="e">
        <f>HLOOKUP(R62,[76]Listas!$F$4:$J$5,2,0)</f>
        <v>#N/A</v>
      </c>
      <c r="V62" s="1019" t="e">
        <f>INDEX([76]Listas!$F$6:$J$10,MATCH(Q62,[76]Listas!$D$6:$D$10,0),MATCH(R62,[76]Listas!$F$4:$J$4,0))</f>
        <v>#N/A</v>
      </c>
      <c r="W62" s="499"/>
      <c r="X62" s="1342"/>
      <c r="Y62" s="1343"/>
      <c r="Z62" s="1344"/>
      <c r="AA62" s="1071"/>
      <c r="AB62" s="1013"/>
      <c r="AC62" s="1026"/>
      <c r="AD62" s="1012"/>
      <c r="AE62" s="1013"/>
      <c r="AF62" s="499"/>
      <c r="AG62" s="1029">
        <f t="shared" si="0"/>
        <v>0</v>
      </c>
      <c r="AH62" s="298" t="e">
        <f t="shared" si="1"/>
        <v>#N/A</v>
      </c>
      <c r="AI62" s="1018" t="e">
        <f>IF(AH62&lt;=1,"Remota",VLOOKUP(AH62,[76]Listas!$C$6:$D$10,2,0))</f>
        <v>#N/A</v>
      </c>
      <c r="AJ62" s="298" t="e">
        <f t="shared" si="2"/>
        <v>#N/A</v>
      </c>
      <c r="AK62" s="1018" t="e">
        <f>IF(AJ62&lt;=1,"Insignificante",HLOOKUP(AJ62,[76]Listas!$F$3:$J$4,2,0))</f>
        <v>#N/A</v>
      </c>
      <c r="AL62" s="1027" t="e">
        <f t="shared" si="3"/>
        <v>#N/A</v>
      </c>
      <c r="AM62" s="352" t="e">
        <f>INDEX([76]Listas!$F$6:$J$10,MATCH(AI62,[76]Listas!$D$6:$D$10,0),MATCH(AK62,[76]Listas!$F$4:$J$4,0))</f>
        <v>#N/A</v>
      </c>
      <c r="AN62" s="259"/>
      <c r="AO62" s="259"/>
      <c r="AP62" s="1020"/>
      <c r="AQ62" s="259"/>
      <c r="AR62" s="1017" t="s">
        <v>2343</v>
      </c>
      <c r="AS62" s="1016"/>
      <c r="AT62" s="259"/>
      <c r="AU62" s="259"/>
      <c r="AV62" s="261"/>
      <c r="AW62" s="261"/>
      <c r="AX62" s="1016"/>
      <c r="AY62" s="262"/>
    </row>
    <row r="63" spans="1:51" s="260" customFormat="1" ht="103.5" hidden="1" customHeight="1">
      <c r="A63" s="351"/>
      <c r="B63" s="1015"/>
      <c r="C63" s="1342"/>
      <c r="D63" s="1343"/>
      <c r="E63" s="1344"/>
      <c r="F63" s="1013"/>
      <c r="G63" s="1342"/>
      <c r="H63" s="1343"/>
      <c r="I63" s="1344"/>
      <c r="J63" s="1342"/>
      <c r="K63" s="1343"/>
      <c r="L63" s="1344"/>
      <c r="M63" s="1012"/>
      <c r="N63" s="1012"/>
      <c r="O63" s="1012"/>
      <c r="P63" s="1012"/>
      <c r="Q63" s="1015"/>
      <c r="R63" s="1015"/>
      <c r="S63" s="499"/>
      <c r="T63" s="1029" t="e">
        <f>VLOOKUP(Q63,[76]Listas!$D$6:$E$10,2,0)</f>
        <v>#N/A</v>
      </c>
      <c r="U63" s="1029" t="e">
        <f>HLOOKUP(R63,[76]Listas!$F$4:$J$5,2,0)</f>
        <v>#N/A</v>
      </c>
      <c r="V63" s="1019" t="e">
        <f>INDEX([76]Listas!$F$6:$J$10,MATCH(Q63,[76]Listas!$D$6:$D$10,0),MATCH(R63,[76]Listas!$F$4:$J$4,0))</f>
        <v>#N/A</v>
      </c>
      <c r="W63" s="499"/>
      <c r="X63" s="1342"/>
      <c r="Y63" s="1343"/>
      <c r="Z63" s="1344"/>
      <c r="AA63" s="1071"/>
      <c r="AB63" s="1013"/>
      <c r="AC63" s="1026"/>
      <c r="AD63" s="1012"/>
      <c r="AE63" s="1013"/>
      <c r="AF63" s="499"/>
      <c r="AG63" s="1029">
        <f t="shared" si="0"/>
        <v>0</v>
      </c>
      <c r="AH63" s="298" t="e">
        <f t="shared" si="1"/>
        <v>#N/A</v>
      </c>
      <c r="AI63" s="1018" t="e">
        <f>IF(AH63&lt;=1,"Remota",VLOOKUP(AH63,[76]Listas!$C$6:$D$10,2,0))</f>
        <v>#N/A</v>
      </c>
      <c r="AJ63" s="298" t="e">
        <f t="shared" si="2"/>
        <v>#N/A</v>
      </c>
      <c r="AK63" s="1018" t="e">
        <f>IF(AJ63&lt;=1,"Insignificante",HLOOKUP(AJ63,[76]Listas!$F$3:$J$4,2,0))</f>
        <v>#N/A</v>
      </c>
      <c r="AL63" s="1027" t="e">
        <f t="shared" si="3"/>
        <v>#N/A</v>
      </c>
      <c r="AM63" s="352" t="e">
        <f>INDEX([76]Listas!$F$6:$J$10,MATCH(AI63,[76]Listas!$D$6:$D$10,0),MATCH(AK63,[76]Listas!$F$4:$J$4,0))</f>
        <v>#N/A</v>
      </c>
      <c r="AN63" s="259"/>
      <c r="AO63" s="259"/>
      <c r="AP63" s="1020"/>
      <c r="AQ63" s="259"/>
      <c r="AR63" s="1017" t="s">
        <v>2343</v>
      </c>
      <c r="AS63" s="1016"/>
      <c r="AT63" s="259"/>
      <c r="AU63" s="259"/>
      <c r="AV63" s="261"/>
      <c r="AW63" s="261"/>
      <c r="AX63" s="1016"/>
      <c r="AY63" s="262"/>
    </row>
    <row r="64" spans="1:51" s="260" customFormat="1" ht="103.5" hidden="1" customHeight="1">
      <c r="A64" s="351"/>
      <c r="B64" s="1015"/>
      <c r="C64" s="1342"/>
      <c r="D64" s="1343"/>
      <c r="E64" s="1344"/>
      <c r="F64" s="1013"/>
      <c r="G64" s="1342"/>
      <c r="H64" s="1343"/>
      <c r="I64" s="1344"/>
      <c r="J64" s="1342"/>
      <c r="K64" s="1343"/>
      <c r="L64" s="1344"/>
      <c r="M64" s="1012"/>
      <c r="N64" s="1012"/>
      <c r="O64" s="1012"/>
      <c r="P64" s="1012"/>
      <c r="Q64" s="1015"/>
      <c r="R64" s="1015"/>
      <c r="S64" s="499"/>
      <c r="T64" s="1029" t="e">
        <f>VLOOKUP(Q64,[76]Listas!$D$6:$E$10,2,0)</f>
        <v>#N/A</v>
      </c>
      <c r="U64" s="1029" t="e">
        <f>HLOOKUP(R64,[76]Listas!$F$4:$J$5,2,0)</f>
        <v>#N/A</v>
      </c>
      <c r="V64" s="1019" t="e">
        <f>INDEX([76]Listas!$F$6:$J$10,MATCH(Q64,[76]Listas!$D$6:$D$10,0),MATCH(R64,[76]Listas!$F$4:$J$4,0))</f>
        <v>#N/A</v>
      </c>
      <c r="W64" s="499"/>
      <c r="X64" s="1342"/>
      <c r="Y64" s="1343"/>
      <c r="Z64" s="1344"/>
      <c r="AA64" s="1071"/>
      <c r="AB64" s="1013"/>
      <c r="AC64" s="1026"/>
      <c r="AD64" s="1012"/>
      <c r="AE64" s="1013"/>
      <c r="AF64" s="499"/>
      <c r="AG64" s="1029">
        <f t="shared" si="0"/>
        <v>0</v>
      </c>
      <c r="AH64" s="298" t="e">
        <f t="shared" si="1"/>
        <v>#N/A</v>
      </c>
      <c r="AI64" s="1018" t="e">
        <f>IF(AH64&lt;=1,"Remota",VLOOKUP(AH64,[76]Listas!$C$6:$D$10,2,0))</f>
        <v>#N/A</v>
      </c>
      <c r="AJ64" s="298" t="e">
        <f t="shared" si="2"/>
        <v>#N/A</v>
      </c>
      <c r="AK64" s="1018" t="e">
        <f>IF(AJ64&lt;=1,"Insignificante",HLOOKUP(AJ64,[76]Listas!$F$3:$J$4,2,0))</f>
        <v>#N/A</v>
      </c>
      <c r="AL64" s="1027" t="e">
        <f t="shared" si="3"/>
        <v>#N/A</v>
      </c>
      <c r="AM64" s="352" t="e">
        <f>INDEX([76]Listas!$F$6:$J$10,MATCH(AI64,[76]Listas!$D$6:$D$10,0),MATCH(AK64,[76]Listas!$F$4:$J$4,0))</f>
        <v>#N/A</v>
      </c>
      <c r="AN64" s="259"/>
      <c r="AO64" s="259"/>
      <c r="AP64" s="1020"/>
      <c r="AQ64" s="259"/>
      <c r="AR64" s="1017" t="s">
        <v>2343</v>
      </c>
      <c r="AS64" s="1016"/>
      <c r="AT64" s="259"/>
      <c r="AU64" s="259"/>
      <c r="AV64" s="261"/>
      <c r="AW64" s="261"/>
      <c r="AX64" s="1016"/>
      <c r="AY64" s="262"/>
    </row>
    <row r="65" spans="1:51" s="260" customFormat="1" ht="103.5" hidden="1" customHeight="1">
      <c r="A65" s="351"/>
      <c r="B65" s="1015"/>
      <c r="C65" s="1342"/>
      <c r="D65" s="1343"/>
      <c r="E65" s="1344"/>
      <c r="F65" s="1013"/>
      <c r="G65" s="1342"/>
      <c r="H65" s="1343"/>
      <c r="I65" s="1344"/>
      <c r="J65" s="1342"/>
      <c r="K65" s="1343"/>
      <c r="L65" s="1344"/>
      <c r="M65" s="1012"/>
      <c r="N65" s="1012"/>
      <c r="O65" s="1012"/>
      <c r="P65" s="1012"/>
      <c r="Q65" s="1015"/>
      <c r="R65" s="1015"/>
      <c r="S65" s="499"/>
      <c r="T65" s="1029" t="e">
        <f>VLOOKUP(Q65,[76]Listas!$D$6:$E$10,2,0)</f>
        <v>#N/A</v>
      </c>
      <c r="U65" s="1029" t="e">
        <f>HLOOKUP(R65,[76]Listas!$F$4:$J$5,2,0)</f>
        <v>#N/A</v>
      </c>
      <c r="V65" s="1019" t="e">
        <f>INDEX([76]Listas!$F$6:$J$10,MATCH(Q65,[76]Listas!$D$6:$D$10,0),MATCH(R65,[76]Listas!$F$4:$J$4,0))</f>
        <v>#N/A</v>
      </c>
      <c r="W65" s="499"/>
      <c r="X65" s="1342"/>
      <c r="Y65" s="1343"/>
      <c r="Z65" s="1344"/>
      <c r="AA65" s="1071"/>
      <c r="AB65" s="1013"/>
      <c r="AC65" s="1026"/>
      <c r="AD65" s="1012"/>
      <c r="AE65" s="1013"/>
      <c r="AF65" s="499"/>
      <c r="AG65" s="1029">
        <f t="shared" si="0"/>
        <v>0</v>
      </c>
      <c r="AH65" s="298" t="e">
        <f t="shared" si="1"/>
        <v>#N/A</v>
      </c>
      <c r="AI65" s="1018" t="e">
        <f>IF(AH65&lt;=1,"Remota",VLOOKUP(AH65,[76]Listas!$C$6:$D$10,2,0))</f>
        <v>#N/A</v>
      </c>
      <c r="AJ65" s="298" t="e">
        <f t="shared" si="2"/>
        <v>#N/A</v>
      </c>
      <c r="AK65" s="1018" t="e">
        <f>IF(AJ65&lt;=1,"Insignificante",HLOOKUP(AJ65,[76]Listas!$F$3:$J$4,2,0))</f>
        <v>#N/A</v>
      </c>
      <c r="AL65" s="1027" t="e">
        <f t="shared" si="3"/>
        <v>#N/A</v>
      </c>
      <c r="AM65" s="352" t="e">
        <f>INDEX([76]Listas!$F$6:$J$10,MATCH(AI65,[76]Listas!$D$6:$D$10,0),MATCH(AK65,[76]Listas!$F$4:$J$4,0))</f>
        <v>#N/A</v>
      </c>
      <c r="AN65" s="259"/>
      <c r="AO65" s="259"/>
      <c r="AP65" s="1020"/>
      <c r="AQ65" s="259"/>
      <c r="AR65" s="1017" t="s">
        <v>2343</v>
      </c>
      <c r="AS65" s="1016"/>
      <c r="AT65" s="259"/>
      <c r="AU65" s="259"/>
      <c r="AV65" s="261"/>
      <c r="AW65" s="261"/>
      <c r="AX65" s="1016"/>
      <c r="AY65" s="262"/>
    </row>
    <row r="66" spans="1:51" s="260" customFormat="1" ht="103.5" hidden="1" customHeight="1">
      <c r="A66" s="351"/>
      <c r="B66" s="1015"/>
      <c r="C66" s="1342"/>
      <c r="D66" s="1343"/>
      <c r="E66" s="1344"/>
      <c r="F66" s="1013"/>
      <c r="G66" s="1342"/>
      <c r="H66" s="1343"/>
      <c r="I66" s="1344"/>
      <c r="J66" s="1342"/>
      <c r="K66" s="1343"/>
      <c r="L66" s="1344"/>
      <c r="M66" s="1012"/>
      <c r="N66" s="1012"/>
      <c r="O66" s="1012"/>
      <c r="P66" s="1012"/>
      <c r="Q66" s="1015"/>
      <c r="R66" s="1015"/>
      <c r="S66" s="499"/>
      <c r="T66" s="1029" t="e">
        <f>VLOOKUP(Q66,[76]Listas!$D$6:$E$10,2,0)</f>
        <v>#N/A</v>
      </c>
      <c r="U66" s="1029" t="e">
        <f>HLOOKUP(R66,[76]Listas!$F$4:$J$5,2,0)</f>
        <v>#N/A</v>
      </c>
      <c r="V66" s="1019" t="e">
        <f>INDEX([76]Listas!$F$6:$J$10,MATCH(Q66,[76]Listas!$D$6:$D$10,0),MATCH(R66,[76]Listas!$F$4:$J$4,0))</f>
        <v>#N/A</v>
      </c>
      <c r="W66" s="499"/>
      <c r="X66" s="1342"/>
      <c r="Y66" s="1343"/>
      <c r="Z66" s="1344"/>
      <c r="AA66" s="1071"/>
      <c r="AB66" s="1013"/>
      <c r="AC66" s="1026"/>
      <c r="AD66" s="1012"/>
      <c r="AE66" s="1013"/>
      <c r="AF66" s="499"/>
      <c r="AG66" s="1029">
        <f t="shared" si="0"/>
        <v>0</v>
      </c>
      <c r="AH66" s="298" t="e">
        <f t="shared" si="1"/>
        <v>#N/A</v>
      </c>
      <c r="AI66" s="1018" t="e">
        <f>IF(AH66&lt;=1,"Remota",VLOOKUP(AH66,[76]Listas!$C$6:$D$10,2,0))</f>
        <v>#N/A</v>
      </c>
      <c r="AJ66" s="298" t="e">
        <f t="shared" si="2"/>
        <v>#N/A</v>
      </c>
      <c r="AK66" s="1018" t="e">
        <f>IF(AJ66&lt;=1,"Insignificante",HLOOKUP(AJ66,[76]Listas!$F$3:$J$4,2,0))</f>
        <v>#N/A</v>
      </c>
      <c r="AL66" s="1027" t="e">
        <f t="shared" si="3"/>
        <v>#N/A</v>
      </c>
      <c r="AM66" s="352" t="e">
        <f>INDEX([76]Listas!$F$6:$J$10,MATCH(AI66,[76]Listas!$D$6:$D$10,0),MATCH(AK66,[76]Listas!$F$4:$J$4,0))</f>
        <v>#N/A</v>
      </c>
      <c r="AN66" s="259"/>
      <c r="AO66" s="259"/>
      <c r="AP66" s="1020"/>
      <c r="AQ66" s="259"/>
      <c r="AR66" s="1017" t="s">
        <v>2343</v>
      </c>
      <c r="AS66" s="1016"/>
      <c r="AT66" s="259"/>
      <c r="AU66" s="259"/>
      <c r="AV66" s="261"/>
      <c r="AW66" s="261"/>
      <c r="AX66" s="1016"/>
      <c r="AY66" s="262"/>
    </row>
    <row r="67" spans="1:51" s="260" customFormat="1" ht="103.5" hidden="1" customHeight="1">
      <c r="A67" s="351"/>
      <c r="B67" s="1015"/>
      <c r="C67" s="1342"/>
      <c r="D67" s="1343"/>
      <c r="E67" s="1344"/>
      <c r="F67" s="1013"/>
      <c r="G67" s="1342"/>
      <c r="H67" s="1343"/>
      <c r="I67" s="1344"/>
      <c r="J67" s="1342"/>
      <c r="K67" s="1343"/>
      <c r="L67" s="1344"/>
      <c r="M67" s="1012"/>
      <c r="N67" s="1012"/>
      <c r="O67" s="1012"/>
      <c r="P67" s="1012"/>
      <c r="Q67" s="1015"/>
      <c r="R67" s="1015"/>
      <c r="S67" s="499"/>
      <c r="T67" s="1029" t="e">
        <f>VLOOKUP(Q67,[76]Listas!$D$6:$E$10,2,0)</f>
        <v>#N/A</v>
      </c>
      <c r="U67" s="1029" t="e">
        <f>HLOOKUP(R67,[76]Listas!$F$4:$J$5,2,0)</f>
        <v>#N/A</v>
      </c>
      <c r="V67" s="1019" t="e">
        <f>INDEX([76]Listas!$F$6:$J$10,MATCH(Q67,[76]Listas!$D$6:$D$10,0),MATCH(R67,[76]Listas!$F$4:$J$4,0))</f>
        <v>#N/A</v>
      </c>
      <c r="W67" s="499"/>
      <c r="X67" s="1342"/>
      <c r="Y67" s="1343"/>
      <c r="Z67" s="1344"/>
      <c r="AA67" s="1071"/>
      <c r="AB67" s="1013"/>
      <c r="AC67" s="1026"/>
      <c r="AD67" s="1012"/>
      <c r="AE67" s="1013"/>
      <c r="AF67" s="499"/>
      <c r="AG67" s="1029">
        <f t="shared" si="0"/>
        <v>0</v>
      </c>
      <c r="AH67" s="298" t="e">
        <f t="shared" si="1"/>
        <v>#N/A</v>
      </c>
      <c r="AI67" s="1018" t="e">
        <f>IF(AH67&lt;=1,"Remota",VLOOKUP(AH67,[76]Listas!$C$6:$D$10,2,0))</f>
        <v>#N/A</v>
      </c>
      <c r="AJ67" s="298" t="e">
        <f t="shared" si="2"/>
        <v>#N/A</v>
      </c>
      <c r="AK67" s="1018" t="e">
        <f>IF(AJ67&lt;=1,"Insignificante",HLOOKUP(AJ67,[76]Listas!$F$3:$J$4,2,0))</f>
        <v>#N/A</v>
      </c>
      <c r="AL67" s="1027" t="e">
        <f t="shared" si="3"/>
        <v>#N/A</v>
      </c>
      <c r="AM67" s="352" t="e">
        <f>INDEX([76]Listas!$F$6:$J$10,MATCH(AI67,[76]Listas!$D$6:$D$10,0),MATCH(AK67,[76]Listas!$F$4:$J$4,0))</f>
        <v>#N/A</v>
      </c>
      <c r="AN67" s="259"/>
      <c r="AO67" s="259"/>
      <c r="AP67" s="1020"/>
      <c r="AQ67" s="259"/>
      <c r="AR67" s="1017" t="s">
        <v>2343</v>
      </c>
      <c r="AS67" s="1016"/>
      <c r="AT67" s="259"/>
      <c r="AU67" s="259"/>
      <c r="AV67" s="261"/>
      <c r="AW67" s="261"/>
      <c r="AX67" s="1016"/>
      <c r="AY67" s="262"/>
    </row>
    <row r="68" spans="1:51" s="260" customFormat="1" ht="103.5" hidden="1" customHeight="1">
      <c r="A68" s="351"/>
      <c r="B68" s="1015"/>
      <c r="C68" s="1342"/>
      <c r="D68" s="1343"/>
      <c r="E68" s="1344"/>
      <c r="F68" s="1013"/>
      <c r="G68" s="1342"/>
      <c r="H68" s="1343"/>
      <c r="I68" s="1344"/>
      <c r="J68" s="1342"/>
      <c r="K68" s="1343"/>
      <c r="L68" s="1344"/>
      <c r="M68" s="1012"/>
      <c r="N68" s="1012"/>
      <c r="O68" s="1012"/>
      <c r="P68" s="1012"/>
      <c r="Q68" s="1015"/>
      <c r="R68" s="1015"/>
      <c r="S68" s="499"/>
      <c r="T68" s="1029" t="e">
        <f>VLOOKUP(Q68,[76]Listas!$D$6:$E$10,2,0)</f>
        <v>#N/A</v>
      </c>
      <c r="U68" s="1029" t="e">
        <f>HLOOKUP(R68,[76]Listas!$F$4:$J$5,2,0)</f>
        <v>#N/A</v>
      </c>
      <c r="V68" s="1019" t="e">
        <f>INDEX([76]Listas!$F$6:$J$10,MATCH(Q68,[76]Listas!$D$6:$D$10,0),MATCH(R68,[76]Listas!$F$4:$J$4,0))</f>
        <v>#N/A</v>
      </c>
      <c r="W68" s="499"/>
      <c r="X68" s="1342"/>
      <c r="Y68" s="1343"/>
      <c r="Z68" s="1344"/>
      <c r="AA68" s="1071"/>
      <c r="AB68" s="1013"/>
      <c r="AC68" s="1026"/>
      <c r="AD68" s="1012"/>
      <c r="AE68" s="1013"/>
      <c r="AF68" s="499"/>
      <c r="AG68" s="1029">
        <f t="shared" si="0"/>
        <v>0</v>
      </c>
      <c r="AH68" s="298" t="e">
        <f t="shared" si="1"/>
        <v>#N/A</v>
      </c>
      <c r="AI68" s="1018" t="e">
        <f>IF(AH68&lt;=1,"Remota",VLOOKUP(AH68,[76]Listas!$C$6:$D$10,2,0))</f>
        <v>#N/A</v>
      </c>
      <c r="AJ68" s="298" t="e">
        <f t="shared" si="2"/>
        <v>#N/A</v>
      </c>
      <c r="AK68" s="1018" t="e">
        <f>IF(AJ68&lt;=1,"Insignificante",HLOOKUP(AJ68,[76]Listas!$F$3:$J$4,2,0))</f>
        <v>#N/A</v>
      </c>
      <c r="AL68" s="1027" t="e">
        <f t="shared" si="3"/>
        <v>#N/A</v>
      </c>
      <c r="AM68" s="352" t="e">
        <f>INDEX([76]Listas!$F$6:$J$10,MATCH(AI68,[76]Listas!$D$6:$D$10,0),MATCH(AK68,[76]Listas!$F$4:$J$4,0))</f>
        <v>#N/A</v>
      </c>
      <c r="AN68" s="259"/>
      <c r="AO68" s="259"/>
      <c r="AP68" s="1020"/>
      <c r="AQ68" s="259"/>
      <c r="AR68" s="1017" t="s">
        <v>2343</v>
      </c>
      <c r="AS68" s="1016"/>
      <c r="AT68" s="259"/>
      <c r="AU68" s="259"/>
      <c r="AV68" s="261"/>
      <c r="AW68" s="261"/>
      <c r="AX68" s="1016"/>
      <c r="AY68" s="262"/>
    </row>
    <row r="69" spans="1:51" s="260" customFormat="1" ht="103.5" hidden="1" customHeight="1">
      <c r="A69" s="351"/>
      <c r="B69" s="1015"/>
      <c r="C69" s="1342"/>
      <c r="D69" s="1343"/>
      <c r="E69" s="1344"/>
      <c r="F69" s="1013"/>
      <c r="G69" s="1342"/>
      <c r="H69" s="1343"/>
      <c r="I69" s="1344"/>
      <c r="J69" s="1342"/>
      <c r="K69" s="1343"/>
      <c r="L69" s="1344"/>
      <c r="M69" s="1012"/>
      <c r="N69" s="1012"/>
      <c r="O69" s="1012"/>
      <c r="P69" s="1012"/>
      <c r="Q69" s="1015"/>
      <c r="R69" s="1015"/>
      <c r="S69" s="499"/>
      <c r="T69" s="1029" t="e">
        <f>VLOOKUP(Q69,[76]Listas!$D$6:$E$10,2,0)</f>
        <v>#N/A</v>
      </c>
      <c r="U69" s="1029" t="e">
        <f>HLOOKUP(R69,[76]Listas!$F$4:$J$5,2,0)</f>
        <v>#N/A</v>
      </c>
      <c r="V69" s="1019" t="e">
        <f>INDEX([76]Listas!$F$6:$J$10,MATCH(Q69,[76]Listas!$D$6:$D$10,0),MATCH(R69,[76]Listas!$F$4:$J$4,0))</f>
        <v>#N/A</v>
      </c>
      <c r="W69" s="499"/>
      <c r="X69" s="1342"/>
      <c r="Y69" s="1343"/>
      <c r="Z69" s="1344"/>
      <c r="AA69" s="1071"/>
      <c r="AB69" s="1013"/>
      <c r="AC69" s="1026"/>
      <c r="AD69" s="1012"/>
      <c r="AE69" s="1013"/>
      <c r="AF69" s="499"/>
      <c r="AG69" s="1029">
        <f t="shared" si="0"/>
        <v>0</v>
      </c>
      <c r="AH69" s="298" t="e">
        <f t="shared" si="1"/>
        <v>#N/A</v>
      </c>
      <c r="AI69" s="1018" t="e">
        <f>IF(AH69&lt;=1,"Remota",VLOOKUP(AH69,[76]Listas!$C$6:$D$10,2,0))</f>
        <v>#N/A</v>
      </c>
      <c r="AJ69" s="298" t="e">
        <f t="shared" si="2"/>
        <v>#N/A</v>
      </c>
      <c r="AK69" s="1018" t="e">
        <f>IF(AJ69&lt;=1,"Insignificante",HLOOKUP(AJ69,[76]Listas!$F$3:$J$4,2,0))</f>
        <v>#N/A</v>
      </c>
      <c r="AL69" s="1027" t="e">
        <f t="shared" si="3"/>
        <v>#N/A</v>
      </c>
      <c r="AM69" s="352" t="e">
        <f>INDEX([76]Listas!$F$6:$J$10,MATCH(AI69,[76]Listas!$D$6:$D$10,0),MATCH(AK69,[76]Listas!$F$4:$J$4,0))</f>
        <v>#N/A</v>
      </c>
      <c r="AN69" s="259"/>
      <c r="AO69" s="259"/>
      <c r="AP69" s="1020"/>
      <c r="AQ69" s="259"/>
      <c r="AR69" s="1017" t="s">
        <v>2343</v>
      </c>
      <c r="AS69" s="1016"/>
      <c r="AU69" s="259"/>
      <c r="AV69" s="261"/>
      <c r="AW69" s="261"/>
      <c r="AX69" s="1016"/>
      <c r="AY69" s="262"/>
    </row>
    <row r="70" spans="1:51" s="260" customFormat="1" ht="103.5" hidden="1" customHeight="1">
      <c r="A70" s="351"/>
      <c r="B70" s="1015"/>
      <c r="C70" s="1342"/>
      <c r="D70" s="1343"/>
      <c r="E70" s="1344"/>
      <c r="F70" s="1013"/>
      <c r="G70" s="1342"/>
      <c r="H70" s="1343"/>
      <c r="I70" s="1344"/>
      <c r="J70" s="1342"/>
      <c r="K70" s="1343"/>
      <c r="L70" s="1344"/>
      <c r="M70" s="1012"/>
      <c r="N70" s="1012"/>
      <c r="O70" s="1012"/>
      <c r="P70" s="1012"/>
      <c r="Q70" s="1015"/>
      <c r="R70" s="1015"/>
      <c r="S70" s="499"/>
      <c r="T70" s="1029" t="e">
        <f>VLOOKUP(Q70,[76]Listas!$D$6:$E$10,2,0)</f>
        <v>#N/A</v>
      </c>
      <c r="U70" s="1029" t="e">
        <f>HLOOKUP(R70,[76]Listas!$F$4:$J$5,2,0)</f>
        <v>#N/A</v>
      </c>
      <c r="V70" s="1019" t="e">
        <f>INDEX([76]Listas!$F$6:$J$10,MATCH(Q70,[76]Listas!$D$6:$D$10,0),MATCH(R70,[76]Listas!$F$4:$J$4,0))</f>
        <v>#N/A</v>
      </c>
      <c r="W70" s="499"/>
      <c r="X70" s="1342"/>
      <c r="Y70" s="1343"/>
      <c r="Z70" s="1344"/>
      <c r="AA70" s="1071"/>
      <c r="AB70" s="1013"/>
      <c r="AC70" s="1026"/>
      <c r="AD70" s="1012"/>
      <c r="AE70" s="1013"/>
      <c r="AF70" s="499"/>
      <c r="AG70" s="1029">
        <f t="shared" si="0"/>
        <v>0</v>
      </c>
      <c r="AH70" s="298" t="e">
        <f t="shared" si="1"/>
        <v>#N/A</v>
      </c>
      <c r="AI70" s="1018" t="e">
        <f>IF(AH70&lt;=1,"Remota",VLOOKUP(AH70,[76]Listas!$C$6:$D$10,2,0))</f>
        <v>#N/A</v>
      </c>
      <c r="AJ70" s="298" t="e">
        <f t="shared" si="2"/>
        <v>#N/A</v>
      </c>
      <c r="AK70" s="1018" t="e">
        <f>IF(AJ70&lt;=1,"Insignificante",HLOOKUP(AJ70,[76]Listas!$F$3:$J$4,2,0))</f>
        <v>#N/A</v>
      </c>
      <c r="AL70" s="1027" t="e">
        <f t="shared" si="3"/>
        <v>#N/A</v>
      </c>
      <c r="AM70" s="352" t="e">
        <f>INDEX([76]Listas!$F$6:$J$10,MATCH(AI70,[76]Listas!$D$6:$D$10,0),MATCH(AK70,[76]Listas!$F$4:$J$4,0))</f>
        <v>#N/A</v>
      </c>
      <c r="AN70" s="259"/>
      <c r="AO70" s="259"/>
      <c r="AP70" s="1020"/>
      <c r="AQ70" s="259"/>
      <c r="AR70" s="1017" t="s">
        <v>2343</v>
      </c>
      <c r="AS70" s="1016"/>
      <c r="AT70" s="259"/>
      <c r="AU70" s="259"/>
      <c r="AV70" s="261"/>
      <c r="AW70" s="261"/>
      <c r="AX70" s="1016"/>
      <c r="AY70" s="262"/>
    </row>
    <row r="71" spans="1:51" s="260" customFormat="1" ht="103.5" hidden="1" customHeight="1">
      <c r="A71" s="351"/>
      <c r="B71" s="1015"/>
      <c r="C71" s="1342"/>
      <c r="D71" s="1343"/>
      <c r="E71" s="1344"/>
      <c r="F71" s="1013"/>
      <c r="G71" s="1342"/>
      <c r="H71" s="1343"/>
      <c r="I71" s="1344"/>
      <c r="J71" s="1342"/>
      <c r="K71" s="1343"/>
      <c r="L71" s="1344"/>
      <c r="M71" s="1012"/>
      <c r="N71" s="1012"/>
      <c r="O71" s="1012"/>
      <c r="P71" s="1012"/>
      <c r="Q71" s="1015"/>
      <c r="R71" s="1015"/>
      <c r="S71" s="499"/>
      <c r="T71" s="1029" t="e">
        <f>VLOOKUP(Q71,[76]Listas!$D$6:$E$10,2,0)</f>
        <v>#N/A</v>
      </c>
      <c r="U71" s="1029" t="e">
        <f>HLOOKUP(R71,[76]Listas!$F$4:$J$5,2,0)</f>
        <v>#N/A</v>
      </c>
      <c r="V71" s="1019" t="e">
        <f>INDEX([76]Listas!$F$6:$J$10,MATCH(Q71,[76]Listas!$D$6:$D$10,0),MATCH(R71,[76]Listas!$F$4:$J$4,0))</f>
        <v>#N/A</v>
      </c>
      <c r="W71" s="499"/>
      <c r="X71" s="1342"/>
      <c r="Y71" s="1343"/>
      <c r="Z71" s="1344"/>
      <c r="AA71" s="1071"/>
      <c r="AB71" s="1013"/>
      <c r="AC71" s="1026"/>
      <c r="AD71" s="1012"/>
      <c r="AE71" s="1013"/>
      <c r="AF71" s="499"/>
      <c r="AG71" s="1029">
        <f t="shared" si="0"/>
        <v>0</v>
      </c>
      <c r="AH71" s="298" t="e">
        <f t="shared" si="1"/>
        <v>#N/A</v>
      </c>
      <c r="AI71" s="1018" t="e">
        <f>IF(AH71&lt;=1,"Remota",VLOOKUP(AH71,[76]Listas!$C$6:$D$10,2,0))</f>
        <v>#N/A</v>
      </c>
      <c r="AJ71" s="298" t="e">
        <f t="shared" si="2"/>
        <v>#N/A</v>
      </c>
      <c r="AK71" s="1018" t="e">
        <f>IF(AJ71&lt;=1,"Insignificante",HLOOKUP(AJ71,[76]Listas!$F$3:$J$4,2,0))</f>
        <v>#N/A</v>
      </c>
      <c r="AL71" s="1027" t="e">
        <f t="shared" si="3"/>
        <v>#N/A</v>
      </c>
      <c r="AM71" s="352" t="e">
        <f>INDEX([76]Listas!$F$6:$J$10,MATCH(AI71,[76]Listas!$D$6:$D$10,0),MATCH(AK71,[76]Listas!$F$4:$J$4,0))</f>
        <v>#N/A</v>
      </c>
      <c r="AN71" s="259"/>
      <c r="AO71" s="259"/>
      <c r="AP71" s="1020"/>
      <c r="AQ71" s="259"/>
      <c r="AR71" s="1017" t="s">
        <v>2343</v>
      </c>
      <c r="AS71" s="1016"/>
      <c r="AT71" s="259"/>
      <c r="AU71" s="259"/>
      <c r="AV71" s="261"/>
      <c r="AW71" s="261"/>
      <c r="AX71" s="1016"/>
      <c r="AY71" s="262"/>
    </row>
    <row r="72" spans="1:51" s="260" customFormat="1" ht="103.5" hidden="1" customHeight="1">
      <c r="A72" s="351"/>
      <c r="B72" s="1015"/>
      <c r="C72" s="1342"/>
      <c r="D72" s="1343"/>
      <c r="E72" s="1344"/>
      <c r="F72" s="1013"/>
      <c r="G72" s="1342"/>
      <c r="H72" s="1343"/>
      <c r="I72" s="1344"/>
      <c r="J72" s="1342"/>
      <c r="K72" s="1343"/>
      <c r="L72" s="1344"/>
      <c r="M72" s="1012"/>
      <c r="N72" s="1012"/>
      <c r="O72" s="1012"/>
      <c r="P72" s="1012"/>
      <c r="Q72" s="1015"/>
      <c r="R72" s="1015"/>
      <c r="S72" s="499"/>
      <c r="T72" s="1029" t="e">
        <f>VLOOKUP(Q72,[76]Listas!$D$6:$E$10,2,0)</f>
        <v>#N/A</v>
      </c>
      <c r="U72" s="1029" t="e">
        <f>HLOOKUP(R72,[76]Listas!$F$4:$J$5,2,0)</f>
        <v>#N/A</v>
      </c>
      <c r="V72" s="1019" t="e">
        <f>INDEX([76]Listas!$F$6:$J$10,MATCH(Q72,[76]Listas!$D$6:$D$10,0),MATCH(R72,[76]Listas!$F$4:$J$4,0))</f>
        <v>#N/A</v>
      </c>
      <c r="W72" s="499"/>
      <c r="X72" s="1342"/>
      <c r="Y72" s="1343"/>
      <c r="Z72" s="1344"/>
      <c r="AA72" s="1071"/>
      <c r="AB72" s="1013"/>
      <c r="AC72" s="1026"/>
      <c r="AD72" s="1012"/>
      <c r="AE72" s="1013"/>
      <c r="AF72" s="499"/>
      <c r="AG72" s="1029">
        <f t="shared" si="0"/>
        <v>0</v>
      </c>
      <c r="AH72" s="298" t="e">
        <f t="shared" si="1"/>
        <v>#N/A</v>
      </c>
      <c r="AI72" s="1018" t="e">
        <f>IF(AH72&lt;=1,"Remota",VLOOKUP(AH72,[76]Listas!$C$6:$D$10,2,0))</f>
        <v>#N/A</v>
      </c>
      <c r="AJ72" s="298" t="e">
        <f t="shared" si="2"/>
        <v>#N/A</v>
      </c>
      <c r="AK72" s="1018" t="e">
        <f>IF(AJ72&lt;=1,"Insignificante",HLOOKUP(AJ72,[76]Listas!$F$3:$J$4,2,0))</f>
        <v>#N/A</v>
      </c>
      <c r="AL72" s="1027" t="e">
        <f t="shared" si="3"/>
        <v>#N/A</v>
      </c>
      <c r="AM72" s="352" t="e">
        <f>INDEX([76]Listas!$F$6:$J$10,MATCH(AI72,[76]Listas!$D$6:$D$10,0),MATCH(AK72,[76]Listas!$F$4:$J$4,0))</f>
        <v>#N/A</v>
      </c>
      <c r="AN72" s="259"/>
      <c r="AO72" s="259"/>
      <c r="AP72" s="1020"/>
      <c r="AQ72" s="259"/>
      <c r="AR72" s="1017" t="s">
        <v>2343</v>
      </c>
      <c r="AS72" s="1016"/>
      <c r="AT72" s="259"/>
      <c r="AU72" s="259"/>
      <c r="AV72" s="261"/>
      <c r="AW72" s="261"/>
      <c r="AX72" s="1016"/>
      <c r="AY72" s="262"/>
    </row>
    <row r="73" spans="1:51" s="260" customFormat="1" ht="103.5" hidden="1" customHeight="1">
      <c r="A73" s="351"/>
      <c r="B73" s="1015"/>
      <c r="C73" s="1342"/>
      <c r="D73" s="1343"/>
      <c r="E73" s="1344"/>
      <c r="F73" s="1013"/>
      <c r="G73" s="1342"/>
      <c r="H73" s="1343"/>
      <c r="I73" s="1344"/>
      <c r="J73" s="1342"/>
      <c r="K73" s="1343"/>
      <c r="L73" s="1344"/>
      <c r="M73" s="1012"/>
      <c r="N73" s="1012"/>
      <c r="O73" s="1012"/>
      <c r="P73" s="1012"/>
      <c r="Q73" s="1015"/>
      <c r="R73" s="1015"/>
      <c r="S73" s="499"/>
      <c r="T73" s="1029" t="e">
        <f>VLOOKUP(Q73,[76]Listas!$D$6:$E$10,2,0)</f>
        <v>#N/A</v>
      </c>
      <c r="U73" s="1029" t="e">
        <f>HLOOKUP(R73,[76]Listas!$F$4:$J$5,2,0)</f>
        <v>#N/A</v>
      </c>
      <c r="V73" s="1019" t="e">
        <f>INDEX([76]Listas!$F$6:$J$10,MATCH(Q73,[76]Listas!$D$6:$D$10,0),MATCH(R73,[76]Listas!$F$4:$J$4,0))</f>
        <v>#N/A</v>
      </c>
      <c r="W73" s="499"/>
      <c r="X73" s="1342"/>
      <c r="Y73" s="1343"/>
      <c r="Z73" s="1344"/>
      <c r="AA73" s="1071"/>
      <c r="AB73" s="1013"/>
      <c r="AC73" s="1026"/>
      <c r="AD73" s="1012"/>
      <c r="AE73" s="1013"/>
      <c r="AF73" s="499"/>
      <c r="AG73" s="1029">
        <f t="shared" si="0"/>
        <v>0</v>
      </c>
      <c r="AH73" s="298" t="e">
        <f t="shared" si="1"/>
        <v>#N/A</v>
      </c>
      <c r="AI73" s="1018" t="e">
        <f>IF(AH73&lt;=1,"Remota",VLOOKUP(AH73,[76]Listas!$C$6:$D$10,2,0))</f>
        <v>#N/A</v>
      </c>
      <c r="AJ73" s="298" t="e">
        <f t="shared" si="2"/>
        <v>#N/A</v>
      </c>
      <c r="AK73" s="1018" t="e">
        <f>IF(AJ73&lt;=1,"Insignificante",HLOOKUP(AJ73,[76]Listas!$F$3:$J$4,2,0))</f>
        <v>#N/A</v>
      </c>
      <c r="AL73" s="1027" t="e">
        <f t="shared" si="3"/>
        <v>#N/A</v>
      </c>
      <c r="AM73" s="352" t="e">
        <f>INDEX([76]Listas!$F$6:$J$10,MATCH(AI73,[76]Listas!$D$6:$D$10,0),MATCH(AK73,[76]Listas!$F$4:$J$4,0))</f>
        <v>#N/A</v>
      </c>
      <c r="AN73" s="259"/>
      <c r="AO73" s="259"/>
      <c r="AP73" s="1020"/>
      <c r="AQ73" s="259"/>
      <c r="AR73" s="1017" t="s">
        <v>2343</v>
      </c>
      <c r="AS73" s="1016"/>
      <c r="AT73" s="259"/>
      <c r="AU73" s="259"/>
      <c r="AV73" s="261"/>
      <c r="AW73" s="261"/>
      <c r="AX73" s="1016"/>
      <c r="AY73" s="262"/>
    </row>
    <row r="74" spans="1:51" s="260" customFormat="1" ht="103.5" hidden="1" customHeight="1">
      <c r="A74" s="351"/>
      <c r="B74" s="1015"/>
      <c r="C74" s="1342"/>
      <c r="D74" s="1343"/>
      <c r="E74" s="1344"/>
      <c r="F74" s="1013"/>
      <c r="G74" s="1342"/>
      <c r="H74" s="1343"/>
      <c r="I74" s="1344"/>
      <c r="J74" s="1320"/>
      <c r="K74" s="1320"/>
      <c r="L74" s="1320"/>
      <c r="M74" s="1012"/>
      <c r="N74" s="1012"/>
      <c r="O74" s="1012"/>
      <c r="P74" s="1012"/>
      <c r="Q74" s="1015"/>
      <c r="R74" s="1015"/>
      <c r="S74" s="499"/>
      <c r="T74" s="1029" t="e">
        <f>VLOOKUP(Q74,[76]Listas!$D$6:$E$10,2,0)</f>
        <v>#N/A</v>
      </c>
      <c r="U74" s="1029" t="e">
        <f>HLOOKUP(R74,[76]Listas!$F$4:$J$5,2,0)</f>
        <v>#N/A</v>
      </c>
      <c r="V74" s="1019" t="e">
        <f>INDEX([76]Listas!$F$6:$J$10,MATCH(Q74,[76]Listas!$D$6:$D$10,0),MATCH(R74,[76]Listas!$F$4:$J$4,0))</f>
        <v>#N/A</v>
      </c>
      <c r="W74" s="499"/>
      <c r="X74" s="1342"/>
      <c r="Y74" s="1343"/>
      <c r="Z74" s="1344"/>
      <c r="AA74" s="1071"/>
      <c r="AB74" s="1013"/>
      <c r="AC74" s="1026"/>
      <c r="AD74" s="1012"/>
      <c r="AE74" s="1013"/>
      <c r="AF74" s="499"/>
      <c r="AG74" s="1029">
        <f t="shared" si="0"/>
        <v>0</v>
      </c>
      <c r="AH74" s="298" t="e">
        <f t="shared" si="1"/>
        <v>#N/A</v>
      </c>
      <c r="AI74" s="1018" t="e">
        <f>IF(AH74&lt;=1,"Remota",VLOOKUP(AH74,[76]Listas!$C$6:$D$10,2,0))</f>
        <v>#N/A</v>
      </c>
      <c r="AJ74" s="298" t="e">
        <f t="shared" si="2"/>
        <v>#N/A</v>
      </c>
      <c r="AK74" s="1018" t="e">
        <f>IF(AJ74&lt;=1,"Insignificante",HLOOKUP(AJ74,[76]Listas!$F$3:$J$4,2,0))</f>
        <v>#N/A</v>
      </c>
      <c r="AL74" s="1027" t="e">
        <f t="shared" si="3"/>
        <v>#N/A</v>
      </c>
      <c r="AM74" s="352" t="e">
        <f>INDEX([76]Listas!$F$6:$J$10,MATCH(AI74,[76]Listas!$D$6:$D$10,0),MATCH(AK74,[76]Listas!$F$4:$J$4,0))</f>
        <v>#N/A</v>
      </c>
      <c r="AN74" s="259"/>
      <c r="AO74" s="259"/>
      <c r="AP74" s="1020"/>
      <c r="AQ74" s="259"/>
      <c r="AR74" s="1017" t="s">
        <v>2343</v>
      </c>
      <c r="AS74" s="1016"/>
      <c r="AT74" s="259"/>
      <c r="AU74" s="259"/>
      <c r="AV74" s="261"/>
      <c r="AW74" s="261"/>
      <c r="AX74" s="1016"/>
      <c r="AY74" s="262"/>
    </row>
    <row r="75" spans="1:51" s="260" customFormat="1" ht="103.5" hidden="1" customHeight="1">
      <c r="A75" s="351"/>
      <c r="B75" s="1015"/>
      <c r="C75" s="1342"/>
      <c r="D75" s="1343"/>
      <c r="E75" s="1344"/>
      <c r="F75" s="1013"/>
      <c r="G75" s="1342"/>
      <c r="H75" s="1343"/>
      <c r="I75" s="1344"/>
      <c r="J75" s="1320"/>
      <c r="K75" s="1320"/>
      <c r="L75" s="1320"/>
      <c r="M75" s="1012"/>
      <c r="N75" s="1012"/>
      <c r="O75" s="1012"/>
      <c r="P75" s="1012"/>
      <c r="Q75" s="1015"/>
      <c r="R75" s="1015"/>
      <c r="S75" s="499"/>
      <c r="T75" s="1029" t="e">
        <f>VLOOKUP(Q75,[76]Listas!$D$6:$E$10,2,0)</f>
        <v>#N/A</v>
      </c>
      <c r="U75" s="1029" t="e">
        <f>HLOOKUP(R75,[76]Listas!$F$4:$J$5,2,0)</f>
        <v>#N/A</v>
      </c>
      <c r="V75" s="1019" t="e">
        <f>INDEX([76]Listas!$F$6:$J$10,MATCH(Q75,[76]Listas!$D$6:$D$10,0),MATCH(R75,[76]Listas!$F$4:$J$4,0))</f>
        <v>#N/A</v>
      </c>
      <c r="W75" s="499"/>
      <c r="X75" s="1342"/>
      <c r="Y75" s="1343"/>
      <c r="Z75" s="1344"/>
      <c r="AA75" s="1071"/>
      <c r="AB75" s="1013"/>
      <c r="AC75" s="1026"/>
      <c r="AD75" s="1012"/>
      <c r="AE75" s="1013"/>
      <c r="AF75" s="499"/>
      <c r="AG75" s="1029">
        <f t="shared" si="0"/>
        <v>0</v>
      </c>
      <c r="AH75" s="298" t="e">
        <f t="shared" si="1"/>
        <v>#N/A</v>
      </c>
      <c r="AI75" s="1018" t="e">
        <f>IF(AH75&lt;=1,"Remota",VLOOKUP(AH75,[76]Listas!$C$6:$D$10,2,0))</f>
        <v>#N/A</v>
      </c>
      <c r="AJ75" s="298" t="e">
        <f t="shared" si="2"/>
        <v>#N/A</v>
      </c>
      <c r="AK75" s="1018" t="e">
        <f>IF(AJ75&lt;=1,"Insignificante",HLOOKUP(AJ75,[76]Listas!$F$3:$J$4,2,0))</f>
        <v>#N/A</v>
      </c>
      <c r="AL75" s="1027" t="e">
        <f t="shared" si="3"/>
        <v>#N/A</v>
      </c>
      <c r="AM75" s="352" t="e">
        <f>INDEX([76]Listas!$F$6:$J$10,MATCH(AI75,[76]Listas!$D$6:$D$10,0),MATCH(AK75,[76]Listas!$F$4:$J$4,0))</f>
        <v>#N/A</v>
      </c>
      <c r="AN75" s="259"/>
      <c r="AO75" s="259"/>
      <c r="AP75" s="1020"/>
      <c r="AQ75" s="259"/>
      <c r="AR75" s="1017" t="s">
        <v>2343</v>
      </c>
      <c r="AS75" s="1016"/>
      <c r="AT75" s="259"/>
      <c r="AU75" s="259"/>
      <c r="AV75" s="261"/>
      <c r="AW75" s="261"/>
      <c r="AX75" s="1016"/>
      <c r="AY75" s="262"/>
    </row>
    <row r="76" spans="1:51" s="260" customFormat="1" ht="103.5" hidden="1" customHeight="1">
      <c r="A76" s="351"/>
      <c r="B76" s="1015"/>
      <c r="C76" s="1342"/>
      <c r="D76" s="1343"/>
      <c r="E76" s="1344"/>
      <c r="F76" s="1013"/>
      <c r="G76" s="1342"/>
      <c r="H76" s="1343"/>
      <c r="I76" s="1344"/>
      <c r="J76" s="1320"/>
      <c r="K76" s="1320"/>
      <c r="L76" s="1320"/>
      <c r="M76" s="1012"/>
      <c r="N76" s="1012"/>
      <c r="O76" s="1012"/>
      <c r="P76" s="1012"/>
      <c r="Q76" s="1015"/>
      <c r="R76" s="1015"/>
      <c r="S76" s="499"/>
      <c r="T76" s="1029" t="e">
        <f>VLOOKUP(Q76,[76]Listas!$D$6:$E$10,2,0)</f>
        <v>#N/A</v>
      </c>
      <c r="U76" s="1029" t="e">
        <f>HLOOKUP(R76,[76]Listas!$F$4:$J$5,2,0)</f>
        <v>#N/A</v>
      </c>
      <c r="V76" s="1019" t="e">
        <f>INDEX([76]Listas!$F$6:$J$10,MATCH(Q76,[76]Listas!$D$6:$D$10,0),MATCH(R76,[76]Listas!$F$4:$J$4,0))</f>
        <v>#N/A</v>
      </c>
      <c r="W76" s="499"/>
      <c r="X76" s="1342"/>
      <c r="Y76" s="1343"/>
      <c r="Z76" s="1344"/>
      <c r="AA76" s="1071"/>
      <c r="AB76" s="1013"/>
      <c r="AC76" s="1026"/>
      <c r="AD76" s="1012"/>
      <c r="AE76" s="1013"/>
      <c r="AF76" s="499"/>
      <c r="AG76" s="1029">
        <f t="shared" si="0"/>
        <v>0</v>
      </c>
      <c r="AH76" s="298" t="e">
        <f t="shared" si="1"/>
        <v>#N/A</v>
      </c>
      <c r="AI76" s="1018" t="e">
        <f>IF(AH76&lt;=1,"Remota",VLOOKUP(AH76,[76]Listas!$C$6:$D$10,2,0))</f>
        <v>#N/A</v>
      </c>
      <c r="AJ76" s="298" t="e">
        <f t="shared" si="2"/>
        <v>#N/A</v>
      </c>
      <c r="AK76" s="1018" t="e">
        <f>IF(AJ76&lt;=1,"Insignificante",HLOOKUP(AJ76,[76]Listas!$F$3:$J$4,2,0))</f>
        <v>#N/A</v>
      </c>
      <c r="AL76" s="1027" t="e">
        <f t="shared" si="3"/>
        <v>#N/A</v>
      </c>
      <c r="AM76" s="352" t="e">
        <f>INDEX([76]Listas!$F$6:$J$10,MATCH(AI76,[76]Listas!$D$6:$D$10,0),MATCH(AK76,[76]Listas!$F$4:$J$4,0))</f>
        <v>#N/A</v>
      </c>
      <c r="AN76" s="259"/>
      <c r="AO76" s="259"/>
      <c r="AP76" s="1020"/>
      <c r="AQ76" s="259"/>
      <c r="AR76" s="1017" t="s">
        <v>2343</v>
      </c>
      <c r="AS76" s="1016"/>
      <c r="AT76" s="259"/>
      <c r="AU76" s="259"/>
      <c r="AV76" s="261"/>
      <c r="AW76" s="261"/>
      <c r="AX76" s="1016"/>
      <c r="AY76" s="262"/>
    </row>
    <row r="77" spans="1:51" s="260" customFormat="1" ht="103.5" hidden="1" customHeight="1">
      <c r="A77" s="351"/>
      <c r="B77" s="1015"/>
      <c r="C77" s="1342"/>
      <c r="D77" s="1343"/>
      <c r="E77" s="1344"/>
      <c r="F77" s="1013"/>
      <c r="G77" s="1342"/>
      <c r="H77" s="1343"/>
      <c r="I77" s="1344"/>
      <c r="J77" s="1320"/>
      <c r="K77" s="1320"/>
      <c r="L77" s="1320"/>
      <c r="M77" s="1012"/>
      <c r="N77" s="1012"/>
      <c r="O77" s="1012"/>
      <c r="P77" s="1012"/>
      <c r="Q77" s="1015"/>
      <c r="R77" s="1015"/>
      <c r="S77" s="499"/>
      <c r="T77" s="1029" t="e">
        <f>VLOOKUP(Q77,[76]Listas!$D$6:$E$10,2,0)</f>
        <v>#N/A</v>
      </c>
      <c r="U77" s="1029" t="e">
        <f>HLOOKUP(R77,[76]Listas!$F$4:$J$5,2,0)</f>
        <v>#N/A</v>
      </c>
      <c r="V77" s="1019" t="e">
        <f>INDEX([76]Listas!$F$6:$J$10,MATCH(Q77,[76]Listas!$D$6:$D$10,0),MATCH(R77,[76]Listas!$F$4:$J$4,0))</f>
        <v>#N/A</v>
      </c>
      <c r="W77" s="499"/>
      <c r="X77" s="1342"/>
      <c r="Y77" s="1343"/>
      <c r="Z77" s="1344"/>
      <c r="AA77" s="1071"/>
      <c r="AB77" s="1013"/>
      <c r="AC77" s="1026"/>
      <c r="AD77" s="1012"/>
      <c r="AE77" s="1013"/>
      <c r="AF77" s="499"/>
      <c r="AG77" s="1029">
        <f t="shared" si="0"/>
        <v>0</v>
      </c>
      <c r="AH77" s="298" t="e">
        <f t="shared" si="1"/>
        <v>#N/A</v>
      </c>
      <c r="AI77" s="1018" t="e">
        <f>IF(AH77&lt;=1,"Remota",VLOOKUP(AH77,[76]Listas!$C$6:$D$10,2,0))</f>
        <v>#N/A</v>
      </c>
      <c r="AJ77" s="298" t="e">
        <f t="shared" si="2"/>
        <v>#N/A</v>
      </c>
      <c r="AK77" s="1018" t="e">
        <f>IF(AJ77&lt;=1,"Insignificante",HLOOKUP(AJ77,[76]Listas!$F$3:$J$4,2,0))</f>
        <v>#N/A</v>
      </c>
      <c r="AL77" s="1027" t="e">
        <f t="shared" si="3"/>
        <v>#N/A</v>
      </c>
      <c r="AM77" s="352" t="e">
        <f>INDEX([76]Listas!$F$6:$J$10,MATCH(AI77,[76]Listas!$D$6:$D$10,0),MATCH(AK77,[76]Listas!$F$4:$J$4,0))</f>
        <v>#N/A</v>
      </c>
      <c r="AN77" s="259"/>
      <c r="AO77" s="259"/>
      <c r="AP77" s="1020"/>
      <c r="AQ77" s="259"/>
      <c r="AR77" s="1017" t="s">
        <v>2343</v>
      </c>
      <c r="AS77" s="1016"/>
      <c r="AT77" s="259"/>
      <c r="AU77" s="259"/>
      <c r="AV77" s="261"/>
      <c r="AW77" s="261"/>
      <c r="AX77" s="1016"/>
      <c r="AY77" s="262"/>
    </row>
    <row r="78" spans="1:51" s="260" customFormat="1" ht="103.5" hidden="1" customHeight="1">
      <c r="A78" s="351"/>
      <c r="B78" s="1015"/>
      <c r="C78" s="1342"/>
      <c r="D78" s="1343"/>
      <c r="E78" s="1344"/>
      <c r="F78" s="1013"/>
      <c r="G78" s="1342"/>
      <c r="H78" s="1343"/>
      <c r="I78" s="1344"/>
      <c r="J78" s="1320"/>
      <c r="K78" s="1320"/>
      <c r="L78" s="1320"/>
      <c r="M78" s="1012"/>
      <c r="N78" s="1012"/>
      <c r="O78" s="1012"/>
      <c r="P78" s="1012"/>
      <c r="Q78" s="1015"/>
      <c r="R78" s="1015"/>
      <c r="S78" s="499"/>
      <c r="T78" s="1029" t="e">
        <f>VLOOKUP(Q78,[76]Listas!$D$6:$E$10,2,0)</f>
        <v>#N/A</v>
      </c>
      <c r="U78" s="1029" t="e">
        <f>HLOOKUP(R78,[76]Listas!$F$4:$J$5,2,0)</f>
        <v>#N/A</v>
      </c>
      <c r="V78" s="1019" t="e">
        <f>INDEX([76]Listas!$F$6:$J$10,MATCH(Q78,[76]Listas!$D$6:$D$10,0),MATCH(R78,[76]Listas!$F$4:$J$4,0))</f>
        <v>#N/A</v>
      </c>
      <c r="W78" s="499"/>
      <c r="X78" s="1342"/>
      <c r="Y78" s="1343"/>
      <c r="Z78" s="1344"/>
      <c r="AA78" s="1071"/>
      <c r="AB78" s="1013"/>
      <c r="AC78" s="1026"/>
      <c r="AD78" s="1012"/>
      <c r="AE78" s="1013"/>
      <c r="AF78" s="499"/>
      <c r="AG78" s="1029">
        <f t="shared" si="0"/>
        <v>0</v>
      </c>
      <c r="AH78" s="298" t="e">
        <f t="shared" si="1"/>
        <v>#N/A</v>
      </c>
      <c r="AI78" s="1018" t="e">
        <f>IF(AH78&lt;=1,"Remota",VLOOKUP(AH78,[76]Listas!$C$6:$D$10,2,0))</f>
        <v>#N/A</v>
      </c>
      <c r="AJ78" s="298" t="e">
        <f t="shared" si="2"/>
        <v>#N/A</v>
      </c>
      <c r="AK78" s="1018" t="e">
        <f>IF(AJ78&lt;=1,"Insignificante",HLOOKUP(AJ78,[76]Listas!$F$3:$J$4,2,0))</f>
        <v>#N/A</v>
      </c>
      <c r="AL78" s="1027" t="e">
        <f t="shared" si="3"/>
        <v>#N/A</v>
      </c>
      <c r="AM78" s="352" t="e">
        <f>INDEX([76]Listas!$F$6:$J$10,MATCH(AI78,[76]Listas!$D$6:$D$10,0),MATCH(AK78,[76]Listas!$F$4:$J$4,0))</f>
        <v>#N/A</v>
      </c>
      <c r="AN78" s="259"/>
      <c r="AO78" s="259"/>
      <c r="AP78" s="1020"/>
      <c r="AQ78" s="259"/>
      <c r="AR78" s="1017" t="s">
        <v>2343</v>
      </c>
      <c r="AS78" s="1016"/>
      <c r="AT78" s="259"/>
      <c r="AU78" s="259"/>
      <c r="AV78" s="261"/>
      <c r="AW78" s="261"/>
      <c r="AX78" s="1016"/>
      <c r="AY78" s="262"/>
    </row>
    <row r="79" spans="1:51" s="260" customFormat="1" ht="103.5" hidden="1" customHeight="1">
      <c r="A79" s="351"/>
      <c r="B79" s="1015"/>
      <c r="C79" s="1342"/>
      <c r="D79" s="1343"/>
      <c r="E79" s="1344"/>
      <c r="F79" s="1013"/>
      <c r="G79" s="1342"/>
      <c r="H79" s="1343"/>
      <c r="I79" s="1344"/>
      <c r="J79" s="1320"/>
      <c r="K79" s="1320"/>
      <c r="L79" s="1320"/>
      <c r="M79" s="1012"/>
      <c r="N79" s="1012"/>
      <c r="O79" s="1012"/>
      <c r="P79" s="1012"/>
      <c r="Q79" s="1015"/>
      <c r="R79" s="1015"/>
      <c r="S79" s="499"/>
      <c r="T79" s="1029" t="e">
        <f>VLOOKUP(Q79,[76]Listas!$D$6:$E$10,2,0)</f>
        <v>#N/A</v>
      </c>
      <c r="U79" s="1029" t="e">
        <f>HLOOKUP(R79,[76]Listas!$F$4:$J$5,2,0)</f>
        <v>#N/A</v>
      </c>
      <c r="V79" s="1019" t="e">
        <f>INDEX([76]Listas!$F$6:$J$10,MATCH(Q79,[76]Listas!$D$6:$D$10,0),MATCH(R79,[76]Listas!$F$4:$J$4,0))</f>
        <v>#N/A</v>
      </c>
      <c r="W79" s="499"/>
      <c r="X79" s="1342"/>
      <c r="Y79" s="1343"/>
      <c r="Z79" s="1344"/>
      <c r="AA79" s="1071"/>
      <c r="AB79" s="1013"/>
      <c r="AC79" s="1026"/>
      <c r="AD79" s="1012"/>
      <c r="AE79" s="1013"/>
      <c r="AF79" s="499"/>
      <c r="AG79" s="1029">
        <f t="shared" si="0"/>
        <v>0</v>
      </c>
      <c r="AH79" s="298" t="e">
        <f t="shared" si="1"/>
        <v>#N/A</v>
      </c>
      <c r="AI79" s="1018" t="e">
        <f>IF(AH79&lt;=1,"Remota",VLOOKUP(AH79,[76]Listas!$C$6:$D$10,2,0))</f>
        <v>#N/A</v>
      </c>
      <c r="AJ79" s="298" t="e">
        <f t="shared" si="2"/>
        <v>#N/A</v>
      </c>
      <c r="AK79" s="1018" t="e">
        <f>IF(AJ79&lt;=1,"Insignificante",HLOOKUP(AJ79,[76]Listas!$F$3:$J$4,2,0))</f>
        <v>#N/A</v>
      </c>
      <c r="AL79" s="1027" t="e">
        <f t="shared" si="3"/>
        <v>#N/A</v>
      </c>
      <c r="AM79" s="352" t="e">
        <f>INDEX([76]Listas!$F$6:$J$10,MATCH(AI79,[76]Listas!$D$6:$D$10,0),MATCH(AK79,[76]Listas!$F$4:$J$4,0))</f>
        <v>#N/A</v>
      </c>
      <c r="AN79" s="259"/>
      <c r="AO79" s="259"/>
      <c r="AP79" s="1020"/>
      <c r="AQ79" s="259"/>
      <c r="AR79" s="1017" t="s">
        <v>2343</v>
      </c>
      <c r="AS79" s="1016"/>
      <c r="AT79" s="259"/>
      <c r="AU79" s="259"/>
      <c r="AV79" s="261"/>
      <c r="AW79" s="261"/>
      <c r="AX79" s="1016"/>
      <c r="AY79" s="262"/>
    </row>
    <row r="80" spans="1:51" s="260" customFormat="1" ht="103.5" hidden="1" customHeight="1">
      <c r="A80" s="351"/>
      <c r="B80" s="1015"/>
      <c r="C80" s="1342"/>
      <c r="D80" s="1343"/>
      <c r="E80" s="1344"/>
      <c r="F80" s="1013"/>
      <c r="G80" s="1342"/>
      <c r="H80" s="1343"/>
      <c r="I80" s="1344"/>
      <c r="J80" s="1320"/>
      <c r="K80" s="1320"/>
      <c r="L80" s="1320"/>
      <c r="M80" s="1012"/>
      <c r="N80" s="1012"/>
      <c r="O80" s="1012"/>
      <c r="P80" s="1012"/>
      <c r="Q80" s="1015"/>
      <c r="R80" s="1015"/>
      <c r="S80" s="499"/>
      <c r="T80" s="1029" t="e">
        <f>VLOOKUP(Q80,[76]Listas!$D$6:$E$10,2,0)</f>
        <v>#N/A</v>
      </c>
      <c r="U80" s="1029" t="e">
        <f>HLOOKUP(R80,[76]Listas!$F$4:$J$5,2,0)</f>
        <v>#N/A</v>
      </c>
      <c r="V80" s="1019" t="e">
        <f>INDEX([76]Listas!$F$6:$J$10,MATCH(Q80,[76]Listas!$D$6:$D$10,0),MATCH(R80,[76]Listas!$F$4:$J$4,0))</f>
        <v>#N/A</v>
      </c>
      <c r="W80" s="499"/>
      <c r="X80" s="1342"/>
      <c r="Y80" s="1343"/>
      <c r="Z80" s="1344"/>
      <c r="AA80" s="1071"/>
      <c r="AB80" s="1013"/>
      <c r="AC80" s="1026"/>
      <c r="AD80" s="1012"/>
      <c r="AE80" s="1013"/>
      <c r="AF80" s="499"/>
      <c r="AG80" s="1029">
        <f t="shared" si="0"/>
        <v>0</v>
      </c>
      <c r="AH80" s="298" t="e">
        <f t="shared" si="1"/>
        <v>#N/A</v>
      </c>
      <c r="AI80" s="1018" t="e">
        <f>IF(AH80&lt;=1,"Remota",VLOOKUP(AH80,[76]Listas!$C$6:$D$10,2,0))</f>
        <v>#N/A</v>
      </c>
      <c r="AJ80" s="298" t="e">
        <f t="shared" si="2"/>
        <v>#N/A</v>
      </c>
      <c r="AK80" s="1018" t="e">
        <f>IF(AJ80&lt;=1,"Insignificante",HLOOKUP(AJ80,[76]Listas!$F$3:$J$4,2,0))</f>
        <v>#N/A</v>
      </c>
      <c r="AL80" s="1027" t="e">
        <f t="shared" si="3"/>
        <v>#N/A</v>
      </c>
      <c r="AM80" s="352" t="e">
        <f>INDEX([76]Listas!$F$6:$J$10,MATCH(AI80,[76]Listas!$D$6:$D$10,0),MATCH(AK80,[76]Listas!$F$4:$J$4,0))</f>
        <v>#N/A</v>
      </c>
      <c r="AN80" s="259"/>
      <c r="AO80" s="259"/>
      <c r="AP80" s="1020"/>
      <c r="AQ80" s="259"/>
      <c r="AR80" s="1017" t="s">
        <v>2343</v>
      </c>
      <c r="AS80" s="1016"/>
      <c r="AT80" s="259"/>
      <c r="AU80" s="259"/>
      <c r="AV80" s="261"/>
      <c r="AW80" s="261"/>
      <c r="AX80" s="1016"/>
      <c r="AY80" s="262"/>
    </row>
    <row r="81" spans="1:51" s="260" customFormat="1" ht="103.5" hidden="1" customHeight="1">
      <c r="A81" s="351"/>
      <c r="B81" s="1015"/>
      <c r="C81" s="1342"/>
      <c r="D81" s="1343"/>
      <c r="E81" s="1344"/>
      <c r="F81" s="1013"/>
      <c r="G81" s="1342"/>
      <c r="H81" s="1343"/>
      <c r="I81" s="1344"/>
      <c r="J81" s="1320"/>
      <c r="K81" s="1320"/>
      <c r="L81" s="1320"/>
      <c r="M81" s="1012"/>
      <c r="N81" s="1012"/>
      <c r="O81" s="1012"/>
      <c r="P81" s="1012"/>
      <c r="Q81" s="1015"/>
      <c r="R81" s="1015"/>
      <c r="S81" s="499"/>
      <c r="T81" s="1029" t="e">
        <f>VLOOKUP(Q81,[76]Listas!$D$6:$E$10,2,0)</f>
        <v>#N/A</v>
      </c>
      <c r="U81" s="1029" t="e">
        <f>HLOOKUP(R81,[76]Listas!$F$4:$J$5,2,0)</f>
        <v>#N/A</v>
      </c>
      <c r="V81" s="1019" t="e">
        <f>INDEX([76]Listas!$F$6:$J$10,MATCH(Q81,[76]Listas!$D$6:$D$10,0),MATCH(R81,[76]Listas!$F$4:$J$4,0))</f>
        <v>#N/A</v>
      </c>
      <c r="W81" s="499"/>
      <c r="X81" s="1342"/>
      <c r="Y81" s="1343"/>
      <c r="Z81" s="1344"/>
      <c r="AA81" s="1071"/>
      <c r="AB81" s="1013"/>
      <c r="AC81" s="1026"/>
      <c r="AD81" s="1012"/>
      <c r="AE81" s="1013"/>
      <c r="AF81" s="499"/>
      <c r="AG81" s="1029">
        <f t="shared" si="0"/>
        <v>0</v>
      </c>
      <c r="AH81" s="298" t="e">
        <f t="shared" si="1"/>
        <v>#N/A</v>
      </c>
      <c r="AI81" s="1018" t="e">
        <f>IF(AH81&lt;=1,"Remota",VLOOKUP(AH81,[76]Listas!$C$6:$D$10,2,0))</f>
        <v>#N/A</v>
      </c>
      <c r="AJ81" s="298" t="e">
        <f t="shared" si="2"/>
        <v>#N/A</v>
      </c>
      <c r="AK81" s="1018" t="e">
        <f>IF(AJ81&lt;=1,"Insignificante",HLOOKUP(AJ81,[76]Listas!$F$3:$J$4,2,0))</f>
        <v>#N/A</v>
      </c>
      <c r="AL81" s="1027" t="e">
        <f t="shared" si="3"/>
        <v>#N/A</v>
      </c>
      <c r="AM81" s="352" t="e">
        <f>INDEX([76]Listas!$F$6:$J$10,MATCH(AI81,[76]Listas!$D$6:$D$10,0),MATCH(AK81,[76]Listas!$F$4:$J$4,0))</f>
        <v>#N/A</v>
      </c>
      <c r="AN81" s="259"/>
      <c r="AO81" s="259"/>
      <c r="AP81" s="1020"/>
      <c r="AQ81" s="259"/>
      <c r="AR81" s="1017" t="s">
        <v>2343</v>
      </c>
      <c r="AS81" s="1016"/>
      <c r="AT81" s="259"/>
      <c r="AU81" s="259"/>
      <c r="AV81" s="261"/>
      <c r="AW81" s="261"/>
      <c r="AX81" s="1016"/>
      <c r="AY81" s="262"/>
    </row>
    <row r="82" spans="1:51" s="260" customFormat="1" ht="103.5" hidden="1" customHeight="1">
      <c r="A82" s="351"/>
      <c r="B82" s="1015"/>
      <c r="C82" s="1342"/>
      <c r="D82" s="1343"/>
      <c r="E82" s="1344"/>
      <c r="F82" s="1013"/>
      <c r="G82" s="1342"/>
      <c r="H82" s="1343"/>
      <c r="I82" s="1344"/>
      <c r="J82" s="1320"/>
      <c r="K82" s="1320"/>
      <c r="L82" s="1320"/>
      <c r="M82" s="1012"/>
      <c r="N82" s="1012"/>
      <c r="O82" s="1012"/>
      <c r="P82" s="1012"/>
      <c r="Q82" s="1015"/>
      <c r="R82" s="1015"/>
      <c r="S82" s="499"/>
      <c r="T82" s="1029" t="e">
        <f>VLOOKUP(Q82,[76]Listas!$D$6:$E$10,2,0)</f>
        <v>#N/A</v>
      </c>
      <c r="U82" s="1029" t="e">
        <f>HLOOKUP(R82,[76]Listas!$F$4:$J$5,2,0)</f>
        <v>#N/A</v>
      </c>
      <c r="V82" s="1019" t="e">
        <f>INDEX([76]Listas!$F$6:$J$10,MATCH(Q82,[76]Listas!$D$6:$D$10,0),MATCH(R82,[76]Listas!$F$4:$J$4,0))</f>
        <v>#N/A</v>
      </c>
      <c r="W82" s="499"/>
      <c r="X82" s="1342"/>
      <c r="Y82" s="1343"/>
      <c r="Z82" s="1344"/>
      <c r="AA82" s="1071"/>
      <c r="AB82" s="1013"/>
      <c r="AC82" s="1026"/>
      <c r="AD82" s="1012"/>
      <c r="AE82" s="1013"/>
      <c r="AF82" s="499"/>
      <c r="AG82" s="1029">
        <f t="shared" si="0"/>
        <v>0</v>
      </c>
      <c r="AH82" s="298" t="e">
        <f t="shared" si="1"/>
        <v>#N/A</v>
      </c>
      <c r="AI82" s="1018" t="e">
        <f>IF(AH82&lt;=1,"Remota",VLOOKUP(AH82,[76]Listas!$C$6:$D$10,2,0))</f>
        <v>#N/A</v>
      </c>
      <c r="AJ82" s="298" t="e">
        <f t="shared" si="2"/>
        <v>#N/A</v>
      </c>
      <c r="AK82" s="1018" t="e">
        <f>IF(AJ82&lt;=1,"Insignificante",HLOOKUP(AJ82,[76]Listas!$F$3:$J$4,2,0))</f>
        <v>#N/A</v>
      </c>
      <c r="AL82" s="1027" t="e">
        <f t="shared" si="3"/>
        <v>#N/A</v>
      </c>
      <c r="AM82" s="352" t="e">
        <f>INDEX([76]Listas!$F$6:$J$10,MATCH(AI82,[76]Listas!$D$6:$D$10,0),MATCH(AK82,[76]Listas!$F$4:$J$4,0))</f>
        <v>#N/A</v>
      </c>
      <c r="AN82" s="259"/>
      <c r="AO82" s="259"/>
      <c r="AP82" s="1020"/>
      <c r="AQ82" s="259"/>
      <c r="AR82" s="1017" t="s">
        <v>2343</v>
      </c>
      <c r="AS82" s="1016"/>
      <c r="AT82" s="259"/>
      <c r="AU82" s="259"/>
      <c r="AV82" s="261"/>
      <c r="AW82" s="261"/>
      <c r="AX82" s="1016"/>
      <c r="AY82" s="262"/>
    </row>
    <row r="83" spans="1:51" s="260" customFormat="1" ht="103.5" hidden="1" customHeight="1">
      <c r="A83" s="351"/>
      <c r="B83" s="1015"/>
      <c r="C83" s="1342"/>
      <c r="D83" s="1343"/>
      <c r="E83" s="1344"/>
      <c r="F83" s="1013"/>
      <c r="G83" s="1342"/>
      <c r="H83" s="1343"/>
      <c r="I83" s="1344"/>
      <c r="J83" s="1320"/>
      <c r="K83" s="1320"/>
      <c r="L83" s="1320"/>
      <c r="M83" s="1012"/>
      <c r="N83" s="1012"/>
      <c r="O83" s="1012"/>
      <c r="P83" s="1012"/>
      <c r="Q83" s="1015"/>
      <c r="R83" s="1015"/>
      <c r="S83" s="499"/>
      <c r="T83" s="1029" t="e">
        <f>VLOOKUP(Q83,[76]Listas!$D$6:$E$10,2,0)</f>
        <v>#N/A</v>
      </c>
      <c r="U83" s="1029" t="e">
        <f>HLOOKUP(R83,[76]Listas!$F$4:$J$5,2,0)</f>
        <v>#N/A</v>
      </c>
      <c r="V83" s="1019" t="e">
        <f>INDEX([76]Listas!$F$6:$J$10,MATCH(Q83,[76]Listas!$D$6:$D$10,0),MATCH(R83,[76]Listas!$F$4:$J$4,0))</f>
        <v>#N/A</v>
      </c>
      <c r="W83" s="499"/>
      <c r="X83" s="1342"/>
      <c r="Y83" s="1343"/>
      <c r="Z83" s="1344"/>
      <c r="AA83" s="1071"/>
      <c r="AB83" s="1013"/>
      <c r="AC83" s="1026"/>
      <c r="AD83" s="1012"/>
      <c r="AE83" s="1013"/>
      <c r="AF83" s="499"/>
      <c r="AG83" s="1029">
        <f t="shared" si="0"/>
        <v>0</v>
      </c>
      <c r="AH83" s="298" t="e">
        <f t="shared" si="1"/>
        <v>#N/A</v>
      </c>
      <c r="AI83" s="1018" t="e">
        <f>IF(AH83&lt;=1,"Remota",VLOOKUP(AH83,[76]Listas!$C$6:$D$10,2,0))</f>
        <v>#N/A</v>
      </c>
      <c r="AJ83" s="298" t="e">
        <f t="shared" si="2"/>
        <v>#N/A</v>
      </c>
      <c r="AK83" s="1018" t="e">
        <f>IF(AJ83&lt;=1,"Insignificante",HLOOKUP(AJ83,[76]Listas!$F$3:$J$4,2,0))</f>
        <v>#N/A</v>
      </c>
      <c r="AL83" s="1027" t="e">
        <f t="shared" si="3"/>
        <v>#N/A</v>
      </c>
      <c r="AM83" s="352" t="e">
        <f>INDEX([76]Listas!$F$6:$J$10,MATCH(AI83,[76]Listas!$D$6:$D$10,0),MATCH(AK83,[76]Listas!$F$4:$J$4,0))</f>
        <v>#N/A</v>
      </c>
      <c r="AN83" s="259"/>
      <c r="AO83" s="259"/>
      <c r="AP83" s="1020"/>
      <c r="AQ83" s="259"/>
      <c r="AR83" s="1017" t="s">
        <v>2343</v>
      </c>
      <c r="AS83" s="1016"/>
      <c r="AT83" s="259"/>
      <c r="AU83" s="259"/>
      <c r="AV83" s="261"/>
      <c r="AW83" s="261"/>
      <c r="AX83" s="1016"/>
      <c r="AY83" s="262"/>
    </row>
    <row r="84" spans="1:51" s="260" customFormat="1" ht="103.5" hidden="1" customHeight="1">
      <c r="A84" s="351"/>
      <c r="B84" s="1015"/>
      <c r="C84" s="1342"/>
      <c r="D84" s="1343"/>
      <c r="E84" s="1344"/>
      <c r="F84" s="1013"/>
      <c r="G84" s="1342"/>
      <c r="H84" s="1343"/>
      <c r="I84" s="1344"/>
      <c r="J84" s="1320"/>
      <c r="K84" s="1320"/>
      <c r="L84" s="1320"/>
      <c r="M84" s="1012"/>
      <c r="N84" s="1012"/>
      <c r="O84" s="1012"/>
      <c r="P84" s="1012"/>
      <c r="Q84" s="1015"/>
      <c r="R84" s="1015"/>
      <c r="S84" s="499"/>
      <c r="T84" s="1029" t="e">
        <f>VLOOKUP(Q84,[76]Listas!$D$6:$E$10,2,0)</f>
        <v>#N/A</v>
      </c>
      <c r="U84" s="1029" t="e">
        <f>HLOOKUP(R84,[76]Listas!$F$4:$J$5,2,0)</f>
        <v>#N/A</v>
      </c>
      <c r="V84" s="1019" t="e">
        <f>INDEX([76]Listas!$F$6:$J$10,MATCH(Q84,[76]Listas!$D$6:$D$10,0),MATCH(R84,[76]Listas!$F$4:$J$4,0))</f>
        <v>#N/A</v>
      </c>
      <c r="W84" s="499"/>
      <c r="X84" s="1342"/>
      <c r="Y84" s="1343"/>
      <c r="Z84" s="1344"/>
      <c r="AA84" s="1071"/>
      <c r="AB84" s="1013"/>
      <c r="AC84" s="1026"/>
      <c r="AD84" s="1012"/>
      <c r="AE84" s="1013"/>
      <c r="AF84" s="499"/>
      <c r="AG84" s="1029">
        <f t="shared" si="0"/>
        <v>0</v>
      </c>
      <c r="AH84" s="298" t="e">
        <f t="shared" si="1"/>
        <v>#N/A</v>
      </c>
      <c r="AI84" s="1018" t="e">
        <f>IF(AH84&lt;=1,"Remota",VLOOKUP(AH84,[76]Listas!$C$6:$D$10,2,0))</f>
        <v>#N/A</v>
      </c>
      <c r="AJ84" s="298" t="e">
        <f t="shared" si="2"/>
        <v>#N/A</v>
      </c>
      <c r="AK84" s="1018" t="e">
        <f>IF(AJ84&lt;=1,"Insignificante",HLOOKUP(AJ84,[76]Listas!$F$3:$J$4,2,0))</f>
        <v>#N/A</v>
      </c>
      <c r="AL84" s="1027" t="e">
        <f t="shared" si="3"/>
        <v>#N/A</v>
      </c>
      <c r="AM84" s="352" t="e">
        <f>INDEX([76]Listas!$F$6:$J$10,MATCH(AI84,[76]Listas!$D$6:$D$10,0),MATCH(AK84,[76]Listas!$F$4:$J$4,0))</f>
        <v>#N/A</v>
      </c>
      <c r="AN84" s="259"/>
      <c r="AO84" s="259"/>
      <c r="AP84" s="1020"/>
      <c r="AQ84" s="259"/>
      <c r="AR84" s="1017" t="s">
        <v>2343</v>
      </c>
      <c r="AS84" s="1016"/>
      <c r="AT84" s="259"/>
      <c r="AU84" s="259"/>
      <c r="AV84" s="261"/>
      <c r="AW84" s="261"/>
      <c r="AX84" s="1016"/>
      <c r="AY84" s="262"/>
    </row>
    <row r="85" spans="1:51" s="260" customFormat="1" ht="103.5" hidden="1" customHeight="1">
      <c r="A85" s="351"/>
      <c r="B85" s="1015"/>
      <c r="C85" s="1342"/>
      <c r="D85" s="1343"/>
      <c r="E85" s="1344"/>
      <c r="F85" s="1013"/>
      <c r="G85" s="1342"/>
      <c r="H85" s="1343"/>
      <c r="I85" s="1344"/>
      <c r="J85" s="1320"/>
      <c r="K85" s="1320"/>
      <c r="L85" s="1320"/>
      <c r="M85" s="1012"/>
      <c r="N85" s="1012"/>
      <c r="O85" s="1012"/>
      <c r="P85" s="1012"/>
      <c r="Q85" s="1015"/>
      <c r="R85" s="1015"/>
      <c r="S85" s="499"/>
      <c r="T85" s="1029" t="e">
        <f>VLOOKUP(Q85,[76]Listas!$D$6:$E$10,2,0)</f>
        <v>#N/A</v>
      </c>
      <c r="U85" s="1029" t="e">
        <f>HLOOKUP(R85,[76]Listas!$F$4:$J$5,2,0)</f>
        <v>#N/A</v>
      </c>
      <c r="V85" s="1019" t="e">
        <f>INDEX([76]Listas!$F$6:$J$10,MATCH(Q85,[76]Listas!$D$6:$D$10,0),MATCH(R85,[76]Listas!$F$4:$J$4,0))</f>
        <v>#N/A</v>
      </c>
      <c r="W85" s="499"/>
      <c r="X85" s="1342"/>
      <c r="Y85" s="1343"/>
      <c r="Z85" s="1344"/>
      <c r="AA85" s="1071"/>
      <c r="AB85" s="1013"/>
      <c r="AC85" s="1026"/>
      <c r="AD85" s="1012"/>
      <c r="AE85" s="1013"/>
      <c r="AF85" s="499"/>
      <c r="AG85" s="1029">
        <f t="shared" si="0"/>
        <v>0</v>
      </c>
      <c r="AH85" s="298" t="e">
        <f t="shared" si="1"/>
        <v>#N/A</v>
      </c>
      <c r="AI85" s="1018" t="e">
        <f>IF(AH85&lt;=1,"Remota",VLOOKUP(AH85,[76]Listas!$C$6:$D$10,2,0))</f>
        <v>#N/A</v>
      </c>
      <c r="AJ85" s="298" t="e">
        <f t="shared" si="2"/>
        <v>#N/A</v>
      </c>
      <c r="AK85" s="1018" t="e">
        <f>IF(AJ85&lt;=1,"Insignificante",HLOOKUP(AJ85,[76]Listas!$F$3:$J$4,2,0))</f>
        <v>#N/A</v>
      </c>
      <c r="AL85" s="1027" t="e">
        <f t="shared" si="3"/>
        <v>#N/A</v>
      </c>
      <c r="AM85" s="352" t="e">
        <f>INDEX([76]Listas!$F$6:$J$10,MATCH(AI85,[76]Listas!$D$6:$D$10,0),MATCH(AK85,[76]Listas!$F$4:$J$4,0))</f>
        <v>#N/A</v>
      </c>
      <c r="AN85" s="259"/>
      <c r="AO85" s="259"/>
      <c r="AP85" s="1020"/>
      <c r="AQ85" s="259"/>
      <c r="AR85" s="1017" t="s">
        <v>2343</v>
      </c>
      <c r="AS85" s="1016"/>
      <c r="AT85" s="259"/>
      <c r="AU85" s="259"/>
      <c r="AV85" s="261"/>
      <c r="AW85" s="261"/>
      <c r="AX85" s="1016"/>
      <c r="AY85" s="262"/>
    </row>
    <row r="86" spans="1:51" s="260" customFormat="1" ht="103.5" hidden="1" customHeight="1">
      <c r="A86" s="351"/>
      <c r="B86" s="1015"/>
      <c r="C86" s="1342"/>
      <c r="D86" s="1343"/>
      <c r="E86" s="1344"/>
      <c r="F86" s="1013"/>
      <c r="G86" s="1342"/>
      <c r="H86" s="1343"/>
      <c r="I86" s="1344"/>
      <c r="J86" s="1320"/>
      <c r="K86" s="1320"/>
      <c r="L86" s="1320"/>
      <c r="M86" s="1012"/>
      <c r="N86" s="1012"/>
      <c r="O86" s="1012"/>
      <c r="P86" s="1012"/>
      <c r="Q86" s="1015"/>
      <c r="R86" s="1015"/>
      <c r="S86" s="499"/>
      <c r="T86" s="1029" t="e">
        <f>VLOOKUP(Q86,[76]Listas!$D$6:$E$10,2,0)</f>
        <v>#N/A</v>
      </c>
      <c r="U86" s="1029" t="e">
        <f>HLOOKUP(R86,[76]Listas!$F$4:$J$5,2,0)</f>
        <v>#N/A</v>
      </c>
      <c r="V86" s="1019" t="e">
        <f>INDEX([76]Listas!$F$6:$J$10,MATCH(Q86,[76]Listas!$D$6:$D$10,0),MATCH(R86,[76]Listas!$F$4:$J$4,0))</f>
        <v>#N/A</v>
      </c>
      <c r="W86" s="499"/>
      <c r="X86" s="1342"/>
      <c r="Y86" s="1343"/>
      <c r="Z86" s="1344"/>
      <c r="AA86" s="1071"/>
      <c r="AB86" s="1013"/>
      <c r="AC86" s="1026"/>
      <c r="AD86" s="1012"/>
      <c r="AE86" s="1013"/>
      <c r="AF86" s="499"/>
      <c r="AG86" s="1029">
        <f t="shared" si="0"/>
        <v>0</v>
      </c>
      <c r="AH86" s="298" t="e">
        <f t="shared" si="1"/>
        <v>#N/A</v>
      </c>
      <c r="AI86" s="1018" t="e">
        <f>IF(AH86&lt;=1,"Remota",VLOOKUP(AH86,[76]Listas!$C$6:$D$10,2,0))</f>
        <v>#N/A</v>
      </c>
      <c r="AJ86" s="298" t="e">
        <f t="shared" si="2"/>
        <v>#N/A</v>
      </c>
      <c r="AK86" s="1018" t="e">
        <f>IF(AJ86&lt;=1,"Insignificante",HLOOKUP(AJ86,[76]Listas!$F$3:$J$4,2,0))</f>
        <v>#N/A</v>
      </c>
      <c r="AL86" s="1027" t="e">
        <f t="shared" si="3"/>
        <v>#N/A</v>
      </c>
      <c r="AM86" s="352" t="e">
        <f>INDEX([76]Listas!$F$6:$J$10,MATCH(AI86,[76]Listas!$D$6:$D$10,0),MATCH(AK86,[76]Listas!$F$4:$J$4,0))</f>
        <v>#N/A</v>
      </c>
      <c r="AN86" s="259"/>
      <c r="AO86" s="259"/>
      <c r="AP86" s="1020"/>
      <c r="AQ86" s="259"/>
      <c r="AR86" s="1017" t="s">
        <v>2343</v>
      </c>
      <c r="AS86" s="1016"/>
      <c r="AT86" s="259"/>
      <c r="AU86" s="259"/>
      <c r="AV86" s="261"/>
      <c r="AW86" s="261"/>
      <c r="AX86" s="1016"/>
      <c r="AY86" s="262"/>
    </row>
    <row r="87" spans="1:51" s="260" customFormat="1" ht="103.5" hidden="1" customHeight="1">
      <c r="A87" s="351"/>
      <c r="B87" s="1015"/>
      <c r="C87" s="1342"/>
      <c r="D87" s="1343"/>
      <c r="E87" s="1344"/>
      <c r="F87" s="1013"/>
      <c r="G87" s="1342"/>
      <c r="H87" s="1343"/>
      <c r="I87" s="1344"/>
      <c r="J87" s="1320"/>
      <c r="K87" s="1320"/>
      <c r="L87" s="1320"/>
      <c r="M87" s="1012"/>
      <c r="N87" s="1012"/>
      <c r="O87" s="1012"/>
      <c r="P87" s="1012"/>
      <c r="Q87" s="1015"/>
      <c r="R87" s="1015"/>
      <c r="S87" s="499"/>
      <c r="T87" s="1029" t="e">
        <f>VLOOKUP(Q87,[76]Listas!$D$6:$E$10,2,0)</f>
        <v>#N/A</v>
      </c>
      <c r="U87" s="1029" t="e">
        <f>HLOOKUP(R87,[76]Listas!$F$4:$J$5,2,0)</f>
        <v>#N/A</v>
      </c>
      <c r="V87" s="1019" t="e">
        <f>INDEX([76]Listas!$F$6:$J$10,MATCH(Q87,[76]Listas!$D$6:$D$10,0),MATCH(R87,[76]Listas!$F$4:$J$4,0))</f>
        <v>#N/A</v>
      </c>
      <c r="W87" s="499"/>
      <c r="X87" s="1342"/>
      <c r="Y87" s="1343"/>
      <c r="Z87" s="1344"/>
      <c r="AA87" s="1071"/>
      <c r="AB87" s="1013"/>
      <c r="AC87" s="1026"/>
      <c r="AD87" s="1012"/>
      <c r="AE87" s="1013"/>
      <c r="AF87" s="499"/>
      <c r="AG87" s="1029">
        <f t="shared" si="0"/>
        <v>0</v>
      </c>
      <c r="AH87" s="298" t="e">
        <f t="shared" si="1"/>
        <v>#N/A</v>
      </c>
      <c r="AI87" s="1018" t="e">
        <f>IF(AH87&lt;=1,"Remota",VLOOKUP(AH87,[76]Listas!$C$6:$D$10,2,0))</f>
        <v>#N/A</v>
      </c>
      <c r="AJ87" s="298" t="e">
        <f t="shared" si="2"/>
        <v>#N/A</v>
      </c>
      <c r="AK87" s="1018" t="e">
        <f>IF(AJ87&lt;=1,"Insignificante",HLOOKUP(AJ87,[76]Listas!$F$3:$J$4,2,0))</f>
        <v>#N/A</v>
      </c>
      <c r="AL87" s="1027" t="e">
        <f t="shared" si="3"/>
        <v>#N/A</v>
      </c>
      <c r="AM87" s="352" t="e">
        <f>INDEX([76]Listas!$F$6:$J$10,MATCH(AI87,[76]Listas!$D$6:$D$10,0),MATCH(AK87,[76]Listas!$F$4:$J$4,0))</f>
        <v>#N/A</v>
      </c>
      <c r="AN87" s="259"/>
      <c r="AO87" s="259"/>
      <c r="AP87" s="1020"/>
      <c r="AQ87" s="259"/>
      <c r="AR87" s="1017" t="s">
        <v>2343</v>
      </c>
      <c r="AS87" s="1016"/>
      <c r="AT87" s="259"/>
      <c r="AU87" s="259"/>
      <c r="AV87" s="261"/>
      <c r="AW87" s="261"/>
      <c r="AX87" s="1016"/>
      <c r="AY87" s="262"/>
    </row>
    <row r="88" spans="1:51" s="260" customFormat="1" ht="103.5" hidden="1" customHeight="1">
      <c r="A88" s="1872" t="s">
        <v>1511</v>
      </c>
      <c r="B88" s="1343"/>
      <c r="C88" s="1343"/>
      <c r="D88" s="1343"/>
      <c r="E88" s="1343"/>
      <c r="F88" s="1343"/>
      <c r="G88" s="1343"/>
      <c r="H88" s="1343"/>
      <c r="I88" s="1343"/>
      <c r="J88" s="1343"/>
      <c r="K88" s="1343"/>
      <c r="L88" s="1343"/>
      <c r="M88" s="1343"/>
      <c r="N88" s="1343"/>
      <c r="O88" s="1343"/>
      <c r="P88" s="1343"/>
      <c r="Q88" s="1343"/>
      <c r="R88" s="1343"/>
      <c r="S88" s="1343"/>
      <c r="T88" s="1343"/>
      <c r="U88" s="1343"/>
      <c r="V88" s="1343"/>
      <c r="W88" s="1343"/>
      <c r="X88" s="1343"/>
      <c r="Y88" s="1343"/>
      <c r="Z88" s="1343"/>
      <c r="AA88" s="1343"/>
      <c r="AB88" s="1343"/>
      <c r="AC88" s="1343"/>
      <c r="AD88" s="1343"/>
      <c r="AE88" s="1343"/>
      <c r="AF88" s="1343"/>
      <c r="AG88" s="1343"/>
      <c r="AH88" s="1343"/>
      <c r="AI88" s="1343"/>
      <c r="AJ88" s="1343"/>
      <c r="AK88" s="1343"/>
      <c r="AL88" s="1343"/>
      <c r="AM88" s="1873"/>
      <c r="AN88" s="259"/>
      <c r="AO88" s="259"/>
      <c r="AP88" s="1020"/>
      <c r="AQ88" s="259"/>
      <c r="AR88" s="1017" t="s">
        <v>2343</v>
      </c>
      <c r="AS88" s="1016"/>
      <c r="AT88" s="259"/>
      <c r="AU88" s="259"/>
      <c r="AV88" s="261"/>
      <c r="AW88" s="261"/>
      <c r="AX88" s="1016"/>
      <c r="AY88" s="262"/>
    </row>
    <row r="89" spans="1:51" s="260" customFormat="1" ht="103.5" hidden="1" customHeight="1">
      <c r="A89" s="1874" t="s">
        <v>1512</v>
      </c>
      <c r="B89" s="1877" t="s">
        <v>1235</v>
      </c>
      <c r="C89" s="1360" t="s">
        <v>1513</v>
      </c>
      <c r="D89" s="1361"/>
      <c r="E89" s="1362"/>
      <c r="F89" s="1321" t="s">
        <v>1492</v>
      </c>
      <c r="G89" s="1369" t="s">
        <v>1514</v>
      </c>
      <c r="H89" s="1370"/>
      <c r="I89" s="1371"/>
      <c r="J89" s="1360" t="s">
        <v>1515</v>
      </c>
      <c r="K89" s="1361"/>
      <c r="L89" s="1362"/>
      <c r="M89" s="1296" t="s">
        <v>684</v>
      </c>
      <c r="N89" s="1296">
        <v>2</v>
      </c>
      <c r="O89" s="1296" t="s">
        <v>684</v>
      </c>
      <c r="P89" s="1296" t="s">
        <v>684</v>
      </c>
      <c r="Q89" s="1175" t="s">
        <v>1074</v>
      </c>
      <c r="R89" s="1175" t="s">
        <v>1516</v>
      </c>
      <c r="S89" s="499"/>
      <c r="T89" s="1029"/>
      <c r="U89" s="1029"/>
      <c r="V89" s="1175" t="s">
        <v>1517</v>
      </c>
      <c r="W89" s="499"/>
      <c r="X89" s="1768" t="s">
        <v>1518</v>
      </c>
      <c r="Y89" s="1768"/>
      <c r="Z89" s="1768"/>
      <c r="AA89" s="1074"/>
      <c r="AB89" s="1321" t="s">
        <v>1519</v>
      </c>
      <c r="AC89" s="1296" t="s">
        <v>1520</v>
      </c>
      <c r="AD89" s="1296">
        <v>79</v>
      </c>
      <c r="AE89" s="1351" t="s">
        <v>152</v>
      </c>
      <c r="AF89" s="499"/>
      <c r="AG89" s="1029"/>
      <c r="AH89" s="298"/>
      <c r="AI89" s="1351" t="s">
        <v>654</v>
      </c>
      <c r="AJ89" s="298"/>
      <c r="AK89" s="1351" t="s">
        <v>643</v>
      </c>
      <c r="AL89" s="1027"/>
      <c r="AM89" s="1880" t="s">
        <v>1521</v>
      </c>
      <c r="AN89" s="259"/>
      <c r="AO89" s="259"/>
      <c r="AP89" s="1020"/>
      <c r="AQ89" s="259"/>
      <c r="AR89" s="1017" t="s">
        <v>2343</v>
      </c>
      <c r="AS89" s="1016"/>
      <c r="AT89" s="259"/>
      <c r="AU89" s="259"/>
      <c r="AV89" s="261"/>
      <c r="AW89" s="261"/>
      <c r="AX89" s="1016"/>
      <c r="AY89" s="262"/>
    </row>
    <row r="90" spans="1:51" s="260" customFormat="1" ht="103.5" hidden="1" customHeight="1">
      <c r="A90" s="1875"/>
      <c r="B90" s="1878"/>
      <c r="C90" s="1851"/>
      <c r="D90" s="1852"/>
      <c r="E90" s="1853"/>
      <c r="F90" s="1322"/>
      <c r="G90" s="1369" t="s">
        <v>1522</v>
      </c>
      <c r="H90" s="1370"/>
      <c r="I90" s="1371"/>
      <c r="J90" s="1851"/>
      <c r="K90" s="1852"/>
      <c r="L90" s="1853"/>
      <c r="M90" s="1297"/>
      <c r="N90" s="1297"/>
      <c r="O90" s="1297"/>
      <c r="P90" s="1297"/>
      <c r="Q90" s="1176"/>
      <c r="R90" s="1176"/>
      <c r="S90" s="499"/>
      <c r="T90" s="1029"/>
      <c r="U90" s="1029"/>
      <c r="V90" s="1176"/>
      <c r="W90" s="499"/>
      <c r="X90" s="1768" t="s">
        <v>1523</v>
      </c>
      <c r="Y90" s="1768"/>
      <c r="Z90" s="1768"/>
      <c r="AA90" s="1075"/>
      <c r="AB90" s="1322"/>
      <c r="AC90" s="1297"/>
      <c r="AD90" s="1297"/>
      <c r="AE90" s="1352"/>
      <c r="AF90" s="499"/>
      <c r="AG90" s="1029"/>
      <c r="AH90" s="298"/>
      <c r="AI90" s="1352"/>
      <c r="AJ90" s="298"/>
      <c r="AK90" s="1352"/>
      <c r="AL90" s="1027"/>
      <c r="AM90" s="1881"/>
      <c r="AN90" s="259"/>
      <c r="AO90" s="259"/>
      <c r="AP90" s="1020"/>
      <c r="AQ90" s="259"/>
      <c r="AR90" s="1017" t="s">
        <v>2343</v>
      </c>
      <c r="AS90" s="1016"/>
      <c r="AT90" s="259"/>
      <c r="AU90" s="259"/>
      <c r="AV90" s="261"/>
      <c r="AW90" s="261"/>
      <c r="AX90" s="1016"/>
      <c r="AY90" s="262"/>
    </row>
    <row r="91" spans="1:51" s="260" customFormat="1" ht="103.5" hidden="1" customHeight="1">
      <c r="A91" s="1875"/>
      <c r="B91" s="1878"/>
      <c r="C91" s="1851"/>
      <c r="D91" s="1852"/>
      <c r="E91" s="1853"/>
      <c r="F91" s="1322"/>
      <c r="G91" s="1369" t="s">
        <v>1524</v>
      </c>
      <c r="H91" s="1370"/>
      <c r="I91" s="1371"/>
      <c r="J91" s="1851"/>
      <c r="K91" s="1852"/>
      <c r="L91" s="1853"/>
      <c r="M91" s="1297"/>
      <c r="N91" s="1297"/>
      <c r="O91" s="1297"/>
      <c r="P91" s="1297"/>
      <c r="Q91" s="1176"/>
      <c r="R91" s="1176"/>
      <c r="S91" s="499"/>
      <c r="T91" s="1029"/>
      <c r="U91" s="1029"/>
      <c r="V91" s="1176"/>
      <c r="W91" s="499"/>
      <c r="X91" s="1768" t="s">
        <v>1423</v>
      </c>
      <c r="Y91" s="1768"/>
      <c r="Z91" s="1768"/>
      <c r="AA91" s="1075"/>
      <c r="AB91" s="1322"/>
      <c r="AC91" s="1297"/>
      <c r="AD91" s="1297"/>
      <c r="AE91" s="1352"/>
      <c r="AF91" s="499"/>
      <c r="AG91" s="1029"/>
      <c r="AH91" s="298"/>
      <c r="AI91" s="1352"/>
      <c r="AJ91" s="298"/>
      <c r="AK91" s="1352"/>
      <c r="AL91" s="1027"/>
      <c r="AM91" s="1881"/>
      <c r="AN91" s="259"/>
      <c r="AO91" s="259"/>
      <c r="AP91" s="1020"/>
      <c r="AQ91" s="259"/>
      <c r="AR91" s="1017" t="s">
        <v>2343</v>
      </c>
      <c r="AS91" s="1016"/>
      <c r="AT91" s="259"/>
      <c r="AU91" s="259"/>
      <c r="AV91" s="261"/>
      <c r="AW91" s="261"/>
      <c r="AX91" s="1016"/>
      <c r="AY91" s="262"/>
    </row>
    <row r="92" spans="1:51" s="260" customFormat="1" ht="103.5" hidden="1" customHeight="1">
      <c r="A92" s="1875"/>
      <c r="B92" s="1878"/>
      <c r="C92" s="1851"/>
      <c r="D92" s="1852"/>
      <c r="E92" s="1853"/>
      <c r="F92" s="1322"/>
      <c r="G92" s="1369" t="s">
        <v>1525</v>
      </c>
      <c r="H92" s="1370"/>
      <c r="I92" s="1371"/>
      <c r="J92" s="1851"/>
      <c r="K92" s="1852"/>
      <c r="L92" s="1853"/>
      <c r="M92" s="1297"/>
      <c r="N92" s="1297"/>
      <c r="O92" s="1297"/>
      <c r="P92" s="1297"/>
      <c r="Q92" s="1176"/>
      <c r="R92" s="1176"/>
      <c r="S92" s="499"/>
      <c r="T92" s="1029"/>
      <c r="U92" s="1029"/>
      <c r="V92" s="1176"/>
      <c r="W92" s="499"/>
      <c r="X92" s="1768" t="s">
        <v>1424</v>
      </c>
      <c r="Y92" s="1768"/>
      <c r="Z92" s="1768"/>
      <c r="AA92" s="1075"/>
      <c r="AB92" s="1322"/>
      <c r="AC92" s="1297"/>
      <c r="AD92" s="1297"/>
      <c r="AE92" s="1352"/>
      <c r="AF92" s="499"/>
      <c r="AG92" s="1029"/>
      <c r="AH92" s="298"/>
      <c r="AI92" s="1352"/>
      <c r="AJ92" s="298"/>
      <c r="AK92" s="1352"/>
      <c r="AL92" s="1027"/>
      <c r="AM92" s="1881"/>
      <c r="AN92" s="259"/>
      <c r="AO92" s="259"/>
      <c r="AP92" s="1020"/>
      <c r="AQ92" s="259"/>
      <c r="AR92" s="1017" t="s">
        <v>2343</v>
      </c>
      <c r="AS92" s="1016"/>
      <c r="AT92" s="259"/>
      <c r="AU92" s="259"/>
      <c r="AV92" s="261"/>
      <c r="AW92" s="261"/>
      <c r="AX92" s="1016"/>
      <c r="AY92" s="262"/>
    </row>
    <row r="93" spans="1:51" s="260" customFormat="1" ht="103.5" hidden="1" customHeight="1">
      <c r="A93" s="1875"/>
      <c r="B93" s="1878"/>
      <c r="C93" s="1851"/>
      <c r="D93" s="1852"/>
      <c r="E93" s="1853"/>
      <c r="F93" s="1322"/>
      <c r="G93" s="1369" t="s">
        <v>1526</v>
      </c>
      <c r="H93" s="1370"/>
      <c r="I93" s="1371"/>
      <c r="J93" s="1851"/>
      <c r="K93" s="1852"/>
      <c r="L93" s="1853"/>
      <c r="M93" s="1297"/>
      <c r="N93" s="1297"/>
      <c r="O93" s="1297"/>
      <c r="P93" s="1297"/>
      <c r="Q93" s="1176"/>
      <c r="R93" s="1176"/>
      <c r="S93" s="499"/>
      <c r="T93" s="1029"/>
      <c r="U93" s="1029"/>
      <c r="V93" s="1176"/>
      <c r="W93" s="499"/>
      <c r="X93" s="1768" t="s">
        <v>1527</v>
      </c>
      <c r="Y93" s="1768"/>
      <c r="Z93" s="1768"/>
      <c r="AA93" s="1075"/>
      <c r="AB93" s="1322"/>
      <c r="AC93" s="1297"/>
      <c r="AD93" s="1297"/>
      <c r="AE93" s="1352"/>
      <c r="AF93" s="499"/>
      <c r="AG93" s="1029"/>
      <c r="AH93" s="298"/>
      <c r="AI93" s="1352"/>
      <c r="AJ93" s="298"/>
      <c r="AK93" s="1352"/>
      <c r="AL93" s="1027"/>
      <c r="AM93" s="1881"/>
      <c r="AN93" s="259"/>
      <c r="AO93" s="259"/>
      <c r="AP93" s="1020"/>
      <c r="AQ93" s="259"/>
      <c r="AR93" s="1017" t="s">
        <v>2343</v>
      </c>
      <c r="AS93" s="1016"/>
      <c r="AT93" s="259"/>
      <c r="AU93" s="259"/>
      <c r="AV93" s="261"/>
      <c r="AW93" s="261"/>
      <c r="AX93" s="1016"/>
      <c r="AY93" s="262"/>
    </row>
    <row r="94" spans="1:51" s="260" customFormat="1" ht="103.5" hidden="1" customHeight="1">
      <c r="A94" s="1875"/>
      <c r="B94" s="1878"/>
      <c r="C94" s="1851"/>
      <c r="D94" s="1852"/>
      <c r="E94" s="1853"/>
      <c r="F94" s="1322"/>
      <c r="G94" s="1369" t="s">
        <v>1528</v>
      </c>
      <c r="H94" s="1370"/>
      <c r="I94" s="1371"/>
      <c r="J94" s="1851"/>
      <c r="K94" s="1852"/>
      <c r="L94" s="1853"/>
      <c r="M94" s="1297"/>
      <c r="N94" s="1297"/>
      <c r="O94" s="1297"/>
      <c r="P94" s="1297"/>
      <c r="Q94" s="1176"/>
      <c r="R94" s="1176"/>
      <c r="S94" s="499"/>
      <c r="T94" s="1029"/>
      <c r="U94" s="1029"/>
      <c r="V94" s="1176"/>
      <c r="W94" s="499"/>
      <c r="X94" s="1768" t="s">
        <v>1426</v>
      </c>
      <c r="Y94" s="1768"/>
      <c r="Z94" s="1768"/>
      <c r="AA94" s="1075"/>
      <c r="AB94" s="1322"/>
      <c r="AC94" s="1297"/>
      <c r="AD94" s="1297"/>
      <c r="AE94" s="1352"/>
      <c r="AF94" s="499"/>
      <c r="AG94" s="1029"/>
      <c r="AH94" s="298"/>
      <c r="AI94" s="1352"/>
      <c r="AJ94" s="298"/>
      <c r="AK94" s="1352"/>
      <c r="AL94" s="1027"/>
      <c r="AM94" s="1881"/>
      <c r="AN94" s="259"/>
      <c r="AO94" s="259"/>
      <c r="AP94" s="1020"/>
      <c r="AQ94" s="259"/>
      <c r="AR94" s="1017" t="s">
        <v>2343</v>
      </c>
      <c r="AS94" s="1016"/>
      <c r="AT94" s="259"/>
      <c r="AU94" s="259"/>
      <c r="AV94" s="261"/>
      <c r="AW94" s="261"/>
      <c r="AX94" s="1016"/>
      <c r="AY94" s="262"/>
    </row>
    <row r="95" spans="1:51" s="260" customFormat="1" ht="103.5" hidden="1" customHeight="1">
      <c r="A95" s="1875"/>
      <c r="B95" s="1878"/>
      <c r="C95" s="1851"/>
      <c r="D95" s="1852"/>
      <c r="E95" s="1853"/>
      <c r="F95" s="1322"/>
      <c r="G95" s="1369" t="s">
        <v>1529</v>
      </c>
      <c r="H95" s="1370"/>
      <c r="I95" s="1371"/>
      <c r="J95" s="1851"/>
      <c r="K95" s="1852"/>
      <c r="L95" s="1853"/>
      <c r="M95" s="1297"/>
      <c r="N95" s="1297"/>
      <c r="O95" s="1297"/>
      <c r="P95" s="1297"/>
      <c r="Q95" s="1176"/>
      <c r="R95" s="1176"/>
      <c r="S95" s="499"/>
      <c r="T95" s="1029"/>
      <c r="U95" s="1029"/>
      <c r="V95" s="1176"/>
      <c r="W95" s="499"/>
      <c r="X95" s="1768" t="s">
        <v>1428</v>
      </c>
      <c r="Y95" s="1768"/>
      <c r="Z95" s="1768"/>
      <c r="AA95" s="1075"/>
      <c r="AB95" s="1322"/>
      <c r="AC95" s="1297"/>
      <c r="AD95" s="1297"/>
      <c r="AE95" s="1352"/>
      <c r="AF95" s="499"/>
      <c r="AG95" s="1029"/>
      <c r="AH95" s="298"/>
      <c r="AI95" s="1352"/>
      <c r="AJ95" s="298"/>
      <c r="AK95" s="1352"/>
      <c r="AL95" s="1027"/>
      <c r="AM95" s="1881"/>
      <c r="AN95" s="259"/>
      <c r="AO95" s="259"/>
      <c r="AP95" s="1020"/>
      <c r="AQ95" s="259"/>
      <c r="AR95" s="1017" t="s">
        <v>2343</v>
      </c>
      <c r="AS95" s="1016"/>
      <c r="AT95" s="259"/>
      <c r="AU95" s="259"/>
      <c r="AV95" s="261"/>
      <c r="AW95" s="261"/>
      <c r="AX95" s="1016"/>
      <c r="AY95" s="262"/>
    </row>
    <row r="96" spans="1:51" s="260" customFormat="1" ht="103.5" hidden="1" customHeight="1">
      <c r="A96" s="1875"/>
      <c r="B96" s="1878"/>
      <c r="C96" s="1851"/>
      <c r="D96" s="1852"/>
      <c r="E96" s="1853"/>
      <c r="F96" s="1322"/>
      <c r="G96" s="1369" t="s">
        <v>1530</v>
      </c>
      <c r="H96" s="1370"/>
      <c r="I96" s="1371"/>
      <c r="J96" s="1851"/>
      <c r="K96" s="1852"/>
      <c r="L96" s="1853"/>
      <c r="M96" s="1297"/>
      <c r="N96" s="1297"/>
      <c r="O96" s="1297"/>
      <c r="P96" s="1297"/>
      <c r="Q96" s="1176"/>
      <c r="R96" s="1176"/>
      <c r="S96" s="499"/>
      <c r="T96" s="1029"/>
      <c r="U96" s="1029"/>
      <c r="V96" s="1176"/>
      <c r="W96" s="499"/>
      <c r="X96" s="1768" t="s">
        <v>1531</v>
      </c>
      <c r="Y96" s="1768"/>
      <c r="Z96" s="1768"/>
      <c r="AA96" s="1075"/>
      <c r="AB96" s="1322"/>
      <c r="AC96" s="1297"/>
      <c r="AD96" s="1297"/>
      <c r="AE96" s="1352"/>
      <c r="AF96" s="499"/>
      <c r="AG96" s="1029"/>
      <c r="AH96" s="298"/>
      <c r="AI96" s="1352"/>
      <c r="AJ96" s="298"/>
      <c r="AK96" s="1352"/>
      <c r="AL96" s="1027"/>
      <c r="AM96" s="1881"/>
      <c r="AN96" s="259"/>
      <c r="AO96" s="259"/>
      <c r="AP96" s="1020"/>
      <c r="AQ96" s="259"/>
      <c r="AR96" s="1017" t="s">
        <v>2343</v>
      </c>
      <c r="AS96" s="1016"/>
      <c r="AT96" s="259"/>
      <c r="AU96" s="259"/>
      <c r="AV96" s="261"/>
      <c r="AW96" s="261"/>
      <c r="AX96" s="1016"/>
      <c r="AY96" s="262"/>
    </row>
    <row r="97" spans="1:51" s="260" customFormat="1" ht="103.5" hidden="1" customHeight="1">
      <c r="A97" s="1875"/>
      <c r="B97" s="1878"/>
      <c r="C97" s="1851"/>
      <c r="D97" s="1852"/>
      <c r="E97" s="1853"/>
      <c r="F97" s="1322"/>
      <c r="G97" s="1369" t="s">
        <v>1532</v>
      </c>
      <c r="H97" s="1370"/>
      <c r="I97" s="1371"/>
      <c r="J97" s="1851"/>
      <c r="K97" s="1852"/>
      <c r="L97" s="1853"/>
      <c r="M97" s="1297"/>
      <c r="N97" s="1297"/>
      <c r="O97" s="1297"/>
      <c r="P97" s="1297"/>
      <c r="Q97" s="1176"/>
      <c r="R97" s="1176"/>
      <c r="S97" s="499"/>
      <c r="T97" s="1029"/>
      <c r="U97" s="1029"/>
      <c r="V97" s="1176"/>
      <c r="W97" s="499"/>
      <c r="X97" s="1768" t="s">
        <v>1103</v>
      </c>
      <c r="Y97" s="1768"/>
      <c r="Z97" s="1768"/>
      <c r="AA97" s="1075"/>
      <c r="AB97" s="1322"/>
      <c r="AC97" s="1297"/>
      <c r="AD97" s="1297"/>
      <c r="AE97" s="1352"/>
      <c r="AF97" s="499"/>
      <c r="AG97" s="1029"/>
      <c r="AH97" s="298"/>
      <c r="AI97" s="1352"/>
      <c r="AJ97" s="298"/>
      <c r="AK97" s="1352"/>
      <c r="AL97" s="1027"/>
      <c r="AM97" s="1881"/>
      <c r="AN97" s="259"/>
      <c r="AO97" s="259"/>
      <c r="AP97" s="1020"/>
      <c r="AQ97" s="259"/>
      <c r="AR97" s="1017" t="s">
        <v>2343</v>
      </c>
      <c r="AS97" s="1016"/>
      <c r="AT97" s="259"/>
      <c r="AU97" s="259"/>
      <c r="AV97" s="261"/>
      <c r="AW97" s="261"/>
      <c r="AX97" s="1016"/>
      <c r="AY97" s="262"/>
    </row>
    <row r="98" spans="1:51" s="260" customFormat="1" ht="103.5" hidden="1" customHeight="1">
      <c r="A98" s="1875"/>
      <c r="B98" s="1878"/>
      <c r="C98" s="1851"/>
      <c r="D98" s="1852"/>
      <c r="E98" s="1853"/>
      <c r="F98" s="1322"/>
      <c r="G98" s="1369" t="s">
        <v>1533</v>
      </c>
      <c r="H98" s="1370"/>
      <c r="I98" s="1371"/>
      <c r="J98" s="1851"/>
      <c r="K98" s="1852"/>
      <c r="L98" s="1853"/>
      <c r="M98" s="1297"/>
      <c r="N98" s="1297"/>
      <c r="O98" s="1297"/>
      <c r="P98" s="1297"/>
      <c r="Q98" s="1176"/>
      <c r="R98" s="1176"/>
      <c r="S98" s="499"/>
      <c r="T98" s="1029"/>
      <c r="U98" s="1029"/>
      <c r="V98" s="1176"/>
      <c r="W98" s="499"/>
      <c r="X98" s="1768" t="s">
        <v>1431</v>
      </c>
      <c r="Y98" s="1768"/>
      <c r="Z98" s="1768"/>
      <c r="AA98" s="1075"/>
      <c r="AB98" s="1322"/>
      <c r="AC98" s="1297"/>
      <c r="AD98" s="1297"/>
      <c r="AE98" s="1352"/>
      <c r="AF98" s="499"/>
      <c r="AG98" s="1029"/>
      <c r="AH98" s="298"/>
      <c r="AI98" s="1352"/>
      <c r="AJ98" s="298"/>
      <c r="AK98" s="1352"/>
      <c r="AL98" s="1027"/>
      <c r="AM98" s="1881"/>
      <c r="AN98" s="259"/>
      <c r="AO98" s="259"/>
      <c r="AP98" s="1020"/>
      <c r="AQ98" s="259"/>
      <c r="AR98" s="1017" t="s">
        <v>2343</v>
      </c>
      <c r="AS98" s="1016"/>
      <c r="AT98" s="259"/>
      <c r="AU98" s="259"/>
      <c r="AV98" s="261"/>
      <c r="AW98" s="261"/>
      <c r="AX98" s="1016"/>
      <c r="AY98" s="262"/>
    </row>
    <row r="99" spans="1:51" s="260" customFormat="1" ht="103.5" hidden="1" customHeight="1">
      <c r="A99" s="1876"/>
      <c r="B99" s="1879"/>
      <c r="C99" s="1363"/>
      <c r="D99" s="1364"/>
      <c r="E99" s="1365"/>
      <c r="F99" s="1515"/>
      <c r="G99" s="1369" t="s">
        <v>1534</v>
      </c>
      <c r="H99" s="1370"/>
      <c r="I99" s="1371"/>
      <c r="J99" s="1363"/>
      <c r="K99" s="1364"/>
      <c r="L99" s="1365"/>
      <c r="M99" s="1328"/>
      <c r="N99" s="1328"/>
      <c r="O99" s="1328"/>
      <c r="P99" s="1328"/>
      <c r="Q99" s="1520"/>
      <c r="R99" s="1520"/>
      <c r="S99" s="499"/>
      <c r="T99" s="1029"/>
      <c r="U99" s="1029"/>
      <c r="V99" s="1520"/>
      <c r="W99" s="499"/>
      <c r="X99" s="1768" t="s">
        <v>1433</v>
      </c>
      <c r="Y99" s="1768"/>
      <c r="Z99" s="1768"/>
      <c r="AA99" s="1099"/>
      <c r="AB99" s="1515"/>
      <c r="AC99" s="1328"/>
      <c r="AD99" s="1328"/>
      <c r="AE99" s="1519"/>
      <c r="AF99" s="499"/>
      <c r="AG99" s="1029"/>
      <c r="AH99" s="298"/>
      <c r="AI99" s="1519"/>
      <c r="AJ99" s="298"/>
      <c r="AK99" s="1519"/>
      <c r="AL99" s="1027"/>
      <c r="AM99" s="1882"/>
      <c r="AN99" s="259"/>
      <c r="AO99" s="259"/>
      <c r="AP99" s="1020"/>
      <c r="AQ99" s="259"/>
      <c r="AR99" s="1017" t="s">
        <v>2343</v>
      </c>
      <c r="AS99" s="1016"/>
      <c r="AT99" s="259"/>
      <c r="AU99" s="259"/>
      <c r="AV99" s="261"/>
      <c r="AW99" s="261"/>
      <c r="AX99" s="1016"/>
      <c r="AY99" s="262"/>
    </row>
    <row r="100" spans="1:51" s="260" customFormat="1" ht="103.5" hidden="1" customHeight="1">
      <c r="A100" s="1857" t="s">
        <v>1512</v>
      </c>
      <c r="B100" s="1860" t="s">
        <v>1241</v>
      </c>
      <c r="C100" s="1360" t="s">
        <v>982</v>
      </c>
      <c r="D100" s="1361"/>
      <c r="E100" s="1362"/>
      <c r="F100" s="1321" t="s">
        <v>1492</v>
      </c>
      <c r="G100" s="1369" t="s">
        <v>976</v>
      </c>
      <c r="H100" s="1370"/>
      <c r="I100" s="1371"/>
      <c r="J100" s="1360" t="s">
        <v>980</v>
      </c>
      <c r="K100" s="1361"/>
      <c r="L100" s="1362"/>
      <c r="M100" s="1296" t="s">
        <v>684</v>
      </c>
      <c r="N100" s="1296">
        <v>2</v>
      </c>
      <c r="O100" s="1296" t="s">
        <v>684</v>
      </c>
      <c r="P100" s="1296" t="s">
        <v>684</v>
      </c>
      <c r="Q100" s="1175" t="s">
        <v>64</v>
      </c>
      <c r="R100" s="1175" t="s">
        <v>643</v>
      </c>
      <c r="S100" s="499"/>
      <c r="T100" s="1029"/>
      <c r="U100" s="1029"/>
      <c r="V100" s="1177" t="s">
        <v>1535</v>
      </c>
      <c r="W100" s="499"/>
      <c r="X100" s="1372" t="s">
        <v>1437</v>
      </c>
      <c r="Y100" s="1373"/>
      <c r="Z100" s="1374"/>
      <c r="AA100" s="1072"/>
      <c r="AB100" s="1321" t="s">
        <v>1519</v>
      </c>
      <c r="AC100" s="1332" t="s">
        <v>977</v>
      </c>
      <c r="AD100" s="1296">
        <v>67</v>
      </c>
      <c r="AE100" s="1351" t="s">
        <v>153</v>
      </c>
      <c r="AF100" s="499"/>
      <c r="AG100" s="1029"/>
      <c r="AH100" s="298"/>
      <c r="AI100" s="1351" t="s">
        <v>655</v>
      </c>
      <c r="AJ100" s="298"/>
      <c r="AK100" s="1351" t="s">
        <v>643</v>
      </c>
      <c r="AL100" s="1027"/>
      <c r="AM100" s="1840" t="s">
        <v>1536</v>
      </c>
      <c r="AN100" s="259"/>
      <c r="AO100" s="259"/>
      <c r="AP100" s="1020"/>
      <c r="AQ100" s="259"/>
      <c r="AR100" s="1017" t="s">
        <v>2343</v>
      </c>
      <c r="AS100" s="1016"/>
      <c r="AT100" s="259"/>
      <c r="AU100" s="259"/>
      <c r="AV100" s="261"/>
      <c r="AW100" s="261"/>
      <c r="AX100" s="1016"/>
      <c r="AY100" s="262"/>
    </row>
    <row r="101" spans="1:51" s="260" customFormat="1" ht="103.5" hidden="1" customHeight="1">
      <c r="A101" s="1858"/>
      <c r="B101" s="1861"/>
      <c r="C101" s="1851"/>
      <c r="D101" s="1852"/>
      <c r="E101" s="1853"/>
      <c r="F101" s="1322"/>
      <c r="G101" s="1369" t="s">
        <v>1067</v>
      </c>
      <c r="H101" s="1370"/>
      <c r="I101" s="1371"/>
      <c r="J101" s="1851"/>
      <c r="K101" s="1852"/>
      <c r="L101" s="1853"/>
      <c r="M101" s="1297"/>
      <c r="N101" s="1297"/>
      <c r="O101" s="1297"/>
      <c r="P101" s="1297"/>
      <c r="Q101" s="1176"/>
      <c r="R101" s="1176"/>
      <c r="S101" s="499"/>
      <c r="T101" s="1029"/>
      <c r="U101" s="1029"/>
      <c r="V101" s="1178"/>
      <c r="W101" s="499"/>
      <c r="X101" s="1372" t="s">
        <v>1068</v>
      </c>
      <c r="Y101" s="1373"/>
      <c r="Z101" s="1374"/>
      <c r="AA101" s="1090"/>
      <c r="AB101" s="1322"/>
      <c r="AC101" s="1333"/>
      <c r="AD101" s="1297"/>
      <c r="AE101" s="1352"/>
      <c r="AF101" s="499"/>
      <c r="AG101" s="1029"/>
      <c r="AH101" s="298"/>
      <c r="AI101" s="1352"/>
      <c r="AJ101" s="298"/>
      <c r="AK101" s="1352"/>
      <c r="AL101" s="1027"/>
      <c r="AM101" s="1841"/>
      <c r="AN101" s="259"/>
      <c r="AO101" s="259"/>
      <c r="AP101" s="1020"/>
      <c r="AQ101" s="259"/>
      <c r="AR101" s="1017" t="s">
        <v>2343</v>
      </c>
      <c r="AS101" s="1016"/>
      <c r="AT101" s="259"/>
      <c r="AU101" s="259"/>
      <c r="AV101" s="261"/>
      <c r="AW101" s="261"/>
      <c r="AX101" s="1016"/>
      <c r="AY101" s="262"/>
    </row>
    <row r="102" spans="1:51" s="260" customFormat="1" ht="103.5" hidden="1" customHeight="1">
      <c r="A102" s="1858"/>
      <c r="B102" s="1861"/>
      <c r="C102" s="1851"/>
      <c r="D102" s="1852"/>
      <c r="E102" s="1853"/>
      <c r="F102" s="1322"/>
      <c r="G102" s="1369" t="s">
        <v>974</v>
      </c>
      <c r="H102" s="1370"/>
      <c r="I102" s="1371"/>
      <c r="J102" s="1851"/>
      <c r="K102" s="1852"/>
      <c r="L102" s="1853"/>
      <c r="M102" s="1297"/>
      <c r="N102" s="1297"/>
      <c r="O102" s="1297"/>
      <c r="P102" s="1297"/>
      <c r="Q102" s="1176"/>
      <c r="R102" s="1176"/>
      <c r="S102" s="499"/>
      <c r="T102" s="1029"/>
      <c r="U102" s="1029"/>
      <c r="V102" s="1178"/>
      <c r="W102" s="499"/>
      <c r="X102" s="1372" t="s">
        <v>1113</v>
      </c>
      <c r="Y102" s="1373"/>
      <c r="Z102" s="1374"/>
      <c r="AA102" s="1073"/>
      <c r="AB102" s="1515"/>
      <c r="AC102" s="1333"/>
      <c r="AD102" s="1297"/>
      <c r="AE102" s="1352"/>
      <c r="AF102" s="499"/>
      <c r="AG102" s="1029"/>
      <c r="AH102" s="298"/>
      <c r="AI102" s="1352"/>
      <c r="AJ102" s="298"/>
      <c r="AK102" s="1352"/>
      <c r="AL102" s="1027"/>
      <c r="AM102" s="1841"/>
      <c r="AN102" s="259"/>
      <c r="AO102" s="259"/>
      <c r="AP102" s="1020"/>
      <c r="AQ102" s="259"/>
      <c r="AR102" s="1017" t="s">
        <v>2343</v>
      </c>
      <c r="AS102" s="1016"/>
      <c r="AT102" s="259"/>
      <c r="AU102" s="259"/>
      <c r="AV102" s="261"/>
      <c r="AW102" s="261"/>
      <c r="AX102" s="1016"/>
      <c r="AY102" s="262"/>
    </row>
    <row r="103" spans="1:51" s="260" customFormat="1" ht="103.5" hidden="1" customHeight="1">
      <c r="A103" s="1857" t="s">
        <v>1512</v>
      </c>
      <c r="B103" s="1860" t="s">
        <v>1245</v>
      </c>
      <c r="C103" s="1863" t="s">
        <v>1198</v>
      </c>
      <c r="D103" s="1864"/>
      <c r="E103" s="1865"/>
      <c r="F103" s="1321" t="s">
        <v>1537</v>
      </c>
      <c r="G103" s="1369" t="s">
        <v>1199</v>
      </c>
      <c r="H103" s="1370"/>
      <c r="I103" s="1371"/>
      <c r="J103" s="1360" t="s">
        <v>1538</v>
      </c>
      <c r="K103" s="1361"/>
      <c r="L103" s="1362"/>
      <c r="M103" s="1296" t="s">
        <v>684</v>
      </c>
      <c r="N103" s="1296">
        <v>2</v>
      </c>
      <c r="O103" s="1296" t="s">
        <v>684</v>
      </c>
      <c r="P103" s="1296" t="s">
        <v>684</v>
      </c>
      <c r="Q103" s="1176" t="s">
        <v>655</v>
      </c>
      <c r="R103" s="1175" t="s">
        <v>643</v>
      </c>
      <c r="S103" s="499"/>
      <c r="T103" s="1029"/>
      <c r="U103" s="1029"/>
      <c r="V103" s="1177" t="s">
        <v>1539</v>
      </c>
      <c r="W103" s="499"/>
      <c r="X103" s="1360" t="s">
        <v>1540</v>
      </c>
      <c r="Y103" s="1361"/>
      <c r="Z103" s="1362"/>
      <c r="AA103" s="1072"/>
      <c r="AB103" s="1321" t="s">
        <v>1519</v>
      </c>
      <c r="AC103" s="1332" t="s">
        <v>1541</v>
      </c>
      <c r="AD103" s="1296">
        <v>59</v>
      </c>
      <c r="AE103" s="1351" t="s">
        <v>153</v>
      </c>
      <c r="AF103" s="1296"/>
      <c r="AG103" s="1296"/>
      <c r="AH103" s="1296"/>
      <c r="AI103" s="1351" t="s">
        <v>654</v>
      </c>
      <c r="AJ103" s="1296"/>
      <c r="AK103" s="1351" t="s">
        <v>643</v>
      </c>
      <c r="AL103" s="1296"/>
      <c r="AM103" s="1840" t="s">
        <v>1521</v>
      </c>
      <c r="AN103" s="259"/>
      <c r="AO103" s="259"/>
      <c r="AP103" s="1020"/>
      <c r="AQ103" s="259"/>
      <c r="AR103" s="1017" t="s">
        <v>2343</v>
      </c>
      <c r="AS103" s="1016"/>
      <c r="AT103" s="259"/>
      <c r="AU103" s="259"/>
      <c r="AV103" s="261"/>
      <c r="AW103" s="261"/>
      <c r="AX103" s="1016"/>
      <c r="AY103" s="262"/>
    </row>
    <row r="104" spans="1:51" s="260" customFormat="1" ht="103.5" hidden="1" customHeight="1">
      <c r="A104" s="1858"/>
      <c r="B104" s="1861"/>
      <c r="C104" s="1866"/>
      <c r="D104" s="1867"/>
      <c r="E104" s="1868"/>
      <c r="F104" s="1322"/>
      <c r="G104" s="1369" t="s">
        <v>1201</v>
      </c>
      <c r="H104" s="1370"/>
      <c r="I104" s="1371"/>
      <c r="J104" s="1851"/>
      <c r="K104" s="1852"/>
      <c r="L104" s="1853"/>
      <c r="M104" s="1297"/>
      <c r="N104" s="1297"/>
      <c r="O104" s="1297"/>
      <c r="P104" s="1297"/>
      <c r="Q104" s="1176"/>
      <c r="R104" s="1176"/>
      <c r="S104" s="499"/>
      <c r="T104" s="1029"/>
      <c r="U104" s="1029"/>
      <c r="V104" s="1178"/>
      <c r="W104" s="499"/>
      <c r="X104" s="1363"/>
      <c r="Y104" s="1364"/>
      <c r="Z104" s="1365"/>
      <c r="AA104" s="1090"/>
      <c r="AB104" s="1322"/>
      <c r="AC104" s="1333"/>
      <c r="AD104" s="1297"/>
      <c r="AE104" s="1352"/>
      <c r="AF104" s="1297"/>
      <c r="AG104" s="1297"/>
      <c r="AH104" s="1297"/>
      <c r="AI104" s="1352"/>
      <c r="AJ104" s="1297"/>
      <c r="AK104" s="1352"/>
      <c r="AL104" s="1297"/>
      <c r="AM104" s="1841"/>
      <c r="AN104" s="259"/>
      <c r="AO104" s="259"/>
      <c r="AP104" s="1020"/>
      <c r="AQ104" s="259"/>
      <c r="AR104" s="1017" t="s">
        <v>2343</v>
      </c>
      <c r="AS104" s="1016"/>
      <c r="AT104" s="259"/>
      <c r="AU104" s="259"/>
      <c r="AV104" s="261"/>
      <c r="AW104" s="261"/>
      <c r="AX104" s="1016"/>
      <c r="AY104" s="262"/>
    </row>
    <row r="105" spans="1:51" s="260" customFormat="1" ht="103.5" hidden="1" customHeight="1">
      <c r="A105" s="1859"/>
      <c r="B105" s="1862"/>
      <c r="C105" s="1869"/>
      <c r="D105" s="1870"/>
      <c r="E105" s="1871"/>
      <c r="F105" s="1849"/>
      <c r="G105" s="1843" t="s">
        <v>1202</v>
      </c>
      <c r="H105" s="1844"/>
      <c r="I105" s="1845"/>
      <c r="J105" s="1854"/>
      <c r="K105" s="1855"/>
      <c r="L105" s="1856"/>
      <c r="M105" s="1839"/>
      <c r="N105" s="1839"/>
      <c r="O105" s="1839"/>
      <c r="P105" s="1839"/>
      <c r="Q105" s="1847"/>
      <c r="R105" s="1847"/>
      <c r="S105" s="353"/>
      <c r="T105" s="354"/>
      <c r="U105" s="354"/>
      <c r="V105" s="1848"/>
      <c r="W105" s="353"/>
      <c r="X105" s="1846" t="s">
        <v>1542</v>
      </c>
      <c r="Y105" s="1846"/>
      <c r="Z105" s="1846"/>
      <c r="AA105" s="1095"/>
      <c r="AB105" s="1849"/>
      <c r="AC105" s="1850"/>
      <c r="AD105" s="1839"/>
      <c r="AE105" s="1838"/>
      <c r="AF105" s="1839"/>
      <c r="AG105" s="1839"/>
      <c r="AH105" s="1839"/>
      <c r="AI105" s="1838"/>
      <c r="AJ105" s="1839"/>
      <c r="AK105" s="1838"/>
      <c r="AL105" s="1839"/>
      <c r="AM105" s="1842"/>
      <c r="AN105" s="259"/>
      <c r="AO105" s="259"/>
      <c r="AP105" s="1020"/>
      <c r="AQ105" s="259"/>
      <c r="AR105" s="1017" t="s">
        <v>2343</v>
      </c>
      <c r="AS105" s="1016"/>
      <c r="AT105" s="259"/>
      <c r="AU105" s="259"/>
      <c r="AV105" s="261"/>
      <c r="AW105" s="261"/>
      <c r="AX105" s="1016"/>
      <c r="AY105" s="262"/>
    </row>
    <row r="106" spans="1:51" s="260" customFormat="1" ht="103.5" hidden="1" customHeight="1">
      <c r="A106" s="1016"/>
      <c r="B106" s="266"/>
      <c r="C106" s="1399"/>
      <c r="D106" s="1408"/>
      <c r="E106" s="1400"/>
      <c r="F106" s="267"/>
      <c r="G106" s="1399"/>
      <c r="H106" s="1408"/>
      <c r="I106" s="1400"/>
      <c r="J106" s="1380"/>
      <c r="K106" s="1380"/>
      <c r="L106" s="1380"/>
      <c r="M106" s="1016"/>
      <c r="N106" s="1016"/>
      <c r="O106" s="1016"/>
      <c r="P106" s="1016"/>
      <c r="Q106" s="266"/>
      <c r="R106" s="266"/>
      <c r="S106" s="268"/>
      <c r="T106" s="269" t="e">
        <f>VLOOKUP(Q106,[71]Listas!$D$6:$E$10,2,0)</f>
        <v>#N/A</v>
      </c>
      <c r="U106" s="269" t="e">
        <f>HLOOKUP(R106,[71]Listas!$F$4:$J$5,2,0)</f>
        <v>#N/A</v>
      </c>
      <c r="V106" s="270" t="e">
        <f>INDEX([71]Listas!$F$6:$J$10,MATCH(Q106,[71]Listas!$D$6:$D$10,0),MATCH(R106,[71]Listas!$F$4:$J$4,0))</f>
        <v>#N/A</v>
      </c>
      <c r="W106" s="268"/>
      <c r="X106" s="1399"/>
      <c r="Y106" s="1408"/>
      <c r="Z106" s="1400"/>
      <c r="AA106" s="1063"/>
      <c r="AB106" s="267"/>
      <c r="AC106" s="259"/>
      <c r="AD106" s="1016"/>
      <c r="AE106" s="267"/>
      <c r="AF106" s="268"/>
      <c r="AG106" s="269">
        <f t="shared" ref="AG106:AG151" si="4">IF(AD106&lt;=33,0,IF(AD106&gt;81,2,1))</f>
        <v>0</v>
      </c>
      <c r="AH106" s="271" t="e">
        <f t="shared" ref="AH106:AH151" si="5">IF(OR(AE106="Probabilidad",AE106="Ambos"),T106-AG106,T106)</f>
        <v>#N/A</v>
      </c>
      <c r="AI106" s="272" t="e">
        <f>IF(AH106&lt;=1,"Remota",VLOOKUP(AH106,[71]Listas!$C$6:$D$10,2,0))</f>
        <v>#N/A</v>
      </c>
      <c r="AJ106" s="271" t="e">
        <f t="shared" ref="AJ106:AJ151" si="6">IF(OR(AE106="Impacto",AE106="Ambos"),U106-AG106,U106)</f>
        <v>#N/A</v>
      </c>
      <c r="AK106" s="272" t="e">
        <f>IF(AJ106&lt;=1,"Insignificante",HLOOKUP(AJ106,[71]Listas!$F$3:$J$4,2,0))</f>
        <v>#N/A</v>
      </c>
      <c r="AL106" s="273" t="e">
        <f t="shared" ref="AL106:AL151" si="7">AH106*AJ106</f>
        <v>#N/A</v>
      </c>
      <c r="AM106" s="270" t="e">
        <f>INDEX([71]Listas!$F$6:$J$10,MATCH(AI106,[71]Listas!$D$6:$D$10,0),MATCH(AK106,[71]Listas!$F$4:$J$4,0))</f>
        <v>#N/A</v>
      </c>
      <c r="AN106" s="259"/>
      <c r="AO106" s="259"/>
      <c r="AP106" s="1020"/>
      <c r="AQ106" s="259"/>
      <c r="AR106" s="1017" t="s">
        <v>2343</v>
      </c>
      <c r="AS106" s="1016"/>
      <c r="AT106" s="259"/>
      <c r="AU106" s="259"/>
      <c r="AV106" s="261"/>
      <c r="AW106" s="261"/>
      <c r="AX106" s="1016"/>
      <c r="AY106" s="262"/>
    </row>
    <row r="107" spans="1:51" s="260" customFormat="1" ht="103.5" hidden="1" customHeight="1">
      <c r="A107" s="1016"/>
      <c r="B107" s="266"/>
      <c r="C107" s="1399"/>
      <c r="D107" s="1408"/>
      <c r="E107" s="1400"/>
      <c r="F107" s="267"/>
      <c r="G107" s="1399"/>
      <c r="H107" s="1408"/>
      <c r="I107" s="1400"/>
      <c r="J107" s="1380"/>
      <c r="K107" s="1380"/>
      <c r="L107" s="1380"/>
      <c r="M107" s="1016"/>
      <c r="N107" s="1016"/>
      <c r="O107" s="1016"/>
      <c r="P107" s="1016"/>
      <c r="Q107" s="266"/>
      <c r="R107" s="266"/>
      <c r="S107" s="268"/>
      <c r="T107" s="269" t="e">
        <f>VLOOKUP(Q107,[71]Listas!$D$6:$E$10,2,0)</f>
        <v>#N/A</v>
      </c>
      <c r="U107" s="269" t="e">
        <f>HLOOKUP(R107,[71]Listas!$F$4:$J$5,2,0)</f>
        <v>#N/A</v>
      </c>
      <c r="V107" s="270" t="e">
        <f>INDEX([71]Listas!$F$6:$J$10,MATCH(Q107,[71]Listas!$D$6:$D$10,0),MATCH(R107,[71]Listas!$F$4:$J$4,0))</f>
        <v>#N/A</v>
      </c>
      <c r="W107" s="268"/>
      <c r="X107" s="1399"/>
      <c r="Y107" s="1408"/>
      <c r="Z107" s="1400"/>
      <c r="AA107" s="1063"/>
      <c r="AB107" s="267"/>
      <c r="AC107" s="259"/>
      <c r="AD107" s="1016"/>
      <c r="AE107" s="267"/>
      <c r="AF107" s="268"/>
      <c r="AG107" s="269">
        <f t="shared" si="4"/>
        <v>0</v>
      </c>
      <c r="AH107" s="271" t="e">
        <f t="shared" si="5"/>
        <v>#N/A</v>
      </c>
      <c r="AI107" s="272" t="e">
        <f>IF(AH107&lt;=1,"Remota",VLOOKUP(AH107,[71]Listas!$C$6:$D$10,2,0))</f>
        <v>#N/A</v>
      </c>
      <c r="AJ107" s="271" t="e">
        <f t="shared" si="6"/>
        <v>#N/A</v>
      </c>
      <c r="AK107" s="272" t="e">
        <f>IF(AJ107&lt;=1,"Insignificante",HLOOKUP(AJ107,[71]Listas!$F$3:$J$4,2,0))</f>
        <v>#N/A</v>
      </c>
      <c r="AL107" s="273" t="e">
        <f t="shared" si="7"/>
        <v>#N/A</v>
      </c>
      <c r="AM107" s="270" t="e">
        <f>INDEX([71]Listas!$F$6:$J$10,MATCH(AI107,[71]Listas!$D$6:$D$10,0),MATCH(AK107,[71]Listas!$F$4:$J$4,0))</f>
        <v>#N/A</v>
      </c>
      <c r="AN107" s="259"/>
      <c r="AO107" s="259"/>
      <c r="AP107" s="1020"/>
      <c r="AQ107" s="259"/>
      <c r="AR107" s="1017" t="s">
        <v>2343</v>
      </c>
      <c r="AS107" s="1016"/>
      <c r="AT107" s="259"/>
      <c r="AU107" s="259"/>
      <c r="AV107" s="261"/>
      <c r="AW107" s="261"/>
      <c r="AX107" s="1016"/>
      <c r="AY107" s="262"/>
    </row>
    <row r="108" spans="1:51" s="260" customFormat="1" ht="103.5" hidden="1" customHeight="1">
      <c r="A108" s="1016"/>
      <c r="B108" s="266"/>
      <c r="C108" s="1399"/>
      <c r="D108" s="1408"/>
      <c r="E108" s="1400"/>
      <c r="F108" s="267"/>
      <c r="G108" s="1399"/>
      <c r="H108" s="1408"/>
      <c r="I108" s="1400"/>
      <c r="J108" s="1380"/>
      <c r="K108" s="1380"/>
      <c r="L108" s="1380"/>
      <c r="M108" s="1016"/>
      <c r="N108" s="1016"/>
      <c r="O108" s="1016"/>
      <c r="P108" s="1016"/>
      <c r="Q108" s="266"/>
      <c r="R108" s="266"/>
      <c r="S108" s="268"/>
      <c r="T108" s="269" t="e">
        <f>VLOOKUP(Q108,[71]Listas!$D$6:$E$10,2,0)</f>
        <v>#N/A</v>
      </c>
      <c r="U108" s="269" t="e">
        <f>HLOOKUP(R108,[71]Listas!$F$4:$J$5,2,0)</f>
        <v>#N/A</v>
      </c>
      <c r="V108" s="270" t="e">
        <f>INDEX([71]Listas!$F$6:$J$10,MATCH(Q108,[71]Listas!$D$6:$D$10,0),MATCH(R108,[71]Listas!$F$4:$J$4,0))</f>
        <v>#N/A</v>
      </c>
      <c r="W108" s="268"/>
      <c r="X108" s="1399"/>
      <c r="Y108" s="1408"/>
      <c r="Z108" s="1400"/>
      <c r="AA108" s="1063"/>
      <c r="AB108" s="267"/>
      <c r="AC108" s="259"/>
      <c r="AD108" s="1016"/>
      <c r="AE108" s="267"/>
      <c r="AF108" s="268"/>
      <c r="AG108" s="269">
        <f t="shared" si="4"/>
        <v>0</v>
      </c>
      <c r="AH108" s="271" t="e">
        <f t="shared" si="5"/>
        <v>#N/A</v>
      </c>
      <c r="AI108" s="272" t="e">
        <f>IF(AH108&lt;=1,"Remota",VLOOKUP(AH108,[71]Listas!$C$6:$D$10,2,0))</f>
        <v>#N/A</v>
      </c>
      <c r="AJ108" s="271" t="e">
        <f t="shared" si="6"/>
        <v>#N/A</v>
      </c>
      <c r="AK108" s="272" t="e">
        <f>IF(AJ108&lt;=1,"Insignificante",HLOOKUP(AJ108,[71]Listas!$F$3:$J$4,2,0))</f>
        <v>#N/A</v>
      </c>
      <c r="AL108" s="273" t="e">
        <f t="shared" si="7"/>
        <v>#N/A</v>
      </c>
      <c r="AM108" s="270" t="e">
        <f>INDEX([71]Listas!$F$6:$J$10,MATCH(AI108,[71]Listas!$D$6:$D$10,0),MATCH(AK108,[71]Listas!$F$4:$J$4,0))</f>
        <v>#N/A</v>
      </c>
      <c r="AN108" s="259"/>
      <c r="AO108" s="259"/>
      <c r="AP108" s="1020"/>
      <c r="AQ108" s="259"/>
      <c r="AR108" s="1017" t="s">
        <v>2343</v>
      </c>
      <c r="AS108" s="1016"/>
      <c r="AT108" s="259"/>
      <c r="AU108" s="259"/>
      <c r="AV108" s="261"/>
      <c r="AW108" s="261"/>
      <c r="AX108" s="1016"/>
      <c r="AY108" s="262"/>
    </row>
    <row r="109" spans="1:51" s="260" customFormat="1" ht="103.5" hidden="1" customHeight="1">
      <c r="A109" s="1016"/>
      <c r="B109" s="266"/>
      <c r="C109" s="1399"/>
      <c r="D109" s="1408"/>
      <c r="E109" s="1400"/>
      <c r="F109" s="267"/>
      <c r="G109" s="1399"/>
      <c r="H109" s="1408"/>
      <c r="I109" s="1400"/>
      <c r="J109" s="1380"/>
      <c r="K109" s="1380"/>
      <c r="L109" s="1380"/>
      <c r="M109" s="1016"/>
      <c r="N109" s="1016"/>
      <c r="O109" s="1016"/>
      <c r="P109" s="1016"/>
      <c r="Q109" s="266"/>
      <c r="R109" s="266"/>
      <c r="S109" s="268"/>
      <c r="T109" s="269" t="e">
        <f>VLOOKUP(Q109,[71]Listas!$D$6:$E$10,2,0)</f>
        <v>#N/A</v>
      </c>
      <c r="U109" s="269" t="e">
        <f>HLOOKUP(R109,[71]Listas!$F$4:$J$5,2,0)</f>
        <v>#N/A</v>
      </c>
      <c r="V109" s="270" t="e">
        <f>INDEX([71]Listas!$F$6:$J$10,MATCH(Q109,[71]Listas!$D$6:$D$10,0),MATCH(R109,[71]Listas!$F$4:$J$4,0))</f>
        <v>#N/A</v>
      </c>
      <c r="W109" s="268"/>
      <c r="X109" s="1399"/>
      <c r="Y109" s="1408"/>
      <c r="Z109" s="1400"/>
      <c r="AA109" s="1063"/>
      <c r="AB109" s="267"/>
      <c r="AC109" s="259"/>
      <c r="AD109" s="1016"/>
      <c r="AE109" s="267"/>
      <c r="AF109" s="268"/>
      <c r="AG109" s="269">
        <f t="shared" si="4"/>
        <v>0</v>
      </c>
      <c r="AH109" s="271" t="e">
        <f t="shared" si="5"/>
        <v>#N/A</v>
      </c>
      <c r="AI109" s="272" t="e">
        <f>IF(AH109&lt;=1,"Remota",VLOOKUP(AH109,[71]Listas!$C$6:$D$10,2,0))</f>
        <v>#N/A</v>
      </c>
      <c r="AJ109" s="271" t="e">
        <f t="shared" si="6"/>
        <v>#N/A</v>
      </c>
      <c r="AK109" s="272" t="e">
        <f>IF(AJ109&lt;=1,"Insignificante",HLOOKUP(AJ109,[71]Listas!$F$3:$J$4,2,0))</f>
        <v>#N/A</v>
      </c>
      <c r="AL109" s="273" t="e">
        <f t="shared" si="7"/>
        <v>#N/A</v>
      </c>
      <c r="AM109" s="270" t="e">
        <f>INDEX([71]Listas!$F$6:$J$10,MATCH(AI109,[71]Listas!$D$6:$D$10,0),MATCH(AK109,[71]Listas!$F$4:$J$4,0))</f>
        <v>#N/A</v>
      </c>
      <c r="AN109" s="259"/>
      <c r="AO109" s="259"/>
      <c r="AP109" s="1020"/>
      <c r="AQ109" s="259"/>
      <c r="AR109" s="1017" t="s">
        <v>2343</v>
      </c>
      <c r="AS109" s="1016"/>
      <c r="AT109" s="259"/>
      <c r="AU109" s="259"/>
      <c r="AV109" s="261"/>
      <c r="AW109" s="261"/>
      <c r="AX109" s="1016"/>
      <c r="AY109" s="262"/>
    </row>
    <row r="110" spans="1:51" s="260" customFormat="1" ht="103.5" hidden="1" customHeight="1">
      <c r="A110" s="1016"/>
      <c r="B110" s="266"/>
      <c r="C110" s="1399"/>
      <c r="D110" s="1408"/>
      <c r="E110" s="1400"/>
      <c r="F110" s="267"/>
      <c r="G110" s="1399"/>
      <c r="H110" s="1408"/>
      <c r="I110" s="1400"/>
      <c r="J110" s="1380"/>
      <c r="K110" s="1380"/>
      <c r="L110" s="1380"/>
      <c r="M110" s="1016"/>
      <c r="N110" s="1016"/>
      <c r="O110" s="1016"/>
      <c r="P110" s="1016"/>
      <c r="Q110" s="266"/>
      <c r="R110" s="266"/>
      <c r="S110" s="268"/>
      <c r="T110" s="269" t="e">
        <f>VLOOKUP(Q110,[71]Listas!$D$6:$E$10,2,0)</f>
        <v>#N/A</v>
      </c>
      <c r="U110" s="269" t="e">
        <f>HLOOKUP(R110,[71]Listas!$F$4:$J$5,2,0)</f>
        <v>#N/A</v>
      </c>
      <c r="V110" s="270" t="e">
        <f>INDEX([71]Listas!$F$6:$J$10,MATCH(Q110,[71]Listas!$D$6:$D$10,0),MATCH(R110,[71]Listas!$F$4:$J$4,0))</f>
        <v>#N/A</v>
      </c>
      <c r="W110" s="268"/>
      <c r="X110" s="1399"/>
      <c r="Y110" s="1408"/>
      <c r="Z110" s="1400"/>
      <c r="AA110" s="1063"/>
      <c r="AB110" s="267"/>
      <c r="AC110" s="259"/>
      <c r="AD110" s="1016"/>
      <c r="AE110" s="267"/>
      <c r="AF110" s="268"/>
      <c r="AG110" s="269">
        <f t="shared" si="4"/>
        <v>0</v>
      </c>
      <c r="AH110" s="271" t="e">
        <f t="shared" si="5"/>
        <v>#N/A</v>
      </c>
      <c r="AI110" s="272" t="e">
        <f>IF(AH110&lt;=1,"Remota",VLOOKUP(AH110,[71]Listas!$C$6:$D$10,2,0))</f>
        <v>#N/A</v>
      </c>
      <c r="AJ110" s="271" t="e">
        <f t="shared" si="6"/>
        <v>#N/A</v>
      </c>
      <c r="AK110" s="272" t="e">
        <f>IF(AJ110&lt;=1,"Insignificante",HLOOKUP(AJ110,[71]Listas!$F$3:$J$4,2,0))</f>
        <v>#N/A</v>
      </c>
      <c r="AL110" s="273" t="e">
        <f t="shared" si="7"/>
        <v>#N/A</v>
      </c>
      <c r="AM110" s="270" t="e">
        <f>INDEX([71]Listas!$F$6:$J$10,MATCH(AI110,[71]Listas!$D$6:$D$10,0),MATCH(AK110,[71]Listas!$F$4:$J$4,0))</f>
        <v>#N/A</v>
      </c>
      <c r="AN110" s="259"/>
      <c r="AO110" s="259"/>
      <c r="AP110" s="1020"/>
      <c r="AQ110" s="259"/>
      <c r="AR110" s="1017" t="s">
        <v>2343</v>
      </c>
      <c r="AS110" s="1016"/>
      <c r="AT110" s="259"/>
      <c r="AU110" s="259"/>
      <c r="AV110" s="261"/>
      <c r="AW110" s="261"/>
      <c r="AX110" s="1016"/>
      <c r="AY110" s="262"/>
    </row>
    <row r="111" spans="1:51" s="260" customFormat="1" ht="103.5" hidden="1" customHeight="1">
      <c r="A111" s="1016"/>
      <c r="B111" s="266"/>
      <c r="C111" s="1399"/>
      <c r="D111" s="1408"/>
      <c r="E111" s="1400"/>
      <c r="F111" s="267"/>
      <c r="G111" s="1399"/>
      <c r="H111" s="1408"/>
      <c r="I111" s="1400"/>
      <c r="J111" s="1380"/>
      <c r="K111" s="1380"/>
      <c r="L111" s="1380"/>
      <c r="M111" s="1016"/>
      <c r="N111" s="1016"/>
      <c r="O111" s="1016"/>
      <c r="P111" s="1016"/>
      <c r="Q111" s="266"/>
      <c r="R111" s="266"/>
      <c r="S111" s="268"/>
      <c r="T111" s="269" t="e">
        <f>VLOOKUP(Q111,[71]Listas!$D$6:$E$10,2,0)</f>
        <v>#N/A</v>
      </c>
      <c r="U111" s="269" t="e">
        <f>HLOOKUP(R111,[71]Listas!$F$4:$J$5,2,0)</f>
        <v>#N/A</v>
      </c>
      <c r="V111" s="270" t="e">
        <f>INDEX([71]Listas!$F$6:$J$10,MATCH(Q111,[71]Listas!$D$6:$D$10,0),MATCH(R111,[71]Listas!$F$4:$J$4,0))</f>
        <v>#N/A</v>
      </c>
      <c r="W111" s="268"/>
      <c r="X111" s="1399"/>
      <c r="Y111" s="1408"/>
      <c r="Z111" s="1400"/>
      <c r="AA111" s="1063"/>
      <c r="AB111" s="267"/>
      <c r="AC111" s="259"/>
      <c r="AD111" s="1016"/>
      <c r="AE111" s="267"/>
      <c r="AF111" s="268"/>
      <c r="AG111" s="269">
        <f t="shared" si="4"/>
        <v>0</v>
      </c>
      <c r="AH111" s="271" t="e">
        <f t="shared" si="5"/>
        <v>#N/A</v>
      </c>
      <c r="AI111" s="272" t="e">
        <f>IF(AH111&lt;=1,"Remota",VLOOKUP(AH111,[71]Listas!$C$6:$D$10,2,0))</f>
        <v>#N/A</v>
      </c>
      <c r="AJ111" s="271" t="e">
        <f t="shared" si="6"/>
        <v>#N/A</v>
      </c>
      <c r="AK111" s="272" t="e">
        <f>IF(AJ111&lt;=1,"Insignificante",HLOOKUP(AJ111,[71]Listas!$F$3:$J$4,2,0))</f>
        <v>#N/A</v>
      </c>
      <c r="AL111" s="273" t="e">
        <f t="shared" si="7"/>
        <v>#N/A</v>
      </c>
      <c r="AM111" s="270" t="e">
        <f>INDEX([71]Listas!$F$6:$J$10,MATCH(AI111,[71]Listas!$D$6:$D$10,0),MATCH(AK111,[71]Listas!$F$4:$J$4,0))</f>
        <v>#N/A</v>
      </c>
      <c r="AN111" s="259"/>
      <c r="AO111" s="259"/>
      <c r="AP111" s="1020"/>
      <c r="AQ111" s="259"/>
      <c r="AR111" s="1017" t="s">
        <v>2343</v>
      </c>
      <c r="AS111" s="1016"/>
      <c r="AT111" s="259"/>
      <c r="AU111" s="259"/>
      <c r="AV111" s="261"/>
      <c r="AW111" s="261"/>
      <c r="AX111" s="1016"/>
      <c r="AY111" s="262"/>
    </row>
    <row r="112" spans="1:51" s="260" customFormat="1" ht="103.5" hidden="1" customHeight="1">
      <c r="A112" s="1016"/>
      <c r="B112" s="266"/>
      <c r="C112" s="1399"/>
      <c r="D112" s="1408"/>
      <c r="E112" s="1400"/>
      <c r="F112" s="267"/>
      <c r="G112" s="1399"/>
      <c r="H112" s="1408"/>
      <c r="I112" s="1400"/>
      <c r="J112" s="1380"/>
      <c r="K112" s="1380"/>
      <c r="L112" s="1380"/>
      <c r="M112" s="1016"/>
      <c r="N112" s="1016"/>
      <c r="O112" s="1016"/>
      <c r="P112" s="1016"/>
      <c r="Q112" s="266"/>
      <c r="R112" s="266"/>
      <c r="S112" s="268"/>
      <c r="T112" s="269" t="e">
        <f>VLOOKUP(Q112,[71]Listas!$D$6:$E$10,2,0)</f>
        <v>#N/A</v>
      </c>
      <c r="U112" s="269" t="e">
        <f>HLOOKUP(R112,[71]Listas!$F$4:$J$5,2,0)</f>
        <v>#N/A</v>
      </c>
      <c r="V112" s="270" t="e">
        <f>INDEX([71]Listas!$F$6:$J$10,MATCH(Q112,[71]Listas!$D$6:$D$10,0),MATCH(R112,[71]Listas!$F$4:$J$4,0))</f>
        <v>#N/A</v>
      </c>
      <c r="W112" s="268"/>
      <c r="X112" s="1399"/>
      <c r="Y112" s="1408"/>
      <c r="Z112" s="1400"/>
      <c r="AA112" s="1063"/>
      <c r="AB112" s="267"/>
      <c r="AC112" s="259"/>
      <c r="AD112" s="1016"/>
      <c r="AE112" s="267"/>
      <c r="AF112" s="268"/>
      <c r="AG112" s="269">
        <f t="shared" si="4"/>
        <v>0</v>
      </c>
      <c r="AH112" s="271" t="e">
        <f t="shared" si="5"/>
        <v>#N/A</v>
      </c>
      <c r="AI112" s="272" t="e">
        <f>IF(AH112&lt;=1,"Remota",VLOOKUP(AH112,[71]Listas!$C$6:$D$10,2,0))</f>
        <v>#N/A</v>
      </c>
      <c r="AJ112" s="271" t="e">
        <f t="shared" si="6"/>
        <v>#N/A</v>
      </c>
      <c r="AK112" s="272" t="e">
        <f>IF(AJ112&lt;=1,"Insignificante",HLOOKUP(AJ112,[71]Listas!$F$3:$J$4,2,0))</f>
        <v>#N/A</v>
      </c>
      <c r="AL112" s="273" t="e">
        <f t="shared" si="7"/>
        <v>#N/A</v>
      </c>
      <c r="AM112" s="270" t="e">
        <f>INDEX([71]Listas!$F$6:$J$10,MATCH(AI112,[71]Listas!$D$6:$D$10,0),MATCH(AK112,[71]Listas!$F$4:$J$4,0))</f>
        <v>#N/A</v>
      </c>
      <c r="AN112" s="259"/>
      <c r="AO112" s="259"/>
      <c r="AP112" s="1020"/>
      <c r="AQ112" s="259"/>
      <c r="AR112" s="1017" t="s">
        <v>2343</v>
      </c>
      <c r="AS112" s="1016"/>
      <c r="AT112" s="259"/>
      <c r="AU112" s="259"/>
      <c r="AV112" s="261"/>
      <c r="AW112" s="261"/>
      <c r="AX112" s="1016"/>
      <c r="AY112" s="262"/>
    </row>
    <row r="113" spans="1:51" s="260" customFormat="1" ht="103.5" hidden="1" customHeight="1">
      <c r="A113" s="1016"/>
      <c r="B113" s="266"/>
      <c r="C113" s="1399"/>
      <c r="D113" s="1408"/>
      <c r="E113" s="1400"/>
      <c r="F113" s="267"/>
      <c r="G113" s="1399"/>
      <c r="H113" s="1408"/>
      <c r="I113" s="1400"/>
      <c r="J113" s="1380"/>
      <c r="K113" s="1380"/>
      <c r="L113" s="1380"/>
      <c r="M113" s="1016"/>
      <c r="N113" s="1016"/>
      <c r="O113" s="1016"/>
      <c r="P113" s="1016"/>
      <c r="Q113" s="266"/>
      <c r="R113" s="266"/>
      <c r="S113" s="268"/>
      <c r="T113" s="269" t="e">
        <f>VLOOKUP(Q113,[71]Listas!$D$6:$E$10,2,0)</f>
        <v>#N/A</v>
      </c>
      <c r="U113" s="269" t="e">
        <f>HLOOKUP(R113,[71]Listas!$F$4:$J$5,2,0)</f>
        <v>#N/A</v>
      </c>
      <c r="V113" s="270" t="e">
        <f>INDEX([71]Listas!$F$6:$J$10,MATCH(Q113,[71]Listas!$D$6:$D$10,0),MATCH(R113,[71]Listas!$F$4:$J$4,0))</f>
        <v>#N/A</v>
      </c>
      <c r="W113" s="268"/>
      <c r="X113" s="1399"/>
      <c r="Y113" s="1408"/>
      <c r="Z113" s="1400"/>
      <c r="AA113" s="1063"/>
      <c r="AB113" s="267"/>
      <c r="AC113" s="259"/>
      <c r="AD113" s="1016"/>
      <c r="AE113" s="267"/>
      <c r="AF113" s="268"/>
      <c r="AG113" s="269">
        <f t="shared" si="4"/>
        <v>0</v>
      </c>
      <c r="AH113" s="271" t="e">
        <f t="shared" si="5"/>
        <v>#N/A</v>
      </c>
      <c r="AI113" s="272" t="e">
        <f>IF(AH113&lt;=1,"Remota",VLOOKUP(AH113,[71]Listas!$C$6:$D$10,2,0))</f>
        <v>#N/A</v>
      </c>
      <c r="AJ113" s="271" t="e">
        <f t="shared" si="6"/>
        <v>#N/A</v>
      </c>
      <c r="AK113" s="272" t="e">
        <f>IF(AJ113&lt;=1,"Insignificante",HLOOKUP(AJ113,[71]Listas!$F$3:$J$4,2,0))</f>
        <v>#N/A</v>
      </c>
      <c r="AL113" s="273" t="e">
        <f t="shared" si="7"/>
        <v>#N/A</v>
      </c>
      <c r="AM113" s="270" t="e">
        <f>INDEX([71]Listas!$F$6:$J$10,MATCH(AI113,[71]Listas!$D$6:$D$10,0),MATCH(AK113,[71]Listas!$F$4:$J$4,0))</f>
        <v>#N/A</v>
      </c>
      <c r="AN113" s="259"/>
      <c r="AO113" s="259"/>
      <c r="AP113" s="1020"/>
      <c r="AQ113" s="259"/>
      <c r="AR113" s="1017" t="s">
        <v>2343</v>
      </c>
      <c r="AS113" s="1016"/>
      <c r="AT113" s="259"/>
      <c r="AU113" s="259"/>
      <c r="AV113" s="261"/>
      <c r="AW113" s="261"/>
      <c r="AX113" s="1016"/>
      <c r="AY113" s="262"/>
    </row>
    <row r="114" spans="1:51" s="260" customFormat="1" ht="103.5" hidden="1" customHeight="1">
      <c r="A114" s="1016"/>
      <c r="B114" s="266"/>
      <c r="C114" s="1399"/>
      <c r="D114" s="1408"/>
      <c r="E114" s="1400"/>
      <c r="F114" s="267"/>
      <c r="G114" s="1399"/>
      <c r="H114" s="1408"/>
      <c r="I114" s="1400"/>
      <c r="J114" s="1380"/>
      <c r="K114" s="1380"/>
      <c r="L114" s="1380"/>
      <c r="M114" s="1016"/>
      <c r="N114" s="1016"/>
      <c r="O114" s="1016"/>
      <c r="P114" s="1016"/>
      <c r="Q114" s="266"/>
      <c r="R114" s="266"/>
      <c r="S114" s="268"/>
      <c r="T114" s="269" t="e">
        <f>VLOOKUP(Q114,[71]Listas!$D$6:$E$10,2,0)</f>
        <v>#N/A</v>
      </c>
      <c r="U114" s="269" t="e">
        <f>HLOOKUP(R114,[71]Listas!$F$4:$J$5,2,0)</f>
        <v>#N/A</v>
      </c>
      <c r="V114" s="270" t="e">
        <f>INDEX([71]Listas!$F$6:$J$10,MATCH(Q114,[71]Listas!$D$6:$D$10,0),MATCH(R114,[71]Listas!$F$4:$J$4,0))</f>
        <v>#N/A</v>
      </c>
      <c r="W114" s="268"/>
      <c r="X114" s="1399"/>
      <c r="Y114" s="1408"/>
      <c r="Z114" s="1400"/>
      <c r="AA114" s="1063"/>
      <c r="AB114" s="267"/>
      <c r="AC114" s="259"/>
      <c r="AD114" s="1016"/>
      <c r="AE114" s="267"/>
      <c r="AF114" s="268"/>
      <c r="AG114" s="269">
        <f t="shared" si="4"/>
        <v>0</v>
      </c>
      <c r="AH114" s="271" t="e">
        <f t="shared" si="5"/>
        <v>#N/A</v>
      </c>
      <c r="AI114" s="272" t="e">
        <f>IF(AH114&lt;=1,"Remota",VLOOKUP(AH114,[71]Listas!$C$6:$D$10,2,0))</f>
        <v>#N/A</v>
      </c>
      <c r="AJ114" s="271" t="e">
        <f t="shared" si="6"/>
        <v>#N/A</v>
      </c>
      <c r="AK114" s="272" t="e">
        <f>IF(AJ114&lt;=1,"Insignificante",HLOOKUP(AJ114,[71]Listas!$F$3:$J$4,2,0))</f>
        <v>#N/A</v>
      </c>
      <c r="AL114" s="273" t="e">
        <f t="shared" si="7"/>
        <v>#N/A</v>
      </c>
      <c r="AM114" s="270" t="e">
        <f>INDEX([71]Listas!$F$6:$J$10,MATCH(AI114,[71]Listas!$D$6:$D$10,0),MATCH(AK114,[71]Listas!$F$4:$J$4,0))</f>
        <v>#N/A</v>
      </c>
      <c r="AN114" s="259"/>
      <c r="AO114" s="259"/>
      <c r="AP114" s="1020"/>
      <c r="AQ114" s="259"/>
      <c r="AR114" s="1017" t="s">
        <v>2343</v>
      </c>
      <c r="AS114" s="1016"/>
      <c r="AT114" s="259"/>
      <c r="AU114" s="259"/>
      <c r="AV114" s="261"/>
      <c r="AW114" s="261"/>
      <c r="AX114" s="1016"/>
      <c r="AY114" s="262"/>
    </row>
    <row r="115" spans="1:51" s="260" customFormat="1" ht="103.5" hidden="1" customHeight="1">
      <c r="A115" s="1016"/>
      <c r="B115" s="266"/>
      <c r="C115" s="1399"/>
      <c r="D115" s="1408"/>
      <c r="E115" s="1400"/>
      <c r="F115" s="267"/>
      <c r="G115" s="1399"/>
      <c r="H115" s="1408"/>
      <c r="I115" s="1400"/>
      <c r="J115" s="1380"/>
      <c r="K115" s="1380"/>
      <c r="L115" s="1380"/>
      <c r="M115" s="1016"/>
      <c r="N115" s="1016"/>
      <c r="O115" s="1016"/>
      <c r="P115" s="1016"/>
      <c r="Q115" s="266"/>
      <c r="R115" s="266"/>
      <c r="S115" s="268"/>
      <c r="T115" s="269" t="e">
        <f>VLOOKUP(Q115,[71]Listas!$D$6:$E$10,2,0)</f>
        <v>#N/A</v>
      </c>
      <c r="U115" s="269" t="e">
        <f>HLOOKUP(R115,[71]Listas!$F$4:$J$5,2,0)</f>
        <v>#N/A</v>
      </c>
      <c r="V115" s="270" t="e">
        <f>INDEX([71]Listas!$F$6:$J$10,MATCH(Q115,[71]Listas!$D$6:$D$10,0),MATCH(R115,[71]Listas!$F$4:$J$4,0))</f>
        <v>#N/A</v>
      </c>
      <c r="W115" s="268"/>
      <c r="X115" s="1399"/>
      <c r="Y115" s="1408"/>
      <c r="Z115" s="1400"/>
      <c r="AA115" s="1063"/>
      <c r="AB115" s="267"/>
      <c r="AC115" s="259"/>
      <c r="AD115" s="1016"/>
      <c r="AE115" s="267"/>
      <c r="AF115" s="268"/>
      <c r="AG115" s="269">
        <f t="shared" si="4"/>
        <v>0</v>
      </c>
      <c r="AH115" s="271" t="e">
        <f t="shared" si="5"/>
        <v>#N/A</v>
      </c>
      <c r="AI115" s="272" t="e">
        <f>IF(AH115&lt;=1,"Remota",VLOOKUP(AH115,[71]Listas!$C$6:$D$10,2,0))</f>
        <v>#N/A</v>
      </c>
      <c r="AJ115" s="271" t="e">
        <f t="shared" si="6"/>
        <v>#N/A</v>
      </c>
      <c r="AK115" s="272" t="e">
        <f>IF(AJ115&lt;=1,"Insignificante",HLOOKUP(AJ115,[71]Listas!$F$3:$J$4,2,0))</f>
        <v>#N/A</v>
      </c>
      <c r="AL115" s="273" t="e">
        <f t="shared" si="7"/>
        <v>#N/A</v>
      </c>
      <c r="AM115" s="270" t="e">
        <f>INDEX([71]Listas!$F$6:$J$10,MATCH(AI115,[71]Listas!$D$6:$D$10,0),MATCH(AK115,[71]Listas!$F$4:$J$4,0))</f>
        <v>#N/A</v>
      </c>
      <c r="AN115" s="259"/>
      <c r="AO115" s="259"/>
      <c r="AP115" s="1020"/>
      <c r="AQ115" s="259"/>
      <c r="AR115" s="1017" t="s">
        <v>2343</v>
      </c>
      <c r="AS115" s="1016"/>
      <c r="AT115" s="259"/>
      <c r="AU115" s="259"/>
      <c r="AV115" s="261"/>
      <c r="AW115" s="261"/>
      <c r="AX115" s="1016"/>
      <c r="AY115" s="262"/>
    </row>
    <row r="116" spans="1:51" s="260" customFormat="1" ht="103.5" hidden="1" customHeight="1">
      <c r="A116" s="1016"/>
      <c r="B116" s="266"/>
      <c r="C116" s="1399"/>
      <c r="D116" s="1408"/>
      <c r="E116" s="1400"/>
      <c r="F116" s="267"/>
      <c r="G116" s="1399"/>
      <c r="H116" s="1408"/>
      <c r="I116" s="1400"/>
      <c r="J116" s="1380"/>
      <c r="K116" s="1380"/>
      <c r="L116" s="1380"/>
      <c r="M116" s="1016"/>
      <c r="N116" s="1016"/>
      <c r="O116" s="1016"/>
      <c r="P116" s="1016"/>
      <c r="Q116" s="266"/>
      <c r="R116" s="266"/>
      <c r="S116" s="268"/>
      <c r="T116" s="269" t="e">
        <f>VLOOKUP(Q116,[71]Listas!$D$6:$E$10,2,0)</f>
        <v>#N/A</v>
      </c>
      <c r="U116" s="269" t="e">
        <f>HLOOKUP(R116,[71]Listas!$F$4:$J$5,2,0)</f>
        <v>#N/A</v>
      </c>
      <c r="V116" s="270" t="e">
        <f>INDEX([71]Listas!$F$6:$J$10,MATCH(Q116,[71]Listas!$D$6:$D$10,0),MATCH(R116,[71]Listas!$F$4:$J$4,0))</f>
        <v>#N/A</v>
      </c>
      <c r="W116" s="268"/>
      <c r="X116" s="1399"/>
      <c r="Y116" s="1408"/>
      <c r="Z116" s="1400"/>
      <c r="AA116" s="1063"/>
      <c r="AB116" s="267"/>
      <c r="AC116" s="259"/>
      <c r="AD116" s="1016"/>
      <c r="AE116" s="267"/>
      <c r="AF116" s="268"/>
      <c r="AG116" s="269">
        <f t="shared" si="4"/>
        <v>0</v>
      </c>
      <c r="AH116" s="271" t="e">
        <f t="shared" si="5"/>
        <v>#N/A</v>
      </c>
      <c r="AI116" s="272" t="e">
        <f>IF(AH116&lt;=1,"Remota",VLOOKUP(AH116,[71]Listas!$C$6:$D$10,2,0))</f>
        <v>#N/A</v>
      </c>
      <c r="AJ116" s="271" t="e">
        <f t="shared" si="6"/>
        <v>#N/A</v>
      </c>
      <c r="AK116" s="272" t="e">
        <f>IF(AJ116&lt;=1,"Insignificante",HLOOKUP(AJ116,[71]Listas!$F$3:$J$4,2,0))</f>
        <v>#N/A</v>
      </c>
      <c r="AL116" s="273" t="e">
        <f t="shared" si="7"/>
        <v>#N/A</v>
      </c>
      <c r="AM116" s="270" t="e">
        <f>INDEX([71]Listas!$F$6:$J$10,MATCH(AI116,[71]Listas!$D$6:$D$10,0),MATCH(AK116,[71]Listas!$F$4:$J$4,0))</f>
        <v>#N/A</v>
      </c>
      <c r="AN116" s="259"/>
      <c r="AO116" s="259"/>
      <c r="AP116" s="1020"/>
      <c r="AQ116" s="259"/>
      <c r="AR116" s="1017" t="s">
        <v>2343</v>
      </c>
      <c r="AS116" s="1016"/>
      <c r="AT116" s="259"/>
      <c r="AU116" s="259"/>
      <c r="AV116" s="261"/>
      <c r="AW116" s="261"/>
      <c r="AX116" s="1016"/>
      <c r="AY116" s="262"/>
    </row>
    <row r="117" spans="1:51" s="260" customFormat="1" ht="103.5" hidden="1" customHeight="1">
      <c r="A117" s="1016"/>
      <c r="B117" s="266"/>
      <c r="C117" s="1399"/>
      <c r="D117" s="1408"/>
      <c r="E117" s="1400"/>
      <c r="F117" s="267"/>
      <c r="G117" s="1399"/>
      <c r="H117" s="1408"/>
      <c r="I117" s="1400"/>
      <c r="J117" s="1380"/>
      <c r="K117" s="1380"/>
      <c r="L117" s="1380"/>
      <c r="M117" s="1016"/>
      <c r="N117" s="1016"/>
      <c r="O117" s="1016"/>
      <c r="P117" s="1016"/>
      <c r="Q117" s="266"/>
      <c r="R117" s="266"/>
      <c r="S117" s="268"/>
      <c r="T117" s="269" t="e">
        <f>VLOOKUP(Q117,[71]Listas!$D$6:$E$10,2,0)</f>
        <v>#N/A</v>
      </c>
      <c r="U117" s="269" t="e">
        <f>HLOOKUP(R117,[71]Listas!$F$4:$J$5,2,0)</f>
        <v>#N/A</v>
      </c>
      <c r="V117" s="270" t="e">
        <f>INDEX([71]Listas!$F$6:$J$10,MATCH(Q117,[71]Listas!$D$6:$D$10,0),MATCH(R117,[71]Listas!$F$4:$J$4,0))</f>
        <v>#N/A</v>
      </c>
      <c r="W117" s="268"/>
      <c r="X117" s="1399"/>
      <c r="Y117" s="1408"/>
      <c r="Z117" s="1400"/>
      <c r="AA117" s="1063"/>
      <c r="AB117" s="267"/>
      <c r="AC117" s="259"/>
      <c r="AD117" s="1016"/>
      <c r="AE117" s="267"/>
      <c r="AF117" s="268"/>
      <c r="AG117" s="269">
        <f t="shared" si="4"/>
        <v>0</v>
      </c>
      <c r="AH117" s="271" t="e">
        <f t="shared" si="5"/>
        <v>#N/A</v>
      </c>
      <c r="AI117" s="272" t="e">
        <f>IF(AH117&lt;=1,"Remota",VLOOKUP(AH117,[71]Listas!$C$6:$D$10,2,0))</f>
        <v>#N/A</v>
      </c>
      <c r="AJ117" s="271" t="e">
        <f t="shared" si="6"/>
        <v>#N/A</v>
      </c>
      <c r="AK117" s="272" t="e">
        <f>IF(AJ117&lt;=1,"Insignificante",HLOOKUP(AJ117,[71]Listas!$F$3:$J$4,2,0))</f>
        <v>#N/A</v>
      </c>
      <c r="AL117" s="273" t="e">
        <f t="shared" si="7"/>
        <v>#N/A</v>
      </c>
      <c r="AM117" s="270" t="e">
        <f>INDEX([71]Listas!$F$6:$J$10,MATCH(AI117,[71]Listas!$D$6:$D$10,0),MATCH(AK117,[71]Listas!$F$4:$J$4,0))</f>
        <v>#N/A</v>
      </c>
      <c r="AN117" s="259"/>
      <c r="AO117" s="259"/>
      <c r="AP117" s="1020"/>
      <c r="AQ117" s="259"/>
      <c r="AR117" s="1017" t="s">
        <v>2343</v>
      </c>
      <c r="AS117" s="1016"/>
      <c r="AT117" s="259"/>
      <c r="AU117" s="259"/>
      <c r="AV117" s="261"/>
      <c r="AW117" s="261"/>
      <c r="AX117" s="1016"/>
      <c r="AY117" s="262"/>
    </row>
    <row r="118" spans="1:51" s="260" customFormat="1" ht="103.5" hidden="1" customHeight="1">
      <c r="A118" s="1016"/>
      <c r="B118" s="266"/>
      <c r="C118" s="1399"/>
      <c r="D118" s="1408"/>
      <c r="E118" s="1400"/>
      <c r="F118" s="267"/>
      <c r="G118" s="1399"/>
      <c r="H118" s="1408"/>
      <c r="I118" s="1400"/>
      <c r="J118" s="1380"/>
      <c r="K118" s="1380"/>
      <c r="L118" s="1380"/>
      <c r="M118" s="1016"/>
      <c r="N118" s="1016"/>
      <c r="O118" s="1016"/>
      <c r="P118" s="1016"/>
      <c r="Q118" s="266"/>
      <c r="R118" s="266"/>
      <c r="S118" s="268"/>
      <c r="T118" s="269" t="e">
        <f>VLOOKUP(Q118,[71]Listas!$D$6:$E$10,2,0)</f>
        <v>#N/A</v>
      </c>
      <c r="U118" s="269" t="e">
        <f>HLOOKUP(R118,[71]Listas!$F$4:$J$5,2,0)</f>
        <v>#N/A</v>
      </c>
      <c r="V118" s="270" t="e">
        <f>INDEX([71]Listas!$F$6:$J$10,MATCH(Q118,[71]Listas!$D$6:$D$10,0),MATCH(R118,[71]Listas!$F$4:$J$4,0))</f>
        <v>#N/A</v>
      </c>
      <c r="W118" s="268"/>
      <c r="X118" s="1399"/>
      <c r="Y118" s="1408"/>
      <c r="Z118" s="1400"/>
      <c r="AA118" s="1063"/>
      <c r="AB118" s="267"/>
      <c r="AC118" s="259"/>
      <c r="AD118" s="1016"/>
      <c r="AE118" s="267"/>
      <c r="AF118" s="268"/>
      <c r="AG118" s="269">
        <f t="shared" si="4"/>
        <v>0</v>
      </c>
      <c r="AH118" s="271" t="e">
        <f t="shared" si="5"/>
        <v>#N/A</v>
      </c>
      <c r="AI118" s="272" t="e">
        <f>IF(AH118&lt;=1,"Remota",VLOOKUP(AH118,[71]Listas!$C$6:$D$10,2,0))</f>
        <v>#N/A</v>
      </c>
      <c r="AJ118" s="271" t="e">
        <f t="shared" si="6"/>
        <v>#N/A</v>
      </c>
      <c r="AK118" s="272" t="e">
        <f>IF(AJ118&lt;=1,"Insignificante",HLOOKUP(AJ118,[71]Listas!$F$3:$J$4,2,0))</f>
        <v>#N/A</v>
      </c>
      <c r="AL118" s="273" t="e">
        <f t="shared" si="7"/>
        <v>#N/A</v>
      </c>
      <c r="AM118" s="270" t="e">
        <f>INDEX([71]Listas!$F$6:$J$10,MATCH(AI118,[71]Listas!$D$6:$D$10,0),MATCH(AK118,[71]Listas!$F$4:$J$4,0))</f>
        <v>#N/A</v>
      </c>
      <c r="AN118" s="259"/>
      <c r="AO118" s="259"/>
      <c r="AP118" s="1020"/>
      <c r="AQ118" s="259"/>
      <c r="AR118" s="1017" t="s">
        <v>2343</v>
      </c>
      <c r="AS118" s="1016"/>
      <c r="AT118" s="259"/>
      <c r="AU118" s="259"/>
      <c r="AV118" s="261"/>
      <c r="AW118" s="261"/>
      <c r="AX118" s="1016"/>
      <c r="AY118" s="262"/>
    </row>
    <row r="119" spans="1:51" s="260" customFormat="1" ht="103.5" hidden="1" customHeight="1">
      <c r="A119" s="1016"/>
      <c r="B119" s="266"/>
      <c r="C119" s="1399"/>
      <c r="D119" s="1408"/>
      <c r="E119" s="1400"/>
      <c r="F119" s="267"/>
      <c r="G119" s="1399"/>
      <c r="H119" s="1408"/>
      <c r="I119" s="1400"/>
      <c r="J119" s="1380"/>
      <c r="K119" s="1380"/>
      <c r="L119" s="1380"/>
      <c r="M119" s="1016"/>
      <c r="N119" s="1016"/>
      <c r="O119" s="1016"/>
      <c r="P119" s="1016"/>
      <c r="Q119" s="266"/>
      <c r="R119" s="266"/>
      <c r="S119" s="268"/>
      <c r="T119" s="269" t="e">
        <f>VLOOKUP(Q119,[71]Listas!$D$6:$E$10,2,0)</f>
        <v>#N/A</v>
      </c>
      <c r="U119" s="269" t="e">
        <f>HLOOKUP(R119,[71]Listas!$F$4:$J$5,2,0)</f>
        <v>#N/A</v>
      </c>
      <c r="V119" s="270" t="e">
        <f>INDEX([71]Listas!$F$6:$J$10,MATCH(Q119,[71]Listas!$D$6:$D$10,0),MATCH(R119,[71]Listas!$F$4:$J$4,0))</f>
        <v>#N/A</v>
      </c>
      <c r="W119" s="268"/>
      <c r="X119" s="1399"/>
      <c r="Y119" s="1408"/>
      <c r="Z119" s="1400"/>
      <c r="AA119" s="1063"/>
      <c r="AB119" s="267"/>
      <c r="AC119" s="259"/>
      <c r="AD119" s="1016"/>
      <c r="AE119" s="267"/>
      <c r="AF119" s="268"/>
      <c r="AG119" s="269">
        <f t="shared" si="4"/>
        <v>0</v>
      </c>
      <c r="AH119" s="271" t="e">
        <f t="shared" si="5"/>
        <v>#N/A</v>
      </c>
      <c r="AI119" s="272" t="e">
        <f>IF(AH119&lt;=1,"Remota",VLOOKUP(AH119,[71]Listas!$C$6:$D$10,2,0))</f>
        <v>#N/A</v>
      </c>
      <c r="AJ119" s="271" t="e">
        <f t="shared" si="6"/>
        <v>#N/A</v>
      </c>
      <c r="AK119" s="272" t="e">
        <f>IF(AJ119&lt;=1,"Insignificante",HLOOKUP(AJ119,[71]Listas!$F$3:$J$4,2,0))</f>
        <v>#N/A</v>
      </c>
      <c r="AL119" s="273" t="e">
        <f t="shared" si="7"/>
        <v>#N/A</v>
      </c>
      <c r="AM119" s="270" t="e">
        <f>INDEX([71]Listas!$F$6:$J$10,MATCH(AI119,[71]Listas!$D$6:$D$10,0),MATCH(AK119,[71]Listas!$F$4:$J$4,0))</f>
        <v>#N/A</v>
      </c>
      <c r="AN119" s="259"/>
      <c r="AO119" s="259"/>
      <c r="AP119" s="1020"/>
      <c r="AQ119" s="259"/>
      <c r="AR119" s="1017" t="s">
        <v>2343</v>
      </c>
      <c r="AS119" s="1016"/>
      <c r="AT119" s="259"/>
      <c r="AU119" s="259"/>
      <c r="AV119" s="261"/>
      <c r="AW119" s="261"/>
      <c r="AX119" s="1016"/>
      <c r="AY119" s="262"/>
    </row>
    <row r="120" spans="1:51" s="260" customFormat="1" ht="103.5" hidden="1" customHeight="1">
      <c r="A120" s="1016"/>
      <c r="B120" s="266"/>
      <c r="C120" s="1399"/>
      <c r="D120" s="1408"/>
      <c r="E120" s="1400"/>
      <c r="F120" s="267"/>
      <c r="G120" s="1399"/>
      <c r="H120" s="1408"/>
      <c r="I120" s="1400"/>
      <c r="J120" s="1380"/>
      <c r="K120" s="1380"/>
      <c r="L120" s="1380"/>
      <c r="M120" s="1016"/>
      <c r="N120" s="1016"/>
      <c r="O120" s="1016"/>
      <c r="P120" s="1016"/>
      <c r="Q120" s="266"/>
      <c r="R120" s="266"/>
      <c r="S120" s="268"/>
      <c r="T120" s="269" t="e">
        <f>VLOOKUP(Q120,[71]Listas!$D$6:$E$10,2,0)</f>
        <v>#N/A</v>
      </c>
      <c r="U120" s="269" t="e">
        <f>HLOOKUP(R120,[71]Listas!$F$4:$J$5,2,0)</f>
        <v>#N/A</v>
      </c>
      <c r="V120" s="270" t="e">
        <f>INDEX([71]Listas!$F$6:$J$10,MATCH(Q120,[71]Listas!$D$6:$D$10,0),MATCH(R120,[71]Listas!$F$4:$J$4,0))</f>
        <v>#N/A</v>
      </c>
      <c r="W120" s="268"/>
      <c r="X120" s="1399"/>
      <c r="Y120" s="1408"/>
      <c r="Z120" s="1400"/>
      <c r="AA120" s="1063"/>
      <c r="AB120" s="267"/>
      <c r="AC120" s="259"/>
      <c r="AD120" s="1016"/>
      <c r="AE120" s="267"/>
      <c r="AF120" s="268"/>
      <c r="AG120" s="269">
        <f t="shared" si="4"/>
        <v>0</v>
      </c>
      <c r="AH120" s="271" t="e">
        <f t="shared" si="5"/>
        <v>#N/A</v>
      </c>
      <c r="AI120" s="272" t="e">
        <f>IF(AH120&lt;=1,"Remota",VLOOKUP(AH120,[71]Listas!$C$6:$D$10,2,0))</f>
        <v>#N/A</v>
      </c>
      <c r="AJ120" s="271" t="e">
        <f t="shared" si="6"/>
        <v>#N/A</v>
      </c>
      <c r="AK120" s="272" t="e">
        <f>IF(AJ120&lt;=1,"Insignificante",HLOOKUP(AJ120,[71]Listas!$F$3:$J$4,2,0))</f>
        <v>#N/A</v>
      </c>
      <c r="AL120" s="273" t="e">
        <f t="shared" si="7"/>
        <v>#N/A</v>
      </c>
      <c r="AM120" s="270" t="e">
        <f>INDEX([71]Listas!$F$6:$J$10,MATCH(AI120,[71]Listas!$D$6:$D$10,0),MATCH(AK120,[71]Listas!$F$4:$J$4,0))</f>
        <v>#N/A</v>
      </c>
      <c r="AN120" s="259"/>
      <c r="AO120" s="259"/>
      <c r="AP120" s="1020"/>
      <c r="AQ120" s="259"/>
      <c r="AR120" s="1017" t="s">
        <v>2343</v>
      </c>
      <c r="AS120" s="1016"/>
      <c r="AT120" s="259"/>
      <c r="AU120" s="259"/>
      <c r="AV120" s="261"/>
      <c r="AW120" s="261"/>
      <c r="AX120" s="1016"/>
      <c r="AY120" s="262"/>
    </row>
    <row r="121" spans="1:51" s="260" customFormat="1" ht="103.5" hidden="1" customHeight="1">
      <c r="A121" s="1016"/>
      <c r="B121" s="266"/>
      <c r="C121" s="1399"/>
      <c r="D121" s="1408"/>
      <c r="E121" s="1400"/>
      <c r="F121" s="267"/>
      <c r="G121" s="1399"/>
      <c r="H121" s="1408"/>
      <c r="I121" s="1400"/>
      <c r="J121" s="1380"/>
      <c r="K121" s="1380"/>
      <c r="L121" s="1380"/>
      <c r="M121" s="1016"/>
      <c r="N121" s="1016"/>
      <c r="O121" s="1016"/>
      <c r="P121" s="1016"/>
      <c r="Q121" s="266"/>
      <c r="R121" s="266"/>
      <c r="S121" s="268"/>
      <c r="T121" s="269" t="e">
        <f>VLOOKUP(Q121,[71]Listas!$D$6:$E$10,2,0)</f>
        <v>#N/A</v>
      </c>
      <c r="U121" s="269" t="e">
        <f>HLOOKUP(R121,[71]Listas!$F$4:$J$5,2,0)</f>
        <v>#N/A</v>
      </c>
      <c r="V121" s="270" t="e">
        <f>INDEX([71]Listas!$F$6:$J$10,MATCH(Q121,[71]Listas!$D$6:$D$10,0),MATCH(R121,[71]Listas!$F$4:$J$4,0))</f>
        <v>#N/A</v>
      </c>
      <c r="W121" s="268"/>
      <c r="X121" s="1399"/>
      <c r="Y121" s="1408"/>
      <c r="Z121" s="1400"/>
      <c r="AA121" s="1063"/>
      <c r="AB121" s="267"/>
      <c r="AC121" s="259"/>
      <c r="AD121" s="1016"/>
      <c r="AE121" s="267"/>
      <c r="AF121" s="268"/>
      <c r="AG121" s="269">
        <f t="shared" si="4"/>
        <v>0</v>
      </c>
      <c r="AH121" s="271" t="e">
        <f t="shared" si="5"/>
        <v>#N/A</v>
      </c>
      <c r="AI121" s="272" t="e">
        <f>IF(AH121&lt;=1,"Remota",VLOOKUP(AH121,[71]Listas!$C$6:$D$10,2,0))</f>
        <v>#N/A</v>
      </c>
      <c r="AJ121" s="271" t="e">
        <f t="shared" si="6"/>
        <v>#N/A</v>
      </c>
      <c r="AK121" s="272" t="e">
        <f>IF(AJ121&lt;=1,"Insignificante",HLOOKUP(AJ121,[71]Listas!$F$3:$J$4,2,0))</f>
        <v>#N/A</v>
      </c>
      <c r="AL121" s="273" t="e">
        <f t="shared" si="7"/>
        <v>#N/A</v>
      </c>
      <c r="AM121" s="270" t="e">
        <f>INDEX([71]Listas!$F$6:$J$10,MATCH(AI121,[71]Listas!$D$6:$D$10,0),MATCH(AK121,[71]Listas!$F$4:$J$4,0))</f>
        <v>#N/A</v>
      </c>
      <c r="AN121" s="259"/>
      <c r="AO121" s="259"/>
      <c r="AP121" s="1020"/>
      <c r="AQ121" s="259"/>
      <c r="AR121" s="1017" t="s">
        <v>2343</v>
      </c>
      <c r="AS121" s="1016"/>
      <c r="AT121" s="259"/>
      <c r="AU121" s="259"/>
      <c r="AV121" s="261"/>
      <c r="AW121" s="261"/>
      <c r="AX121" s="1016"/>
      <c r="AY121" s="262"/>
    </row>
    <row r="122" spans="1:51" s="260" customFormat="1" ht="103.5" hidden="1" customHeight="1">
      <c r="A122" s="1016"/>
      <c r="B122" s="266"/>
      <c r="C122" s="1399"/>
      <c r="D122" s="1408"/>
      <c r="E122" s="1400"/>
      <c r="F122" s="267"/>
      <c r="G122" s="1399"/>
      <c r="H122" s="1408"/>
      <c r="I122" s="1400"/>
      <c r="J122" s="1380"/>
      <c r="K122" s="1380"/>
      <c r="L122" s="1380"/>
      <c r="M122" s="1016"/>
      <c r="N122" s="1016"/>
      <c r="O122" s="1016"/>
      <c r="P122" s="1016"/>
      <c r="Q122" s="266"/>
      <c r="R122" s="266"/>
      <c r="S122" s="268"/>
      <c r="T122" s="269" t="e">
        <f>VLOOKUP(Q122,[71]Listas!$D$6:$E$10,2,0)</f>
        <v>#N/A</v>
      </c>
      <c r="U122" s="269" t="e">
        <f>HLOOKUP(R122,[71]Listas!$F$4:$J$5,2,0)</f>
        <v>#N/A</v>
      </c>
      <c r="V122" s="270" t="e">
        <f>INDEX([71]Listas!$F$6:$J$10,MATCH(Q122,[71]Listas!$D$6:$D$10,0),MATCH(R122,[71]Listas!$F$4:$J$4,0))</f>
        <v>#N/A</v>
      </c>
      <c r="W122" s="268"/>
      <c r="X122" s="1399"/>
      <c r="Y122" s="1408"/>
      <c r="Z122" s="1400"/>
      <c r="AA122" s="1063"/>
      <c r="AB122" s="267"/>
      <c r="AC122" s="259"/>
      <c r="AD122" s="1016"/>
      <c r="AE122" s="267"/>
      <c r="AF122" s="268"/>
      <c r="AG122" s="269">
        <f t="shared" si="4"/>
        <v>0</v>
      </c>
      <c r="AH122" s="271" t="e">
        <f t="shared" si="5"/>
        <v>#N/A</v>
      </c>
      <c r="AI122" s="272" t="e">
        <f>IF(AH122&lt;=1,"Remota",VLOOKUP(AH122,[71]Listas!$C$6:$D$10,2,0))</f>
        <v>#N/A</v>
      </c>
      <c r="AJ122" s="271" t="e">
        <f t="shared" si="6"/>
        <v>#N/A</v>
      </c>
      <c r="AK122" s="272" t="e">
        <f>IF(AJ122&lt;=1,"Insignificante",HLOOKUP(AJ122,[71]Listas!$F$3:$J$4,2,0))</f>
        <v>#N/A</v>
      </c>
      <c r="AL122" s="273" t="e">
        <f t="shared" si="7"/>
        <v>#N/A</v>
      </c>
      <c r="AM122" s="270" t="e">
        <f>INDEX([71]Listas!$F$6:$J$10,MATCH(AI122,[71]Listas!$D$6:$D$10,0),MATCH(AK122,[71]Listas!$F$4:$J$4,0))</f>
        <v>#N/A</v>
      </c>
      <c r="AN122" s="259"/>
      <c r="AO122" s="259"/>
      <c r="AP122" s="1020"/>
      <c r="AQ122" s="259"/>
      <c r="AR122" s="1017" t="s">
        <v>2343</v>
      </c>
      <c r="AS122" s="1016"/>
      <c r="AT122" s="259"/>
      <c r="AU122" s="259"/>
      <c r="AV122" s="261"/>
      <c r="AW122" s="261"/>
      <c r="AX122" s="1016"/>
      <c r="AY122" s="262"/>
    </row>
    <row r="123" spans="1:51" s="260" customFormat="1" ht="103.5" hidden="1" customHeight="1">
      <c r="A123" s="1016"/>
      <c r="B123" s="266"/>
      <c r="C123" s="1399"/>
      <c r="D123" s="1408"/>
      <c r="E123" s="1400"/>
      <c r="F123" s="267"/>
      <c r="G123" s="1399"/>
      <c r="H123" s="1408"/>
      <c r="I123" s="1400"/>
      <c r="J123" s="1380"/>
      <c r="K123" s="1380"/>
      <c r="L123" s="1380"/>
      <c r="M123" s="1016"/>
      <c r="N123" s="1016"/>
      <c r="O123" s="1016"/>
      <c r="P123" s="1016"/>
      <c r="Q123" s="266"/>
      <c r="R123" s="266"/>
      <c r="S123" s="268"/>
      <c r="T123" s="269" t="e">
        <f>VLOOKUP(Q123,[71]Listas!$D$6:$E$10,2,0)</f>
        <v>#N/A</v>
      </c>
      <c r="U123" s="269" t="e">
        <f>HLOOKUP(R123,[71]Listas!$F$4:$J$5,2,0)</f>
        <v>#N/A</v>
      </c>
      <c r="V123" s="270" t="e">
        <f>INDEX([71]Listas!$F$6:$J$10,MATCH(Q123,[71]Listas!$D$6:$D$10,0),MATCH(R123,[71]Listas!$F$4:$J$4,0))</f>
        <v>#N/A</v>
      </c>
      <c r="W123" s="268"/>
      <c r="X123" s="1399"/>
      <c r="Y123" s="1408"/>
      <c r="Z123" s="1400"/>
      <c r="AA123" s="1063"/>
      <c r="AB123" s="267"/>
      <c r="AC123" s="259"/>
      <c r="AD123" s="1016"/>
      <c r="AE123" s="267"/>
      <c r="AF123" s="268"/>
      <c r="AG123" s="269">
        <f t="shared" si="4"/>
        <v>0</v>
      </c>
      <c r="AH123" s="271" t="e">
        <f t="shared" si="5"/>
        <v>#N/A</v>
      </c>
      <c r="AI123" s="272" t="e">
        <f>IF(AH123&lt;=1,"Remota",VLOOKUP(AH123,[71]Listas!$C$6:$D$10,2,0))</f>
        <v>#N/A</v>
      </c>
      <c r="AJ123" s="271" t="e">
        <f t="shared" si="6"/>
        <v>#N/A</v>
      </c>
      <c r="AK123" s="272" t="e">
        <f>IF(AJ123&lt;=1,"Insignificante",HLOOKUP(AJ123,[71]Listas!$F$3:$J$4,2,0))</f>
        <v>#N/A</v>
      </c>
      <c r="AL123" s="273" t="e">
        <f t="shared" si="7"/>
        <v>#N/A</v>
      </c>
      <c r="AM123" s="270" t="e">
        <f>INDEX([71]Listas!$F$6:$J$10,MATCH(AI123,[71]Listas!$D$6:$D$10,0),MATCH(AK123,[71]Listas!$F$4:$J$4,0))</f>
        <v>#N/A</v>
      </c>
      <c r="AN123" s="259"/>
      <c r="AO123" s="259"/>
      <c r="AP123" s="1020"/>
      <c r="AQ123" s="259"/>
      <c r="AR123" s="1017" t="s">
        <v>2343</v>
      </c>
      <c r="AS123" s="1016"/>
      <c r="AT123" s="259"/>
      <c r="AU123" s="259"/>
      <c r="AV123" s="261"/>
      <c r="AW123" s="261"/>
      <c r="AX123" s="1016"/>
      <c r="AY123" s="262"/>
    </row>
    <row r="124" spans="1:51" s="260" customFormat="1" ht="103.5" hidden="1" customHeight="1">
      <c r="A124" s="1016"/>
      <c r="B124" s="266"/>
      <c r="C124" s="1399"/>
      <c r="D124" s="1408"/>
      <c r="E124" s="1400"/>
      <c r="F124" s="267"/>
      <c r="G124" s="1399"/>
      <c r="H124" s="1408"/>
      <c r="I124" s="1400"/>
      <c r="J124" s="1380"/>
      <c r="K124" s="1380"/>
      <c r="L124" s="1380"/>
      <c r="M124" s="1016"/>
      <c r="N124" s="1016"/>
      <c r="O124" s="1016"/>
      <c r="P124" s="1016"/>
      <c r="Q124" s="266"/>
      <c r="R124" s="266"/>
      <c r="S124" s="268"/>
      <c r="T124" s="269" t="e">
        <f>VLOOKUP(Q124,[71]Listas!$D$6:$E$10,2,0)</f>
        <v>#N/A</v>
      </c>
      <c r="U124" s="269" t="e">
        <f>HLOOKUP(R124,[71]Listas!$F$4:$J$5,2,0)</f>
        <v>#N/A</v>
      </c>
      <c r="V124" s="270" t="e">
        <f>INDEX([71]Listas!$F$6:$J$10,MATCH(Q124,[71]Listas!$D$6:$D$10,0),MATCH(R124,[71]Listas!$F$4:$J$4,0))</f>
        <v>#N/A</v>
      </c>
      <c r="W124" s="268"/>
      <c r="X124" s="1399"/>
      <c r="Y124" s="1408"/>
      <c r="Z124" s="1400"/>
      <c r="AA124" s="1063"/>
      <c r="AB124" s="267"/>
      <c r="AC124" s="259"/>
      <c r="AD124" s="1016"/>
      <c r="AE124" s="267"/>
      <c r="AF124" s="268"/>
      <c r="AG124" s="269">
        <f t="shared" si="4"/>
        <v>0</v>
      </c>
      <c r="AH124" s="271" t="e">
        <f t="shared" si="5"/>
        <v>#N/A</v>
      </c>
      <c r="AI124" s="272" t="e">
        <f>IF(AH124&lt;=1,"Remota",VLOOKUP(AH124,[71]Listas!$C$6:$D$10,2,0))</f>
        <v>#N/A</v>
      </c>
      <c r="AJ124" s="271" t="e">
        <f t="shared" si="6"/>
        <v>#N/A</v>
      </c>
      <c r="AK124" s="272" t="e">
        <f>IF(AJ124&lt;=1,"Insignificante",HLOOKUP(AJ124,[71]Listas!$F$3:$J$4,2,0))</f>
        <v>#N/A</v>
      </c>
      <c r="AL124" s="273" t="e">
        <f t="shared" si="7"/>
        <v>#N/A</v>
      </c>
      <c r="AM124" s="270" t="e">
        <f>INDEX([71]Listas!$F$6:$J$10,MATCH(AI124,[71]Listas!$D$6:$D$10,0),MATCH(AK124,[71]Listas!$F$4:$J$4,0))</f>
        <v>#N/A</v>
      </c>
      <c r="AN124" s="259"/>
      <c r="AO124" s="259"/>
      <c r="AP124" s="1020"/>
      <c r="AQ124" s="259"/>
      <c r="AR124" s="1017" t="s">
        <v>2343</v>
      </c>
      <c r="AS124" s="1016"/>
      <c r="AT124" s="259"/>
      <c r="AU124" s="259"/>
      <c r="AV124" s="261"/>
      <c r="AW124" s="261"/>
      <c r="AX124" s="1016"/>
      <c r="AY124" s="262"/>
    </row>
    <row r="125" spans="1:51" s="260" customFormat="1" ht="103.5" hidden="1" customHeight="1">
      <c r="A125" s="1016"/>
      <c r="B125" s="266"/>
      <c r="C125" s="1399"/>
      <c r="D125" s="1408"/>
      <c r="E125" s="1400"/>
      <c r="F125" s="267"/>
      <c r="G125" s="1399"/>
      <c r="H125" s="1408"/>
      <c r="I125" s="1400"/>
      <c r="J125" s="1380"/>
      <c r="K125" s="1380"/>
      <c r="L125" s="1380"/>
      <c r="M125" s="1016"/>
      <c r="N125" s="1016"/>
      <c r="O125" s="1016"/>
      <c r="P125" s="1016"/>
      <c r="Q125" s="266"/>
      <c r="R125" s="266"/>
      <c r="S125" s="268"/>
      <c r="T125" s="269" t="e">
        <f>VLOOKUP(Q125,[71]Listas!$D$6:$E$10,2,0)</f>
        <v>#N/A</v>
      </c>
      <c r="U125" s="269" t="e">
        <f>HLOOKUP(R125,[71]Listas!$F$4:$J$5,2,0)</f>
        <v>#N/A</v>
      </c>
      <c r="V125" s="270" t="e">
        <f>INDEX([71]Listas!$F$6:$J$10,MATCH(Q125,[71]Listas!$D$6:$D$10,0),MATCH(R125,[71]Listas!$F$4:$J$4,0))</f>
        <v>#N/A</v>
      </c>
      <c r="W125" s="268"/>
      <c r="X125" s="1399"/>
      <c r="Y125" s="1408"/>
      <c r="Z125" s="1400"/>
      <c r="AA125" s="1063"/>
      <c r="AB125" s="267"/>
      <c r="AC125" s="259"/>
      <c r="AD125" s="1016"/>
      <c r="AE125" s="267"/>
      <c r="AF125" s="268"/>
      <c r="AG125" s="269">
        <f t="shared" si="4"/>
        <v>0</v>
      </c>
      <c r="AH125" s="271" t="e">
        <f t="shared" si="5"/>
        <v>#N/A</v>
      </c>
      <c r="AI125" s="272" t="e">
        <f>IF(AH125&lt;=1,"Remota",VLOOKUP(AH125,[71]Listas!$C$6:$D$10,2,0))</f>
        <v>#N/A</v>
      </c>
      <c r="AJ125" s="271" t="e">
        <f t="shared" si="6"/>
        <v>#N/A</v>
      </c>
      <c r="AK125" s="272" t="e">
        <f>IF(AJ125&lt;=1,"Insignificante",HLOOKUP(AJ125,[71]Listas!$F$3:$J$4,2,0))</f>
        <v>#N/A</v>
      </c>
      <c r="AL125" s="273" t="e">
        <f t="shared" si="7"/>
        <v>#N/A</v>
      </c>
      <c r="AM125" s="270" t="e">
        <f>INDEX([71]Listas!$F$6:$J$10,MATCH(AI125,[71]Listas!$D$6:$D$10,0),MATCH(AK125,[71]Listas!$F$4:$J$4,0))</f>
        <v>#N/A</v>
      </c>
      <c r="AN125" s="259"/>
      <c r="AO125" s="259"/>
      <c r="AP125" s="1020"/>
      <c r="AQ125" s="259"/>
      <c r="AR125" s="1017" t="s">
        <v>2343</v>
      </c>
      <c r="AS125" s="1016"/>
      <c r="AT125" s="259"/>
      <c r="AU125" s="259"/>
      <c r="AV125" s="261"/>
      <c r="AW125" s="261"/>
      <c r="AX125" s="1016"/>
      <c r="AY125" s="262"/>
    </row>
    <row r="126" spans="1:51" s="260" customFormat="1" ht="103.5" hidden="1" customHeight="1">
      <c r="A126" s="1016"/>
      <c r="B126" s="266"/>
      <c r="C126" s="1399"/>
      <c r="D126" s="1408"/>
      <c r="E126" s="1400"/>
      <c r="F126" s="267"/>
      <c r="G126" s="1399"/>
      <c r="H126" s="1408"/>
      <c r="I126" s="1400"/>
      <c r="J126" s="1380"/>
      <c r="K126" s="1380"/>
      <c r="L126" s="1380"/>
      <c r="M126" s="1016"/>
      <c r="N126" s="1016"/>
      <c r="O126" s="1016"/>
      <c r="P126" s="1016"/>
      <c r="Q126" s="266"/>
      <c r="R126" s="266"/>
      <c r="S126" s="268"/>
      <c r="T126" s="269" t="e">
        <f>VLOOKUP(Q126,[71]Listas!$D$6:$E$10,2,0)</f>
        <v>#N/A</v>
      </c>
      <c r="U126" s="269" t="e">
        <f>HLOOKUP(R126,[71]Listas!$F$4:$J$5,2,0)</f>
        <v>#N/A</v>
      </c>
      <c r="V126" s="270" t="e">
        <f>INDEX([71]Listas!$F$6:$J$10,MATCH(Q126,[71]Listas!$D$6:$D$10,0),MATCH(R126,[71]Listas!$F$4:$J$4,0))</f>
        <v>#N/A</v>
      </c>
      <c r="W126" s="268"/>
      <c r="X126" s="1399"/>
      <c r="Y126" s="1408"/>
      <c r="Z126" s="1400"/>
      <c r="AA126" s="1063"/>
      <c r="AB126" s="267"/>
      <c r="AC126" s="259"/>
      <c r="AD126" s="1016"/>
      <c r="AE126" s="267"/>
      <c r="AF126" s="268"/>
      <c r="AG126" s="269">
        <f t="shared" si="4"/>
        <v>0</v>
      </c>
      <c r="AH126" s="271" t="e">
        <f t="shared" si="5"/>
        <v>#N/A</v>
      </c>
      <c r="AI126" s="272" t="e">
        <f>IF(AH126&lt;=1,"Remota",VLOOKUP(AH126,[71]Listas!$C$6:$D$10,2,0))</f>
        <v>#N/A</v>
      </c>
      <c r="AJ126" s="271" t="e">
        <f t="shared" si="6"/>
        <v>#N/A</v>
      </c>
      <c r="AK126" s="272" t="e">
        <f>IF(AJ126&lt;=1,"Insignificante",HLOOKUP(AJ126,[71]Listas!$F$3:$J$4,2,0))</f>
        <v>#N/A</v>
      </c>
      <c r="AL126" s="273" t="e">
        <f t="shared" si="7"/>
        <v>#N/A</v>
      </c>
      <c r="AM126" s="270" t="e">
        <f>INDEX([71]Listas!$F$6:$J$10,MATCH(AI126,[71]Listas!$D$6:$D$10,0),MATCH(AK126,[71]Listas!$F$4:$J$4,0))</f>
        <v>#N/A</v>
      </c>
      <c r="AN126" s="259"/>
      <c r="AO126" s="259"/>
      <c r="AP126" s="1020"/>
      <c r="AQ126" s="259"/>
      <c r="AR126" s="1017" t="s">
        <v>2343</v>
      </c>
      <c r="AS126" s="1016"/>
      <c r="AT126" s="259"/>
      <c r="AU126" s="259"/>
      <c r="AV126" s="261"/>
      <c r="AW126" s="261"/>
      <c r="AX126" s="1016"/>
      <c r="AY126" s="262"/>
    </row>
    <row r="127" spans="1:51" s="260" customFormat="1" ht="103.5" hidden="1" customHeight="1">
      <c r="A127" s="1016"/>
      <c r="B127" s="266"/>
      <c r="C127" s="1399"/>
      <c r="D127" s="1408"/>
      <c r="E127" s="1400"/>
      <c r="F127" s="267"/>
      <c r="G127" s="1399"/>
      <c r="H127" s="1408"/>
      <c r="I127" s="1400"/>
      <c r="J127" s="1380"/>
      <c r="K127" s="1380"/>
      <c r="L127" s="1380"/>
      <c r="M127" s="1016"/>
      <c r="N127" s="1016"/>
      <c r="O127" s="1016"/>
      <c r="P127" s="1016"/>
      <c r="Q127" s="266"/>
      <c r="R127" s="266"/>
      <c r="S127" s="268"/>
      <c r="T127" s="269" t="e">
        <f>VLOOKUP(Q127,[71]Listas!$D$6:$E$10,2,0)</f>
        <v>#N/A</v>
      </c>
      <c r="U127" s="269" t="e">
        <f>HLOOKUP(R127,[71]Listas!$F$4:$J$5,2,0)</f>
        <v>#N/A</v>
      </c>
      <c r="V127" s="270" t="e">
        <f>INDEX([71]Listas!$F$6:$J$10,MATCH(Q127,[71]Listas!$D$6:$D$10,0),MATCH(R127,[71]Listas!$F$4:$J$4,0))</f>
        <v>#N/A</v>
      </c>
      <c r="W127" s="268"/>
      <c r="X127" s="1399"/>
      <c r="Y127" s="1408"/>
      <c r="Z127" s="1400"/>
      <c r="AA127" s="1063"/>
      <c r="AB127" s="267"/>
      <c r="AC127" s="259"/>
      <c r="AD127" s="1016"/>
      <c r="AE127" s="267"/>
      <c r="AF127" s="268"/>
      <c r="AG127" s="269">
        <f t="shared" si="4"/>
        <v>0</v>
      </c>
      <c r="AH127" s="271" t="e">
        <f t="shared" si="5"/>
        <v>#N/A</v>
      </c>
      <c r="AI127" s="272" t="e">
        <f>IF(AH127&lt;=1,"Remota",VLOOKUP(AH127,[71]Listas!$C$6:$D$10,2,0))</f>
        <v>#N/A</v>
      </c>
      <c r="AJ127" s="271" t="e">
        <f t="shared" si="6"/>
        <v>#N/A</v>
      </c>
      <c r="AK127" s="272" t="e">
        <f>IF(AJ127&lt;=1,"Insignificante",HLOOKUP(AJ127,[71]Listas!$F$3:$J$4,2,0))</f>
        <v>#N/A</v>
      </c>
      <c r="AL127" s="273" t="e">
        <f t="shared" si="7"/>
        <v>#N/A</v>
      </c>
      <c r="AM127" s="270" t="e">
        <f>INDEX([71]Listas!$F$6:$J$10,MATCH(AI127,[71]Listas!$D$6:$D$10,0),MATCH(AK127,[71]Listas!$F$4:$J$4,0))</f>
        <v>#N/A</v>
      </c>
      <c r="AN127" s="259"/>
      <c r="AO127" s="259"/>
      <c r="AP127" s="1020"/>
      <c r="AQ127" s="259"/>
      <c r="AR127" s="1017" t="s">
        <v>2343</v>
      </c>
      <c r="AS127" s="1016"/>
      <c r="AT127" s="259"/>
      <c r="AU127" s="259"/>
      <c r="AV127" s="261"/>
      <c r="AW127" s="261"/>
      <c r="AX127" s="1016"/>
      <c r="AY127" s="262"/>
    </row>
    <row r="128" spans="1:51" s="260" customFormat="1" ht="103.5" hidden="1" customHeight="1">
      <c r="A128" s="1016"/>
      <c r="B128" s="266"/>
      <c r="C128" s="1399"/>
      <c r="D128" s="1408"/>
      <c r="E128" s="1400"/>
      <c r="F128" s="267"/>
      <c r="G128" s="1399"/>
      <c r="H128" s="1408"/>
      <c r="I128" s="1400"/>
      <c r="J128" s="1380"/>
      <c r="K128" s="1380"/>
      <c r="L128" s="1380"/>
      <c r="M128" s="1016"/>
      <c r="N128" s="1016"/>
      <c r="O128" s="1016"/>
      <c r="P128" s="1016"/>
      <c r="Q128" s="266"/>
      <c r="R128" s="266"/>
      <c r="S128" s="268"/>
      <c r="T128" s="269" t="e">
        <f>VLOOKUP(Q128,[71]Listas!$D$6:$E$10,2,0)</f>
        <v>#N/A</v>
      </c>
      <c r="U128" s="269" t="e">
        <f>HLOOKUP(R128,[71]Listas!$F$4:$J$5,2,0)</f>
        <v>#N/A</v>
      </c>
      <c r="V128" s="270" t="e">
        <f>INDEX([71]Listas!$F$6:$J$10,MATCH(Q128,[71]Listas!$D$6:$D$10,0),MATCH(R128,[71]Listas!$F$4:$J$4,0))</f>
        <v>#N/A</v>
      </c>
      <c r="W128" s="268"/>
      <c r="X128" s="1399"/>
      <c r="Y128" s="1408"/>
      <c r="Z128" s="1400"/>
      <c r="AA128" s="1063"/>
      <c r="AB128" s="267"/>
      <c r="AC128" s="259"/>
      <c r="AD128" s="1016"/>
      <c r="AE128" s="267"/>
      <c r="AF128" s="268"/>
      <c r="AG128" s="269">
        <f t="shared" si="4"/>
        <v>0</v>
      </c>
      <c r="AH128" s="271" t="e">
        <f t="shared" si="5"/>
        <v>#N/A</v>
      </c>
      <c r="AI128" s="272" t="e">
        <f>IF(AH128&lt;=1,"Remota",VLOOKUP(AH128,[71]Listas!$C$6:$D$10,2,0))</f>
        <v>#N/A</v>
      </c>
      <c r="AJ128" s="271" t="e">
        <f t="shared" si="6"/>
        <v>#N/A</v>
      </c>
      <c r="AK128" s="272" t="e">
        <f>IF(AJ128&lt;=1,"Insignificante",HLOOKUP(AJ128,[71]Listas!$F$3:$J$4,2,0))</f>
        <v>#N/A</v>
      </c>
      <c r="AL128" s="273" t="e">
        <f t="shared" si="7"/>
        <v>#N/A</v>
      </c>
      <c r="AM128" s="270" t="e">
        <f>INDEX([71]Listas!$F$6:$J$10,MATCH(AI128,[71]Listas!$D$6:$D$10,0),MATCH(AK128,[71]Listas!$F$4:$J$4,0))</f>
        <v>#N/A</v>
      </c>
      <c r="AN128" s="259"/>
      <c r="AO128" s="259"/>
      <c r="AP128" s="1020"/>
      <c r="AQ128" s="259"/>
      <c r="AR128" s="1017" t="s">
        <v>2343</v>
      </c>
      <c r="AS128" s="1016"/>
      <c r="AT128" s="259"/>
      <c r="AU128" s="259"/>
      <c r="AV128" s="261"/>
      <c r="AW128" s="261"/>
      <c r="AX128" s="1016"/>
      <c r="AY128" s="262"/>
    </row>
    <row r="129" spans="1:51" s="260" customFormat="1" ht="103.5" hidden="1" customHeight="1">
      <c r="A129" s="1016"/>
      <c r="B129" s="266"/>
      <c r="C129" s="1399"/>
      <c r="D129" s="1408"/>
      <c r="E129" s="1400"/>
      <c r="F129" s="267"/>
      <c r="G129" s="1399"/>
      <c r="H129" s="1408"/>
      <c r="I129" s="1400"/>
      <c r="J129" s="1380"/>
      <c r="K129" s="1380"/>
      <c r="L129" s="1380"/>
      <c r="M129" s="1016"/>
      <c r="N129" s="1016"/>
      <c r="O129" s="1016"/>
      <c r="P129" s="1016"/>
      <c r="Q129" s="266"/>
      <c r="R129" s="266"/>
      <c r="S129" s="268"/>
      <c r="T129" s="269" t="e">
        <f>VLOOKUP(Q129,[71]Listas!$D$6:$E$10,2,0)</f>
        <v>#N/A</v>
      </c>
      <c r="U129" s="269" t="e">
        <f>HLOOKUP(R129,[71]Listas!$F$4:$J$5,2,0)</f>
        <v>#N/A</v>
      </c>
      <c r="V129" s="270" t="e">
        <f>INDEX([71]Listas!$F$6:$J$10,MATCH(Q129,[71]Listas!$D$6:$D$10,0),MATCH(R129,[71]Listas!$F$4:$J$4,0))</f>
        <v>#N/A</v>
      </c>
      <c r="W129" s="268"/>
      <c r="X129" s="1399"/>
      <c r="Y129" s="1408"/>
      <c r="Z129" s="1400"/>
      <c r="AA129" s="1063"/>
      <c r="AB129" s="267"/>
      <c r="AC129" s="259"/>
      <c r="AD129" s="1016"/>
      <c r="AE129" s="267"/>
      <c r="AF129" s="268"/>
      <c r="AG129" s="269">
        <f t="shared" si="4"/>
        <v>0</v>
      </c>
      <c r="AH129" s="271" t="e">
        <f t="shared" si="5"/>
        <v>#N/A</v>
      </c>
      <c r="AI129" s="272" t="e">
        <f>IF(AH129&lt;=1,"Remota",VLOOKUP(AH129,[71]Listas!$C$6:$D$10,2,0))</f>
        <v>#N/A</v>
      </c>
      <c r="AJ129" s="271" t="e">
        <f t="shared" si="6"/>
        <v>#N/A</v>
      </c>
      <c r="AK129" s="272" t="e">
        <f>IF(AJ129&lt;=1,"Insignificante",HLOOKUP(AJ129,[71]Listas!$F$3:$J$4,2,0))</f>
        <v>#N/A</v>
      </c>
      <c r="AL129" s="273" t="e">
        <f t="shared" si="7"/>
        <v>#N/A</v>
      </c>
      <c r="AM129" s="270" t="e">
        <f>INDEX([71]Listas!$F$6:$J$10,MATCH(AI129,[71]Listas!$D$6:$D$10,0),MATCH(AK129,[71]Listas!$F$4:$J$4,0))</f>
        <v>#N/A</v>
      </c>
      <c r="AN129" s="259"/>
      <c r="AO129" s="259"/>
      <c r="AP129" s="1020"/>
      <c r="AQ129" s="259"/>
      <c r="AR129" s="1017" t="s">
        <v>2343</v>
      </c>
      <c r="AS129" s="1016"/>
      <c r="AT129" s="259"/>
      <c r="AU129" s="259"/>
      <c r="AV129" s="261"/>
      <c r="AW129" s="261"/>
      <c r="AX129" s="1016"/>
      <c r="AY129" s="262"/>
    </row>
    <row r="130" spans="1:51" s="260" customFormat="1" ht="103.5" hidden="1" customHeight="1">
      <c r="A130" s="1016"/>
      <c r="B130" s="266"/>
      <c r="C130" s="1399"/>
      <c r="D130" s="1408"/>
      <c r="E130" s="1400"/>
      <c r="F130" s="267"/>
      <c r="G130" s="1399"/>
      <c r="H130" s="1408"/>
      <c r="I130" s="1400"/>
      <c r="J130" s="1380"/>
      <c r="K130" s="1380"/>
      <c r="L130" s="1380"/>
      <c r="M130" s="1016"/>
      <c r="N130" s="1016"/>
      <c r="O130" s="1016"/>
      <c r="P130" s="1016"/>
      <c r="Q130" s="266"/>
      <c r="R130" s="266"/>
      <c r="S130" s="268"/>
      <c r="T130" s="269" t="e">
        <f>VLOOKUP(Q130,[71]Listas!$D$6:$E$10,2,0)</f>
        <v>#N/A</v>
      </c>
      <c r="U130" s="269" t="e">
        <f>HLOOKUP(R130,[71]Listas!$F$4:$J$5,2,0)</f>
        <v>#N/A</v>
      </c>
      <c r="V130" s="270" t="e">
        <f>INDEX([71]Listas!$F$6:$J$10,MATCH(Q130,[71]Listas!$D$6:$D$10,0),MATCH(R130,[71]Listas!$F$4:$J$4,0))</f>
        <v>#N/A</v>
      </c>
      <c r="W130" s="268"/>
      <c r="X130" s="1399"/>
      <c r="Y130" s="1408"/>
      <c r="Z130" s="1400"/>
      <c r="AA130" s="1063"/>
      <c r="AB130" s="267"/>
      <c r="AC130" s="259"/>
      <c r="AD130" s="1016"/>
      <c r="AE130" s="267"/>
      <c r="AF130" s="268"/>
      <c r="AG130" s="269">
        <f t="shared" si="4"/>
        <v>0</v>
      </c>
      <c r="AH130" s="271" t="e">
        <f t="shared" si="5"/>
        <v>#N/A</v>
      </c>
      <c r="AI130" s="272" t="e">
        <f>IF(AH130&lt;=1,"Remota",VLOOKUP(AH130,[71]Listas!$C$6:$D$10,2,0))</f>
        <v>#N/A</v>
      </c>
      <c r="AJ130" s="271" t="e">
        <f t="shared" si="6"/>
        <v>#N/A</v>
      </c>
      <c r="AK130" s="272" t="e">
        <f>IF(AJ130&lt;=1,"Insignificante",HLOOKUP(AJ130,[71]Listas!$F$3:$J$4,2,0))</f>
        <v>#N/A</v>
      </c>
      <c r="AL130" s="273" t="e">
        <f t="shared" si="7"/>
        <v>#N/A</v>
      </c>
      <c r="AM130" s="270" t="e">
        <f>INDEX([71]Listas!$F$6:$J$10,MATCH(AI130,[71]Listas!$D$6:$D$10,0),MATCH(AK130,[71]Listas!$F$4:$J$4,0))</f>
        <v>#N/A</v>
      </c>
      <c r="AN130" s="259"/>
      <c r="AO130" s="259"/>
      <c r="AP130" s="1020"/>
      <c r="AQ130" s="259"/>
      <c r="AR130" s="1017" t="s">
        <v>2343</v>
      </c>
      <c r="AS130" s="1016"/>
      <c r="AT130" s="259"/>
      <c r="AU130" s="259"/>
      <c r="AV130" s="261"/>
      <c r="AW130" s="261"/>
      <c r="AX130" s="1016"/>
      <c r="AY130" s="262"/>
    </row>
    <row r="131" spans="1:51" s="260" customFormat="1" ht="103.5" hidden="1" customHeight="1">
      <c r="A131" s="1016"/>
      <c r="B131" s="266"/>
      <c r="C131" s="1399"/>
      <c r="D131" s="1408"/>
      <c r="E131" s="1400"/>
      <c r="F131" s="267"/>
      <c r="G131" s="1399"/>
      <c r="H131" s="1408"/>
      <c r="I131" s="1400"/>
      <c r="J131" s="1380"/>
      <c r="K131" s="1380"/>
      <c r="L131" s="1380"/>
      <c r="M131" s="1016"/>
      <c r="N131" s="1016"/>
      <c r="O131" s="1016"/>
      <c r="P131" s="1016"/>
      <c r="Q131" s="266"/>
      <c r="R131" s="266"/>
      <c r="S131" s="268"/>
      <c r="T131" s="269" t="e">
        <f>VLOOKUP(Q131,[71]Listas!$D$6:$E$10,2,0)</f>
        <v>#N/A</v>
      </c>
      <c r="U131" s="269" t="e">
        <f>HLOOKUP(R131,[71]Listas!$F$4:$J$5,2,0)</f>
        <v>#N/A</v>
      </c>
      <c r="V131" s="270" t="e">
        <f>INDEX([71]Listas!$F$6:$J$10,MATCH(Q131,[71]Listas!$D$6:$D$10,0),MATCH(R131,[71]Listas!$F$4:$J$4,0))</f>
        <v>#N/A</v>
      </c>
      <c r="W131" s="268"/>
      <c r="X131" s="1399"/>
      <c r="Y131" s="1408"/>
      <c r="Z131" s="1400"/>
      <c r="AA131" s="1063"/>
      <c r="AB131" s="267"/>
      <c r="AC131" s="259"/>
      <c r="AD131" s="1016"/>
      <c r="AE131" s="267"/>
      <c r="AF131" s="268"/>
      <c r="AG131" s="269">
        <f t="shared" si="4"/>
        <v>0</v>
      </c>
      <c r="AH131" s="271" t="e">
        <f t="shared" si="5"/>
        <v>#N/A</v>
      </c>
      <c r="AI131" s="272" t="e">
        <f>IF(AH131&lt;=1,"Remota",VLOOKUP(AH131,[71]Listas!$C$6:$D$10,2,0))</f>
        <v>#N/A</v>
      </c>
      <c r="AJ131" s="271" t="e">
        <f t="shared" si="6"/>
        <v>#N/A</v>
      </c>
      <c r="AK131" s="272" t="e">
        <f>IF(AJ131&lt;=1,"Insignificante",HLOOKUP(AJ131,[71]Listas!$F$3:$J$4,2,0))</f>
        <v>#N/A</v>
      </c>
      <c r="AL131" s="273" t="e">
        <f t="shared" si="7"/>
        <v>#N/A</v>
      </c>
      <c r="AM131" s="270" t="e">
        <f>INDEX([71]Listas!$F$6:$J$10,MATCH(AI131,[71]Listas!$D$6:$D$10,0),MATCH(AK131,[71]Listas!$F$4:$J$4,0))</f>
        <v>#N/A</v>
      </c>
      <c r="AN131" s="259"/>
      <c r="AO131" s="259"/>
      <c r="AP131" s="1020"/>
      <c r="AQ131" s="259"/>
      <c r="AR131" s="1017" t="s">
        <v>2343</v>
      </c>
      <c r="AS131" s="1016"/>
      <c r="AT131" s="259"/>
      <c r="AU131" s="259"/>
      <c r="AV131" s="261"/>
      <c r="AW131" s="261"/>
      <c r="AX131" s="1016"/>
      <c r="AY131" s="262"/>
    </row>
    <row r="132" spans="1:51" s="260" customFormat="1" ht="103.5" hidden="1" customHeight="1">
      <c r="A132" s="1016"/>
      <c r="B132" s="266"/>
      <c r="C132" s="1399"/>
      <c r="D132" s="1408"/>
      <c r="E132" s="1400"/>
      <c r="F132" s="267"/>
      <c r="G132" s="1399"/>
      <c r="H132" s="1408"/>
      <c r="I132" s="1400"/>
      <c r="J132" s="1380"/>
      <c r="K132" s="1380"/>
      <c r="L132" s="1380"/>
      <c r="M132" s="1016"/>
      <c r="N132" s="1016"/>
      <c r="O132" s="1016"/>
      <c r="P132" s="1016"/>
      <c r="Q132" s="266"/>
      <c r="R132" s="266"/>
      <c r="S132" s="268"/>
      <c r="T132" s="269" t="e">
        <f>VLOOKUP(Q132,[71]Listas!$D$6:$E$10,2,0)</f>
        <v>#N/A</v>
      </c>
      <c r="U132" s="269" t="e">
        <f>HLOOKUP(R132,[71]Listas!$F$4:$J$5,2,0)</f>
        <v>#N/A</v>
      </c>
      <c r="V132" s="270" t="e">
        <f>INDEX([71]Listas!$F$6:$J$10,MATCH(Q132,[71]Listas!$D$6:$D$10,0),MATCH(R132,[71]Listas!$F$4:$J$4,0))</f>
        <v>#N/A</v>
      </c>
      <c r="W132" s="268"/>
      <c r="X132" s="1399"/>
      <c r="Y132" s="1408"/>
      <c r="Z132" s="1400"/>
      <c r="AA132" s="1063"/>
      <c r="AB132" s="267"/>
      <c r="AC132" s="259"/>
      <c r="AD132" s="1016"/>
      <c r="AE132" s="267"/>
      <c r="AF132" s="268"/>
      <c r="AG132" s="269">
        <f t="shared" si="4"/>
        <v>0</v>
      </c>
      <c r="AH132" s="271" t="e">
        <f t="shared" si="5"/>
        <v>#N/A</v>
      </c>
      <c r="AI132" s="272" t="e">
        <f>IF(AH132&lt;=1,"Remota",VLOOKUP(AH132,[71]Listas!$C$6:$D$10,2,0))</f>
        <v>#N/A</v>
      </c>
      <c r="AJ132" s="271" t="e">
        <f t="shared" si="6"/>
        <v>#N/A</v>
      </c>
      <c r="AK132" s="272" t="e">
        <f>IF(AJ132&lt;=1,"Insignificante",HLOOKUP(AJ132,[71]Listas!$F$3:$J$4,2,0))</f>
        <v>#N/A</v>
      </c>
      <c r="AL132" s="273" t="e">
        <f t="shared" si="7"/>
        <v>#N/A</v>
      </c>
      <c r="AM132" s="270" t="e">
        <f>INDEX([71]Listas!$F$6:$J$10,MATCH(AI132,[71]Listas!$D$6:$D$10,0),MATCH(AK132,[71]Listas!$F$4:$J$4,0))</f>
        <v>#N/A</v>
      </c>
      <c r="AN132" s="259"/>
      <c r="AO132" s="259"/>
      <c r="AP132" s="1020"/>
      <c r="AQ132" s="259"/>
      <c r="AR132" s="1017" t="s">
        <v>2343</v>
      </c>
      <c r="AS132" s="1016"/>
      <c r="AT132" s="259"/>
      <c r="AU132" s="259"/>
      <c r="AV132" s="261"/>
      <c r="AW132" s="261"/>
      <c r="AX132" s="1016"/>
      <c r="AY132" s="262"/>
    </row>
    <row r="133" spans="1:51" s="260" customFormat="1" ht="103.5" hidden="1" customHeight="1">
      <c r="A133" s="1016"/>
      <c r="B133" s="266"/>
      <c r="C133" s="1399"/>
      <c r="D133" s="1408"/>
      <c r="E133" s="1400"/>
      <c r="F133" s="267"/>
      <c r="G133" s="1399"/>
      <c r="H133" s="1408"/>
      <c r="I133" s="1400"/>
      <c r="J133" s="1380"/>
      <c r="K133" s="1380"/>
      <c r="L133" s="1380"/>
      <c r="M133" s="1016"/>
      <c r="N133" s="1016"/>
      <c r="O133" s="1016"/>
      <c r="P133" s="1016"/>
      <c r="Q133" s="266"/>
      <c r="R133" s="266"/>
      <c r="S133" s="268"/>
      <c r="T133" s="269" t="e">
        <f>VLOOKUP(Q133,[71]Listas!$D$6:$E$10,2,0)</f>
        <v>#N/A</v>
      </c>
      <c r="U133" s="269" t="e">
        <f>HLOOKUP(R133,[71]Listas!$F$4:$J$5,2,0)</f>
        <v>#N/A</v>
      </c>
      <c r="V133" s="270" t="e">
        <f>INDEX([71]Listas!$F$6:$J$10,MATCH(Q133,[71]Listas!$D$6:$D$10,0),MATCH(R133,[71]Listas!$F$4:$J$4,0))</f>
        <v>#N/A</v>
      </c>
      <c r="W133" s="268"/>
      <c r="X133" s="1399"/>
      <c r="Y133" s="1408"/>
      <c r="Z133" s="1400"/>
      <c r="AA133" s="1063"/>
      <c r="AB133" s="267"/>
      <c r="AC133" s="259"/>
      <c r="AD133" s="1016"/>
      <c r="AE133" s="267"/>
      <c r="AF133" s="268"/>
      <c r="AG133" s="269">
        <f t="shared" si="4"/>
        <v>0</v>
      </c>
      <c r="AH133" s="271" t="e">
        <f t="shared" si="5"/>
        <v>#N/A</v>
      </c>
      <c r="AI133" s="272" t="e">
        <f>IF(AH133&lt;=1,"Remota",VLOOKUP(AH133,[71]Listas!$C$6:$D$10,2,0))</f>
        <v>#N/A</v>
      </c>
      <c r="AJ133" s="271" t="e">
        <f t="shared" si="6"/>
        <v>#N/A</v>
      </c>
      <c r="AK133" s="272" t="e">
        <f>IF(AJ133&lt;=1,"Insignificante",HLOOKUP(AJ133,[71]Listas!$F$3:$J$4,2,0))</f>
        <v>#N/A</v>
      </c>
      <c r="AL133" s="273" t="e">
        <f t="shared" si="7"/>
        <v>#N/A</v>
      </c>
      <c r="AM133" s="270" t="e">
        <f>INDEX([71]Listas!$F$6:$J$10,MATCH(AI133,[71]Listas!$D$6:$D$10,0),MATCH(AK133,[71]Listas!$F$4:$J$4,0))</f>
        <v>#N/A</v>
      </c>
      <c r="AN133" s="259"/>
      <c r="AO133" s="259"/>
      <c r="AP133" s="1020"/>
      <c r="AQ133" s="259"/>
      <c r="AR133" s="1017" t="s">
        <v>2343</v>
      </c>
      <c r="AS133" s="1016"/>
      <c r="AT133" s="259"/>
      <c r="AU133" s="259"/>
      <c r="AV133" s="261"/>
      <c r="AW133" s="261"/>
      <c r="AX133" s="1016"/>
      <c r="AY133" s="262"/>
    </row>
    <row r="134" spans="1:51" s="260" customFormat="1" ht="103.5" hidden="1" customHeight="1">
      <c r="A134" s="1016"/>
      <c r="B134" s="266"/>
      <c r="C134" s="1399"/>
      <c r="D134" s="1408"/>
      <c r="E134" s="1400"/>
      <c r="F134" s="267"/>
      <c r="G134" s="1399"/>
      <c r="H134" s="1408"/>
      <c r="I134" s="1400"/>
      <c r="J134" s="1380"/>
      <c r="K134" s="1380"/>
      <c r="L134" s="1380"/>
      <c r="M134" s="1016"/>
      <c r="N134" s="1016"/>
      <c r="O134" s="1016"/>
      <c r="P134" s="1016"/>
      <c r="Q134" s="266"/>
      <c r="R134" s="266"/>
      <c r="S134" s="268"/>
      <c r="T134" s="269" t="e">
        <f>VLOOKUP(Q134,[71]Listas!$D$6:$E$10,2,0)</f>
        <v>#N/A</v>
      </c>
      <c r="U134" s="269" t="e">
        <f>HLOOKUP(R134,[71]Listas!$F$4:$J$5,2,0)</f>
        <v>#N/A</v>
      </c>
      <c r="V134" s="270" t="e">
        <f>INDEX([71]Listas!$F$6:$J$10,MATCH(Q134,[71]Listas!$D$6:$D$10,0),MATCH(R134,[71]Listas!$F$4:$J$4,0))</f>
        <v>#N/A</v>
      </c>
      <c r="W134" s="268"/>
      <c r="X134" s="1399"/>
      <c r="Y134" s="1408"/>
      <c r="Z134" s="1400"/>
      <c r="AA134" s="1063"/>
      <c r="AB134" s="267"/>
      <c r="AC134" s="259"/>
      <c r="AD134" s="1016"/>
      <c r="AE134" s="267"/>
      <c r="AF134" s="268"/>
      <c r="AG134" s="269">
        <f t="shared" si="4"/>
        <v>0</v>
      </c>
      <c r="AH134" s="271" t="e">
        <f t="shared" si="5"/>
        <v>#N/A</v>
      </c>
      <c r="AI134" s="272" t="e">
        <f>IF(AH134&lt;=1,"Remota",VLOOKUP(AH134,[71]Listas!$C$6:$D$10,2,0))</f>
        <v>#N/A</v>
      </c>
      <c r="AJ134" s="271" t="e">
        <f t="shared" si="6"/>
        <v>#N/A</v>
      </c>
      <c r="AK134" s="272" t="e">
        <f>IF(AJ134&lt;=1,"Insignificante",HLOOKUP(AJ134,[71]Listas!$F$3:$J$4,2,0))</f>
        <v>#N/A</v>
      </c>
      <c r="AL134" s="273" t="e">
        <f t="shared" si="7"/>
        <v>#N/A</v>
      </c>
      <c r="AM134" s="270" t="e">
        <f>INDEX([71]Listas!$F$6:$J$10,MATCH(AI134,[71]Listas!$D$6:$D$10,0),MATCH(AK134,[71]Listas!$F$4:$J$4,0))</f>
        <v>#N/A</v>
      </c>
      <c r="AN134" s="259"/>
      <c r="AO134" s="259"/>
      <c r="AP134" s="1020"/>
      <c r="AQ134" s="259"/>
      <c r="AR134" s="1017" t="s">
        <v>2343</v>
      </c>
      <c r="AS134" s="1016"/>
      <c r="AT134" s="259"/>
      <c r="AU134" s="259"/>
      <c r="AV134" s="261"/>
      <c r="AW134" s="261"/>
      <c r="AX134" s="1016"/>
      <c r="AY134" s="262"/>
    </row>
    <row r="135" spans="1:51" s="260" customFormat="1" ht="103.5" hidden="1" customHeight="1">
      <c r="A135" s="1016"/>
      <c r="B135" s="266"/>
      <c r="C135" s="1399"/>
      <c r="D135" s="1408"/>
      <c r="E135" s="1400"/>
      <c r="F135" s="267"/>
      <c r="G135" s="1399"/>
      <c r="H135" s="1408"/>
      <c r="I135" s="1400"/>
      <c r="J135" s="1380"/>
      <c r="K135" s="1380"/>
      <c r="L135" s="1380"/>
      <c r="M135" s="1016"/>
      <c r="N135" s="1016"/>
      <c r="O135" s="1016"/>
      <c r="P135" s="1016"/>
      <c r="Q135" s="266"/>
      <c r="R135" s="266"/>
      <c r="S135" s="268"/>
      <c r="T135" s="269" t="e">
        <f>VLOOKUP(Q135,[71]Listas!$D$6:$E$10,2,0)</f>
        <v>#N/A</v>
      </c>
      <c r="U135" s="269" t="e">
        <f>HLOOKUP(R135,[71]Listas!$F$4:$J$5,2,0)</f>
        <v>#N/A</v>
      </c>
      <c r="V135" s="270" t="e">
        <f>INDEX([71]Listas!$F$6:$J$10,MATCH(Q135,[71]Listas!$D$6:$D$10,0),MATCH(R135,[71]Listas!$F$4:$J$4,0))</f>
        <v>#N/A</v>
      </c>
      <c r="W135" s="268"/>
      <c r="X135" s="1399"/>
      <c r="Y135" s="1408"/>
      <c r="Z135" s="1400"/>
      <c r="AA135" s="1063"/>
      <c r="AB135" s="267"/>
      <c r="AC135" s="259"/>
      <c r="AD135" s="1016"/>
      <c r="AE135" s="267"/>
      <c r="AF135" s="268"/>
      <c r="AG135" s="269">
        <f t="shared" si="4"/>
        <v>0</v>
      </c>
      <c r="AH135" s="271" t="e">
        <f t="shared" si="5"/>
        <v>#N/A</v>
      </c>
      <c r="AI135" s="272" t="e">
        <f>IF(AH135&lt;=1,"Remota",VLOOKUP(AH135,[71]Listas!$C$6:$D$10,2,0))</f>
        <v>#N/A</v>
      </c>
      <c r="AJ135" s="271" t="e">
        <f t="shared" si="6"/>
        <v>#N/A</v>
      </c>
      <c r="AK135" s="272" t="e">
        <f>IF(AJ135&lt;=1,"Insignificante",HLOOKUP(AJ135,[71]Listas!$F$3:$J$4,2,0))</f>
        <v>#N/A</v>
      </c>
      <c r="AL135" s="273" t="e">
        <f t="shared" si="7"/>
        <v>#N/A</v>
      </c>
      <c r="AM135" s="270" t="e">
        <f>INDEX([71]Listas!$F$6:$J$10,MATCH(AI135,[71]Listas!$D$6:$D$10,0),MATCH(AK135,[71]Listas!$F$4:$J$4,0))</f>
        <v>#N/A</v>
      </c>
      <c r="AN135" s="259"/>
      <c r="AO135" s="259"/>
      <c r="AP135" s="1020"/>
      <c r="AQ135" s="259"/>
      <c r="AR135" s="1017" t="s">
        <v>2343</v>
      </c>
      <c r="AS135" s="1016"/>
      <c r="AT135" s="259"/>
      <c r="AU135" s="259"/>
      <c r="AV135" s="261"/>
      <c r="AW135" s="261"/>
      <c r="AX135" s="1016"/>
      <c r="AY135" s="262"/>
    </row>
    <row r="136" spans="1:51" s="260" customFormat="1" ht="103.5" hidden="1" customHeight="1">
      <c r="A136" s="1016"/>
      <c r="B136" s="266"/>
      <c r="C136" s="1399"/>
      <c r="D136" s="1408"/>
      <c r="E136" s="1400"/>
      <c r="F136" s="267"/>
      <c r="G136" s="1399"/>
      <c r="H136" s="1408"/>
      <c r="I136" s="1400"/>
      <c r="J136" s="1380"/>
      <c r="K136" s="1380"/>
      <c r="L136" s="1380"/>
      <c r="M136" s="1016"/>
      <c r="N136" s="1016"/>
      <c r="O136" s="1016"/>
      <c r="P136" s="1016"/>
      <c r="Q136" s="266"/>
      <c r="R136" s="266"/>
      <c r="S136" s="268"/>
      <c r="T136" s="269" t="e">
        <f>VLOOKUP(Q136,[71]Listas!$D$6:$E$10,2,0)</f>
        <v>#N/A</v>
      </c>
      <c r="U136" s="269" t="e">
        <f>HLOOKUP(R136,[71]Listas!$F$4:$J$5,2,0)</f>
        <v>#N/A</v>
      </c>
      <c r="V136" s="270" t="e">
        <f>INDEX([71]Listas!$F$6:$J$10,MATCH(Q136,[71]Listas!$D$6:$D$10,0),MATCH(R136,[71]Listas!$F$4:$J$4,0))</f>
        <v>#N/A</v>
      </c>
      <c r="W136" s="268"/>
      <c r="X136" s="1399"/>
      <c r="Y136" s="1408"/>
      <c r="Z136" s="1400"/>
      <c r="AA136" s="1063"/>
      <c r="AB136" s="267"/>
      <c r="AC136" s="259"/>
      <c r="AD136" s="1016"/>
      <c r="AE136" s="267"/>
      <c r="AF136" s="268"/>
      <c r="AG136" s="269">
        <f t="shared" si="4"/>
        <v>0</v>
      </c>
      <c r="AH136" s="271" t="e">
        <f t="shared" si="5"/>
        <v>#N/A</v>
      </c>
      <c r="AI136" s="272" t="e">
        <f>IF(AH136&lt;=1,"Remota",VLOOKUP(AH136,[71]Listas!$C$6:$D$10,2,0))</f>
        <v>#N/A</v>
      </c>
      <c r="AJ136" s="271" t="e">
        <f t="shared" si="6"/>
        <v>#N/A</v>
      </c>
      <c r="AK136" s="272" t="e">
        <f>IF(AJ136&lt;=1,"Insignificante",HLOOKUP(AJ136,[71]Listas!$F$3:$J$4,2,0))</f>
        <v>#N/A</v>
      </c>
      <c r="AL136" s="273" t="e">
        <f t="shared" si="7"/>
        <v>#N/A</v>
      </c>
      <c r="AM136" s="270" t="e">
        <f>INDEX([71]Listas!$F$6:$J$10,MATCH(AI136,[71]Listas!$D$6:$D$10,0),MATCH(AK136,[71]Listas!$F$4:$J$4,0))</f>
        <v>#N/A</v>
      </c>
      <c r="AN136" s="259"/>
      <c r="AO136" s="259"/>
      <c r="AP136" s="1020"/>
      <c r="AQ136" s="259"/>
      <c r="AR136" s="1017" t="s">
        <v>2343</v>
      </c>
      <c r="AS136" s="1016"/>
      <c r="AT136" s="259"/>
      <c r="AU136" s="259"/>
      <c r="AV136" s="261"/>
      <c r="AW136" s="261"/>
      <c r="AX136" s="1016"/>
      <c r="AY136" s="262"/>
    </row>
    <row r="137" spans="1:51" s="260" customFormat="1" ht="103.5" hidden="1" customHeight="1">
      <c r="A137" s="1016"/>
      <c r="B137" s="266"/>
      <c r="C137" s="1399"/>
      <c r="D137" s="1408"/>
      <c r="E137" s="1400"/>
      <c r="F137" s="267"/>
      <c r="G137" s="1399"/>
      <c r="H137" s="1408"/>
      <c r="I137" s="1400"/>
      <c r="J137" s="1380"/>
      <c r="K137" s="1380"/>
      <c r="L137" s="1380"/>
      <c r="M137" s="1016"/>
      <c r="N137" s="1016"/>
      <c r="O137" s="1016"/>
      <c r="P137" s="1016"/>
      <c r="Q137" s="266"/>
      <c r="R137" s="266"/>
      <c r="S137" s="268"/>
      <c r="T137" s="269" t="e">
        <f>VLOOKUP(Q137,[71]Listas!$D$6:$E$10,2,0)</f>
        <v>#N/A</v>
      </c>
      <c r="U137" s="269" t="e">
        <f>HLOOKUP(R137,[71]Listas!$F$4:$J$5,2,0)</f>
        <v>#N/A</v>
      </c>
      <c r="V137" s="270" t="e">
        <f>INDEX([71]Listas!$F$6:$J$10,MATCH(Q137,[71]Listas!$D$6:$D$10,0),MATCH(R137,[71]Listas!$F$4:$J$4,0))</f>
        <v>#N/A</v>
      </c>
      <c r="W137" s="268"/>
      <c r="X137" s="1399"/>
      <c r="Y137" s="1408"/>
      <c r="Z137" s="1400"/>
      <c r="AA137" s="1063"/>
      <c r="AB137" s="267"/>
      <c r="AC137" s="259"/>
      <c r="AD137" s="1016"/>
      <c r="AE137" s="267"/>
      <c r="AF137" s="268"/>
      <c r="AG137" s="269">
        <f t="shared" si="4"/>
        <v>0</v>
      </c>
      <c r="AH137" s="271" t="e">
        <f t="shared" si="5"/>
        <v>#N/A</v>
      </c>
      <c r="AI137" s="272" t="e">
        <f>IF(AH137&lt;=1,"Remota",VLOOKUP(AH137,[71]Listas!$C$6:$D$10,2,0))</f>
        <v>#N/A</v>
      </c>
      <c r="AJ137" s="271" t="e">
        <f t="shared" si="6"/>
        <v>#N/A</v>
      </c>
      <c r="AK137" s="272" t="e">
        <f>IF(AJ137&lt;=1,"Insignificante",HLOOKUP(AJ137,[71]Listas!$F$3:$J$4,2,0))</f>
        <v>#N/A</v>
      </c>
      <c r="AL137" s="273" t="e">
        <f t="shared" si="7"/>
        <v>#N/A</v>
      </c>
      <c r="AM137" s="270" t="e">
        <f>INDEX([71]Listas!$F$6:$J$10,MATCH(AI137,[71]Listas!$D$6:$D$10,0),MATCH(AK137,[71]Listas!$F$4:$J$4,0))</f>
        <v>#N/A</v>
      </c>
      <c r="AN137" s="259"/>
      <c r="AO137" s="259"/>
      <c r="AP137" s="1020"/>
      <c r="AQ137" s="259"/>
      <c r="AR137" s="1017" t="s">
        <v>2343</v>
      </c>
      <c r="AS137" s="1016"/>
      <c r="AT137" s="259"/>
      <c r="AU137" s="259"/>
      <c r="AV137" s="261"/>
      <c r="AW137" s="261"/>
      <c r="AX137" s="1016"/>
      <c r="AY137" s="262"/>
    </row>
    <row r="138" spans="1:51" s="260" customFormat="1" ht="103.5" hidden="1" customHeight="1">
      <c r="A138" s="1016"/>
      <c r="B138" s="266"/>
      <c r="C138" s="1399"/>
      <c r="D138" s="1408"/>
      <c r="E138" s="1400"/>
      <c r="F138" s="267"/>
      <c r="G138" s="1399"/>
      <c r="H138" s="1408"/>
      <c r="I138" s="1400"/>
      <c r="J138" s="1380"/>
      <c r="K138" s="1380"/>
      <c r="L138" s="1380"/>
      <c r="M138" s="1016"/>
      <c r="N138" s="1016"/>
      <c r="O138" s="1016"/>
      <c r="P138" s="1016"/>
      <c r="Q138" s="266"/>
      <c r="R138" s="266"/>
      <c r="S138" s="268"/>
      <c r="T138" s="269" t="e">
        <f>VLOOKUP(Q138,[71]Listas!$D$6:$E$10,2,0)</f>
        <v>#N/A</v>
      </c>
      <c r="U138" s="269" t="e">
        <f>HLOOKUP(R138,[71]Listas!$F$4:$J$5,2,0)</f>
        <v>#N/A</v>
      </c>
      <c r="V138" s="270" t="e">
        <f>INDEX([71]Listas!$F$6:$J$10,MATCH(Q138,[71]Listas!$D$6:$D$10,0),MATCH(R138,[71]Listas!$F$4:$J$4,0))</f>
        <v>#N/A</v>
      </c>
      <c r="W138" s="268"/>
      <c r="X138" s="1399"/>
      <c r="Y138" s="1408"/>
      <c r="Z138" s="1400"/>
      <c r="AA138" s="1063"/>
      <c r="AB138" s="267"/>
      <c r="AC138" s="259"/>
      <c r="AD138" s="1016"/>
      <c r="AE138" s="267"/>
      <c r="AF138" s="268"/>
      <c r="AG138" s="269">
        <f t="shared" si="4"/>
        <v>0</v>
      </c>
      <c r="AH138" s="271" t="e">
        <f t="shared" si="5"/>
        <v>#N/A</v>
      </c>
      <c r="AI138" s="272" t="e">
        <f>IF(AH138&lt;=1,"Remota",VLOOKUP(AH138,[71]Listas!$C$6:$D$10,2,0))</f>
        <v>#N/A</v>
      </c>
      <c r="AJ138" s="271" t="e">
        <f t="shared" si="6"/>
        <v>#N/A</v>
      </c>
      <c r="AK138" s="272" t="e">
        <f>IF(AJ138&lt;=1,"Insignificante",HLOOKUP(AJ138,[71]Listas!$F$3:$J$4,2,0))</f>
        <v>#N/A</v>
      </c>
      <c r="AL138" s="273" t="e">
        <f t="shared" si="7"/>
        <v>#N/A</v>
      </c>
      <c r="AM138" s="270" t="e">
        <f>INDEX([71]Listas!$F$6:$J$10,MATCH(AI138,[71]Listas!$D$6:$D$10,0),MATCH(AK138,[71]Listas!$F$4:$J$4,0))</f>
        <v>#N/A</v>
      </c>
      <c r="AN138" s="259"/>
      <c r="AO138" s="259"/>
      <c r="AP138" s="1020"/>
      <c r="AQ138" s="259"/>
      <c r="AR138" s="1017" t="s">
        <v>2343</v>
      </c>
      <c r="AS138" s="1016"/>
      <c r="AT138" s="259"/>
      <c r="AU138" s="259"/>
      <c r="AV138" s="261"/>
      <c r="AW138" s="261"/>
      <c r="AX138" s="1016"/>
      <c r="AY138" s="262"/>
    </row>
    <row r="139" spans="1:51" s="260" customFormat="1" ht="103.5" hidden="1" customHeight="1">
      <c r="A139" s="1016"/>
      <c r="B139" s="266"/>
      <c r="C139" s="1399"/>
      <c r="D139" s="1408"/>
      <c r="E139" s="1400"/>
      <c r="F139" s="267"/>
      <c r="G139" s="1399"/>
      <c r="H139" s="1408"/>
      <c r="I139" s="1400"/>
      <c r="J139" s="1380"/>
      <c r="K139" s="1380"/>
      <c r="L139" s="1380"/>
      <c r="M139" s="1016"/>
      <c r="N139" s="1016"/>
      <c r="O139" s="1016"/>
      <c r="P139" s="1016"/>
      <c r="Q139" s="266"/>
      <c r="R139" s="266"/>
      <c r="S139" s="268"/>
      <c r="T139" s="269" t="e">
        <f>VLOOKUP(Q139,[71]Listas!$D$6:$E$10,2,0)</f>
        <v>#N/A</v>
      </c>
      <c r="U139" s="269" t="e">
        <f>HLOOKUP(R139,[71]Listas!$F$4:$J$5,2,0)</f>
        <v>#N/A</v>
      </c>
      <c r="V139" s="270" t="e">
        <f>INDEX([71]Listas!$F$6:$J$10,MATCH(Q139,[71]Listas!$D$6:$D$10,0),MATCH(R139,[71]Listas!$F$4:$J$4,0))</f>
        <v>#N/A</v>
      </c>
      <c r="W139" s="268"/>
      <c r="X139" s="1399"/>
      <c r="Y139" s="1408"/>
      <c r="Z139" s="1400"/>
      <c r="AA139" s="1063"/>
      <c r="AB139" s="267"/>
      <c r="AC139" s="259"/>
      <c r="AD139" s="1016"/>
      <c r="AE139" s="267"/>
      <c r="AF139" s="268"/>
      <c r="AG139" s="269">
        <f t="shared" si="4"/>
        <v>0</v>
      </c>
      <c r="AH139" s="271" t="e">
        <f t="shared" si="5"/>
        <v>#N/A</v>
      </c>
      <c r="AI139" s="272" t="e">
        <f>IF(AH139&lt;=1,"Remota",VLOOKUP(AH139,[71]Listas!$C$6:$D$10,2,0))</f>
        <v>#N/A</v>
      </c>
      <c r="AJ139" s="271" t="e">
        <f t="shared" si="6"/>
        <v>#N/A</v>
      </c>
      <c r="AK139" s="272" t="e">
        <f>IF(AJ139&lt;=1,"Insignificante",HLOOKUP(AJ139,[71]Listas!$F$3:$J$4,2,0))</f>
        <v>#N/A</v>
      </c>
      <c r="AL139" s="273" t="e">
        <f t="shared" si="7"/>
        <v>#N/A</v>
      </c>
      <c r="AM139" s="270" t="e">
        <f>INDEX([71]Listas!$F$6:$J$10,MATCH(AI139,[71]Listas!$D$6:$D$10,0),MATCH(AK139,[71]Listas!$F$4:$J$4,0))</f>
        <v>#N/A</v>
      </c>
      <c r="AN139" s="259"/>
      <c r="AO139" s="259"/>
      <c r="AP139" s="1020"/>
      <c r="AQ139" s="259"/>
      <c r="AR139" s="1017" t="s">
        <v>2343</v>
      </c>
      <c r="AS139" s="1016"/>
      <c r="AT139" s="259"/>
      <c r="AU139" s="259"/>
      <c r="AV139" s="261"/>
      <c r="AW139" s="261"/>
      <c r="AX139" s="1016"/>
      <c r="AY139" s="262"/>
    </row>
    <row r="140" spans="1:51" s="260" customFormat="1" ht="103.5" hidden="1" customHeight="1">
      <c r="A140" s="1016"/>
      <c r="B140" s="266"/>
      <c r="C140" s="1399"/>
      <c r="D140" s="1408"/>
      <c r="E140" s="1400"/>
      <c r="F140" s="267"/>
      <c r="G140" s="1399"/>
      <c r="H140" s="1408"/>
      <c r="I140" s="1400"/>
      <c r="J140" s="1380"/>
      <c r="K140" s="1380"/>
      <c r="L140" s="1380"/>
      <c r="M140" s="1016"/>
      <c r="N140" s="1016"/>
      <c r="O140" s="1016"/>
      <c r="P140" s="1016"/>
      <c r="Q140" s="266"/>
      <c r="R140" s="266"/>
      <c r="S140" s="268"/>
      <c r="T140" s="269" t="e">
        <f>VLOOKUP(Q140,[71]Listas!$D$6:$E$10,2,0)</f>
        <v>#N/A</v>
      </c>
      <c r="U140" s="269" t="e">
        <f>HLOOKUP(R140,[71]Listas!$F$4:$J$5,2,0)</f>
        <v>#N/A</v>
      </c>
      <c r="V140" s="270" t="e">
        <f>INDEX([71]Listas!$F$6:$J$10,MATCH(Q140,[71]Listas!$D$6:$D$10,0),MATCH(R140,[71]Listas!$F$4:$J$4,0))</f>
        <v>#N/A</v>
      </c>
      <c r="W140" s="268"/>
      <c r="X140" s="1399"/>
      <c r="Y140" s="1408"/>
      <c r="Z140" s="1400"/>
      <c r="AA140" s="1063"/>
      <c r="AB140" s="267"/>
      <c r="AC140" s="259"/>
      <c r="AD140" s="1016"/>
      <c r="AE140" s="267"/>
      <c r="AF140" s="268"/>
      <c r="AG140" s="269">
        <f t="shared" si="4"/>
        <v>0</v>
      </c>
      <c r="AH140" s="271" t="e">
        <f t="shared" si="5"/>
        <v>#N/A</v>
      </c>
      <c r="AI140" s="272" t="e">
        <f>IF(AH140&lt;=1,"Remota",VLOOKUP(AH140,[71]Listas!$C$6:$D$10,2,0))</f>
        <v>#N/A</v>
      </c>
      <c r="AJ140" s="271" t="e">
        <f t="shared" si="6"/>
        <v>#N/A</v>
      </c>
      <c r="AK140" s="272" t="e">
        <f>IF(AJ140&lt;=1,"Insignificante",HLOOKUP(AJ140,[71]Listas!$F$3:$J$4,2,0))</f>
        <v>#N/A</v>
      </c>
      <c r="AL140" s="273" t="e">
        <f t="shared" si="7"/>
        <v>#N/A</v>
      </c>
      <c r="AM140" s="270" t="e">
        <f>INDEX([71]Listas!$F$6:$J$10,MATCH(AI140,[71]Listas!$D$6:$D$10,0),MATCH(AK140,[71]Listas!$F$4:$J$4,0))</f>
        <v>#N/A</v>
      </c>
      <c r="AN140" s="259"/>
      <c r="AO140" s="259"/>
      <c r="AP140" s="1020"/>
      <c r="AQ140" s="259"/>
      <c r="AR140" s="1017" t="s">
        <v>2343</v>
      </c>
      <c r="AS140" s="1016"/>
      <c r="AT140" s="259"/>
      <c r="AU140" s="259"/>
      <c r="AV140" s="261"/>
      <c r="AW140" s="261"/>
      <c r="AX140" s="1016"/>
      <c r="AY140" s="262"/>
    </row>
    <row r="141" spans="1:51" s="260" customFormat="1" ht="103.5" hidden="1" customHeight="1">
      <c r="A141" s="1016"/>
      <c r="B141" s="266"/>
      <c r="C141" s="1399"/>
      <c r="D141" s="1408"/>
      <c r="E141" s="1400"/>
      <c r="F141" s="267"/>
      <c r="G141" s="1399"/>
      <c r="H141" s="1408"/>
      <c r="I141" s="1400"/>
      <c r="J141" s="1380"/>
      <c r="K141" s="1380"/>
      <c r="L141" s="1380"/>
      <c r="M141" s="1016"/>
      <c r="N141" s="1016"/>
      <c r="O141" s="1016"/>
      <c r="P141" s="1016"/>
      <c r="Q141" s="266"/>
      <c r="R141" s="266"/>
      <c r="S141" s="268"/>
      <c r="T141" s="269" t="e">
        <f>VLOOKUP(Q141,[71]Listas!$D$6:$E$10,2,0)</f>
        <v>#N/A</v>
      </c>
      <c r="U141" s="269" t="e">
        <f>HLOOKUP(R141,[71]Listas!$F$4:$J$5,2,0)</f>
        <v>#N/A</v>
      </c>
      <c r="V141" s="270" t="e">
        <f>INDEX([71]Listas!$F$6:$J$10,MATCH(Q141,[71]Listas!$D$6:$D$10,0),MATCH(R141,[71]Listas!$F$4:$J$4,0))</f>
        <v>#N/A</v>
      </c>
      <c r="W141" s="268"/>
      <c r="X141" s="1399"/>
      <c r="Y141" s="1408"/>
      <c r="Z141" s="1400"/>
      <c r="AA141" s="1063"/>
      <c r="AB141" s="267"/>
      <c r="AC141" s="259"/>
      <c r="AD141" s="1016"/>
      <c r="AE141" s="267"/>
      <c r="AF141" s="268"/>
      <c r="AG141" s="269">
        <f t="shared" si="4"/>
        <v>0</v>
      </c>
      <c r="AH141" s="271" t="e">
        <f t="shared" si="5"/>
        <v>#N/A</v>
      </c>
      <c r="AI141" s="272" t="e">
        <f>IF(AH141&lt;=1,"Remota",VLOOKUP(AH141,[71]Listas!$C$6:$D$10,2,0))</f>
        <v>#N/A</v>
      </c>
      <c r="AJ141" s="271" t="e">
        <f t="shared" si="6"/>
        <v>#N/A</v>
      </c>
      <c r="AK141" s="272" t="e">
        <f>IF(AJ141&lt;=1,"Insignificante",HLOOKUP(AJ141,[71]Listas!$F$3:$J$4,2,0))</f>
        <v>#N/A</v>
      </c>
      <c r="AL141" s="273" t="e">
        <f t="shared" si="7"/>
        <v>#N/A</v>
      </c>
      <c r="AM141" s="270" t="e">
        <f>INDEX([71]Listas!$F$6:$J$10,MATCH(AI141,[71]Listas!$D$6:$D$10,0),MATCH(AK141,[71]Listas!$F$4:$J$4,0))</f>
        <v>#N/A</v>
      </c>
      <c r="AN141" s="259"/>
      <c r="AO141" s="259"/>
      <c r="AP141" s="1020"/>
      <c r="AQ141" s="259"/>
      <c r="AR141" s="1017" t="s">
        <v>2343</v>
      </c>
      <c r="AS141" s="1016"/>
      <c r="AT141" s="259"/>
      <c r="AU141" s="259"/>
      <c r="AV141" s="261"/>
      <c r="AW141" s="261"/>
      <c r="AX141" s="1016"/>
      <c r="AY141" s="262"/>
    </row>
    <row r="142" spans="1:51" s="260" customFormat="1" ht="103.5" hidden="1" customHeight="1">
      <c r="A142" s="1016"/>
      <c r="B142" s="266"/>
      <c r="C142" s="1399"/>
      <c r="D142" s="1408"/>
      <c r="E142" s="1400"/>
      <c r="F142" s="267"/>
      <c r="G142" s="1399"/>
      <c r="H142" s="1408"/>
      <c r="I142" s="1400"/>
      <c r="J142" s="1380"/>
      <c r="K142" s="1380"/>
      <c r="L142" s="1380"/>
      <c r="M142" s="1016"/>
      <c r="N142" s="1016"/>
      <c r="O142" s="1016"/>
      <c r="P142" s="1016"/>
      <c r="Q142" s="266"/>
      <c r="R142" s="266"/>
      <c r="S142" s="268"/>
      <c r="T142" s="269" t="e">
        <f>VLOOKUP(Q142,[71]Listas!$D$6:$E$10,2,0)</f>
        <v>#N/A</v>
      </c>
      <c r="U142" s="269" t="e">
        <f>HLOOKUP(R142,[71]Listas!$F$4:$J$5,2,0)</f>
        <v>#N/A</v>
      </c>
      <c r="V142" s="270" t="e">
        <f>INDEX([71]Listas!$F$6:$J$10,MATCH(Q142,[71]Listas!$D$6:$D$10,0),MATCH(R142,[71]Listas!$F$4:$J$4,0))</f>
        <v>#N/A</v>
      </c>
      <c r="W142" s="268"/>
      <c r="X142" s="1399"/>
      <c r="Y142" s="1408"/>
      <c r="Z142" s="1400"/>
      <c r="AA142" s="1063"/>
      <c r="AB142" s="267"/>
      <c r="AC142" s="259"/>
      <c r="AD142" s="1016"/>
      <c r="AE142" s="267"/>
      <c r="AF142" s="268"/>
      <c r="AG142" s="269">
        <f t="shared" si="4"/>
        <v>0</v>
      </c>
      <c r="AH142" s="271" t="e">
        <f t="shared" si="5"/>
        <v>#N/A</v>
      </c>
      <c r="AI142" s="272" t="e">
        <f>IF(AH142&lt;=1,"Remota",VLOOKUP(AH142,[71]Listas!$C$6:$D$10,2,0))</f>
        <v>#N/A</v>
      </c>
      <c r="AJ142" s="271" t="e">
        <f t="shared" si="6"/>
        <v>#N/A</v>
      </c>
      <c r="AK142" s="272" t="e">
        <f>IF(AJ142&lt;=1,"Insignificante",HLOOKUP(AJ142,[71]Listas!$F$3:$J$4,2,0))</f>
        <v>#N/A</v>
      </c>
      <c r="AL142" s="273" t="e">
        <f t="shared" si="7"/>
        <v>#N/A</v>
      </c>
      <c r="AM142" s="270" t="e">
        <f>INDEX([71]Listas!$F$6:$J$10,MATCH(AI142,[71]Listas!$D$6:$D$10,0),MATCH(AK142,[71]Listas!$F$4:$J$4,0))</f>
        <v>#N/A</v>
      </c>
      <c r="AN142" s="259"/>
      <c r="AO142" s="259"/>
      <c r="AP142" s="1020"/>
      <c r="AQ142" s="259"/>
      <c r="AR142" s="1017" t="s">
        <v>2343</v>
      </c>
      <c r="AS142" s="1016"/>
      <c r="AT142" s="259"/>
      <c r="AU142" s="259"/>
      <c r="AV142" s="261"/>
      <c r="AW142" s="261"/>
      <c r="AX142" s="1016"/>
      <c r="AY142" s="262"/>
    </row>
    <row r="143" spans="1:51" s="260" customFormat="1" ht="103.5" hidden="1" customHeight="1">
      <c r="A143" s="1016"/>
      <c r="B143" s="266"/>
      <c r="C143" s="1399"/>
      <c r="D143" s="1408"/>
      <c r="E143" s="1400"/>
      <c r="F143" s="267"/>
      <c r="G143" s="1399"/>
      <c r="H143" s="1408"/>
      <c r="I143" s="1400"/>
      <c r="J143" s="1380"/>
      <c r="K143" s="1380"/>
      <c r="L143" s="1380"/>
      <c r="M143" s="1016"/>
      <c r="N143" s="1016"/>
      <c r="O143" s="1016"/>
      <c r="P143" s="1016"/>
      <c r="Q143" s="266"/>
      <c r="R143" s="266"/>
      <c r="S143" s="268"/>
      <c r="T143" s="269" t="e">
        <f>VLOOKUP(Q143,[71]Listas!$D$6:$E$10,2,0)</f>
        <v>#N/A</v>
      </c>
      <c r="U143" s="269" t="e">
        <f>HLOOKUP(R143,[71]Listas!$F$4:$J$5,2,0)</f>
        <v>#N/A</v>
      </c>
      <c r="V143" s="270" t="e">
        <f>INDEX([71]Listas!$F$6:$J$10,MATCH(Q143,[71]Listas!$D$6:$D$10,0),MATCH(R143,[71]Listas!$F$4:$J$4,0))</f>
        <v>#N/A</v>
      </c>
      <c r="W143" s="268"/>
      <c r="X143" s="1399"/>
      <c r="Y143" s="1408"/>
      <c r="Z143" s="1400"/>
      <c r="AA143" s="1063"/>
      <c r="AB143" s="267"/>
      <c r="AC143" s="259"/>
      <c r="AD143" s="1016"/>
      <c r="AE143" s="267"/>
      <c r="AF143" s="268"/>
      <c r="AG143" s="269">
        <f t="shared" si="4"/>
        <v>0</v>
      </c>
      <c r="AH143" s="271" t="e">
        <f t="shared" si="5"/>
        <v>#N/A</v>
      </c>
      <c r="AI143" s="272" t="e">
        <f>IF(AH143&lt;=1,"Remota",VLOOKUP(AH143,[71]Listas!$C$6:$D$10,2,0))</f>
        <v>#N/A</v>
      </c>
      <c r="AJ143" s="271" t="e">
        <f t="shared" si="6"/>
        <v>#N/A</v>
      </c>
      <c r="AK143" s="272" t="e">
        <f>IF(AJ143&lt;=1,"Insignificante",HLOOKUP(AJ143,[71]Listas!$F$3:$J$4,2,0))</f>
        <v>#N/A</v>
      </c>
      <c r="AL143" s="273" t="e">
        <f t="shared" si="7"/>
        <v>#N/A</v>
      </c>
      <c r="AM143" s="270" t="e">
        <f>INDEX([71]Listas!$F$6:$J$10,MATCH(AI143,[71]Listas!$D$6:$D$10,0),MATCH(AK143,[71]Listas!$F$4:$J$4,0))</f>
        <v>#N/A</v>
      </c>
      <c r="AN143" s="259"/>
      <c r="AO143" s="259"/>
      <c r="AP143" s="1020"/>
      <c r="AQ143" s="259"/>
      <c r="AR143" s="1017" t="s">
        <v>2343</v>
      </c>
      <c r="AS143" s="1016"/>
      <c r="AT143" s="259"/>
      <c r="AU143" s="259"/>
      <c r="AV143" s="261"/>
      <c r="AW143" s="261"/>
      <c r="AX143" s="1016"/>
      <c r="AY143" s="262"/>
    </row>
    <row r="144" spans="1:51" s="260" customFormat="1" ht="103.5" hidden="1" customHeight="1">
      <c r="A144" s="1016"/>
      <c r="B144" s="266"/>
      <c r="C144" s="1399"/>
      <c r="D144" s="1408"/>
      <c r="E144" s="1400"/>
      <c r="F144" s="267"/>
      <c r="G144" s="1399"/>
      <c r="H144" s="1408"/>
      <c r="I144" s="1400"/>
      <c r="J144" s="1380"/>
      <c r="K144" s="1380"/>
      <c r="L144" s="1380"/>
      <c r="M144" s="1016"/>
      <c r="N144" s="1016"/>
      <c r="O144" s="1016"/>
      <c r="P144" s="1016"/>
      <c r="Q144" s="266"/>
      <c r="R144" s="266"/>
      <c r="S144" s="268"/>
      <c r="T144" s="269" t="e">
        <f>VLOOKUP(Q144,[71]Listas!$D$6:$E$10,2,0)</f>
        <v>#N/A</v>
      </c>
      <c r="U144" s="269" t="e">
        <f>HLOOKUP(R144,[71]Listas!$F$4:$J$5,2,0)</f>
        <v>#N/A</v>
      </c>
      <c r="V144" s="270" t="e">
        <f>INDEX([71]Listas!$F$6:$J$10,MATCH(Q144,[71]Listas!$D$6:$D$10,0),MATCH(R144,[71]Listas!$F$4:$J$4,0))</f>
        <v>#N/A</v>
      </c>
      <c r="W144" s="268"/>
      <c r="X144" s="1399"/>
      <c r="Y144" s="1408"/>
      <c r="Z144" s="1400"/>
      <c r="AA144" s="1063"/>
      <c r="AB144" s="267"/>
      <c r="AC144" s="259"/>
      <c r="AD144" s="1016"/>
      <c r="AE144" s="267"/>
      <c r="AF144" s="268"/>
      <c r="AG144" s="269">
        <f t="shared" si="4"/>
        <v>0</v>
      </c>
      <c r="AH144" s="271" t="e">
        <f t="shared" si="5"/>
        <v>#N/A</v>
      </c>
      <c r="AI144" s="272" t="e">
        <f>IF(AH144&lt;=1,"Remota",VLOOKUP(AH144,[71]Listas!$C$6:$D$10,2,0))</f>
        <v>#N/A</v>
      </c>
      <c r="AJ144" s="271" t="e">
        <f t="shared" si="6"/>
        <v>#N/A</v>
      </c>
      <c r="AK144" s="272" t="e">
        <f>IF(AJ144&lt;=1,"Insignificante",HLOOKUP(AJ144,[71]Listas!$F$3:$J$4,2,0))</f>
        <v>#N/A</v>
      </c>
      <c r="AL144" s="273" t="e">
        <f t="shared" si="7"/>
        <v>#N/A</v>
      </c>
      <c r="AM144" s="270" t="e">
        <f>INDEX([71]Listas!$F$6:$J$10,MATCH(AI144,[71]Listas!$D$6:$D$10,0),MATCH(AK144,[71]Listas!$F$4:$J$4,0))</f>
        <v>#N/A</v>
      </c>
      <c r="AN144" s="259"/>
      <c r="AO144" s="259"/>
      <c r="AP144" s="1020"/>
      <c r="AQ144" s="259"/>
      <c r="AR144" s="1017" t="s">
        <v>2343</v>
      </c>
      <c r="AS144" s="1016"/>
      <c r="AT144" s="259"/>
      <c r="AU144" s="259"/>
      <c r="AV144" s="261"/>
      <c r="AW144" s="261"/>
      <c r="AX144" s="1016"/>
      <c r="AY144" s="262"/>
    </row>
    <row r="145" spans="1:1027" s="260" customFormat="1" ht="103.5" hidden="1" customHeight="1">
      <c r="A145" s="1016"/>
      <c r="B145" s="266"/>
      <c r="C145" s="1399"/>
      <c r="D145" s="1408"/>
      <c r="E145" s="1400"/>
      <c r="F145" s="267"/>
      <c r="G145" s="1399"/>
      <c r="H145" s="1408"/>
      <c r="I145" s="1400"/>
      <c r="J145" s="1380"/>
      <c r="K145" s="1380"/>
      <c r="L145" s="1380"/>
      <c r="M145" s="1016"/>
      <c r="N145" s="1016"/>
      <c r="O145" s="1016"/>
      <c r="P145" s="1016"/>
      <c r="Q145" s="266"/>
      <c r="R145" s="266"/>
      <c r="S145" s="268"/>
      <c r="T145" s="269" t="e">
        <f>VLOOKUP(Q145,[71]Listas!$D$6:$E$10,2,0)</f>
        <v>#N/A</v>
      </c>
      <c r="U145" s="269" t="e">
        <f>HLOOKUP(R145,[71]Listas!$F$4:$J$5,2,0)</f>
        <v>#N/A</v>
      </c>
      <c r="V145" s="270" t="e">
        <f>INDEX([71]Listas!$F$6:$J$10,MATCH(Q145,[71]Listas!$D$6:$D$10,0),MATCH(R145,[71]Listas!$F$4:$J$4,0))</f>
        <v>#N/A</v>
      </c>
      <c r="W145" s="268"/>
      <c r="X145" s="1399"/>
      <c r="Y145" s="1408"/>
      <c r="Z145" s="1400"/>
      <c r="AA145" s="1063"/>
      <c r="AB145" s="267"/>
      <c r="AC145" s="259"/>
      <c r="AD145" s="1016"/>
      <c r="AE145" s="267"/>
      <c r="AF145" s="268"/>
      <c r="AG145" s="269">
        <f t="shared" si="4"/>
        <v>0</v>
      </c>
      <c r="AH145" s="271" t="e">
        <f t="shared" si="5"/>
        <v>#N/A</v>
      </c>
      <c r="AI145" s="272" t="e">
        <f>IF(AH145&lt;=1,"Remota",VLOOKUP(AH145,[71]Listas!$C$6:$D$10,2,0))</f>
        <v>#N/A</v>
      </c>
      <c r="AJ145" s="271" t="e">
        <f t="shared" si="6"/>
        <v>#N/A</v>
      </c>
      <c r="AK145" s="272" t="e">
        <f>IF(AJ145&lt;=1,"Insignificante",HLOOKUP(AJ145,[71]Listas!$F$3:$J$4,2,0))</f>
        <v>#N/A</v>
      </c>
      <c r="AL145" s="273" t="e">
        <f t="shared" si="7"/>
        <v>#N/A</v>
      </c>
      <c r="AM145" s="270" t="e">
        <f>INDEX([71]Listas!$F$6:$J$10,MATCH(AI145,[71]Listas!$D$6:$D$10,0),MATCH(AK145,[71]Listas!$F$4:$J$4,0))</f>
        <v>#N/A</v>
      </c>
      <c r="AN145" s="259"/>
      <c r="AO145" s="259"/>
      <c r="AP145" s="1020"/>
      <c r="AQ145" s="259"/>
      <c r="AR145" s="1017" t="s">
        <v>2343</v>
      </c>
      <c r="AS145" s="1016"/>
      <c r="AT145" s="259"/>
      <c r="AU145" s="259"/>
      <c r="AV145" s="261"/>
      <c r="AW145" s="261"/>
      <c r="AX145" s="1016"/>
      <c r="AY145" s="262"/>
    </row>
    <row r="146" spans="1:1027" s="260" customFormat="1" ht="103.5" hidden="1" customHeight="1">
      <c r="A146" s="1016"/>
      <c r="B146" s="266"/>
      <c r="C146" s="1399"/>
      <c r="D146" s="1408"/>
      <c r="E146" s="1400"/>
      <c r="F146" s="267"/>
      <c r="G146" s="1399"/>
      <c r="H146" s="1408"/>
      <c r="I146" s="1400"/>
      <c r="J146" s="1380"/>
      <c r="K146" s="1380"/>
      <c r="L146" s="1380"/>
      <c r="M146" s="1016"/>
      <c r="N146" s="1016"/>
      <c r="O146" s="1016"/>
      <c r="P146" s="1016"/>
      <c r="Q146" s="266"/>
      <c r="R146" s="266"/>
      <c r="S146" s="268"/>
      <c r="T146" s="269" t="e">
        <f>VLOOKUP(Q146,[71]Listas!$D$6:$E$10,2,0)</f>
        <v>#N/A</v>
      </c>
      <c r="U146" s="269" t="e">
        <f>HLOOKUP(R146,[71]Listas!$F$4:$J$5,2,0)</f>
        <v>#N/A</v>
      </c>
      <c r="V146" s="270" t="e">
        <f>INDEX([71]Listas!$F$6:$J$10,MATCH(Q146,[71]Listas!$D$6:$D$10,0),MATCH(R146,[71]Listas!$F$4:$J$4,0))</f>
        <v>#N/A</v>
      </c>
      <c r="W146" s="268"/>
      <c r="X146" s="1399"/>
      <c r="Y146" s="1408"/>
      <c r="Z146" s="1400"/>
      <c r="AA146" s="1063"/>
      <c r="AB146" s="267"/>
      <c r="AC146" s="259"/>
      <c r="AD146" s="1016"/>
      <c r="AE146" s="267"/>
      <c r="AF146" s="268"/>
      <c r="AG146" s="269">
        <f t="shared" si="4"/>
        <v>0</v>
      </c>
      <c r="AH146" s="271" t="e">
        <f t="shared" si="5"/>
        <v>#N/A</v>
      </c>
      <c r="AI146" s="272" t="e">
        <f>IF(AH146&lt;=1,"Remota",VLOOKUP(AH146,[71]Listas!$C$6:$D$10,2,0))</f>
        <v>#N/A</v>
      </c>
      <c r="AJ146" s="271" t="e">
        <f t="shared" si="6"/>
        <v>#N/A</v>
      </c>
      <c r="AK146" s="272" t="e">
        <f>IF(AJ146&lt;=1,"Insignificante",HLOOKUP(AJ146,[71]Listas!$F$3:$J$4,2,0))</f>
        <v>#N/A</v>
      </c>
      <c r="AL146" s="273" t="e">
        <f t="shared" si="7"/>
        <v>#N/A</v>
      </c>
      <c r="AM146" s="270" t="e">
        <f>INDEX([71]Listas!$F$6:$J$10,MATCH(AI146,[71]Listas!$D$6:$D$10,0),MATCH(AK146,[71]Listas!$F$4:$J$4,0))</f>
        <v>#N/A</v>
      </c>
      <c r="AN146" s="259"/>
      <c r="AO146" s="259"/>
      <c r="AP146" s="1020"/>
      <c r="AQ146" s="259"/>
      <c r="AR146" s="1017" t="s">
        <v>2343</v>
      </c>
      <c r="AS146" s="1016"/>
      <c r="AT146" s="259"/>
      <c r="AU146" s="259"/>
      <c r="AV146" s="261"/>
      <c r="AW146" s="261"/>
      <c r="AX146" s="1016"/>
      <c r="AY146" s="262"/>
    </row>
    <row r="147" spans="1:1027" s="260" customFormat="1" ht="103.5" hidden="1" customHeight="1">
      <c r="A147" s="1016"/>
      <c r="B147" s="266"/>
      <c r="C147" s="1399"/>
      <c r="D147" s="1408"/>
      <c r="E147" s="1400"/>
      <c r="F147" s="267"/>
      <c r="G147" s="1399"/>
      <c r="H147" s="1408"/>
      <c r="I147" s="1400"/>
      <c r="J147" s="1380"/>
      <c r="K147" s="1380"/>
      <c r="L147" s="1380"/>
      <c r="M147" s="1016"/>
      <c r="N147" s="1016"/>
      <c r="O147" s="1016"/>
      <c r="P147" s="1016"/>
      <c r="Q147" s="266"/>
      <c r="R147" s="266"/>
      <c r="S147" s="268"/>
      <c r="T147" s="269" t="e">
        <f>VLOOKUP(Q147,[71]Listas!$D$6:$E$10,2,0)</f>
        <v>#N/A</v>
      </c>
      <c r="U147" s="269" t="e">
        <f>HLOOKUP(R147,[71]Listas!$F$4:$J$5,2,0)</f>
        <v>#N/A</v>
      </c>
      <c r="V147" s="270" t="e">
        <f>INDEX([71]Listas!$F$6:$J$10,MATCH(Q147,[71]Listas!$D$6:$D$10,0),MATCH(R147,[71]Listas!$F$4:$J$4,0))</f>
        <v>#N/A</v>
      </c>
      <c r="W147" s="268"/>
      <c r="X147" s="1399"/>
      <c r="Y147" s="1408"/>
      <c r="Z147" s="1400"/>
      <c r="AA147" s="1063"/>
      <c r="AB147" s="267"/>
      <c r="AC147" s="259"/>
      <c r="AD147" s="1016"/>
      <c r="AE147" s="267"/>
      <c r="AF147" s="268"/>
      <c r="AG147" s="269">
        <f t="shared" si="4"/>
        <v>0</v>
      </c>
      <c r="AH147" s="271" t="e">
        <f t="shared" si="5"/>
        <v>#N/A</v>
      </c>
      <c r="AI147" s="272" t="e">
        <f>IF(AH147&lt;=1,"Remota",VLOOKUP(AH147,[71]Listas!$C$6:$D$10,2,0))</f>
        <v>#N/A</v>
      </c>
      <c r="AJ147" s="271" t="e">
        <f t="shared" si="6"/>
        <v>#N/A</v>
      </c>
      <c r="AK147" s="272" t="e">
        <f>IF(AJ147&lt;=1,"Insignificante",HLOOKUP(AJ147,[71]Listas!$F$3:$J$4,2,0))</f>
        <v>#N/A</v>
      </c>
      <c r="AL147" s="273" t="e">
        <f t="shared" si="7"/>
        <v>#N/A</v>
      </c>
      <c r="AM147" s="270" t="e">
        <f>INDEX([71]Listas!$F$6:$J$10,MATCH(AI147,[71]Listas!$D$6:$D$10,0),MATCH(AK147,[71]Listas!$F$4:$J$4,0))</f>
        <v>#N/A</v>
      </c>
      <c r="AN147" s="259"/>
      <c r="AO147" s="259"/>
      <c r="AP147" s="1020"/>
      <c r="AQ147" s="259"/>
      <c r="AR147" s="1017" t="s">
        <v>2343</v>
      </c>
      <c r="AS147" s="1016"/>
      <c r="AT147" s="259"/>
      <c r="AU147" s="259"/>
      <c r="AV147" s="261"/>
      <c r="AW147" s="261"/>
      <c r="AX147" s="1016"/>
      <c r="AY147" s="262"/>
    </row>
    <row r="148" spans="1:1027" s="260" customFormat="1" ht="103.5" hidden="1" customHeight="1">
      <c r="A148" s="1016"/>
      <c r="B148" s="266"/>
      <c r="C148" s="1399"/>
      <c r="D148" s="1408"/>
      <c r="E148" s="1400"/>
      <c r="F148" s="267"/>
      <c r="G148" s="1399"/>
      <c r="H148" s="1408"/>
      <c r="I148" s="1400"/>
      <c r="J148" s="1380"/>
      <c r="K148" s="1380"/>
      <c r="L148" s="1380"/>
      <c r="M148" s="1016"/>
      <c r="N148" s="1016"/>
      <c r="O148" s="1016"/>
      <c r="P148" s="1016"/>
      <c r="Q148" s="266"/>
      <c r="R148" s="266"/>
      <c r="S148" s="268"/>
      <c r="T148" s="269" t="e">
        <f>VLOOKUP(Q148,[71]Listas!$D$6:$E$10,2,0)</f>
        <v>#N/A</v>
      </c>
      <c r="U148" s="269" t="e">
        <f>HLOOKUP(R148,[71]Listas!$F$4:$J$5,2,0)</f>
        <v>#N/A</v>
      </c>
      <c r="V148" s="270" t="e">
        <f>INDEX([71]Listas!$F$6:$J$10,MATCH(Q148,[71]Listas!$D$6:$D$10,0),MATCH(R148,[71]Listas!$F$4:$J$4,0))</f>
        <v>#N/A</v>
      </c>
      <c r="W148" s="268"/>
      <c r="X148" s="1399"/>
      <c r="Y148" s="1408"/>
      <c r="Z148" s="1400"/>
      <c r="AA148" s="1063"/>
      <c r="AB148" s="267"/>
      <c r="AC148" s="259"/>
      <c r="AD148" s="1016"/>
      <c r="AE148" s="267"/>
      <c r="AF148" s="268"/>
      <c r="AG148" s="269">
        <f t="shared" si="4"/>
        <v>0</v>
      </c>
      <c r="AH148" s="271" t="e">
        <f t="shared" si="5"/>
        <v>#N/A</v>
      </c>
      <c r="AI148" s="272" t="e">
        <f>IF(AH148&lt;=1,"Remota",VLOOKUP(AH148,[71]Listas!$C$6:$D$10,2,0))</f>
        <v>#N/A</v>
      </c>
      <c r="AJ148" s="271" t="e">
        <f t="shared" si="6"/>
        <v>#N/A</v>
      </c>
      <c r="AK148" s="272" t="e">
        <f>IF(AJ148&lt;=1,"Insignificante",HLOOKUP(AJ148,[71]Listas!$F$3:$J$4,2,0))</f>
        <v>#N/A</v>
      </c>
      <c r="AL148" s="273" t="e">
        <f t="shared" si="7"/>
        <v>#N/A</v>
      </c>
      <c r="AM148" s="270" t="e">
        <f>INDEX([71]Listas!$F$6:$J$10,MATCH(AI148,[71]Listas!$D$6:$D$10,0),MATCH(AK148,[71]Listas!$F$4:$J$4,0))</f>
        <v>#N/A</v>
      </c>
      <c r="AN148" s="259"/>
      <c r="AO148" s="259"/>
      <c r="AP148" s="1020"/>
      <c r="AQ148" s="259"/>
      <c r="AR148" s="1017" t="s">
        <v>2343</v>
      </c>
      <c r="AS148" s="1016"/>
      <c r="AT148" s="259"/>
      <c r="AU148" s="259"/>
      <c r="AV148" s="261"/>
      <c r="AW148" s="261"/>
      <c r="AX148" s="1016"/>
      <c r="AY148" s="262"/>
    </row>
    <row r="149" spans="1:1027" s="260" customFormat="1" ht="103.5" hidden="1" customHeight="1">
      <c r="A149" s="1016"/>
      <c r="B149" s="266"/>
      <c r="C149" s="1399"/>
      <c r="D149" s="1408"/>
      <c r="E149" s="1400"/>
      <c r="F149" s="267"/>
      <c r="G149" s="1399"/>
      <c r="H149" s="1408"/>
      <c r="I149" s="1400"/>
      <c r="J149" s="1380"/>
      <c r="K149" s="1380"/>
      <c r="L149" s="1380"/>
      <c r="M149" s="1016"/>
      <c r="N149" s="1016"/>
      <c r="O149" s="1016"/>
      <c r="P149" s="1016"/>
      <c r="Q149" s="266"/>
      <c r="R149" s="266"/>
      <c r="S149" s="268"/>
      <c r="T149" s="269" t="e">
        <f>VLOOKUP(Q149,[71]Listas!$D$6:$E$10,2,0)</f>
        <v>#N/A</v>
      </c>
      <c r="U149" s="269" t="e">
        <f>HLOOKUP(R149,[71]Listas!$F$4:$J$5,2,0)</f>
        <v>#N/A</v>
      </c>
      <c r="V149" s="270" t="e">
        <f>INDEX([71]Listas!$F$6:$J$10,MATCH(Q149,[71]Listas!$D$6:$D$10,0),MATCH(R149,[71]Listas!$F$4:$J$4,0))</f>
        <v>#N/A</v>
      </c>
      <c r="W149" s="268"/>
      <c r="X149" s="1399"/>
      <c r="Y149" s="1408"/>
      <c r="Z149" s="1400"/>
      <c r="AA149" s="1063"/>
      <c r="AB149" s="267"/>
      <c r="AC149" s="259"/>
      <c r="AD149" s="1016"/>
      <c r="AE149" s="267"/>
      <c r="AF149" s="268"/>
      <c r="AG149" s="269">
        <f t="shared" si="4"/>
        <v>0</v>
      </c>
      <c r="AH149" s="271" t="e">
        <f t="shared" si="5"/>
        <v>#N/A</v>
      </c>
      <c r="AI149" s="272" t="e">
        <f>IF(AH149&lt;=1,"Remota",VLOOKUP(AH149,[71]Listas!$C$6:$D$10,2,0))</f>
        <v>#N/A</v>
      </c>
      <c r="AJ149" s="271" t="e">
        <f t="shared" si="6"/>
        <v>#N/A</v>
      </c>
      <c r="AK149" s="272" t="e">
        <f>IF(AJ149&lt;=1,"Insignificante",HLOOKUP(AJ149,[71]Listas!$F$3:$J$4,2,0))</f>
        <v>#N/A</v>
      </c>
      <c r="AL149" s="273" t="e">
        <f t="shared" si="7"/>
        <v>#N/A</v>
      </c>
      <c r="AM149" s="270" t="e">
        <f>INDEX([71]Listas!$F$6:$J$10,MATCH(AI149,[71]Listas!$D$6:$D$10,0),MATCH(AK149,[71]Listas!$F$4:$J$4,0))</f>
        <v>#N/A</v>
      </c>
      <c r="AN149" s="259"/>
      <c r="AO149" s="259"/>
      <c r="AP149" s="1020"/>
      <c r="AQ149" s="259"/>
      <c r="AR149" s="1017" t="s">
        <v>2343</v>
      </c>
      <c r="AS149" s="1016"/>
      <c r="AT149" s="259"/>
      <c r="AU149" s="259"/>
      <c r="AV149" s="261"/>
      <c r="AW149" s="261"/>
      <c r="AX149" s="1016"/>
      <c r="AY149" s="262"/>
    </row>
    <row r="150" spans="1:1027" s="260" customFormat="1" ht="103.5" hidden="1" customHeight="1">
      <c r="A150" s="1016"/>
      <c r="B150" s="266"/>
      <c r="C150" s="1399"/>
      <c r="D150" s="1408"/>
      <c r="E150" s="1400"/>
      <c r="F150" s="267"/>
      <c r="G150" s="1399"/>
      <c r="H150" s="1408"/>
      <c r="I150" s="1400"/>
      <c r="J150" s="1380"/>
      <c r="K150" s="1380"/>
      <c r="L150" s="1380"/>
      <c r="M150" s="1016"/>
      <c r="N150" s="1016"/>
      <c r="O150" s="1016"/>
      <c r="P150" s="1016"/>
      <c r="Q150" s="266"/>
      <c r="R150" s="266"/>
      <c r="S150" s="268"/>
      <c r="T150" s="269" t="e">
        <f>VLOOKUP(Q150,[71]Listas!$D$6:$E$10,2,0)</f>
        <v>#N/A</v>
      </c>
      <c r="U150" s="269" t="e">
        <f>HLOOKUP(R150,[71]Listas!$F$4:$J$5,2,0)</f>
        <v>#N/A</v>
      </c>
      <c r="V150" s="270" t="e">
        <f>INDEX([71]Listas!$F$6:$J$10,MATCH(Q150,[71]Listas!$D$6:$D$10,0),MATCH(R150,[71]Listas!$F$4:$J$4,0))</f>
        <v>#N/A</v>
      </c>
      <c r="W150" s="268"/>
      <c r="X150" s="1399"/>
      <c r="Y150" s="1408"/>
      <c r="Z150" s="1400"/>
      <c r="AA150" s="1063"/>
      <c r="AB150" s="267"/>
      <c r="AC150" s="259"/>
      <c r="AD150" s="1016"/>
      <c r="AE150" s="267"/>
      <c r="AF150" s="268"/>
      <c r="AG150" s="269">
        <f t="shared" si="4"/>
        <v>0</v>
      </c>
      <c r="AH150" s="271" t="e">
        <f t="shared" si="5"/>
        <v>#N/A</v>
      </c>
      <c r="AI150" s="272" t="e">
        <f>IF(AH150&lt;=1,"Remota",VLOOKUP(AH150,[71]Listas!$C$6:$D$10,2,0))</f>
        <v>#N/A</v>
      </c>
      <c r="AJ150" s="271" t="e">
        <f t="shared" si="6"/>
        <v>#N/A</v>
      </c>
      <c r="AK150" s="272" t="e">
        <f>IF(AJ150&lt;=1,"Insignificante",HLOOKUP(AJ150,[71]Listas!$F$3:$J$4,2,0))</f>
        <v>#N/A</v>
      </c>
      <c r="AL150" s="273" t="e">
        <f t="shared" si="7"/>
        <v>#N/A</v>
      </c>
      <c r="AM150" s="270" t="e">
        <f>INDEX([71]Listas!$F$6:$J$10,MATCH(AI150,[71]Listas!$D$6:$D$10,0),MATCH(AK150,[71]Listas!$F$4:$J$4,0))</f>
        <v>#N/A</v>
      </c>
      <c r="AN150" s="259"/>
      <c r="AO150" s="259"/>
      <c r="AP150" s="1020"/>
      <c r="AQ150" s="259"/>
      <c r="AR150" s="1017" t="s">
        <v>2343</v>
      </c>
      <c r="AS150" s="1016"/>
      <c r="AT150" s="259"/>
      <c r="AU150" s="259"/>
      <c r="AV150" s="261"/>
      <c r="AW150" s="261"/>
      <c r="AX150" s="1016"/>
      <c r="AY150" s="262"/>
    </row>
    <row r="151" spans="1:1027" s="260" customFormat="1" ht="75" hidden="1" customHeight="1">
      <c r="A151" s="1016"/>
      <c r="B151" s="266"/>
      <c r="C151" s="1399"/>
      <c r="D151" s="1408"/>
      <c r="E151" s="1400"/>
      <c r="F151" s="267"/>
      <c r="G151" s="1399"/>
      <c r="H151" s="1408"/>
      <c r="I151" s="1400"/>
      <c r="J151" s="1380"/>
      <c r="K151" s="1380"/>
      <c r="L151" s="1380"/>
      <c r="M151" s="1016"/>
      <c r="N151" s="1016"/>
      <c r="O151" s="1016"/>
      <c r="P151" s="1016"/>
      <c r="Q151" s="266"/>
      <c r="R151" s="266"/>
      <c r="S151" s="268"/>
      <c r="T151" s="269" t="e">
        <f>VLOOKUP(Q151,[71]Listas!$D$6:$E$10,2,0)</f>
        <v>#N/A</v>
      </c>
      <c r="U151" s="269" t="e">
        <f>HLOOKUP(R151,[71]Listas!$F$4:$J$5,2,0)</f>
        <v>#N/A</v>
      </c>
      <c r="V151" s="270" t="e">
        <f>INDEX([71]Listas!$F$6:$J$10,MATCH(Q151,[71]Listas!$D$6:$D$10,0),MATCH(R151,[71]Listas!$F$4:$J$4,0))</f>
        <v>#N/A</v>
      </c>
      <c r="W151" s="268"/>
      <c r="X151" s="1399"/>
      <c r="Y151" s="1408"/>
      <c r="Z151" s="1400"/>
      <c r="AA151" s="1063"/>
      <c r="AB151" s="267"/>
      <c r="AC151" s="259"/>
      <c r="AD151" s="1016"/>
      <c r="AE151" s="267"/>
      <c r="AF151" s="268"/>
      <c r="AG151" s="269">
        <f t="shared" si="4"/>
        <v>0</v>
      </c>
      <c r="AH151" s="271" t="e">
        <f t="shared" si="5"/>
        <v>#N/A</v>
      </c>
      <c r="AI151" s="272" t="e">
        <f>IF(AH151&lt;=1,"Remota",VLOOKUP(AH151,[71]Listas!$C$6:$D$10,2,0))</f>
        <v>#N/A</v>
      </c>
      <c r="AJ151" s="271" t="e">
        <f t="shared" si="6"/>
        <v>#N/A</v>
      </c>
      <c r="AK151" s="272" t="e">
        <f>IF(AJ151&lt;=1,"Insignificante",HLOOKUP(AJ151,[71]Listas!$F$3:$J$4,2,0))</f>
        <v>#N/A</v>
      </c>
      <c r="AL151" s="273" t="e">
        <f t="shared" si="7"/>
        <v>#N/A</v>
      </c>
      <c r="AM151" s="270" t="e">
        <f>INDEX([71]Listas!$F$6:$J$10,MATCH(AI151,[71]Listas!$D$6:$D$10,0),MATCH(AK151,[71]Listas!$F$4:$J$4,0))</f>
        <v>#N/A</v>
      </c>
      <c r="AN151" s="259"/>
      <c r="AO151" s="259"/>
      <c r="AP151" s="1020"/>
      <c r="AQ151" s="259"/>
      <c r="AR151" s="1017" t="s">
        <v>2343</v>
      </c>
      <c r="AS151" s="1016"/>
      <c r="AT151" s="259"/>
      <c r="AU151" s="259"/>
      <c r="AV151" s="261"/>
      <c r="AW151" s="261"/>
      <c r="AX151" s="1016"/>
      <c r="AY151" s="262"/>
    </row>
    <row r="152" spans="1:1027" ht="5.25" customHeight="1">
      <c r="A152" s="275"/>
      <c r="B152" s="276"/>
      <c r="C152" s="276"/>
      <c r="D152" s="276"/>
      <c r="E152" s="275"/>
      <c r="F152" s="275"/>
      <c r="G152" s="277"/>
      <c r="H152" s="277"/>
      <c r="I152" s="277"/>
      <c r="J152" s="275"/>
      <c r="K152" s="275"/>
      <c r="L152" s="278"/>
      <c r="M152" s="278"/>
      <c r="N152" s="278"/>
      <c r="O152" s="278"/>
      <c r="P152" s="278"/>
      <c r="Q152" s="278"/>
      <c r="R152" s="278"/>
      <c r="S152" s="278"/>
      <c r="T152" s="278"/>
      <c r="U152" s="278"/>
      <c r="V152" s="275"/>
      <c r="W152" s="275"/>
      <c r="X152" s="277"/>
      <c r="Y152" s="277"/>
      <c r="Z152" s="277"/>
      <c r="AA152" s="275"/>
      <c r="AB152" s="277"/>
      <c r="AC152" s="277"/>
      <c r="AD152" s="275"/>
      <c r="AE152" s="275"/>
      <c r="AF152" s="275"/>
      <c r="AG152" s="275"/>
      <c r="AH152" s="275"/>
      <c r="AI152" s="275"/>
      <c r="AJ152" s="275"/>
      <c r="AK152" s="275"/>
      <c r="AL152" s="275"/>
      <c r="AM152" s="279"/>
      <c r="AN152" s="262"/>
      <c r="AO152" s="262"/>
      <c r="AP152" s="260"/>
      <c r="AQ152" s="262"/>
      <c r="AR152" s="596"/>
      <c r="AS152" s="1060"/>
      <c r="AT152" s="262"/>
      <c r="AU152" s="260"/>
      <c r="AV152" s="262"/>
      <c r="AW152" s="262"/>
      <c r="AX152" s="260"/>
      <c r="AY152" s="262"/>
      <c r="AZ152" s="236"/>
      <c r="BA152" s="236"/>
      <c r="BB152" s="236"/>
      <c r="BC152" s="236"/>
      <c r="BD152" s="236"/>
      <c r="BE152" s="236"/>
      <c r="BF152" s="236"/>
      <c r="BG152" s="236"/>
      <c r="BH152" s="236"/>
      <c r="BI152" s="236"/>
      <c r="BJ152" s="236"/>
      <c r="BK152" s="236"/>
      <c r="BL152" s="236"/>
      <c r="BM152" s="236"/>
      <c r="BN152" s="236"/>
      <c r="BO152" s="236"/>
      <c r="BP152" s="236"/>
      <c r="BQ152" s="236"/>
      <c r="BR152" s="236"/>
      <c r="BS152" s="236"/>
      <c r="BT152" s="236"/>
      <c r="BU152" s="236"/>
      <c r="BV152" s="236"/>
      <c r="BW152" s="236"/>
      <c r="BX152" s="236"/>
      <c r="BY152" s="236"/>
      <c r="BZ152" s="236"/>
      <c r="CA152" s="236"/>
      <c r="CB152" s="236"/>
      <c r="CC152" s="236"/>
      <c r="CD152" s="236"/>
      <c r="CE152" s="236"/>
      <c r="CF152" s="236"/>
      <c r="CG152" s="236"/>
      <c r="CH152" s="236"/>
      <c r="CI152" s="236"/>
      <c r="CJ152" s="236"/>
      <c r="CK152" s="236"/>
      <c r="CL152" s="236"/>
      <c r="CM152" s="236"/>
      <c r="CN152" s="236"/>
      <c r="CO152" s="236"/>
      <c r="CP152" s="236"/>
      <c r="CQ152" s="236"/>
      <c r="CR152" s="236"/>
      <c r="CS152" s="236"/>
      <c r="CT152" s="236"/>
      <c r="CU152" s="236"/>
      <c r="CV152" s="236"/>
      <c r="CW152" s="236"/>
      <c r="CX152" s="236"/>
      <c r="CY152" s="236"/>
      <c r="CZ152" s="236"/>
      <c r="DA152" s="236"/>
      <c r="DB152" s="236"/>
      <c r="DC152" s="236"/>
      <c r="DD152" s="236"/>
      <c r="DE152" s="236"/>
      <c r="DF152" s="236"/>
      <c r="DG152" s="236"/>
      <c r="DH152" s="236"/>
      <c r="DI152" s="236"/>
      <c r="DJ152" s="236"/>
      <c r="DK152" s="236"/>
      <c r="DL152" s="236"/>
      <c r="DM152" s="236"/>
      <c r="DN152" s="236"/>
      <c r="DO152" s="236"/>
      <c r="DP152" s="236"/>
      <c r="DQ152" s="236"/>
      <c r="DR152" s="236"/>
      <c r="DS152" s="236"/>
      <c r="DT152" s="236"/>
      <c r="DU152" s="236"/>
      <c r="DV152" s="236"/>
      <c r="DW152" s="236"/>
      <c r="DX152" s="236"/>
      <c r="DY152" s="236"/>
      <c r="DZ152" s="236"/>
      <c r="EA152" s="236"/>
      <c r="EB152" s="236"/>
      <c r="EC152" s="236"/>
      <c r="ED152" s="236"/>
      <c r="EE152" s="236"/>
      <c r="EF152" s="236"/>
      <c r="EG152" s="236"/>
      <c r="EH152" s="236"/>
      <c r="EI152" s="236"/>
      <c r="EJ152" s="236"/>
      <c r="EK152" s="236"/>
      <c r="EL152" s="236"/>
      <c r="EM152" s="236"/>
      <c r="EN152" s="236"/>
      <c r="EO152" s="236"/>
      <c r="EP152" s="236"/>
      <c r="EQ152" s="236"/>
      <c r="ER152" s="236"/>
      <c r="ES152" s="236"/>
      <c r="ET152" s="236"/>
      <c r="EU152" s="236"/>
      <c r="EV152" s="236"/>
      <c r="EW152" s="236"/>
      <c r="EX152" s="236"/>
      <c r="EY152" s="236"/>
      <c r="EZ152" s="236"/>
      <c r="FA152" s="236"/>
      <c r="FB152" s="236"/>
      <c r="FC152" s="236"/>
      <c r="FD152" s="236"/>
      <c r="FE152" s="236"/>
      <c r="FF152" s="236"/>
      <c r="FG152" s="236"/>
      <c r="FH152" s="236"/>
      <c r="FI152" s="236"/>
      <c r="FJ152" s="236"/>
      <c r="FK152" s="236"/>
      <c r="FL152" s="236"/>
      <c r="FM152" s="236"/>
      <c r="FN152" s="236"/>
      <c r="FO152" s="236"/>
      <c r="FP152" s="236"/>
      <c r="FQ152" s="236"/>
      <c r="FR152" s="236"/>
      <c r="FS152" s="236"/>
      <c r="FT152" s="236"/>
      <c r="FU152" s="236"/>
      <c r="FV152" s="236"/>
      <c r="FW152" s="236"/>
      <c r="FX152" s="236"/>
      <c r="FY152" s="236"/>
      <c r="FZ152" s="236"/>
      <c r="GA152" s="236"/>
      <c r="GB152" s="236"/>
      <c r="GC152" s="236"/>
      <c r="GD152" s="236"/>
      <c r="GE152" s="236"/>
      <c r="GF152" s="236"/>
      <c r="GG152" s="236"/>
      <c r="GH152" s="236"/>
      <c r="GI152" s="236"/>
      <c r="GJ152" s="236"/>
      <c r="GK152" s="236"/>
      <c r="GL152" s="236"/>
      <c r="GM152" s="236"/>
      <c r="GN152" s="236"/>
      <c r="GO152" s="236"/>
      <c r="GP152" s="236"/>
      <c r="GQ152" s="236"/>
      <c r="GR152" s="236"/>
      <c r="GS152" s="236"/>
      <c r="GT152" s="236"/>
      <c r="GU152" s="236"/>
      <c r="GV152" s="236"/>
      <c r="GW152" s="236"/>
      <c r="GX152" s="236"/>
      <c r="GY152" s="236"/>
      <c r="GZ152" s="236"/>
      <c r="HA152" s="236"/>
      <c r="HB152" s="236"/>
      <c r="HC152" s="236"/>
      <c r="HD152" s="236"/>
      <c r="HE152" s="236"/>
      <c r="HF152" s="236"/>
      <c r="HG152" s="236"/>
      <c r="HH152" s="236"/>
      <c r="HI152" s="236"/>
      <c r="HJ152" s="236"/>
      <c r="HK152" s="236"/>
      <c r="HL152" s="236"/>
      <c r="HM152" s="236"/>
      <c r="HN152" s="236"/>
      <c r="HO152" s="236"/>
      <c r="HP152" s="236"/>
      <c r="HQ152" s="236"/>
      <c r="HR152" s="236"/>
      <c r="HS152" s="236"/>
      <c r="HT152" s="236"/>
      <c r="HU152" s="236"/>
      <c r="HV152" s="236"/>
      <c r="HW152" s="236"/>
      <c r="HX152" s="236"/>
      <c r="HY152" s="236"/>
      <c r="HZ152" s="236"/>
      <c r="IA152" s="236"/>
      <c r="IB152" s="236"/>
      <c r="IC152" s="236"/>
      <c r="ID152" s="236"/>
      <c r="IE152" s="236"/>
      <c r="IF152" s="236"/>
      <c r="IG152" s="236"/>
      <c r="IH152" s="236"/>
      <c r="II152" s="236"/>
      <c r="IJ152" s="236"/>
      <c r="IK152" s="236"/>
      <c r="IL152" s="236"/>
      <c r="IM152" s="236"/>
      <c r="IN152" s="236"/>
      <c r="IO152" s="236"/>
      <c r="IP152" s="236"/>
      <c r="IQ152" s="236"/>
      <c r="IR152" s="236"/>
      <c r="IS152" s="236"/>
      <c r="IT152" s="236"/>
      <c r="IU152" s="236"/>
      <c r="IV152" s="236"/>
      <c r="IW152" s="236"/>
      <c r="IX152" s="236"/>
      <c r="IY152" s="236"/>
      <c r="IZ152" s="236"/>
      <c r="JA152" s="236"/>
      <c r="JB152" s="236"/>
      <c r="JC152" s="236"/>
      <c r="JD152" s="236"/>
      <c r="JE152" s="236"/>
      <c r="JF152" s="236"/>
      <c r="JG152" s="236"/>
      <c r="JH152" s="236"/>
      <c r="JI152" s="236"/>
      <c r="JJ152" s="236"/>
      <c r="JK152" s="236"/>
      <c r="JL152" s="236"/>
      <c r="JM152" s="236"/>
      <c r="JN152" s="236"/>
      <c r="JO152" s="236"/>
      <c r="JP152" s="236"/>
      <c r="JQ152" s="236"/>
      <c r="JR152" s="236"/>
      <c r="JS152" s="236"/>
      <c r="JT152" s="236"/>
      <c r="JU152" s="236"/>
      <c r="JV152" s="236"/>
      <c r="JW152" s="236"/>
      <c r="JX152" s="236"/>
      <c r="JY152" s="236"/>
      <c r="JZ152" s="236"/>
      <c r="KA152" s="236"/>
      <c r="KB152" s="236"/>
      <c r="KC152" s="236"/>
      <c r="KD152" s="236"/>
      <c r="KE152" s="236"/>
      <c r="KF152" s="236"/>
      <c r="KG152" s="236"/>
      <c r="KH152" s="236"/>
      <c r="KI152" s="236"/>
      <c r="KJ152" s="236"/>
      <c r="KK152" s="236"/>
      <c r="KL152" s="236"/>
      <c r="KM152" s="236"/>
      <c r="KN152" s="236"/>
      <c r="KO152" s="236"/>
      <c r="KP152" s="236"/>
      <c r="KQ152" s="236"/>
      <c r="KR152" s="236"/>
      <c r="KS152" s="236"/>
      <c r="KT152" s="236"/>
      <c r="KU152" s="236"/>
      <c r="KV152" s="236"/>
      <c r="KW152" s="236"/>
      <c r="KX152" s="236"/>
      <c r="KY152" s="236"/>
      <c r="KZ152" s="236"/>
      <c r="LA152" s="236"/>
      <c r="LB152" s="236"/>
      <c r="LC152" s="236"/>
      <c r="LD152" s="236"/>
      <c r="LE152" s="236"/>
      <c r="LF152" s="236"/>
      <c r="LG152" s="236"/>
      <c r="LH152" s="236"/>
      <c r="LI152" s="236"/>
      <c r="LJ152" s="236"/>
      <c r="LK152" s="236"/>
      <c r="LL152" s="236"/>
      <c r="LM152" s="236"/>
      <c r="LN152" s="236"/>
      <c r="LO152" s="236"/>
      <c r="LP152" s="236"/>
      <c r="LQ152" s="236"/>
      <c r="LR152" s="236"/>
      <c r="LS152" s="236"/>
      <c r="LT152" s="236"/>
      <c r="LU152" s="236"/>
      <c r="LV152" s="236"/>
      <c r="LW152" s="236"/>
      <c r="LX152" s="236"/>
      <c r="LY152" s="236"/>
      <c r="LZ152" s="236"/>
      <c r="MA152" s="236"/>
      <c r="MB152" s="236"/>
      <c r="MC152" s="236"/>
      <c r="MD152" s="236"/>
      <c r="ME152" s="236"/>
      <c r="MF152" s="236"/>
      <c r="MG152" s="236"/>
      <c r="MH152" s="236"/>
      <c r="MI152" s="236"/>
      <c r="MJ152" s="236"/>
      <c r="MK152" s="236"/>
      <c r="ML152" s="236"/>
      <c r="MM152" s="236"/>
      <c r="MN152" s="236"/>
      <c r="MO152" s="236"/>
      <c r="MP152" s="236"/>
      <c r="MQ152" s="236"/>
      <c r="MR152" s="236"/>
      <c r="MS152" s="236"/>
      <c r="MT152" s="236"/>
      <c r="MU152" s="236"/>
      <c r="MV152" s="236"/>
      <c r="MW152" s="236"/>
      <c r="MX152" s="236"/>
      <c r="MY152" s="236"/>
      <c r="MZ152" s="236"/>
      <c r="NA152" s="236"/>
      <c r="NB152" s="236"/>
      <c r="NC152" s="236"/>
      <c r="ND152" s="236"/>
      <c r="NE152" s="236"/>
      <c r="NF152" s="236"/>
      <c r="NG152" s="236"/>
      <c r="NH152" s="236"/>
      <c r="NI152" s="236"/>
      <c r="NJ152" s="236"/>
      <c r="NK152" s="236"/>
      <c r="NL152" s="236"/>
      <c r="NM152" s="236"/>
      <c r="NN152" s="236"/>
      <c r="NO152" s="236"/>
      <c r="NP152" s="236"/>
      <c r="NQ152" s="236"/>
      <c r="NR152" s="236"/>
      <c r="NS152" s="236"/>
      <c r="NT152" s="236"/>
      <c r="NU152" s="236"/>
      <c r="NV152" s="236"/>
      <c r="NW152" s="236"/>
      <c r="NX152" s="236"/>
      <c r="NY152" s="236"/>
      <c r="NZ152" s="236"/>
      <c r="OA152" s="236"/>
      <c r="OB152" s="236"/>
      <c r="OC152" s="236"/>
      <c r="OD152" s="236"/>
      <c r="OE152" s="236"/>
      <c r="OF152" s="236"/>
      <c r="OG152" s="236"/>
      <c r="OH152" s="236"/>
      <c r="OI152" s="236"/>
      <c r="OJ152" s="236"/>
      <c r="OK152" s="236"/>
      <c r="OL152" s="236"/>
      <c r="OM152" s="236"/>
      <c r="ON152" s="236"/>
      <c r="OO152" s="236"/>
      <c r="OP152" s="236"/>
      <c r="OQ152" s="236"/>
      <c r="OR152" s="236"/>
      <c r="OS152" s="236"/>
      <c r="OT152" s="236"/>
      <c r="OU152" s="236"/>
      <c r="OV152" s="236"/>
      <c r="OW152" s="236"/>
      <c r="OX152" s="236"/>
      <c r="OY152" s="236"/>
      <c r="OZ152" s="236"/>
      <c r="PA152" s="236"/>
      <c r="PB152" s="236"/>
      <c r="PC152" s="236"/>
      <c r="PD152" s="236"/>
      <c r="PE152" s="236"/>
      <c r="PF152" s="236"/>
      <c r="PG152" s="236"/>
      <c r="PH152" s="236"/>
      <c r="PI152" s="236"/>
      <c r="PJ152" s="236"/>
      <c r="PK152" s="236"/>
      <c r="PL152" s="236"/>
      <c r="PM152" s="236"/>
      <c r="PN152" s="236"/>
      <c r="PO152" s="236"/>
      <c r="PP152" s="236"/>
      <c r="PQ152" s="236"/>
      <c r="PR152" s="236"/>
      <c r="PS152" s="236"/>
      <c r="PT152" s="236"/>
      <c r="PU152" s="236"/>
      <c r="PV152" s="236"/>
      <c r="PW152" s="236"/>
      <c r="PX152" s="236"/>
      <c r="PY152" s="236"/>
      <c r="PZ152" s="236"/>
      <c r="QA152" s="236"/>
      <c r="QB152" s="236"/>
      <c r="QC152" s="236"/>
      <c r="QD152" s="236"/>
      <c r="QE152" s="236"/>
      <c r="QF152" s="236"/>
      <c r="QG152" s="236"/>
      <c r="QH152" s="236"/>
      <c r="QI152" s="236"/>
      <c r="QJ152" s="236"/>
      <c r="QK152" s="236"/>
      <c r="QL152" s="236"/>
      <c r="QM152" s="236"/>
      <c r="QN152" s="236"/>
      <c r="QO152" s="236"/>
      <c r="QP152" s="236"/>
      <c r="QQ152" s="236"/>
      <c r="QR152" s="236"/>
      <c r="QS152" s="236"/>
      <c r="QT152" s="236"/>
      <c r="QU152" s="236"/>
      <c r="QV152" s="236"/>
      <c r="QW152" s="236"/>
      <c r="QX152" s="236"/>
      <c r="QY152" s="236"/>
      <c r="QZ152" s="236"/>
      <c r="RA152" s="236"/>
      <c r="RB152" s="236"/>
      <c r="RC152" s="236"/>
      <c r="RD152" s="236"/>
      <c r="RE152" s="236"/>
      <c r="RF152" s="236"/>
      <c r="RG152" s="236"/>
      <c r="RH152" s="236"/>
      <c r="RI152" s="236"/>
      <c r="RJ152" s="236"/>
      <c r="RK152" s="236"/>
      <c r="RL152" s="236"/>
      <c r="RM152" s="236"/>
      <c r="RN152" s="236"/>
      <c r="RO152" s="236"/>
      <c r="RP152" s="236"/>
      <c r="RQ152" s="236"/>
      <c r="RR152" s="236"/>
      <c r="RS152" s="236"/>
      <c r="RT152" s="236"/>
      <c r="RU152" s="236"/>
      <c r="RV152" s="236"/>
      <c r="RW152" s="236"/>
      <c r="RX152" s="236"/>
      <c r="RY152" s="236"/>
      <c r="RZ152" s="236"/>
      <c r="SA152" s="236"/>
      <c r="SB152" s="236"/>
      <c r="SC152" s="236"/>
      <c r="SD152" s="236"/>
      <c r="SE152" s="236"/>
      <c r="SF152" s="236"/>
      <c r="SG152" s="236"/>
      <c r="SH152" s="236"/>
      <c r="SI152" s="236"/>
      <c r="SJ152" s="236"/>
      <c r="SK152" s="236"/>
      <c r="SL152" s="236"/>
      <c r="SM152" s="236"/>
      <c r="SN152" s="236"/>
      <c r="SO152" s="236"/>
      <c r="SP152" s="236"/>
      <c r="SQ152" s="236"/>
      <c r="SR152" s="236"/>
      <c r="SS152" s="236"/>
      <c r="ST152" s="236"/>
      <c r="SU152" s="236"/>
      <c r="SV152" s="236"/>
      <c r="SW152" s="236"/>
      <c r="SX152" s="236"/>
      <c r="SY152" s="236"/>
      <c r="SZ152" s="236"/>
      <c r="TA152" s="236"/>
      <c r="TB152" s="236"/>
      <c r="TC152" s="236"/>
      <c r="TD152" s="236"/>
      <c r="TE152" s="236"/>
      <c r="TF152" s="236"/>
      <c r="TG152" s="236"/>
      <c r="TH152" s="236"/>
      <c r="TI152" s="236"/>
      <c r="TJ152" s="236"/>
      <c r="TK152" s="236"/>
      <c r="TL152" s="236"/>
      <c r="TM152" s="236"/>
      <c r="TN152" s="236"/>
      <c r="TO152" s="236"/>
      <c r="TP152" s="236"/>
      <c r="TQ152" s="236"/>
      <c r="TR152" s="236"/>
      <c r="TS152" s="236"/>
      <c r="TT152" s="236"/>
      <c r="TU152" s="236"/>
      <c r="TV152" s="236"/>
      <c r="TW152" s="236"/>
      <c r="TX152" s="236"/>
      <c r="TY152" s="236"/>
      <c r="TZ152" s="236"/>
      <c r="UA152" s="236"/>
      <c r="UB152" s="236"/>
      <c r="UC152" s="236"/>
      <c r="UD152" s="236"/>
      <c r="UE152" s="236"/>
      <c r="UF152" s="236"/>
      <c r="UG152" s="236"/>
      <c r="UH152" s="236"/>
      <c r="UI152" s="236"/>
      <c r="UJ152" s="236"/>
      <c r="UK152" s="236"/>
      <c r="UL152" s="236"/>
      <c r="UM152" s="236"/>
      <c r="UN152" s="236"/>
      <c r="UO152" s="236"/>
      <c r="UP152" s="236"/>
      <c r="UQ152" s="236"/>
      <c r="UR152" s="236"/>
      <c r="US152" s="236"/>
      <c r="UT152" s="236"/>
      <c r="UU152" s="236"/>
      <c r="UV152" s="236"/>
      <c r="UW152" s="236"/>
      <c r="UX152" s="236"/>
      <c r="UY152" s="236"/>
      <c r="UZ152" s="236"/>
      <c r="VA152" s="236"/>
      <c r="VB152" s="236"/>
      <c r="VC152" s="236"/>
      <c r="VD152" s="236"/>
      <c r="VE152" s="236"/>
      <c r="VF152" s="236"/>
      <c r="VG152" s="236"/>
      <c r="VH152" s="236"/>
      <c r="VI152" s="236"/>
      <c r="VJ152" s="236"/>
      <c r="VK152" s="236"/>
      <c r="VL152" s="236"/>
      <c r="VM152" s="236"/>
      <c r="VN152" s="236"/>
      <c r="VO152" s="236"/>
      <c r="VP152" s="236"/>
      <c r="VQ152" s="236"/>
      <c r="VR152" s="236"/>
      <c r="VS152" s="236"/>
      <c r="VT152" s="236"/>
      <c r="VU152" s="236"/>
      <c r="VV152" s="236"/>
      <c r="VW152" s="236"/>
      <c r="VX152" s="236"/>
      <c r="VY152" s="236"/>
      <c r="VZ152" s="236"/>
      <c r="WA152" s="236"/>
      <c r="WB152" s="236"/>
      <c r="WC152" s="236"/>
      <c r="WD152" s="236"/>
      <c r="WE152" s="236"/>
      <c r="WF152" s="236"/>
      <c r="WG152" s="236"/>
      <c r="WH152" s="236"/>
      <c r="WI152" s="236"/>
      <c r="WJ152" s="236"/>
      <c r="WK152" s="236"/>
      <c r="WL152" s="236"/>
      <c r="WM152" s="236"/>
      <c r="WN152" s="236"/>
      <c r="WO152" s="236"/>
      <c r="WP152" s="236"/>
      <c r="WQ152" s="236"/>
      <c r="WR152" s="236"/>
      <c r="WS152" s="236"/>
      <c r="WT152" s="236"/>
      <c r="WU152" s="236"/>
      <c r="WV152" s="236"/>
      <c r="WW152" s="236"/>
      <c r="WX152" s="236"/>
      <c r="WY152" s="236"/>
      <c r="WZ152" s="236"/>
      <c r="XA152" s="236"/>
      <c r="XB152" s="236"/>
      <c r="XC152" s="236"/>
      <c r="XD152" s="236"/>
      <c r="XE152" s="236"/>
      <c r="XF152" s="236"/>
      <c r="XG152" s="236"/>
      <c r="XH152" s="236"/>
      <c r="XI152" s="236"/>
      <c r="XJ152" s="236"/>
      <c r="XK152" s="236"/>
      <c r="XL152" s="236"/>
      <c r="XM152" s="236"/>
      <c r="XN152" s="236"/>
      <c r="XO152" s="236"/>
      <c r="XP152" s="236"/>
      <c r="XQ152" s="236"/>
      <c r="XR152" s="236"/>
      <c r="XS152" s="236"/>
      <c r="XT152" s="236"/>
      <c r="XU152" s="236"/>
      <c r="XV152" s="236"/>
      <c r="XW152" s="236"/>
      <c r="XX152" s="236"/>
      <c r="XY152" s="236"/>
      <c r="XZ152" s="236"/>
      <c r="YA152" s="236"/>
      <c r="YB152" s="236"/>
      <c r="YC152" s="236"/>
      <c r="YD152" s="236"/>
      <c r="YE152" s="236"/>
      <c r="YF152" s="236"/>
      <c r="YG152" s="236"/>
      <c r="YH152" s="236"/>
      <c r="YI152" s="236"/>
      <c r="YJ152" s="236"/>
      <c r="YK152" s="236"/>
      <c r="YL152" s="236"/>
      <c r="YM152" s="236"/>
      <c r="YN152" s="236"/>
      <c r="YO152" s="236"/>
      <c r="YP152" s="236"/>
      <c r="YQ152" s="236"/>
      <c r="YR152" s="236"/>
      <c r="YS152" s="236"/>
      <c r="YT152" s="236"/>
      <c r="YU152" s="236"/>
      <c r="YV152" s="236"/>
      <c r="YW152" s="236"/>
      <c r="YX152" s="236"/>
      <c r="YY152" s="236"/>
      <c r="YZ152" s="236"/>
      <c r="ZA152" s="236"/>
      <c r="ZB152" s="236"/>
      <c r="ZC152" s="236"/>
      <c r="ZD152" s="236"/>
      <c r="ZE152" s="236"/>
      <c r="ZF152" s="236"/>
      <c r="ZG152" s="236"/>
      <c r="ZH152" s="236"/>
      <c r="ZI152" s="236"/>
      <c r="ZJ152" s="236"/>
      <c r="ZK152" s="236"/>
      <c r="ZL152" s="236"/>
      <c r="ZM152" s="236"/>
      <c r="ZN152" s="236"/>
      <c r="ZO152" s="236"/>
      <c r="ZP152" s="236"/>
      <c r="ZQ152" s="236"/>
      <c r="ZR152" s="236"/>
      <c r="ZS152" s="236"/>
      <c r="ZT152" s="236"/>
      <c r="ZU152" s="236"/>
      <c r="ZV152" s="236"/>
      <c r="ZW152" s="236"/>
      <c r="ZX152" s="236"/>
      <c r="ZY152" s="236"/>
      <c r="ZZ152" s="236"/>
      <c r="AAA152" s="236"/>
      <c r="AAB152" s="236"/>
      <c r="AAC152" s="236"/>
      <c r="AAD152" s="236"/>
      <c r="AAE152" s="236"/>
      <c r="AAF152" s="236"/>
      <c r="AAG152" s="236"/>
      <c r="AAH152" s="236"/>
      <c r="AAI152" s="236"/>
      <c r="AAJ152" s="236"/>
      <c r="AAK152" s="236"/>
      <c r="AAL152" s="236"/>
      <c r="AAM152" s="236"/>
      <c r="AAN152" s="236"/>
      <c r="AAO152" s="236"/>
      <c r="AAP152" s="236"/>
      <c r="AAQ152" s="236"/>
      <c r="AAR152" s="236"/>
      <c r="AAS152" s="236"/>
      <c r="AAT152" s="236"/>
      <c r="AAU152" s="236"/>
      <c r="AAV152" s="236"/>
      <c r="AAW152" s="236"/>
      <c r="AAX152" s="236"/>
      <c r="AAY152" s="236"/>
      <c r="AAZ152" s="236"/>
      <c r="ABA152" s="236"/>
      <c r="ABB152" s="236"/>
      <c r="ABC152" s="236"/>
      <c r="ABD152" s="236"/>
      <c r="ABE152" s="236"/>
      <c r="ABF152" s="236"/>
      <c r="ABG152" s="236"/>
      <c r="ABH152" s="236"/>
      <c r="ABI152" s="236"/>
      <c r="ABJ152" s="236"/>
      <c r="ABK152" s="236"/>
      <c r="ABL152" s="236"/>
      <c r="ABM152" s="236"/>
      <c r="ABN152" s="236"/>
      <c r="ABO152" s="236"/>
      <c r="ABP152" s="236"/>
      <c r="ABQ152" s="236"/>
      <c r="ABR152" s="236"/>
      <c r="ABS152" s="236"/>
      <c r="ABT152" s="236"/>
      <c r="ABU152" s="236"/>
      <c r="ABV152" s="236"/>
      <c r="ABW152" s="236"/>
      <c r="ABX152" s="236"/>
      <c r="ABY152" s="236"/>
      <c r="ABZ152" s="236"/>
      <c r="ACA152" s="236"/>
      <c r="ACB152" s="236"/>
      <c r="ACC152" s="236"/>
      <c r="ACD152" s="236"/>
      <c r="ACE152" s="236"/>
      <c r="ACF152" s="236"/>
      <c r="ACG152" s="236"/>
      <c r="ACH152" s="236"/>
      <c r="ACI152" s="236"/>
      <c r="ACJ152" s="236"/>
      <c r="ACK152" s="236"/>
      <c r="ACL152" s="236"/>
      <c r="ACM152" s="236"/>
      <c r="ACN152" s="236"/>
      <c r="ACO152" s="236"/>
      <c r="ACP152" s="236"/>
      <c r="ACQ152" s="236"/>
      <c r="ACR152" s="236"/>
      <c r="ACS152" s="236"/>
      <c r="ACT152" s="236"/>
      <c r="ACU152" s="236"/>
      <c r="ACV152" s="236"/>
      <c r="ACW152" s="236"/>
      <c r="ACX152" s="236"/>
      <c r="ACY152" s="236"/>
      <c r="ACZ152" s="236"/>
      <c r="ADA152" s="236"/>
      <c r="ADB152" s="236"/>
      <c r="ADC152" s="236"/>
      <c r="ADD152" s="236"/>
      <c r="ADE152" s="236"/>
      <c r="ADF152" s="236"/>
      <c r="ADG152" s="236"/>
      <c r="ADH152" s="236"/>
      <c r="ADI152" s="236"/>
      <c r="ADJ152" s="236"/>
      <c r="ADK152" s="236"/>
      <c r="ADL152" s="236"/>
      <c r="ADM152" s="236"/>
      <c r="ADN152" s="236"/>
      <c r="ADO152" s="236"/>
      <c r="ADP152" s="236"/>
      <c r="ADQ152" s="236"/>
      <c r="ADR152" s="236"/>
      <c r="ADS152" s="236"/>
      <c r="ADT152" s="236"/>
      <c r="ADU152" s="236"/>
      <c r="ADV152" s="236"/>
      <c r="ADW152" s="236"/>
      <c r="ADX152" s="236"/>
      <c r="ADY152" s="236"/>
      <c r="ADZ152" s="236"/>
      <c r="AEA152" s="236"/>
      <c r="AEB152" s="236"/>
      <c r="AEC152" s="236"/>
      <c r="AED152" s="236"/>
      <c r="AEE152" s="236"/>
      <c r="AEF152" s="236"/>
      <c r="AEG152" s="236"/>
      <c r="AEH152" s="236"/>
      <c r="AEI152" s="236"/>
      <c r="AEJ152" s="236"/>
      <c r="AEK152" s="236"/>
      <c r="AEL152" s="236"/>
      <c r="AEM152" s="236"/>
      <c r="AEN152" s="236"/>
      <c r="AEO152" s="236"/>
      <c r="AEP152" s="236"/>
      <c r="AEQ152" s="236"/>
      <c r="AER152" s="236"/>
      <c r="AES152" s="236"/>
      <c r="AET152" s="236"/>
      <c r="AEU152" s="236"/>
      <c r="AEV152" s="236"/>
      <c r="AEW152" s="236"/>
      <c r="AEX152" s="236"/>
      <c r="AEY152" s="236"/>
      <c r="AEZ152" s="236"/>
      <c r="AFA152" s="236"/>
      <c r="AFB152" s="236"/>
      <c r="AFC152" s="236"/>
      <c r="AFD152" s="236"/>
      <c r="AFE152" s="236"/>
      <c r="AFF152" s="236"/>
      <c r="AFG152" s="236"/>
      <c r="AFH152" s="236"/>
      <c r="AFI152" s="236"/>
      <c r="AFJ152" s="236"/>
      <c r="AFK152" s="236"/>
      <c r="AFL152" s="236"/>
      <c r="AFM152" s="236"/>
      <c r="AFN152" s="236"/>
      <c r="AFO152" s="236"/>
      <c r="AFP152" s="236"/>
      <c r="AFQ152" s="236"/>
      <c r="AFR152" s="236"/>
      <c r="AFS152" s="236"/>
      <c r="AFT152" s="236"/>
      <c r="AFU152" s="236"/>
      <c r="AFV152" s="236"/>
      <c r="AFW152" s="236"/>
      <c r="AFX152" s="236"/>
      <c r="AFY152" s="236"/>
      <c r="AFZ152" s="236"/>
      <c r="AGA152" s="236"/>
      <c r="AGB152" s="236"/>
      <c r="AGC152" s="236"/>
      <c r="AGD152" s="236"/>
      <c r="AGE152" s="236"/>
      <c r="AGF152" s="236"/>
      <c r="AGG152" s="236"/>
      <c r="AGH152" s="236"/>
      <c r="AGI152" s="236"/>
      <c r="AGJ152" s="236"/>
      <c r="AGK152" s="236"/>
      <c r="AGL152" s="236"/>
      <c r="AGM152" s="236"/>
      <c r="AGN152" s="236"/>
      <c r="AGO152" s="236"/>
      <c r="AGP152" s="236"/>
      <c r="AGQ152" s="236"/>
      <c r="AGR152" s="236"/>
      <c r="AGS152" s="236"/>
      <c r="AGT152" s="236"/>
      <c r="AGU152" s="236"/>
      <c r="AGV152" s="236"/>
      <c r="AGW152" s="236"/>
      <c r="AGX152" s="236"/>
      <c r="AGY152" s="236"/>
      <c r="AGZ152" s="236"/>
      <c r="AHA152" s="236"/>
      <c r="AHB152" s="236"/>
      <c r="AHC152" s="236"/>
      <c r="AHD152" s="236"/>
      <c r="AHE152" s="236"/>
      <c r="AHF152" s="236"/>
      <c r="AHG152" s="236"/>
      <c r="AHH152" s="236"/>
      <c r="AHI152" s="236"/>
      <c r="AHJ152" s="236"/>
      <c r="AHK152" s="236"/>
      <c r="AHL152" s="236"/>
      <c r="AHM152" s="236"/>
      <c r="AHN152" s="236"/>
      <c r="AHO152" s="236"/>
      <c r="AHP152" s="236"/>
      <c r="AHQ152" s="236"/>
      <c r="AHR152" s="236"/>
      <c r="AHS152" s="236"/>
      <c r="AHT152" s="236"/>
      <c r="AHU152" s="236"/>
      <c r="AHV152" s="236"/>
      <c r="AHW152" s="236"/>
      <c r="AHX152" s="236"/>
      <c r="AHY152" s="236"/>
      <c r="AHZ152" s="236"/>
      <c r="AIA152" s="236"/>
      <c r="AIB152" s="236"/>
      <c r="AIC152" s="236"/>
      <c r="AID152" s="236"/>
      <c r="AIE152" s="236"/>
      <c r="AIF152" s="236"/>
      <c r="AIG152" s="236"/>
      <c r="AIH152" s="236"/>
      <c r="AII152" s="236"/>
      <c r="AIJ152" s="236"/>
      <c r="AIK152" s="236"/>
      <c r="AIL152" s="236"/>
      <c r="AIM152" s="236"/>
      <c r="AIN152" s="236"/>
      <c r="AIO152" s="236"/>
      <c r="AIP152" s="236"/>
      <c r="AIQ152" s="236"/>
      <c r="AIR152" s="236"/>
      <c r="AIS152" s="236"/>
      <c r="AIT152" s="236"/>
      <c r="AIU152" s="236"/>
      <c r="AIV152" s="236"/>
      <c r="AIW152" s="236"/>
      <c r="AIX152" s="236"/>
      <c r="AIY152" s="236"/>
      <c r="AIZ152" s="236"/>
      <c r="AJA152" s="236"/>
      <c r="AJB152" s="236"/>
      <c r="AJC152" s="236"/>
      <c r="AJD152" s="236"/>
      <c r="AJE152" s="236"/>
      <c r="AJF152" s="236"/>
      <c r="AJG152" s="236"/>
      <c r="AJH152" s="236"/>
      <c r="AJI152" s="236"/>
      <c r="AJJ152" s="236"/>
      <c r="AJK152" s="236"/>
      <c r="AJL152" s="236"/>
      <c r="AJM152" s="236"/>
      <c r="AJN152" s="236"/>
      <c r="AJO152" s="236"/>
      <c r="AJP152" s="236"/>
      <c r="AJQ152" s="236"/>
      <c r="AJR152" s="236"/>
      <c r="AJS152" s="236"/>
      <c r="AJT152" s="236"/>
      <c r="AJU152" s="236"/>
      <c r="AJV152" s="236"/>
      <c r="AJW152" s="236"/>
      <c r="AJX152" s="236"/>
      <c r="AJY152" s="236"/>
      <c r="AJZ152" s="236"/>
      <c r="AKA152" s="236"/>
      <c r="AKB152" s="236"/>
      <c r="AKC152" s="236"/>
      <c r="AKD152" s="236"/>
      <c r="AKE152" s="236"/>
      <c r="AKF152" s="236"/>
      <c r="AKG152" s="236"/>
      <c r="AKH152" s="236"/>
      <c r="AKI152" s="236"/>
      <c r="AKJ152" s="236"/>
      <c r="AKK152" s="236"/>
      <c r="AKL152" s="236"/>
      <c r="AKM152" s="236"/>
      <c r="AKN152" s="236"/>
      <c r="AKO152" s="236"/>
      <c r="AKP152" s="236"/>
      <c r="AKQ152" s="236"/>
      <c r="AKR152" s="236"/>
      <c r="AKS152" s="236"/>
      <c r="AKT152" s="236"/>
      <c r="AKU152" s="236"/>
      <c r="AKV152" s="236"/>
      <c r="AKW152" s="236"/>
      <c r="AKX152" s="236"/>
      <c r="AKY152" s="236"/>
      <c r="AKZ152" s="236"/>
      <c r="ALA152" s="236"/>
      <c r="ALB152" s="236"/>
      <c r="ALC152" s="236"/>
      <c r="ALD152" s="236"/>
      <c r="ALE152" s="236"/>
      <c r="ALF152" s="236"/>
      <c r="ALG152" s="236"/>
      <c r="ALH152" s="236"/>
      <c r="ALI152" s="236"/>
      <c r="ALJ152" s="236"/>
      <c r="ALK152" s="236"/>
      <c r="ALL152" s="236"/>
      <c r="ALM152" s="236"/>
      <c r="ALN152" s="236"/>
      <c r="ALO152" s="236"/>
      <c r="ALP152" s="236"/>
      <c r="ALQ152" s="236"/>
      <c r="ALR152" s="236"/>
      <c r="ALS152" s="236"/>
      <c r="ALT152" s="236"/>
      <c r="ALU152" s="236"/>
      <c r="ALV152" s="236"/>
      <c r="ALW152" s="236"/>
      <c r="ALX152" s="236"/>
      <c r="ALY152" s="236"/>
      <c r="ALZ152" s="236"/>
      <c r="AMA152" s="236"/>
      <c r="AMB152" s="236"/>
      <c r="AMC152" s="236"/>
      <c r="AMD152" s="236"/>
      <c r="AME152" s="236"/>
      <c r="AMF152" s="236"/>
      <c r="AMG152" s="236"/>
      <c r="AMH152" s="236"/>
      <c r="AMI152" s="236"/>
      <c r="AMJ152" s="236"/>
      <c r="AMK152" s="236"/>
      <c r="AML152" s="236"/>
      <c r="AMM152" s="236"/>
    </row>
    <row r="153" spans="1:1027" ht="11.25" customHeight="1">
      <c r="A153" s="1386" t="s">
        <v>649</v>
      </c>
      <c r="B153" s="1387"/>
      <c r="C153" s="1387"/>
      <c r="D153" s="1387"/>
      <c r="E153" s="1387"/>
      <c r="F153" s="1387"/>
      <c r="G153" s="1387"/>
      <c r="H153" s="1387"/>
      <c r="I153" s="1387"/>
      <c r="J153" s="1387"/>
      <c r="K153" s="1387"/>
      <c r="L153" s="1388"/>
      <c r="M153" s="275"/>
      <c r="N153" s="280" t="s">
        <v>650</v>
      </c>
      <c r="O153" s="280"/>
      <c r="P153" s="281"/>
      <c r="Q153" s="281"/>
      <c r="R153" s="281"/>
      <c r="S153" s="281"/>
      <c r="T153" s="281"/>
      <c r="U153" s="281"/>
      <c r="V153" s="281"/>
      <c r="W153" s="281"/>
      <c r="X153" s="282"/>
      <c r="Y153" s="282"/>
      <c r="Z153" s="282"/>
      <c r="AA153" s="281"/>
      <c r="AB153" s="282"/>
      <c r="AC153" s="282"/>
      <c r="AD153" s="281"/>
      <c r="AE153" s="281"/>
      <c r="AF153" s="281"/>
      <c r="AG153" s="281"/>
      <c r="AH153" s="281"/>
      <c r="AI153" s="281"/>
      <c r="AJ153" s="275"/>
      <c r="AK153" s="275"/>
      <c r="AL153" s="275"/>
      <c r="AM153" s="279"/>
      <c r="AN153" s="262"/>
      <c r="AO153" s="262"/>
      <c r="AP153" s="260"/>
      <c r="AQ153" s="262"/>
      <c r="AR153" s="596"/>
      <c r="AS153" s="1060"/>
      <c r="AT153" s="262"/>
      <c r="AU153" s="260"/>
      <c r="AV153" s="262"/>
      <c r="AW153" s="262"/>
      <c r="AX153" s="260"/>
      <c r="AY153" s="236"/>
      <c r="AZ153" s="236"/>
      <c r="BA153" s="236"/>
      <c r="BB153" s="236"/>
      <c r="BC153" s="236"/>
      <c r="BD153" s="236"/>
      <c r="BE153" s="236"/>
      <c r="BF153" s="236"/>
      <c r="BG153" s="236"/>
      <c r="BH153" s="236"/>
      <c r="BI153" s="236"/>
      <c r="BJ153" s="236"/>
      <c r="BK153" s="236"/>
      <c r="BL153" s="236"/>
      <c r="BM153" s="236"/>
      <c r="BN153" s="236"/>
      <c r="BO153" s="236"/>
      <c r="BP153" s="236"/>
      <c r="BQ153" s="236"/>
      <c r="BR153" s="236"/>
      <c r="BS153" s="236"/>
      <c r="BT153" s="236"/>
      <c r="BU153" s="236"/>
      <c r="BV153" s="236"/>
      <c r="BW153" s="236"/>
      <c r="BX153" s="236"/>
      <c r="BY153" s="236"/>
      <c r="BZ153" s="236"/>
      <c r="CA153" s="236"/>
      <c r="CB153" s="236"/>
      <c r="CC153" s="236"/>
      <c r="CD153" s="236"/>
      <c r="CE153" s="236"/>
      <c r="CF153" s="236"/>
      <c r="CG153" s="236"/>
      <c r="CH153" s="236"/>
      <c r="CI153" s="236"/>
      <c r="CJ153" s="236"/>
      <c r="CK153" s="236"/>
      <c r="CL153" s="236"/>
      <c r="CM153" s="236"/>
      <c r="CN153" s="236"/>
      <c r="CO153" s="236"/>
      <c r="CP153" s="236"/>
      <c r="CQ153" s="236"/>
      <c r="CR153" s="236"/>
      <c r="CS153" s="236"/>
      <c r="CT153" s="236"/>
      <c r="CU153" s="236"/>
      <c r="CV153" s="236"/>
      <c r="CW153" s="236"/>
      <c r="CX153" s="236"/>
      <c r="CY153" s="236"/>
      <c r="CZ153" s="236"/>
      <c r="DA153" s="236"/>
      <c r="DB153" s="236"/>
      <c r="DC153" s="236"/>
      <c r="DD153" s="236"/>
      <c r="DE153" s="236"/>
      <c r="DF153" s="236"/>
      <c r="DG153" s="236"/>
      <c r="DH153" s="236"/>
      <c r="DI153" s="236"/>
      <c r="DJ153" s="236"/>
      <c r="DK153" s="236"/>
      <c r="DL153" s="236"/>
      <c r="DM153" s="236"/>
      <c r="DN153" s="236"/>
      <c r="DO153" s="236"/>
      <c r="DP153" s="236"/>
      <c r="DQ153" s="236"/>
      <c r="DR153" s="236"/>
      <c r="DS153" s="236"/>
      <c r="DT153" s="236"/>
      <c r="DU153" s="236"/>
      <c r="DV153" s="236"/>
      <c r="DW153" s="236"/>
      <c r="DX153" s="236"/>
      <c r="DY153" s="236"/>
      <c r="DZ153" s="236"/>
      <c r="EA153" s="236"/>
      <c r="EB153" s="236"/>
      <c r="EC153" s="236"/>
      <c r="ED153" s="236"/>
      <c r="EE153" s="236"/>
      <c r="EF153" s="236"/>
      <c r="EG153" s="236"/>
      <c r="EH153" s="236"/>
      <c r="EI153" s="236"/>
      <c r="EJ153" s="236"/>
      <c r="EK153" s="236"/>
      <c r="EL153" s="236"/>
      <c r="EM153" s="236"/>
      <c r="EN153" s="236"/>
      <c r="EO153" s="236"/>
      <c r="EP153" s="236"/>
      <c r="EQ153" s="236"/>
      <c r="ER153" s="236"/>
      <c r="ES153" s="236"/>
      <c r="ET153" s="236"/>
      <c r="EU153" s="236"/>
      <c r="EV153" s="236"/>
      <c r="EW153" s="236"/>
      <c r="EX153" s="236"/>
      <c r="EY153" s="236"/>
      <c r="EZ153" s="236"/>
      <c r="FA153" s="236"/>
      <c r="FB153" s="236"/>
      <c r="FC153" s="236"/>
      <c r="FD153" s="236"/>
      <c r="FE153" s="236"/>
      <c r="FF153" s="236"/>
      <c r="FG153" s="236"/>
      <c r="FH153" s="236"/>
      <c r="FI153" s="236"/>
      <c r="FJ153" s="236"/>
      <c r="FK153" s="236"/>
      <c r="FL153" s="236"/>
      <c r="FM153" s="236"/>
      <c r="FN153" s="236"/>
      <c r="FO153" s="236"/>
      <c r="FP153" s="236"/>
      <c r="FQ153" s="236"/>
      <c r="FR153" s="236"/>
      <c r="FS153" s="236"/>
      <c r="FT153" s="236"/>
      <c r="FU153" s="236"/>
      <c r="FV153" s="236"/>
      <c r="FW153" s="236"/>
      <c r="FX153" s="236"/>
      <c r="FY153" s="236"/>
      <c r="FZ153" s="236"/>
      <c r="GA153" s="236"/>
      <c r="GB153" s="236"/>
      <c r="GC153" s="236"/>
      <c r="GD153" s="236"/>
      <c r="GE153" s="236"/>
      <c r="GF153" s="236"/>
      <c r="GG153" s="236"/>
      <c r="GH153" s="236"/>
      <c r="GI153" s="236"/>
      <c r="GJ153" s="236"/>
      <c r="GK153" s="236"/>
      <c r="GL153" s="236"/>
      <c r="GM153" s="236"/>
      <c r="GN153" s="236"/>
      <c r="GO153" s="236"/>
      <c r="GP153" s="236"/>
      <c r="GQ153" s="236"/>
      <c r="GR153" s="236"/>
      <c r="GS153" s="236"/>
      <c r="GT153" s="236"/>
      <c r="GU153" s="236"/>
      <c r="GV153" s="236"/>
      <c r="GW153" s="236"/>
      <c r="GX153" s="236"/>
      <c r="GY153" s="236"/>
      <c r="GZ153" s="236"/>
      <c r="HA153" s="236"/>
      <c r="HB153" s="236"/>
      <c r="HC153" s="236"/>
      <c r="HD153" s="236"/>
      <c r="HE153" s="236"/>
      <c r="HF153" s="236"/>
      <c r="HG153" s="236"/>
      <c r="HH153" s="236"/>
      <c r="HI153" s="236"/>
      <c r="HJ153" s="236"/>
      <c r="HK153" s="236"/>
      <c r="HL153" s="236"/>
      <c r="HM153" s="236"/>
      <c r="HN153" s="236"/>
      <c r="HO153" s="236"/>
      <c r="HP153" s="236"/>
      <c r="HQ153" s="236"/>
      <c r="HR153" s="236"/>
      <c r="HS153" s="236"/>
      <c r="HT153" s="236"/>
      <c r="HU153" s="236"/>
      <c r="HV153" s="236"/>
      <c r="HW153" s="236"/>
      <c r="HX153" s="236"/>
      <c r="HY153" s="236"/>
      <c r="HZ153" s="236"/>
      <c r="IA153" s="236"/>
      <c r="IB153" s="236"/>
      <c r="IC153" s="236"/>
      <c r="ID153" s="236"/>
      <c r="IE153" s="236"/>
      <c r="IF153" s="236"/>
      <c r="IG153" s="236"/>
      <c r="IH153" s="236"/>
      <c r="II153" s="236"/>
      <c r="IJ153" s="236"/>
      <c r="IK153" s="236"/>
      <c r="IL153" s="236"/>
      <c r="IM153" s="236"/>
      <c r="IN153" s="236"/>
      <c r="IO153" s="236"/>
      <c r="IP153" s="236"/>
      <c r="IQ153" s="236"/>
      <c r="IR153" s="236"/>
      <c r="IS153" s="236"/>
      <c r="IT153" s="236"/>
      <c r="IU153" s="236"/>
      <c r="IV153" s="236"/>
      <c r="IW153" s="236"/>
      <c r="IX153" s="236"/>
      <c r="IY153" s="236"/>
      <c r="IZ153" s="236"/>
      <c r="JA153" s="236"/>
      <c r="JB153" s="236"/>
      <c r="JC153" s="236"/>
      <c r="JD153" s="236"/>
      <c r="JE153" s="236"/>
      <c r="JF153" s="236"/>
      <c r="JG153" s="236"/>
      <c r="JH153" s="236"/>
      <c r="JI153" s="236"/>
      <c r="JJ153" s="236"/>
      <c r="JK153" s="236"/>
      <c r="JL153" s="236"/>
      <c r="JM153" s="236"/>
      <c r="JN153" s="236"/>
      <c r="JO153" s="236"/>
      <c r="JP153" s="236"/>
      <c r="JQ153" s="236"/>
      <c r="JR153" s="236"/>
      <c r="JS153" s="236"/>
      <c r="JT153" s="236"/>
      <c r="JU153" s="236"/>
      <c r="JV153" s="236"/>
      <c r="JW153" s="236"/>
      <c r="JX153" s="236"/>
      <c r="JY153" s="236"/>
      <c r="JZ153" s="236"/>
      <c r="KA153" s="236"/>
      <c r="KB153" s="236"/>
      <c r="KC153" s="236"/>
      <c r="KD153" s="236"/>
      <c r="KE153" s="236"/>
      <c r="KF153" s="236"/>
      <c r="KG153" s="236"/>
      <c r="KH153" s="236"/>
      <c r="KI153" s="236"/>
      <c r="KJ153" s="236"/>
      <c r="KK153" s="236"/>
      <c r="KL153" s="236"/>
      <c r="KM153" s="236"/>
      <c r="KN153" s="236"/>
      <c r="KO153" s="236"/>
      <c r="KP153" s="236"/>
      <c r="KQ153" s="236"/>
      <c r="KR153" s="236"/>
      <c r="KS153" s="236"/>
      <c r="KT153" s="236"/>
      <c r="KU153" s="236"/>
      <c r="KV153" s="236"/>
      <c r="KW153" s="236"/>
      <c r="KX153" s="236"/>
      <c r="KY153" s="236"/>
      <c r="KZ153" s="236"/>
      <c r="LA153" s="236"/>
      <c r="LB153" s="236"/>
      <c r="LC153" s="236"/>
      <c r="LD153" s="236"/>
      <c r="LE153" s="236"/>
      <c r="LF153" s="236"/>
      <c r="LG153" s="236"/>
      <c r="LH153" s="236"/>
      <c r="LI153" s="236"/>
      <c r="LJ153" s="236"/>
      <c r="LK153" s="236"/>
      <c r="LL153" s="236"/>
      <c r="LM153" s="236"/>
      <c r="LN153" s="236"/>
      <c r="LO153" s="236"/>
      <c r="LP153" s="236"/>
      <c r="LQ153" s="236"/>
      <c r="LR153" s="236"/>
      <c r="LS153" s="236"/>
      <c r="LT153" s="236"/>
      <c r="LU153" s="236"/>
      <c r="LV153" s="236"/>
      <c r="LW153" s="236"/>
      <c r="LX153" s="236"/>
      <c r="LY153" s="236"/>
      <c r="LZ153" s="236"/>
      <c r="MA153" s="236"/>
      <c r="MB153" s="236"/>
      <c r="MC153" s="236"/>
      <c r="MD153" s="236"/>
      <c r="ME153" s="236"/>
      <c r="MF153" s="236"/>
      <c r="MG153" s="236"/>
      <c r="MH153" s="236"/>
      <c r="MI153" s="236"/>
      <c r="MJ153" s="236"/>
      <c r="MK153" s="236"/>
      <c r="ML153" s="236"/>
      <c r="MM153" s="236"/>
      <c r="MN153" s="236"/>
      <c r="MO153" s="236"/>
      <c r="MP153" s="236"/>
      <c r="MQ153" s="236"/>
      <c r="MR153" s="236"/>
      <c r="MS153" s="236"/>
      <c r="MT153" s="236"/>
      <c r="MU153" s="236"/>
      <c r="MV153" s="236"/>
      <c r="MW153" s="236"/>
      <c r="MX153" s="236"/>
      <c r="MY153" s="236"/>
      <c r="MZ153" s="236"/>
      <c r="NA153" s="236"/>
      <c r="NB153" s="236"/>
      <c r="NC153" s="236"/>
      <c r="ND153" s="236"/>
      <c r="NE153" s="236"/>
      <c r="NF153" s="236"/>
      <c r="NG153" s="236"/>
      <c r="NH153" s="236"/>
      <c r="NI153" s="236"/>
      <c r="NJ153" s="236"/>
      <c r="NK153" s="236"/>
      <c r="NL153" s="236"/>
      <c r="NM153" s="236"/>
      <c r="NN153" s="236"/>
      <c r="NO153" s="236"/>
      <c r="NP153" s="236"/>
      <c r="NQ153" s="236"/>
      <c r="NR153" s="236"/>
      <c r="NS153" s="236"/>
      <c r="NT153" s="236"/>
      <c r="NU153" s="236"/>
      <c r="NV153" s="236"/>
      <c r="NW153" s="236"/>
      <c r="NX153" s="236"/>
      <c r="NY153" s="236"/>
      <c r="NZ153" s="236"/>
      <c r="OA153" s="236"/>
      <c r="OB153" s="236"/>
      <c r="OC153" s="236"/>
      <c r="OD153" s="236"/>
      <c r="OE153" s="236"/>
      <c r="OF153" s="236"/>
      <c r="OG153" s="236"/>
      <c r="OH153" s="236"/>
      <c r="OI153" s="236"/>
      <c r="OJ153" s="236"/>
      <c r="OK153" s="236"/>
      <c r="OL153" s="236"/>
      <c r="OM153" s="236"/>
      <c r="ON153" s="236"/>
      <c r="OO153" s="236"/>
      <c r="OP153" s="236"/>
      <c r="OQ153" s="236"/>
      <c r="OR153" s="236"/>
      <c r="OS153" s="236"/>
      <c r="OT153" s="236"/>
      <c r="OU153" s="236"/>
      <c r="OV153" s="236"/>
      <c r="OW153" s="236"/>
      <c r="OX153" s="236"/>
      <c r="OY153" s="236"/>
      <c r="OZ153" s="236"/>
      <c r="PA153" s="236"/>
      <c r="PB153" s="236"/>
      <c r="PC153" s="236"/>
      <c r="PD153" s="236"/>
      <c r="PE153" s="236"/>
      <c r="PF153" s="236"/>
      <c r="PG153" s="236"/>
      <c r="PH153" s="236"/>
      <c r="PI153" s="236"/>
      <c r="PJ153" s="236"/>
      <c r="PK153" s="236"/>
      <c r="PL153" s="236"/>
      <c r="PM153" s="236"/>
      <c r="PN153" s="236"/>
      <c r="PO153" s="236"/>
      <c r="PP153" s="236"/>
      <c r="PQ153" s="236"/>
      <c r="PR153" s="236"/>
      <c r="PS153" s="236"/>
      <c r="PT153" s="236"/>
      <c r="PU153" s="236"/>
      <c r="PV153" s="236"/>
      <c r="PW153" s="236"/>
      <c r="PX153" s="236"/>
      <c r="PY153" s="236"/>
      <c r="PZ153" s="236"/>
      <c r="QA153" s="236"/>
      <c r="QB153" s="236"/>
      <c r="QC153" s="236"/>
      <c r="QD153" s="236"/>
      <c r="QE153" s="236"/>
      <c r="QF153" s="236"/>
      <c r="QG153" s="236"/>
      <c r="QH153" s="236"/>
      <c r="QI153" s="236"/>
      <c r="QJ153" s="236"/>
      <c r="QK153" s="236"/>
      <c r="QL153" s="236"/>
      <c r="QM153" s="236"/>
      <c r="QN153" s="236"/>
      <c r="QO153" s="236"/>
      <c r="QP153" s="236"/>
      <c r="QQ153" s="236"/>
      <c r="QR153" s="236"/>
      <c r="QS153" s="236"/>
      <c r="QT153" s="236"/>
      <c r="QU153" s="236"/>
      <c r="QV153" s="236"/>
      <c r="QW153" s="236"/>
      <c r="QX153" s="236"/>
      <c r="QY153" s="236"/>
      <c r="QZ153" s="236"/>
      <c r="RA153" s="236"/>
      <c r="RB153" s="236"/>
      <c r="RC153" s="236"/>
      <c r="RD153" s="236"/>
      <c r="RE153" s="236"/>
      <c r="RF153" s="236"/>
      <c r="RG153" s="236"/>
      <c r="RH153" s="236"/>
      <c r="RI153" s="236"/>
      <c r="RJ153" s="236"/>
      <c r="RK153" s="236"/>
      <c r="RL153" s="236"/>
      <c r="RM153" s="236"/>
      <c r="RN153" s="236"/>
      <c r="RO153" s="236"/>
      <c r="RP153" s="236"/>
      <c r="RQ153" s="236"/>
      <c r="RR153" s="236"/>
      <c r="RS153" s="236"/>
      <c r="RT153" s="236"/>
      <c r="RU153" s="236"/>
      <c r="RV153" s="236"/>
      <c r="RW153" s="236"/>
      <c r="RX153" s="236"/>
      <c r="RY153" s="236"/>
      <c r="RZ153" s="236"/>
      <c r="SA153" s="236"/>
      <c r="SB153" s="236"/>
      <c r="SC153" s="236"/>
      <c r="SD153" s="236"/>
      <c r="SE153" s="236"/>
      <c r="SF153" s="236"/>
      <c r="SG153" s="236"/>
      <c r="SH153" s="236"/>
      <c r="SI153" s="236"/>
      <c r="SJ153" s="236"/>
      <c r="SK153" s="236"/>
      <c r="SL153" s="236"/>
      <c r="SM153" s="236"/>
      <c r="SN153" s="236"/>
      <c r="SO153" s="236"/>
      <c r="SP153" s="236"/>
      <c r="SQ153" s="236"/>
      <c r="SR153" s="236"/>
      <c r="SS153" s="236"/>
      <c r="ST153" s="236"/>
      <c r="SU153" s="236"/>
      <c r="SV153" s="236"/>
      <c r="SW153" s="236"/>
      <c r="SX153" s="236"/>
      <c r="SY153" s="236"/>
      <c r="SZ153" s="236"/>
      <c r="TA153" s="236"/>
      <c r="TB153" s="236"/>
      <c r="TC153" s="236"/>
      <c r="TD153" s="236"/>
      <c r="TE153" s="236"/>
      <c r="TF153" s="236"/>
      <c r="TG153" s="236"/>
      <c r="TH153" s="236"/>
      <c r="TI153" s="236"/>
      <c r="TJ153" s="236"/>
      <c r="TK153" s="236"/>
      <c r="TL153" s="236"/>
      <c r="TM153" s="236"/>
      <c r="TN153" s="236"/>
      <c r="TO153" s="236"/>
      <c r="TP153" s="236"/>
      <c r="TQ153" s="236"/>
      <c r="TR153" s="236"/>
      <c r="TS153" s="236"/>
      <c r="TT153" s="236"/>
      <c r="TU153" s="236"/>
      <c r="TV153" s="236"/>
      <c r="TW153" s="236"/>
      <c r="TX153" s="236"/>
      <c r="TY153" s="236"/>
      <c r="TZ153" s="236"/>
      <c r="UA153" s="236"/>
      <c r="UB153" s="236"/>
      <c r="UC153" s="236"/>
      <c r="UD153" s="236"/>
      <c r="UE153" s="236"/>
      <c r="UF153" s="236"/>
      <c r="UG153" s="236"/>
      <c r="UH153" s="236"/>
      <c r="UI153" s="236"/>
      <c r="UJ153" s="236"/>
      <c r="UK153" s="236"/>
      <c r="UL153" s="236"/>
      <c r="UM153" s="236"/>
      <c r="UN153" s="236"/>
      <c r="UO153" s="236"/>
      <c r="UP153" s="236"/>
      <c r="UQ153" s="236"/>
      <c r="UR153" s="236"/>
      <c r="US153" s="236"/>
      <c r="UT153" s="236"/>
      <c r="UU153" s="236"/>
      <c r="UV153" s="236"/>
      <c r="UW153" s="236"/>
      <c r="UX153" s="236"/>
      <c r="UY153" s="236"/>
      <c r="UZ153" s="236"/>
      <c r="VA153" s="236"/>
      <c r="VB153" s="236"/>
      <c r="VC153" s="236"/>
      <c r="VD153" s="236"/>
      <c r="VE153" s="236"/>
      <c r="VF153" s="236"/>
      <c r="VG153" s="236"/>
      <c r="VH153" s="236"/>
      <c r="VI153" s="236"/>
      <c r="VJ153" s="236"/>
      <c r="VK153" s="236"/>
      <c r="VL153" s="236"/>
      <c r="VM153" s="236"/>
      <c r="VN153" s="236"/>
      <c r="VO153" s="236"/>
      <c r="VP153" s="236"/>
      <c r="VQ153" s="236"/>
      <c r="VR153" s="236"/>
      <c r="VS153" s="236"/>
      <c r="VT153" s="236"/>
      <c r="VU153" s="236"/>
      <c r="VV153" s="236"/>
      <c r="VW153" s="236"/>
      <c r="VX153" s="236"/>
      <c r="VY153" s="236"/>
      <c r="VZ153" s="236"/>
      <c r="WA153" s="236"/>
      <c r="WB153" s="236"/>
      <c r="WC153" s="236"/>
      <c r="WD153" s="236"/>
      <c r="WE153" s="236"/>
      <c r="WF153" s="236"/>
      <c r="WG153" s="236"/>
      <c r="WH153" s="236"/>
      <c r="WI153" s="236"/>
      <c r="WJ153" s="236"/>
      <c r="WK153" s="236"/>
      <c r="WL153" s="236"/>
      <c r="WM153" s="236"/>
      <c r="WN153" s="236"/>
      <c r="WO153" s="236"/>
      <c r="WP153" s="236"/>
      <c r="WQ153" s="236"/>
      <c r="WR153" s="236"/>
      <c r="WS153" s="236"/>
      <c r="WT153" s="236"/>
      <c r="WU153" s="236"/>
      <c r="WV153" s="236"/>
      <c r="WW153" s="236"/>
      <c r="WX153" s="236"/>
      <c r="WY153" s="236"/>
      <c r="WZ153" s="236"/>
      <c r="XA153" s="236"/>
      <c r="XB153" s="236"/>
      <c r="XC153" s="236"/>
      <c r="XD153" s="236"/>
      <c r="XE153" s="236"/>
      <c r="XF153" s="236"/>
      <c r="XG153" s="236"/>
      <c r="XH153" s="236"/>
      <c r="XI153" s="236"/>
      <c r="XJ153" s="236"/>
      <c r="XK153" s="236"/>
      <c r="XL153" s="236"/>
      <c r="XM153" s="236"/>
      <c r="XN153" s="236"/>
      <c r="XO153" s="236"/>
      <c r="XP153" s="236"/>
      <c r="XQ153" s="236"/>
      <c r="XR153" s="236"/>
      <c r="XS153" s="236"/>
      <c r="XT153" s="236"/>
      <c r="XU153" s="236"/>
      <c r="XV153" s="236"/>
      <c r="XW153" s="236"/>
      <c r="XX153" s="236"/>
      <c r="XY153" s="236"/>
      <c r="XZ153" s="236"/>
      <c r="YA153" s="236"/>
      <c r="YB153" s="236"/>
      <c r="YC153" s="236"/>
      <c r="YD153" s="236"/>
      <c r="YE153" s="236"/>
      <c r="YF153" s="236"/>
      <c r="YG153" s="236"/>
      <c r="YH153" s="236"/>
      <c r="YI153" s="236"/>
      <c r="YJ153" s="236"/>
      <c r="YK153" s="236"/>
      <c r="YL153" s="236"/>
      <c r="YM153" s="236"/>
      <c r="YN153" s="236"/>
      <c r="YO153" s="236"/>
      <c r="YP153" s="236"/>
      <c r="YQ153" s="236"/>
      <c r="YR153" s="236"/>
      <c r="YS153" s="236"/>
      <c r="YT153" s="236"/>
      <c r="YU153" s="236"/>
      <c r="YV153" s="236"/>
      <c r="YW153" s="236"/>
      <c r="YX153" s="236"/>
      <c r="YY153" s="236"/>
      <c r="YZ153" s="236"/>
      <c r="ZA153" s="236"/>
      <c r="ZB153" s="236"/>
      <c r="ZC153" s="236"/>
      <c r="ZD153" s="236"/>
      <c r="ZE153" s="236"/>
      <c r="ZF153" s="236"/>
      <c r="ZG153" s="236"/>
      <c r="ZH153" s="236"/>
      <c r="ZI153" s="236"/>
      <c r="ZJ153" s="236"/>
      <c r="ZK153" s="236"/>
      <c r="ZL153" s="236"/>
      <c r="ZM153" s="236"/>
      <c r="ZN153" s="236"/>
      <c r="ZO153" s="236"/>
      <c r="ZP153" s="236"/>
      <c r="ZQ153" s="236"/>
      <c r="ZR153" s="236"/>
      <c r="ZS153" s="236"/>
      <c r="ZT153" s="236"/>
      <c r="ZU153" s="236"/>
      <c r="ZV153" s="236"/>
      <c r="ZW153" s="236"/>
      <c r="ZX153" s="236"/>
      <c r="ZY153" s="236"/>
      <c r="ZZ153" s="236"/>
      <c r="AAA153" s="236"/>
      <c r="AAB153" s="236"/>
      <c r="AAC153" s="236"/>
      <c r="AAD153" s="236"/>
      <c r="AAE153" s="236"/>
      <c r="AAF153" s="236"/>
      <c r="AAG153" s="236"/>
      <c r="AAH153" s="236"/>
      <c r="AAI153" s="236"/>
      <c r="AAJ153" s="236"/>
      <c r="AAK153" s="236"/>
      <c r="AAL153" s="236"/>
      <c r="AAM153" s="236"/>
      <c r="AAN153" s="236"/>
      <c r="AAO153" s="236"/>
      <c r="AAP153" s="236"/>
      <c r="AAQ153" s="236"/>
      <c r="AAR153" s="236"/>
      <c r="AAS153" s="236"/>
      <c r="AAT153" s="236"/>
      <c r="AAU153" s="236"/>
      <c r="AAV153" s="236"/>
      <c r="AAW153" s="236"/>
      <c r="AAX153" s="236"/>
      <c r="AAY153" s="236"/>
      <c r="AAZ153" s="236"/>
      <c r="ABA153" s="236"/>
      <c r="ABB153" s="236"/>
      <c r="ABC153" s="236"/>
      <c r="ABD153" s="236"/>
      <c r="ABE153" s="236"/>
      <c r="ABF153" s="236"/>
      <c r="ABG153" s="236"/>
      <c r="ABH153" s="236"/>
      <c r="ABI153" s="236"/>
      <c r="ABJ153" s="236"/>
      <c r="ABK153" s="236"/>
      <c r="ABL153" s="236"/>
      <c r="ABM153" s="236"/>
      <c r="ABN153" s="236"/>
      <c r="ABO153" s="236"/>
      <c r="ABP153" s="236"/>
      <c r="ABQ153" s="236"/>
      <c r="ABR153" s="236"/>
      <c r="ABS153" s="236"/>
      <c r="ABT153" s="236"/>
      <c r="ABU153" s="236"/>
      <c r="ABV153" s="236"/>
      <c r="ABW153" s="236"/>
      <c r="ABX153" s="236"/>
      <c r="ABY153" s="236"/>
      <c r="ABZ153" s="236"/>
      <c r="ACA153" s="236"/>
      <c r="ACB153" s="236"/>
      <c r="ACC153" s="236"/>
      <c r="ACD153" s="236"/>
      <c r="ACE153" s="236"/>
      <c r="ACF153" s="236"/>
      <c r="ACG153" s="236"/>
      <c r="ACH153" s="236"/>
      <c r="ACI153" s="236"/>
      <c r="ACJ153" s="236"/>
      <c r="ACK153" s="236"/>
      <c r="ACL153" s="236"/>
      <c r="ACM153" s="236"/>
      <c r="ACN153" s="236"/>
      <c r="ACO153" s="236"/>
      <c r="ACP153" s="236"/>
      <c r="ACQ153" s="236"/>
      <c r="ACR153" s="236"/>
      <c r="ACS153" s="236"/>
      <c r="ACT153" s="236"/>
      <c r="ACU153" s="236"/>
      <c r="ACV153" s="236"/>
      <c r="ACW153" s="236"/>
      <c r="ACX153" s="236"/>
      <c r="ACY153" s="236"/>
      <c r="ACZ153" s="236"/>
      <c r="ADA153" s="236"/>
      <c r="ADB153" s="236"/>
      <c r="ADC153" s="236"/>
      <c r="ADD153" s="236"/>
      <c r="ADE153" s="236"/>
      <c r="ADF153" s="236"/>
      <c r="ADG153" s="236"/>
      <c r="ADH153" s="236"/>
      <c r="ADI153" s="236"/>
      <c r="ADJ153" s="236"/>
      <c r="ADK153" s="236"/>
      <c r="ADL153" s="236"/>
      <c r="ADM153" s="236"/>
      <c r="ADN153" s="236"/>
      <c r="ADO153" s="236"/>
      <c r="ADP153" s="236"/>
      <c r="ADQ153" s="236"/>
      <c r="ADR153" s="236"/>
      <c r="ADS153" s="236"/>
      <c r="ADT153" s="236"/>
      <c r="ADU153" s="236"/>
      <c r="ADV153" s="236"/>
      <c r="ADW153" s="236"/>
      <c r="ADX153" s="236"/>
      <c r="ADY153" s="236"/>
      <c r="ADZ153" s="236"/>
      <c r="AEA153" s="236"/>
      <c r="AEB153" s="236"/>
      <c r="AEC153" s="236"/>
      <c r="AED153" s="236"/>
      <c r="AEE153" s="236"/>
      <c r="AEF153" s="236"/>
      <c r="AEG153" s="236"/>
      <c r="AEH153" s="236"/>
      <c r="AEI153" s="236"/>
      <c r="AEJ153" s="236"/>
      <c r="AEK153" s="236"/>
      <c r="AEL153" s="236"/>
      <c r="AEM153" s="236"/>
      <c r="AEN153" s="236"/>
      <c r="AEO153" s="236"/>
      <c r="AEP153" s="236"/>
      <c r="AEQ153" s="236"/>
      <c r="AER153" s="236"/>
      <c r="AES153" s="236"/>
      <c r="AET153" s="236"/>
      <c r="AEU153" s="236"/>
      <c r="AEV153" s="236"/>
      <c r="AEW153" s="236"/>
      <c r="AEX153" s="236"/>
      <c r="AEY153" s="236"/>
      <c r="AEZ153" s="236"/>
      <c r="AFA153" s="236"/>
      <c r="AFB153" s="236"/>
      <c r="AFC153" s="236"/>
      <c r="AFD153" s="236"/>
      <c r="AFE153" s="236"/>
      <c r="AFF153" s="236"/>
      <c r="AFG153" s="236"/>
      <c r="AFH153" s="236"/>
      <c r="AFI153" s="236"/>
      <c r="AFJ153" s="236"/>
      <c r="AFK153" s="236"/>
      <c r="AFL153" s="236"/>
      <c r="AFM153" s="236"/>
      <c r="AFN153" s="236"/>
      <c r="AFO153" s="236"/>
      <c r="AFP153" s="236"/>
      <c r="AFQ153" s="236"/>
      <c r="AFR153" s="236"/>
      <c r="AFS153" s="236"/>
      <c r="AFT153" s="236"/>
      <c r="AFU153" s="236"/>
      <c r="AFV153" s="236"/>
      <c r="AFW153" s="236"/>
      <c r="AFX153" s="236"/>
      <c r="AFY153" s="236"/>
      <c r="AFZ153" s="236"/>
      <c r="AGA153" s="236"/>
      <c r="AGB153" s="236"/>
      <c r="AGC153" s="236"/>
      <c r="AGD153" s="236"/>
      <c r="AGE153" s="236"/>
      <c r="AGF153" s="236"/>
      <c r="AGG153" s="236"/>
      <c r="AGH153" s="236"/>
      <c r="AGI153" s="236"/>
      <c r="AGJ153" s="236"/>
      <c r="AGK153" s="236"/>
      <c r="AGL153" s="236"/>
      <c r="AGM153" s="236"/>
      <c r="AGN153" s="236"/>
      <c r="AGO153" s="236"/>
      <c r="AGP153" s="236"/>
      <c r="AGQ153" s="236"/>
      <c r="AGR153" s="236"/>
      <c r="AGS153" s="236"/>
      <c r="AGT153" s="236"/>
      <c r="AGU153" s="236"/>
      <c r="AGV153" s="236"/>
      <c r="AGW153" s="236"/>
      <c r="AGX153" s="236"/>
      <c r="AGY153" s="236"/>
      <c r="AGZ153" s="236"/>
      <c r="AHA153" s="236"/>
      <c r="AHB153" s="236"/>
      <c r="AHC153" s="236"/>
      <c r="AHD153" s="236"/>
      <c r="AHE153" s="236"/>
      <c r="AHF153" s="236"/>
      <c r="AHG153" s="236"/>
      <c r="AHH153" s="236"/>
      <c r="AHI153" s="236"/>
      <c r="AHJ153" s="236"/>
      <c r="AHK153" s="236"/>
      <c r="AHL153" s="236"/>
      <c r="AHM153" s="236"/>
      <c r="AHN153" s="236"/>
      <c r="AHO153" s="236"/>
      <c r="AHP153" s="236"/>
      <c r="AHQ153" s="236"/>
      <c r="AHR153" s="236"/>
      <c r="AHS153" s="236"/>
      <c r="AHT153" s="236"/>
      <c r="AHU153" s="236"/>
      <c r="AHV153" s="236"/>
      <c r="AHW153" s="236"/>
      <c r="AHX153" s="236"/>
      <c r="AHY153" s="236"/>
      <c r="AHZ153" s="236"/>
      <c r="AIA153" s="236"/>
      <c r="AIB153" s="236"/>
      <c r="AIC153" s="236"/>
      <c r="AID153" s="236"/>
      <c r="AIE153" s="236"/>
      <c r="AIF153" s="236"/>
      <c r="AIG153" s="236"/>
      <c r="AIH153" s="236"/>
      <c r="AII153" s="236"/>
      <c r="AIJ153" s="236"/>
      <c r="AIK153" s="236"/>
      <c r="AIL153" s="236"/>
      <c r="AIM153" s="236"/>
      <c r="AIN153" s="236"/>
      <c r="AIO153" s="236"/>
      <c r="AIP153" s="236"/>
      <c r="AIQ153" s="236"/>
      <c r="AIR153" s="236"/>
      <c r="AIS153" s="236"/>
      <c r="AIT153" s="236"/>
      <c r="AIU153" s="236"/>
      <c r="AIV153" s="236"/>
      <c r="AIW153" s="236"/>
      <c r="AIX153" s="236"/>
      <c r="AIY153" s="236"/>
      <c r="AIZ153" s="236"/>
      <c r="AJA153" s="236"/>
      <c r="AJB153" s="236"/>
      <c r="AJC153" s="236"/>
      <c r="AJD153" s="236"/>
      <c r="AJE153" s="236"/>
      <c r="AJF153" s="236"/>
      <c r="AJG153" s="236"/>
      <c r="AJH153" s="236"/>
      <c r="AJI153" s="236"/>
      <c r="AJJ153" s="236"/>
      <c r="AJK153" s="236"/>
      <c r="AJL153" s="236"/>
      <c r="AJM153" s="236"/>
      <c r="AJN153" s="236"/>
      <c r="AJO153" s="236"/>
      <c r="AJP153" s="236"/>
      <c r="AJQ153" s="236"/>
      <c r="AJR153" s="236"/>
      <c r="AJS153" s="236"/>
      <c r="AJT153" s="236"/>
      <c r="AJU153" s="236"/>
      <c r="AJV153" s="236"/>
      <c r="AJW153" s="236"/>
      <c r="AJX153" s="236"/>
      <c r="AJY153" s="236"/>
      <c r="AJZ153" s="236"/>
      <c r="AKA153" s="236"/>
      <c r="AKB153" s="236"/>
      <c r="AKC153" s="236"/>
      <c r="AKD153" s="236"/>
      <c r="AKE153" s="236"/>
      <c r="AKF153" s="236"/>
      <c r="AKG153" s="236"/>
      <c r="AKH153" s="236"/>
      <c r="AKI153" s="236"/>
      <c r="AKJ153" s="236"/>
      <c r="AKK153" s="236"/>
      <c r="AKL153" s="236"/>
      <c r="AKM153" s="236"/>
      <c r="AKN153" s="236"/>
      <c r="AKO153" s="236"/>
      <c r="AKP153" s="236"/>
      <c r="AKQ153" s="236"/>
      <c r="AKR153" s="236"/>
      <c r="AKS153" s="236"/>
      <c r="AKT153" s="236"/>
      <c r="AKU153" s="236"/>
      <c r="AKV153" s="236"/>
      <c r="AKW153" s="236"/>
      <c r="AKX153" s="236"/>
      <c r="AKY153" s="236"/>
      <c r="AKZ153" s="236"/>
      <c r="ALA153" s="236"/>
      <c r="ALB153" s="236"/>
      <c r="ALC153" s="236"/>
      <c r="ALD153" s="236"/>
      <c r="ALE153" s="236"/>
      <c r="ALF153" s="236"/>
      <c r="ALG153" s="236"/>
      <c r="ALH153" s="236"/>
      <c r="ALI153" s="236"/>
      <c r="ALJ153" s="236"/>
      <c r="ALK153" s="236"/>
      <c r="ALL153" s="236"/>
      <c r="ALM153" s="236"/>
      <c r="ALN153" s="236"/>
      <c r="ALO153" s="236"/>
      <c r="ALP153" s="236"/>
      <c r="ALQ153" s="236"/>
      <c r="ALR153" s="236"/>
      <c r="ALS153" s="236"/>
      <c r="ALT153" s="236"/>
      <c r="ALU153" s="236"/>
      <c r="ALV153" s="236"/>
      <c r="ALW153" s="236"/>
      <c r="ALX153" s="236"/>
      <c r="ALY153" s="236"/>
      <c r="ALZ153" s="236"/>
      <c r="AMA153" s="236"/>
      <c r="AMB153" s="236"/>
      <c r="AMC153" s="236"/>
      <c r="AMD153" s="236"/>
      <c r="AME153" s="236"/>
      <c r="AMF153" s="236"/>
      <c r="AMG153" s="236"/>
      <c r="AMH153" s="236"/>
      <c r="AMI153" s="236"/>
      <c r="AMJ153" s="236"/>
      <c r="AMK153" s="236"/>
      <c r="AML153" s="236"/>
      <c r="AMM153" s="236"/>
    </row>
    <row r="154" spans="1:1027">
      <c r="A154" s="1418"/>
      <c r="B154" s="1419"/>
      <c r="C154" s="1419"/>
      <c r="D154" s="1419"/>
      <c r="E154" s="1419"/>
      <c r="F154" s="1419"/>
      <c r="G154" s="1419"/>
      <c r="H154" s="1419"/>
      <c r="I154" s="1419"/>
      <c r="J154" s="1419"/>
      <c r="K154" s="1419"/>
      <c r="L154" s="1420"/>
      <c r="M154" s="283"/>
      <c r="N154" s="1392" t="s">
        <v>278</v>
      </c>
      <c r="O154" s="1393"/>
      <c r="P154" s="1393"/>
      <c r="Q154" s="1393"/>
      <c r="R154" s="1394"/>
      <c r="S154" s="284"/>
      <c r="T154" s="284"/>
      <c r="U154" s="284"/>
      <c r="V154" s="1392" t="s">
        <v>170</v>
      </c>
      <c r="W154" s="1393"/>
      <c r="X154" s="1393"/>
      <c r="Y154" s="1393"/>
      <c r="Z154" s="1394"/>
      <c r="AA154" s="1065"/>
      <c r="AB154" s="1392" t="s">
        <v>171</v>
      </c>
      <c r="AC154" s="1394"/>
      <c r="AD154" s="1392" t="s">
        <v>172</v>
      </c>
      <c r="AE154" s="1393"/>
      <c r="AF154" s="1393"/>
      <c r="AG154" s="1393"/>
      <c r="AH154" s="1393"/>
      <c r="AI154" s="1393"/>
      <c r="AJ154" s="1393"/>
      <c r="AK154" s="1393"/>
      <c r="AL154" s="1393"/>
      <c r="AM154" s="1394"/>
      <c r="AN154" s="262"/>
      <c r="AO154" s="262"/>
      <c r="AP154" s="260"/>
      <c r="AQ154" s="262"/>
      <c r="AR154" s="596"/>
      <c r="AS154" s="1060"/>
      <c r="AT154" s="262"/>
      <c r="AU154" s="260"/>
      <c r="AV154" s="262"/>
      <c r="AW154" s="262"/>
      <c r="AX154" s="260"/>
      <c r="AY154" s="236"/>
      <c r="AZ154" s="236"/>
      <c r="BA154" s="236"/>
      <c r="BB154" s="236"/>
      <c r="BC154" s="236"/>
      <c r="BD154" s="236"/>
      <c r="BE154" s="236"/>
      <c r="BF154" s="236"/>
      <c r="BG154" s="236"/>
      <c r="BH154" s="236"/>
      <c r="BI154" s="236"/>
      <c r="BJ154" s="236"/>
      <c r="BK154" s="236"/>
      <c r="BL154" s="236"/>
      <c r="BM154" s="236"/>
      <c r="BN154" s="236"/>
      <c r="BO154" s="236"/>
      <c r="BP154" s="236"/>
      <c r="BQ154" s="236"/>
      <c r="BR154" s="236"/>
      <c r="BS154" s="236"/>
      <c r="BT154" s="236"/>
      <c r="BU154" s="236"/>
      <c r="BV154" s="236"/>
      <c r="BW154" s="236"/>
      <c r="BX154" s="236"/>
      <c r="BY154" s="236"/>
      <c r="BZ154" s="236"/>
      <c r="CA154" s="236"/>
      <c r="CB154" s="236"/>
      <c r="CC154" s="236"/>
      <c r="CD154" s="236"/>
      <c r="CE154" s="236"/>
      <c r="CF154" s="236"/>
      <c r="CG154" s="236"/>
      <c r="CH154" s="236"/>
      <c r="CI154" s="236"/>
      <c r="CJ154" s="236"/>
      <c r="CK154" s="236"/>
      <c r="CL154" s="236"/>
      <c r="CM154" s="236"/>
      <c r="CN154" s="236"/>
      <c r="CO154" s="236"/>
      <c r="CP154" s="236"/>
      <c r="CQ154" s="236"/>
      <c r="CR154" s="236"/>
      <c r="CS154" s="236"/>
      <c r="CT154" s="236"/>
      <c r="CU154" s="236"/>
      <c r="CV154" s="236"/>
      <c r="CW154" s="236"/>
      <c r="CX154" s="236"/>
      <c r="CY154" s="236"/>
      <c r="CZ154" s="236"/>
      <c r="DA154" s="236"/>
      <c r="DB154" s="236"/>
      <c r="DC154" s="236"/>
      <c r="DD154" s="236"/>
      <c r="DE154" s="236"/>
      <c r="DF154" s="236"/>
      <c r="DG154" s="236"/>
      <c r="DH154" s="236"/>
      <c r="DI154" s="236"/>
      <c r="DJ154" s="236"/>
      <c r="DK154" s="236"/>
      <c r="DL154" s="236"/>
      <c r="DM154" s="236"/>
      <c r="DN154" s="236"/>
      <c r="DO154" s="236"/>
      <c r="DP154" s="236"/>
      <c r="DQ154" s="236"/>
      <c r="DR154" s="236"/>
      <c r="DS154" s="236"/>
      <c r="DT154" s="236"/>
      <c r="DU154" s="236"/>
      <c r="DV154" s="236"/>
      <c r="DW154" s="236"/>
      <c r="DX154" s="236"/>
      <c r="DY154" s="236"/>
      <c r="DZ154" s="236"/>
      <c r="EA154" s="236"/>
      <c r="EB154" s="236"/>
      <c r="EC154" s="236"/>
      <c r="ED154" s="236"/>
      <c r="EE154" s="236"/>
      <c r="EF154" s="236"/>
      <c r="EG154" s="236"/>
      <c r="EH154" s="236"/>
      <c r="EI154" s="236"/>
      <c r="EJ154" s="236"/>
      <c r="EK154" s="236"/>
      <c r="EL154" s="236"/>
      <c r="EM154" s="236"/>
      <c r="EN154" s="236"/>
      <c r="EO154" s="236"/>
      <c r="EP154" s="236"/>
      <c r="EQ154" s="236"/>
      <c r="ER154" s="236"/>
      <c r="ES154" s="236"/>
      <c r="ET154" s="236"/>
      <c r="EU154" s="236"/>
      <c r="EV154" s="236"/>
      <c r="EW154" s="236"/>
      <c r="EX154" s="236"/>
      <c r="EY154" s="236"/>
      <c r="EZ154" s="236"/>
      <c r="FA154" s="236"/>
      <c r="FB154" s="236"/>
      <c r="FC154" s="236"/>
      <c r="FD154" s="236"/>
      <c r="FE154" s="236"/>
      <c r="FF154" s="236"/>
      <c r="FG154" s="236"/>
      <c r="FH154" s="236"/>
      <c r="FI154" s="236"/>
      <c r="FJ154" s="236"/>
      <c r="FK154" s="236"/>
      <c r="FL154" s="236"/>
      <c r="FM154" s="236"/>
      <c r="FN154" s="236"/>
      <c r="FO154" s="236"/>
      <c r="FP154" s="236"/>
      <c r="FQ154" s="236"/>
      <c r="FR154" s="236"/>
      <c r="FS154" s="236"/>
      <c r="FT154" s="236"/>
      <c r="FU154" s="236"/>
      <c r="FV154" s="236"/>
      <c r="FW154" s="236"/>
      <c r="FX154" s="236"/>
      <c r="FY154" s="236"/>
      <c r="FZ154" s="236"/>
      <c r="GA154" s="236"/>
      <c r="GB154" s="236"/>
      <c r="GC154" s="236"/>
      <c r="GD154" s="236"/>
      <c r="GE154" s="236"/>
      <c r="GF154" s="236"/>
      <c r="GG154" s="236"/>
      <c r="GH154" s="236"/>
      <c r="GI154" s="236"/>
      <c r="GJ154" s="236"/>
      <c r="GK154" s="236"/>
      <c r="GL154" s="236"/>
      <c r="GM154" s="236"/>
      <c r="GN154" s="236"/>
      <c r="GO154" s="236"/>
      <c r="GP154" s="236"/>
      <c r="GQ154" s="236"/>
      <c r="GR154" s="236"/>
      <c r="GS154" s="236"/>
      <c r="GT154" s="236"/>
      <c r="GU154" s="236"/>
      <c r="GV154" s="236"/>
      <c r="GW154" s="236"/>
      <c r="GX154" s="236"/>
      <c r="GY154" s="236"/>
      <c r="GZ154" s="236"/>
      <c r="HA154" s="236"/>
      <c r="HB154" s="236"/>
      <c r="HC154" s="236"/>
      <c r="HD154" s="236"/>
      <c r="HE154" s="236"/>
      <c r="HF154" s="236"/>
      <c r="HG154" s="236"/>
      <c r="HH154" s="236"/>
      <c r="HI154" s="236"/>
      <c r="HJ154" s="236"/>
      <c r="HK154" s="236"/>
      <c r="HL154" s="236"/>
      <c r="HM154" s="236"/>
      <c r="HN154" s="236"/>
      <c r="HO154" s="236"/>
      <c r="HP154" s="236"/>
      <c r="HQ154" s="236"/>
      <c r="HR154" s="236"/>
      <c r="HS154" s="236"/>
      <c r="HT154" s="236"/>
      <c r="HU154" s="236"/>
      <c r="HV154" s="236"/>
      <c r="HW154" s="236"/>
      <c r="HX154" s="236"/>
      <c r="HY154" s="236"/>
      <c r="HZ154" s="236"/>
      <c r="IA154" s="236"/>
      <c r="IB154" s="236"/>
      <c r="IC154" s="236"/>
      <c r="ID154" s="236"/>
      <c r="IE154" s="236"/>
      <c r="IF154" s="236"/>
      <c r="IG154" s="236"/>
      <c r="IH154" s="236"/>
      <c r="II154" s="236"/>
      <c r="IJ154" s="236"/>
      <c r="IK154" s="236"/>
      <c r="IL154" s="236"/>
      <c r="IM154" s="236"/>
      <c r="IN154" s="236"/>
      <c r="IO154" s="236"/>
      <c r="IP154" s="236"/>
      <c r="IQ154" s="236"/>
      <c r="IR154" s="236"/>
      <c r="IS154" s="236"/>
      <c r="IT154" s="236"/>
      <c r="IU154" s="236"/>
      <c r="IV154" s="236"/>
      <c r="IW154" s="236"/>
      <c r="IX154" s="236"/>
      <c r="IY154" s="236"/>
      <c r="IZ154" s="236"/>
      <c r="JA154" s="236"/>
      <c r="JB154" s="236"/>
      <c r="JC154" s="236"/>
      <c r="JD154" s="236"/>
      <c r="JE154" s="236"/>
      <c r="JF154" s="236"/>
      <c r="JG154" s="236"/>
      <c r="JH154" s="236"/>
      <c r="JI154" s="236"/>
      <c r="JJ154" s="236"/>
      <c r="JK154" s="236"/>
      <c r="JL154" s="236"/>
      <c r="JM154" s="236"/>
      <c r="JN154" s="236"/>
      <c r="JO154" s="236"/>
      <c r="JP154" s="236"/>
      <c r="JQ154" s="236"/>
      <c r="JR154" s="236"/>
      <c r="JS154" s="236"/>
      <c r="JT154" s="236"/>
      <c r="JU154" s="236"/>
      <c r="JV154" s="236"/>
      <c r="JW154" s="236"/>
      <c r="JX154" s="236"/>
      <c r="JY154" s="236"/>
      <c r="JZ154" s="236"/>
      <c r="KA154" s="236"/>
      <c r="KB154" s="236"/>
      <c r="KC154" s="236"/>
      <c r="KD154" s="236"/>
      <c r="KE154" s="236"/>
      <c r="KF154" s="236"/>
      <c r="KG154" s="236"/>
      <c r="KH154" s="236"/>
      <c r="KI154" s="236"/>
      <c r="KJ154" s="236"/>
      <c r="KK154" s="236"/>
      <c r="KL154" s="236"/>
      <c r="KM154" s="236"/>
      <c r="KN154" s="236"/>
      <c r="KO154" s="236"/>
      <c r="KP154" s="236"/>
      <c r="KQ154" s="236"/>
      <c r="KR154" s="236"/>
      <c r="KS154" s="236"/>
      <c r="KT154" s="236"/>
      <c r="KU154" s="236"/>
      <c r="KV154" s="236"/>
      <c r="KW154" s="236"/>
      <c r="KX154" s="236"/>
      <c r="KY154" s="236"/>
      <c r="KZ154" s="236"/>
      <c r="LA154" s="236"/>
      <c r="LB154" s="236"/>
      <c r="LC154" s="236"/>
      <c r="LD154" s="236"/>
      <c r="LE154" s="236"/>
      <c r="LF154" s="236"/>
      <c r="LG154" s="236"/>
      <c r="LH154" s="236"/>
      <c r="LI154" s="236"/>
      <c r="LJ154" s="236"/>
      <c r="LK154" s="236"/>
      <c r="LL154" s="236"/>
      <c r="LM154" s="236"/>
      <c r="LN154" s="236"/>
      <c r="LO154" s="236"/>
      <c r="LP154" s="236"/>
      <c r="LQ154" s="236"/>
      <c r="LR154" s="236"/>
      <c r="LS154" s="236"/>
      <c r="LT154" s="236"/>
      <c r="LU154" s="236"/>
      <c r="LV154" s="236"/>
      <c r="LW154" s="236"/>
      <c r="LX154" s="236"/>
      <c r="LY154" s="236"/>
      <c r="LZ154" s="236"/>
      <c r="MA154" s="236"/>
      <c r="MB154" s="236"/>
      <c r="MC154" s="236"/>
      <c r="MD154" s="236"/>
      <c r="ME154" s="236"/>
      <c r="MF154" s="236"/>
      <c r="MG154" s="236"/>
      <c r="MH154" s="236"/>
      <c r="MI154" s="236"/>
      <c r="MJ154" s="236"/>
      <c r="MK154" s="236"/>
      <c r="ML154" s="236"/>
      <c r="MM154" s="236"/>
      <c r="MN154" s="236"/>
      <c r="MO154" s="236"/>
      <c r="MP154" s="236"/>
      <c r="MQ154" s="236"/>
      <c r="MR154" s="236"/>
      <c r="MS154" s="236"/>
      <c r="MT154" s="236"/>
      <c r="MU154" s="236"/>
      <c r="MV154" s="236"/>
      <c r="MW154" s="236"/>
      <c r="MX154" s="236"/>
      <c r="MY154" s="236"/>
      <c r="MZ154" s="236"/>
      <c r="NA154" s="236"/>
      <c r="NB154" s="236"/>
      <c r="NC154" s="236"/>
      <c r="ND154" s="236"/>
      <c r="NE154" s="236"/>
      <c r="NF154" s="236"/>
      <c r="NG154" s="236"/>
      <c r="NH154" s="236"/>
      <c r="NI154" s="236"/>
      <c r="NJ154" s="236"/>
      <c r="NK154" s="236"/>
      <c r="NL154" s="236"/>
      <c r="NM154" s="236"/>
      <c r="NN154" s="236"/>
      <c r="NO154" s="236"/>
      <c r="NP154" s="236"/>
      <c r="NQ154" s="236"/>
      <c r="NR154" s="236"/>
      <c r="NS154" s="236"/>
      <c r="NT154" s="236"/>
      <c r="NU154" s="236"/>
      <c r="NV154" s="236"/>
      <c r="NW154" s="236"/>
      <c r="NX154" s="236"/>
      <c r="NY154" s="236"/>
      <c r="NZ154" s="236"/>
      <c r="OA154" s="236"/>
      <c r="OB154" s="236"/>
      <c r="OC154" s="236"/>
      <c r="OD154" s="236"/>
      <c r="OE154" s="236"/>
      <c r="OF154" s="236"/>
      <c r="OG154" s="236"/>
      <c r="OH154" s="236"/>
      <c r="OI154" s="236"/>
      <c r="OJ154" s="236"/>
      <c r="OK154" s="236"/>
      <c r="OL154" s="236"/>
      <c r="OM154" s="236"/>
      <c r="ON154" s="236"/>
      <c r="OO154" s="236"/>
      <c r="OP154" s="236"/>
      <c r="OQ154" s="236"/>
      <c r="OR154" s="236"/>
      <c r="OS154" s="236"/>
      <c r="OT154" s="236"/>
      <c r="OU154" s="236"/>
      <c r="OV154" s="236"/>
      <c r="OW154" s="236"/>
      <c r="OX154" s="236"/>
      <c r="OY154" s="236"/>
      <c r="OZ154" s="236"/>
      <c r="PA154" s="236"/>
      <c r="PB154" s="236"/>
      <c r="PC154" s="236"/>
      <c r="PD154" s="236"/>
      <c r="PE154" s="236"/>
      <c r="PF154" s="236"/>
      <c r="PG154" s="236"/>
      <c r="PH154" s="236"/>
      <c r="PI154" s="236"/>
      <c r="PJ154" s="236"/>
      <c r="PK154" s="236"/>
      <c r="PL154" s="236"/>
      <c r="PM154" s="236"/>
      <c r="PN154" s="236"/>
      <c r="PO154" s="236"/>
      <c r="PP154" s="236"/>
      <c r="PQ154" s="236"/>
      <c r="PR154" s="236"/>
      <c r="PS154" s="236"/>
      <c r="PT154" s="236"/>
      <c r="PU154" s="236"/>
      <c r="PV154" s="236"/>
      <c r="PW154" s="236"/>
      <c r="PX154" s="236"/>
      <c r="PY154" s="236"/>
      <c r="PZ154" s="236"/>
      <c r="QA154" s="236"/>
      <c r="QB154" s="236"/>
      <c r="QC154" s="236"/>
      <c r="QD154" s="236"/>
      <c r="QE154" s="236"/>
      <c r="QF154" s="236"/>
      <c r="QG154" s="236"/>
      <c r="QH154" s="236"/>
      <c r="QI154" s="236"/>
      <c r="QJ154" s="236"/>
      <c r="QK154" s="236"/>
      <c r="QL154" s="236"/>
      <c r="QM154" s="236"/>
      <c r="QN154" s="236"/>
      <c r="QO154" s="236"/>
      <c r="QP154" s="236"/>
      <c r="QQ154" s="236"/>
      <c r="QR154" s="236"/>
      <c r="QS154" s="236"/>
      <c r="QT154" s="236"/>
      <c r="QU154" s="236"/>
      <c r="QV154" s="236"/>
      <c r="QW154" s="236"/>
      <c r="QX154" s="236"/>
      <c r="QY154" s="236"/>
      <c r="QZ154" s="236"/>
      <c r="RA154" s="236"/>
      <c r="RB154" s="236"/>
      <c r="RC154" s="236"/>
      <c r="RD154" s="236"/>
      <c r="RE154" s="236"/>
      <c r="RF154" s="236"/>
      <c r="RG154" s="236"/>
      <c r="RH154" s="236"/>
      <c r="RI154" s="236"/>
      <c r="RJ154" s="236"/>
      <c r="RK154" s="236"/>
      <c r="RL154" s="236"/>
      <c r="RM154" s="236"/>
      <c r="RN154" s="236"/>
      <c r="RO154" s="236"/>
      <c r="RP154" s="236"/>
      <c r="RQ154" s="236"/>
      <c r="RR154" s="236"/>
      <c r="RS154" s="236"/>
      <c r="RT154" s="236"/>
      <c r="RU154" s="236"/>
      <c r="RV154" s="236"/>
      <c r="RW154" s="236"/>
      <c r="RX154" s="236"/>
      <c r="RY154" s="236"/>
      <c r="RZ154" s="236"/>
      <c r="SA154" s="236"/>
      <c r="SB154" s="236"/>
      <c r="SC154" s="236"/>
      <c r="SD154" s="236"/>
      <c r="SE154" s="236"/>
      <c r="SF154" s="236"/>
      <c r="SG154" s="236"/>
      <c r="SH154" s="236"/>
      <c r="SI154" s="236"/>
      <c r="SJ154" s="236"/>
      <c r="SK154" s="236"/>
      <c r="SL154" s="236"/>
      <c r="SM154" s="236"/>
      <c r="SN154" s="236"/>
      <c r="SO154" s="236"/>
      <c r="SP154" s="236"/>
      <c r="SQ154" s="236"/>
      <c r="SR154" s="236"/>
      <c r="SS154" s="236"/>
      <c r="ST154" s="236"/>
      <c r="SU154" s="236"/>
      <c r="SV154" s="236"/>
      <c r="SW154" s="236"/>
      <c r="SX154" s="236"/>
      <c r="SY154" s="236"/>
      <c r="SZ154" s="236"/>
      <c r="TA154" s="236"/>
      <c r="TB154" s="236"/>
      <c r="TC154" s="236"/>
      <c r="TD154" s="236"/>
      <c r="TE154" s="236"/>
      <c r="TF154" s="236"/>
      <c r="TG154" s="236"/>
      <c r="TH154" s="236"/>
      <c r="TI154" s="236"/>
      <c r="TJ154" s="236"/>
      <c r="TK154" s="236"/>
      <c r="TL154" s="236"/>
      <c r="TM154" s="236"/>
      <c r="TN154" s="236"/>
      <c r="TO154" s="236"/>
      <c r="TP154" s="236"/>
      <c r="TQ154" s="236"/>
      <c r="TR154" s="236"/>
      <c r="TS154" s="236"/>
      <c r="TT154" s="236"/>
      <c r="TU154" s="236"/>
      <c r="TV154" s="236"/>
      <c r="TW154" s="236"/>
      <c r="TX154" s="236"/>
      <c r="TY154" s="236"/>
      <c r="TZ154" s="236"/>
      <c r="UA154" s="236"/>
      <c r="UB154" s="236"/>
      <c r="UC154" s="236"/>
      <c r="UD154" s="236"/>
      <c r="UE154" s="236"/>
      <c r="UF154" s="236"/>
      <c r="UG154" s="236"/>
      <c r="UH154" s="236"/>
      <c r="UI154" s="236"/>
      <c r="UJ154" s="236"/>
      <c r="UK154" s="236"/>
      <c r="UL154" s="236"/>
      <c r="UM154" s="236"/>
      <c r="UN154" s="236"/>
      <c r="UO154" s="236"/>
      <c r="UP154" s="236"/>
      <c r="UQ154" s="236"/>
      <c r="UR154" s="236"/>
      <c r="US154" s="236"/>
      <c r="UT154" s="236"/>
      <c r="UU154" s="236"/>
      <c r="UV154" s="236"/>
      <c r="UW154" s="236"/>
      <c r="UX154" s="236"/>
      <c r="UY154" s="236"/>
      <c r="UZ154" s="236"/>
      <c r="VA154" s="236"/>
      <c r="VB154" s="236"/>
      <c r="VC154" s="236"/>
      <c r="VD154" s="236"/>
      <c r="VE154" s="236"/>
      <c r="VF154" s="236"/>
      <c r="VG154" s="236"/>
      <c r="VH154" s="236"/>
      <c r="VI154" s="236"/>
      <c r="VJ154" s="236"/>
      <c r="VK154" s="236"/>
      <c r="VL154" s="236"/>
      <c r="VM154" s="236"/>
      <c r="VN154" s="236"/>
      <c r="VO154" s="236"/>
      <c r="VP154" s="236"/>
      <c r="VQ154" s="236"/>
      <c r="VR154" s="236"/>
      <c r="VS154" s="236"/>
      <c r="VT154" s="236"/>
      <c r="VU154" s="236"/>
      <c r="VV154" s="236"/>
      <c r="VW154" s="236"/>
      <c r="VX154" s="236"/>
      <c r="VY154" s="236"/>
      <c r="VZ154" s="236"/>
      <c r="WA154" s="236"/>
      <c r="WB154" s="236"/>
      <c r="WC154" s="236"/>
      <c r="WD154" s="236"/>
      <c r="WE154" s="236"/>
      <c r="WF154" s="236"/>
      <c r="WG154" s="236"/>
      <c r="WH154" s="236"/>
      <c r="WI154" s="236"/>
      <c r="WJ154" s="236"/>
      <c r="WK154" s="236"/>
      <c r="WL154" s="236"/>
      <c r="WM154" s="236"/>
      <c r="WN154" s="236"/>
      <c r="WO154" s="236"/>
      <c r="WP154" s="236"/>
      <c r="WQ154" s="236"/>
      <c r="WR154" s="236"/>
      <c r="WS154" s="236"/>
      <c r="WT154" s="236"/>
      <c r="WU154" s="236"/>
      <c r="WV154" s="236"/>
      <c r="WW154" s="236"/>
      <c r="WX154" s="236"/>
      <c r="WY154" s="236"/>
      <c r="WZ154" s="236"/>
      <c r="XA154" s="236"/>
      <c r="XB154" s="236"/>
      <c r="XC154" s="236"/>
      <c r="XD154" s="236"/>
      <c r="XE154" s="236"/>
      <c r="XF154" s="236"/>
      <c r="XG154" s="236"/>
      <c r="XH154" s="236"/>
      <c r="XI154" s="236"/>
      <c r="XJ154" s="236"/>
      <c r="XK154" s="236"/>
      <c r="XL154" s="236"/>
      <c r="XM154" s="236"/>
      <c r="XN154" s="236"/>
      <c r="XO154" s="236"/>
      <c r="XP154" s="236"/>
      <c r="XQ154" s="236"/>
      <c r="XR154" s="236"/>
      <c r="XS154" s="236"/>
      <c r="XT154" s="236"/>
      <c r="XU154" s="236"/>
      <c r="XV154" s="236"/>
      <c r="XW154" s="236"/>
      <c r="XX154" s="236"/>
      <c r="XY154" s="236"/>
      <c r="XZ154" s="236"/>
      <c r="YA154" s="236"/>
      <c r="YB154" s="236"/>
      <c r="YC154" s="236"/>
      <c r="YD154" s="236"/>
      <c r="YE154" s="236"/>
      <c r="YF154" s="236"/>
      <c r="YG154" s="236"/>
      <c r="YH154" s="236"/>
      <c r="YI154" s="236"/>
      <c r="YJ154" s="236"/>
      <c r="YK154" s="236"/>
      <c r="YL154" s="236"/>
      <c r="YM154" s="236"/>
      <c r="YN154" s="236"/>
      <c r="YO154" s="236"/>
      <c r="YP154" s="236"/>
      <c r="YQ154" s="236"/>
      <c r="YR154" s="236"/>
      <c r="YS154" s="236"/>
      <c r="YT154" s="236"/>
      <c r="YU154" s="236"/>
      <c r="YV154" s="236"/>
      <c r="YW154" s="236"/>
      <c r="YX154" s="236"/>
      <c r="YY154" s="236"/>
      <c r="YZ154" s="236"/>
      <c r="ZA154" s="236"/>
      <c r="ZB154" s="236"/>
      <c r="ZC154" s="236"/>
      <c r="ZD154" s="236"/>
      <c r="ZE154" s="236"/>
      <c r="ZF154" s="236"/>
      <c r="ZG154" s="236"/>
      <c r="ZH154" s="236"/>
      <c r="ZI154" s="236"/>
      <c r="ZJ154" s="236"/>
      <c r="ZK154" s="236"/>
      <c r="ZL154" s="236"/>
      <c r="ZM154" s="236"/>
      <c r="ZN154" s="236"/>
      <c r="ZO154" s="236"/>
      <c r="ZP154" s="236"/>
      <c r="ZQ154" s="236"/>
      <c r="ZR154" s="236"/>
      <c r="ZS154" s="236"/>
      <c r="ZT154" s="236"/>
      <c r="ZU154" s="236"/>
      <c r="ZV154" s="236"/>
      <c r="ZW154" s="236"/>
      <c r="ZX154" s="236"/>
      <c r="ZY154" s="236"/>
      <c r="ZZ154" s="236"/>
      <c r="AAA154" s="236"/>
      <c r="AAB154" s="236"/>
      <c r="AAC154" s="236"/>
      <c r="AAD154" s="236"/>
      <c r="AAE154" s="236"/>
      <c r="AAF154" s="236"/>
      <c r="AAG154" s="236"/>
      <c r="AAH154" s="236"/>
      <c r="AAI154" s="236"/>
      <c r="AAJ154" s="236"/>
      <c r="AAK154" s="236"/>
      <c r="AAL154" s="236"/>
      <c r="AAM154" s="236"/>
      <c r="AAN154" s="236"/>
      <c r="AAO154" s="236"/>
      <c r="AAP154" s="236"/>
      <c r="AAQ154" s="236"/>
      <c r="AAR154" s="236"/>
      <c r="AAS154" s="236"/>
      <c r="AAT154" s="236"/>
      <c r="AAU154" s="236"/>
      <c r="AAV154" s="236"/>
      <c r="AAW154" s="236"/>
      <c r="AAX154" s="236"/>
      <c r="AAY154" s="236"/>
      <c r="AAZ154" s="236"/>
      <c r="ABA154" s="236"/>
      <c r="ABB154" s="236"/>
      <c r="ABC154" s="236"/>
      <c r="ABD154" s="236"/>
      <c r="ABE154" s="236"/>
      <c r="ABF154" s="236"/>
      <c r="ABG154" s="236"/>
      <c r="ABH154" s="236"/>
      <c r="ABI154" s="236"/>
      <c r="ABJ154" s="236"/>
      <c r="ABK154" s="236"/>
      <c r="ABL154" s="236"/>
      <c r="ABM154" s="236"/>
      <c r="ABN154" s="236"/>
      <c r="ABO154" s="236"/>
      <c r="ABP154" s="236"/>
      <c r="ABQ154" s="236"/>
      <c r="ABR154" s="236"/>
      <c r="ABS154" s="236"/>
      <c r="ABT154" s="236"/>
      <c r="ABU154" s="236"/>
      <c r="ABV154" s="236"/>
      <c r="ABW154" s="236"/>
      <c r="ABX154" s="236"/>
      <c r="ABY154" s="236"/>
      <c r="ABZ154" s="236"/>
      <c r="ACA154" s="236"/>
      <c r="ACB154" s="236"/>
      <c r="ACC154" s="236"/>
      <c r="ACD154" s="236"/>
      <c r="ACE154" s="236"/>
      <c r="ACF154" s="236"/>
      <c r="ACG154" s="236"/>
      <c r="ACH154" s="236"/>
      <c r="ACI154" s="236"/>
      <c r="ACJ154" s="236"/>
      <c r="ACK154" s="236"/>
      <c r="ACL154" s="236"/>
      <c r="ACM154" s="236"/>
      <c r="ACN154" s="236"/>
      <c r="ACO154" s="236"/>
      <c r="ACP154" s="236"/>
      <c r="ACQ154" s="236"/>
      <c r="ACR154" s="236"/>
      <c r="ACS154" s="236"/>
      <c r="ACT154" s="236"/>
      <c r="ACU154" s="236"/>
      <c r="ACV154" s="236"/>
      <c r="ACW154" s="236"/>
      <c r="ACX154" s="236"/>
      <c r="ACY154" s="236"/>
      <c r="ACZ154" s="236"/>
      <c r="ADA154" s="236"/>
      <c r="ADB154" s="236"/>
      <c r="ADC154" s="236"/>
      <c r="ADD154" s="236"/>
      <c r="ADE154" s="236"/>
      <c r="ADF154" s="236"/>
      <c r="ADG154" s="236"/>
      <c r="ADH154" s="236"/>
      <c r="ADI154" s="236"/>
      <c r="ADJ154" s="236"/>
      <c r="ADK154" s="236"/>
      <c r="ADL154" s="236"/>
      <c r="ADM154" s="236"/>
      <c r="ADN154" s="236"/>
      <c r="ADO154" s="236"/>
      <c r="ADP154" s="236"/>
      <c r="ADQ154" s="236"/>
      <c r="ADR154" s="236"/>
      <c r="ADS154" s="236"/>
      <c r="ADT154" s="236"/>
      <c r="ADU154" s="236"/>
      <c r="ADV154" s="236"/>
      <c r="ADW154" s="236"/>
      <c r="ADX154" s="236"/>
      <c r="ADY154" s="236"/>
      <c r="ADZ154" s="236"/>
      <c r="AEA154" s="236"/>
      <c r="AEB154" s="236"/>
      <c r="AEC154" s="236"/>
      <c r="AED154" s="236"/>
      <c r="AEE154" s="236"/>
      <c r="AEF154" s="236"/>
      <c r="AEG154" s="236"/>
      <c r="AEH154" s="236"/>
      <c r="AEI154" s="236"/>
      <c r="AEJ154" s="236"/>
      <c r="AEK154" s="236"/>
      <c r="AEL154" s="236"/>
      <c r="AEM154" s="236"/>
      <c r="AEN154" s="236"/>
      <c r="AEO154" s="236"/>
      <c r="AEP154" s="236"/>
      <c r="AEQ154" s="236"/>
      <c r="AER154" s="236"/>
      <c r="AES154" s="236"/>
      <c r="AET154" s="236"/>
      <c r="AEU154" s="236"/>
      <c r="AEV154" s="236"/>
      <c r="AEW154" s="236"/>
      <c r="AEX154" s="236"/>
      <c r="AEY154" s="236"/>
      <c r="AEZ154" s="236"/>
      <c r="AFA154" s="236"/>
      <c r="AFB154" s="236"/>
      <c r="AFC154" s="236"/>
      <c r="AFD154" s="236"/>
      <c r="AFE154" s="236"/>
      <c r="AFF154" s="236"/>
      <c r="AFG154" s="236"/>
      <c r="AFH154" s="236"/>
      <c r="AFI154" s="236"/>
      <c r="AFJ154" s="236"/>
      <c r="AFK154" s="236"/>
      <c r="AFL154" s="236"/>
      <c r="AFM154" s="236"/>
      <c r="AFN154" s="236"/>
      <c r="AFO154" s="236"/>
      <c r="AFP154" s="236"/>
      <c r="AFQ154" s="236"/>
      <c r="AFR154" s="236"/>
      <c r="AFS154" s="236"/>
      <c r="AFT154" s="236"/>
      <c r="AFU154" s="236"/>
      <c r="AFV154" s="236"/>
      <c r="AFW154" s="236"/>
      <c r="AFX154" s="236"/>
      <c r="AFY154" s="236"/>
      <c r="AFZ154" s="236"/>
      <c r="AGA154" s="236"/>
      <c r="AGB154" s="236"/>
      <c r="AGC154" s="236"/>
      <c r="AGD154" s="236"/>
      <c r="AGE154" s="236"/>
      <c r="AGF154" s="236"/>
      <c r="AGG154" s="236"/>
      <c r="AGH154" s="236"/>
      <c r="AGI154" s="236"/>
      <c r="AGJ154" s="236"/>
      <c r="AGK154" s="236"/>
      <c r="AGL154" s="236"/>
      <c r="AGM154" s="236"/>
      <c r="AGN154" s="236"/>
      <c r="AGO154" s="236"/>
      <c r="AGP154" s="236"/>
      <c r="AGQ154" s="236"/>
      <c r="AGR154" s="236"/>
      <c r="AGS154" s="236"/>
      <c r="AGT154" s="236"/>
      <c r="AGU154" s="236"/>
      <c r="AGV154" s="236"/>
      <c r="AGW154" s="236"/>
      <c r="AGX154" s="236"/>
      <c r="AGY154" s="236"/>
      <c r="AGZ154" s="236"/>
      <c r="AHA154" s="236"/>
      <c r="AHB154" s="236"/>
      <c r="AHC154" s="236"/>
      <c r="AHD154" s="236"/>
      <c r="AHE154" s="236"/>
      <c r="AHF154" s="236"/>
      <c r="AHG154" s="236"/>
      <c r="AHH154" s="236"/>
      <c r="AHI154" s="236"/>
      <c r="AHJ154" s="236"/>
      <c r="AHK154" s="236"/>
      <c r="AHL154" s="236"/>
      <c r="AHM154" s="236"/>
      <c r="AHN154" s="236"/>
      <c r="AHO154" s="236"/>
      <c r="AHP154" s="236"/>
      <c r="AHQ154" s="236"/>
      <c r="AHR154" s="236"/>
      <c r="AHS154" s="236"/>
      <c r="AHT154" s="236"/>
      <c r="AHU154" s="236"/>
      <c r="AHV154" s="236"/>
      <c r="AHW154" s="236"/>
      <c r="AHX154" s="236"/>
      <c r="AHY154" s="236"/>
      <c r="AHZ154" s="236"/>
      <c r="AIA154" s="236"/>
      <c r="AIB154" s="236"/>
      <c r="AIC154" s="236"/>
      <c r="AID154" s="236"/>
      <c r="AIE154" s="236"/>
      <c r="AIF154" s="236"/>
      <c r="AIG154" s="236"/>
      <c r="AIH154" s="236"/>
      <c r="AII154" s="236"/>
      <c r="AIJ154" s="236"/>
      <c r="AIK154" s="236"/>
      <c r="AIL154" s="236"/>
      <c r="AIM154" s="236"/>
      <c r="AIN154" s="236"/>
      <c r="AIO154" s="236"/>
      <c r="AIP154" s="236"/>
      <c r="AIQ154" s="236"/>
      <c r="AIR154" s="236"/>
      <c r="AIS154" s="236"/>
      <c r="AIT154" s="236"/>
      <c r="AIU154" s="236"/>
      <c r="AIV154" s="236"/>
      <c r="AIW154" s="236"/>
      <c r="AIX154" s="236"/>
      <c r="AIY154" s="236"/>
      <c r="AIZ154" s="236"/>
      <c r="AJA154" s="236"/>
      <c r="AJB154" s="236"/>
      <c r="AJC154" s="236"/>
      <c r="AJD154" s="236"/>
      <c r="AJE154" s="236"/>
      <c r="AJF154" s="236"/>
      <c r="AJG154" s="236"/>
      <c r="AJH154" s="236"/>
      <c r="AJI154" s="236"/>
      <c r="AJJ154" s="236"/>
      <c r="AJK154" s="236"/>
      <c r="AJL154" s="236"/>
      <c r="AJM154" s="236"/>
      <c r="AJN154" s="236"/>
      <c r="AJO154" s="236"/>
      <c r="AJP154" s="236"/>
      <c r="AJQ154" s="236"/>
      <c r="AJR154" s="236"/>
      <c r="AJS154" s="236"/>
      <c r="AJT154" s="236"/>
      <c r="AJU154" s="236"/>
      <c r="AJV154" s="236"/>
      <c r="AJW154" s="236"/>
      <c r="AJX154" s="236"/>
      <c r="AJY154" s="236"/>
      <c r="AJZ154" s="236"/>
      <c r="AKA154" s="236"/>
      <c r="AKB154" s="236"/>
      <c r="AKC154" s="236"/>
      <c r="AKD154" s="236"/>
      <c r="AKE154" s="236"/>
      <c r="AKF154" s="236"/>
      <c r="AKG154" s="236"/>
      <c r="AKH154" s="236"/>
      <c r="AKI154" s="236"/>
      <c r="AKJ154" s="236"/>
      <c r="AKK154" s="236"/>
      <c r="AKL154" s="236"/>
      <c r="AKM154" s="236"/>
      <c r="AKN154" s="236"/>
      <c r="AKO154" s="236"/>
      <c r="AKP154" s="236"/>
      <c r="AKQ154" s="236"/>
      <c r="AKR154" s="236"/>
      <c r="AKS154" s="236"/>
      <c r="AKT154" s="236"/>
      <c r="AKU154" s="236"/>
      <c r="AKV154" s="236"/>
      <c r="AKW154" s="236"/>
      <c r="AKX154" s="236"/>
      <c r="AKY154" s="236"/>
      <c r="AKZ154" s="236"/>
      <c r="ALA154" s="236"/>
      <c r="ALB154" s="236"/>
      <c r="ALC154" s="236"/>
      <c r="ALD154" s="236"/>
      <c r="ALE154" s="236"/>
      <c r="ALF154" s="236"/>
      <c r="ALG154" s="236"/>
      <c r="ALH154" s="236"/>
      <c r="ALI154" s="236"/>
      <c r="ALJ154" s="236"/>
      <c r="ALK154" s="236"/>
      <c r="ALL154" s="236"/>
      <c r="ALM154" s="236"/>
      <c r="ALN154" s="236"/>
      <c r="ALO154" s="236"/>
      <c r="ALP154" s="236"/>
      <c r="ALQ154" s="236"/>
      <c r="ALR154" s="236"/>
      <c r="ALS154" s="236"/>
      <c r="ALT154" s="236"/>
      <c r="ALU154" s="236"/>
      <c r="ALV154" s="236"/>
      <c r="ALW154" s="236"/>
      <c r="ALX154" s="236"/>
      <c r="ALY154" s="236"/>
      <c r="ALZ154" s="236"/>
      <c r="AMA154" s="236"/>
      <c r="AMB154" s="236"/>
      <c r="AMC154" s="236"/>
      <c r="AMD154" s="236"/>
      <c r="AME154" s="236"/>
      <c r="AMF154" s="236"/>
      <c r="AMG154" s="236"/>
      <c r="AMH154" s="236"/>
      <c r="AMI154" s="236"/>
      <c r="AMJ154" s="236"/>
      <c r="AMK154" s="236"/>
      <c r="AML154" s="236"/>
      <c r="AMM154" s="236"/>
    </row>
    <row r="155" spans="1:1027" s="243" customFormat="1" ht="30" customHeight="1">
      <c r="A155" s="1832"/>
      <c r="B155" s="1833"/>
      <c r="C155" s="1833"/>
      <c r="D155" s="1833"/>
      <c r="E155" s="1833"/>
      <c r="F155" s="1833"/>
      <c r="G155" s="1833"/>
      <c r="H155" s="1833"/>
      <c r="I155" s="1833"/>
      <c r="J155" s="1833"/>
      <c r="K155" s="1833"/>
      <c r="L155" s="1834"/>
      <c r="M155" s="285"/>
      <c r="N155" s="1409" t="s">
        <v>184</v>
      </c>
      <c r="O155" s="1410"/>
      <c r="P155" s="1410"/>
      <c r="Q155" s="1410"/>
      <c r="R155" s="1411"/>
      <c r="S155" s="341"/>
      <c r="T155" s="341"/>
      <c r="U155" s="341"/>
      <c r="V155" s="1409" t="s">
        <v>607</v>
      </c>
      <c r="W155" s="1410"/>
      <c r="X155" s="1410"/>
      <c r="Y155" s="1410"/>
      <c r="Z155" s="1411"/>
      <c r="AA155" s="1077"/>
      <c r="AB155" s="1342" t="s">
        <v>2663</v>
      </c>
      <c r="AC155" s="1411"/>
      <c r="AD155" s="1396"/>
      <c r="AE155" s="1397"/>
      <c r="AF155" s="1397"/>
      <c r="AG155" s="1397"/>
      <c r="AH155" s="1397"/>
      <c r="AI155" s="1397"/>
      <c r="AJ155" s="1397"/>
      <c r="AK155" s="1397"/>
      <c r="AL155" s="1397"/>
      <c r="AM155" s="1398"/>
      <c r="AN155" s="245"/>
      <c r="AO155" s="245"/>
      <c r="AP155" s="295"/>
      <c r="AQ155" s="245"/>
      <c r="AR155" s="597"/>
      <c r="AS155" s="1057"/>
      <c r="AT155" s="245"/>
      <c r="AU155" s="295"/>
      <c r="AV155" s="245"/>
      <c r="AW155" s="245"/>
      <c r="AX155" s="295"/>
    </row>
    <row r="156" spans="1:1027" s="243" customFormat="1" ht="30" customHeight="1">
      <c r="A156" s="1832"/>
      <c r="B156" s="1833"/>
      <c r="C156" s="1833"/>
      <c r="D156" s="1833"/>
      <c r="E156" s="1833"/>
      <c r="F156" s="1833"/>
      <c r="G156" s="1833"/>
      <c r="H156" s="1833"/>
      <c r="I156" s="1833"/>
      <c r="J156" s="1833"/>
      <c r="K156" s="1833"/>
      <c r="L156" s="1834"/>
      <c r="M156" s="285"/>
      <c r="N156" s="1409" t="s">
        <v>225</v>
      </c>
      <c r="O156" s="1410"/>
      <c r="P156" s="1410"/>
      <c r="Q156" s="1410"/>
      <c r="R156" s="1411"/>
      <c r="S156" s="341"/>
      <c r="T156" s="341"/>
      <c r="U156" s="341"/>
      <c r="V156" s="1409" t="s">
        <v>3428</v>
      </c>
      <c r="W156" s="1410"/>
      <c r="X156" s="1410"/>
      <c r="Y156" s="1410"/>
      <c r="Z156" s="1411"/>
      <c r="AA156" s="1077"/>
      <c r="AB156" s="1342" t="s">
        <v>3429</v>
      </c>
      <c r="AC156" s="1344"/>
      <c r="AD156" s="1396"/>
      <c r="AE156" s="1397"/>
      <c r="AF156" s="1397"/>
      <c r="AG156" s="1397"/>
      <c r="AH156" s="1397"/>
      <c r="AI156" s="1397"/>
      <c r="AJ156" s="1397"/>
      <c r="AK156" s="1397"/>
      <c r="AL156" s="1397"/>
      <c r="AM156" s="1398"/>
      <c r="AN156" s="245"/>
      <c r="AO156" s="245"/>
      <c r="AP156" s="295"/>
      <c r="AQ156" s="245"/>
      <c r="AR156" s="597"/>
      <c r="AS156" s="1057"/>
      <c r="AT156" s="245"/>
      <c r="AU156" s="295"/>
      <c r="AV156" s="245"/>
      <c r="AW156" s="245"/>
      <c r="AX156" s="295"/>
    </row>
    <row r="157" spans="1:1027" s="243" customFormat="1" ht="30" customHeight="1">
      <c r="A157" s="1835"/>
      <c r="B157" s="1836"/>
      <c r="C157" s="1836"/>
      <c r="D157" s="1836"/>
      <c r="E157" s="1836"/>
      <c r="F157" s="1836"/>
      <c r="G157" s="1836"/>
      <c r="H157" s="1836"/>
      <c r="I157" s="1836"/>
      <c r="J157" s="1836"/>
      <c r="K157" s="1836"/>
      <c r="L157" s="1837"/>
      <c r="M157" s="285"/>
      <c r="N157" s="1396"/>
      <c r="O157" s="1397"/>
      <c r="P157" s="1397"/>
      <c r="Q157" s="1397"/>
      <c r="R157" s="1398"/>
      <c r="S157" s="286"/>
      <c r="T157" s="286"/>
      <c r="U157" s="286"/>
      <c r="V157" s="1396"/>
      <c r="W157" s="1397"/>
      <c r="X157" s="1397"/>
      <c r="Y157" s="1397"/>
      <c r="Z157" s="1398"/>
      <c r="AA157" s="1062"/>
      <c r="AB157" s="1396"/>
      <c r="AC157" s="1398"/>
      <c r="AD157" s="1396"/>
      <c r="AE157" s="1397"/>
      <c r="AF157" s="1397"/>
      <c r="AG157" s="1397"/>
      <c r="AH157" s="1397"/>
      <c r="AI157" s="1397"/>
      <c r="AJ157" s="1397"/>
      <c r="AK157" s="1397"/>
      <c r="AL157" s="1397"/>
      <c r="AM157" s="1398"/>
      <c r="AN157" s="245"/>
      <c r="AO157" s="245"/>
      <c r="AP157" s="295"/>
      <c r="AQ157" s="245"/>
      <c r="AR157" s="597"/>
      <c r="AS157" s="1057"/>
      <c r="AT157" s="245"/>
      <c r="AU157" s="295"/>
      <c r="AV157" s="245"/>
      <c r="AW157" s="245"/>
      <c r="AX157" s="295"/>
    </row>
    <row r="158" spans="1:1027" s="243" customFormat="1" ht="30" customHeight="1">
      <c r="A158" s="300"/>
      <c r="B158" s="300"/>
      <c r="C158" s="300"/>
      <c r="D158" s="300"/>
      <c r="E158" s="300"/>
      <c r="F158" s="300"/>
      <c r="G158" s="300"/>
      <c r="H158" s="300"/>
      <c r="I158" s="300"/>
      <c r="J158" s="300"/>
      <c r="K158" s="300"/>
      <c r="L158" s="300"/>
      <c r="M158" s="285"/>
      <c r="N158" s="1403"/>
      <c r="O158" s="1403"/>
      <c r="P158" s="1403"/>
      <c r="Q158" s="1403"/>
      <c r="R158" s="1403"/>
      <c r="S158" s="288"/>
      <c r="T158" s="288"/>
      <c r="U158" s="288"/>
      <c r="V158" s="1403"/>
      <c r="W158" s="1403"/>
      <c r="X158" s="1403"/>
      <c r="Y158" s="1403"/>
      <c r="Z158" s="1403"/>
      <c r="AA158" s="1064"/>
      <c r="AB158" s="1021"/>
      <c r="AC158" s="1021"/>
      <c r="AD158" s="288"/>
      <c r="AE158" s="288"/>
      <c r="AF158" s="288"/>
      <c r="AG158" s="288"/>
      <c r="AH158" s="288"/>
      <c r="AI158" s="288"/>
      <c r="AJ158" s="288"/>
      <c r="AK158" s="288"/>
      <c r="AL158" s="288"/>
      <c r="AM158" s="288"/>
      <c r="AN158" s="245"/>
      <c r="AO158" s="245"/>
      <c r="AP158" s="295"/>
      <c r="AQ158" s="245"/>
      <c r="AR158" s="597"/>
      <c r="AS158" s="1057"/>
      <c r="AT158" s="245"/>
      <c r="AU158" s="295"/>
      <c r="AV158" s="245"/>
      <c r="AW158" s="245"/>
      <c r="AX158" s="295"/>
    </row>
    <row r="159" spans="1:1027">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1076"/>
      <c r="AB159" s="233"/>
      <c r="AC159" s="233"/>
      <c r="AD159" s="233"/>
      <c r="AE159" s="233"/>
      <c r="AF159" s="233"/>
      <c r="AG159" s="233"/>
      <c r="AH159" s="233"/>
      <c r="AI159" s="233"/>
      <c r="AJ159" s="233"/>
      <c r="AK159" s="233"/>
      <c r="AL159" s="233"/>
      <c r="AM159" s="233"/>
      <c r="AN159" s="233"/>
      <c r="AO159" s="233"/>
      <c r="AQ159" s="233"/>
      <c r="AR159" s="598"/>
      <c r="AT159" s="233"/>
      <c r="AV159" s="233"/>
      <c r="AW159" s="233"/>
    </row>
    <row r="160" spans="1:1027">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1076"/>
      <c r="AB160" s="233"/>
      <c r="AC160" s="233"/>
      <c r="AD160" s="233"/>
      <c r="AE160" s="233"/>
      <c r="AF160" s="233"/>
      <c r="AG160" s="233"/>
      <c r="AH160" s="233"/>
      <c r="AI160" s="233"/>
      <c r="AJ160" s="233"/>
      <c r="AK160" s="233"/>
      <c r="AL160" s="233"/>
      <c r="AM160" s="233"/>
    </row>
  </sheetData>
  <sheetProtection formatCells="0" formatColumns="0" formatRows="0" insertRows="0" deleteColumns="0" sort="0" autoFilter="0"/>
  <mergeCells count="814">
    <mergeCell ref="AW1:AX4"/>
    <mergeCell ref="G2:V2"/>
    <mergeCell ref="AP2:AQ2"/>
    <mergeCell ref="AR2:AS2"/>
    <mergeCell ref="A3:A4"/>
    <mergeCell ref="G3:H3"/>
    <mergeCell ref="I3:N3"/>
    <mergeCell ref="O3:V3"/>
    <mergeCell ref="Z3:AB4"/>
    <mergeCell ref="AC3:AC4"/>
    <mergeCell ref="G1:V1"/>
    <mergeCell ref="X1:Y4"/>
    <mergeCell ref="Z1:AB2"/>
    <mergeCell ref="AC1:AC2"/>
    <mergeCell ref="AD1:AN2"/>
    <mergeCell ref="AP1:AS1"/>
    <mergeCell ref="AD3:AN4"/>
    <mergeCell ref="AP3:AQ3"/>
    <mergeCell ref="AR3:AS3"/>
    <mergeCell ref="G4:H4"/>
    <mergeCell ref="I4:N4"/>
    <mergeCell ref="O4:V4"/>
    <mergeCell ref="AP4:AQ4"/>
    <mergeCell ref="AR4:AS4"/>
    <mergeCell ref="AM9:AM16"/>
    <mergeCell ref="AN9:AN16"/>
    <mergeCell ref="AO9:AO16"/>
    <mergeCell ref="AT6:AX6"/>
    <mergeCell ref="A7:A8"/>
    <mergeCell ref="B7:B8"/>
    <mergeCell ref="C7:E8"/>
    <mergeCell ref="F7:F8"/>
    <mergeCell ref="G7:I8"/>
    <mergeCell ref="J7:L8"/>
    <mergeCell ref="M7:P7"/>
    <mergeCell ref="Q7:V7"/>
    <mergeCell ref="X7:Z8"/>
    <mergeCell ref="AX7:AX8"/>
    <mergeCell ref="AR7:AR8"/>
    <mergeCell ref="AS7:AS8"/>
    <mergeCell ref="AT7:AT8"/>
    <mergeCell ref="AU7:AU8"/>
    <mergeCell ref="AV7:AV8"/>
    <mergeCell ref="AW7:AW8"/>
    <mergeCell ref="A6:P6"/>
    <mergeCell ref="Q6:V6"/>
    <mergeCell ref="X6:AM6"/>
    <mergeCell ref="AA7:AA8"/>
    <mergeCell ref="AO7:AO8"/>
    <mergeCell ref="AP7:AP8"/>
    <mergeCell ref="AQ7:AQ8"/>
    <mergeCell ref="AB7:AB8"/>
    <mergeCell ref="AC7:AC8"/>
    <mergeCell ref="AD7:AD8"/>
    <mergeCell ref="AE7:AE8"/>
    <mergeCell ref="AI7:AM7"/>
    <mergeCell ref="AN7:AN8"/>
    <mergeCell ref="AE9:AE16"/>
    <mergeCell ref="G14:I14"/>
    <mergeCell ref="X14:Z14"/>
    <mergeCell ref="G15:I15"/>
    <mergeCell ref="X15:Z15"/>
    <mergeCell ref="G16:I16"/>
    <mergeCell ref="X16:Z16"/>
    <mergeCell ref="A9:A16"/>
    <mergeCell ref="B9:B16"/>
    <mergeCell ref="C9:E16"/>
    <mergeCell ref="F9:F16"/>
    <mergeCell ref="G9:I9"/>
    <mergeCell ref="J9:L16"/>
    <mergeCell ref="M9:M16"/>
    <mergeCell ref="N9:N16"/>
    <mergeCell ref="O9:O16"/>
    <mergeCell ref="P9:P16"/>
    <mergeCell ref="Q9:Q16"/>
    <mergeCell ref="R9:R16"/>
    <mergeCell ref="AA9:AA16"/>
    <mergeCell ref="AW9:AW16"/>
    <mergeCell ref="AX9:AX16"/>
    <mergeCell ref="G10:I10"/>
    <mergeCell ref="X10:Z10"/>
    <mergeCell ref="G11:I11"/>
    <mergeCell ref="X11:Z11"/>
    <mergeCell ref="G12:I12"/>
    <mergeCell ref="X12:Z12"/>
    <mergeCell ref="G13:I13"/>
    <mergeCell ref="X13:Z13"/>
    <mergeCell ref="AQ9:AQ16"/>
    <mergeCell ref="AR9:AR16"/>
    <mergeCell ref="AS9:AS16"/>
    <mergeCell ref="AT9:AT16"/>
    <mergeCell ref="AU9:AU16"/>
    <mergeCell ref="AV9:AV16"/>
    <mergeCell ref="AI9:AI16"/>
    <mergeCell ref="AK9:AK16"/>
    <mergeCell ref="AP9:AP16"/>
    <mergeCell ref="V9:V16"/>
    <mergeCell ref="X9:Z9"/>
    <mergeCell ref="AB9:AB16"/>
    <mergeCell ref="AC9:AC16"/>
    <mergeCell ref="AD9:AD16"/>
    <mergeCell ref="C17:E17"/>
    <mergeCell ref="G17:I17"/>
    <mergeCell ref="J17:L17"/>
    <mergeCell ref="X17:Z17"/>
    <mergeCell ref="A18:A22"/>
    <mergeCell ref="B18:B22"/>
    <mergeCell ref="C18:E22"/>
    <mergeCell ref="F18:F22"/>
    <mergeCell ref="G18:I18"/>
    <mergeCell ref="J18:L22"/>
    <mergeCell ref="AB18:AB22"/>
    <mergeCell ref="AC18:AC22"/>
    <mergeCell ref="AD18:AD22"/>
    <mergeCell ref="AE18:AE22"/>
    <mergeCell ref="M18:M22"/>
    <mergeCell ref="N18:N22"/>
    <mergeCell ref="O18:O22"/>
    <mergeCell ref="P18:P22"/>
    <mergeCell ref="Q18:Q22"/>
    <mergeCell ref="R18:R22"/>
    <mergeCell ref="AA18:AA22"/>
    <mergeCell ref="AW18:AW22"/>
    <mergeCell ref="AX18:AX22"/>
    <mergeCell ref="G19:I19"/>
    <mergeCell ref="X19:Z19"/>
    <mergeCell ref="G20:I20"/>
    <mergeCell ref="X20:Z20"/>
    <mergeCell ref="G21:I21"/>
    <mergeCell ref="X21:Z21"/>
    <mergeCell ref="G22:I22"/>
    <mergeCell ref="X22:Z22"/>
    <mergeCell ref="AQ18:AQ22"/>
    <mergeCell ref="AR18:AR22"/>
    <mergeCell ref="AS18:AS22"/>
    <mergeCell ref="AT18:AT22"/>
    <mergeCell ref="AU18:AU22"/>
    <mergeCell ref="AV18:AV22"/>
    <mergeCell ref="AI18:AI22"/>
    <mergeCell ref="AK18:AK22"/>
    <mergeCell ref="AM18:AM22"/>
    <mergeCell ref="AN18:AN22"/>
    <mergeCell ref="AO18:AO22"/>
    <mergeCell ref="AP18:AP22"/>
    <mergeCell ref="V18:V22"/>
    <mergeCell ref="X18:Z18"/>
    <mergeCell ref="A26:A29"/>
    <mergeCell ref="B26:B29"/>
    <mergeCell ref="C26:E29"/>
    <mergeCell ref="F26:F29"/>
    <mergeCell ref="G26:I26"/>
    <mergeCell ref="V23:V25"/>
    <mergeCell ref="X23:Z23"/>
    <mergeCell ref="AB23:AB25"/>
    <mergeCell ref="AD23:AD25"/>
    <mergeCell ref="M23:M25"/>
    <mergeCell ref="N23:N25"/>
    <mergeCell ref="O23:O25"/>
    <mergeCell ref="P23:P25"/>
    <mergeCell ref="Q23:Q25"/>
    <mergeCell ref="R23:R25"/>
    <mergeCell ref="A23:A25"/>
    <mergeCell ref="B23:B25"/>
    <mergeCell ref="C23:E25"/>
    <mergeCell ref="F23:F25"/>
    <mergeCell ref="G23:I23"/>
    <mergeCell ref="J23:L25"/>
    <mergeCell ref="J26:L29"/>
    <mergeCell ref="M26:M29"/>
    <mergeCell ref="N26:N29"/>
    <mergeCell ref="AO23:AO25"/>
    <mergeCell ref="G24:I24"/>
    <mergeCell ref="X24:Z24"/>
    <mergeCell ref="G25:I25"/>
    <mergeCell ref="X25:Z25"/>
    <mergeCell ref="AE23:AE25"/>
    <mergeCell ref="AN23:AN25"/>
    <mergeCell ref="AM26:AM29"/>
    <mergeCell ref="AN26:AN29"/>
    <mergeCell ref="AO26:AO29"/>
    <mergeCell ref="R26:R29"/>
    <mergeCell ref="V26:V29"/>
    <mergeCell ref="X26:Z26"/>
    <mergeCell ref="AB26:AB29"/>
    <mergeCell ref="AC26:AC29"/>
    <mergeCell ref="AD26:AD29"/>
    <mergeCell ref="AA26:AA29"/>
    <mergeCell ref="AV26:AV29"/>
    <mergeCell ref="AW26:AW29"/>
    <mergeCell ref="AX26:AX29"/>
    <mergeCell ref="G27:I27"/>
    <mergeCell ref="X27:Z27"/>
    <mergeCell ref="G28:I28"/>
    <mergeCell ref="X28:Z28"/>
    <mergeCell ref="G29:I29"/>
    <mergeCell ref="X29:Z29"/>
    <mergeCell ref="AP26:AP29"/>
    <mergeCell ref="AQ26:AQ29"/>
    <mergeCell ref="AR26:AR29"/>
    <mergeCell ref="AS26:AS29"/>
    <mergeCell ref="AT26:AT29"/>
    <mergeCell ref="AU26:AU29"/>
    <mergeCell ref="AE26:AE29"/>
    <mergeCell ref="AI26:AI29"/>
    <mergeCell ref="AK26:AK29"/>
    <mergeCell ref="O26:O29"/>
    <mergeCell ref="P26:P29"/>
    <mergeCell ref="Q26:Q29"/>
    <mergeCell ref="AD30:AD31"/>
    <mergeCell ref="AE30:AE31"/>
    <mergeCell ref="M30:M31"/>
    <mergeCell ref="N30:N31"/>
    <mergeCell ref="O30:O31"/>
    <mergeCell ref="A30:A31"/>
    <mergeCell ref="B30:B31"/>
    <mergeCell ref="C30:E31"/>
    <mergeCell ref="F30:F31"/>
    <mergeCell ref="G30:I30"/>
    <mergeCell ref="J30:L31"/>
    <mergeCell ref="AA32:AA36"/>
    <mergeCell ref="AN32:AN36"/>
    <mergeCell ref="AO32:AO36"/>
    <mergeCell ref="AP32:AP36"/>
    <mergeCell ref="V32:V36"/>
    <mergeCell ref="X32:Z32"/>
    <mergeCell ref="AB32:AB36"/>
    <mergeCell ref="A32:A36"/>
    <mergeCell ref="B32:B36"/>
    <mergeCell ref="C32:E36"/>
    <mergeCell ref="F32:F36"/>
    <mergeCell ref="G32:I32"/>
    <mergeCell ref="J32:L36"/>
    <mergeCell ref="AW30:AW31"/>
    <mergeCell ref="AX30:AX31"/>
    <mergeCell ref="G31:I31"/>
    <mergeCell ref="X31:Z31"/>
    <mergeCell ref="AT30:AT31"/>
    <mergeCell ref="AU30:AU31"/>
    <mergeCell ref="AV30:AV31"/>
    <mergeCell ref="P30:P31"/>
    <mergeCell ref="Q30:Q31"/>
    <mergeCell ref="R30:R31"/>
    <mergeCell ref="AA30:AA31"/>
    <mergeCell ref="AQ30:AQ31"/>
    <mergeCell ref="AR30:AR31"/>
    <mergeCell ref="AS30:AS31"/>
    <mergeCell ref="AI30:AI31"/>
    <mergeCell ref="AK30:AK31"/>
    <mergeCell ref="AM30:AM31"/>
    <mergeCell ref="AN30:AN31"/>
    <mergeCell ref="AO30:AO31"/>
    <mergeCell ref="AP30:AP31"/>
    <mergeCell ref="V30:V31"/>
    <mergeCell ref="X30:Z30"/>
    <mergeCell ref="AB30:AB31"/>
    <mergeCell ref="AC30:AC31"/>
    <mergeCell ref="A37:A39"/>
    <mergeCell ref="B37:B39"/>
    <mergeCell ref="C37:E39"/>
    <mergeCell ref="F37:F39"/>
    <mergeCell ref="G37:I37"/>
    <mergeCell ref="J37:L39"/>
    <mergeCell ref="M32:M36"/>
    <mergeCell ref="N32:N36"/>
    <mergeCell ref="O32:O36"/>
    <mergeCell ref="AW32:AW36"/>
    <mergeCell ref="AX32:AX36"/>
    <mergeCell ref="G33:I33"/>
    <mergeCell ref="X33:Z34"/>
    <mergeCell ref="G34:I34"/>
    <mergeCell ref="G35:I35"/>
    <mergeCell ref="X35:Z35"/>
    <mergeCell ref="G36:I36"/>
    <mergeCell ref="X36:Z36"/>
    <mergeCell ref="AQ32:AQ36"/>
    <mergeCell ref="AR32:AR36"/>
    <mergeCell ref="AS32:AS36"/>
    <mergeCell ref="AT32:AT36"/>
    <mergeCell ref="AU32:AU36"/>
    <mergeCell ref="AV32:AV36"/>
    <mergeCell ref="AI32:AI36"/>
    <mergeCell ref="AK32:AK36"/>
    <mergeCell ref="AM32:AM36"/>
    <mergeCell ref="AC32:AC36"/>
    <mergeCell ref="AD32:AD36"/>
    <mergeCell ref="AE32:AE36"/>
    <mergeCell ref="P32:P36"/>
    <mergeCell ref="Q32:Q36"/>
    <mergeCell ref="R32:R36"/>
    <mergeCell ref="AU37:AU39"/>
    <mergeCell ref="AV37:AV39"/>
    <mergeCell ref="AW37:AW39"/>
    <mergeCell ref="AX37:AX39"/>
    <mergeCell ref="G38:I38"/>
    <mergeCell ref="G39:I39"/>
    <mergeCell ref="X39:Z39"/>
    <mergeCell ref="AN37:AN39"/>
    <mergeCell ref="AO37:AO39"/>
    <mergeCell ref="AP37:AP39"/>
    <mergeCell ref="AQ37:AQ39"/>
    <mergeCell ref="AR37:AR39"/>
    <mergeCell ref="AS37:AS39"/>
    <mergeCell ref="AF37:AF39"/>
    <mergeCell ref="AG37:AG39"/>
    <mergeCell ref="AH37:AH39"/>
    <mergeCell ref="AI37:AI39"/>
    <mergeCell ref="AK37:AK39"/>
    <mergeCell ref="AM37:AM39"/>
    <mergeCell ref="V37:V39"/>
    <mergeCell ref="X37:Z38"/>
    <mergeCell ref="AB37:AB39"/>
    <mergeCell ref="AC37:AC39"/>
    <mergeCell ref="AD37:AD39"/>
    <mergeCell ref="C40:E40"/>
    <mergeCell ref="G40:I40"/>
    <mergeCell ref="J40:L40"/>
    <mergeCell ref="X40:Z40"/>
    <mergeCell ref="C41:E41"/>
    <mergeCell ref="G41:I41"/>
    <mergeCell ref="J41:L41"/>
    <mergeCell ref="X41:Z41"/>
    <mergeCell ref="AT37:AT39"/>
    <mergeCell ref="AE37:AE39"/>
    <mergeCell ref="M37:M39"/>
    <mergeCell ref="N37:N39"/>
    <mergeCell ref="O37:O39"/>
    <mergeCell ref="P37:P39"/>
    <mergeCell ref="Q37:Q39"/>
    <mergeCell ref="R37:R39"/>
    <mergeCell ref="AA37:AA39"/>
    <mergeCell ref="C44:E44"/>
    <mergeCell ref="G44:I44"/>
    <mergeCell ref="J44:L44"/>
    <mergeCell ref="X44:Z44"/>
    <mergeCell ref="C45:E45"/>
    <mergeCell ref="G45:I45"/>
    <mergeCell ref="J45:L45"/>
    <mergeCell ref="X45:Z45"/>
    <mergeCell ref="C42:E42"/>
    <mergeCell ref="G42:I42"/>
    <mergeCell ref="J42:L42"/>
    <mergeCell ref="X42:Z42"/>
    <mergeCell ref="C43:E43"/>
    <mergeCell ref="G43:I43"/>
    <mergeCell ref="J43:L43"/>
    <mergeCell ref="X43:Z43"/>
    <mergeCell ref="C48:E48"/>
    <mergeCell ref="G48:I48"/>
    <mergeCell ref="J48:L48"/>
    <mergeCell ref="X48:Z48"/>
    <mergeCell ref="C49:E49"/>
    <mergeCell ref="G49:I49"/>
    <mergeCell ref="J49:L49"/>
    <mergeCell ref="X49:Z49"/>
    <mergeCell ref="C46:E46"/>
    <mergeCell ref="G46:I46"/>
    <mergeCell ref="J46:L46"/>
    <mergeCell ref="X46:Z46"/>
    <mergeCell ref="C47:E47"/>
    <mergeCell ref="G47:I47"/>
    <mergeCell ref="J47:L47"/>
    <mergeCell ref="X47:Z47"/>
    <mergeCell ref="C52:E52"/>
    <mergeCell ref="G52:I52"/>
    <mergeCell ref="J52:L52"/>
    <mergeCell ref="X52:Z52"/>
    <mergeCell ref="C53:E53"/>
    <mergeCell ref="G53:I53"/>
    <mergeCell ref="J53:L53"/>
    <mergeCell ref="X53:Z53"/>
    <mergeCell ref="C50:E50"/>
    <mergeCell ref="G50:I50"/>
    <mergeCell ref="J50:L50"/>
    <mergeCell ref="X50:Z50"/>
    <mergeCell ref="C51:E51"/>
    <mergeCell ref="G51:I51"/>
    <mergeCell ref="J51:L51"/>
    <mergeCell ref="X51:Z51"/>
    <mergeCell ref="C56:E56"/>
    <mergeCell ref="G56:I56"/>
    <mergeCell ref="J56:L56"/>
    <mergeCell ref="X56:Z56"/>
    <mergeCell ref="C57:E57"/>
    <mergeCell ref="G57:I57"/>
    <mergeCell ref="J57:L57"/>
    <mergeCell ref="X57:Z57"/>
    <mergeCell ref="C54:E54"/>
    <mergeCell ref="G54:I54"/>
    <mergeCell ref="J54:L54"/>
    <mergeCell ref="X54:Z54"/>
    <mergeCell ref="C55:E55"/>
    <mergeCell ref="G55:I55"/>
    <mergeCell ref="J55:L55"/>
    <mergeCell ref="X55:Z55"/>
    <mergeCell ref="C60:E60"/>
    <mergeCell ref="G60:I60"/>
    <mergeCell ref="J60:L60"/>
    <mergeCell ref="X60:Z60"/>
    <mergeCell ref="C61:E61"/>
    <mergeCell ref="G61:I61"/>
    <mergeCell ref="J61:L61"/>
    <mergeCell ref="X61:Z61"/>
    <mergeCell ref="C58:E58"/>
    <mergeCell ref="G58:I58"/>
    <mergeCell ref="J58:L58"/>
    <mergeCell ref="X58:Z58"/>
    <mergeCell ref="C59:E59"/>
    <mergeCell ref="G59:I59"/>
    <mergeCell ref="J59:L59"/>
    <mergeCell ref="X59:Z59"/>
    <mergeCell ref="C64:E64"/>
    <mergeCell ref="G64:I64"/>
    <mergeCell ref="J64:L64"/>
    <mergeCell ref="X64:Z64"/>
    <mergeCell ref="C65:E65"/>
    <mergeCell ref="G65:I65"/>
    <mergeCell ref="J65:L65"/>
    <mergeCell ref="X65:Z65"/>
    <mergeCell ref="C62:E62"/>
    <mergeCell ref="G62:I62"/>
    <mergeCell ref="J62:L62"/>
    <mergeCell ref="X62:Z62"/>
    <mergeCell ref="C63:E63"/>
    <mergeCell ref="G63:I63"/>
    <mergeCell ref="J63:L63"/>
    <mergeCell ref="X63:Z63"/>
    <mergeCell ref="C68:E68"/>
    <mergeCell ref="G68:I68"/>
    <mergeCell ref="J68:L68"/>
    <mergeCell ref="X68:Z68"/>
    <mergeCell ref="C69:E69"/>
    <mergeCell ref="G69:I69"/>
    <mergeCell ref="J69:L69"/>
    <mergeCell ref="X69:Z69"/>
    <mergeCell ref="C66:E66"/>
    <mergeCell ref="G66:I66"/>
    <mergeCell ref="J66:L66"/>
    <mergeCell ref="X66:Z66"/>
    <mergeCell ref="C67:E67"/>
    <mergeCell ref="G67:I67"/>
    <mergeCell ref="J67:L67"/>
    <mergeCell ref="X67:Z67"/>
    <mergeCell ref="C72:E72"/>
    <mergeCell ref="G72:I72"/>
    <mergeCell ref="J72:L72"/>
    <mergeCell ref="X72:Z72"/>
    <mergeCell ref="C73:E73"/>
    <mergeCell ref="G73:I73"/>
    <mergeCell ref="J73:L73"/>
    <mergeCell ref="X73:Z73"/>
    <mergeCell ref="C70:E70"/>
    <mergeCell ref="G70:I70"/>
    <mergeCell ref="J70:L70"/>
    <mergeCell ref="X70:Z70"/>
    <mergeCell ref="C71:E71"/>
    <mergeCell ref="G71:I71"/>
    <mergeCell ref="J71:L71"/>
    <mergeCell ref="X71:Z71"/>
    <mergeCell ref="C76:E76"/>
    <mergeCell ref="G76:I76"/>
    <mergeCell ref="J76:L76"/>
    <mergeCell ref="X76:Z76"/>
    <mergeCell ref="C77:E77"/>
    <mergeCell ref="G77:I77"/>
    <mergeCell ref="J77:L77"/>
    <mergeCell ref="X77:Z77"/>
    <mergeCell ref="C74:E74"/>
    <mergeCell ref="G74:I74"/>
    <mergeCell ref="J74:L74"/>
    <mergeCell ref="X74:Z74"/>
    <mergeCell ref="C75:E75"/>
    <mergeCell ref="G75:I75"/>
    <mergeCell ref="J75:L75"/>
    <mergeCell ref="X75:Z75"/>
    <mergeCell ref="C80:E80"/>
    <mergeCell ref="G80:I80"/>
    <mergeCell ref="J80:L80"/>
    <mergeCell ref="X80:Z80"/>
    <mergeCell ref="C81:E81"/>
    <mergeCell ref="G81:I81"/>
    <mergeCell ref="J81:L81"/>
    <mergeCell ref="X81:Z81"/>
    <mergeCell ref="C78:E78"/>
    <mergeCell ref="G78:I78"/>
    <mergeCell ref="J78:L78"/>
    <mergeCell ref="X78:Z78"/>
    <mergeCell ref="C79:E79"/>
    <mergeCell ref="G79:I79"/>
    <mergeCell ref="J79:L79"/>
    <mergeCell ref="X79:Z79"/>
    <mergeCell ref="C84:E84"/>
    <mergeCell ref="G84:I84"/>
    <mergeCell ref="J84:L84"/>
    <mergeCell ref="X84:Z84"/>
    <mergeCell ref="C85:E85"/>
    <mergeCell ref="G85:I85"/>
    <mergeCell ref="J85:L85"/>
    <mergeCell ref="X85:Z85"/>
    <mergeCell ref="C82:E82"/>
    <mergeCell ref="G82:I82"/>
    <mergeCell ref="J82:L82"/>
    <mergeCell ref="X82:Z82"/>
    <mergeCell ref="C83:E83"/>
    <mergeCell ref="G83:I83"/>
    <mergeCell ref="J83:L83"/>
    <mergeCell ref="X83:Z83"/>
    <mergeCell ref="G92:I92"/>
    <mergeCell ref="C86:E86"/>
    <mergeCell ref="G86:I86"/>
    <mergeCell ref="J86:L86"/>
    <mergeCell ref="X86:Z86"/>
    <mergeCell ref="C87:E87"/>
    <mergeCell ref="G87:I87"/>
    <mergeCell ref="J87:L87"/>
    <mergeCell ref="X87:Z87"/>
    <mergeCell ref="X99:Z99"/>
    <mergeCell ref="A88:AM88"/>
    <mergeCell ref="A89:A99"/>
    <mergeCell ref="B89:B99"/>
    <mergeCell ref="C89:E99"/>
    <mergeCell ref="F89:F99"/>
    <mergeCell ref="G89:I89"/>
    <mergeCell ref="J89:L99"/>
    <mergeCell ref="M89:M99"/>
    <mergeCell ref="N89:N99"/>
    <mergeCell ref="O89:O99"/>
    <mergeCell ref="AI89:AI99"/>
    <mergeCell ref="AK89:AK99"/>
    <mergeCell ref="AM89:AM99"/>
    <mergeCell ref="P89:P99"/>
    <mergeCell ref="Q89:Q99"/>
    <mergeCell ref="R89:R99"/>
    <mergeCell ref="V89:V99"/>
    <mergeCell ref="X89:Z89"/>
    <mergeCell ref="AB89:AB99"/>
    <mergeCell ref="G90:I90"/>
    <mergeCell ref="X90:Z90"/>
    <mergeCell ref="G91:I91"/>
    <mergeCell ref="X91:Z91"/>
    <mergeCell ref="AM100:AM102"/>
    <mergeCell ref="G101:I101"/>
    <mergeCell ref="X101:Z101"/>
    <mergeCell ref="G102:I102"/>
    <mergeCell ref="X102:Z102"/>
    <mergeCell ref="AI100:AI102"/>
    <mergeCell ref="AK100:AK102"/>
    <mergeCell ref="X92:Z92"/>
    <mergeCell ref="AC89:AC99"/>
    <mergeCell ref="AD89:AD99"/>
    <mergeCell ref="AE89:AE99"/>
    <mergeCell ref="G96:I96"/>
    <mergeCell ref="X96:Z96"/>
    <mergeCell ref="G97:I97"/>
    <mergeCell ref="X97:Z97"/>
    <mergeCell ref="G98:I98"/>
    <mergeCell ref="X98:Z98"/>
    <mergeCell ref="G93:I93"/>
    <mergeCell ref="X93:Z93"/>
    <mergeCell ref="G94:I94"/>
    <mergeCell ref="X94:Z94"/>
    <mergeCell ref="G95:I95"/>
    <mergeCell ref="X95:Z95"/>
    <mergeCell ref="G99:I99"/>
    <mergeCell ref="A103:A105"/>
    <mergeCell ref="B103:B105"/>
    <mergeCell ref="C103:E105"/>
    <mergeCell ref="F103:F105"/>
    <mergeCell ref="G103:I103"/>
    <mergeCell ref="AB100:AB102"/>
    <mergeCell ref="AC100:AC102"/>
    <mergeCell ref="AD100:AD102"/>
    <mergeCell ref="AE100:AE102"/>
    <mergeCell ref="O100:O102"/>
    <mergeCell ref="P100:P102"/>
    <mergeCell ref="Q100:Q102"/>
    <mergeCell ref="R100:R102"/>
    <mergeCell ref="V100:V102"/>
    <mergeCell ref="X100:Z100"/>
    <mergeCell ref="A100:A102"/>
    <mergeCell ref="B100:B102"/>
    <mergeCell ref="C100:E102"/>
    <mergeCell ref="F100:F102"/>
    <mergeCell ref="G100:I100"/>
    <mergeCell ref="J100:L102"/>
    <mergeCell ref="M100:M102"/>
    <mergeCell ref="N100:N102"/>
    <mergeCell ref="AL103:AL105"/>
    <mergeCell ref="AM103:AM105"/>
    <mergeCell ref="G104:I104"/>
    <mergeCell ref="G105:I105"/>
    <mergeCell ref="X105:Z105"/>
    <mergeCell ref="AE103:AE105"/>
    <mergeCell ref="AF103:AF105"/>
    <mergeCell ref="AG103:AG105"/>
    <mergeCell ref="AH103:AH105"/>
    <mergeCell ref="AI103:AI105"/>
    <mergeCell ref="AJ103:AJ105"/>
    <mergeCell ref="R103:R105"/>
    <mergeCell ref="V103:V105"/>
    <mergeCell ref="X103:Z104"/>
    <mergeCell ref="AB103:AB105"/>
    <mergeCell ref="AC103:AC105"/>
    <mergeCell ref="AD103:AD105"/>
    <mergeCell ref="J103:L105"/>
    <mergeCell ref="M103:M105"/>
    <mergeCell ref="N103:N105"/>
    <mergeCell ref="O103:O105"/>
    <mergeCell ref="P103:P105"/>
    <mergeCell ref="Q103:Q105"/>
    <mergeCell ref="C106:E106"/>
    <mergeCell ref="G106:I106"/>
    <mergeCell ref="J106:L106"/>
    <mergeCell ref="X106:Z106"/>
    <mergeCell ref="C107:E107"/>
    <mergeCell ref="G107:I107"/>
    <mergeCell ref="J107:L107"/>
    <mergeCell ref="X107:Z107"/>
    <mergeCell ref="AK103:AK105"/>
    <mergeCell ref="C110:E110"/>
    <mergeCell ref="G110:I110"/>
    <mergeCell ref="J110:L110"/>
    <mergeCell ref="X110:Z110"/>
    <mergeCell ref="C111:E111"/>
    <mergeCell ref="G111:I111"/>
    <mergeCell ref="J111:L111"/>
    <mergeCell ref="X111:Z111"/>
    <mergeCell ref="C108:E108"/>
    <mergeCell ref="G108:I108"/>
    <mergeCell ref="J108:L108"/>
    <mergeCell ref="X108:Z108"/>
    <mergeCell ref="C109:E109"/>
    <mergeCell ref="G109:I109"/>
    <mergeCell ref="J109:L109"/>
    <mergeCell ref="X109:Z109"/>
    <mergeCell ref="C114:E114"/>
    <mergeCell ref="G114:I114"/>
    <mergeCell ref="J114:L114"/>
    <mergeCell ref="X114:Z114"/>
    <mergeCell ref="C115:E115"/>
    <mergeCell ref="G115:I115"/>
    <mergeCell ref="J115:L115"/>
    <mergeCell ref="X115:Z115"/>
    <mergeCell ref="C112:E112"/>
    <mergeCell ref="G112:I112"/>
    <mergeCell ref="J112:L112"/>
    <mergeCell ref="X112:Z112"/>
    <mergeCell ref="C113:E113"/>
    <mergeCell ref="G113:I113"/>
    <mergeCell ref="J113:L113"/>
    <mergeCell ref="X113:Z113"/>
    <mergeCell ref="C118:E118"/>
    <mergeCell ref="G118:I118"/>
    <mergeCell ref="J118:L118"/>
    <mergeCell ref="X118:Z118"/>
    <mergeCell ref="C119:E119"/>
    <mergeCell ref="G119:I119"/>
    <mergeCell ref="J119:L119"/>
    <mergeCell ref="X119:Z119"/>
    <mergeCell ref="C116:E116"/>
    <mergeCell ref="G116:I116"/>
    <mergeCell ref="J116:L116"/>
    <mergeCell ref="X116:Z116"/>
    <mergeCell ref="C117:E117"/>
    <mergeCell ref="G117:I117"/>
    <mergeCell ref="J117:L117"/>
    <mergeCell ref="X117:Z117"/>
    <mergeCell ref="C122:E122"/>
    <mergeCell ref="G122:I122"/>
    <mergeCell ref="J122:L122"/>
    <mergeCell ref="X122:Z122"/>
    <mergeCell ref="C123:E123"/>
    <mergeCell ref="G123:I123"/>
    <mergeCell ref="J123:L123"/>
    <mergeCell ref="X123:Z123"/>
    <mergeCell ref="C120:E120"/>
    <mergeCell ref="G120:I120"/>
    <mergeCell ref="J120:L120"/>
    <mergeCell ref="X120:Z120"/>
    <mergeCell ref="C121:E121"/>
    <mergeCell ref="G121:I121"/>
    <mergeCell ref="J121:L121"/>
    <mergeCell ref="X121:Z121"/>
    <mergeCell ref="C126:E126"/>
    <mergeCell ref="G126:I126"/>
    <mergeCell ref="J126:L126"/>
    <mergeCell ref="X126:Z126"/>
    <mergeCell ref="C127:E127"/>
    <mergeCell ref="G127:I127"/>
    <mergeCell ref="J127:L127"/>
    <mergeCell ref="X127:Z127"/>
    <mergeCell ref="C124:E124"/>
    <mergeCell ref="G124:I124"/>
    <mergeCell ref="J124:L124"/>
    <mergeCell ref="X124:Z124"/>
    <mergeCell ref="C125:E125"/>
    <mergeCell ref="G125:I125"/>
    <mergeCell ref="J125:L125"/>
    <mergeCell ref="X125:Z125"/>
    <mergeCell ref="C130:E130"/>
    <mergeCell ref="G130:I130"/>
    <mergeCell ref="J130:L130"/>
    <mergeCell ref="X130:Z130"/>
    <mergeCell ref="C131:E131"/>
    <mergeCell ref="G131:I131"/>
    <mergeCell ref="J131:L131"/>
    <mergeCell ref="X131:Z131"/>
    <mergeCell ref="C128:E128"/>
    <mergeCell ref="G128:I128"/>
    <mergeCell ref="J128:L128"/>
    <mergeCell ref="X128:Z128"/>
    <mergeCell ref="C129:E129"/>
    <mergeCell ref="G129:I129"/>
    <mergeCell ref="J129:L129"/>
    <mergeCell ref="X129:Z129"/>
    <mergeCell ref="C134:E134"/>
    <mergeCell ref="G134:I134"/>
    <mergeCell ref="J134:L134"/>
    <mergeCell ref="X134:Z134"/>
    <mergeCell ref="C135:E135"/>
    <mergeCell ref="G135:I135"/>
    <mergeCell ref="J135:L135"/>
    <mergeCell ref="X135:Z135"/>
    <mergeCell ref="C132:E132"/>
    <mergeCell ref="G132:I132"/>
    <mergeCell ref="J132:L132"/>
    <mergeCell ref="X132:Z132"/>
    <mergeCell ref="C133:E133"/>
    <mergeCell ref="G133:I133"/>
    <mergeCell ref="J133:L133"/>
    <mergeCell ref="X133:Z133"/>
    <mergeCell ref="C138:E138"/>
    <mergeCell ref="G138:I138"/>
    <mergeCell ref="J138:L138"/>
    <mergeCell ref="X138:Z138"/>
    <mergeCell ref="C139:E139"/>
    <mergeCell ref="G139:I139"/>
    <mergeCell ref="J139:L139"/>
    <mergeCell ref="X139:Z139"/>
    <mergeCell ref="C136:E136"/>
    <mergeCell ref="G136:I136"/>
    <mergeCell ref="J136:L136"/>
    <mergeCell ref="X136:Z136"/>
    <mergeCell ref="C137:E137"/>
    <mergeCell ref="G137:I137"/>
    <mergeCell ref="J137:L137"/>
    <mergeCell ref="X137:Z137"/>
    <mergeCell ref="C142:E142"/>
    <mergeCell ref="G142:I142"/>
    <mergeCell ref="J142:L142"/>
    <mergeCell ref="X142:Z142"/>
    <mergeCell ref="C143:E143"/>
    <mergeCell ref="G143:I143"/>
    <mergeCell ref="J143:L143"/>
    <mergeCell ref="X143:Z143"/>
    <mergeCell ref="C140:E140"/>
    <mergeCell ref="G140:I140"/>
    <mergeCell ref="J140:L140"/>
    <mergeCell ref="X140:Z140"/>
    <mergeCell ref="C141:E141"/>
    <mergeCell ref="G141:I141"/>
    <mergeCell ref="J141:L141"/>
    <mergeCell ref="X141:Z141"/>
    <mergeCell ref="C146:E146"/>
    <mergeCell ref="G146:I146"/>
    <mergeCell ref="J146:L146"/>
    <mergeCell ref="X146:Z146"/>
    <mergeCell ref="C147:E147"/>
    <mergeCell ref="G147:I147"/>
    <mergeCell ref="J147:L147"/>
    <mergeCell ref="X147:Z147"/>
    <mergeCell ref="C144:E144"/>
    <mergeCell ref="G144:I144"/>
    <mergeCell ref="J144:L144"/>
    <mergeCell ref="X144:Z144"/>
    <mergeCell ref="C145:E145"/>
    <mergeCell ref="G145:I145"/>
    <mergeCell ref="J145:L145"/>
    <mergeCell ref="X145:Z145"/>
    <mergeCell ref="C150:E150"/>
    <mergeCell ref="G150:I150"/>
    <mergeCell ref="J150:L150"/>
    <mergeCell ref="X150:Z150"/>
    <mergeCell ref="C151:E151"/>
    <mergeCell ref="G151:I151"/>
    <mergeCell ref="J151:L151"/>
    <mergeCell ref="X151:Z151"/>
    <mergeCell ref="C148:E148"/>
    <mergeCell ref="G148:I148"/>
    <mergeCell ref="J148:L148"/>
    <mergeCell ref="X148:Z148"/>
    <mergeCell ref="C149:E149"/>
    <mergeCell ref="G149:I149"/>
    <mergeCell ref="J149:L149"/>
    <mergeCell ref="X149:Z149"/>
    <mergeCell ref="A153:L154"/>
    <mergeCell ref="N154:R154"/>
    <mergeCell ref="V154:Z154"/>
    <mergeCell ref="AB154:AC154"/>
    <mergeCell ref="AD154:AM154"/>
    <mergeCell ref="A155:L157"/>
    <mergeCell ref="N155:R155"/>
    <mergeCell ref="V155:Z155"/>
    <mergeCell ref="AB155:AC155"/>
    <mergeCell ref="AD155:AM155"/>
    <mergeCell ref="N158:R158"/>
    <mergeCell ref="V158:Z158"/>
    <mergeCell ref="N156:R156"/>
    <mergeCell ref="V156:Z156"/>
    <mergeCell ref="AB156:AC156"/>
    <mergeCell ref="AD156:AM156"/>
    <mergeCell ref="N157:R157"/>
    <mergeCell ref="V157:Z157"/>
    <mergeCell ref="AB157:AC157"/>
    <mergeCell ref="AD157:AM157"/>
  </mergeCells>
  <dataValidations count="6">
    <dataValidation type="list" allowBlank="1" showInputMessage="1" showErrorMessage="1" sqref="AS40:AS151 WDI9:WDI151 VTM9:VTM151 VJQ9:VJQ151 UZU9:UZU151 UPY9:UPY151 UGC9:UGC151 TWG9:TWG151 TMK9:TMK151 TCO9:TCO151 SSS9:SSS151 SIW9:SIW151 RZA9:RZA151 RPE9:RPE151 RFI9:RFI151 QVM9:QVM151 QLQ9:QLQ151 QBU9:QBU151 PRY9:PRY151 PIC9:PIC151 OYG9:OYG151 OOK9:OOK151 OEO9:OEO151 NUS9:NUS151 NKW9:NKW151 NBA9:NBA151 MRE9:MRE151 MHI9:MHI151 LXM9:LXM151 LNQ9:LNQ151 LDU9:LDU151 KTY9:KTY151 KKC9:KKC151 KAG9:KAG151 JQK9:JQK151 JGO9:JGO151 IWS9:IWS151 IMW9:IMW151 IDA9:IDA151 HTE9:HTE151 HJI9:HJI151 GZM9:GZM151 GPQ9:GPQ151 GFU9:GFU151 FVY9:FVY151 FMC9:FMC151 FCG9:FCG151 ESK9:ESK151 EIO9:EIO151 DYS9:DYS151 DOW9:DOW151 DFA9:DFA151 CVE9:CVE151 CLI9:CLI151 CBM9:CBM151 BRQ9:BRQ151 BHU9:BHU151 AXY9:AXY151 AOC9:AOC151 AEG9:AEG151 UK9:UK151 KO9:KO151 WXA9:WXA151 WNE9:WNE151 AS9:AS37">
      <formula1>SINO</formula1>
    </dataValidation>
    <dataValidation type="list" allowBlank="1" showInputMessage="1" showErrorMessage="1" sqref="Q106:Q151 Q103 Q89:Q100 Q9:Q30 Q40:Q87 WCH9:WCH151 VSL9:VSL151 VIP9:VIP151 UYT9:UYT151 UOX9:UOX151 UFB9:UFB151 TVF9:TVF151 TLJ9:TLJ151 TBN9:TBN151 SRR9:SRR151 SHV9:SHV151 RXZ9:RXZ151 ROD9:ROD151 REH9:REH151 QUL9:QUL151 QKP9:QKP151 QAT9:QAT151 PQX9:PQX151 PHB9:PHB151 OXF9:OXF151 ONJ9:ONJ151 ODN9:ODN151 NTR9:NTR151 NJV9:NJV151 MZZ9:MZZ151 MQD9:MQD151 MGH9:MGH151 LWL9:LWL151 LMP9:LMP151 LCT9:LCT151 KSX9:KSX151 KJB9:KJB151 JZF9:JZF151 JPJ9:JPJ151 JFN9:JFN151 IVR9:IVR151 ILV9:ILV151 IBZ9:IBZ151 HSD9:HSD151 HIH9:HIH151 GYL9:GYL151 GOP9:GOP151 GET9:GET151 FUX9:FUX151 FLB9:FLB151 FBF9:FBF151 ERJ9:ERJ151 EHN9:EHN151 DXR9:DXR151 DNV9:DNV151 DDZ9:DDZ151 CUD9:CUD151 CKH9:CKH151 CAL9:CAL151 BQP9:BQP151 BGT9:BGT151 AWX9:AWX151 ANB9:ANB151 ADF9:ADF151 TJ9:TJ151 JN9:JN151 WMD9:WMD151 WVZ9:WVZ151 Q32:Q37">
      <formula1>PROBAB</formula1>
    </dataValidation>
    <dataValidation type="list" allowBlank="1" showInputMessage="1" showErrorMessage="1" sqref="R103:R151 R100 R89 R9:R30 R32:R87 WCI9:WCI151 VSM9:VSM151 VIQ9:VIQ151 UYU9:UYU151 UOY9:UOY151 UFC9:UFC151 TVG9:TVG151 TLK9:TLK151 TBO9:TBO151 SRS9:SRS151 SHW9:SHW151 RYA9:RYA151 ROE9:ROE151 REI9:REI151 QUM9:QUM151 QKQ9:QKQ151 QAU9:QAU151 PQY9:PQY151 PHC9:PHC151 OXG9:OXG151 ONK9:ONK151 ODO9:ODO151 NTS9:NTS151 NJW9:NJW151 NAA9:NAA151 MQE9:MQE151 MGI9:MGI151 LWM9:LWM151 LMQ9:LMQ151 LCU9:LCU151 KSY9:KSY151 KJC9:KJC151 JZG9:JZG151 JPK9:JPK151 JFO9:JFO151 IVS9:IVS151 ILW9:ILW151 ICA9:ICA151 HSE9:HSE151 HII9:HII151 GYM9:GYM151 GOQ9:GOQ151 GEU9:GEU151 FUY9:FUY151 FLC9:FLC151 FBG9:FBG151 ERK9:ERK151 EHO9:EHO151 DXS9:DXS151 DNW9:DNW151 DEA9:DEA151 CUE9:CUE151 CKI9:CKI151 CAM9:CAM151 BQQ9:BQQ151 BGU9:BGU151 AWY9:AWY151 ANC9:ANC151 ADG9:ADG151 TK9:TK151 JO9:JO151 WME9:WME151 WWA9:WWA151">
      <formula1>IMPACTO</formula1>
    </dataValidation>
    <dataValidation type="list" showInputMessage="1" showErrorMessage="1" errorTitle="Rechazado" error="Solo son validadas las opciones de la lista" sqref="AE89:AE151 AE9 WCU9:WCU151 VSY9:VSY151 VJC9:VJC151 UZG9:UZG151 UPK9:UPK151 UFO9:UFO151 TVS9:TVS151 TLW9:TLW151 TCA9:TCA151 SSE9:SSE151 SII9:SII151 RYM9:RYM151 ROQ9:ROQ151 REU9:REU151 QUY9:QUY151 QLC9:QLC151 QBG9:QBG151 PRK9:PRK151 PHO9:PHO151 OXS9:OXS151 ONW9:ONW151 OEA9:OEA151 NUE9:NUE151 NKI9:NKI151 NAM9:NAM151 MQQ9:MQQ151 MGU9:MGU151 LWY9:LWY151 LNC9:LNC151 LDG9:LDG151 KTK9:KTK151 KJO9:KJO151 JZS9:JZS151 JPW9:JPW151 JGA9:JGA151 IWE9:IWE151 IMI9:IMI151 ICM9:ICM151 HSQ9:HSQ151 HIU9:HIU151 GYY9:GYY151 GPC9:GPC151 GFG9:GFG151 FVK9:FVK151 FLO9:FLO151 FBS9:FBS151 ERW9:ERW151 EIA9:EIA151 DYE9:DYE151 DOI9:DOI151 DEM9:DEM151 CUQ9:CUQ151 CKU9:CKU151 CAY9:CAY151 BRC9:BRC151 BHG9:BHG151 AXK9:AXK151 ANO9:ANO151 ADS9:ADS151 TW9:TW151 KA9:KA151 WMQ9:WMQ151 WWM9:WWM151 AE17:AE87">
      <formula1>Efecto</formula1>
    </dataValidation>
    <dataValidation showInputMessage="1" showErrorMessage="1" sqref="AG106:AK151 AK89 AI100 AK100:AK103 AJ89:AJ105 AI89 AG89:AH105 AI103:AI105 AG40:AK87 AI37 AJ38:AJ39 AI32 AI30 AJ9:AK37 AI23:AI26 AI9 AI17:AI18 AG9:AH39 WCW9:WDA151 VTA9:VTE151 VJE9:VJI151 UZI9:UZM151 UPM9:UPQ151 UFQ9:UFU151 TVU9:TVY151 TLY9:TMC151 TCC9:TCG151 SSG9:SSK151 SIK9:SIO151 RYO9:RYS151 ROS9:ROW151 REW9:RFA151 QVA9:QVE151 QLE9:QLI151 QBI9:QBM151 PRM9:PRQ151 PHQ9:PHU151 OXU9:OXY151 ONY9:OOC151 OEC9:OEG151 NUG9:NUK151 NKK9:NKO151 NAO9:NAS151 MQS9:MQW151 MGW9:MHA151 LXA9:LXE151 LNE9:LNI151 LDI9:LDM151 KTM9:KTQ151 KJQ9:KJU151 JZU9:JZY151 JPY9:JQC151 JGC9:JGG151 IWG9:IWK151 IMK9:IMO151 ICO9:ICS151 HSS9:HSW151 HIW9:HJA151 GZA9:GZE151 GPE9:GPI151 GFI9:GFM151 FVM9:FVQ151 FLQ9:FLU151 FBU9:FBY151 ERY9:ESC151 EIC9:EIG151 DYG9:DYK151 DOK9:DOO151 DEO9:DES151 CUS9:CUW151 CKW9:CLA151 CBA9:CBE151 BRE9:BRI151 BHI9:BHM151 AXM9:AXQ151 ANQ9:ANU151 ADU9:ADY151 TY9:UC151 KC9:KG151 WMS9:WMW151 WWO9:WWS151"/>
    <dataValidation type="whole" allowBlank="1" showInputMessage="1" showErrorMessage="1" sqref="AD103:AD151 AD100 AD89 AD9 AD17:AD18 AD23 AD26 AD30 AD37:AD87 AD32:AD35 WCT9:WCT151 VSX9:VSX151 VJB9:VJB151 UZF9:UZF151 UPJ9:UPJ151 UFN9:UFN151 TVR9:TVR151 TLV9:TLV151 TBZ9:TBZ151 SSD9:SSD151 SIH9:SIH151 RYL9:RYL151 ROP9:ROP151 RET9:RET151 QUX9:QUX151 QLB9:QLB151 QBF9:QBF151 PRJ9:PRJ151 PHN9:PHN151 OXR9:OXR151 ONV9:ONV151 ODZ9:ODZ151 NUD9:NUD151 NKH9:NKH151 NAL9:NAL151 MQP9:MQP151 MGT9:MGT151 LWX9:LWX151 LNB9:LNB151 LDF9:LDF151 KTJ9:KTJ151 KJN9:KJN151 JZR9:JZR151 JPV9:JPV151 JFZ9:JFZ151 IWD9:IWD151 IMH9:IMH151 ICL9:ICL151 HSP9:HSP151 HIT9:HIT151 GYX9:GYX151 GPB9:GPB151 GFF9:GFF151 FVJ9:FVJ151 FLN9:FLN151 FBR9:FBR151 ERV9:ERV151 EHZ9:EHZ151 DYD9:DYD151 DOH9:DOH151 DEL9:DEL151 CUP9:CUP151 CKT9:CKT151 CAX9:CAX151 BRB9:BRB151 BHF9:BHF151 AXJ9:AXJ151 ANN9:ANN151 ADR9:ADR151 TV9:TV151 JZ9:JZ151 WMP9:WMP151 WWL9:WWL151">
      <formula1>0</formula1>
      <formula2>100</formula2>
    </dataValidation>
  </dataValidations>
  <printOptions horizontalCentered="1"/>
  <pageMargins left="0.82677165354330717" right="0.23622047244094491" top="0.70866141732283472" bottom="0.70866141732283472" header="1.299212598425197" footer="0.70866141732283472"/>
  <pageSetup paperSize="5" scale="40" firstPageNumber="0" orientation="landscape" r:id="rId1"/>
  <headerFooter>
    <oddFooter>&amp;L&amp;9Formato: FO-AC-07 Versión: 3&amp;C&amp;9Página &amp;P</oddFooter>
  </headerFooter>
  <rowBreaks count="2" manualBreakCount="2">
    <brk id="22" max="49" man="1"/>
    <brk id="36" max="49"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P94"/>
  <sheetViews>
    <sheetView showGridLines="0" view="pageBreakPreview" zoomScale="70" zoomScaleNormal="100" zoomScaleSheetLayoutView="70" zoomScalePageLayoutView="95" workbookViewId="0">
      <pane xSplit="2" ySplit="8" topLeftCell="C9" activePane="bottomRight" state="frozen"/>
      <selection pane="topRight" activeCell="C1" sqref="C1"/>
      <selection pane="bottomLeft" activeCell="A9" sqref="A9"/>
      <selection pane="bottomRight"/>
    </sheetView>
  </sheetViews>
  <sheetFormatPr baseColWidth="10" defaultRowHeight="12.75"/>
  <cols>
    <col min="1" max="1" width="13.42578125" style="235" customWidth="1"/>
    <col min="2" max="2" width="2.7109375" style="235" customWidth="1"/>
    <col min="3" max="5" width="9.28515625" style="235" customWidth="1"/>
    <col min="6" max="6" width="6.5703125" style="235" customWidth="1"/>
    <col min="7" max="8" width="9.7109375" style="235" customWidth="1"/>
    <col min="9" max="9" width="18.140625" style="235" customWidth="1"/>
    <col min="10" max="12" width="10.140625" style="235" customWidth="1"/>
    <col min="13" max="15" width="3.7109375" style="235" customWidth="1"/>
    <col min="16" max="16" width="3.5703125" style="235" customWidth="1"/>
    <col min="17" max="17" width="2.85546875" style="235" customWidth="1"/>
    <col min="18" max="18" width="3" style="235" customWidth="1"/>
    <col min="19" max="19" width="11.42578125" style="235" hidden="1" customWidth="1"/>
    <col min="20" max="21" width="4.5703125" style="235" customWidth="1"/>
    <col min="22" max="22" width="4.42578125" style="235" customWidth="1"/>
    <col min="23" max="23" width="11.42578125" style="235" hidden="1" customWidth="1"/>
    <col min="24" max="26" width="14.28515625" style="235" customWidth="1"/>
    <col min="27" max="27" width="14.28515625" style="1126" customWidth="1"/>
    <col min="28" max="28" width="6.42578125" style="235" customWidth="1"/>
    <col min="29" max="29" width="17.28515625" style="235" customWidth="1"/>
    <col min="30" max="30" width="4.140625" style="235" customWidth="1"/>
    <col min="31" max="31" width="3" style="235" customWidth="1"/>
    <col min="32" max="34" width="0" style="235" hidden="1" customWidth="1"/>
    <col min="35" max="35" width="3" style="235" customWidth="1"/>
    <col min="36" max="36" width="0" style="235" hidden="1" customWidth="1"/>
    <col min="37" max="37" width="3" style="235" customWidth="1"/>
    <col min="38" max="38" width="0" style="235" hidden="1" customWidth="1"/>
    <col min="39" max="39" width="4.42578125" style="235" customWidth="1"/>
    <col min="40" max="40" width="35.42578125" style="235" customWidth="1"/>
    <col min="41" max="41" width="23.42578125" style="235" customWidth="1"/>
    <col min="42" max="42" width="9.140625" style="235" hidden="1" customWidth="1"/>
    <col min="43" max="43" width="37.140625" style="235" hidden="1" customWidth="1"/>
    <col min="44" max="44" width="44.42578125" style="235" hidden="1" customWidth="1"/>
    <col min="45" max="45" width="5.85546875" style="235" hidden="1" customWidth="1"/>
    <col min="46" max="46" width="9.140625" style="235" customWidth="1"/>
    <col min="47" max="47" width="37.140625" style="235" customWidth="1"/>
    <col min="48" max="48" width="47.140625" style="235" customWidth="1"/>
    <col min="49" max="49" width="5.85546875" style="235" customWidth="1"/>
    <col min="50" max="50" width="31.5703125" style="235" hidden="1" customWidth="1"/>
    <col min="51" max="51" width="16.140625" style="235" hidden="1" customWidth="1"/>
    <col min="52" max="53" width="9.28515625" style="235" hidden="1" customWidth="1"/>
    <col min="54" max="54" width="11.140625" style="235" hidden="1" customWidth="1"/>
    <col min="55" max="56" width="11.42578125" style="235" hidden="1" customWidth="1"/>
    <col min="57" max="67" width="0" style="235" hidden="1" customWidth="1"/>
    <col min="68" max="68" width="47.85546875" style="235" hidden="1" customWidth="1"/>
    <col min="69" max="260" width="11.42578125" style="235"/>
    <col min="261" max="261" width="12" style="235" customWidth="1"/>
    <col min="262" max="262" width="2.7109375" style="235" customWidth="1"/>
    <col min="263" max="264" width="6.5703125" style="235" customWidth="1"/>
    <col min="265" max="265" width="5.85546875" style="235" customWidth="1"/>
    <col min="266" max="266" width="6.5703125" style="235" customWidth="1"/>
    <col min="267" max="267" width="13.7109375" style="235" customWidth="1"/>
    <col min="268" max="269" width="9" style="235" customWidth="1"/>
    <col min="270" max="270" width="2.5703125" style="235" customWidth="1"/>
    <col min="271" max="271" width="8.85546875" style="235" customWidth="1"/>
    <col min="272" max="272" width="7.5703125" style="235" customWidth="1"/>
    <col min="273" max="275" width="3.7109375" style="235" customWidth="1"/>
    <col min="276" max="276" width="3.5703125" style="235" customWidth="1"/>
    <col min="277" max="277" width="2.85546875" style="235" customWidth="1"/>
    <col min="278" max="278" width="3" style="235" customWidth="1"/>
    <col min="279" max="281" width="0" style="235" hidden="1" customWidth="1"/>
    <col min="282" max="282" width="4.42578125" style="235" customWidth="1"/>
    <col min="283" max="283" width="0" style="235" hidden="1" customWidth="1"/>
    <col min="284" max="285" width="14.85546875" style="235" customWidth="1"/>
    <col min="286" max="286" width="15.140625" style="235" customWidth="1"/>
    <col min="287" max="287" width="6.42578125" style="235" customWidth="1"/>
    <col min="288" max="288" width="15.140625" style="235" customWidth="1"/>
    <col min="289" max="289" width="4.140625" style="235" customWidth="1"/>
    <col min="290" max="290" width="3" style="235" customWidth="1"/>
    <col min="291" max="293" width="0" style="235" hidden="1" customWidth="1"/>
    <col min="294" max="294" width="3" style="235" customWidth="1"/>
    <col min="295" max="295" width="0" style="235" hidden="1" customWidth="1"/>
    <col min="296" max="296" width="3" style="235" customWidth="1"/>
    <col min="297" max="297" width="0" style="235" hidden="1" customWidth="1"/>
    <col min="298" max="298" width="4.42578125" style="235" customWidth="1"/>
    <col min="299" max="299" width="34.28515625" style="235" customWidth="1"/>
    <col min="300" max="300" width="23.42578125" style="235" customWidth="1"/>
    <col min="301" max="301" width="9.140625" style="235" customWidth="1"/>
    <col min="302" max="302" width="19.5703125" style="235" customWidth="1"/>
    <col min="303" max="303" width="42.7109375" style="235" customWidth="1"/>
    <col min="304" max="304" width="5.85546875" style="235" customWidth="1"/>
    <col min="305" max="305" width="31.5703125" style="235" customWidth="1"/>
    <col min="306" max="306" width="16.140625" style="235" customWidth="1"/>
    <col min="307" max="308" width="9.28515625" style="235" customWidth="1"/>
    <col min="309" max="309" width="11.140625" style="235" customWidth="1"/>
    <col min="310" max="310" width="2.140625" style="235" customWidth="1"/>
    <col min="311" max="516" width="11.42578125" style="235"/>
    <col min="517" max="517" width="12" style="235" customWidth="1"/>
    <col min="518" max="518" width="2.7109375" style="235" customWidth="1"/>
    <col min="519" max="520" width="6.5703125" style="235" customWidth="1"/>
    <col min="521" max="521" width="5.85546875" style="235" customWidth="1"/>
    <col min="522" max="522" width="6.5703125" style="235" customWidth="1"/>
    <col min="523" max="523" width="13.7109375" style="235" customWidth="1"/>
    <col min="524" max="525" width="9" style="235" customWidth="1"/>
    <col min="526" max="526" width="2.5703125" style="235" customWidth="1"/>
    <col min="527" max="527" width="8.85546875" style="235" customWidth="1"/>
    <col min="528" max="528" width="7.5703125" style="235" customWidth="1"/>
    <col min="529" max="531" width="3.7109375" style="235" customWidth="1"/>
    <col min="532" max="532" width="3.5703125" style="235" customWidth="1"/>
    <col min="533" max="533" width="2.85546875" style="235" customWidth="1"/>
    <col min="534" max="534" width="3" style="235" customWidth="1"/>
    <col min="535" max="537" width="0" style="235" hidden="1" customWidth="1"/>
    <col min="538" max="538" width="4.42578125" style="235" customWidth="1"/>
    <col min="539" max="539" width="0" style="235" hidden="1" customWidth="1"/>
    <col min="540" max="541" width="14.85546875" style="235" customWidth="1"/>
    <col min="542" max="542" width="15.140625" style="235" customWidth="1"/>
    <col min="543" max="543" width="6.42578125" style="235" customWidth="1"/>
    <col min="544" max="544" width="15.140625" style="235" customWidth="1"/>
    <col min="545" max="545" width="4.140625" style="235" customWidth="1"/>
    <col min="546" max="546" width="3" style="235" customWidth="1"/>
    <col min="547" max="549" width="0" style="235" hidden="1" customWidth="1"/>
    <col min="550" max="550" width="3" style="235" customWidth="1"/>
    <col min="551" max="551" width="0" style="235" hidden="1" customWidth="1"/>
    <col min="552" max="552" width="3" style="235" customWidth="1"/>
    <col min="553" max="553" width="0" style="235" hidden="1" customWidth="1"/>
    <col min="554" max="554" width="4.42578125" style="235" customWidth="1"/>
    <col min="555" max="555" width="34.28515625" style="235" customWidth="1"/>
    <col min="556" max="556" width="23.42578125" style="235" customWidth="1"/>
    <col min="557" max="557" width="9.140625" style="235" customWidth="1"/>
    <col min="558" max="558" width="19.5703125" style="235" customWidth="1"/>
    <col min="559" max="559" width="42.7109375" style="235" customWidth="1"/>
    <col min="560" max="560" width="5.85546875" style="235" customWidth="1"/>
    <col min="561" max="561" width="31.5703125" style="235" customWidth="1"/>
    <col min="562" max="562" width="16.140625" style="235" customWidth="1"/>
    <col min="563" max="564" width="9.28515625" style="235" customWidth="1"/>
    <col min="565" max="565" width="11.140625" style="235" customWidth="1"/>
    <col min="566" max="566" width="2.140625" style="235" customWidth="1"/>
    <col min="567" max="772" width="11.42578125" style="235"/>
    <col min="773" max="773" width="12" style="235" customWidth="1"/>
    <col min="774" max="774" width="2.7109375" style="235" customWidth="1"/>
    <col min="775" max="776" width="6.5703125" style="235" customWidth="1"/>
    <col min="777" max="777" width="5.85546875" style="235" customWidth="1"/>
    <col min="778" max="778" width="6.5703125" style="235" customWidth="1"/>
    <col min="779" max="779" width="13.7109375" style="235" customWidth="1"/>
    <col min="780" max="781" width="9" style="235" customWidth="1"/>
    <col min="782" max="782" width="2.5703125" style="235" customWidth="1"/>
    <col min="783" max="783" width="8.85546875" style="235" customWidth="1"/>
    <col min="784" max="784" width="7.5703125" style="235" customWidth="1"/>
    <col min="785" max="787" width="3.7109375" style="235" customWidth="1"/>
    <col min="788" max="788" width="3.5703125" style="235" customWidth="1"/>
    <col min="789" max="789" width="2.85546875" style="235" customWidth="1"/>
    <col min="790" max="790" width="3" style="235" customWidth="1"/>
    <col min="791" max="793" width="0" style="235" hidden="1" customWidth="1"/>
    <col min="794" max="794" width="4.42578125" style="235" customWidth="1"/>
    <col min="795" max="795" width="0" style="235" hidden="1" customWidth="1"/>
    <col min="796" max="797" width="14.85546875" style="235" customWidth="1"/>
    <col min="798" max="798" width="15.140625" style="235" customWidth="1"/>
    <col min="799" max="799" width="6.42578125" style="235" customWidth="1"/>
    <col min="800" max="800" width="15.140625" style="235" customWidth="1"/>
    <col min="801" max="801" width="4.140625" style="235" customWidth="1"/>
    <col min="802" max="802" width="3" style="235" customWidth="1"/>
    <col min="803" max="805" width="0" style="235" hidden="1" customWidth="1"/>
    <col min="806" max="806" width="3" style="235" customWidth="1"/>
    <col min="807" max="807" width="0" style="235" hidden="1" customWidth="1"/>
    <col min="808" max="808" width="3" style="235" customWidth="1"/>
    <col min="809" max="809" width="0" style="235" hidden="1" customWidth="1"/>
    <col min="810" max="810" width="4.42578125" style="235" customWidth="1"/>
    <col min="811" max="811" width="34.28515625" style="235" customWidth="1"/>
    <col min="812" max="812" width="23.42578125" style="235" customWidth="1"/>
    <col min="813" max="813" width="9.140625" style="235" customWidth="1"/>
    <col min="814" max="814" width="19.5703125" style="235" customWidth="1"/>
    <col min="815" max="815" width="42.7109375" style="235" customWidth="1"/>
    <col min="816" max="816" width="5.85546875" style="235" customWidth="1"/>
    <col min="817" max="817" width="31.5703125" style="235" customWidth="1"/>
    <col min="818" max="818" width="16.140625" style="235" customWidth="1"/>
    <col min="819" max="820" width="9.28515625" style="235" customWidth="1"/>
    <col min="821" max="821" width="11.140625" style="235" customWidth="1"/>
    <col min="822" max="822" width="2.140625" style="235" customWidth="1"/>
    <col min="823" max="1028" width="11.42578125" style="235"/>
    <col min="1029" max="1029" width="12" style="235" customWidth="1"/>
    <col min="1030" max="1030" width="2.7109375" style="235" customWidth="1"/>
    <col min="1031" max="1032" width="6.5703125" style="236" customWidth="1"/>
    <col min="1033" max="1033" width="5.85546875" style="236" customWidth="1"/>
    <col min="1034" max="1034" width="6.5703125" style="236" customWidth="1"/>
    <col min="1035" max="1035" width="13.7109375" style="236" customWidth="1"/>
    <col min="1036" max="1037" width="9" style="236" customWidth="1"/>
    <col min="1038" max="1038" width="2.5703125" style="236" customWidth="1"/>
    <col min="1039" max="1039" width="8.85546875" style="236" customWidth="1"/>
    <col min="1040" max="1040" width="7.5703125" style="236" customWidth="1"/>
    <col min="1041" max="1043" width="3.7109375" style="236" customWidth="1"/>
    <col min="1044" max="1044" width="3.5703125" style="236" customWidth="1"/>
    <col min="1045" max="1045" width="2.85546875" style="236" customWidth="1"/>
    <col min="1046" max="1046" width="3" style="236" customWidth="1"/>
    <col min="1047" max="1049" width="0" style="236" hidden="1" customWidth="1"/>
    <col min="1050" max="1050" width="4.42578125" style="236" customWidth="1"/>
    <col min="1051" max="1051" width="0" style="236" hidden="1" customWidth="1"/>
    <col min="1052" max="1053" width="14.85546875" style="236" customWidth="1"/>
    <col min="1054" max="1054" width="15.140625" style="236" customWidth="1"/>
    <col min="1055" max="1055" width="6.42578125" style="236" customWidth="1"/>
    <col min="1056" max="1056" width="15.140625" style="236" customWidth="1"/>
    <col min="1057" max="1057" width="4.140625" style="236" customWidth="1"/>
    <col min="1058" max="1058" width="3" style="236" customWidth="1"/>
    <col min="1059" max="1061" width="0" style="236" hidden="1" customWidth="1"/>
    <col min="1062" max="1062" width="3" style="236" customWidth="1"/>
    <col min="1063" max="1063" width="0" style="236" hidden="1" customWidth="1"/>
    <col min="1064" max="1064" width="3" style="236" customWidth="1"/>
    <col min="1065" max="1065" width="0" style="236" hidden="1" customWidth="1"/>
    <col min="1066" max="1066" width="4.42578125" style="236" customWidth="1"/>
    <col min="1067" max="1067" width="34.28515625" style="236" customWidth="1"/>
    <col min="1068" max="1068" width="23.42578125" style="236" customWidth="1"/>
    <col min="1069" max="1069" width="9.140625" style="236" customWidth="1"/>
    <col min="1070" max="1070" width="19.5703125" style="236" customWidth="1"/>
    <col min="1071" max="1071" width="42.7109375" style="236" customWidth="1"/>
    <col min="1072" max="1072" width="5.85546875" style="236" customWidth="1"/>
    <col min="1073" max="1073" width="31.5703125" style="236" customWidth="1"/>
    <col min="1074" max="1074" width="16.140625" style="236" customWidth="1"/>
    <col min="1075" max="1076" width="9.28515625" style="236" customWidth="1"/>
    <col min="1077" max="1077" width="11.140625" style="236" customWidth="1"/>
    <col min="1078" max="1078" width="2.140625" style="236" customWidth="1"/>
    <col min="1079" max="1284" width="11.42578125" style="236"/>
    <col min="1285" max="1285" width="12" style="236" customWidth="1"/>
    <col min="1286" max="1286" width="2.7109375" style="236" customWidth="1"/>
    <col min="1287" max="1288" width="6.5703125" style="236" customWidth="1"/>
    <col min="1289" max="1289" width="5.85546875" style="236" customWidth="1"/>
    <col min="1290" max="1290" width="6.5703125" style="236" customWidth="1"/>
    <col min="1291" max="1291" width="13.7109375" style="236" customWidth="1"/>
    <col min="1292" max="1293" width="9" style="236" customWidth="1"/>
    <col min="1294" max="1294" width="2.5703125" style="236" customWidth="1"/>
    <col min="1295" max="1295" width="8.85546875" style="236" customWidth="1"/>
    <col min="1296" max="1296" width="7.5703125" style="236" customWidth="1"/>
    <col min="1297" max="1299" width="3.7109375" style="236" customWidth="1"/>
    <col min="1300" max="1300" width="3.5703125" style="236" customWidth="1"/>
    <col min="1301" max="1301" width="2.85546875" style="236" customWidth="1"/>
    <col min="1302" max="1302" width="3" style="236" customWidth="1"/>
    <col min="1303" max="1305" width="0" style="236" hidden="1" customWidth="1"/>
    <col min="1306" max="1306" width="4.42578125" style="236" customWidth="1"/>
    <col min="1307" max="1307" width="0" style="236" hidden="1" customWidth="1"/>
    <col min="1308" max="1309" width="14.85546875" style="236" customWidth="1"/>
    <col min="1310" max="1310" width="15.140625" style="236" customWidth="1"/>
    <col min="1311" max="1311" width="6.42578125" style="236" customWidth="1"/>
    <col min="1312" max="1312" width="15.140625" style="236" customWidth="1"/>
    <col min="1313" max="1313" width="4.140625" style="236" customWidth="1"/>
    <col min="1314" max="1314" width="3" style="236" customWidth="1"/>
    <col min="1315" max="1317" width="0" style="236" hidden="1" customWidth="1"/>
    <col min="1318" max="1318" width="3" style="236" customWidth="1"/>
    <col min="1319" max="1319" width="0" style="236" hidden="1" customWidth="1"/>
    <col min="1320" max="1320" width="3" style="236" customWidth="1"/>
    <col min="1321" max="1321" width="0" style="236" hidden="1" customWidth="1"/>
    <col min="1322" max="1322" width="4.42578125" style="236" customWidth="1"/>
    <col min="1323" max="1323" width="34.28515625" style="236" customWidth="1"/>
    <col min="1324" max="1324" width="23.42578125" style="236" customWidth="1"/>
    <col min="1325" max="1325" width="9.140625" style="236" customWidth="1"/>
    <col min="1326" max="1326" width="19.5703125" style="236" customWidth="1"/>
    <col min="1327" max="1327" width="42.7109375" style="236" customWidth="1"/>
    <col min="1328" max="1328" width="5.85546875" style="236" customWidth="1"/>
    <col min="1329" max="1329" width="31.5703125" style="236" customWidth="1"/>
    <col min="1330" max="1330" width="16.140625" style="236" customWidth="1"/>
    <col min="1331" max="1332" width="9.28515625" style="236" customWidth="1"/>
    <col min="1333" max="1333" width="11.140625" style="236" customWidth="1"/>
    <col min="1334" max="1334" width="2.140625" style="236" customWidth="1"/>
    <col min="1335" max="1540" width="11.42578125" style="236"/>
    <col min="1541" max="1541" width="12" style="236" customWidth="1"/>
    <col min="1542" max="1542" width="2.7109375" style="236" customWidth="1"/>
    <col min="1543" max="1544" width="6.5703125" style="236" customWidth="1"/>
    <col min="1545" max="1545" width="5.85546875" style="236" customWidth="1"/>
    <col min="1546" max="1546" width="6.5703125" style="236" customWidth="1"/>
    <col min="1547" max="1547" width="13.7109375" style="236" customWidth="1"/>
    <col min="1548" max="1549" width="9" style="236" customWidth="1"/>
    <col min="1550" max="1550" width="2.5703125" style="236" customWidth="1"/>
    <col min="1551" max="1551" width="8.85546875" style="236" customWidth="1"/>
    <col min="1552" max="1552" width="7.5703125" style="236" customWidth="1"/>
    <col min="1553" max="1555" width="3.7109375" style="236" customWidth="1"/>
    <col min="1556" max="1556" width="3.5703125" style="236" customWidth="1"/>
    <col min="1557" max="1557" width="2.85546875" style="236" customWidth="1"/>
    <col min="1558" max="1558" width="3" style="236" customWidth="1"/>
    <col min="1559" max="1561" width="0" style="236" hidden="1" customWidth="1"/>
    <col min="1562" max="1562" width="4.42578125" style="236" customWidth="1"/>
    <col min="1563" max="1563" width="0" style="236" hidden="1" customWidth="1"/>
    <col min="1564" max="1565" width="14.85546875" style="236" customWidth="1"/>
    <col min="1566" max="1566" width="15.140625" style="236" customWidth="1"/>
    <col min="1567" max="1567" width="6.42578125" style="236" customWidth="1"/>
    <col min="1568" max="1568" width="15.140625" style="236" customWidth="1"/>
    <col min="1569" max="1569" width="4.140625" style="236" customWidth="1"/>
    <col min="1570" max="1570" width="3" style="236" customWidth="1"/>
    <col min="1571" max="1573" width="0" style="236" hidden="1" customWidth="1"/>
    <col min="1574" max="1574" width="3" style="236" customWidth="1"/>
    <col min="1575" max="1575" width="0" style="236" hidden="1" customWidth="1"/>
    <col min="1576" max="1576" width="3" style="236" customWidth="1"/>
    <col min="1577" max="1577" width="0" style="236" hidden="1" customWidth="1"/>
    <col min="1578" max="1578" width="4.42578125" style="236" customWidth="1"/>
    <col min="1579" max="1579" width="34.28515625" style="236" customWidth="1"/>
    <col min="1580" max="1580" width="23.42578125" style="236" customWidth="1"/>
    <col min="1581" max="1581" width="9.140625" style="236" customWidth="1"/>
    <col min="1582" max="1582" width="19.5703125" style="236" customWidth="1"/>
    <col min="1583" max="1583" width="42.7109375" style="236" customWidth="1"/>
    <col min="1584" max="1584" width="5.85546875" style="236" customWidth="1"/>
    <col min="1585" max="1585" width="31.5703125" style="236" customWidth="1"/>
    <col min="1586" max="1586" width="16.140625" style="236" customWidth="1"/>
    <col min="1587" max="1588" width="9.28515625" style="236" customWidth="1"/>
    <col min="1589" max="1589" width="11.140625" style="236" customWidth="1"/>
    <col min="1590" max="1590" width="2.140625" style="236" customWidth="1"/>
    <col min="1591" max="1796" width="11.42578125" style="236"/>
    <col min="1797" max="1797" width="12" style="236" customWidth="1"/>
    <col min="1798" max="1798" width="2.7109375" style="236" customWidth="1"/>
    <col min="1799" max="1800" width="6.5703125" style="236" customWidth="1"/>
    <col min="1801" max="1801" width="5.85546875" style="236" customWidth="1"/>
    <col min="1802" max="1802" width="6.5703125" style="236" customWidth="1"/>
    <col min="1803" max="1803" width="13.7109375" style="236" customWidth="1"/>
    <col min="1804" max="1805" width="9" style="236" customWidth="1"/>
    <col min="1806" max="1806" width="2.5703125" style="236" customWidth="1"/>
    <col min="1807" max="1807" width="8.85546875" style="236" customWidth="1"/>
    <col min="1808" max="1808" width="7.5703125" style="236" customWidth="1"/>
    <col min="1809" max="1811" width="3.7109375" style="236" customWidth="1"/>
    <col min="1812" max="1812" width="3.5703125" style="236" customWidth="1"/>
    <col min="1813" max="1813" width="2.85546875" style="236" customWidth="1"/>
    <col min="1814" max="1814" width="3" style="236" customWidth="1"/>
    <col min="1815" max="1817" width="0" style="236" hidden="1" customWidth="1"/>
    <col min="1818" max="1818" width="4.42578125" style="236" customWidth="1"/>
    <col min="1819" max="1819" width="0" style="236" hidden="1" customWidth="1"/>
    <col min="1820" max="1821" width="14.85546875" style="236" customWidth="1"/>
    <col min="1822" max="1822" width="15.140625" style="236" customWidth="1"/>
    <col min="1823" max="1823" width="6.42578125" style="236" customWidth="1"/>
    <col min="1824" max="1824" width="15.140625" style="236" customWidth="1"/>
    <col min="1825" max="1825" width="4.140625" style="236" customWidth="1"/>
    <col min="1826" max="1826" width="3" style="236" customWidth="1"/>
    <col min="1827" max="1829" width="0" style="236" hidden="1" customWidth="1"/>
    <col min="1830" max="1830" width="3" style="236" customWidth="1"/>
    <col min="1831" max="1831" width="0" style="236" hidden="1" customWidth="1"/>
    <col min="1832" max="1832" width="3" style="236" customWidth="1"/>
    <col min="1833" max="1833" width="0" style="236" hidden="1" customWidth="1"/>
    <col min="1834" max="1834" width="4.42578125" style="236" customWidth="1"/>
    <col min="1835" max="1835" width="34.28515625" style="236" customWidth="1"/>
    <col min="1836" max="1836" width="23.42578125" style="236" customWidth="1"/>
    <col min="1837" max="1837" width="9.140625" style="236" customWidth="1"/>
    <col min="1838" max="1838" width="19.5703125" style="236" customWidth="1"/>
    <col min="1839" max="1839" width="42.7109375" style="236" customWidth="1"/>
    <col min="1840" max="1840" width="5.85546875" style="236" customWidth="1"/>
    <col min="1841" max="1841" width="31.5703125" style="236" customWidth="1"/>
    <col min="1842" max="1842" width="16.140625" style="236" customWidth="1"/>
    <col min="1843" max="1844" width="9.28515625" style="236" customWidth="1"/>
    <col min="1845" max="1845" width="11.140625" style="236" customWidth="1"/>
    <col min="1846" max="1846" width="2.140625" style="236" customWidth="1"/>
    <col min="1847" max="2052" width="11.42578125" style="236"/>
    <col min="2053" max="2053" width="12" style="236" customWidth="1"/>
    <col min="2054" max="2054" width="2.7109375" style="236" customWidth="1"/>
    <col min="2055" max="2056" width="6.5703125" style="236" customWidth="1"/>
    <col min="2057" max="2057" width="5.85546875" style="236" customWidth="1"/>
    <col min="2058" max="2058" width="6.5703125" style="236" customWidth="1"/>
    <col min="2059" max="2059" width="13.7109375" style="236" customWidth="1"/>
    <col min="2060" max="2061" width="9" style="236" customWidth="1"/>
    <col min="2062" max="2062" width="2.5703125" style="236" customWidth="1"/>
    <col min="2063" max="2063" width="8.85546875" style="236" customWidth="1"/>
    <col min="2064" max="2064" width="7.5703125" style="236" customWidth="1"/>
    <col min="2065" max="2067" width="3.7109375" style="236" customWidth="1"/>
    <col min="2068" max="2068" width="3.5703125" style="236" customWidth="1"/>
    <col min="2069" max="2069" width="2.85546875" style="236" customWidth="1"/>
    <col min="2070" max="2070" width="3" style="236" customWidth="1"/>
    <col min="2071" max="2073" width="0" style="236" hidden="1" customWidth="1"/>
    <col min="2074" max="2074" width="4.42578125" style="236" customWidth="1"/>
    <col min="2075" max="2075" width="0" style="236" hidden="1" customWidth="1"/>
    <col min="2076" max="2077" width="14.85546875" style="236" customWidth="1"/>
    <col min="2078" max="2078" width="15.140625" style="236" customWidth="1"/>
    <col min="2079" max="2079" width="6.42578125" style="236" customWidth="1"/>
    <col min="2080" max="2080" width="15.140625" style="236" customWidth="1"/>
    <col min="2081" max="2081" width="4.140625" style="236" customWidth="1"/>
    <col min="2082" max="2082" width="3" style="236" customWidth="1"/>
    <col min="2083" max="2085" width="0" style="236" hidden="1" customWidth="1"/>
    <col min="2086" max="2086" width="3" style="236" customWidth="1"/>
    <col min="2087" max="2087" width="0" style="236" hidden="1" customWidth="1"/>
    <col min="2088" max="2088" width="3" style="236" customWidth="1"/>
    <col min="2089" max="2089" width="0" style="236" hidden="1" customWidth="1"/>
    <col min="2090" max="2090" width="4.42578125" style="236" customWidth="1"/>
    <col min="2091" max="2091" width="34.28515625" style="236" customWidth="1"/>
    <col min="2092" max="2092" width="23.42578125" style="236" customWidth="1"/>
    <col min="2093" max="2093" width="9.140625" style="236" customWidth="1"/>
    <col min="2094" max="2094" width="19.5703125" style="236" customWidth="1"/>
    <col min="2095" max="2095" width="42.7109375" style="236" customWidth="1"/>
    <col min="2096" max="2096" width="5.85546875" style="236" customWidth="1"/>
    <col min="2097" max="2097" width="31.5703125" style="236" customWidth="1"/>
    <col min="2098" max="2098" width="16.140625" style="236" customWidth="1"/>
    <col min="2099" max="2100" width="9.28515625" style="236" customWidth="1"/>
    <col min="2101" max="2101" width="11.140625" style="236" customWidth="1"/>
    <col min="2102" max="2102" width="2.140625" style="236" customWidth="1"/>
    <col min="2103" max="2308" width="11.42578125" style="236"/>
    <col min="2309" max="2309" width="12" style="236" customWidth="1"/>
    <col min="2310" max="2310" width="2.7109375" style="236" customWidth="1"/>
    <col min="2311" max="2312" width="6.5703125" style="236" customWidth="1"/>
    <col min="2313" max="2313" width="5.85546875" style="236" customWidth="1"/>
    <col min="2314" max="2314" width="6.5703125" style="236" customWidth="1"/>
    <col min="2315" max="2315" width="13.7109375" style="236" customWidth="1"/>
    <col min="2316" max="2317" width="9" style="236" customWidth="1"/>
    <col min="2318" max="2318" width="2.5703125" style="236" customWidth="1"/>
    <col min="2319" max="2319" width="8.85546875" style="236" customWidth="1"/>
    <col min="2320" max="2320" width="7.5703125" style="236" customWidth="1"/>
    <col min="2321" max="2323" width="3.7109375" style="236" customWidth="1"/>
    <col min="2324" max="2324" width="3.5703125" style="236" customWidth="1"/>
    <col min="2325" max="2325" width="2.85546875" style="236" customWidth="1"/>
    <col min="2326" max="2326" width="3" style="236" customWidth="1"/>
    <col min="2327" max="2329" width="0" style="236" hidden="1" customWidth="1"/>
    <col min="2330" max="2330" width="4.42578125" style="236" customWidth="1"/>
    <col min="2331" max="2331" width="0" style="236" hidden="1" customWidth="1"/>
    <col min="2332" max="2333" width="14.85546875" style="236" customWidth="1"/>
    <col min="2334" max="2334" width="15.140625" style="236" customWidth="1"/>
    <col min="2335" max="2335" width="6.42578125" style="236" customWidth="1"/>
    <col min="2336" max="2336" width="15.140625" style="236" customWidth="1"/>
    <col min="2337" max="2337" width="4.140625" style="236" customWidth="1"/>
    <col min="2338" max="2338" width="3" style="236" customWidth="1"/>
    <col min="2339" max="2341" width="0" style="236" hidden="1" customWidth="1"/>
    <col min="2342" max="2342" width="3" style="236" customWidth="1"/>
    <col min="2343" max="2343" width="0" style="236" hidden="1" customWidth="1"/>
    <col min="2344" max="2344" width="3" style="236" customWidth="1"/>
    <col min="2345" max="2345" width="0" style="236" hidden="1" customWidth="1"/>
    <col min="2346" max="2346" width="4.42578125" style="236" customWidth="1"/>
    <col min="2347" max="2347" width="34.28515625" style="236" customWidth="1"/>
    <col min="2348" max="2348" width="23.42578125" style="236" customWidth="1"/>
    <col min="2349" max="2349" width="9.140625" style="236" customWidth="1"/>
    <col min="2350" max="2350" width="19.5703125" style="236" customWidth="1"/>
    <col min="2351" max="2351" width="42.7109375" style="236" customWidth="1"/>
    <col min="2352" max="2352" width="5.85546875" style="236" customWidth="1"/>
    <col min="2353" max="2353" width="31.5703125" style="236" customWidth="1"/>
    <col min="2354" max="2354" width="16.140625" style="236" customWidth="1"/>
    <col min="2355" max="2356" width="9.28515625" style="236" customWidth="1"/>
    <col min="2357" max="2357" width="11.140625" style="236" customWidth="1"/>
    <col min="2358" max="2358" width="2.140625" style="236" customWidth="1"/>
    <col min="2359" max="2564" width="11.42578125" style="236"/>
    <col min="2565" max="2565" width="12" style="236" customWidth="1"/>
    <col min="2566" max="2566" width="2.7109375" style="236" customWidth="1"/>
    <col min="2567" max="2568" width="6.5703125" style="236" customWidth="1"/>
    <col min="2569" max="2569" width="5.85546875" style="236" customWidth="1"/>
    <col min="2570" max="2570" width="6.5703125" style="236" customWidth="1"/>
    <col min="2571" max="2571" width="13.7109375" style="236" customWidth="1"/>
    <col min="2572" max="2573" width="9" style="236" customWidth="1"/>
    <col min="2574" max="2574" width="2.5703125" style="236" customWidth="1"/>
    <col min="2575" max="2575" width="8.85546875" style="236" customWidth="1"/>
    <col min="2576" max="2576" width="7.5703125" style="236" customWidth="1"/>
    <col min="2577" max="2579" width="3.7109375" style="236" customWidth="1"/>
    <col min="2580" max="2580" width="3.5703125" style="236" customWidth="1"/>
    <col min="2581" max="2581" width="2.85546875" style="236" customWidth="1"/>
    <col min="2582" max="2582" width="3" style="236" customWidth="1"/>
    <col min="2583" max="2585" width="0" style="236" hidden="1" customWidth="1"/>
    <col min="2586" max="2586" width="4.42578125" style="236" customWidth="1"/>
    <col min="2587" max="2587" width="0" style="236" hidden="1" customWidth="1"/>
    <col min="2588" max="2589" width="14.85546875" style="236" customWidth="1"/>
    <col min="2590" max="2590" width="15.140625" style="236" customWidth="1"/>
    <col min="2591" max="2591" width="6.42578125" style="236" customWidth="1"/>
    <col min="2592" max="2592" width="15.140625" style="236" customWidth="1"/>
    <col min="2593" max="2593" width="4.140625" style="236" customWidth="1"/>
    <col min="2594" max="2594" width="3" style="236" customWidth="1"/>
    <col min="2595" max="2597" width="0" style="236" hidden="1" customWidth="1"/>
    <col min="2598" max="2598" width="3" style="236" customWidth="1"/>
    <col min="2599" max="2599" width="0" style="236" hidden="1" customWidth="1"/>
    <col min="2600" max="2600" width="3" style="236" customWidth="1"/>
    <col min="2601" max="2601" width="0" style="236" hidden="1" customWidth="1"/>
    <col min="2602" max="2602" width="4.42578125" style="236" customWidth="1"/>
    <col min="2603" max="2603" width="34.28515625" style="236" customWidth="1"/>
    <col min="2604" max="2604" width="23.42578125" style="236" customWidth="1"/>
    <col min="2605" max="2605" width="9.140625" style="236" customWidth="1"/>
    <col min="2606" max="2606" width="19.5703125" style="236" customWidth="1"/>
    <col min="2607" max="2607" width="42.7109375" style="236" customWidth="1"/>
    <col min="2608" max="2608" width="5.85546875" style="236" customWidth="1"/>
    <col min="2609" max="2609" width="31.5703125" style="236" customWidth="1"/>
    <col min="2610" max="2610" width="16.140625" style="236" customWidth="1"/>
    <col min="2611" max="2612" width="9.28515625" style="236" customWidth="1"/>
    <col min="2613" max="2613" width="11.140625" style="236" customWidth="1"/>
    <col min="2614" max="2614" width="2.140625" style="236" customWidth="1"/>
    <col min="2615" max="2820" width="11.42578125" style="236"/>
    <col min="2821" max="2821" width="12" style="236" customWidth="1"/>
    <col min="2822" max="2822" width="2.7109375" style="236" customWidth="1"/>
    <col min="2823" max="2824" width="6.5703125" style="236" customWidth="1"/>
    <col min="2825" max="2825" width="5.85546875" style="236" customWidth="1"/>
    <col min="2826" max="2826" width="6.5703125" style="236" customWidth="1"/>
    <col min="2827" max="2827" width="13.7109375" style="236" customWidth="1"/>
    <col min="2828" max="2829" width="9" style="236" customWidth="1"/>
    <col min="2830" max="2830" width="2.5703125" style="236" customWidth="1"/>
    <col min="2831" max="2831" width="8.85546875" style="236" customWidth="1"/>
    <col min="2832" max="2832" width="7.5703125" style="236" customWidth="1"/>
    <col min="2833" max="2835" width="3.7109375" style="236" customWidth="1"/>
    <col min="2836" max="2836" width="3.5703125" style="236" customWidth="1"/>
    <col min="2837" max="2837" width="2.85546875" style="236" customWidth="1"/>
    <col min="2838" max="2838" width="3" style="236" customWidth="1"/>
    <col min="2839" max="2841" width="0" style="236" hidden="1" customWidth="1"/>
    <col min="2842" max="2842" width="4.42578125" style="236" customWidth="1"/>
    <col min="2843" max="2843" width="0" style="236" hidden="1" customWidth="1"/>
    <col min="2844" max="2845" width="14.85546875" style="236" customWidth="1"/>
    <col min="2846" max="2846" width="15.140625" style="236" customWidth="1"/>
    <col min="2847" max="2847" width="6.42578125" style="236" customWidth="1"/>
    <col min="2848" max="2848" width="15.140625" style="236" customWidth="1"/>
    <col min="2849" max="2849" width="4.140625" style="236" customWidth="1"/>
    <col min="2850" max="2850" width="3" style="236" customWidth="1"/>
    <col min="2851" max="2853" width="0" style="236" hidden="1" customWidth="1"/>
    <col min="2854" max="2854" width="3" style="236" customWidth="1"/>
    <col min="2855" max="2855" width="0" style="236" hidden="1" customWidth="1"/>
    <col min="2856" max="2856" width="3" style="236" customWidth="1"/>
    <col min="2857" max="2857" width="0" style="236" hidden="1" customWidth="1"/>
    <col min="2858" max="2858" width="4.42578125" style="236" customWidth="1"/>
    <col min="2859" max="2859" width="34.28515625" style="236" customWidth="1"/>
    <col min="2860" max="2860" width="23.42578125" style="236" customWidth="1"/>
    <col min="2861" max="2861" width="9.140625" style="236" customWidth="1"/>
    <col min="2862" max="2862" width="19.5703125" style="236" customWidth="1"/>
    <col min="2863" max="2863" width="42.7109375" style="236" customWidth="1"/>
    <col min="2864" max="2864" width="5.85546875" style="236" customWidth="1"/>
    <col min="2865" max="2865" width="31.5703125" style="236" customWidth="1"/>
    <col min="2866" max="2866" width="16.140625" style="236" customWidth="1"/>
    <col min="2867" max="2868" width="9.28515625" style="236" customWidth="1"/>
    <col min="2869" max="2869" width="11.140625" style="236" customWidth="1"/>
    <col min="2870" max="2870" width="2.140625" style="236" customWidth="1"/>
    <col min="2871" max="3076" width="11.42578125" style="236"/>
    <col min="3077" max="3077" width="12" style="236" customWidth="1"/>
    <col min="3078" max="3078" width="2.7109375" style="236" customWidth="1"/>
    <col min="3079" max="3080" width="6.5703125" style="236" customWidth="1"/>
    <col min="3081" max="3081" width="5.85546875" style="236" customWidth="1"/>
    <col min="3082" max="3082" width="6.5703125" style="236" customWidth="1"/>
    <col min="3083" max="3083" width="13.7109375" style="236" customWidth="1"/>
    <col min="3084" max="3085" width="9" style="236" customWidth="1"/>
    <col min="3086" max="3086" width="2.5703125" style="236" customWidth="1"/>
    <col min="3087" max="3087" width="8.85546875" style="236" customWidth="1"/>
    <col min="3088" max="3088" width="7.5703125" style="236" customWidth="1"/>
    <col min="3089" max="3091" width="3.7109375" style="236" customWidth="1"/>
    <col min="3092" max="3092" width="3.5703125" style="236" customWidth="1"/>
    <col min="3093" max="3093" width="2.85546875" style="236" customWidth="1"/>
    <col min="3094" max="3094" width="3" style="236" customWidth="1"/>
    <col min="3095" max="3097" width="0" style="236" hidden="1" customWidth="1"/>
    <col min="3098" max="3098" width="4.42578125" style="236" customWidth="1"/>
    <col min="3099" max="3099" width="0" style="236" hidden="1" customWidth="1"/>
    <col min="3100" max="3101" width="14.85546875" style="236" customWidth="1"/>
    <col min="3102" max="3102" width="15.140625" style="236" customWidth="1"/>
    <col min="3103" max="3103" width="6.42578125" style="236" customWidth="1"/>
    <col min="3104" max="3104" width="15.140625" style="236" customWidth="1"/>
    <col min="3105" max="3105" width="4.140625" style="236" customWidth="1"/>
    <col min="3106" max="3106" width="3" style="236" customWidth="1"/>
    <col min="3107" max="3109" width="0" style="236" hidden="1" customWidth="1"/>
    <col min="3110" max="3110" width="3" style="236" customWidth="1"/>
    <col min="3111" max="3111" width="0" style="236" hidden="1" customWidth="1"/>
    <col min="3112" max="3112" width="3" style="236" customWidth="1"/>
    <col min="3113" max="3113" width="0" style="236" hidden="1" customWidth="1"/>
    <col min="3114" max="3114" width="4.42578125" style="236" customWidth="1"/>
    <col min="3115" max="3115" width="34.28515625" style="236" customWidth="1"/>
    <col min="3116" max="3116" width="23.42578125" style="236" customWidth="1"/>
    <col min="3117" max="3117" width="9.140625" style="236" customWidth="1"/>
    <col min="3118" max="3118" width="19.5703125" style="236" customWidth="1"/>
    <col min="3119" max="3119" width="42.7109375" style="236" customWidth="1"/>
    <col min="3120" max="3120" width="5.85546875" style="236" customWidth="1"/>
    <col min="3121" max="3121" width="31.5703125" style="236" customWidth="1"/>
    <col min="3122" max="3122" width="16.140625" style="236" customWidth="1"/>
    <col min="3123" max="3124" width="9.28515625" style="236" customWidth="1"/>
    <col min="3125" max="3125" width="11.140625" style="236" customWidth="1"/>
    <col min="3126" max="3126" width="2.140625" style="236" customWidth="1"/>
    <col min="3127" max="3332" width="11.42578125" style="236"/>
    <col min="3333" max="3333" width="12" style="236" customWidth="1"/>
    <col min="3334" max="3334" width="2.7109375" style="236" customWidth="1"/>
    <col min="3335" max="3336" width="6.5703125" style="236" customWidth="1"/>
    <col min="3337" max="3337" width="5.85546875" style="236" customWidth="1"/>
    <col min="3338" max="3338" width="6.5703125" style="236" customWidth="1"/>
    <col min="3339" max="3339" width="13.7109375" style="236" customWidth="1"/>
    <col min="3340" max="3341" width="9" style="236" customWidth="1"/>
    <col min="3342" max="3342" width="2.5703125" style="236" customWidth="1"/>
    <col min="3343" max="3343" width="8.85546875" style="236" customWidth="1"/>
    <col min="3344" max="3344" width="7.5703125" style="236" customWidth="1"/>
    <col min="3345" max="3347" width="3.7109375" style="236" customWidth="1"/>
    <col min="3348" max="3348" width="3.5703125" style="236" customWidth="1"/>
    <col min="3349" max="3349" width="2.85546875" style="236" customWidth="1"/>
    <col min="3350" max="3350" width="3" style="236" customWidth="1"/>
    <col min="3351" max="3353" width="0" style="236" hidden="1" customWidth="1"/>
    <col min="3354" max="3354" width="4.42578125" style="236" customWidth="1"/>
    <col min="3355" max="3355" width="0" style="236" hidden="1" customWidth="1"/>
    <col min="3356" max="3357" width="14.85546875" style="236" customWidth="1"/>
    <col min="3358" max="3358" width="15.140625" style="236" customWidth="1"/>
    <col min="3359" max="3359" width="6.42578125" style="236" customWidth="1"/>
    <col min="3360" max="3360" width="15.140625" style="236" customWidth="1"/>
    <col min="3361" max="3361" width="4.140625" style="236" customWidth="1"/>
    <col min="3362" max="3362" width="3" style="236" customWidth="1"/>
    <col min="3363" max="3365" width="0" style="236" hidden="1" customWidth="1"/>
    <col min="3366" max="3366" width="3" style="236" customWidth="1"/>
    <col min="3367" max="3367" width="0" style="236" hidden="1" customWidth="1"/>
    <col min="3368" max="3368" width="3" style="236" customWidth="1"/>
    <col min="3369" max="3369" width="0" style="236" hidden="1" customWidth="1"/>
    <col min="3370" max="3370" width="4.42578125" style="236" customWidth="1"/>
    <col min="3371" max="3371" width="34.28515625" style="236" customWidth="1"/>
    <col min="3372" max="3372" width="23.42578125" style="236" customWidth="1"/>
    <col min="3373" max="3373" width="9.140625" style="236" customWidth="1"/>
    <col min="3374" max="3374" width="19.5703125" style="236" customWidth="1"/>
    <col min="3375" max="3375" width="42.7109375" style="236" customWidth="1"/>
    <col min="3376" max="3376" width="5.85546875" style="236" customWidth="1"/>
    <col min="3377" max="3377" width="31.5703125" style="236" customWidth="1"/>
    <col min="3378" max="3378" width="16.140625" style="236" customWidth="1"/>
    <col min="3379" max="3380" width="9.28515625" style="236" customWidth="1"/>
    <col min="3381" max="3381" width="11.140625" style="236" customWidth="1"/>
    <col min="3382" max="3382" width="2.140625" style="236" customWidth="1"/>
    <col min="3383" max="3588" width="11.42578125" style="236"/>
    <col min="3589" max="3589" width="12" style="236" customWidth="1"/>
    <col min="3590" max="3590" width="2.7109375" style="236" customWidth="1"/>
    <col min="3591" max="3592" width="6.5703125" style="236" customWidth="1"/>
    <col min="3593" max="3593" width="5.85546875" style="236" customWidth="1"/>
    <col min="3594" max="3594" width="6.5703125" style="236" customWidth="1"/>
    <col min="3595" max="3595" width="13.7109375" style="236" customWidth="1"/>
    <col min="3596" max="3597" width="9" style="236" customWidth="1"/>
    <col min="3598" max="3598" width="2.5703125" style="236" customWidth="1"/>
    <col min="3599" max="3599" width="8.85546875" style="236" customWidth="1"/>
    <col min="3600" max="3600" width="7.5703125" style="236" customWidth="1"/>
    <col min="3601" max="3603" width="3.7109375" style="236" customWidth="1"/>
    <col min="3604" max="3604" width="3.5703125" style="236" customWidth="1"/>
    <col min="3605" max="3605" width="2.85546875" style="236" customWidth="1"/>
    <col min="3606" max="3606" width="3" style="236" customWidth="1"/>
    <col min="3607" max="3609" width="0" style="236" hidden="1" customWidth="1"/>
    <col min="3610" max="3610" width="4.42578125" style="236" customWidth="1"/>
    <col min="3611" max="3611" width="0" style="236" hidden="1" customWidth="1"/>
    <col min="3612" max="3613" width="14.85546875" style="236" customWidth="1"/>
    <col min="3614" max="3614" width="15.140625" style="236" customWidth="1"/>
    <col min="3615" max="3615" width="6.42578125" style="236" customWidth="1"/>
    <col min="3616" max="3616" width="15.140625" style="236" customWidth="1"/>
    <col min="3617" max="3617" width="4.140625" style="236" customWidth="1"/>
    <col min="3618" max="3618" width="3" style="236" customWidth="1"/>
    <col min="3619" max="3621" width="0" style="236" hidden="1" customWidth="1"/>
    <col min="3622" max="3622" width="3" style="236" customWidth="1"/>
    <col min="3623" max="3623" width="0" style="236" hidden="1" customWidth="1"/>
    <col min="3624" max="3624" width="3" style="236" customWidth="1"/>
    <col min="3625" max="3625" width="0" style="236" hidden="1" customWidth="1"/>
    <col min="3626" max="3626" width="4.42578125" style="236" customWidth="1"/>
    <col min="3627" max="3627" width="34.28515625" style="236" customWidth="1"/>
    <col min="3628" max="3628" width="23.42578125" style="236" customWidth="1"/>
    <col min="3629" max="3629" width="9.140625" style="236" customWidth="1"/>
    <col min="3630" max="3630" width="19.5703125" style="236" customWidth="1"/>
    <col min="3631" max="3631" width="42.7109375" style="236" customWidth="1"/>
    <col min="3632" max="3632" width="5.85546875" style="236" customWidth="1"/>
    <col min="3633" max="3633" width="31.5703125" style="236" customWidth="1"/>
    <col min="3634" max="3634" width="16.140625" style="236" customWidth="1"/>
    <col min="3635" max="3636" width="9.28515625" style="236" customWidth="1"/>
    <col min="3637" max="3637" width="11.140625" style="236" customWidth="1"/>
    <col min="3638" max="3638" width="2.140625" style="236" customWidth="1"/>
    <col min="3639" max="3844" width="11.42578125" style="236"/>
    <col min="3845" max="3845" width="12" style="236" customWidth="1"/>
    <col min="3846" max="3846" width="2.7109375" style="236" customWidth="1"/>
    <col min="3847" max="3848" width="6.5703125" style="236" customWidth="1"/>
    <col min="3849" max="3849" width="5.85546875" style="236" customWidth="1"/>
    <col min="3850" max="3850" width="6.5703125" style="236" customWidth="1"/>
    <col min="3851" max="3851" width="13.7109375" style="236" customWidth="1"/>
    <col min="3852" max="3853" width="9" style="236" customWidth="1"/>
    <col min="3854" max="3854" width="2.5703125" style="236" customWidth="1"/>
    <col min="3855" max="3855" width="8.85546875" style="236" customWidth="1"/>
    <col min="3856" max="3856" width="7.5703125" style="236" customWidth="1"/>
    <col min="3857" max="3859" width="3.7109375" style="236" customWidth="1"/>
    <col min="3860" max="3860" width="3.5703125" style="236" customWidth="1"/>
    <col min="3861" max="3861" width="2.85546875" style="236" customWidth="1"/>
    <col min="3862" max="3862" width="3" style="236" customWidth="1"/>
    <col min="3863" max="3865" width="0" style="236" hidden="1" customWidth="1"/>
    <col min="3866" max="3866" width="4.42578125" style="236" customWidth="1"/>
    <col min="3867" max="3867" width="0" style="236" hidden="1" customWidth="1"/>
    <col min="3868" max="3869" width="14.85546875" style="236" customWidth="1"/>
    <col min="3870" max="3870" width="15.140625" style="236" customWidth="1"/>
    <col min="3871" max="3871" width="6.42578125" style="236" customWidth="1"/>
    <col min="3872" max="3872" width="15.140625" style="236" customWidth="1"/>
    <col min="3873" max="3873" width="4.140625" style="236" customWidth="1"/>
    <col min="3874" max="3874" width="3" style="236" customWidth="1"/>
    <col min="3875" max="3877" width="0" style="236" hidden="1" customWidth="1"/>
    <col min="3878" max="3878" width="3" style="236" customWidth="1"/>
    <col min="3879" max="3879" width="0" style="236" hidden="1" customWidth="1"/>
    <col min="3880" max="3880" width="3" style="236" customWidth="1"/>
    <col min="3881" max="3881" width="0" style="236" hidden="1" customWidth="1"/>
    <col min="3882" max="3882" width="4.42578125" style="236" customWidth="1"/>
    <col min="3883" max="3883" width="34.28515625" style="236" customWidth="1"/>
    <col min="3884" max="3884" width="23.42578125" style="236" customWidth="1"/>
    <col min="3885" max="3885" width="9.140625" style="236" customWidth="1"/>
    <col min="3886" max="3886" width="19.5703125" style="236" customWidth="1"/>
    <col min="3887" max="3887" width="42.7109375" style="236" customWidth="1"/>
    <col min="3888" max="3888" width="5.85546875" style="236" customWidth="1"/>
    <col min="3889" max="3889" width="31.5703125" style="236" customWidth="1"/>
    <col min="3890" max="3890" width="16.140625" style="236" customWidth="1"/>
    <col min="3891" max="3892" width="9.28515625" style="236" customWidth="1"/>
    <col min="3893" max="3893" width="11.140625" style="236" customWidth="1"/>
    <col min="3894" max="3894" width="2.140625" style="236" customWidth="1"/>
    <col min="3895" max="4100" width="11.42578125" style="236"/>
    <col min="4101" max="4101" width="12" style="236" customWidth="1"/>
    <col min="4102" max="4102" width="2.7109375" style="236" customWidth="1"/>
    <col min="4103" max="4104" width="6.5703125" style="236" customWidth="1"/>
    <col min="4105" max="4105" width="5.85546875" style="236" customWidth="1"/>
    <col min="4106" max="4106" width="6.5703125" style="236" customWidth="1"/>
    <col min="4107" max="4107" width="13.7109375" style="236" customWidth="1"/>
    <col min="4108" max="4109" width="9" style="236" customWidth="1"/>
    <col min="4110" max="4110" width="2.5703125" style="236" customWidth="1"/>
    <col min="4111" max="4111" width="8.85546875" style="236" customWidth="1"/>
    <col min="4112" max="4112" width="7.5703125" style="236" customWidth="1"/>
    <col min="4113" max="4115" width="3.7109375" style="236" customWidth="1"/>
    <col min="4116" max="4116" width="3.5703125" style="236" customWidth="1"/>
    <col min="4117" max="4117" width="2.85546875" style="236" customWidth="1"/>
    <col min="4118" max="4118" width="3" style="236" customWidth="1"/>
    <col min="4119" max="4121" width="0" style="236" hidden="1" customWidth="1"/>
    <col min="4122" max="4122" width="4.42578125" style="236" customWidth="1"/>
    <col min="4123" max="4123" width="0" style="236" hidden="1" customWidth="1"/>
    <col min="4124" max="4125" width="14.85546875" style="236" customWidth="1"/>
    <col min="4126" max="4126" width="15.140625" style="236" customWidth="1"/>
    <col min="4127" max="4127" width="6.42578125" style="236" customWidth="1"/>
    <col min="4128" max="4128" width="15.140625" style="236" customWidth="1"/>
    <col min="4129" max="4129" width="4.140625" style="236" customWidth="1"/>
    <col min="4130" max="4130" width="3" style="236" customWidth="1"/>
    <col min="4131" max="4133" width="0" style="236" hidden="1" customWidth="1"/>
    <col min="4134" max="4134" width="3" style="236" customWidth="1"/>
    <col min="4135" max="4135" width="0" style="236" hidden="1" customWidth="1"/>
    <col min="4136" max="4136" width="3" style="236" customWidth="1"/>
    <col min="4137" max="4137" width="0" style="236" hidden="1" customWidth="1"/>
    <col min="4138" max="4138" width="4.42578125" style="236" customWidth="1"/>
    <col min="4139" max="4139" width="34.28515625" style="236" customWidth="1"/>
    <col min="4140" max="4140" width="23.42578125" style="236" customWidth="1"/>
    <col min="4141" max="4141" width="9.140625" style="236" customWidth="1"/>
    <col min="4142" max="4142" width="19.5703125" style="236" customWidth="1"/>
    <col min="4143" max="4143" width="42.7109375" style="236" customWidth="1"/>
    <col min="4144" max="4144" width="5.85546875" style="236" customWidth="1"/>
    <col min="4145" max="4145" width="31.5703125" style="236" customWidth="1"/>
    <col min="4146" max="4146" width="16.140625" style="236" customWidth="1"/>
    <col min="4147" max="4148" width="9.28515625" style="236" customWidth="1"/>
    <col min="4149" max="4149" width="11.140625" style="236" customWidth="1"/>
    <col min="4150" max="4150" width="2.140625" style="236" customWidth="1"/>
    <col min="4151" max="4356" width="11.42578125" style="236"/>
    <col min="4357" max="4357" width="12" style="236" customWidth="1"/>
    <col min="4358" max="4358" width="2.7109375" style="236" customWidth="1"/>
    <col min="4359" max="4360" width="6.5703125" style="236" customWidth="1"/>
    <col min="4361" max="4361" width="5.85546875" style="236" customWidth="1"/>
    <col min="4362" max="4362" width="6.5703125" style="236" customWidth="1"/>
    <col min="4363" max="4363" width="13.7109375" style="236" customWidth="1"/>
    <col min="4364" max="4365" width="9" style="236" customWidth="1"/>
    <col min="4366" max="4366" width="2.5703125" style="236" customWidth="1"/>
    <col min="4367" max="4367" width="8.85546875" style="236" customWidth="1"/>
    <col min="4368" max="4368" width="7.5703125" style="236" customWidth="1"/>
    <col min="4369" max="4371" width="3.7109375" style="236" customWidth="1"/>
    <col min="4372" max="4372" width="3.5703125" style="236" customWidth="1"/>
    <col min="4373" max="4373" width="2.85546875" style="236" customWidth="1"/>
    <col min="4374" max="4374" width="3" style="236" customWidth="1"/>
    <col min="4375" max="4377" width="0" style="236" hidden="1" customWidth="1"/>
    <col min="4378" max="4378" width="4.42578125" style="236" customWidth="1"/>
    <col min="4379" max="4379" width="0" style="236" hidden="1" customWidth="1"/>
    <col min="4380" max="4381" width="14.85546875" style="236" customWidth="1"/>
    <col min="4382" max="4382" width="15.140625" style="236" customWidth="1"/>
    <col min="4383" max="4383" width="6.42578125" style="236" customWidth="1"/>
    <col min="4384" max="4384" width="15.140625" style="236" customWidth="1"/>
    <col min="4385" max="4385" width="4.140625" style="236" customWidth="1"/>
    <col min="4386" max="4386" width="3" style="236" customWidth="1"/>
    <col min="4387" max="4389" width="0" style="236" hidden="1" customWidth="1"/>
    <col min="4390" max="4390" width="3" style="236" customWidth="1"/>
    <col min="4391" max="4391" width="0" style="236" hidden="1" customWidth="1"/>
    <col min="4392" max="4392" width="3" style="236" customWidth="1"/>
    <col min="4393" max="4393" width="0" style="236" hidden="1" customWidth="1"/>
    <col min="4394" max="4394" width="4.42578125" style="236" customWidth="1"/>
    <col min="4395" max="4395" width="34.28515625" style="236" customWidth="1"/>
    <col min="4396" max="4396" width="23.42578125" style="236" customWidth="1"/>
    <col min="4397" max="4397" width="9.140625" style="236" customWidth="1"/>
    <col min="4398" max="4398" width="19.5703125" style="236" customWidth="1"/>
    <col min="4399" max="4399" width="42.7109375" style="236" customWidth="1"/>
    <col min="4400" max="4400" width="5.85546875" style="236" customWidth="1"/>
    <col min="4401" max="4401" width="31.5703125" style="236" customWidth="1"/>
    <col min="4402" max="4402" width="16.140625" style="236" customWidth="1"/>
    <col min="4403" max="4404" width="9.28515625" style="236" customWidth="1"/>
    <col min="4405" max="4405" width="11.140625" style="236" customWidth="1"/>
    <col min="4406" max="4406" width="2.140625" style="236" customWidth="1"/>
    <col min="4407" max="4612" width="11.42578125" style="236"/>
    <col min="4613" max="4613" width="12" style="236" customWidth="1"/>
    <col min="4614" max="4614" width="2.7109375" style="236" customWidth="1"/>
    <col min="4615" max="4616" width="6.5703125" style="236" customWidth="1"/>
    <col min="4617" max="4617" width="5.85546875" style="236" customWidth="1"/>
    <col min="4618" max="4618" width="6.5703125" style="236" customWidth="1"/>
    <col min="4619" max="4619" width="13.7109375" style="236" customWidth="1"/>
    <col min="4620" max="4621" width="9" style="236" customWidth="1"/>
    <col min="4622" max="4622" width="2.5703125" style="236" customWidth="1"/>
    <col min="4623" max="4623" width="8.85546875" style="236" customWidth="1"/>
    <col min="4624" max="4624" width="7.5703125" style="236" customWidth="1"/>
    <col min="4625" max="4627" width="3.7109375" style="236" customWidth="1"/>
    <col min="4628" max="4628" width="3.5703125" style="236" customWidth="1"/>
    <col min="4629" max="4629" width="2.85546875" style="236" customWidth="1"/>
    <col min="4630" max="4630" width="3" style="236" customWidth="1"/>
    <col min="4631" max="4633" width="0" style="236" hidden="1" customWidth="1"/>
    <col min="4634" max="4634" width="4.42578125" style="236" customWidth="1"/>
    <col min="4635" max="4635" width="0" style="236" hidden="1" customWidth="1"/>
    <col min="4636" max="4637" width="14.85546875" style="236" customWidth="1"/>
    <col min="4638" max="4638" width="15.140625" style="236" customWidth="1"/>
    <col min="4639" max="4639" width="6.42578125" style="236" customWidth="1"/>
    <col min="4640" max="4640" width="15.140625" style="236" customWidth="1"/>
    <col min="4641" max="4641" width="4.140625" style="236" customWidth="1"/>
    <col min="4642" max="4642" width="3" style="236" customWidth="1"/>
    <col min="4643" max="4645" width="0" style="236" hidden="1" customWidth="1"/>
    <col min="4646" max="4646" width="3" style="236" customWidth="1"/>
    <col min="4647" max="4647" width="0" style="236" hidden="1" customWidth="1"/>
    <col min="4648" max="4648" width="3" style="236" customWidth="1"/>
    <col min="4649" max="4649" width="0" style="236" hidden="1" customWidth="1"/>
    <col min="4650" max="4650" width="4.42578125" style="236" customWidth="1"/>
    <col min="4651" max="4651" width="34.28515625" style="236" customWidth="1"/>
    <col min="4652" max="4652" width="23.42578125" style="236" customWidth="1"/>
    <col min="4653" max="4653" width="9.140625" style="236" customWidth="1"/>
    <col min="4654" max="4654" width="19.5703125" style="236" customWidth="1"/>
    <col min="4655" max="4655" width="42.7109375" style="236" customWidth="1"/>
    <col min="4656" max="4656" width="5.85546875" style="236" customWidth="1"/>
    <col min="4657" max="4657" width="31.5703125" style="236" customWidth="1"/>
    <col min="4658" max="4658" width="16.140625" style="236" customWidth="1"/>
    <col min="4659" max="4660" width="9.28515625" style="236" customWidth="1"/>
    <col min="4661" max="4661" width="11.140625" style="236" customWidth="1"/>
    <col min="4662" max="4662" width="2.140625" style="236" customWidth="1"/>
    <col min="4663" max="4868" width="11.42578125" style="236"/>
    <col min="4869" max="4869" width="12" style="236" customWidth="1"/>
    <col min="4870" max="4870" width="2.7109375" style="236" customWidth="1"/>
    <col min="4871" max="4872" width="6.5703125" style="236" customWidth="1"/>
    <col min="4873" max="4873" width="5.85546875" style="236" customWidth="1"/>
    <col min="4874" max="4874" width="6.5703125" style="236" customWidth="1"/>
    <col min="4875" max="4875" width="13.7109375" style="236" customWidth="1"/>
    <col min="4876" max="4877" width="9" style="236" customWidth="1"/>
    <col min="4878" max="4878" width="2.5703125" style="236" customWidth="1"/>
    <col min="4879" max="4879" width="8.85546875" style="236" customWidth="1"/>
    <col min="4880" max="4880" width="7.5703125" style="236" customWidth="1"/>
    <col min="4881" max="4883" width="3.7109375" style="236" customWidth="1"/>
    <col min="4884" max="4884" width="3.5703125" style="236" customWidth="1"/>
    <col min="4885" max="4885" width="2.85546875" style="236" customWidth="1"/>
    <col min="4886" max="4886" width="3" style="236" customWidth="1"/>
    <col min="4887" max="4889" width="0" style="236" hidden="1" customWidth="1"/>
    <col min="4890" max="4890" width="4.42578125" style="236" customWidth="1"/>
    <col min="4891" max="4891" width="0" style="236" hidden="1" customWidth="1"/>
    <col min="4892" max="4893" width="14.85546875" style="236" customWidth="1"/>
    <col min="4894" max="4894" width="15.140625" style="236" customWidth="1"/>
    <col min="4895" max="4895" width="6.42578125" style="236" customWidth="1"/>
    <col min="4896" max="4896" width="15.140625" style="236" customWidth="1"/>
    <col min="4897" max="4897" width="4.140625" style="236" customWidth="1"/>
    <col min="4898" max="4898" width="3" style="236" customWidth="1"/>
    <col min="4899" max="4901" width="0" style="236" hidden="1" customWidth="1"/>
    <col min="4902" max="4902" width="3" style="236" customWidth="1"/>
    <col min="4903" max="4903" width="0" style="236" hidden="1" customWidth="1"/>
    <col min="4904" max="4904" width="3" style="236" customWidth="1"/>
    <col min="4905" max="4905" width="0" style="236" hidden="1" customWidth="1"/>
    <col min="4906" max="4906" width="4.42578125" style="236" customWidth="1"/>
    <col min="4907" max="4907" width="34.28515625" style="236" customWidth="1"/>
    <col min="4908" max="4908" width="23.42578125" style="236" customWidth="1"/>
    <col min="4909" max="4909" width="9.140625" style="236" customWidth="1"/>
    <col min="4910" max="4910" width="19.5703125" style="236" customWidth="1"/>
    <col min="4911" max="4911" width="42.7109375" style="236" customWidth="1"/>
    <col min="4912" max="4912" width="5.85546875" style="236" customWidth="1"/>
    <col min="4913" max="4913" width="31.5703125" style="236" customWidth="1"/>
    <col min="4914" max="4914" width="16.140625" style="236" customWidth="1"/>
    <col min="4915" max="4916" width="9.28515625" style="236" customWidth="1"/>
    <col min="4917" max="4917" width="11.140625" style="236" customWidth="1"/>
    <col min="4918" max="4918" width="2.140625" style="236" customWidth="1"/>
    <col min="4919" max="5124" width="11.42578125" style="236"/>
    <col min="5125" max="5125" width="12" style="236" customWidth="1"/>
    <col min="5126" max="5126" width="2.7109375" style="236" customWidth="1"/>
    <col min="5127" max="5128" width="6.5703125" style="236" customWidth="1"/>
    <col min="5129" max="5129" width="5.85546875" style="236" customWidth="1"/>
    <col min="5130" max="5130" width="6.5703125" style="236" customWidth="1"/>
    <col min="5131" max="5131" width="13.7109375" style="236" customWidth="1"/>
    <col min="5132" max="5133" width="9" style="236" customWidth="1"/>
    <col min="5134" max="5134" width="2.5703125" style="236" customWidth="1"/>
    <col min="5135" max="5135" width="8.85546875" style="236" customWidth="1"/>
    <col min="5136" max="5136" width="7.5703125" style="236" customWidth="1"/>
    <col min="5137" max="5139" width="3.7109375" style="236" customWidth="1"/>
    <col min="5140" max="5140" width="3.5703125" style="236" customWidth="1"/>
    <col min="5141" max="5141" width="2.85546875" style="236" customWidth="1"/>
    <col min="5142" max="5142" width="3" style="236" customWidth="1"/>
    <col min="5143" max="5145" width="0" style="236" hidden="1" customWidth="1"/>
    <col min="5146" max="5146" width="4.42578125" style="236" customWidth="1"/>
    <col min="5147" max="5147" width="0" style="236" hidden="1" customWidth="1"/>
    <col min="5148" max="5149" width="14.85546875" style="236" customWidth="1"/>
    <col min="5150" max="5150" width="15.140625" style="236" customWidth="1"/>
    <col min="5151" max="5151" width="6.42578125" style="236" customWidth="1"/>
    <col min="5152" max="5152" width="15.140625" style="236" customWidth="1"/>
    <col min="5153" max="5153" width="4.140625" style="236" customWidth="1"/>
    <col min="5154" max="5154" width="3" style="236" customWidth="1"/>
    <col min="5155" max="5157" width="0" style="236" hidden="1" customWidth="1"/>
    <col min="5158" max="5158" width="3" style="236" customWidth="1"/>
    <col min="5159" max="5159" width="0" style="236" hidden="1" customWidth="1"/>
    <col min="5160" max="5160" width="3" style="236" customWidth="1"/>
    <col min="5161" max="5161" width="0" style="236" hidden="1" customWidth="1"/>
    <col min="5162" max="5162" width="4.42578125" style="236" customWidth="1"/>
    <col min="5163" max="5163" width="34.28515625" style="236" customWidth="1"/>
    <col min="5164" max="5164" width="23.42578125" style="236" customWidth="1"/>
    <col min="5165" max="5165" width="9.140625" style="236" customWidth="1"/>
    <col min="5166" max="5166" width="19.5703125" style="236" customWidth="1"/>
    <col min="5167" max="5167" width="42.7109375" style="236" customWidth="1"/>
    <col min="5168" max="5168" width="5.85546875" style="236" customWidth="1"/>
    <col min="5169" max="5169" width="31.5703125" style="236" customWidth="1"/>
    <col min="5170" max="5170" width="16.140625" style="236" customWidth="1"/>
    <col min="5171" max="5172" width="9.28515625" style="236" customWidth="1"/>
    <col min="5173" max="5173" width="11.140625" style="236" customWidth="1"/>
    <col min="5174" max="5174" width="2.140625" style="236" customWidth="1"/>
    <col min="5175" max="5380" width="11.42578125" style="236"/>
    <col min="5381" max="5381" width="12" style="236" customWidth="1"/>
    <col min="5382" max="5382" width="2.7109375" style="236" customWidth="1"/>
    <col min="5383" max="5384" width="6.5703125" style="236" customWidth="1"/>
    <col min="5385" max="5385" width="5.85546875" style="236" customWidth="1"/>
    <col min="5386" max="5386" width="6.5703125" style="236" customWidth="1"/>
    <col min="5387" max="5387" width="13.7109375" style="236" customWidth="1"/>
    <col min="5388" max="5389" width="9" style="236" customWidth="1"/>
    <col min="5390" max="5390" width="2.5703125" style="236" customWidth="1"/>
    <col min="5391" max="5391" width="8.85546875" style="236" customWidth="1"/>
    <col min="5392" max="5392" width="7.5703125" style="236" customWidth="1"/>
    <col min="5393" max="5395" width="3.7109375" style="236" customWidth="1"/>
    <col min="5396" max="5396" width="3.5703125" style="236" customWidth="1"/>
    <col min="5397" max="5397" width="2.85546875" style="236" customWidth="1"/>
    <col min="5398" max="5398" width="3" style="236" customWidth="1"/>
    <col min="5399" max="5401" width="0" style="236" hidden="1" customWidth="1"/>
    <col min="5402" max="5402" width="4.42578125" style="236" customWidth="1"/>
    <col min="5403" max="5403" width="0" style="236" hidden="1" customWidth="1"/>
    <col min="5404" max="5405" width="14.85546875" style="236" customWidth="1"/>
    <col min="5406" max="5406" width="15.140625" style="236" customWidth="1"/>
    <col min="5407" max="5407" width="6.42578125" style="236" customWidth="1"/>
    <col min="5408" max="5408" width="15.140625" style="236" customWidth="1"/>
    <col min="5409" max="5409" width="4.140625" style="236" customWidth="1"/>
    <col min="5410" max="5410" width="3" style="236" customWidth="1"/>
    <col min="5411" max="5413" width="0" style="236" hidden="1" customWidth="1"/>
    <col min="5414" max="5414" width="3" style="236" customWidth="1"/>
    <col min="5415" max="5415" width="0" style="236" hidden="1" customWidth="1"/>
    <col min="5416" max="5416" width="3" style="236" customWidth="1"/>
    <col min="5417" max="5417" width="0" style="236" hidden="1" customWidth="1"/>
    <col min="5418" max="5418" width="4.42578125" style="236" customWidth="1"/>
    <col min="5419" max="5419" width="34.28515625" style="236" customWidth="1"/>
    <col min="5420" max="5420" width="23.42578125" style="236" customWidth="1"/>
    <col min="5421" max="5421" width="9.140625" style="236" customWidth="1"/>
    <col min="5422" max="5422" width="19.5703125" style="236" customWidth="1"/>
    <col min="5423" max="5423" width="42.7109375" style="236" customWidth="1"/>
    <col min="5424" max="5424" width="5.85546875" style="236" customWidth="1"/>
    <col min="5425" max="5425" width="31.5703125" style="236" customWidth="1"/>
    <col min="5426" max="5426" width="16.140625" style="236" customWidth="1"/>
    <col min="5427" max="5428" width="9.28515625" style="236" customWidth="1"/>
    <col min="5429" max="5429" width="11.140625" style="236" customWidth="1"/>
    <col min="5430" max="5430" width="2.140625" style="236" customWidth="1"/>
    <col min="5431" max="5636" width="11.42578125" style="236"/>
    <col min="5637" max="5637" width="12" style="236" customWidth="1"/>
    <col min="5638" max="5638" width="2.7109375" style="236" customWidth="1"/>
    <col min="5639" max="5640" width="6.5703125" style="236" customWidth="1"/>
    <col min="5641" max="5641" width="5.85546875" style="236" customWidth="1"/>
    <col min="5642" max="5642" width="6.5703125" style="236" customWidth="1"/>
    <col min="5643" max="5643" width="13.7109375" style="236" customWidth="1"/>
    <col min="5644" max="5645" width="9" style="236" customWidth="1"/>
    <col min="5646" max="5646" width="2.5703125" style="236" customWidth="1"/>
    <col min="5647" max="5647" width="8.85546875" style="236" customWidth="1"/>
    <col min="5648" max="5648" width="7.5703125" style="236" customWidth="1"/>
    <col min="5649" max="5651" width="3.7109375" style="236" customWidth="1"/>
    <col min="5652" max="5652" width="3.5703125" style="236" customWidth="1"/>
    <col min="5653" max="5653" width="2.85546875" style="236" customWidth="1"/>
    <col min="5654" max="5654" width="3" style="236" customWidth="1"/>
    <col min="5655" max="5657" width="0" style="236" hidden="1" customWidth="1"/>
    <col min="5658" max="5658" width="4.42578125" style="236" customWidth="1"/>
    <col min="5659" max="5659" width="0" style="236" hidden="1" customWidth="1"/>
    <col min="5660" max="5661" width="14.85546875" style="236" customWidth="1"/>
    <col min="5662" max="5662" width="15.140625" style="236" customWidth="1"/>
    <col min="5663" max="5663" width="6.42578125" style="236" customWidth="1"/>
    <col min="5664" max="5664" width="15.140625" style="236" customWidth="1"/>
    <col min="5665" max="5665" width="4.140625" style="236" customWidth="1"/>
    <col min="5666" max="5666" width="3" style="236" customWidth="1"/>
    <col min="5667" max="5669" width="0" style="236" hidden="1" customWidth="1"/>
    <col min="5670" max="5670" width="3" style="236" customWidth="1"/>
    <col min="5671" max="5671" width="0" style="236" hidden="1" customWidth="1"/>
    <col min="5672" max="5672" width="3" style="236" customWidth="1"/>
    <col min="5673" max="5673" width="0" style="236" hidden="1" customWidth="1"/>
    <col min="5674" max="5674" width="4.42578125" style="236" customWidth="1"/>
    <col min="5675" max="5675" width="34.28515625" style="236" customWidth="1"/>
    <col min="5676" max="5676" width="23.42578125" style="236" customWidth="1"/>
    <col min="5677" max="5677" width="9.140625" style="236" customWidth="1"/>
    <col min="5678" max="5678" width="19.5703125" style="236" customWidth="1"/>
    <col min="5679" max="5679" width="42.7109375" style="236" customWidth="1"/>
    <col min="5680" max="5680" width="5.85546875" style="236" customWidth="1"/>
    <col min="5681" max="5681" width="31.5703125" style="236" customWidth="1"/>
    <col min="5682" max="5682" width="16.140625" style="236" customWidth="1"/>
    <col min="5683" max="5684" width="9.28515625" style="236" customWidth="1"/>
    <col min="5685" max="5685" width="11.140625" style="236" customWidth="1"/>
    <col min="5686" max="5686" width="2.140625" style="236" customWidth="1"/>
    <col min="5687" max="5892" width="11.42578125" style="236"/>
    <col min="5893" max="5893" width="12" style="236" customWidth="1"/>
    <col min="5894" max="5894" width="2.7109375" style="236" customWidth="1"/>
    <col min="5895" max="5896" width="6.5703125" style="236" customWidth="1"/>
    <col min="5897" max="5897" width="5.85546875" style="236" customWidth="1"/>
    <col min="5898" max="5898" width="6.5703125" style="236" customWidth="1"/>
    <col min="5899" max="5899" width="13.7109375" style="236" customWidth="1"/>
    <col min="5900" max="5901" width="9" style="236" customWidth="1"/>
    <col min="5902" max="5902" width="2.5703125" style="236" customWidth="1"/>
    <col min="5903" max="5903" width="8.85546875" style="236" customWidth="1"/>
    <col min="5904" max="5904" width="7.5703125" style="236" customWidth="1"/>
    <col min="5905" max="5907" width="3.7109375" style="236" customWidth="1"/>
    <col min="5908" max="5908" width="3.5703125" style="236" customWidth="1"/>
    <col min="5909" max="5909" width="2.85546875" style="236" customWidth="1"/>
    <col min="5910" max="5910" width="3" style="236" customWidth="1"/>
    <col min="5911" max="5913" width="0" style="236" hidden="1" customWidth="1"/>
    <col min="5914" max="5914" width="4.42578125" style="236" customWidth="1"/>
    <col min="5915" max="5915" width="0" style="236" hidden="1" customWidth="1"/>
    <col min="5916" max="5917" width="14.85546875" style="236" customWidth="1"/>
    <col min="5918" max="5918" width="15.140625" style="236" customWidth="1"/>
    <col min="5919" max="5919" width="6.42578125" style="236" customWidth="1"/>
    <col min="5920" max="5920" width="15.140625" style="236" customWidth="1"/>
    <col min="5921" max="5921" width="4.140625" style="236" customWidth="1"/>
    <col min="5922" max="5922" width="3" style="236" customWidth="1"/>
    <col min="5923" max="5925" width="0" style="236" hidden="1" customWidth="1"/>
    <col min="5926" max="5926" width="3" style="236" customWidth="1"/>
    <col min="5927" max="5927" width="0" style="236" hidden="1" customWidth="1"/>
    <col min="5928" max="5928" width="3" style="236" customWidth="1"/>
    <col min="5929" max="5929" width="0" style="236" hidden="1" customWidth="1"/>
    <col min="5930" max="5930" width="4.42578125" style="236" customWidth="1"/>
    <col min="5931" max="5931" width="34.28515625" style="236" customWidth="1"/>
    <col min="5932" max="5932" width="23.42578125" style="236" customWidth="1"/>
    <col min="5933" max="5933" width="9.140625" style="236" customWidth="1"/>
    <col min="5934" max="5934" width="19.5703125" style="236" customWidth="1"/>
    <col min="5935" max="5935" width="42.7109375" style="236" customWidth="1"/>
    <col min="5936" max="5936" width="5.85546875" style="236" customWidth="1"/>
    <col min="5937" max="5937" width="31.5703125" style="236" customWidth="1"/>
    <col min="5938" max="5938" width="16.140625" style="236" customWidth="1"/>
    <col min="5939" max="5940" width="9.28515625" style="236" customWidth="1"/>
    <col min="5941" max="5941" width="11.140625" style="236" customWidth="1"/>
    <col min="5942" max="5942" width="2.140625" style="236" customWidth="1"/>
    <col min="5943" max="6148" width="11.42578125" style="236"/>
    <col min="6149" max="6149" width="12" style="236" customWidth="1"/>
    <col min="6150" max="6150" width="2.7109375" style="236" customWidth="1"/>
    <col min="6151" max="6152" width="6.5703125" style="236" customWidth="1"/>
    <col min="6153" max="6153" width="5.85546875" style="236" customWidth="1"/>
    <col min="6154" max="6154" width="6.5703125" style="236" customWidth="1"/>
    <col min="6155" max="6155" width="13.7109375" style="236" customWidth="1"/>
    <col min="6156" max="6157" width="9" style="236" customWidth="1"/>
    <col min="6158" max="6158" width="2.5703125" style="236" customWidth="1"/>
    <col min="6159" max="6159" width="8.85546875" style="236" customWidth="1"/>
    <col min="6160" max="6160" width="7.5703125" style="236" customWidth="1"/>
    <col min="6161" max="6163" width="3.7109375" style="236" customWidth="1"/>
    <col min="6164" max="6164" width="3.5703125" style="236" customWidth="1"/>
    <col min="6165" max="6165" width="2.85546875" style="236" customWidth="1"/>
    <col min="6166" max="6166" width="3" style="236" customWidth="1"/>
    <col min="6167" max="6169" width="0" style="236" hidden="1" customWidth="1"/>
    <col min="6170" max="6170" width="4.42578125" style="236" customWidth="1"/>
    <col min="6171" max="6171" width="0" style="236" hidden="1" customWidth="1"/>
    <col min="6172" max="6173" width="14.85546875" style="236" customWidth="1"/>
    <col min="6174" max="6174" width="15.140625" style="236" customWidth="1"/>
    <col min="6175" max="6175" width="6.42578125" style="236" customWidth="1"/>
    <col min="6176" max="6176" width="15.140625" style="236" customWidth="1"/>
    <col min="6177" max="6177" width="4.140625" style="236" customWidth="1"/>
    <col min="6178" max="6178" width="3" style="236" customWidth="1"/>
    <col min="6179" max="6181" width="0" style="236" hidden="1" customWidth="1"/>
    <col min="6182" max="6182" width="3" style="236" customWidth="1"/>
    <col min="6183" max="6183" width="0" style="236" hidden="1" customWidth="1"/>
    <col min="6184" max="6184" width="3" style="236" customWidth="1"/>
    <col min="6185" max="6185" width="0" style="236" hidden="1" customWidth="1"/>
    <col min="6186" max="6186" width="4.42578125" style="236" customWidth="1"/>
    <col min="6187" max="6187" width="34.28515625" style="236" customWidth="1"/>
    <col min="6188" max="6188" width="23.42578125" style="236" customWidth="1"/>
    <col min="6189" max="6189" width="9.140625" style="236" customWidth="1"/>
    <col min="6190" max="6190" width="19.5703125" style="236" customWidth="1"/>
    <col min="6191" max="6191" width="42.7109375" style="236" customWidth="1"/>
    <col min="6192" max="6192" width="5.85546875" style="236" customWidth="1"/>
    <col min="6193" max="6193" width="31.5703125" style="236" customWidth="1"/>
    <col min="6194" max="6194" width="16.140625" style="236" customWidth="1"/>
    <col min="6195" max="6196" width="9.28515625" style="236" customWidth="1"/>
    <col min="6197" max="6197" width="11.140625" style="236" customWidth="1"/>
    <col min="6198" max="6198" width="2.140625" style="236" customWidth="1"/>
    <col min="6199" max="6404" width="11.42578125" style="236"/>
    <col min="6405" max="6405" width="12" style="236" customWidth="1"/>
    <col min="6406" max="6406" width="2.7109375" style="236" customWidth="1"/>
    <col min="6407" max="6408" width="6.5703125" style="236" customWidth="1"/>
    <col min="6409" max="6409" width="5.85546875" style="236" customWidth="1"/>
    <col min="6410" max="6410" width="6.5703125" style="236" customWidth="1"/>
    <col min="6411" max="6411" width="13.7109375" style="236" customWidth="1"/>
    <col min="6412" max="6413" width="9" style="236" customWidth="1"/>
    <col min="6414" max="6414" width="2.5703125" style="236" customWidth="1"/>
    <col min="6415" max="6415" width="8.85546875" style="236" customWidth="1"/>
    <col min="6416" max="6416" width="7.5703125" style="236" customWidth="1"/>
    <col min="6417" max="6419" width="3.7109375" style="236" customWidth="1"/>
    <col min="6420" max="6420" width="3.5703125" style="236" customWidth="1"/>
    <col min="6421" max="6421" width="2.85546875" style="236" customWidth="1"/>
    <col min="6422" max="6422" width="3" style="236" customWidth="1"/>
    <col min="6423" max="6425" width="0" style="236" hidden="1" customWidth="1"/>
    <col min="6426" max="6426" width="4.42578125" style="236" customWidth="1"/>
    <col min="6427" max="6427" width="0" style="236" hidden="1" customWidth="1"/>
    <col min="6428" max="6429" width="14.85546875" style="236" customWidth="1"/>
    <col min="6430" max="6430" width="15.140625" style="236" customWidth="1"/>
    <col min="6431" max="6431" width="6.42578125" style="236" customWidth="1"/>
    <col min="6432" max="6432" width="15.140625" style="236" customWidth="1"/>
    <col min="6433" max="6433" width="4.140625" style="236" customWidth="1"/>
    <col min="6434" max="6434" width="3" style="236" customWidth="1"/>
    <col min="6435" max="6437" width="0" style="236" hidden="1" customWidth="1"/>
    <col min="6438" max="6438" width="3" style="236" customWidth="1"/>
    <col min="6439" max="6439" width="0" style="236" hidden="1" customWidth="1"/>
    <col min="6440" max="6440" width="3" style="236" customWidth="1"/>
    <col min="6441" max="6441" width="0" style="236" hidden="1" customWidth="1"/>
    <col min="6442" max="6442" width="4.42578125" style="236" customWidth="1"/>
    <col min="6443" max="6443" width="34.28515625" style="236" customWidth="1"/>
    <col min="6444" max="6444" width="23.42578125" style="236" customWidth="1"/>
    <col min="6445" max="6445" width="9.140625" style="236" customWidth="1"/>
    <col min="6446" max="6446" width="19.5703125" style="236" customWidth="1"/>
    <col min="6447" max="6447" width="42.7109375" style="236" customWidth="1"/>
    <col min="6448" max="6448" width="5.85546875" style="236" customWidth="1"/>
    <col min="6449" max="6449" width="31.5703125" style="236" customWidth="1"/>
    <col min="6450" max="6450" width="16.140625" style="236" customWidth="1"/>
    <col min="6451" max="6452" width="9.28515625" style="236" customWidth="1"/>
    <col min="6453" max="6453" width="11.140625" style="236" customWidth="1"/>
    <col min="6454" max="6454" width="2.140625" style="236" customWidth="1"/>
    <col min="6455" max="6660" width="11.42578125" style="236"/>
    <col min="6661" max="6661" width="12" style="236" customWidth="1"/>
    <col min="6662" max="6662" width="2.7109375" style="236" customWidth="1"/>
    <col min="6663" max="6664" width="6.5703125" style="236" customWidth="1"/>
    <col min="6665" max="6665" width="5.85546875" style="236" customWidth="1"/>
    <col min="6666" max="6666" width="6.5703125" style="236" customWidth="1"/>
    <col min="6667" max="6667" width="13.7109375" style="236" customWidth="1"/>
    <col min="6668" max="6669" width="9" style="236" customWidth="1"/>
    <col min="6670" max="6670" width="2.5703125" style="236" customWidth="1"/>
    <col min="6671" max="6671" width="8.85546875" style="236" customWidth="1"/>
    <col min="6672" max="6672" width="7.5703125" style="236" customWidth="1"/>
    <col min="6673" max="6675" width="3.7109375" style="236" customWidth="1"/>
    <col min="6676" max="6676" width="3.5703125" style="236" customWidth="1"/>
    <col min="6677" max="6677" width="2.85546875" style="236" customWidth="1"/>
    <col min="6678" max="6678" width="3" style="236" customWidth="1"/>
    <col min="6679" max="6681" width="0" style="236" hidden="1" customWidth="1"/>
    <col min="6682" max="6682" width="4.42578125" style="236" customWidth="1"/>
    <col min="6683" max="6683" width="0" style="236" hidden="1" customWidth="1"/>
    <col min="6684" max="6685" width="14.85546875" style="236" customWidth="1"/>
    <col min="6686" max="6686" width="15.140625" style="236" customWidth="1"/>
    <col min="6687" max="6687" width="6.42578125" style="236" customWidth="1"/>
    <col min="6688" max="6688" width="15.140625" style="236" customWidth="1"/>
    <col min="6689" max="6689" width="4.140625" style="236" customWidth="1"/>
    <col min="6690" max="6690" width="3" style="236" customWidth="1"/>
    <col min="6691" max="6693" width="0" style="236" hidden="1" customWidth="1"/>
    <col min="6694" max="6694" width="3" style="236" customWidth="1"/>
    <col min="6695" max="6695" width="0" style="236" hidden="1" customWidth="1"/>
    <col min="6696" max="6696" width="3" style="236" customWidth="1"/>
    <col min="6697" max="6697" width="0" style="236" hidden="1" customWidth="1"/>
    <col min="6698" max="6698" width="4.42578125" style="236" customWidth="1"/>
    <col min="6699" max="6699" width="34.28515625" style="236" customWidth="1"/>
    <col min="6700" max="6700" width="23.42578125" style="236" customWidth="1"/>
    <col min="6701" max="6701" width="9.140625" style="236" customWidth="1"/>
    <col min="6702" max="6702" width="19.5703125" style="236" customWidth="1"/>
    <col min="6703" max="6703" width="42.7109375" style="236" customWidth="1"/>
    <col min="6704" max="6704" width="5.85546875" style="236" customWidth="1"/>
    <col min="6705" max="6705" width="31.5703125" style="236" customWidth="1"/>
    <col min="6706" max="6706" width="16.140625" style="236" customWidth="1"/>
    <col min="6707" max="6708" width="9.28515625" style="236" customWidth="1"/>
    <col min="6709" max="6709" width="11.140625" style="236" customWidth="1"/>
    <col min="6710" max="6710" width="2.140625" style="236" customWidth="1"/>
    <col min="6711" max="6916" width="11.42578125" style="236"/>
    <col min="6917" max="6917" width="12" style="236" customWidth="1"/>
    <col min="6918" max="6918" width="2.7109375" style="236" customWidth="1"/>
    <col min="6919" max="6920" width="6.5703125" style="236" customWidth="1"/>
    <col min="6921" max="6921" width="5.85546875" style="236" customWidth="1"/>
    <col min="6922" max="6922" width="6.5703125" style="236" customWidth="1"/>
    <col min="6923" max="6923" width="13.7109375" style="236" customWidth="1"/>
    <col min="6924" max="6925" width="9" style="236" customWidth="1"/>
    <col min="6926" max="6926" width="2.5703125" style="236" customWidth="1"/>
    <col min="6927" max="6927" width="8.85546875" style="236" customWidth="1"/>
    <col min="6928" max="6928" width="7.5703125" style="236" customWidth="1"/>
    <col min="6929" max="6931" width="3.7109375" style="236" customWidth="1"/>
    <col min="6932" max="6932" width="3.5703125" style="236" customWidth="1"/>
    <col min="6933" max="6933" width="2.85546875" style="236" customWidth="1"/>
    <col min="6934" max="6934" width="3" style="236" customWidth="1"/>
    <col min="6935" max="6937" width="0" style="236" hidden="1" customWidth="1"/>
    <col min="6938" max="6938" width="4.42578125" style="236" customWidth="1"/>
    <col min="6939" max="6939" width="0" style="236" hidden="1" customWidth="1"/>
    <col min="6940" max="6941" width="14.85546875" style="236" customWidth="1"/>
    <col min="6942" max="6942" width="15.140625" style="236" customWidth="1"/>
    <col min="6943" max="6943" width="6.42578125" style="236" customWidth="1"/>
    <col min="6944" max="6944" width="15.140625" style="236" customWidth="1"/>
    <col min="6945" max="6945" width="4.140625" style="236" customWidth="1"/>
    <col min="6946" max="6946" width="3" style="236" customWidth="1"/>
    <col min="6947" max="6949" width="0" style="236" hidden="1" customWidth="1"/>
    <col min="6950" max="6950" width="3" style="236" customWidth="1"/>
    <col min="6951" max="6951" width="0" style="236" hidden="1" customWidth="1"/>
    <col min="6952" max="6952" width="3" style="236" customWidth="1"/>
    <col min="6953" max="6953" width="0" style="236" hidden="1" customWidth="1"/>
    <col min="6954" max="6954" width="4.42578125" style="236" customWidth="1"/>
    <col min="6955" max="6955" width="34.28515625" style="236" customWidth="1"/>
    <col min="6956" max="6956" width="23.42578125" style="236" customWidth="1"/>
    <col min="6957" max="6957" width="9.140625" style="236" customWidth="1"/>
    <col min="6958" max="6958" width="19.5703125" style="236" customWidth="1"/>
    <col min="6959" max="6959" width="42.7109375" style="236" customWidth="1"/>
    <col min="6960" max="6960" width="5.85546875" style="236" customWidth="1"/>
    <col min="6961" max="6961" width="31.5703125" style="236" customWidth="1"/>
    <col min="6962" max="6962" width="16.140625" style="236" customWidth="1"/>
    <col min="6963" max="6964" width="9.28515625" style="236" customWidth="1"/>
    <col min="6965" max="6965" width="11.140625" style="236" customWidth="1"/>
    <col min="6966" max="6966" width="2.140625" style="236" customWidth="1"/>
    <col min="6967" max="7172" width="11.42578125" style="236"/>
    <col min="7173" max="7173" width="12" style="236" customWidth="1"/>
    <col min="7174" max="7174" width="2.7109375" style="236" customWidth="1"/>
    <col min="7175" max="7176" width="6.5703125" style="236" customWidth="1"/>
    <col min="7177" max="7177" width="5.85546875" style="236" customWidth="1"/>
    <col min="7178" max="7178" width="6.5703125" style="236" customWidth="1"/>
    <col min="7179" max="7179" width="13.7109375" style="236" customWidth="1"/>
    <col min="7180" max="7181" width="9" style="236" customWidth="1"/>
    <col min="7182" max="7182" width="2.5703125" style="236" customWidth="1"/>
    <col min="7183" max="7183" width="8.85546875" style="236" customWidth="1"/>
    <col min="7184" max="7184" width="7.5703125" style="236" customWidth="1"/>
    <col min="7185" max="7187" width="3.7109375" style="236" customWidth="1"/>
    <col min="7188" max="7188" width="3.5703125" style="236" customWidth="1"/>
    <col min="7189" max="7189" width="2.85546875" style="236" customWidth="1"/>
    <col min="7190" max="7190" width="3" style="236" customWidth="1"/>
    <col min="7191" max="7193" width="0" style="236" hidden="1" customWidth="1"/>
    <col min="7194" max="7194" width="4.42578125" style="236" customWidth="1"/>
    <col min="7195" max="7195" width="0" style="236" hidden="1" customWidth="1"/>
    <col min="7196" max="7197" width="14.85546875" style="236" customWidth="1"/>
    <col min="7198" max="7198" width="15.140625" style="236" customWidth="1"/>
    <col min="7199" max="7199" width="6.42578125" style="236" customWidth="1"/>
    <col min="7200" max="7200" width="15.140625" style="236" customWidth="1"/>
    <col min="7201" max="7201" width="4.140625" style="236" customWidth="1"/>
    <col min="7202" max="7202" width="3" style="236" customWidth="1"/>
    <col min="7203" max="7205" width="0" style="236" hidden="1" customWidth="1"/>
    <col min="7206" max="7206" width="3" style="236" customWidth="1"/>
    <col min="7207" max="7207" width="0" style="236" hidden="1" customWidth="1"/>
    <col min="7208" max="7208" width="3" style="236" customWidth="1"/>
    <col min="7209" max="7209" width="0" style="236" hidden="1" customWidth="1"/>
    <col min="7210" max="7210" width="4.42578125" style="236" customWidth="1"/>
    <col min="7211" max="7211" width="34.28515625" style="236" customWidth="1"/>
    <col min="7212" max="7212" width="23.42578125" style="236" customWidth="1"/>
    <col min="7213" max="7213" width="9.140625" style="236" customWidth="1"/>
    <col min="7214" max="7214" width="19.5703125" style="236" customWidth="1"/>
    <col min="7215" max="7215" width="42.7109375" style="236" customWidth="1"/>
    <col min="7216" max="7216" width="5.85546875" style="236" customWidth="1"/>
    <col min="7217" max="7217" width="31.5703125" style="236" customWidth="1"/>
    <col min="7218" max="7218" width="16.140625" style="236" customWidth="1"/>
    <col min="7219" max="7220" width="9.28515625" style="236" customWidth="1"/>
    <col min="7221" max="7221" width="11.140625" style="236" customWidth="1"/>
    <col min="7222" max="7222" width="2.140625" style="236" customWidth="1"/>
    <col min="7223" max="7428" width="11.42578125" style="236"/>
    <col min="7429" max="7429" width="12" style="236" customWidth="1"/>
    <col min="7430" max="7430" width="2.7109375" style="236" customWidth="1"/>
    <col min="7431" max="7432" width="6.5703125" style="236" customWidth="1"/>
    <col min="7433" max="7433" width="5.85546875" style="236" customWidth="1"/>
    <col min="7434" max="7434" width="6.5703125" style="236" customWidth="1"/>
    <col min="7435" max="7435" width="13.7109375" style="236" customWidth="1"/>
    <col min="7436" max="7437" width="9" style="236" customWidth="1"/>
    <col min="7438" max="7438" width="2.5703125" style="236" customWidth="1"/>
    <col min="7439" max="7439" width="8.85546875" style="236" customWidth="1"/>
    <col min="7440" max="7440" width="7.5703125" style="236" customWidth="1"/>
    <col min="7441" max="7443" width="3.7109375" style="236" customWidth="1"/>
    <col min="7444" max="7444" width="3.5703125" style="236" customWidth="1"/>
    <col min="7445" max="7445" width="2.85546875" style="236" customWidth="1"/>
    <col min="7446" max="7446" width="3" style="236" customWidth="1"/>
    <col min="7447" max="7449" width="0" style="236" hidden="1" customWidth="1"/>
    <col min="7450" max="7450" width="4.42578125" style="236" customWidth="1"/>
    <col min="7451" max="7451" width="0" style="236" hidden="1" customWidth="1"/>
    <col min="7452" max="7453" width="14.85546875" style="236" customWidth="1"/>
    <col min="7454" max="7454" width="15.140625" style="236" customWidth="1"/>
    <col min="7455" max="7455" width="6.42578125" style="236" customWidth="1"/>
    <col min="7456" max="7456" width="15.140625" style="236" customWidth="1"/>
    <col min="7457" max="7457" width="4.140625" style="236" customWidth="1"/>
    <col min="7458" max="7458" width="3" style="236" customWidth="1"/>
    <col min="7459" max="7461" width="0" style="236" hidden="1" customWidth="1"/>
    <col min="7462" max="7462" width="3" style="236" customWidth="1"/>
    <col min="7463" max="7463" width="0" style="236" hidden="1" customWidth="1"/>
    <col min="7464" max="7464" width="3" style="236" customWidth="1"/>
    <col min="7465" max="7465" width="0" style="236" hidden="1" customWidth="1"/>
    <col min="7466" max="7466" width="4.42578125" style="236" customWidth="1"/>
    <col min="7467" max="7467" width="34.28515625" style="236" customWidth="1"/>
    <col min="7468" max="7468" width="23.42578125" style="236" customWidth="1"/>
    <col min="7469" max="7469" width="9.140625" style="236" customWidth="1"/>
    <col min="7470" max="7470" width="19.5703125" style="236" customWidth="1"/>
    <col min="7471" max="7471" width="42.7109375" style="236" customWidth="1"/>
    <col min="7472" max="7472" width="5.85546875" style="236" customWidth="1"/>
    <col min="7473" max="7473" width="31.5703125" style="236" customWidth="1"/>
    <col min="7474" max="7474" width="16.140625" style="236" customWidth="1"/>
    <col min="7475" max="7476" width="9.28515625" style="236" customWidth="1"/>
    <col min="7477" max="7477" width="11.140625" style="236" customWidth="1"/>
    <col min="7478" max="7478" width="2.140625" style="236" customWidth="1"/>
    <col min="7479" max="7684" width="11.42578125" style="236"/>
    <col min="7685" max="7685" width="12" style="236" customWidth="1"/>
    <col min="7686" max="7686" width="2.7109375" style="236" customWidth="1"/>
    <col min="7687" max="7688" width="6.5703125" style="236" customWidth="1"/>
    <col min="7689" max="7689" width="5.85546875" style="236" customWidth="1"/>
    <col min="7690" max="7690" width="6.5703125" style="236" customWidth="1"/>
    <col min="7691" max="7691" width="13.7109375" style="236" customWidth="1"/>
    <col min="7692" max="7693" width="9" style="236" customWidth="1"/>
    <col min="7694" max="7694" width="2.5703125" style="236" customWidth="1"/>
    <col min="7695" max="7695" width="8.85546875" style="236" customWidth="1"/>
    <col min="7696" max="7696" width="7.5703125" style="236" customWidth="1"/>
    <col min="7697" max="7699" width="3.7109375" style="236" customWidth="1"/>
    <col min="7700" max="7700" width="3.5703125" style="236" customWidth="1"/>
    <col min="7701" max="7701" width="2.85546875" style="236" customWidth="1"/>
    <col min="7702" max="7702" width="3" style="236" customWidth="1"/>
    <col min="7703" max="7705" width="0" style="236" hidden="1" customWidth="1"/>
    <col min="7706" max="7706" width="4.42578125" style="236" customWidth="1"/>
    <col min="7707" max="7707" width="0" style="236" hidden="1" customWidth="1"/>
    <col min="7708" max="7709" width="14.85546875" style="236" customWidth="1"/>
    <col min="7710" max="7710" width="15.140625" style="236" customWidth="1"/>
    <col min="7711" max="7711" width="6.42578125" style="236" customWidth="1"/>
    <col min="7712" max="7712" width="15.140625" style="236" customWidth="1"/>
    <col min="7713" max="7713" width="4.140625" style="236" customWidth="1"/>
    <col min="7714" max="7714" width="3" style="236" customWidth="1"/>
    <col min="7715" max="7717" width="0" style="236" hidden="1" customWidth="1"/>
    <col min="7718" max="7718" width="3" style="236" customWidth="1"/>
    <col min="7719" max="7719" width="0" style="236" hidden="1" customWidth="1"/>
    <col min="7720" max="7720" width="3" style="236" customWidth="1"/>
    <col min="7721" max="7721" width="0" style="236" hidden="1" customWidth="1"/>
    <col min="7722" max="7722" width="4.42578125" style="236" customWidth="1"/>
    <col min="7723" max="7723" width="34.28515625" style="236" customWidth="1"/>
    <col min="7724" max="7724" width="23.42578125" style="236" customWidth="1"/>
    <col min="7725" max="7725" width="9.140625" style="236" customWidth="1"/>
    <col min="7726" max="7726" width="19.5703125" style="236" customWidth="1"/>
    <col min="7727" max="7727" width="42.7109375" style="236" customWidth="1"/>
    <col min="7728" max="7728" width="5.85546875" style="236" customWidth="1"/>
    <col min="7729" max="7729" width="31.5703125" style="236" customWidth="1"/>
    <col min="7730" max="7730" width="16.140625" style="236" customWidth="1"/>
    <col min="7731" max="7732" width="9.28515625" style="236" customWidth="1"/>
    <col min="7733" max="7733" width="11.140625" style="236" customWidth="1"/>
    <col min="7734" max="7734" width="2.140625" style="236" customWidth="1"/>
    <col min="7735" max="7940" width="11.42578125" style="236"/>
    <col min="7941" max="7941" width="12" style="236" customWidth="1"/>
    <col min="7942" max="7942" width="2.7109375" style="236" customWidth="1"/>
    <col min="7943" max="7944" width="6.5703125" style="236" customWidth="1"/>
    <col min="7945" max="7945" width="5.85546875" style="236" customWidth="1"/>
    <col min="7946" max="7946" width="6.5703125" style="236" customWidth="1"/>
    <col min="7947" max="7947" width="13.7109375" style="236" customWidth="1"/>
    <col min="7948" max="7949" width="9" style="236" customWidth="1"/>
    <col min="7950" max="7950" width="2.5703125" style="236" customWidth="1"/>
    <col min="7951" max="7951" width="8.85546875" style="236" customWidth="1"/>
    <col min="7952" max="7952" width="7.5703125" style="236" customWidth="1"/>
    <col min="7953" max="7955" width="3.7109375" style="236" customWidth="1"/>
    <col min="7956" max="7956" width="3.5703125" style="236" customWidth="1"/>
    <col min="7957" max="7957" width="2.85546875" style="236" customWidth="1"/>
    <col min="7958" max="7958" width="3" style="236" customWidth="1"/>
    <col min="7959" max="7961" width="0" style="236" hidden="1" customWidth="1"/>
    <col min="7962" max="7962" width="4.42578125" style="236" customWidth="1"/>
    <col min="7963" max="7963" width="0" style="236" hidden="1" customWidth="1"/>
    <col min="7964" max="7965" width="14.85546875" style="236" customWidth="1"/>
    <col min="7966" max="7966" width="15.140625" style="236" customWidth="1"/>
    <col min="7967" max="7967" width="6.42578125" style="236" customWidth="1"/>
    <col min="7968" max="7968" width="15.140625" style="236" customWidth="1"/>
    <col min="7969" max="7969" width="4.140625" style="236" customWidth="1"/>
    <col min="7970" max="7970" width="3" style="236" customWidth="1"/>
    <col min="7971" max="7973" width="0" style="236" hidden="1" customWidth="1"/>
    <col min="7974" max="7974" width="3" style="236" customWidth="1"/>
    <col min="7975" max="7975" width="0" style="236" hidden="1" customWidth="1"/>
    <col min="7976" max="7976" width="3" style="236" customWidth="1"/>
    <col min="7977" max="7977" width="0" style="236" hidden="1" customWidth="1"/>
    <col min="7978" max="7978" width="4.42578125" style="236" customWidth="1"/>
    <col min="7979" max="7979" width="34.28515625" style="236" customWidth="1"/>
    <col min="7980" max="7980" width="23.42578125" style="236" customWidth="1"/>
    <col min="7981" max="7981" width="9.140625" style="236" customWidth="1"/>
    <col min="7982" max="7982" width="19.5703125" style="236" customWidth="1"/>
    <col min="7983" max="7983" width="42.7109375" style="236" customWidth="1"/>
    <col min="7984" max="7984" width="5.85546875" style="236" customWidth="1"/>
    <col min="7985" max="7985" width="31.5703125" style="236" customWidth="1"/>
    <col min="7986" max="7986" width="16.140625" style="236" customWidth="1"/>
    <col min="7987" max="7988" width="9.28515625" style="236" customWidth="1"/>
    <col min="7989" max="7989" width="11.140625" style="236" customWidth="1"/>
    <col min="7990" max="7990" width="2.140625" style="236" customWidth="1"/>
    <col min="7991" max="8196" width="11.42578125" style="236"/>
    <col min="8197" max="8197" width="12" style="236" customWidth="1"/>
    <col min="8198" max="8198" width="2.7109375" style="236" customWidth="1"/>
    <col min="8199" max="8200" width="6.5703125" style="236" customWidth="1"/>
    <col min="8201" max="8201" width="5.85546875" style="236" customWidth="1"/>
    <col min="8202" max="8202" width="6.5703125" style="236" customWidth="1"/>
    <col min="8203" max="8203" width="13.7109375" style="236" customWidth="1"/>
    <col min="8204" max="8205" width="9" style="236" customWidth="1"/>
    <col min="8206" max="8206" width="2.5703125" style="236" customWidth="1"/>
    <col min="8207" max="8207" width="8.85546875" style="236" customWidth="1"/>
    <col min="8208" max="8208" width="7.5703125" style="236" customWidth="1"/>
    <col min="8209" max="8211" width="3.7109375" style="236" customWidth="1"/>
    <col min="8212" max="8212" width="3.5703125" style="236" customWidth="1"/>
    <col min="8213" max="8213" width="2.85546875" style="236" customWidth="1"/>
    <col min="8214" max="8214" width="3" style="236" customWidth="1"/>
    <col min="8215" max="8217" width="0" style="236" hidden="1" customWidth="1"/>
    <col min="8218" max="8218" width="4.42578125" style="236" customWidth="1"/>
    <col min="8219" max="8219" width="0" style="236" hidden="1" customWidth="1"/>
    <col min="8220" max="8221" width="14.85546875" style="236" customWidth="1"/>
    <col min="8222" max="8222" width="15.140625" style="236" customWidth="1"/>
    <col min="8223" max="8223" width="6.42578125" style="236" customWidth="1"/>
    <col min="8224" max="8224" width="15.140625" style="236" customWidth="1"/>
    <col min="8225" max="8225" width="4.140625" style="236" customWidth="1"/>
    <col min="8226" max="8226" width="3" style="236" customWidth="1"/>
    <col min="8227" max="8229" width="0" style="236" hidden="1" customWidth="1"/>
    <col min="8230" max="8230" width="3" style="236" customWidth="1"/>
    <col min="8231" max="8231" width="0" style="236" hidden="1" customWidth="1"/>
    <col min="8232" max="8232" width="3" style="236" customWidth="1"/>
    <col min="8233" max="8233" width="0" style="236" hidden="1" customWidth="1"/>
    <col min="8234" max="8234" width="4.42578125" style="236" customWidth="1"/>
    <col min="8235" max="8235" width="34.28515625" style="236" customWidth="1"/>
    <col min="8236" max="8236" width="23.42578125" style="236" customWidth="1"/>
    <col min="8237" max="8237" width="9.140625" style="236" customWidth="1"/>
    <col min="8238" max="8238" width="19.5703125" style="236" customWidth="1"/>
    <col min="8239" max="8239" width="42.7109375" style="236" customWidth="1"/>
    <col min="8240" max="8240" width="5.85546875" style="236" customWidth="1"/>
    <col min="8241" max="8241" width="31.5703125" style="236" customWidth="1"/>
    <col min="8242" max="8242" width="16.140625" style="236" customWidth="1"/>
    <col min="8243" max="8244" width="9.28515625" style="236" customWidth="1"/>
    <col min="8245" max="8245" width="11.140625" style="236" customWidth="1"/>
    <col min="8246" max="8246" width="2.140625" style="236" customWidth="1"/>
    <col min="8247" max="8452" width="11.42578125" style="236"/>
    <col min="8453" max="8453" width="12" style="236" customWidth="1"/>
    <col min="8454" max="8454" width="2.7109375" style="236" customWidth="1"/>
    <col min="8455" max="8456" width="6.5703125" style="236" customWidth="1"/>
    <col min="8457" max="8457" width="5.85546875" style="236" customWidth="1"/>
    <col min="8458" max="8458" width="6.5703125" style="236" customWidth="1"/>
    <col min="8459" max="8459" width="13.7109375" style="236" customWidth="1"/>
    <col min="8460" max="8461" width="9" style="236" customWidth="1"/>
    <col min="8462" max="8462" width="2.5703125" style="236" customWidth="1"/>
    <col min="8463" max="8463" width="8.85546875" style="236" customWidth="1"/>
    <col min="8464" max="8464" width="7.5703125" style="236" customWidth="1"/>
    <col min="8465" max="8467" width="3.7109375" style="236" customWidth="1"/>
    <col min="8468" max="8468" width="3.5703125" style="236" customWidth="1"/>
    <col min="8469" max="8469" width="2.85546875" style="236" customWidth="1"/>
    <col min="8470" max="8470" width="3" style="236" customWidth="1"/>
    <col min="8471" max="8473" width="0" style="236" hidden="1" customWidth="1"/>
    <col min="8474" max="8474" width="4.42578125" style="236" customWidth="1"/>
    <col min="8475" max="8475" width="0" style="236" hidden="1" customWidth="1"/>
    <col min="8476" max="8477" width="14.85546875" style="236" customWidth="1"/>
    <col min="8478" max="8478" width="15.140625" style="236" customWidth="1"/>
    <col min="8479" max="8479" width="6.42578125" style="236" customWidth="1"/>
    <col min="8480" max="8480" width="15.140625" style="236" customWidth="1"/>
    <col min="8481" max="8481" width="4.140625" style="236" customWidth="1"/>
    <col min="8482" max="8482" width="3" style="236" customWidth="1"/>
    <col min="8483" max="8485" width="0" style="236" hidden="1" customWidth="1"/>
    <col min="8486" max="8486" width="3" style="236" customWidth="1"/>
    <col min="8487" max="8487" width="0" style="236" hidden="1" customWidth="1"/>
    <col min="8488" max="8488" width="3" style="236" customWidth="1"/>
    <col min="8489" max="8489" width="0" style="236" hidden="1" customWidth="1"/>
    <col min="8490" max="8490" width="4.42578125" style="236" customWidth="1"/>
    <col min="8491" max="8491" width="34.28515625" style="236" customWidth="1"/>
    <col min="8492" max="8492" width="23.42578125" style="236" customWidth="1"/>
    <col min="8493" max="8493" width="9.140625" style="236" customWidth="1"/>
    <col min="8494" max="8494" width="19.5703125" style="236" customWidth="1"/>
    <col min="8495" max="8495" width="42.7109375" style="236" customWidth="1"/>
    <col min="8496" max="8496" width="5.85546875" style="236" customWidth="1"/>
    <col min="8497" max="8497" width="31.5703125" style="236" customWidth="1"/>
    <col min="8498" max="8498" width="16.140625" style="236" customWidth="1"/>
    <col min="8499" max="8500" width="9.28515625" style="236" customWidth="1"/>
    <col min="8501" max="8501" width="11.140625" style="236" customWidth="1"/>
    <col min="8502" max="8502" width="2.140625" style="236" customWidth="1"/>
    <col min="8503" max="8708" width="11.42578125" style="236"/>
    <col min="8709" max="8709" width="12" style="236" customWidth="1"/>
    <col min="8710" max="8710" width="2.7109375" style="236" customWidth="1"/>
    <col min="8711" max="8712" width="6.5703125" style="236" customWidth="1"/>
    <col min="8713" max="8713" width="5.85546875" style="236" customWidth="1"/>
    <col min="8714" max="8714" width="6.5703125" style="236" customWidth="1"/>
    <col min="8715" max="8715" width="13.7109375" style="236" customWidth="1"/>
    <col min="8716" max="8717" width="9" style="236" customWidth="1"/>
    <col min="8718" max="8718" width="2.5703125" style="236" customWidth="1"/>
    <col min="8719" max="8719" width="8.85546875" style="236" customWidth="1"/>
    <col min="8720" max="8720" width="7.5703125" style="236" customWidth="1"/>
    <col min="8721" max="8723" width="3.7109375" style="236" customWidth="1"/>
    <col min="8724" max="8724" width="3.5703125" style="236" customWidth="1"/>
    <col min="8725" max="8725" width="2.85546875" style="236" customWidth="1"/>
    <col min="8726" max="8726" width="3" style="236" customWidth="1"/>
    <col min="8727" max="8729" width="0" style="236" hidden="1" customWidth="1"/>
    <col min="8730" max="8730" width="4.42578125" style="236" customWidth="1"/>
    <col min="8731" max="8731" width="0" style="236" hidden="1" customWidth="1"/>
    <col min="8732" max="8733" width="14.85546875" style="236" customWidth="1"/>
    <col min="8734" max="8734" width="15.140625" style="236" customWidth="1"/>
    <col min="8735" max="8735" width="6.42578125" style="236" customWidth="1"/>
    <col min="8736" max="8736" width="15.140625" style="236" customWidth="1"/>
    <col min="8737" max="8737" width="4.140625" style="236" customWidth="1"/>
    <col min="8738" max="8738" width="3" style="236" customWidth="1"/>
    <col min="8739" max="8741" width="0" style="236" hidden="1" customWidth="1"/>
    <col min="8742" max="8742" width="3" style="236" customWidth="1"/>
    <col min="8743" max="8743" width="0" style="236" hidden="1" customWidth="1"/>
    <col min="8744" max="8744" width="3" style="236" customWidth="1"/>
    <col min="8745" max="8745" width="0" style="236" hidden="1" customWidth="1"/>
    <col min="8746" max="8746" width="4.42578125" style="236" customWidth="1"/>
    <col min="8747" max="8747" width="34.28515625" style="236" customWidth="1"/>
    <col min="8748" max="8748" width="23.42578125" style="236" customWidth="1"/>
    <col min="8749" max="8749" width="9.140625" style="236" customWidth="1"/>
    <col min="8750" max="8750" width="19.5703125" style="236" customWidth="1"/>
    <col min="8751" max="8751" width="42.7109375" style="236" customWidth="1"/>
    <col min="8752" max="8752" width="5.85546875" style="236" customWidth="1"/>
    <col min="8753" max="8753" width="31.5703125" style="236" customWidth="1"/>
    <col min="8754" max="8754" width="16.140625" style="236" customWidth="1"/>
    <col min="8755" max="8756" width="9.28515625" style="236" customWidth="1"/>
    <col min="8757" max="8757" width="11.140625" style="236" customWidth="1"/>
    <col min="8758" max="8758" width="2.140625" style="236" customWidth="1"/>
    <col min="8759" max="8964" width="11.42578125" style="236"/>
    <col min="8965" max="8965" width="12" style="236" customWidth="1"/>
    <col min="8966" max="8966" width="2.7109375" style="236" customWidth="1"/>
    <col min="8967" max="8968" width="6.5703125" style="236" customWidth="1"/>
    <col min="8969" max="8969" width="5.85546875" style="236" customWidth="1"/>
    <col min="8970" max="8970" width="6.5703125" style="236" customWidth="1"/>
    <col min="8971" max="8971" width="13.7109375" style="236" customWidth="1"/>
    <col min="8972" max="8973" width="9" style="236" customWidth="1"/>
    <col min="8974" max="8974" width="2.5703125" style="236" customWidth="1"/>
    <col min="8975" max="8975" width="8.85546875" style="236" customWidth="1"/>
    <col min="8976" max="8976" width="7.5703125" style="236" customWidth="1"/>
    <col min="8977" max="8979" width="3.7109375" style="236" customWidth="1"/>
    <col min="8980" max="8980" width="3.5703125" style="236" customWidth="1"/>
    <col min="8981" max="8981" width="2.85546875" style="236" customWidth="1"/>
    <col min="8982" max="8982" width="3" style="236" customWidth="1"/>
    <col min="8983" max="8985" width="0" style="236" hidden="1" customWidth="1"/>
    <col min="8986" max="8986" width="4.42578125" style="236" customWidth="1"/>
    <col min="8987" max="8987" width="0" style="236" hidden="1" customWidth="1"/>
    <col min="8988" max="8989" width="14.85546875" style="236" customWidth="1"/>
    <col min="8990" max="8990" width="15.140625" style="236" customWidth="1"/>
    <col min="8991" max="8991" width="6.42578125" style="236" customWidth="1"/>
    <col min="8992" max="8992" width="15.140625" style="236" customWidth="1"/>
    <col min="8993" max="8993" width="4.140625" style="236" customWidth="1"/>
    <col min="8994" max="8994" width="3" style="236" customWidth="1"/>
    <col min="8995" max="8997" width="0" style="236" hidden="1" customWidth="1"/>
    <col min="8998" max="8998" width="3" style="236" customWidth="1"/>
    <col min="8999" max="8999" width="0" style="236" hidden="1" customWidth="1"/>
    <col min="9000" max="9000" width="3" style="236" customWidth="1"/>
    <col min="9001" max="9001" width="0" style="236" hidden="1" customWidth="1"/>
    <col min="9002" max="9002" width="4.42578125" style="236" customWidth="1"/>
    <col min="9003" max="9003" width="34.28515625" style="236" customWidth="1"/>
    <col min="9004" max="9004" width="23.42578125" style="236" customWidth="1"/>
    <col min="9005" max="9005" width="9.140625" style="236" customWidth="1"/>
    <col min="9006" max="9006" width="19.5703125" style="236" customWidth="1"/>
    <col min="9007" max="9007" width="42.7109375" style="236" customWidth="1"/>
    <col min="9008" max="9008" width="5.85546875" style="236" customWidth="1"/>
    <col min="9009" max="9009" width="31.5703125" style="236" customWidth="1"/>
    <col min="9010" max="9010" width="16.140625" style="236" customWidth="1"/>
    <col min="9011" max="9012" width="9.28515625" style="236" customWidth="1"/>
    <col min="9013" max="9013" width="11.140625" style="236" customWidth="1"/>
    <col min="9014" max="9014" width="2.140625" style="236" customWidth="1"/>
    <col min="9015" max="9220" width="11.42578125" style="236"/>
    <col min="9221" max="9221" width="12" style="236" customWidth="1"/>
    <col min="9222" max="9222" width="2.7109375" style="236" customWidth="1"/>
    <col min="9223" max="9224" width="6.5703125" style="236" customWidth="1"/>
    <col min="9225" max="9225" width="5.85546875" style="236" customWidth="1"/>
    <col min="9226" max="9226" width="6.5703125" style="236" customWidth="1"/>
    <col min="9227" max="9227" width="13.7109375" style="236" customWidth="1"/>
    <col min="9228" max="9229" width="9" style="236" customWidth="1"/>
    <col min="9230" max="9230" width="2.5703125" style="236" customWidth="1"/>
    <col min="9231" max="9231" width="8.85546875" style="236" customWidth="1"/>
    <col min="9232" max="9232" width="7.5703125" style="236" customWidth="1"/>
    <col min="9233" max="9235" width="3.7109375" style="236" customWidth="1"/>
    <col min="9236" max="9236" width="3.5703125" style="236" customWidth="1"/>
    <col min="9237" max="9237" width="2.85546875" style="236" customWidth="1"/>
    <col min="9238" max="9238" width="3" style="236" customWidth="1"/>
    <col min="9239" max="9241" width="0" style="236" hidden="1" customWidth="1"/>
    <col min="9242" max="9242" width="4.42578125" style="236" customWidth="1"/>
    <col min="9243" max="9243" width="0" style="236" hidden="1" customWidth="1"/>
    <col min="9244" max="9245" width="14.85546875" style="236" customWidth="1"/>
    <col min="9246" max="9246" width="15.140625" style="236" customWidth="1"/>
    <col min="9247" max="9247" width="6.42578125" style="236" customWidth="1"/>
    <col min="9248" max="9248" width="15.140625" style="236" customWidth="1"/>
    <col min="9249" max="9249" width="4.140625" style="236" customWidth="1"/>
    <col min="9250" max="9250" width="3" style="236" customWidth="1"/>
    <col min="9251" max="9253" width="0" style="236" hidden="1" customWidth="1"/>
    <col min="9254" max="9254" width="3" style="236" customWidth="1"/>
    <col min="9255" max="9255" width="0" style="236" hidden="1" customWidth="1"/>
    <col min="9256" max="9256" width="3" style="236" customWidth="1"/>
    <col min="9257" max="9257" width="0" style="236" hidden="1" customWidth="1"/>
    <col min="9258" max="9258" width="4.42578125" style="236" customWidth="1"/>
    <col min="9259" max="9259" width="34.28515625" style="236" customWidth="1"/>
    <col min="9260" max="9260" width="23.42578125" style="236" customWidth="1"/>
    <col min="9261" max="9261" width="9.140625" style="236" customWidth="1"/>
    <col min="9262" max="9262" width="19.5703125" style="236" customWidth="1"/>
    <col min="9263" max="9263" width="42.7109375" style="236" customWidth="1"/>
    <col min="9264" max="9264" width="5.85546875" style="236" customWidth="1"/>
    <col min="9265" max="9265" width="31.5703125" style="236" customWidth="1"/>
    <col min="9266" max="9266" width="16.140625" style="236" customWidth="1"/>
    <col min="9267" max="9268" width="9.28515625" style="236" customWidth="1"/>
    <col min="9269" max="9269" width="11.140625" style="236" customWidth="1"/>
    <col min="9270" max="9270" width="2.140625" style="236" customWidth="1"/>
    <col min="9271" max="9476" width="11.42578125" style="236"/>
    <col min="9477" max="9477" width="12" style="236" customWidth="1"/>
    <col min="9478" max="9478" width="2.7109375" style="236" customWidth="1"/>
    <col min="9479" max="9480" width="6.5703125" style="236" customWidth="1"/>
    <col min="9481" max="9481" width="5.85546875" style="236" customWidth="1"/>
    <col min="9482" max="9482" width="6.5703125" style="236" customWidth="1"/>
    <col min="9483" max="9483" width="13.7109375" style="236" customWidth="1"/>
    <col min="9484" max="9485" width="9" style="236" customWidth="1"/>
    <col min="9486" max="9486" width="2.5703125" style="236" customWidth="1"/>
    <col min="9487" max="9487" width="8.85546875" style="236" customWidth="1"/>
    <col min="9488" max="9488" width="7.5703125" style="236" customWidth="1"/>
    <col min="9489" max="9491" width="3.7109375" style="236" customWidth="1"/>
    <col min="9492" max="9492" width="3.5703125" style="236" customWidth="1"/>
    <col min="9493" max="9493" width="2.85546875" style="236" customWidth="1"/>
    <col min="9494" max="9494" width="3" style="236" customWidth="1"/>
    <col min="9495" max="9497" width="0" style="236" hidden="1" customWidth="1"/>
    <col min="9498" max="9498" width="4.42578125" style="236" customWidth="1"/>
    <col min="9499" max="9499" width="0" style="236" hidden="1" customWidth="1"/>
    <col min="9500" max="9501" width="14.85546875" style="236" customWidth="1"/>
    <col min="9502" max="9502" width="15.140625" style="236" customWidth="1"/>
    <col min="9503" max="9503" width="6.42578125" style="236" customWidth="1"/>
    <col min="9504" max="9504" width="15.140625" style="236" customWidth="1"/>
    <col min="9505" max="9505" width="4.140625" style="236" customWidth="1"/>
    <col min="9506" max="9506" width="3" style="236" customWidth="1"/>
    <col min="9507" max="9509" width="0" style="236" hidden="1" customWidth="1"/>
    <col min="9510" max="9510" width="3" style="236" customWidth="1"/>
    <col min="9511" max="9511" width="0" style="236" hidden="1" customWidth="1"/>
    <col min="9512" max="9512" width="3" style="236" customWidth="1"/>
    <col min="9513" max="9513" width="0" style="236" hidden="1" customWidth="1"/>
    <col min="9514" max="9514" width="4.42578125" style="236" customWidth="1"/>
    <col min="9515" max="9515" width="34.28515625" style="236" customWidth="1"/>
    <col min="9516" max="9516" width="23.42578125" style="236" customWidth="1"/>
    <col min="9517" max="9517" width="9.140625" style="236" customWidth="1"/>
    <col min="9518" max="9518" width="19.5703125" style="236" customWidth="1"/>
    <col min="9519" max="9519" width="42.7109375" style="236" customWidth="1"/>
    <col min="9520" max="9520" width="5.85546875" style="236" customWidth="1"/>
    <col min="9521" max="9521" width="31.5703125" style="236" customWidth="1"/>
    <col min="9522" max="9522" width="16.140625" style="236" customWidth="1"/>
    <col min="9523" max="9524" width="9.28515625" style="236" customWidth="1"/>
    <col min="9525" max="9525" width="11.140625" style="236" customWidth="1"/>
    <col min="9526" max="9526" width="2.140625" style="236" customWidth="1"/>
    <col min="9527" max="9732" width="11.42578125" style="236"/>
    <col min="9733" max="9733" width="12" style="236" customWidth="1"/>
    <col min="9734" max="9734" width="2.7109375" style="236" customWidth="1"/>
    <col min="9735" max="9736" width="6.5703125" style="236" customWidth="1"/>
    <col min="9737" max="9737" width="5.85546875" style="236" customWidth="1"/>
    <col min="9738" max="9738" width="6.5703125" style="236" customWidth="1"/>
    <col min="9739" max="9739" width="13.7109375" style="236" customWidth="1"/>
    <col min="9740" max="9741" width="9" style="236" customWidth="1"/>
    <col min="9742" max="9742" width="2.5703125" style="236" customWidth="1"/>
    <col min="9743" max="9743" width="8.85546875" style="236" customWidth="1"/>
    <col min="9744" max="9744" width="7.5703125" style="236" customWidth="1"/>
    <col min="9745" max="9747" width="3.7109375" style="236" customWidth="1"/>
    <col min="9748" max="9748" width="3.5703125" style="236" customWidth="1"/>
    <col min="9749" max="9749" width="2.85546875" style="236" customWidth="1"/>
    <col min="9750" max="9750" width="3" style="236" customWidth="1"/>
    <col min="9751" max="9753" width="0" style="236" hidden="1" customWidth="1"/>
    <col min="9754" max="9754" width="4.42578125" style="236" customWidth="1"/>
    <col min="9755" max="9755" width="0" style="236" hidden="1" customWidth="1"/>
    <col min="9756" max="9757" width="14.85546875" style="236" customWidth="1"/>
    <col min="9758" max="9758" width="15.140625" style="236" customWidth="1"/>
    <col min="9759" max="9759" width="6.42578125" style="236" customWidth="1"/>
    <col min="9760" max="9760" width="15.140625" style="236" customWidth="1"/>
    <col min="9761" max="9761" width="4.140625" style="236" customWidth="1"/>
    <col min="9762" max="9762" width="3" style="236" customWidth="1"/>
    <col min="9763" max="9765" width="0" style="236" hidden="1" customWidth="1"/>
    <col min="9766" max="9766" width="3" style="236" customWidth="1"/>
    <col min="9767" max="9767" width="0" style="236" hidden="1" customWidth="1"/>
    <col min="9768" max="9768" width="3" style="236" customWidth="1"/>
    <col min="9769" max="9769" width="0" style="236" hidden="1" customWidth="1"/>
    <col min="9770" max="9770" width="4.42578125" style="236" customWidth="1"/>
    <col min="9771" max="9771" width="34.28515625" style="236" customWidth="1"/>
    <col min="9772" max="9772" width="23.42578125" style="236" customWidth="1"/>
    <col min="9773" max="9773" width="9.140625" style="236" customWidth="1"/>
    <col min="9774" max="9774" width="19.5703125" style="236" customWidth="1"/>
    <col min="9775" max="9775" width="42.7109375" style="236" customWidth="1"/>
    <col min="9776" max="9776" width="5.85546875" style="236" customWidth="1"/>
    <col min="9777" max="9777" width="31.5703125" style="236" customWidth="1"/>
    <col min="9778" max="9778" width="16.140625" style="236" customWidth="1"/>
    <col min="9779" max="9780" width="9.28515625" style="236" customWidth="1"/>
    <col min="9781" max="9781" width="11.140625" style="236" customWidth="1"/>
    <col min="9782" max="9782" width="2.140625" style="236" customWidth="1"/>
    <col min="9783" max="9988" width="11.42578125" style="236"/>
    <col min="9989" max="9989" width="12" style="236" customWidth="1"/>
    <col min="9990" max="9990" width="2.7109375" style="236" customWidth="1"/>
    <col min="9991" max="9992" width="6.5703125" style="236" customWidth="1"/>
    <col min="9993" max="9993" width="5.85546875" style="236" customWidth="1"/>
    <col min="9994" max="9994" width="6.5703125" style="236" customWidth="1"/>
    <col min="9995" max="9995" width="13.7109375" style="236" customWidth="1"/>
    <col min="9996" max="9997" width="9" style="236" customWidth="1"/>
    <col min="9998" max="9998" width="2.5703125" style="236" customWidth="1"/>
    <col min="9999" max="9999" width="8.85546875" style="236" customWidth="1"/>
    <col min="10000" max="10000" width="7.5703125" style="236" customWidth="1"/>
    <col min="10001" max="10003" width="3.7109375" style="236" customWidth="1"/>
    <col min="10004" max="10004" width="3.5703125" style="236" customWidth="1"/>
    <col min="10005" max="10005" width="2.85546875" style="236" customWidth="1"/>
    <col min="10006" max="10006" width="3" style="236" customWidth="1"/>
    <col min="10007" max="10009" width="0" style="236" hidden="1" customWidth="1"/>
    <col min="10010" max="10010" width="4.42578125" style="236" customWidth="1"/>
    <col min="10011" max="10011" width="0" style="236" hidden="1" customWidth="1"/>
    <col min="10012" max="10013" width="14.85546875" style="236" customWidth="1"/>
    <col min="10014" max="10014" width="15.140625" style="236" customWidth="1"/>
    <col min="10015" max="10015" width="6.42578125" style="236" customWidth="1"/>
    <col min="10016" max="10016" width="15.140625" style="236" customWidth="1"/>
    <col min="10017" max="10017" width="4.140625" style="236" customWidth="1"/>
    <col min="10018" max="10018" width="3" style="236" customWidth="1"/>
    <col min="10019" max="10021" width="0" style="236" hidden="1" customWidth="1"/>
    <col min="10022" max="10022" width="3" style="236" customWidth="1"/>
    <col min="10023" max="10023" width="0" style="236" hidden="1" customWidth="1"/>
    <col min="10024" max="10024" width="3" style="236" customWidth="1"/>
    <col min="10025" max="10025" width="0" style="236" hidden="1" customWidth="1"/>
    <col min="10026" max="10026" width="4.42578125" style="236" customWidth="1"/>
    <col min="10027" max="10027" width="34.28515625" style="236" customWidth="1"/>
    <col min="10028" max="10028" width="23.42578125" style="236" customWidth="1"/>
    <col min="10029" max="10029" width="9.140625" style="236" customWidth="1"/>
    <col min="10030" max="10030" width="19.5703125" style="236" customWidth="1"/>
    <col min="10031" max="10031" width="42.7109375" style="236" customWidth="1"/>
    <col min="10032" max="10032" width="5.85546875" style="236" customWidth="1"/>
    <col min="10033" max="10033" width="31.5703125" style="236" customWidth="1"/>
    <col min="10034" max="10034" width="16.140625" style="236" customWidth="1"/>
    <col min="10035" max="10036" width="9.28515625" style="236" customWidth="1"/>
    <col min="10037" max="10037" width="11.140625" style="236" customWidth="1"/>
    <col min="10038" max="10038" width="2.140625" style="236" customWidth="1"/>
    <col min="10039" max="10244" width="11.42578125" style="236"/>
    <col min="10245" max="10245" width="12" style="236" customWidth="1"/>
    <col min="10246" max="10246" width="2.7109375" style="236" customWidth="1"/>
    <col min="10247" max="10248" width="6.5703125" style="236" customWidth="1"/>
    <col min="10249" max="10249" width="5.85546875" style="236" customWidth="1"/>
    <col min="10250" max="10250" width="6.5703125" style="236" customWidth="1"/>
    <col min="10251" max="10251" width="13.7109375" style="236" customWidth="1"/>
    <col min="10252" max="10253" width="9" style="236" customWidth="1"/>
    <col min="10254" max="10254" width="2.5703125" style="236" customWidth="1"/>
    <col min="10255" max="10255" width="8.85546875" style="236" customWidth="1"/>
    <col min="10256" max="10256" width="7.5703125" style="236" customWidth="1"/>
    <col min="10257" max="10259" width="3.7109375" style="236" customWidth="1"/>
    <col min="10260" max="10260" width="3.5703125" style="236" customWidth="1"/>
    <col min="10261" max="10261" width="2.85546875" style="236" customWidth="1"/>
    <col min="10262" max="10262" width="3" style="236" customWidth="1"/>
    <col min="10263" max="10265" width="0" style="236" hidden="1" customWidth="1"/>
    <col min="10266" max="10266" width="4.42578125" style="236" customWidth="1"/>
    <col min="10267" max="10267" width="0" style="236" hidden="1" customWidth="1"/>
    <col min="10268" max="10269" width="14.85546875" style="236" customWidth="1"/>
    <col min="10270" max="10270" width="15.140625" style="236" customWidth="1"/>
    <col min="10271" max="10271" width="6.42578125" style="236" customWidth="1"/>
    <col min="10272" max="10272" width="15.140625" style="236" customWidth="1"/>
    <col min="10273" max="10273" width="4.140625" style="236" customWidth="1"/>
    <col min="10274" max="10274" width="3" style="236" customWidth="1"/>
    <col min="10275" max="10277" width="0" style="236" hidden="1" customWidth="1"/>
    <col min="10278" max="10278" width="3" style="236" customWidth="1"/>
    <col min="10279" max="10279" width="0" style="236" hidden="1" customWidth="1"/>
    <col min="10280" max="10280" width="3" style="236" customWidth="1"/>
    <col min="10281" max="10281" width="0" style="236" hidden="1" customWidth="1"/>
    <col min="10282" max="10282" width="4.42578125" style="236" customWidth="1"/>
    <col min="10283" max="10283" width="34.28515625" style="236" customWidth="1"/>
    <col min="10284" max="10284" width="23.42578125" style="236" customWidth="1"/>
    <col min="10285" max="10285" width="9.140625" style="236" customWidth="1"/>
    <col min="10286" max="10286" width="19.5703125" style="236" customWidth="1"/>
    <col min="10287" max="10287" width="42.7109375" style="236" customWidth="1"/>
    <col min="10288" max="10288" width="5.85546875" style="236" customWidth="1"/>
    <col min="10289" max="10289" width="31.5703125" style="236" customWidth="1"/>
    <col min="10290" max="10290" width="16.140625" style="236" customWidth="1"/>
    <col min="10291" max="10292" width="9.28515625" style="236" customWidth="1"/>
    <col min="10293" max="10293" width="11.140625" style="236" customWidth="1"/>
    <col min="10294" max="10294" width="2.140625" style="236" customWidth="1"/>
    <col min="10295" max="10500" width="11.42578125" style="236"/>
    <col min="10501" max="10501" width="12" style="236" customWidth="1"/>
    <col min="10502" max="10502" width="2.7109375" style="236" customWidth="1"/>
    <col min="10503" max="10504" width="6.5703125" style="236" customWidth="1"/>
    <col min="10505" max="10505" width="5.85546875" style="236" customWidth="1"/>
    <col min="10506" max="10506" width="6.5703125" style="236" customWidth="1"/>
    <col min="10507" max="10507" width="13.7109375" style="236" customWidth="1"/>
    <col min="10508" max="10509" width="9" style="236" customWidth="1"/>
    <col min="10510" max="10510" width="2.5703125" style="236" customWidth="1"/>
    <col min="10511" max="10511" width="8.85546875" style="236" customWidth="1"/>
    <col min="10512" max="10512" width="7.5703125" style="236" customWidth="1"/>
    <col min="10513" max="10515" width="3.7109375" style="236" customWidth="1"/>
    <col min="10516" max="10516" width="3.5703125" style="236" customWidth="1"/>
    <col min="10517" max="10517" width="2.85546875" style="236" customWidth="1"/>
    <col min="10518" max="10518" width="3" style="236" customWidth="1"/>
    <col min="10519" max="10521" width="0" style="236" hidden="1" customWidth="1"/>
    <col min="10522" max="10522" width="4.42578125" style="236" customWidth="1"/>
    <col min="10523" max="10523" width="0" style="236" hidden="1" customWidth="1"/>
    <col min="10524" max="10525" width="14.85546875" style="236" customWidth="1"/>
    <col min="10526" max="10526" width="15.140625" style="236" customWidth="1"/>
    <col min="10527" max="10527" width="6.42578125" style="236" customWidth="1"/>
    <col min="10528" max="10528" width="15.140625" style="236" customWidth="1"/>
    <col min="10529" max="10529" width="4.140625" style="236" customWidth="1"/>
    <col min="10530" max="10530" width="3" style="236" customWidth="1"/>
    <col min="10531" max="10533" width="0" style="236" hidden="1" customWidth="1"/>
    <col min="10534" max="10534" width="3" style="236" customWidth="1"/>
    <col min="10535" max="10535" width="0" style="236" hidden="1" customWidth="1"/>
    <col min="10536" max="10536" width="3" style="236" customWidth="1"/>
    <col min="10537" max="10537" width="0" style="236" hidden="1" customWidth="1"/>
    <col min="10538" max="10538" width="4.42578125" style="236" customWidth="1"/>
    <col min="10539" max="10539" width="34.28515625" style="236" customWidth="1"/>
    <col min="10540" max="10540" width="23.42578125" style="236" customWidth="1"/>
    <col min="10541" max="10541" width="9.140625" style="236" customWidth="1"/>
    <col min="10542" max="10542" width="19.5703125" style="236" customWidth="1"/>
    <col min="10543" max="10543" width="42.7109375" style="236" customWidth="1"/>
    <col min="10544" max="10544" width="5.85546875" style="236" customWidth="1"/>
    <col min="10545" max="10545" width="31.5703125" style="236" customWidth="1"/>
    <col min="10546" max="10546" width="16.140625" style="236" customWidth="1"/>
    <col min="10547" max="10548" width="9.28515625" style="236" customWidth="1"/>
    <col min="10549" max="10549" width="11.140625" style="236" customWidth="1"/>
    <col min="10550" max="10550" width="2.140625" style="236" customWidth="1"/>
    <col min="10551" max="10756" width="11.42578125" style="236"/>
    <col min="10757" max="10757" width="12" style="236" customWidth="1"/>
    <col min="10758" max="10758" width="2.7109375" style="236" customWidth="1"/>
    <col min="10759" max="10760" width="6.5703125" style="236" customWidth="1"/>
    <col min="10761" max="10761" width="5.85546875" style="236" customWidth="1"/>
    <col min="10762" max="10762" width="6.5703125" style="236" customWidth="1"/>
    <col min="10763" max="10763" width="13.7109375" style="236" customWidth="1"/>
    <col min="10764" max="10765" width="9" style="236" customWidth="1"/>
    <col min="10766" max="10766" width="2.5703125" style="236" customWidth="1"/>
    <col min="10767" max="10767" width="8.85546875" style="236" customWidth="1"/>
    <col min="10768" max="10768" width="7.5703125" style="236" customWidth="1"/>
    <col min="10769" max="10771" width="3.7109375" style="236" customWidth="1"/>
    <col min="10772" max="10772" width="3.5703125" style="236" customWidth="1"/>
    <col min="10773" max="10773" width="2.85546875" style="236" customWidth="1"/>
    <col min="10774" max="10774" width="3" style="236" customWidth="1"/>
    <col min="10775" max="10777" width="0" style="236" hidden="1" customWidth="1"/>
    <col min="10778" max="10778" width="4.42578125" style="236" customWidth="1"/>
    <col min="10779" max="10779" width="0" style="236" hidden="1" customWidth="1"/>
    <col min="10780" max="10781" width="14.85546875" style="236" customWidth="1"/>
    <col min="10782" max="10782" width="15.140625" style="236" customWidth="1"/>
    <col min="10783" max="10783" width="6.42578125" style="236" customWidth="1"/>
    <col min="10784" max="10784" width="15.140625" style="236" customWidth="1"/>
    <col min="10785" max="10785" width="4.140625" style="236" customWidth="1"/>
    <col min="10786" max="10786" width="3" style="236" customWidth="1"/>
    <col min="10787" max="10789" width="0" style="236" hidden="1" customWidth="1"/>
    <col min="10790" max="10790" width="3" style="236" customWidth="1"/>
    <col min="10791" max="10791" width="0" style="236" hidden="1" customWidth="1"/>
    <col min="10792" max="10792" width="3" style="236" customWidth="1"/>
    <col min="10793" max="10793" width="0" style="236" hidden="1" customWidth="1"/>
    <col min="10794" max="10794" width="4.42578125" style="236" customWidth="1"/>
    <col min="10795" max="10795" width="34.28515625" style="236" customWidth="1"/>
    <col min="10796" max="10796" width="23.42578125" style="236" customWidth="1"/>
    <col min="10797" max="10797" width="9.140625" style="236" customWidth="1"/>
    <col min="10798" max="10798" width="19.5703125" style="236" customWidth="1"/>
    <col min="10799" max="10799" width="42.7109375" style="236" customWidth="1"/>
    <col min="10800" max="10800" width="5.85546875" style="236" customWidth="1"/>
    <col min="10801" max="10801" width="31.5703125" style="236" customWidth="1"/>
    <col min="10802" max="10802" width="16.140625" style="236" customWidth="1"/>
    <col min="10803" max="10804" width="9.28515625" style="236" customWidth="1"/>
    <col min="10805" max="10805" width="11.140625" style="236" customWidth="1"/>
    <col min="10806" max="10806" width="2.140625" style="236" customWidth="1"/>
    <col min="10807" max="11012" width="11.42578125" style="236"/>
    <col min="11013" max="11013" width="12" style="236" customWidth="1"/>
    <col min="11014" max="11014" width="2.7109375" style="236" customWidth="1"/>
    <col min="11015" max="11016" width="6.5703125" style="236" customWidth="1"/>
    <col min="11017" max="11017" width="5.85546875" style="236" customWidth="1"/>
    <col min="11018" max="11018" width="6.5703125" style="236" customWidth="1"/>
    <col min="11019" max="11019" width="13.7109375" style="236" customWidth="1"/>
    <col min="11020" max="11021" width="9" style="236" customWidth="1"/>
    <col min="11022" max="11022" width="2.5703125" style="236" customWidth="1"/>
    <col min="11023" max="11023" width="8.85546875" style="236" customWidth="1"/>
    <col min="11024" max="11024" width="7.5703125" style="236" customWidth="1"/>
    <col min="11025" max="11027" width="3.7109375" style="236" customWidth="1"/>
    <col min="11028" max="11028" width="3.5703125" style="236" customWidth="1"/>
    <col min="11029" max="11029" width="2.85546875" style="236" customWidth="1"/>
    <col min="11030" max="11030" width="3" style="236" customWidth="1"/>
    <col min="11031" max="11033" width="0" style="236" hidden="1" customWidth="1"/>
    <col min="11034" max="11034" width="4.42578125" style="236" customWidth="1"/>
    <col min="11035" max="11035" width="0" style="236" hidden="1" customWidth="1"/>
    <col min="11036" max="11037" width="14.85546875" style="236" customWidth="1"/>
    <col min="11038" max="11038" width="15.140625" style="236" customWidth="1"/>
    <col min="11039" max="11039" width="6.42578125" style="236" customWidth="1"/>
    <col min="11040" max="11040" width="15.140625" style="236" customWidth="1"/>
    <col min="11041" max="11041" width="4.140625" style="236" customWidth="1"/>
    <col min="11042" max="11042" width="3" style="236" customWidth="1"/>
    <col min="11043" max="11045" width="0" style="236" hidden="1" customWidth="1"/>
    <col min="11046" max="11046" width="3" style="236" customWidth="1"/>
    <col min="11047" max="11047" width="0" style="236" hidden="1" customWidth="1"/>
    <col min="11048" max="11048" width="3" style="236" customWidth="1"/>
    <col min="11049" max="11049" width="0" style="236" hidden="1" customWidth="1"/>
    <col min="11050" max="11050" width="4.42578125" style="236" customWidth="1"/>
    <col min="11051" max="11051" width="34.28515625" style="236" customWidth="1"/>
    <col min="11052" max="11052" width="23.42578125" style="236" customWidth="1"/>
    <col min="11053" max="11053" width="9.140625" style="236" customWidth="1"/>
    <col min="11054" max="11054" width="19.5703125" style="236" customWidth="1"/>
    <col min="11055" max="11055" width="42.7109375" style="236" customWidth="1"/>
    <col min="11056" max="11056" width="5.85546875" style="236" customWidth="1"/>
    <col min="11057" max="11057" width="31.5703125" style="236" customWidth="1"/>
    <col min="11058" max="11058" width="16.140625" style="236" customWidth="1"/>
    <col min="11059" max="11060" width="9.28515625" style="236" customWidth="1"/>
    <col min="11061" max="11061" width="11.140625" style="236" customWidth="1"/>
    <col min="11062" max="11062" width="2.140625" style="236" customWidth="1"/>
    <col min="11063" max="11268" width="11.42578125" style="236"/>
    <col min="11269" max="11269" width="12" style="236" customWidth="1"/>
    <col min="11270" max="11270" width="2.7109375" style="236" customWidth="1"/>
    <col min="11271" max="11272" width="6.5703125" style="236" customWidth="1"/>
    <col min="11273" max="11273" width="5.85546875" style="236" customWidth="1"/>
    <col min="11274" max="11274" width="6.5703125" style="236" customWidth="1"/>
    <col min="11275" max="11275" width="13.7109375" style="236" customWidth="1"/>
    <col min="11276" max="11277" width="9" style="236" customWidth="1"/>
    <col min="11278" max="11278" width="2.5703125" style="236" customWidth="1"/>
    <col min="11279" max="11279" width="8.85546875" style="236" customWidth="1"/>
    <col min="11280" max="11280" width="7.5703125" style="236" customWidth="1"/>
    <col min="11281" max="11283" width="3.7109375" style="236" customWidth="1"/>
    <col min="11284" max="11284" width="3.5703125" style="236" customWidth="1"/>
    <col min="11285" max="11285" width="2.85546875" style="236" customWidth="1"/>
    <col min="11286" max="11286" width="3" style="236" customWidth="1"/>
    <col min="11287" max="11289" width="0" style="236" hidden="1" customWidth="1"/>
    <col min="11290" max="11290" width="4.42578125" style="236" customWidth="1"/>
    <col min="11291" max="11291" width="0" style="236" hidden="1" customWidth="1"/>
    <col min="11292" max="11293" width="14.85546875" style="236" customWidth="1"/>
    <col min="11294" max="11294" width="15.140625" style="236" customWidth="1"/>
    <col min="11295" max="11295" width="6.42578125" style="236" customWidth="1"/>
    <col min="11296" max="11296" width="15.140625" style="236" customWidth="1"/>
    <col min="11297" max="11297" width="4.140625" style="236" customWidth="1"/>
    <col min="11298" max="11298" width="3" style="236" customWidth="1"/>
    <col min="11299" max="11301" width="0" style="236" hidden="1" customWidth="1"/>
    <col min="11302" max="11302" width="3" style="236" customWidth="1"/>
    <col min="11303" max="11303" width="0" style="236" hidden="1" customWidth="1"/>
    <col min="11304" max="11304" width="3" style="236" customWidth="1"/>
    <col min="11305" max="11305" width="0" style="236" hidden="1" customWidth="1"/>
    <col min="11306" max="11306" width="4.42578125" style="236" customWidth="1"/>
    <col min="11307" max="11307" width="34.28515625" style="236" customWidth="1"/>
    <col min="11308" max="11308" width="23.42578125" style="236" customWidth="1"/>
    <col min="11309" max="11309" width="9.140625" style="236" customWidth="1"/>
    <col min="11310" max="11310" width="19.5703125" style="236" customWidth="1"/>
    <col min="11311" max="11311" width="42.7109375" style="236" customWidth="1"/>
    <col min="11312" max="11312" width="5.85546875" style="236" customWidth="1"/>
    <col min="11313" max="11313" width="31.5703125" style="236" customWidth="1"/>
    <col min="11314" max="11314" width="16.140625" style="236" customWidth="1"/>
    <col min="11315" max="11316" width="9.28515625" style="236" customWidth="1"/>
    <col min="11317" max="11317" width="11.140625" style="236" customWidth="1"/>
    <col min="11318" max="11318" width="2.140625" style="236" customWidth="1"/>
    <col min="11319" max="11524" width="11.42578125" style="236"/>
    <col min="11525" max="11525" width="12" style="236" customWidth="1"/>
    <col min="11526" max="11526" width="2.7109375" style="236" customWidth="1"/>
    <col min="11527" max="11528" width="6.5703125" style="236" customWidth="1"/>
    <col min="11529" max="11529" width="5.85546875" style="236" customWidth="1"/>
    <col min="11530" max="11530" width="6.5703125" style="236" customWidth="1"/>
    <col min="11531" max="11531" width="13.7109375" style="236" customWidth="1"/>
    <col min="11532" max="11533" width="9" style="236" customWidth="1"/>
    <col min="11534" max="11534" width="2.5703125" style="236" customWidth="1"/>
    <col min="11535" max="11535" width="8.85546875" style="236" customWidth="1"/>
    <col min="11536" max="11536" width="7.5703125" style="236" customWidth="1"/>
    <col min="11537" max="11539" width="3.7109375" style="236" customWidth="1"/>
    <col min="11540" max="11540" width="3.5703125" style="236" customWidth="1"/>
    <col min="11541" max="11541" width="2.85546875" style="236" customWidth="1"/>
    <col min="11542" max="11542" width="3" style="236" customWidth="1"/>
    <col min="11543" max="11545" width="0" style="236" hidden="1" customWidth="1"/>
    <col min="11546" max="11546" width="4.42578125" style="236" customWidth="1"/>
    <col min="11547" max="11547" width="0" style="236" hidden="1" customWidth="1"/>
    <col min="11548" max="11549" width="14.85546875" style="236" customWidth="1"/>
    <col min="11550" max="11550" width="15.140625" style="236" customWidth="1"/>
    <col min="11551" max="11551" width="6.42578125" style="236" customWidth="1"/>
    <col min="11552" max="11552" width="15.140625" style="236" customWidth="1"/>
    <col min="11553" max="11553" width="4.140625" style="236" customWidth="1"/>
    <col min="11554" max="11554" width="3" style="236" customWidth="1"/>
    <col min="11555" max="11557" width="0" style="236" hidden="1" customWidth="1"/>
    <col min="11558" max="11558" width="3" style="236" customWidth="1"/>
    <col min="11559" max="11559" width="0" style="236" hidden="1" customWidth="1"/>
    <col min="11560" max="11560" width="3" style="236" customWidth="1"/>
    <col min="11561" max="11561" width="0" style="236" hidden="1" customWidth="1"/>
    <col min="11562" max="11562" width="4.42578125" style="236" customWidth="1"/>
    <col min="11563" max="11563" width="34.28515625" style="236" customWidth="1"/>
    <col min="11564" max="11564" width="23.42578125" style="236" customWidth="1"/>
    <col min="11565" max="11565" width="9.140625" style="236" customWidth="1"/>
    <col min="11566" max="11566" width="19.5703125" style="236" customWidth="1"/>
    <col min="11567" max="11567" width="42.7109375" style="236" customWidth="1"/>
    <col min="11568" max="11568" width="5.85546875" style="236" customWidth="1"/>
    <col min="11569" max="11569" width="31.5703125" style="236" customWidth="1"/>
    <col min="11570" max="11570" width="16.140625" style="236" customWidth="1"/>
    <col min="11571" max="11572" width="9.28515625" style="236" customWidth="1"/>
    <col min="11573" max="11573" width="11.140625" style="236" customWidth="1"/>
    <col min="11574" max="11574" width="2.140625" style="236" customWidth="1"/>
    <col min="11575" max="11780" width="11.42578125" style="236"/>
    <col min="11781" max="11781" width="12" style="236" customWidth="1"/>
    <col min="11782" max="11782" width="2.7109375" style="236" customWidth="1"/>
    <col min="11783" max="11784" width="6.5703125" style="236" customWidth="1"/>
    <col min="11785" max="11785" width="5.85546875" style="236" customWidth="1"/>
    <col min="11786" max="11786" width="6.5703125" style="236" customWidth="1"/>
    <col min="11787" max="11787" width="13.7109375" style="236" customWidth="1"/>
    <col min="11788" max="11789" width="9" style="236" customWidth="1"/>
    <col min="11790" max="11790" width="2.5703125" style="236" customWidth="1"/>
    <col min="11791" max="11791" width="8.85546875" style="236" customWidth="1"/>
    <col min="11792" max="11792" width="7.5703125" style="236" customWidth="1"/>
    <col min="11793" max="11795" width="3.7109375" style="236" customWidth="1"/>
    <col min="11796" max="11796" width="3.5703125" style="236" customWidth="1"/>
    <col min="11797" max="11797" width="2.85546875" style="236" customWidth="1"/>
    <col min="11798" max="11798" width="3" style="236" customWidth="1"/>
    <col min="11799" max="11801" width="0" style="236" hidden="1" customWidth="1"/>
    <col min="11802" max="11802" width="4.42578125" style="236" customWidth="1"/>
    <col min="11803" max="11803" width="0" style="236" hidden="1" customWidth="1"/>
    <col min="11804" max="11805" width="14.85546875" style="236" customWidth="1"/>
    <col min="11806" max="11806" width="15.140625" style="236" customWidth="1"/>
    <col min="11807" max="11807" width="6.42578125" style="236" customWidth="1"/>
    <col min="11808" max="11808" width="15.140625" style="236" customWidth="1"/>
    <col min="11809" max="11809" width="4.140625" style="236" customWidth="1"/>
    <col min="11810" max="11810" width="3" style="236" customWidth="1"/>
    <col min="11811" max="11813" width="0" style="236" hidden="1" customWidth="1"/>
    <col min="11814" max="11814" width="3" style="236" customWidth="1"/>
    <col min="11815" max="11815" width="0" style="236" hidden="1" customWidth="1"/>
    <col min="11816" max="11816" width="3" style="236" customWidth="1"/>
    <col min="11817" max="11817" width="0" style="236" hidden="1" customWidth="1"/>
    <col min="11818" max="11818" width="4.42578125" style="236" customWidth="1"/>
    <col min="11819" max="11819" width="34.28515625" style="236" customWidth="1"/>
    <col min="11820" max="11820" width="23.42578125" style="236" customWidth="1"/>
    <col min="11821" max="11821" width="9.140625" style="236" customWidth="1"/>
    <col min="11822" max="11822" width="19.5703125" style="236" customWidth="1"/>
    <col min="11823" max="11823" width="42.7109375" style="236" customWidth="1"/>
    <col min="11824" max="11824" width="5.85546875" style="236" customWidth="1"/>
    <col min="11825" max="11825" width="31.5703125" style="236" customWidth="1"/>
    <col min="11826" max="11826" width="16.140625" style="236" customWidth="1"/>
    <col min="11827" max="11828" width="9.28515625" style="236" customWidth="1"/>
    <col min="11829" max="11829" width="11.140625" style="236" customWidth="1"/>
    <col min="11830" max="11830" width="2.140625" style="236" customWidth="1"/>
    <col min="11831" max="12036" width="11.42578125" style="236"/>
    <col min="12037" max="12037" width="12" style="236" customWidth="1"/>
    <col min="12038" max="12038" width="2.7109375" style="236" customWidth="1"/>
    <col min="12039" max="12040" width="6.5703125" style="236" customWidth="1"/>
    <col min="12041" max="12041" width="5.85546875" style="236" customWidth="1"/>
    <col min="12042" max="12042" width="6.5703125" style="236" customWidth="1"/>
    <col min="12043" max="12043" width="13.7109375" style="236" customWidth="1"/>
    <col min="12044" max="12045" width="9" style="236" customWidth="1"/>
    <col min="12046" max="12046" width="2.5703125" style="236" customWidth="1"/>
    <col min="12047" max="12047" width="8.85546875" style="236" customWidth="1"/>
    <col min="12048" max="12048" width="7.5703125" style="236" customWidth="1"/>
    <col min="12049" max="12051" width="3.7109375" style="236" customWidth="1"/>
    <col min="12052" max="12052" width="3.5703125" style="236" customWidth="1"/>
    <col min="12053" max="12053" width="2.85546875" style="236" customWidth="1"/>
    <col min="12054" max="12054" width="3" style="236" customWidth="1"/>
    <col min="12055" max="12057" width="0" style="236" hidden="1" customWidth="1"/>
    <col min="12058" max="12058" width="4.42578125" style="236" customWidth="1"/>
    <col min="12059" max="12059" width="0" style="236" hidden="1" customWidth="1"/>
    <col min="12060" max="12061" width="14.85546875" style="236" customWidth="1"/>
    <col min="12062" max="12062" width="15.140625" style="236" customWidth="1"/>
    <col min="12063" max="12063" width="6.42578125" style="236" customWidth="1"/>
    <col min="12064" max="12064" width="15.140625" style="236" customWidth="1"/>
    <col min="12065" max="12065" width="4.140625" style="236" customWidth="1"/>
    <col min="12066" max="12066" width="3" style="236" customWidth="1"/>
    <col min="12067" max="12069" width="0" style="236" hidden="1" customWidth="1"/>
    <col min="12070" max="12070" width="3" style="236" customWidth="1"/>
    <col min="12071" max="12071" width="0" style="236" hidden="1" customWidth="1"/>
    <col min="12072" max="12072" width="3" style="236" customWidth="1"/>
    <col min="12073" max="12073" width="0" style="236" hidden="1" customWidth="1"/>
    <col min="12074" max="12074" width="4.42578125" style="236" customWidth="1"/>
    <col min="12075" max="12075" width="34.28515625" style="236" customWidth="1"/>
    <col min="12076" max="12076" width="23.42578125" style="236" customWidth="1"/>
    <col min="12077" max="12077" width="9.140625" style="236" customWidth="1"/>
    <col min="12078" max="12078" width="19.5703125" style="236" customWidth="1"/>
    <col min="12079" max="12079" width="42.7109375" style="236" customWidth="1"/>
    <col min="12080" max="12080" width="5.85546875" style="236" customWidth="1"/>
    <col min="12081" max="12081" width="31.5703125" style="236" customWidth="1"/>
    <col min="12082" max="12082" width="16.140625" style="236" customWidth="1"/>
    <col min="12083" max="12084" width="9.28515625" style="236" customWidth="1"/>
    <col min="12085" max="12085" width="11.140625" style="236" customWidth="1"/>
    <col min="12086" max="12086" width="2.140625" style="236" customWidth="1"/>
    <col min="12087" max="12292" width="11.42578125" style="236"/>
    <col min="12293" max="12293" width="12" style="236" customWidth="1"/>
    <col min="12294" max="12294" width="2.7109375" style="236" customWidth="1"/>
    <col min="12295" max="12296" width="6.5703125" style="236" customWidth="1"/>
    <col min="12297" max="12297" width="5.85546875" style="236" customWidth="1"/>
    <col min="12298" max="12298" width="6.5703125" style="236" customWidth="1"/>
    <col min="12299" max="12299" width="13.7109375" style="236" customWidth="1"/>
    <col min="12300" max="12301" width="9" style="236" customWidth="1"/>
    <col min="12302" max="12302" width="2.5703125" style="236" customWidth="1"/>
    <col min="12303" max="12303" width="8.85546875" style="236" customWidth="1"/>
    <col min="12304" max="12304" width="7.5703125" style="236" customWidth="1"/>
    <col min="12305" max="12307" width="3.7109375" style="236" customWidth="1"/>
    <col min="12308" max="12308" width="3.5703125" style="236" customWidth="1"/>
    <col min="12309" max="12309" width="2.85546875" style="236" customWidth="1"/>
    <col min="12310" max="12310" width="3" style="236" customWidth="1"/>
    <col min="12311" max="12313" width="0" style="236" hidden="1" customWidth="1"/>
    <col min="12314" max="12314" width="4.42578125" style="236" customWidth="1"/>
    <col min="12315" max="12315" width="0" style="236" hidden="1" customWidth="1"/>
    <col min="12316" max="12317" width="14.85546875" style="236" customWidth="1"/>
    <col min="12318" max="12318" width="15.140625" style="236" customWidth="1"/>
    <col min="12319" max="12319" width="6.42578125" style="236" customWidth="1"/>
    <col min="12320" max="12320" width="15.140625" style="236" customWidth="1"/>
    <col min="12321" max="12321" width="4.140625" style="236" customWidth="1"/>
    <col min="12322" max="12322" width="3" style="236" customWidth="1"/>
    <col min="12323" max="12325" width="0" style="236" hidden="1" customWidth="1"/>
    <col min="12326" max="12326" width="3" style="236" customWidth="1"/>
    <col min="12327" max="12327" width="0" style="236" hidden="1" customWidth="1"/>
    <col min="12328" max="12328" width="3" style="236" customWidth="1"/>
    <col min="12329" max="12329" width="0" style="236" hidden="1" customWidth="1"/>
    <col min="12330" max="12330" width="4.42578125" style="236" customWidth="1"/>
    <col min="12331" max="12331" width="34.28515625" style="236" customWidth="1"/>
    <col min="12332" max="12332" width="23.42578125" style="236" customWidth="1"/>
    <col min="12333" max="12333" width="9.140625" style="236" customWidth="1"/>
    <col min="12334" max="12334" width="19.5703125" style="236" customWidth="1"/>
    <col min="12335" max="12335" width="42.7109375" style="236" customWidth="1"/>
    <col min="12336" max="12336" width="5.85546875" style="236" customWidth="1"/>
    <col min="12337" max="12337" width="31.5703125" style="236" customWidth="1"/>
    <col min="12338" max="12338" width="16.140625" style="236" customWidth="1"/>
    <col min="12339" max="12340" width="9.28515625" style="236" customWidth="1"/>
    <col min="12341" max="12341" width="11.140625" style="236" customWidth="1"/>
    <col min="12342" max="12342" width="2.140625" style="236" customWidth="1"/>
    <col min="12343" max="12548" width="11.42578125" style="236"/>
    <col min="12549" max="12549" width="12" style="236" customWidth="1"/>
    <col min="12550" max="12550" width="2.7109375" style="236" customWidth="1"/>
    <col min="12551" max="12552" width="6.5703125" style="236" customWidth="1"/>
    <col min="12553" max="12553" width="5.85546875" style="236" customWidth="1"/>
    <col min="12554" max="12554" width="6.5703125" style="236" customWidth="1"/>
    <col min="12555" max="12555" width="13.7109375" style="236" customWidth="1"/>
    <col min="12556" max="12557" width="9" style="236" customWidth="1"/>
    <col min="12558" max="12558" width="2.5703125" style="236" customWidth="1"/>
    <col min="12559" max="12559" width="8.85546875" style="236" customWidth="1"/>
    <col min="12560" max="12560" width="7.5703125" style="236" customWidth="1"/>
    <col min="12561" max="12563" width="3.7109375" style="236" customWidth="1"/>
    <col min="12564" max="12564" width="3.5703125" style="236" customWidth="1"/>
    <col min="12565" max="12565" width="2.85546875" style="236" customWidth="1"/>
    <col min="12566" max="12566" width="3" style="236" customWidth="1"/>
    <col min="12567" max="12569" width="0" style="236" hidden="1" customWidth="1"/>
    <col min="12570" max="12570" width="4.42578125" style="236" customWidth="1"/>
    <col min="12571" max="12571" width="0" style="236" hidden="1" customWidth="1"/>
    <col min="12572" max="12573" width="14.85546875" style="236" customWidth="1"/>
    <col min="12574" max="12574" width="15.140625" style="236" customWidth="1"/>
    <col min="12575" max="12575" width="6.42578125" style="236" customWidth="1"/>
    <col min="12576" max="12576" width="15.140625" style="236" customWidth="1"/>
    <col min="12577" max="12577" width="4.140625" style="236" customWidth="1"/>
    <col min="12578" max="12578" width="3" style="236" customWidth="1"/>
    <col min="12579" max="12581" width="0" style="236" hidden="1" customWidth="1"/>
    <col min="12582" max="12582" width="3" style="236" customWidth="1"/>
    <col min="12583" max="12583" width="0" style="236" hidden="1" customWidth="1"/>
    <col min="12584" max="12584" width="3" style="236" customWidth="1"/>
    <col min="12585" max="12585" width="0" style="236" hidden="1" customWidth="1"/>
    <col min="12586" max="12586" width="4.42578125" style="236" customWidth="1"/>
    <col min="12587" max="12587" width="34.28515625" style="236" customWidth="1"/>
    <col min="12588" max="12588" width="23.42578125" style="236" customWidth="1"/>
    <col min="12589" max="12589" width="9.140625" style="236" customWidth="1"/>
    <col min="12590" max="12590" width="19.5703125" style="236" customWidth="1"/>
    <col min="12591" max="12591" width="42.7109375" style="236" customWidth="1"/>
    <col min="12592" max="12592" width="5.85546875" style="236" customWidth="1"/>
    <col min="12593" max="12593" width="31.5703125" style="236" customWidth="1"/>
    <col min="12594" max="12594" width="16.140625" style="236" customWidth="1"/>
    <col min="12595" max="12596" width="9.28515625" style="236" customWidth="1"/>
    <col min="12597" max="12597" width="11.140625" style="236" customWidth="1"/>
    <col min="12598" max="12598" width="2.140625" style="236" customWidth="1"/>
    <col min="12599" max="12804" width="11.42578125" style="236"/>
    <col min="12805" max="12805" width="12" style="236" customWidth="1"/>
    <col min="12806" max="12806" width="2.7109375" style="236" customWidth="1"/>
    <col min="12807" max="12808" width="6.5703125" style="236" customWidth="1"/>
    <col min="12809" max="12809" width="5.85546875" style="236" customWidth="1"/>
    <col min="12810" max="12810" width="6.5703125" style="236" customWidth="1"/>
    <col min="12811" max="12811" width="13.7109375" style="236" customWidth="1"/>
    <col min="12812" max="12813" width="9" style="236" customWidth="1"/>
    <col min="12814" max="12814" width="2.5703125" style="236" customWidth="1"/>
    <col min="12815" max="12815" width="8.85546875" style="236" customWidth="1"/>
    <col min="12816" max="12816" width="7.5703125" style="236" customWidth="1"/>
    <col min="12817" max="12819" width="3.7109375" style="236" customWidth="1"/>
    <col min="12820" max="12820" width="3.5703125" style="236" customWidth="1"/>
    <col min="12821" max="12821" width="2.85546875" style="236" customWidth="1"/>
    <col min="12822" max="12822" width="3" style="236" customWidth="1"/>
    <col min="12823" max="12825" width="0" style="236" hidden="1" customWidth="1"/>
    <col min="12826" max="12826" width="4.42578125" style="236" customWidth="1"/>
    <col min="12827" max="12827" width="0" style="236" hidden="1" customWidth="1"/>
    <col min="12828" max="12829" width="14.85546875" style="236" customWidth="1"/>
    <col min="12830" max="12830" width="15.140625" style="236" customWidth="1"/>
    <col min="12831" max="12831" width="6.42578125" style="236" customWidth="1"/>
    <col min="12832" max="12832" width="15.140625" style="236" customWidth="1"/>
    <col min="12833" max="12833" width="4.140625" style="236" customWidth="1"/>
    <col min="12834" max="12834" width="3" style="236" customWidth="1"/>
    <col min="12835" max="12837" width="0" style="236" hidden="1" customWidth="1"/>
    <col min="12838" max="12838" width="3" style="236" customWidth="1"/>
    <col min="12839" max="12839" width="0" style="236" hidden="1" customWidth="1"/>
    <col min="12840" max="12840" width="3" style="236" customWidth="1"/>
    <col min="12841" max="12841" width="0" style="236" hidden="1" customWidth="1"/>
    <col min="12842" max="12842" width="4.42578125" style="236" customWidth="1"/>
    <col min="12843" max="12843" width="34.28515625" style="236" customWidth="1"/>
    <col min="12844" max="12844" width="23.42578125" style="236" customWidth="1"/>
    <col min="12845" max="12845" width="9.140625" style="236" customWidth="1"/>
    <col min="12846" max="12846" width="19.5703125" style="236" customWidth="1"/>
    <col min="12847" max="12847" width="42.7109375" style="236" customWidth="1"/>
    <col min="12848" max="12848" width="5.85546875" style="236" customWidth="1"/>
    <col min="12849" max="12849" width="31.5703125" style="236" customWidth="1"/>
    <col min="12850" max="12850" width="16.140625" style="236" customWidth="1"/>
    <col min="12851" max="12852" width="9.28515625" style="236" customWidth="1"/>
    <col min="12853" max="12853" width="11.140625" style="236" customWidth="1"/>
    <col min="12854" max="12854" width="2.140625" style="236" customWidth="1"/>
    <col min="12855" max="13060" width="11.42578125" style="236"/>
    <col min="13061" max="13061" width="12" style="236" customWidth="1"/>
    <col min="13062" max="13062" width="2.7109375" style="236" customWidth="1"/>
    <col min="13063" max="13064" width="6.5703125" style="236" customWidth="1"/>
    <col min="13065" max="13065" width="5.85546875" style="236" customWidth="1"/>
    <col min="13066" max="13066" width="6.5703125" style="236" customWidth="1"/>
    <col min="13067" max="13067" width="13.7109375" style="236" customWidth="1"/>
    <col min="13068" max="13069" width="9" style="236" customWidth="1"/>
    <col min="13070" max="13070" width="2.5703125" style="236" customWidth="1"/>
    <col min="13071" max="13071" width="8.85546875" style="236" customWidth="1"/>
    <col min="13072" max="13072" width="7.5703125" style="236" customWidth="1"/>
    <col min="13073" max="13075" width="3.7109375" style="236" customWidth="1"/>
    <col min="13076" max="13076" width="3.5703125" style="236" customWidth="1"/>
    <col min="13077" max="13077" width="2.85546875" style="236" customWidth="1"/>
    <col min="13078" max="13078" width="3" style="236" customWidth="1"/>
    <col min="13079" max="13081" width="0" style="236" hidden="1" customWidth="1"/>
    <col min="13082" max="13082" width="4.42578125" style="236" customWidth="1"/>
    <col min="13083" max="13083" width="0" style="236" hidden="1" customWidth="1"/>
    <col min="13084" max="13085" width="14.85546875" style="236" customWidth="1"/>
    <col min="13086" max="13086" width="15.140625" style="236" customWidth="1"/>
    <col min="13087" max="13087" width="6.42578125" style="236" customWidth="1"/>
    <col min="13088" max="13088" width="15.140625" style="236" customWidth="1"/>
    <col min="13089" max="13089" width="4.140625" style="236" customWidth="1"/>
    <col min="13090" max="13090" width="3" style="236" customWidth="1"/>
    <col min="13091" max="13093" width="0" style="236" hidden="1" customWidth="1"/>
    <col min="13094" max="13094" width="3" style="236" customWidth="1"/>
    <col min="13095" max="13095" width="0" style="236" hidden="1" customWidth="1"/>
    <col min="13096" max="13096" width="3" style="236" customWidth="1"/>
    <col min="13097" max="13097" width="0" style="236" hidden="1" customWidth="1"/>
    <col min="13098" max="13098" width="4.42578125" style="236" customWidth="1"/>
    <col min="13099" max="13099" width="34.28515625" style="236" customWidth="1"/>
    <col min="13100" max="13100" width="23.42578125" style="236" customWidth="1"/>
    <col min="13101" max="13101" width="9.140625" style="236" customWidth="1"/>
    <col min="13102" max="13102" width="19.5703125" style="236" customWidth="1"/>
    <col min="13103" max="13103" width="42.7109375" style="236" customWidth="1"/>
    <col min="13104" max="13104" width="5.85546875" style="236" customWidth="1"/>
    <col min="13105" max="13105" width="31.5703125" style="236" customWidth="1"/>
    <col min="13106" max="13106" width="16.140625" style="236" customWidth="1"/>
    <col min="13107" max="13108" width="9.28515625" style="236" customWidth="1"/>
    <col min="13109" max="13109" width="11.140625" style="236" customWidth="1"/>
    <col min="13110" max="13110" width="2.140625" style="236" customWidth="1"/>
    <col min="13111" max="13316" width="11.42578125" style="236"/>
    <col min="13317" max="13317" width="12" style="236" customWidth="1"/>
    <col min="13318" max="13318" width="2.7109375" style="236" customWidth="1"/>
    <col min="13319" max="13320" width="6.5703125" style="236" customWidth="1"/>
    <col min="13321" max="13321" width="5.85546875" style="236" customWidth="1"/>
    <col min="13322" max="13322" width="6.5703125" style="236" customWidth="1"/>
    <col min="13323" max="13323" width="13.7109375" style="236" customWidth="1"/>
    <col min="13324" max="13325" width="9" style="236" customWidth="1"/>
    <col min="13326" max="13326" width="2.5703125" style="236" customWidth="1"/>
    <col min="13327" max="13327" width="8.85546875" style="236" customWidth="1"/>
    <col min="13328" max="13328" width="7.5703125" style="236" customWidth="1"/>
    <col min="13329" max="13331" width="3.7109375" style="236" customWidth="1"/>
    <col min="13332" max="13332" width="3.5703125" style="236" customWidth="1"/>
    <col min="13333" max="13333" width="2.85546875" style="236" customWidth="1"/>
    <col min="13334" max="13334" width="3" style="236" customWidth="1"/>
    <col min="13335" max="13337" width="0" style="236" hidden="1" customWidth="1"/>
    <col min="13338" max="13338" width="4.42578125" style="236" customWidth="1"/>
    <col min="13339" max="13339" width="0" style="236" hidden="1" customWidth="1"/>
    <col min="13340" max="13341" width="14.85546875" style="236" customWidth="1"/>
    <col min="13342" max="13342" width="15.140625" style="236" customWidth="1"/>
    <col min="13343" max="13343" width="6.42578125" style="236" customWidth="1"/>
    <col min="13344" max="13344" width="15.140625" style="236" customWidth="1"/>
    <col min="13345" max="13345" width="4.140625" style="236" customWidth="1"/>
    <col min="13346" max="13346" width="3" style="236" customWidth="1"/>
    <col min="13347" max="13349" width="0" style="236" hidden="1" customWidth="1"/>
    <col min="13350" max="13350" width="3" style="236" customWidth="1"/>
    <col min="13351" max="13351" width="0" style="236" hidden="1" customWidth="1"/>
    <col min="13352" max="13352" width="3" style="236" customWidth="1"/>
    <col min="13353" max="13353" width="0" style="236" hidden="1" customWidth="1"/>
    <col min="13354" max="13354" width="4.42578125" style="236" customWidth="1"/>
    <col min="13355" max="13355" width="34.28515625" style="236" customWidth="1"/>
    <col min="13356" max="13356" width="23.42578125" style="236" customWidth="1"/>
    <col min="13357" max="13357" width="9.140625" style="236" customWidth="1"/>
    <col min="13358" max="13358" width="19.5703125" style="236" customWidth="1"/>
    <col min="13359" max="13359" width="42.7109375" style="236" customWidth="1"/>
    <col min="13360" max="13360" width="5.85546875" style="236" customWidth="1"/>
    <col min="13361" max="13361" width="31.5703125" style="236" customWidth="1"/>
    <col min="13362" max="13362" width="16.140625" style="236" customWidth="1"/>
    <col min="13363" max="13364" width="9.28515625" style="236" customWidth="1"/>
    <col min="13365" max="13365" width="11.140625" style="236" customWidth="1"/>
    <col min="13366" max="13366" width="2.140625" style="236" customWidth="1"/>
    <col min="13367" max="13572" width="11.42578125" style="236"/>
    <col min="13573" max="13573" width="12" style="236" customWidth="1"/>
    <col min="13574" max="13574" width="2.7109375" style="236" customWidth="1"/>
    <col min="13575" max="13576" width="6.5703125" style="236" customWidth="1"/>
    <col min="13577" max="13577" width="5.85546875" style="236" customWidth="1"/>
    <col min="13578" max="13578" width="6.5703125" style="236" customWidth="1"/>
    <col min="13579" max="13579" width="13.7109375" style="236" customWidth="1"/>
    <col min="13580" max="13581" width="9" style="236" customWidth="1"/>
    <col min="13582" max="13582" width="2.5703125" style="236" customWidth="1"/>
    <col min="13583" max="13583" width="8.85546875" style="236" customWidth="1"/>
    <col min="13584" max="13584" width="7.5703125" style="236" customWidth="1"/>
    <col min="13585" max="13587" width="3.7109375" style="236" customWidth="1"/>
    <col min="13588" max="13588" width="3.5703125" style="236" customWidth="1"/>
    <col min="13589" max="13589" width="2.85546875" style="236" customWidth="1"/>
    <col min="13590" max="13590" width="3" style="236" customWidth="1"/>
    <col min="13591" max="13593" width="0" style="236" hidden="1" customWidth="1"/>
    <col min="13594" max="13594" width="4.42578125" style="236" customWidth="1"/>
    <col min="13595" max="13595" width="0" style="236" hidden="1" customWidth="1"/>
    <col min="13596" max="13597" width="14.85546875" style="236" customWidth="1"/>
    <col min="13598" max="13598" width="15.140625" style="236" customWidth="1"/>
    <col min="13599" max="13599" width="6.42578125" style="236" customWidth="1"/>
    <col min="13600" max="13600" width="15.140625" style="236" customWidth="1"/>
    <col min="13601" max="13601" width="4.140625" style="236" customWidth="1"/>
    <col min="13602" max="13602" width="3" style="236" customWidth="1"/>
    <col min="13603" max="13605" width="0" style="236" hidden="1" customWidth="1"/>
    <col min="13606" max="13606" width="3" style="236" customWidth="1"/>
    <col min="13607" max="13607" width="0" style="236" hidden="1" customWidth="1"/>
    <col min="13608" max="13608" width="3" style="236" customWidth="1"/>
    <col min="13609" max="13609" width="0" style="236" hidden="1" customWidth="1"/>
    <col min="13610" max="13610" width="4.42578125" style="236" customWidth="1"/>
    <col min="13611" max="13611" width="34.28515625" style="236" customWidth="1"/>
    <col min="13612" max="13612" width="23.42578125" style="236" customWidth="1"/>
    <col min="13613" max="13613" width="9.140625" style="236" customWidth="1"/>
    <col min="13614" max="13614" width="19.5703125" style="236" customWidth="1"/>
    <col min="13615" max="13615" width="42.7109375" style="236" customWidth="1"/>
    <col min="13616" max="13616" width="5.85546875" style="236" customWidth="1"/>
    <col min="13617" max="13617" width="31.5703125" style="236" customWidth="1"/>
    <col min="13618" max="13618" width="16.140625" style="236" customWidth="1"/>
    <col min="13619" max="13620" width="9.28515625" style="236" customWidth="1"/>
    <col min="13621" max="13621" width="11.140625" style="236" customWidth="1"/>
    <col min="13622" max="13622" width="2.140625" style="236" customWidth="1"/>
    <col min="13623" max="13828" width="11.42578125" style="236"/>
    <col min="13829" max="13829" width="12" style="236" customWidth="1"/>
    <col min="13830" max="13830" width="2.7109375" style="236" customWidth="1"/>
    <col min="13831" max="13832" width="6.5703125" style="236" customWidth="1"/>
    <col min="13833" max="13833" width="5.85546875" style="236" customWidth="1"/>
    <col min="13834" max="13834" width="6.5703125" style="236" customWidth="1"/>
    <col min="13835" max="13835" width="13.7109375" style="236" customWidth="1"/>
    <col min="13836" max="13837" width="9" style="236" customWidth="1"/>
    <col min="13838" max="13838" width="2.5703125" style="236" customWidth="1"/>
    <col min="13839" max="13839" width="8.85546875" style="236" customWidth="1"/>
    <col min="13840" max="13840" width="7.5703125" style="236" customWidth="1"/>
    <col min="13841" max="13843" width="3.7109375" style="236" customWidth="1"/>
    <col min="13844" max="13844" width="3.5703125" style="236" customWidth="1"/>
    <col min="13845" max="13845" width="2.85546875" style="236" customWidth="1"/>
    <col min="13846" max="13846" width="3" style="236" customWidth="1"/>
    <col min="13847" max="13849" width="0" style="236" hidden="1" customWidth="1"/>
    <col min="13850" max="13850" width="4.42578125" style="236" customWidth="1"/>
    <col min="13851" max="13851" width="0" style="236" hidden="1" customWidth="1"/>
    <col min="13852" max="13853" width="14.85546875" style="236" customWidth="1"/>
    <col min="13854" max="13854" width="15.140625" style="236" customWidth="1"/>
    <col min="13855" max="13855" width="6.42578125" style="236" customWidth="1"/>
    <col min="13856" max="13856" width="15.140625" style="236" customWidth="1"/>
    <col min="13857" max="13857" width="4.140625" style="236" customWidth="1"/>
    <col min="13858" max="13858" width="3" style="236" customWidth="1"/>
    <col min="13859" max="13861" width="0" style="236" hidden="1" customWidth="1"/>
    <col min="13862" max="13862" width="3" style="236" customWidth="1"/>
    <col min="13863" max="13863" width="0" style="236" hidden="1" customWidth="1"/>
    <col min="13864" max="13864" width="3" style="236" customWidth="1"/>
    <col min="13865" max="13865" width="0" style="236" hidden="1" customWidth="1"/>
    <col min="13866" max="13866" width="4.42578125" style="236" customWidth="1"/>
    <col min="13867" max="13867" width="34.28515625" style="236" customWidth="1"/>
    <col min="13868" max="13868" width="23.42578125" style="236" customWidth="1"/>
    <col min="13869" max="13869" width="9.140625" style="236" customWidth="1"/>
    <col min="13870" max="13870" width="19.5703125" style="236" customWidth="1"/>
    <col min="13871" max="13871" width="42.7109375" style="236" customWidth="1"/>
    <col min="13872" max="13872" width="5.85546875" style="236" customWidth="1"/>
    <col min="13873" max="13873" width="31.5703125" style="236" customWidth="1"/>
    <col min="13874" max="13874" width="16.140625" style="236" customWidth="1"/>
    <col min="13875" max="13876" width="9.28515625" style="236" customWidth="1"/>
    <col min="13877" max="13877" width="11.140625" style="236" customWidth="1"/>
    <col min="13878" max="13878" width="2.140625" style="236" customWidth="1"/>
    <col min="13879" max="14084" width="11.42578125" style="236"/>
    <col min="14085" max="14085" width="12" style="236" customWidth="1"/>
    <col min="14086" max="14086" width="2.7109375" style="236" customWidth="1"/>
    <col min="14087" max="14088" width="6.5703125" style="236" customWidth="1"/>
    <col min="14089" max="14089" width="5.85546875" style="236" customWidth="1"/>
    <col min="14090" max="14090" width="6.5703125" style="236" customWidth="1"/>
    <col min="14091" max="14091" width="13.7109375" style="236" customWidth="1"/>
    <col min="14092" max="14093" width="9" style="236" customWidth="1"/>
    <col min="14094" max="14094" width="2.5703125" style="236" customWidth="1"/>
    <col min="14095" max="14095" width="8.85546875" style="236" customWidth="1"/>
    <col min="14096" max="14096" width="7.5703125" style="236" customWidth="1"/>
    <col min="14097" max="14099" width="3.7109375" style="236" customWidth="1"/>
    <col min="14100" max="14100" width="3.5703125" style="236" customWidth="1"/>
    <col min="14101" max="14101" width="2.85546875" style="236" customWidth="1"/>
    <col min="14102" max="14102" width="3" style="236" customWidth="1"/>
    <col min="14103" max="14105" width="0" style="236" hidden="1" customWidth="1"/>
    <col min="14106" max="14106" width="4.42578125" style="236" customWidth="1"/>
    <col min="14107" max="14107" width="0" style="236" hidden="1" customWidth="1"/>
    <col min="14108" max="14109" width="14.85546875" style="236" customWidth="1"/>
    <col min="14110" max="14110" width="15.140625" style="236" customWidth="1"/>
    <col min="14111" max="14111" width="6.42578125" style="236" customWidth="1"/>
    <col min="14112" max="14112" width="15.140625" style="236" customWidth="1"/>
    <col min="14113" max="14113" width="4.140625" style="236" customWidth="1"/>
    <col min="14114" max="14114" width="3" style="236" customWidth="1"/>
    <col min="14115" max="14117" width="0" style="236" hidden="1" customWidth="1"/>
    <col min="14118" max="14118" width="3" style="236" customWidth="1"/>
    <col min="14119" max="14119" width="0" style="236" hidden="1" customWidth="1"/>
    <col min="14120" max="14120" width="3" style="236" customWidth="1"/>
    <col min="14121" max="14121" width="0" style="236" hidden="1" customWidth="1"/>
    <col min="14122" max="14122" width="4.42578125" style="236" customWidth="1"/>
    <col min="14123" max="14123" width="34.28515625" style="236" customWidth="1"/>
    <col min="14124" max="14124" width="23.42578125" style="236" customWidth="1"/>
    <col min="14125" max="14125" width="9.140625" style="236" customWidth="1"/>
    <col min="14126" max="14126" width="19.5703125" style="236" customWidth="1"/>
    <col min="14127" max="14127" width="42.7109375" style="236" customWidth="1"/>
    <col min="14128" max="14128" width="5.85546875" style="236" customWidth="1"/>
    <col min="14129" max="14129" width="31.5703125" style="236" customWidth="1"/>
    <col min="14130" max="14130" width="16.140625" style="236" customWidth="1"/>
    <col min="14131" max="14132" width="9.28515625" style="236" customWidth="1"/>
    <col min="14133" max="14133" width="11.140625" style="236" customWidth="1"/>
    <col min="14134" max="14134" width="2.140625" style="236" customWidth="1"/>
    <col min="14135" max="14340" width="11.42578125" style="236"/>
    <col min="14341" max="14341" width="12" style="236" customWidth="1"/>
    <col min="14342" max="14342" width="2.7109375" style="236" customWidth="1"/>
    <col min="14343" max="14344" width="6.5703125" style="236" customWidth="1"/>
    <col min="14345" max="14345" width="5.85546875" style="236" customWidth="1"/>
    <col min="14346" max="14346" width="6.5703125" style="236" customWidth="1"/>
    <col min="14347" max="14347" width="13.7109375" style="236" customWidth="1"/>
    <col min="14348" max="14349" width="9" style="236" customWidth="1"/>
    <col min="14350" max="14350" width="2.5703125" style="236" customWidth="1"/>
    <col min="14351" max="14351" width="8.85546875" style="236" customWidth="1"/>
    <col min="14352" max="14352" width="7.5703125" style="236" customWidth="1"/>
    <col min="14353" max="14355" width="3.7109375" style="236" customWidth="1"/>
    <col min="14356" max="14356" width="3.5703125" style="236" customWidth="1"/>
    <col min="14357" max="14357" width="2.85546875" style="236" customWidth="1"/>
    <col min="14358" max="14358" width="3" style="236" customWidth="1"/>
    <col min="14359" max="14361" width="0" style="236" hidden="1" customWidth="1"/>
    <col min="14362" max="14362" width="4.42578125" style="236" customWidth="1"/>
    <col min="14363" max="14363" width="0" style="236" hidden="1" customWidth="1"/>
    <col min="14364" max="14365" width="14.85546875" style="236" customWidth="1"/>
    <col min="14366" max="14366" width="15.140625" style="236" customWidth="1"/>
    <col min="14367" max="14367" width="6.42578125" style="236" customWidth="1"/>
    <col min="14368" max="14368" width="15.140625" style="236" customWidth="1"/>
    <col min="14369" max="14369" width="4.140625" style="236" customWidth="1"/>
    <col min="14370" max="14370" width="3" style="236" customWidth="1"/>
    <col min="14371" max="14373" width="0" style="236" hidden="1" customWidth="1"/>
    <col min="14374" max="14374" width="3" style="236" customWidth="1"/>
    <col min="14375" max="14375" width="0" style="236" hidden="1" customWidth="1"/>
    <col min="14376" max="14376" width="3" style="236" customWidth="1"/>
    <col min="14377" max="14377" width="0" style="236" hidden="1" customWidth="1"/>
    <col min="14378" max="14378" width="4.42578125" style="236" customWidth="1"/>
    <col min="14379" max="14379" width="34.28515625" style="236" customWidth="1"/>
    <col min="14380" max="14380" width="23.42578125" style="236" customWidth="1"/>
    <col min="14381" max="14381" width="9.140625" style="236" customWidth="1"/>
    <col min="14382" max="14382" width="19.5703125" style="236" customWidth="1"/>
    <col min="14383" max="14383" width="42.7109375" style="236" customWidth="1"/>
    <col min="14384" max="14384" width="5.85546875" style="236" customWidth="1"/>
    <col min="14385" max="14385" width="31.5703125" style="236" customWidth="1"/>
    <col min="14386" max="14386" width="16.140625" style="236" customWidth="1"/>
    <col min="14387" max="14388" width="9.28515625" style="236" customWidth="1"/>
    <col min="14389" max="14389" width="11.140625" style="236" customWidth="1"/>
    <col min="14390" max="14390" width="2.140625" style="236" customWidth="1"/>
    <col min="14391" max="14596" width="11.42578125" style="236"/>
    <col min="14597" max="14597" width="12" style="236" customWidth="1"/>
    <col min="14598" max="14598" width="2.7109375" style="236" customWidth="1"/>
    <col min="14599" max="14600" width="6.5703125" style="236" customWidth="1"/>
    <col min="14601" max="14601" width="5.85546875" style="236" customWidth="1"/>
    <col min="14602" max="14602" width="6.5703125" style="236" customWidth="1"/>
    <col min="14603" max="14603" width="13.7109375" style="236" customWidth="1"/>
    <col min="14604" max="14605" width="9" style="236" customWidth="1"/>
    <col min="14606" max="14606" width="2.5703125" style="236" customWidth="1"/>
    <col min="14607" max="14607" width="8.85546875" style="236" customWidth="1"/>
    <col min="14608" max="14608" width="7.5703125" style="236" customWidth="1"/>
    <col min="14609" max="14611" width="3.7109375" style="236" customWidth="1"/>
    <col min="14612" max="14612" width="3.5703125" style="236" customWidth="1"/>
    <col min="14613" max="14613" width="2.85546875" style="236" customWidth="1"/>
    <col min="14614" max="14614" width="3" style="236" customWidth="1"/>
    <col min="14615" max="14617" width="0" style="236" hidden="1" customWidth="1"/>
    <col min="14618" max="14618" width="4.42578125" style="236" customWidth="1"/>
    <col min="14619" max="14619" width="0" style="236" hidden="1" customWidth="1"/>
    <col min="14620" max="14621" width="14.85546875" style="236" customWidth="1"/>
    <col min="14622" max="14622" width="15.140625" style="236" customWidth="1"/>
    <col min="14623" max="14623" width="6.42578125" style="236" customWidth="1"/>
    <col min="14624" max="14624" width="15.140625" style="236" customWidth="1"/>
    <col min="14625" max="14625" width="4.140625" style="236" customWidth="1"/>
    <col min="14626" max="14626" width="3" style="236" customWidth="1"/>
    <col min="14627" max="14629" width="0" style="236" hidden="1" customWidth="1"/>
    <col min="14630" max="14630" width="3" style="236" customWidth="1"/>
    <col min="14631" max="14631" width="0" style="236" hidden="1" customWidth="1"/>
    <col min="14632" max="14632" width="3" style="236" customWidth="1"/>
    <col min="14633" max="14633" width="0" style="236" hidden="1" customWidth="1"/>
    <col min="14634" max="14634" width="4.42578125" style="236" customWidth="1"/>
    <col min="14635" max="14635" width="34.28515625" style="236" customWidth="1"/>
    <col min="14636" max="14636" width="23.42578125" style="236" customWidth="1"/>
    <col min="14637" max="14637" width="9.140625" style="236" customWidth="1"/>
    <col min="14638" max="14638" width="19.5703125" style="236" customWidth="1"/>
    <col min="14639" max="14639" width="42.7109375" style="236" customWidth="1"/>
    <col min="14640" max="14640" width="5.85546875" style="236" customWidth="1"/>
    <col min="14641" max="14641" width="31.5703125" style="236" customWidth="1"/>
    <col min="14642" max="14642" width="16.140625" style="236" customWidth="1"/>
    <col min="14643" max="14644" width="9.28515625" style="236" customWidth="1"/>
    <col min="14645" max="14645" width="11.140625" style="236" customWidth="1"/>
    <col min="14646" max="14646" width="2.140625" style="236" customWidth="1"/>
    <col min="14647" max="14852" width="11.42578125" style="236"/>
    <col min="14853" max="14853" width="12" style="236" customWidth="1"/>
    <col min="14854" max="14854" width="2.7109375" style="236" customWidth="1"/>
    <col min="14855" max="14856" width="6.5703125" style="236" customWidth="1"/>
    <col min="14857" max="14857" width="5.85546875" style="236" customWidth="1"/>
    <col min="14858" max="14858" width="6.5703125" style="236" customWidth="1"/>
    <col min="14859" max="14859" width="13.7109375" style="236" customWidth="1"/>
    <col min="14860" max="14861" width="9" style="236" customWidth="1"/>
    <col min="14862" max="14862" width="2.5703125" style="236" customWidth="1"/>
    <col min="14863" max="14863" width="8.85546875" style="236" customWidth="1"/>
    <col min="14864" max="14864" width="7.5703125" style="236" customWidth="1"/>
    <col min="14865" max="14867" width="3.7109375" style="236" customWidth="1"/>
    <col min="14868" max="14868" width="3.5703125" style="236" customWidth="1"/>
    <col min="14869" max="14869" width="2.85546875" style="236" customWidth="1"/>
    <col min="14870" max="14870" width="3" style="236" customWidth="1"/>
    <col min="14871" max="14873" width="0" style="236" hidden="1" customWidth="1"/>
    <col min="14874" max="14874" width="4.42578125" style="236" customWidth="1"/>
    <col min="14875" max="14875" width="0" style="236" hidden="1" customWidth="1"/>
    <col min="14876" max="14877" width="14.85546875" style="236" customWidth="1"/>
    <col min="14878" max="14878" width="15.140625" style="236" customWidth="1"/>
    <col min="14879" max="14879" width="6.42578125" style="236" customWidth="1"/>
    <col min="14880" max="14880" width="15.140625" style="236" customWidth="1"/>
    <col min="14881" max="14881" width="4.140625" style="236" customWidth="1"/>
    <col min="14882" max="14882" width="3" style="236" customWidth="1"/>
    <col min="14883" max="14885" width="0" style="236" hidden="1" customWidth="1"/>
    <col min="14886" max="14886" width="3" style="236" customWidth="1"/>
    <col min="14887" max="14887" width="0" style="236" hidden="1" customWidth="1"/>
    <col min="14888" max="14888" width="3" style="236" customWidth="1"/>
    <col min="14889" max="14889" width="0" style="236" hidden="1" customWidth="1"/>
    <col min="14890" max="14890" width="4.42578125" style="236" customWidth="1"/>
    <col min="14891" max="14891" width="34.28515625" style="236" customWidth="1"/>
    <col min="14892" max="14892" width="23.42578125" style="236" customWidth="1"/>
    <col min="14893" max="14893" width="9.140625" style="236" customWidth="1"/>
    <col min="14894" max="14894" width="19.5703125" style="236" customWidth="1"/>
    <col min="14895" max="14895" width="42.7109375" style="236" customWidth="1"/>
    <col min="14896" max="14896" width="5.85546875" style="236" customWidth="1"/>
    <col min="14897" max="14897" width="31.5703125" style="236" customWidth="1"/>
    <col min="14898" max="14898" width="16.140625" style="236" customWidth="1"/>
    <col min="14899" max="14900" width="9.28515625" style="236" customWidth="1"/>
    <col min="14901" max="14901" width="11.140625" style="236" customWidth="1"/>
    <col min="14902" max="14902" width="2.140625" style="236" customWidth="1"/>
    <col min="14903" max="15108" width="11.42578125" style="236"/>
    <col min="15109" max="15109" width="12" style="236" customWidth="1"/>
    <col min="15110" max="15110" width="2.7109375" style="236" customWidth="1"/>
    <col min="15111" max="15112" width="6.5703125" style="236" customWidth="1"/>
    <col min="15113" max="15113" width="5.85546875" style="236" customWidth="1"/>
    <col min="15114" max="15114" width="6.5703125" style="236" customWidth="1"/>
    <col min="15115" max="15115" width="13.7109375" style="236" customWidth="1"/>
    <col min="15116" max="15117" width="9" style="236" customWidth="1"/>
    <col min="15118" max="15118" width="2.5703125" style="236" customWidth="1"/>
    <col min="15119" max="15119" width="8.85546875" style="236" customWidth="1"/>
    <col min="15120" max="15120" width="7.5703125" style="236" customWidth="1"/>
    <col min="15121" max="15123" width="3.7109375" style="236" customWidth="1"/>
    <col min="15124" max="15124" width="3.5703125" style="236" customWidth="1"/>
    <col min="15125" max="15125" width="2.85546875" style="236" customWidth="1"/>
    <col min="15126" max="15126" width="3" style="236" customWidth="1"/>
    <col min="15127" max="15129" width="0" style="236" hidden="1" customWidth="1"/>
    <col min="15130" max="15130" width="4.42578125" style="236" customWidth="1"/>
    <col min="15131" max="15131" width="0" style="236" hidden="1" customWidth="1"/>
    <col min="15132" max="15133" width="14.85546875" style="236" customWidth="1"/>
    <col min="15134" max="15134" width="15.140625" style="236" customWidth="1"/>
    <col min="15135" max="15135" width="6.42578125" style="236" customWidth="1"/>
    <col min="15136" max="15136" width="15.140625" style="236" customWidth="1"/>
    <col min="15137" max="15137" width="4.140625" style="236" customWidth="1"/>
    <col min="15138" max="15138" width="3" style="236" customWidth="1"/>
    <col min="15139" max="15141" width="0" style="236" hidden="1" customWidth="1"/>
    <col min="15142" max="15142" width="3" style="236" customWidth="1"/>
    <col min="15143" max="15143" width="0" style="236" hidden="1" customWidth="1"/>
    <col min="15144" max="15144" width="3" style="236" customWidth="1"/>
    <col min="15145" max="15145" width="0" style="236" hidden="1" customWidth="1"/>
    <col min="15146" max="15146" width="4.42578125" style="236" customWidth="1"/>
    <col min="15147" max="15147" width="34.28515625" style="236" customWidth="1"/>
    <col min="15148" max="15148" width="23.42578125" style="236" customWidth="1"/>
    <col min="15149" max="15149" width="9.140625" style="236" customWidth="1"/>
    <col min="15150" max="15150" width="19.5703125" style="236" customWidth="1"/>
    <col min="15151" max="15151" width="42.7109375" style="236" customWidth="1"/>
    <col min="15152" max="15152" width="5.85546875" style="236" customWidth="1"/>
    <col min="15153" max="15153" width="31.5703125" style="236" customWidth="1"/>
    <col min="15154" max="15154" width="16.140625" style="236" customWidth="1"/>
    <col min="15155" max="15156" width="9.28515625" style="236" customWidth="1"/>
    <col min="15157" max="15157" width="11.140625" style="236" customWidth="1"/>
    <col min="15158" max="15158" width="2.140625" style="236" customWidth="1"/>
    <col min="15159" max="15364" width="11.42578125" style="236"/>
    <col min="15365" max="15365" width="12" style="236" customWidth="1"/>
    <col min="15366" max="15366" width="2.7109375" style="236" customWidth="1"/>
    <col min="15367" max="15368" width="6.5703125" style="236" customWidth="1"/>
    <col min="15369" max="15369" width="5.85546875" style="236" customWidth="1"/>
    <col min="15370" max="15370" width="6.5703125" style="236" customWidth="1"/>
    <col min="15371" max="15371" width="13.7109375" style="236" customWidth="1"/>
    <col min="15372" max="15373" width="9" style="236" customWidth="1"/>
    <col min="15374" max="15374" width="2.5703125" style="236" customWidth="1"/>
    <col min="15375" max="15375" width="8.85546875" style="236" customWidth="1"/>
    <col min="15376" max="15376" width="7.5703125" style="236" customWidth="1"/>
    <col min="15377" max="15379" width="3.7109375" style="236" customWidth="1"/>
    <col min="15380" max="15380" width="3.5703125" style="236" customWidth="1"/>
    <col min="15381" max="15381" width="2.85546875" style="236" customWidth="1"/>
    <col min="15382" max="15382" width="3" style="236" customWidth="1"/>
    <col min="15383" max="15385" width="0" style="236" hidden="1" customWidth="1"/>
    <col min="15386" max="15386" width="4.42578125" style="236" customWidth="1"/>
    <col min="15387" max="15387" width="0" style="236" hidden="1" customWidth="1"/>
    <col min="15388" max="15389" width="14.85546875" style="236" customWidth="1"/>
    <col min="15390" max="15390" width="15.140625" style="236" customWidth="1"/>
    <col min="15391" max="15391" width="6.42578125" style="236" customWidth="1"/>
    <col min="15392" max="15392" width="15.140625" style="236" customWidth="1"/>
    <col min="15393" max="15393" width="4.140625" style="236" customWidth="1"/>
    <col min="15394" max="15394" width="3" style="236" customWidth="1"/>
    <col min="15395" max="15397" width="0" style="236" hidden="1" customWidth="1"/>
    <col min="15398" max="15398" width="3" style="236" customWidth="1"/>
    <col min="15399" max="15399" width="0" style="236" hidden="1" customWidth="1"/>
    <col min="15400" max="15400" width="3" style="236" customWidth="1"/>
    <col min="15401" max="15401" width="0" style="236" hidden="1" customWidth="1"/>
    <col min="15402" max="15402" width="4.42578125" style="236" customWidth="1"/>
    <col min="15403" max="15403" width="34.28515625" style="236" customWidth="1"/>
    <col min="15404" max="15404" width="23.42578125" style="236" customWidth="1"/>
    <col min="15405" max="15405" width="9.140625" style="236" customWidth="1"/>
    <col min="15406" max="15406" width="19.5703125" style="236" customWidth="1"/>
    <col min="15407" max="15407" width="42.7109375" style="236" customWidth="1"/>
    <col min="15408" max="15408" width="5.85546875" style="236" customWidth="1"/>
    <col min="15409" max="15409" width="31.5703125" style="236" customWidth="1"/>
    <col min="15410" max="15410" width="16.140625" style="236" customWidth="1"/>
    <col min="15411" max="15412" width="9.28515625" style="236" customWidth="1"/>
    <col min="15413" max="15413" width="11.140625" style="236" customWidth="1"/>
    <col min="15414" max="15414" width="2.140625" style="236" customWidth="1"/>
    <col min="15415" max="15620" width="11.42578125" style="236"/>
    <col min="15621" max="15621" width="12" style="236" customWidth="1"/>
    <col min="15622" max="15622" width="2.7109375" style="236" customWidth="1"/>
    <col min="15623" max="15624" width="6.5703125" style="236" customWidth="1"/>
    <col min="15625" max="15625" width="5.85546875" style="236" customWidth="1"/>
    <col min="15626" max="15626" width="6.5703125" style="236" customWidth="1"/>
    <col min="15627" max="15627" width="13.7109375" style="236" customWidth="1"/>
    <col min="15628" max="15629" width="9" style="236" customWidth="1"/>
    <col min="15630" max="15630" width="2.5703125" style="236" customWidth="1"/>
    <col min="15631" max="15631" width="8.85546875" style="236" customWidth="1"/>
    <col min="15632" max="15632" width="7.5703125" style="236" customWidth="1"/>
    <col min="15633" max="15635" width="3.7109375" style="236" customWidth="1"/>
    <col min="15636" max="15636" width="3.5703125" style="236" customWidth="1"/>
    <col min="15637" max="15637" width="2.85546875" style="236" customWidth="1"/>
    <col min="15638" max="15638" width="3" style="236" customWidth="1"/>
    <col min="15639" max="15641" width="0" style="236" hidden="1" customWidth="1"/>
    <col min="15642" max="15642" width="4.42578125" style="236" customWidth="1"/>
    <col min="15643" max="15643" width="0" style="236" hidden="1" customWidth="1"/>
    <col min="15644" max="15645" width="14.85546875" style="236" customWidth="1"/>
    <col min="15646" max="15646" width="15.140625" style="236" customWidth="1"/>
    <col min="15647" max="15647" width="6.42578125" style="236" customWidth="1"/>
    <col min="15648" max="15648" width="15.140625" style="236" customWidth="1"/>
    <col min="15649" max="15649" width="4.140625" style="236" customWidth="1"/>
    <col min="15650" max="15650" width="3" style="236" customWidth="1"/>
    <col min="15651" max="15653" width="0" style="236" hidden="1" customWidth="1"/>
    <col min="15654" max="15654" width="3" style="236" customWidth="1"/>
    <col min="15655" max="15655" width="0" style="236" hidden="1" customWidth="1"/>
    <col min="15656" max="15656" width="3" style="236" customWidth="1"/>
    <col min="15657" max="15657" width="0" style="236" hidden="1" customWidth="1"/>
    <col min="15658" max="15658" width="4.42578125" style="236" customWidth="1"/>
    <col min="15659" max="15659" width="34.28515625" style="236" customWidth="1"/>
    <col min="15660" max="15660" width="23.42578125" style="236" customWidth="1"/>
    <col min="15661" max="15661" width="9.140625" style="236" customWidth="1"/>
    <col min="15662" max="15662" width="19.5703125" style="236" customWidth="1"/>
    <col min="15663" max="15663" width="42.7109375" style="236" customWidth="1"/>
    <col min="15664" max="15664" width="5.85546875" style="236" customWidth="1"/>
    <col min="15665" max="15665" width="31.5703125" style="236" customWidth="1"/>
    <col min="15666" max="15666" width="16.140625" style="236" customWidth="1"/>
    <col min="15667" max="15668" width="9.28515625" style="236" customWidth="1"/>
    <col min="15669" max="15669" width="11.140625" style="236" customWidth="1"/>
    <col min="15670" max="15670" width="2.140625" style="236" customWidth="1"/>
    <col min="15671" max="15876" width="11.42578125" style="236"/>
    <col min="15877" max="15877" width="12" style="236" customWidth="1"/>
    <col min="15878" max="15878" width="2.7109375" style="236" customWidth="1"/>
    <col min="15879" max="15880" width="6.5703125" style="236" customWidth="1"/>
    <col min="15881" max="15881" width="5.85546875" style="236" customWidth="1"/>
    <col min="15882" max="15882" width="6.5703125" style="236" customWidth="1"/>
    <col min="15883" max="15883" width="13.7109375" style="236" customWidth="1"/>
    <col min="15884" max="15885" width="9" style="236" customWidth="1"/>
    <col min="15886" max="15886" width="2.5703125" style="236" customWidth="1"/>
    <col min="15887" max="15887" width="8.85546875" style="236" customWidth="1"/>
    <col min="15888" max="15888" width="7.5703125" style="236" customWidth="1"/>
    <col min="15889" max="15891" width="3.7109375" style="236" customWidth="1"/>
    <col min="15892" max="15892" width="3.5703125" style="236" customWidth="1"/>
    <col min="15893" max="15893" width="2.85546875" style="236" customWidth="1"/>
    <col min="15894" max="15894" width="3" style="236" customWidth="1"/>
    <col min="15895" max="15897" width="0" style="236" hidden="1" customWidth="1"/>
    <col min="15898" max="15898" width="4.42578125" style="236" customWidth="1"/>
    <col min="15899" max="15899" width="0" style="236" hidden="1" customWidth="1"/>
    <col min="15900" max="15901" width="14.85546875" style="236" customWidth="1"/>
    <col min="15902" max="15902" width="15.140625" style="236" customWidth="1"/>
    <col min="15903" max="15903" width="6.42578125" style="236" customWidth="1"/>
    <col min="15904" max="15904" width="15.140625" style="236" customWidth="1"/>
    <col min="15905" max="15905" width="4.140625" style="236" customWidth="1"/>
    <col min="15906" max="15906" width="3" style="236" customWidth="1"/>
    <col min="15907" max="15909" width="0" style="236" hidden="1" customWidth="1"/>
    <col min="15910" max="15910" width="3" style="236" customWidth="1"/>
    <col min="15911" max="15911" width="0" style="236" hidden="1" customWidth="1"/>
    <col min="15912" max="15912" width="3" style="236" customWidth="1"/>
    <col min="15913" max="15913" width="0" style="236" hidden="1" customWidth="1"/>
    <col min="15914" max="15914" width="4.42578125" style="236" customWidth="1"/>
    <col min="15915" max="15915" width="34.28515625" style="236" customWidth="1"/>
    <col min="15916" max="15916" width="23.42578125" style="236" customWidth="1"/>
    <col min="15917" max="15917" width="9.140625" style="236" customWidth="1"/>
    <col min="15918" max="15918" width="19.5703125" style="236" customWidth="1"/>
    <col min="15919" max="15919" width="42.7109375" style="236" customWidth="1"/>
    <col min="15920" max="15920" width="5.85546875" style="236" customWidth="1"/>
    <col min="15921" max="15921" width="31.5703125" style="236" customWidth="1"/>
    <col min="15922" max="15922" width="16.140625" style="236" customWidth="1"/>
    <col min="15923" max="15924" width="9.28515625" style="236" customWidth="1"/>
    <col min="15925" max="15925" width="11.140625" style="236" customWidth="1"/>
    <col min="15926" max="15926" width="2.140625" style="236" customWidth="1"/>
    <col min="15927" max="16132" width="11.42578125" style="236"/>
    <col min="16133" max="16133" width="12" style="236" customWidth="1"/>
    <col min="16134" max="16134" width="2.7109375" style="236" customWidth="1"/>
    <col min="16135" max="16136" width="6.5703125" style="236" customWidth="1"/>
    <col min="16137" max="16137" width="5.85546875" style="236" customWidth="1"/>
    <col min="16138" max="16138" width="6.5703125" style="236" customWidth="1"/>
    <col min="16139" max="16139" width="13.7109375" style="236" customWidth="1"/>
    <col min="16140" max="16141" width="9" style="236" customWidth="1"/>
    <col min="16142" max="16142" width="2.5703125" style="236" customWidth="1"/>
    <col min="16143" max="16143" width="8.85546875" style="236" customWidth="1"/>
    <col min="16144" max="16144" width="7.5703125" style="236" customWidth="1"/>
    <col min="16145" max="16147" width="3.7109375" style="236" customWidth="1"/>
    <col min="16148" max="16148" width="3.5703125" style="236" customWidth="1"/>
    <col min="16149" max="16149" width="2.85546875" style="236" customWidth="1"/>
    <col min="16150" max="16150" width="3" style="236" customWidth="1"/>
    <col min="16151" max="16153" width="0" style="236" hidden="1" customWidth="1"/>
    <col min="16154" max="16154" width="4.42578125" style="236" customWidth="1"/>
    <col min="16155" max="16155" width="0" style="236" hidden="1" customWidth="1"/>
    <col min="16156" max="16157" width="14.85546875" style="236" customWidth="1"/>
    <col min="16158" max="16158" width="15.140625" style="236" customWidth="1"/>
    <col min="16159" max="16159" width="6.42578125" style="236" customWidth="1"/>
    <col min="16160" max="16160" width="15.140625" style="236" customWidth="1"/>
    <col min="16161" max="16161" width="4.140625" style="236" customWidth="1"/>
    <col min="16162" max="16162" width="3" style="236" customWidth="1"/>
    <col min="16163" max="16165" width="0" style="236" hidden="1" customWidth="1"/>
    <col min="16166" max="16166" width="3" style="236" customWidth="1"/>
    <col min="16167" max="16167" width="0" style="236" hidden="1" customWidth="1"/>
    <col min="16168" max="16168" width="3" style="236" customWidth="1"/>
    <col min="16169" max="16169" width="0" style="236" hidden="1" customWidth="1"/>
    <col min="16170" max="16170" width="4.42578125" style="236" customWidth="1"/>
    <col min="16171" max="16171" width="34.28515625" style="236" customWidth="1"/>
    <col min="16172" max="16172" width="23.42578125" style="236" customWidth="1"/>
    <col min="16173" max="16173" width="9.140625" style="236" customWidth="1"/>
    <col min="16174" max="16174" width="19.5703125" style="236" customWidth="1"/>
    <col min="16175" max="16175" width="42.7109375" style="236" customWidth="1"/>
    <col min="16176" max="16176" width="5.85546875" style="236" customWidth="1"/>
    <col min="16177" max="16177" width="31.5703125" style="236" customWidth="1"/>
    <col min="16178" max="16178" width="16.140625" style="236" customWidth="1"/>
    <col min="16179" max="16180" width="9.28515625" style="236" customWidth="1"/>
    <col min="16181" max="16181" width="11.140625" style="236" customWidth="1"/>
    <col min="16182" max="16182" width="2.140625" style="236" customWidth="1"/>
    <col min="16183" max="16384" width="11.42578125" style="236"/>
  </cols>
  <sheetData>
    <row r="1" spans="1:1030" ht="11.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1978" t="s">
        <v>125</v>
      </c>
      <c r="AE1" s="1978"/>
      <c r="AF1" s="1978"/>
      <c r="AG1" s="1978"/>
      <c r="AH1" s="1978"/>
      <c r="AI1" s="1978"/>
      <c r="AJ1" s="1978"/>
      <c r="AK1" s="1978"/>
      <c r="AL1" s="1978"/>
      <c r="AM1" s="1978"/>
      <c r="AN1" s="1978"/>
      <c r="AO1" s="1978"/>
      <c r="AP1" s="1247" t="s">
        <v>2320</v>
      </c>
      <c r="AQ1" s="1247"/>
      <c r="AR1" s="1247"/>
      <c r="AS1" s="1247"/>
      <c r="AT1" s="1247" t="s">
        <v>2320</v>
      </c>
      <c r="AU1" s="1247"/>
      <c r="AV1" s="1247"/>
      <c r="AW1" s="1247"/>
      <c r="AX1" s="233"/>
      <c r="AY1" s="233"/>
      <c r="AZ1" s="233"/>
      <c r="BA1" s="1246"/>
      <c r="BB1" s="1246"/>
    </row>
    <row r="2" spans="1:1030" ht="14.25" customHeight="1">
      <c r="A2" s="237" t="s">
        <v>2348</v>
      </c>
      <c r="B2" s="233"/>
      <c r="C2" s="233"/>
      <c r="D2" s="233"/>
      <c r="E2" s="233"/>
      <c r="F2" s="233"/>
      <c r="G2" s="1214" t="str">
        <f>UPPER([47]Control!A2)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1978"/>
      <c r="AE2" s="1978"/>
      <c r="AF2" s="1978"/>
      <c r="AG2" s="1978"/>
      <c r="AH2" s="1978"/>
      <c r="AI2" s="1978"/>
      <c r="AJ2" s="1978"/>
      <c r="AK2" s="1978"/>
      <c r="AL2" s="1978"/>
      <c r="AM2" s="1978"/>
      <c r="AN2" s="1978"/>
      <c r="AO2" s="1978"/>
      <c r="AP2" s="1268" t="s">
        <v>138</v>
      </c>
      <c r="AQ2" s="1269"/>
      <c r="AR2" s="1433" t="str">
        <f>AD1</f>
        <v>CONSERVACIÓN DE INFRAESTRUCTURA</v>
      </c>
      <c r="AS2" s="1434"/>
      <c r="AT2" s="1268" t="s">
        <v>138</v>
      </c>
      <c r="AU2" s="1269"/>
      <c r="AV2" s="1433" t="s">
        <v>125</v>
      </c>
      <c r="AW2" s="1434"/>
      <c r="AX2" s="233"/>
      <c r="AY2" s="233"/>
      <c r="AZ2" s="233"/>
      <c r="BA2" s="1246"/>
      <c r="BB2" s="1246"/>
    </row>
    <row r="3" spans="1:1030" ht="11.25" customHeight="1">
      <c r="A3" s="1970">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1971">
        <v>43448</v>
      </c>
      <c r="AA3" s="1972"/>
      <c r="AB3" s="1973"/>
      <c r="AC3" s="1259" t="s">
        <v>2349</v>
      </c>
      <c r="AD3" s="1977" t="s">
        <v>558</v>
      </c>
      <c r="AE3" s="1977"/>
      <c r="AF3" s="1977"/>
      <c r="AG3" s="1977"/>
      <c r="AH3" s="1977"/>
      <c r="AI3" s="1977"/>
      <c r="AJ3" s="1977"/>
      <c r="AK3" s="1977"/>
      <c r="AL3" s="1977"/>
      <c r="AM3" s="1977"/>
      <c r="AN3" s="1977"/>
      <c r="AO3" s="1977"/>
      <c r="AP3" s="1265" t="s">
        <v>2322</v>
      </c>
      <c r="AQ3" s="1266"/>
      <c r="AR3" s="1266" t="s">
        <v>2323</v>
      </c>
      <c r="AS3" s="1267"/>
      <c r="AT3" s="1265" t="s">
        <v>2322</v>
      </c>
      <c r="AU3" s="1266"/>
      <c r="AV3" s="1266" t="s">
        <v>2323</v>
      </c>
      <c r="AW3" s="1267"/>
      <c r="AX3" s="233"/>
      <c r="AY3" s="233"/>
      <c r="AZ3" s="233"/>
      <c r="BA3" s="1246"/>
      <c r="BB3" s="1246"/>
    </row>
    <row r="4" spans="1:1030" ht="18" customHeight="1" thickBot="1">
      <c r="A4" s="1970"/>
      <c r="B4" s="233"/>
      <c r="C4" s="233"/>
      <c r="D4" s="233"/>
      <c r="E4" s="233"/>
      <c r="F4" s="233"/>
      <c r="G4" s="1236" t="str">
        <f>[47]Control!A4</f>
        <v>FO-PE-06</v>
      </c>
      <c r="H4" s="1237"/>
      <c r="I4" s="1238" t="str">
        <f>[47]Control!C4</f>
        <v>Planeación Estratégica</v>
      </c>
      <c r="J4" s="1237"/>
      <c r="K4" s="1237"/>
      <c r="L4" s="1237"/>
      <c r="M4" s="1237"/>
      <c r="N4" s="1239"/>
      <c r="O4" s="1238" t="str">
        <f>[47]Control!H4</f>
        <v>5.0</v>
      </c>
      <c r="P4" s="1237"/>
      <c r="Q4" s="1237"/>
      <c r="R4" s="1237"/>
      <c r="S4" s="1237"/>
      <c r="T4" s="1237"/>
      <c r="U4" s="1237"/>
      <c r="V4" s="1239"/>
      <c r="W4" s="239"/>
      <c r="X4" s="1255"/>
      <c r="Y4" s="1256"/>
      <c r="Z4" s="1974"/>
      <c r="AA4" s="1975"/>
      <c r="AB4" s="1976"/>
      <c r="AC4" s="1259"/>
      <c r="AD4" s="1977"/>
      <c r="AE4" s="1977"/>
      <c r="AF4" s="1977"/>
      <c r="AG4" s="1977"/>
      <c r="AH4" s="1977"/>
      <c r="AI4" s="1977"/>
      <c r="AJ4" s="1977"/>
      <c r="AK4" s="1977"/>
      <c r="AL4" s="1977"/>
      <c r="AM4" s="1977"/>
      <c r="AN4" s="1977"/>
      <c r="AO4" s="1977"/>
      <c r="AP4" s="1979">
        <v>43220</v>
      </c>
      <c r="AQ4" s="1980"/>
      <c r="AR4" s="1969" t="s">
        <v>342</v>
      </c>
      <c r="AS4" s="1969"/>
      <c r="AT4" s="1979">
        <v>43708</v>
      </c>
      <c r="AU4" s="1980"/>
      <c r="AV4" s="1969" t="s">
        <v>3679</v>
      </c>
      <c r="AW4" s="1969"/>
      <c r="AX4" s="233"/>
      <c r="AY4" s="233"/>
      <c r="AZ4" s="233"/>
      <c r="BA4" s="1246"/>
      <c r="BB4" s="1246"/>
    </row>
    <row r="5" spans="1:1030"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1"/>
      <c r="AB5" s="242"/>
      <c r="AC5" s="242"/>
      <c r="AD5" s="241"/>
      <c r="AE5" s="241"/>
      <c r="AF5" s="241"/>
      <c r="AG5" s="241"/>
      <c r="AH5" s="241"/>
      <c r="AI5" s="241"/>
      <c r="AJ5" s="241"/>
      <c r="AK5" s="241"/>
      <c r="AL5" s="241"/>
      <c r="AM5" s="240"/>
      <c r="AN5" s="240"/>
      <c r="AO5" s="240"/>
      <c r="AQ5" s="244"/>
      <c r="AU5" s="244"/>
    </row>
    <row r="6" spans="1:1030" s="243" customFormat="1" ht="11.2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602" t="s">
        <v>268</v>
      </c>
      <c r="AO6" s="373"/>
      <c r="AP6" s="247" t="s">
        <v>2325</v>
      </c>
      <c r="AQ6" s="248"/>
      <c r="AR6" s="248"/>
      <c r="AS6" s="249"/>
      <c r="AT6" s="247" t="s">
        <v>2325</v>
      </c>
      <c r="AU6" s="248"/>
      <c r="AV6" s="248"/>
      <c r="AW6" s="249"/>
      <c r="AX6" s="1244" t="s">
        <v>2326</v>
      </c>
      <c r="AY6" s="1244"/>
      <c r="AZ6" s="1244"/>
      <c r="BA6" s="1244"/>
      <c r="BB6" s="1245"/>
    </row>
    <row r="7" spans="1:1030" s="243" customFormat="1" ht="25.5" customHeight="1">
      <c r="A7" s="1257" t="s">
        <v>1004</v>
      </c>
      <c r="B7" s="1964" t="s">
        <v>640</v>
      </c>
      <c r="C7" s="1965" t="s">
        <v>3025</v>
      </c>
      <c r="D7" s="1966"/>
      <c r="E7" s="1962"/>
      <c r="F7" s="1257" t="s">
        <v>1000</v>
      </c>
      <c r="G7" s="1965" t="s">
        <v>3026</v>
      </c>
      <c r="H7" s="1966"/>
      <c r="I7" s="1962"/>
      <c r="J7" s="1257" t="s">
        <v>145</v>
      </c>
      <c r="K7" s="1257"/>
      <c r="L7" s="1257"/>
      <c r="M7" s="1412" t="s">
        <v>144</v>
      </c>
      <c r="N7" s="1413"/>
      <c r="O7" s="1413"/>
      <c r="P7" s="1413"/>
      <c r="Q7" s="1959" t="s">
        <v>637</v>
      </c>
      <c r="R7" s="1960"/>
      <c r="S7" s="1960"/>
      <c r="T7" s="1960"/>
      <c r="U7" s="1960"/>
      <c r="V7" s="1961"/>
      <c r="W7" s="374"/>
      <c r="X7" s="1257" t="s">
        <v>3027</v>
      </c>
      <c r="Y7" s="1257"/>
      <c r="Z7" s="1257"/>
      <c r="AA7" s="1949" t="s">
        <v>4175</v>
      </c>
      <c r="AB7" s="1962" t="s">
        <v>998</v>
      </c>
      <c r="AC7" s="1949" t="s">
        <v>641</v>
      </c>
      <c r="AD7" s="1951" t="s">
        <v>546</v>
      </c>
      <c r="AE7" s="1951" t="s">
        <v>638</v>
      </c>
      <c r="AF7" s="623"/>
      <c r="AG7" s="375"/>
      <c r="AH7" s="376"/>
      <c r="AI7" s="1958" t="s">
        <v>639</v>
      </c>
      <c r="AJ7" s="1958"/>
      <c r="AK7" s="1958"/>
      <c r="AL7" s="1958"/>
      <c r="AM7" s="1958"/>
      <c r="AN7" s="1958" t="s">
        <v>2327</v>
      </c>
      <c r="AO7" s="1257" t="s">
        <v>2328</v>
      </c>
      <c r="AP7" s="1956" t="s">
        <v>2353</v>
      </c>
      <c r="AQ7" s="1957" t="s">
        <v>2330</v>
      </c>
      <c r="AR7" s="1956" t="s">
        <v>2354</v>
      </c>
      <c r="AS7" s="1956" t="s">
        <v>2332</v>
      </c>
      <c r="AT7" s="1956" t="s">
        <v>2353</v>
      </c>
      <c r="AU7" s="1957" t="s">
        <v>2330</v>
      </c>
      <c r="AV7" s="1956" t="s">
        <v>2354</v>
      </c>
      <c r="AW7" s="1956" t="s">
        <v>2332</v>
      </c>
      <c r="AX7" s="1432" t="s">
        <v>2333</v>
      </c>
      <c r="AY7" s="1432" t="s">
        <v>2334</v>
      </c>
      <c r="AZ7" s="1432" t="s">
        <v>2335</v>
      </c>
      <c r="BA7" s="1432" t="s">
        <v>2336</v>
      </c>
      <c r="BB7" s="1432" t="s">
        <v>2337</v>
      </c>
    </row>
    <row r="8" spans="1:1030" ht="23.25" customHeight="1">
      <c r="A8" s="1257"/>
      <c r="B8" s="1964"/>
      <c r="C8" s="1967"/>
      <c r="D8" s="1968"/>
      <c r="E8" s="1963"/>
      <c r="F8" s="1257"/>
      <c r="G8" s="1967"/>
      <c r="H8" s="1968"/>
      <c r="I8" s="1963"/>
      <c r="J8" s="1257"/>
      <c r="K8" s="1257"/>
      <c r="L8" s="1257"/>
      <c r="M8" s="377" t="s">
        <v>146</v>
      </c>
      <c r="N8" s="377" t="s">
        <v>997</v>
      </c>
      <c r="O8" s="377" t="s">
        <v>65</v>
      </c>
      <c r="P8" s="377" t="s">
        <v>996</v>
      </c>
      <c r="Q8" s="600" t="s">
        <v>147</v>
      </c>
      <c r="R8" s="600" t="s">
        <v>148</v>
      </c>
      <c r="S8" s="600"/>
      <c r="T8" s="600" t="s">
        <v>239</v>
      </c>
      <c r="U8" s="600" t="s">
        <v>242</v>
      </c>
      <c r="V8" s="600" t="s">
        <v>149</v>
      </c>
      <c r="W8" s="600"/>
      <c r="X8" s="1257"/>
      <c r="Y8" s="1257"/>
      <c r="Z8" s="1257"/>
      <c r="AA8" s="1950"/>
      <c r="AB8" s="1963"/>
      <c r="AC8" s="1950"/>
      <c r="AD8" s="1952"/>
      <c r="AE8" s="1952"/>
      <c r="AF8" s="600"/>
      <c r="AG8" s="378" t="s">
        <v>642</v>
      </c>
      <c r="AH8" s="378" t="s">
        <v>264</v>
      </c>
      <c r="AI8" s="600" t="s">
        <v>147</v>
      </c>
      <c r="AJ8" s="379" t="s">
        <v>265</v>
      </c>
      <c r="AK8" s="600" t="s">
        <v>148</v>
      </c>
      <c r="AL8" s="600" t="s">
        <v>150</v>
      </c>
      <c r="AM8" s="600" t="s">
        <v>150</v>
      </c>
      <c r="AN8" s="1958"/>
      <c r="AO8" s="1257"/>
      <c r="AP8" s="1956"/>
      <c r="AQ8" s="1956"/>
      <c r="AR8" s="1956"/>
      <c r="AS8" s="1956"/>
      <c r="AT8" s="1956"/>
      <c r="AU8" s="1956"/>
      <c r="AV8" s="1956"/>
      <c r="AW8" s="1956"/>
      <c r="AX8" s="1432"/>
      <c r="AY8" s="1432"/>
      <c r="AZ8" s="1432"/>
      <c r="BA8" s="1432"/>
      <c r="BB8" s="1432"/>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c r="AMN8" s="236"/>
      <c r="AMO8" s="236"/>
      <c r="AMP8" s="236"/>
    </row>
    <row r="9" spans="1:1030" s="260" customFormat="1" ht="392.25" customHeight="1">
      <c r="A9" s="622" t="s">
        <v>431</v>
      </c>
      <c r="B9" s="380" t="s">
        <v>3028</v>
      </c>
      <c r="C9" s="1942" t="s">
        <v>4171</v>
      </c>
      <c r="D9" s="1943"/>
      <c r="E9" s="1944"/>
      <c r="F9" s="381" t="s">
        <v>1203</v>
      </c>
      <c r="G9" s="1953" t="s">
        <v>1204</v>
      </c>
      <c r="H9" s="1954"/>
      <c r="I9" s="1955"/>
      <c r="J9" s="1945" t="s">
        <v>1205</v>
      </c>
      <c r="K9" s="1946"/>
      <c r="L9" s="1947"/>
      <c r="M9" s="608" t="s">
        <v>8</v>
      </c>
      <c r="N9" s="608"/>
      <c r="O9" s="608"/>
      <c r="P9" s="608" t="s">
        <v>8</v>
      </c>
      <c r="Q9" s="266" t="s">
        <v>654</v>
      </c>
      <c r="R9" s="266" t="s">
        <v>274</v>
      </c>
      <c r="S9" s="268"/>
      <c r="T9" s="269">
        <f>VLOOKUP(Q9,[78]Listas!$D$6:$E$10,2,0)</f>
        <v>1</v>
      </c>
      <c r="U9" s="269">
        <f>HLOOKUP(R9,[78]Listas!$F$4:$J$5,2,0)</f>
        <v>3</v>
      </c>
      <c r="V9" s="270" t="str">
        <f>INDEX([78]Listas!$F$6:$J$10,MATCH(Q9,[78]Listas!$D$6:$D$10,0),MATCH(R9,[78]Listas!$F$4:$J$4,0))</f>
        <v>3
INFERIOR</v>
      </c>
      <c r="W9" s="268"/>
      <c r="X9" s="1945" t="s">
        <v>1206</v>
      </c>
      <c r="Y9" s="1946"/>
      <c r="Z9" s="1947"/>
      <c r="AA9" s="1131" t="s">
        <v>4013</v>
      </c>
      <c r="AB9" s="382" t="s">
        <v>1207</v>
      </c>
      <c r="AC9" s="259" t="s">
        <v>1208</v>
      </c>
      <c r="AD9" s="608">
        <v>87</v>
      </c>
      <c r="AE9" s="267" t="s">
        <v>152</v>
      </c>
      <c r="AF9" s="268"/>
      <c r="AG9" s="269">
        <f>IF(AD9&lt;=33,0,IF(AD9&gt;81,2,1))</f>
        <v>2</v>
      </c>
      <c r="AH9" s="271">
        <f>IF(OR(AE9="Probabilidad",AE9="Ambos"),T9-AG9,T9)</f>
        <v>-1</v>
      </c>
      <c r="AI9" s="272" t="str">
        <f>IF(AH9&lt;=1,"Remota",VLOOKUP(AH9,[78]Listas!$C$6:$D$10,2,0))</f>
        <v>Remota</v>
      </c>
      <c r="AJ9" s="271">
        <f>IF(OR(AE9="Impacto",AE9="Ambos"),U9-AG9,U9)</f>
        <v>1</v>
      </c>
      <c r="AK9" s="272" t="str">
        <f>IF(AJ9&lt;=1,"Insignificante",HLOOKUP(AJ9,[78]Listas!$F$3:$J$4,2,0))</f>
        <v>Insignificante</v>
      </c>
      <c r="AL9" s="273">
        <f>AH9*AJ9</f>
        <v>-1</v>
      </c>
      <c r="AM9" s="270" t="str">
        <f>INDEX([78]Listas!$F$6:$J$10,MATCH(AI9,[78]Listas!$D$6:$D$10,0),MATCH(AK9,[78]Listas!$F$4:$J$4,0))</f>
        <v>1
INFERIOR</v>
      </c>
      <c r="AN9" s="1116" t="s">
        <v>3029</v>
      </c>
      <c r="AO9" s="383" t="s">
        <v>3430</v>
      </c>
      <c r="AP9" s="692">
        <f>(6/6)*100%</f>
        <v>1</v>
      </c>
      <c r="AQ9" s="383" t="s">
        <v>3431</v>
      </c>
      <c r="AR9" s="539" t="s">
        <v>3432</v>
      </c>
      <c r="AS9" s="608" t="s">
        <v>36</v>
      </c>
      <c r="AT9" s="693">
        <f>(6/6)*100%</f>
        <v>1</v>
      </c>
      <c r="AU9" s="383" t="s">
        <v>3431</v>
      </c>
      <c r="AV9" s="539" t="s">
        <v>3680</v>
      </c>
      <c r="AW9" s="608" t="s">
        <v>36</v>
      </c>
      <c r="AY9" s="259"/>
      <c r="AZ9" s="261"/>
      <c r="BA9" s="261"/>
      <c r="BB9" s="608"/>
      <c r="BP9" s="694" t="s">
        <v>3681</v>
      </c>
    </row>
    <row r="10" spans="1:1030" s="260" customFormat="1" ht="331.5" customHeight="1">
      <c r="A10" s="622" t="s">
        <v>430</v>
      </c>
      <c r="B10" s="380" t="s">
        <v>3030</v>
      </c>
      <c r="C10" s="1942" t="s">
        <v>1209</v>
      </c>
      <c r="D10" s="1943"/>
      <c r="E10" s="1944"/>
      <c r="F10" s="381" t="s">
        <v>1210</v>
      </c>
      <c r="G10" s="1945" t="s">
        <v>1211</v>
      </c>
      <c r="H10" s="1946"/>
      <c r="I10" s="1947"/>
      <c r="J10" s="1948" t="s">
        <v>1212</v>
      </c>
      <c r="K10" s="1948"/>
      <c r="L10" s="1948"/>
      <c r="M10" s="608" t="s">
        <v>8</v>
      </c>
      <c r="N10" s="608"/>
      <c r="O10" s="608"/>
      <c r="P10" s="608" t="s">
        <v>8</v>
      </c>
      <c r="Q10" s="266" t="s">
        <v>654</v>
      </c>
      <c r="R10" s="266" t="s">
        <v>643</v>
      </c>
      <c r="S10" s="268"/>
      <c r="T10" s="269">
        <f>VLOOKUP(Q10,[78]Listas!$D$6:$E$10,2,0)</f>
        <v>1</v>
      </c>
      <c r="U10" s="269">
        <f>HLOOKUP(R10,[78]Listas!$F$4:$J$5,2,0)</f>
        <v>2</v>
      </c>
      <c r="V10" s="270" t="str">
        <f>INDEX([78]Listas!$F$6:$J$10,MATCH(Q10,[78]Listas!$D$6:$D$10,0),MATCH(R10,[78]Listas!$F$4:$J$4,0))</f>
        <v>2
INFERIOR</v>
      </c>
      <c r="W10" s="268"/>
      <c r="X10" s="1945" t="s">
        <v>1213</v>
      </c>
      <c r="Y10" s="1946"/>
      <c r="Z10" s="1947"/>
      <c r="AA10" s="1131" t="s">
        <v>4013</v>
      </c>
      <c r="AB10" s="382" t="s">
        <v>1214</v>
      </c>
      <c r="AC10" s="259" t="s">
        <v>1215</v>
      </c>
      <c r="AD10" s="608">
        <v>84</v>
      </c>
      <c r="AE10" s="267" t="s">
        <v>152</v>
      </c>
      <c r="AF10" s="268"/>
      <c r="AG10" s="269">
        <f t="shared" ref="AG10:AG73" si="0">IF(AD10&lt;=33,0,IF(AD10&gt;81,2,1))</f>
        <v>2</v>
      </c>
      <c r="AH10" s="271">
        <f t="shared" ref="AH10:AH73" si="1">IF(OR(AE10="Probabilidad",AE10="Ambos"),T10-AG10,T10)</f>
        <v>-1</v>
      </c>
      <c r="AI10" s="272" t="str">
        <f>IF(AH10&lt;=1,"Remota",VLOOKUP(AH10,[78]Listas!$C$6:$D$10,2,0))</f>
        <v>Remota</v>
      </c>
      <c r="AJ10" s="271">
        <f t="shared" ref="AJ10:AJ73" si="2">IF(OR(AE10="Impacto",AE10="Ambos"),U10-AG10,U10)</f>
        <v>0</v>
      </c>
      <c r="AK10" s="272" t="str">
        <f>IF(AJ10&lt;=1,"Insignificante",HLOOKUP(AJ10,[78]Listas!$F$3:$J$4,2,0))</f>
        <v>Insignificante</v>
      </c>
      <c r="AL10" s="273">
        <f t="shared" ref="AL10:AL73" si="3">AH10*AJ10</f>
        <v>0</v>
      </c>
      <c r="AM10" s="270" t="str">
        <f>INDEX([78]Listas!$F$6:$J$10,MATCH(AI10,[78]Listas!$D$6:$D$10,0),MATCH(AK10,[78]Listas!$F$4:$J$4,0))</f>
        <v>1
INFERIOR</v>
      </c>
      <c r="AN10" s="1117" t="s">
        <v>3031</v>
      </c>
      <c r="AO10" s="383" t="s">
        <v>3430</v>
      </c>
      <c r="AP10" s="692">
        <f>(8/8)*100%</f>
        <v>1</v>
      </c>
      <c r="AQ10" s="383" t="s">
        <v>3433</v>
      </c>
      <c r="AR10" s="539" t="s">
        <v>3434</v>
      </c>
      <c r="AS10" s="608" t="s">
        <v>36</v>
      </c>
      <c r="AT10" s="693">
        <f>(8/8)*100%</f>
        <v>1</v>
      </c>
      <c r="AU10" s="383" t="s">
        <v>3433</v>
      </c>
      <c r="AV10" s="539" t="s">
        <v>3682</v>
      </c>
      <c r="AW10" s="608" t="s">
        <v>36</v>
      </c>
      <c r="AX10" s="259"/>
      <c r="AY10" s="259"/>
      <c r="AZ10" s="261"/>
      <c r="BA10" s="261"/>
      <c r="BB10" s="608"/>
      <c r="BP10" s="695" t="s">
        <v>3683</v>
      </c>
    </row>
    <row r="11" spans="1:1030" s="260" customFormat="1" ht="260.25" customHeight="1">
      <c r="A11" s="622" t="s">
        <v>651</v>
      </c>
      <c r="B11" s="540" t="s">
        <v>3032</v>
      </c>
      <c r="C11" s="1942" t="s">
        <v>429</v>
      </c>
      <c r="D11" s="1943"/>
      <c r="E11" s="1944"/>
      <c r="F11" s="382" t="s">
        <v>1216</v>
      </c>
      <c r="G11" s="1945" t="s">
        <v>652</v>
      </c>
      <c r="H11" s="1946"/>
      <c r="I11" s="1947"/>
      <c r="J11" s="1948" t="s">
        <v>1217</v>
      </c>
      <c r="K11" s="1948"/>
      <c r="L11" s="1948"/>
      <c r="M11" s="608" t="s">
        <v>8</v>
      </c>
      <c r="N11" s="608"/>
      <c r="O11" s="608"/>
      <c r="P11" s="608" t="s">
        <v>8</v>
      </c>
      <c r="Q11" s="266" t="s">
        <v>64</v>
      </c>
      <c r="R11" s="266" t="s">
        <v>274</v>
      </c>
      <c r="S11" s="541"/>
      <c r="T11" s="269">
        <f>VLOOKUP(Q11,[78]Listas!$D$6:$E$10,2,0)</f>
        <v>3</v>
      </c>
      <c r="U11" s="269">
        <f>HLOOKUP(R11,[78]Listas!$F$4:$J$5,2,0)</f>
        <v>3</v>
      </c>
      <c r="V11" s="270" t="str">
        <f>INDEX([78]Listas!$F$6:$J$10,MATCH(Q11,[78]Listas!$D$6:$D$10,0),MATCH(R11,[78]Listas!$F$4:$J$4,0))</f>
        <v>9
MODERADO</v>
      </c>
      <c r="W11" s="541"/>
      <c r="X11" s="1948" t="s">
        <v>1218</v>
      </c>
      <c r="Y11" s="1948"/>
      <c r="Z11" s="1948"/>
      <c r="AA11" s="1132" t="s">
        <v>4013</v>
      </c>
      <c r="AB11" s="382" t="s">
        <v>1219</v>
      </c>
      <c r="AC11" s="259" t="s">
        <v>1220</v>
      </c>
      <c r="AD11" s="608">
        <v>47</v>
      </c>
      <c r="AE11" s="267" t="s">
        <v>152</v>
      </c>
      <c r="AF11" s="541"/>
      <c r="AG11" s="269">
        <f t="shared" si="0"/>
        <v>1</v>
      </c>
      <c r="AH11" s="542">
        <f t="shared" si="1"/>
        <v>2</v>
      </c>
      <c r="AI11" s="272" t="str">
        <f>IF(AH11&lt;=1,"Remota",VLOOKUP(AH11,[78]Listas!$C$6:$D$10,2,0))</f>
        <v>Baja</v>
      </c>
      <c r="AJ11" s="542">
        <f t="shared" si="2"/>
        <v>2</v>
      </c>
      <c r="AK11" s="272" t="str">
        <f>IF(AJ11&lt;=1,"Insignificante",HLOOKUP(AJ11,[78]Listas!$F$3:$J$4,2,0))</f>
        <v>Menor</v>
      </c>
      <c r="AL11" s="273">
        <f t="shared" si="3"/>
        <v>4</v>
      </c>
      <c r="AM11" s="270" t="str">
        <f>INDEX([78]Listas!$F$6:$J$10,MATCH(AI11,[78]Listas!$D$6:$D$10,0),MATCH(AK11,[78]Listas!$F$4:$J$4,0))</f>
        <v>4
INFERIOR</v>
      </c>
      <c r="AN11" s="1116" t="s">
        <v>3033</v>
      </c>
      <c r="AO11" s="384" t="s">
        <v>3430</v>
      </c>
      <c r="AP11" s="692">
        <f>(6/6)*100%</f>
        <v>1</v>
      </c>
      <c r="AQ11" s="384" t="s">
        <v>3435</v>
      </c>
      <c r="AR11" s="539" t="s">
        <v>3436</v>
      </c>
      <c r="AS11" s="608" t="s">
        <v>36</v>
      </c>
      <c r="AT11" s="693">
        <f>(6/6)*100%</f>
        <v>1</v>
      </c>
      <c r="AU11" s="384" t="s">
        <v>3435</v>
      </c>
      <c r="AV11" s="539" t="s">
        <v>3684</v>
      </c>
      <c r="AW11" s="608" t="s">
        <v>36</v>
      </c>
      <c r="AX11" s="259"/>
      <c r="AY11" s="259"/>
      <c r="AZ11" s="261"/>
      <c r="BA11" s="261"/>
      <c r="BB11" s="608"/>
      <c r="BP11" s="695" t="s">
        <v>3685</v>
      </c>
    </row>
    <row r="12" spans="1:1030" s="260" customFormat="1" ht="274.5" customHeight="1">
      <c r="A12" s="622" t="s">
        <v>653</v>
      </c>
      <c r="B12" s="380" t="s">
        <v>3034</v>
      </c>
      <c r="C12" s="1942" t="s">
        <v>1221</v>
      </c>
      <c r="D12" s="1943"/>
      <c r="E12" s="1944"/>
      <c r="F12" s="382" t="s">
        <v>1222</v>
      </c>
      <c r="G12" s="1945" t="s">
        <v>1223</v>
      </c>
      <c r="H12" s="1946"/>
      <c r="I12" s="1947"/>
      <c r="J12" s="1948" t="s">
        <v>1224</v>
      </c>
      <c r="K12" s="1948"/>
      <c r="L12" s="1948"/>
      <c r="M12" s="608" t="s">
        <v>8</v>
      </c>
      <c r="N12" s="608"/>
      <c r="O12" s="608"/>
      <c r="P12" s="608" t="s">
        <v>8</v>
      </c>
      <c r="Q12" s="266" t="s">
        <v>654</v>
      </c>
      <c r="R12" s="266" t="s">
        <v>274</v>
      </c>
      <c r="S12" s="268"/>
      <c r="T12" s="269">
        <f>VLOOKUP(Q12,[78]Listas!$D$6:$E$10,2,0)</f>
        <v>1</v>
      </c>
      <c r="U12" s="269">
        <f>HLOOKUP(R12,[78]Listas!$F$4:$J$5,2,0)</f>
        <v>3</v>
      </c>
      <c r="V12" s="270" t="str">
        <f>INDEX([78]Listas!$F$6:$J$10,MATCH(Q12,[78]Listas!$D$6:$D$10,0),MATCH(R12,[78]Listas!$F$4:$J$4,0))</f>
        <v>3
INFERIOR</v>
      </c>
      <c r="W12" s="268"/>
      <c r="X12" s="1945" t="s">
        <v>1225</v>
      </c>
      <c r="Y12" s="1946"/>
      <c r="Z12" s="1947"/>
      <c r="AA12" s="1131" t="s">
        <v>4013</v>
      </c>
      <c r="AB12" s="382" t="s">
        <v>1226</v>
      </c>
      <c r="AC12" s="259" t="s">
        <v>1227</v>
      </c>
      <c r="AD12" s="608">
        <v>60</v>
      </c>
      <c r="AE12" s="267" t="s">
        <v>152</v>
      </c>
      <c r="AF12" s="268"/>
      <c r="AG12" s="269">
        <f t="shared" si="0"/>
        <v>1</v>
      </c>
      <c r="AH12" s="271">
        <f t="shared" si="1"/>
        <v>0</v>
      </c>
      <c r="AI12" s="272" t="str">
        <f>IF(AH12&lt;=1,"Remota",VLOOKUP(AH12,[78]Listas!$C$6:$D$10,2,0))</f>
        <v>Remota</v>
      </c>
      <c r="AJ12" s="271">
        <f t="shared" si="2"/>
        <v>2</v>
      </c>
      <c r="AK12" s="272" t="str">
        <f>IF(AJ12&lt;=1,"Insignificante",HLOOKUP(AJ12,[78]Listas!$F$3:$J$4,2,0))</f>
        <v>Menor</v>
      </c>
      <c r="AL12" s="273">
        <f t="shared" si="3"/>
        <v>0</v>
      </c>
      <c r="AM12" s="270" t="str">
        <f>INDEX([78]Listas!$F$6:$J$10,MATCH(AI12,[78]Listas!$D$6:$D$10,0),MATCH(AK12,[78]Listas!$F$4:$J$4,0))</f>
        <v>2
INFERIOR</v>
      </c>
      <c r="AN12" s="1116" t="s">
        <v>3035</v>
      </c>
      <c r="AO12" s="383" t="s">
        <v>3430</v>
      </c>
      <c r="AP12" s="692">
        <f>(3/3)*100%</f>
        <v>1</v>
      </c>
      <c r="AQ12" s="383" t="s">
        <v>3437</v>
      </c>
      <c r="AR12" s="539" t="s">
        <v>3438</v>
      </c>
      <c r="AS12" s="608" t="s">
        <v>36</v>
      </c>
      <c r="AT12" s="693">
        <f>(3/3)*100%</f>
        <v>1</v>
      </c>
      <c r="AU12" s="383" t="s">
        <v>3437</v>
      </c>
      <c r="AV12" s="539" t="s">
        <v>3686</v>
      </c>
      <c r="AW12" s="608" t="s">
        <v>36</v>
      </c>
      <c r="AX12" s="259"/>
      <c r="AY12" s="259"/>
      <c r="AZ12" s="261"/>
      <c r="BA12" s="261"/>
      <c r="BB12" s="608"/>
      <c r="BP12" s="694" t="s">
        <v>3687</v>
      </c>
    </row>
    <row r="13" spans="1:1030" s="260" customFormat="1" ht="228.75" customHeight="1">
      <c r="A13" s="622" t="s">
        <v>428</v>
      </c>
      <c r="B13" s="380" t="s">
        <v>3036</v>
      </c>
      <c r="C13" s="1942" t="s">
        <v>1228</v>
      </c>
      <c r="D13" s="1943"/>
      <c r="E13" s="1944"/>
      <c r="F13" s="382" t="s">
        <v>1229</v>
      </c>
      <c r="G13" s="1945" t="s">
        <v>3037</v>
      </c>
      <c r="H13" s="1946"/>
      <c r="I13" s="1947"/>
      <c r="J13" s="1948" t="s">
        <v>1230</v>
      </c>
      <c r="K13" s="1948"/>
      <c r="L13" s="1948"/>
      <c r="M13" s="608" t="s">
        <v>8</v>
      </c>
      <c r="N13" s="608"/>
      <c r="O13" s="608"/>
      <c r="P13" s="608" t="s">
        <v>8</v>
      </c>
      <c r="Q13" s="266" t="s">
        <v>654</v>
      </c>
      <c r="R13" s="266" t="s">
        <v>643</v>
      </c>
      <c r="S13" s="268"/>
      <c r="T13" s="269">
        <f>VLOOKUP(Q13,[78]Listas!$D$6:$E$10,2,0)</f>
        <v>1</v>
      </c>
      <c r="U13" s="269">
        <f>HLOOKUP(R13,[78]Listas!$F$4:$J$5,2,0)</f>
        <v>2</v>
      </c>
      <c r="V13" s="270" t="str">
        <f>INDEX([78]Listas!$F$6:$J$10,MATCH(Q13,[78]Listas!$D$6:$D$10,0),MATCH(R13,[78]Listas!$F$4:$J$4,0))</f>
        <v>2
INFERIOR</v>
      </c>
      <c r="W13" s="268"/>
      <c r="X13" s="1945" t="s">
        <v>3038</v>
      </c>
      <c r="Y13" s="1946"/>
      <c r="Z13" s="1947"/>
      <c r="AA13" s="1131" t="s">
        <v>4013</v>
      </c>
      <c r="AB13" s="382" t="s">
        <v>1229</v>
      </c>
      <c r="AC13" s="259" t="s">
        <v>3039</v>
      </c>
      <c r="AD13" s="608">
        <v>84</v>
      </c>
      <c r="AE13" s="267" t="s">
        <v>152</v>
      </c>
      <c r="AF13" s="268"/>
      <c r="AG13" s="269">
        <f t="shared" si="0"/>
        <v>2</v>
      </c>
      <c r="AH13" s="271">
        <f t="shared" si="1"/>
        <v>-1</v>
      </c>
      <c r="AI13" s="272" t="str">
        <f>IF(AH13&lt;=1,"Remota",VLOOKUP(AH13,[78]Listas!$C$6:$D$10,2,0))</f>
        <v>Remota</v>
      </c>
      <c r="AJ13" s="271">
        <f t="shared" si="2"/>
        <v>0</v>
      </c>
      <c r="AK13" s="272" t="str">
        <f>IF(AJ13&lt;=1,"Insignificante",HLOOKUP(AJ13,[78]Listas!$F$3:$J$4,2,0))</f>
        <v>Insignificante</v>
      </c>
      <c r="AL13" s="273">
        <f t="shared" si="3"/>
        <v>0</v>
      </c>
      <c r="AM13" s="270" t="str">
        <f>INDEX([78]Listas!$F$6:$J$10,MATCH(AI13,[78]Listas!$D$6:$D$10,0),MATCH(AK13,[78]Listas!$F$4:$J$4,0))</f>
        <v>1
INFERIOR</v>
      </c>
      <c r="AN13" s="1116" t="s">
        <v>3040</v>
      </c>
      <c r="AO13" s="383" t="s">
        <v>3430</v>
      </c>
      <c r="AP13" s="692">
        <f>(4/4)*100%</f>
        <v>1</v>
      </c>
      <c r="AQ13" s="384" t="s">
        <v>3439</v>
      </c>
      <c r="AR13" s="539" t="s">
        <v>3440</v>
      </c>
      <c r="AS13" s="608" t="s">
        <v>36</v>
      </c>
      <c r="AT13" s="693">
        <f>(16/16)*100%</f>
        <v>1</v>
      </c>
      <c r="AU13" s="384" t="s">
        <v>3688</v>
      </c>
      <c r="AV13" s="539" t="s">
        <v>3689</v>
      </c>
      <c r="AW13" s="608" t="s">
        <v>36</v>
      </c>
      <c r="AX13" s="259"/>
      <c r="AY13" s="259"/>
      <c r="AZ13" s="261"/>
      <c r="BA13" s="261"/>
      <c r="BB13" s="608"/>
      <c r="BP13" s="694" t="s">
        <v>3690</v>
      </c>
    </row>
    <row r="14" spans="1:1030" s="260" customFormat="1" ht="360.75" customHeight="1">
      <c r="A14" s="622" t="s">
        <v>1231</v>
      </c>
      <c r="B14" s="380" t="s">
        <v>3041</v>
      </c>
      <c r="C14" s="1942" t="s">
        <v>3042</v>
      </c>
      <c r="D14" s="1943"/>
      <c r="E14" s="1944"/>
      <c r="F14" s="382" t="s">
        <v>1232</v>
      </c>
      <c r="G14" s="1945" t="s">
        <v>3043</v>
      </c>
      <c r="H14" s="1946"/>
      <c r="I14" s="1947"/>
      <c r="J14" s="1948" t="s">
        <v>3044</v>
      </c>
      <c r="K14" s="1948"/>
      <c r="L14" s="1948"/>
      <c r="M14" s="608" t="s">
        <v>8</v>
      </c>
      <c r="N14" s="608"/>
      <c r="O14" s="608"/>
      <c r="P14" s="608" t="s">
        <v>8</v>
      </c>
      <c r="Q14" s="266" t="s">
        <v>64</v>
      </c>
      <c r="R14" s="266" t="s">
        <v>643</v>
      </c>
      <c r="S14" s="268"/>
      <c r="T14" s="269">
        <f>VLOOKUP(Q14,[78]Listas!$D$6:$E$10,2,0)</f>
        <v>3</v>
      </c>
      <c r="U14" s="269">
        <f>HLOOKUP(R14,[78]Listas!$F$4:$J$5,2,0)</f>
        <v>2</v>
      </c>
      <c r="V14" s="270" t="str">
        <f>INDEX([78]Listas!$F$6:$J$10,MATCH(Q14,[78]Listas!$D$6:$D$10,0),MATCH(R14,[78]Listas!$F$4:$J$4,0))</f>
        <v>6
MODERADO</v>
      </c>
      <c r="W14" s="268"/>
      <c r="X14" s="1945" t="s">
        <v>3045</v>
      </c>
      <c r="Y14" s="1946"/>
      <c r="Z14" s="1947"/>
      <c r="AA14" s="1131" t="s">
        <v>4013</v>
      </c>
      <c r="AB14" s="382" t="s">
        <v>1233</v>
      </c>
      <c r="AC14" s="259" t="s">
        <v>3046</v>
      </c>
      <c r="AD14" s="608">
        <v>60</v>
      </c>
      <c r="AE14" s="267" t="s">
        <v>152</v>
      </c>
      <c r="AF14" s="268"/>
      <c r="AG14" s="269">
        <f t="shared" si="0"/>
        <v>1</v>
      </c>
      <c r="AH14" s="271">
        <f t="shared" si="1"/>
        <v>2</v>
      </c>
      <c r="AI14" s="272" t="str">
        <f>IF(AH14&lt;=1,"Remota",VLOOKUP(AH14,[78]Listas!$C$6:$D$10,2,0))</f>
        <v>Baja</v>
      </c>
      <c r="AJ14" s="271">
        <f t="shared" si="2"/>
        <v>1</v>
      </c>
      <c r="AK14" s="272" t="str">
        <f>IF(AJ14&lt;=1,"Insignificante",HLOOKUP(AJ14,[78]Listas!$F$3:$J$4,2,0))</f>
        <v>Insignificante</v>
      </c>
      <c r="AL14" s="273">
        <f t="shared" si="3"/>
        <v>2</v>
      </c>
      <c r="AM14" s="270" t="str">
        <f>INDEX([78]Listas!$F$6:$J$10,MATCH(AI14,[78]Listas!$D$6:$D$10,0),MATCH(AK14,[78]Listas!$F$4:$J$4,0))</f>
        <v>2
INFERIOR</v>
      </c>
      <c r="AN14" s="1116" t="s">
        <v>3047</v>
      </c>
      <c r="AO14" s="383" t="s">
        <v>973</v>
      </c>
      <c r="AP14" s="692">
        <f>(10/10)*100%</f>
        <v>1</v>
      </c>
      <c r="AQ14" s="383" t="s">
        <v>3441</v>
      </c>
      <c r="AR14" s="539" t="s">
        <v>3442</v>
      </c>
      <c r="AS14" s="608" t="s">
        <v>36</v>
      </c>
      <c r="AT14" s="693">
        <f>(10/10)*100%</f>
        <v>1</v>
      </c>
      <c r="AU14" s="383" t="s">
        <v>3691</v>
      </c>
      <c r="AV14" s="539" t="s">
        <v>3692</v>
      </c>
      <c r="AW14" s="608" t="s">
        <v>36</v>
      </c>
      <c r="AX14" s="259"/>
      <c r="AY14" s="259"/>
      <c r="AZ14" s="261"/>
      <c r="BA14" s="261"/>
      <c r="BB14" s="608"/>
      <c r="BP14" s="694" t="s">
        <v>3693</v>
      </c>
    </row>
    <row r="15" spans="1:1030" s="260" customFormat="1" ht="210" customHeight="1">
      <c r="A15" s="622" t="s">
        <v>1234</v>
      </c>
      <c r="B15" s="1115" t="s">
        <v>1235</v>
      </c>
      <c r="C15" s="1942" t="s">
        <v>729</v>
      </c>
      <c r="D15" s="1943"/>
      <c r="E15" s="1944"/>
      <c r="F15" s="382" t="s">
        <v>167</v>
      </c>
      <c r="G15" s="1945" t="s">
        <v>1236</v>
      </c>
      <c r="H15" s="1946"/>
      <c r="I15" s="1947"/>
      <c r="J15" s="1948" t="s">
        <v>1237</v>
      </c>
      <c r="K15" s="1948"/>
      <c r="L15" s="1948"/>
      <c r="M15" s="608"/>
      <c r="N15" s="608"/>
      <c r="O15" s="608" t="s">
        <v>8</v>
      </c>
      <c r="P15" s="608"/>
      <c r="Q15" s="266" t="s">
        <v>655</v>
      </c>
      <c r="R15" s="266" t="s">
        <v>661</v>
      </c>
      <c r="S15" s="541"/>
      <c r="T15" s="269">
        <f>VLOOKUP(Q15,[78]Listas!$D$6:$E$10,2,0)</f>
        <v>2</v>
      </c>
      <c r="U15" s="269">
        <f>HLOOKUP(R15,[78]Listas!$F$4:$J$5,2,0)</f>
        <v>1</v>
      </c>
      <c r="V15" s="270" t="str">
        <f>INDEX([78]Listas!$F$6:$J$10,MATCH(Q15,[78]Listas!$D$6:$D$10,0),MATCH(R15,[78]Listas!$F$4:$J$4,0))</f>
        <v>2
INFERIOR</v>
      </c>
      <c r="W15" s="541"/>
      <c r="X15" s="1945" t="s">
        <v>1238</v>
      </c>
      <c r="Y15" s="1946"/>
      <c r="Z15" s="1947"/>
      <c r="AA15" s="1131" t="s">
        <v>4186</v>
      </c>
      <c r="AB15" s="382" t="s">
        <v>1239</v>
      </c>
      <c r="AC15" s="259" t="s">
        <v>1240</v>
      </c>
      <c r="AD15" s="608">
        <v>74</v>
      </c>
      <c r="AE15" s="267" t="s">
        <v>152</v>
      </c>
      <c r="AF15" s="541"/>
      <c r="AG15" s="269">
        <f t="shared" si="0"/>
        <v>1</v>
      </c>
      <c r="AH15" s="542">
        <f t="shared" si="1"/>
        <v>1</v>
      </c>
      <c r="AI15" s="272" t="str">
        <f>IF(AH15&lt;=1,"Remota",VLOOKUP(AH15,[78]Listas!$C$6:$D$10,2,0))</f>
        <v>Remota</v>
      </c>
      <c r="AJ15" s="542">
        <f t="shared" si="2"/>
        <v>0</v>
      </c>
      <c r="AK15" s="272" t="str">
        <f>IF(AJ15&lt;=1,"Insignificante",HLOOKUP(AJ15,[78]Listas!$F$3:$J$4,2,0))</f>
        <v>Insignificante</v>
      </c>
      <c r="AL15" s="273">
        <f t="shared" si="3"/>
        <v>0</v>
      </c>
      <c r="AM15" s="270" t="str">
        <f>INDEX([78]Listas!$F$6:$J$10,MATCH(AI15,[78]Listas!$D$6:$D$10,0),MATCH(AK15,[78]Listas!$F$4:$J$4,0))</f>
        <v>1
INFERIOR</v>
      </c>
      <c r="AN15" s="1116" t="s">
        <v>3048</v>
      </c>
      <c r="AO15" s="384" t="s">
        <v>3430</v>
      </c>
      <c r="AP15" s="692">
        <f>(1/1)*100%</f>
        <v>1</v>
      </c>
      <c r="AQ15" s="384" t="s">
        <v>3443</v>
      </c>
      <c r="AR15" s="539" t="s">
        <v>3444</v>
      </c>
      <c r="AS15" s="608" t="s">
        <v>36</v>
      </c>
      <c r="AT15" s="693">
        <f>(1/1)*100%</f>
        <v>1</v>
      </c>
      <c r="AU15" s="384" t="s">
        <v>3443</v>
      </c>
      <c r="AV15" s="539" t="s">
        <v>3444</v>
      </c>
      <c r="AW15" s="608" t="s">
        <v>36</v>
      </c>
      <c r="AX15" s="259"/>
      <c r="AY15" s="259"/>
      <c r="AZ15" s="261"/>
      <c r="BA15" s="261"/>
      <c r="BB15" s="608"/>
    </row>
    <row r="16" spans="1:1030" s="260" customFormat="1" ht="177" customHeight="1">
      <c r="A16" s="622" t="s">
        <v>1234</v>
      </c>
      <c r="B16" s="1115" t="s">
        <v>1241</v>
      </c>
      <c r="C16" s="1942" t="s">
        <v>988</v>
      </c>
      <c r="D16" s="1943"/>
      <c r="E16" s="1944"/>
      <c r="F16" s="382" t="s">
        <v>167</v>
      </c>
      <c r="G16" s="1945" t="s">
        <v>1242</v>
      </c>
      <c r="H16" s="1946"/>
      <c r="I16" s="1947"/>
      <c r="J16" s="1948" t="s">
        <v>986</v>
      </c>
      <c r="K16" s="1948"/>
      <c r="L16" s="1948"/>
      <c r="M16" s="608"/>
      <c r="N16" s="608"/>
      <c r="O16" s="608" t="s">
        <v>8</v>
      </c>
      <c r="P16" s="608"/>
      <c r="Q16" s="266" t="s">
        <v>655</v>
      </c>
      <c r="R16" s="266" t="s">
        <v>643</v>
      </c>
      <c r="S16" s="268"/>
      <c r="T16" s="269">
        <f>VLOOKUP(Q16,[78]Listas!$D$6:$E$10,2,0)</f>
        <v>2</v>
      </c>
      <c r="U16" s="269">
        <f>HLOOKUP(R16,[78]Listas!$F$4:$J$5,2,0)</f>
        <v>2</v>
      </c>
      <c r="V16" s="270" t="str">
        <f>INDEX([78]Listas!$F$6:$J$10,MATCH(Q16,[78]Listas!$D$6:$D$10,0),MATCH(R16,[78]Listas!$F$4:$J$4,0))</f>
        <v>4
INFERIOR</v>
      </c>
      <c r="W16" s="268"/>
      <c r="X16" s="1945" t="s">
        <v>1243</v>
      </c>
      <c r="Y16" s="1946"/>
      <c r="Z16" s="1947"/>
      <c r="AA16" s="1131" t="s">
        <v>4183</v>
      </c>
      <c r="AB16" s="382" t="s">
        <v>1239</v>
      </c>
      <c r="AC16" s="259" t="s">
        <v>1244</v>
      </c>
      <c r="AD16" s="608">
        <v>74</v>
      </c>
      <c r="AE16" s="267" t="s">
        <v>152</v>
      </c>
      <c r="AF16" s="268"/>
      <c r="AG16" s="269">
        <f t="shared" si="0"/>
        <v>1</v>
      </c>
      <c r="AH16" s="271">
        <f t="shared" si="1"/>
        <v>1</v>
      </c>
      <c r="AI16" s="272" t="str">
        <f>IF(AH16&lt;=1,"Remota",VLOOKUP(AH16,[78]Listas!$C$6:$D$10,2,0))</f>
        <v>Remota</v>
      </c>
      <c r="AJ16" s="271">
        <f t="shared" si="2"/>
        <v>1</v>
      </c>
      <c r="AK16" s="272" t="str">
        <f>IF(AJ16&lt;=1,"Insignificante",HLOOKUP(AJ16,[78]Listas!$F$3:$J$4,2,0))</f>
        <v>Insignificante</v>
      </c>
      <c r="AL16" s="273">
        <f t="shared" si="3"/>
        <v>1</v>
      </c>
      <c r="AM16" s="270" t="str">
        <f>INDEX([78]Listas!$F$6:$J$10,MATCH(AI16,[78]Listas!$D$6:$D$10,0),MATCH(AK16,[78]Listas!$F$4:$J$4,0))</f>
        <v>1
INFERIOR</v>
      </c>
      <c r="AN16" s="1116" t="s">
        <v>3049</v>
      </c>
      <c r="AO16" s="383" t="s">
        <v>3430</v>
      </c>
      <c r="AP16" s="692">
        <f t="shared" ref="AP16:AP18" si="4">(1/1)*100%</f>
        <v>1</v>
      </c>
      <c r="AQ16" s="383" t="s">
        <v>3443</v>
      </c>
      <c r="AR16" s="539" t="s">
        <v>3444</v>
      </c>
      <c r="AS16" s="608" t="s">
        <v>36</v>
      </c>
      <c r="AT16" s="693">
        <f t="shared" ref="AT16:AT18" si="5">(1/1)*100%</f>
        <v>1</v>
      </c>
      <c r="AU16" s="383" t="s">
        <v>3443</v>
      </c>
      <c r="AV16" s="539" t="s">
        <v>3444</v>
      </c>
      <c r="AW16" s="608" t="s">
        <v>36</v>
      </c>
      <c r="AX16" s="259"/>
      <c r="AY16" s="259"/>
      <c r="AZ16" s="261"/>
      <c r="BA16" s="261"/>
      <c r="BB16" s="608"/>
    </row>
    <row r="17" spans="1:54" s="260" customFormat="1" ht="177" customHeight="1">
      <c r="A17" s="622" t="s">
        <v>1234</v>
      </c>
      <c r="B17" s="1115" t="s">
        <v>1245</v>
      </c>
      <c r="C17" s="1942" t="s">
        <v>982</v>
      </c>
      <c r="D17" s="1943"/>
      <c r="E17" s="1944"/>
      <c r="F17" s="382" t="s">
        <v>167</v>
      </c>
      <c r="G17" s="1945" t="s">
        <v>1246</v>
      </c>
      <c r="H17" s="1946"/>
      <c r="I17" s="1947"/>
      <c r="J17" s="1948" t="s">
        <v>1247</v>
      </c>
      <c r="K17" s="1948"/>
      <c r="L17" s="1948"/>
      <c r="M17" s="608"/>
      <c r="N17" s="608"/>
      <c r="O17" s="608" t="s">
        <v>8</v>
      </c>
      <c r="P17" s="608"/>
      <c r="Q17" s="266" t="s">
        <v>655</v>
      </c>
      <c r="R17" s="266" t="s">
        <v>643</v>
      </c>
      <c r="S17" s="268"/>
      <c r="T17" s="269">
        <f>VLOOKUP(Q17,[78]Listas!$D$6:$E$10,2,0)</f>
        <v>2</v>
      </c>
      <c r="U17" s="269">
        <f>HLOOKUP(R17,[78]Listas!$F$4:$J$5,2,0)</f>
        <v>2</v>
      </c>
      <c r="V17" s="270" t="str">
        <f>INDEX([78]Listas!$F$6:$J$10,MATCH(Q17,[78]Listas!$D$6:$D$10,0),MATCH(R17,[78]Listas!$F$4:$J$4,0))</f>
        <v>4
INFERIOR</v>
      </c>
      <c r="W17" s="268"/>
      <c r="X17" s="1945" t="s">
        <v>1248</v>
      </c>
      <c r="Y17" s="1946"/>
      <c r="Z17" s="1947"/>
      <c r="AA17" s="1131" t="s">
        <v>4187</v>
      </c>
      <c r="AB17" s="382" t="s">
        <v>1239</v>
      </c>
      <c r="AC17" s="259" t="s">
        <v>1244</v>
      </c>
      <c r="AD17" s="608">
        <v>74</v>
      </c>
      <c r="AE17" s="267" t="s">
        <v>152</v>
      </c>
      <c r="AF17" s="268"/>
      <c r="AG17" s="269">
        <f t="shared" si="0"/>
        <v>1</v>
      </c>
      <c r="AH17" s="271">
        <f t="shared" si="1"/>
        <v>1</v>
      </c>
      <c r="AI17" s="272" t="str">
        <f>IF(AH17&lt;=1,"Remota",VLOOKUP(AH17,[78]Listas!$C$6:$D$10,2,0))</f>
        <v>Remota</v>
      </c>
      <c r="AJ17" s="271">
        <f t="shared" si="2"/>
        <v>1</v>
      </c>
      <c r="AK17" s="272" t="str">
        <f>IF(AJ17&lt;=1,"Insignificante",HLOOKUP(AJ17,[78]Listas!$F$3:$J$4,2,0))</f>
        <v>Insignificante</v>
      </c>
      <c r="AL17" s="273">
        <f t="shared" si="3"/>
        <v>1</v>
      </c>
      <c r="AM17" s="270" t="str">
        <f>INDEX([78]Listas!$F$6:$J$10,MATCH(AI17,[78]Listas!$D$6:$D$10,0),MATCH(AK17,[78]Listas!$F$4:$J$4,0))</f>
        <v>1
INFERIOR</v>
      </c>
      <c r="AN17" s="1116" t="s">
        <v>3050</v>
      </c>
      <c r="AO17" s="383" t="s">
        <v>3430</v>
      </c>
      <c r="AP17" s="692">
        <f t="shared" si="4"/>
        <v>1</v>
      </c>
      <c r="AQ17" s="383" t="s">
        <v>3443</v>
      </c>
      <c r="AR17" s="539" t="s">
        <v>3444</v>
      </c>
      <c r="AS17" s="608" t="s">
        <v>36</v>
      </c>
      <c r="AT17" s="693">
        <f t="shared" si="5"/>
        <v>1</v>
      </c>
      <c r="AU17" s="383" t="s">
        <v>3443</v>
      </c>
      <c r="AV17" s="539" t="s">
        <v>3444</v>
      </c>
      <c r="AW17" s="608" t="s">
        <v>36</v>
      </c>
      <c r="AX17" s="259"/>
      <c r="AY17" s="259"/>
      <c r="AZ17" s="261"/>
      <c r="BA17" s="261"/>
      <c r="BB17" s="608"/>
    </row>
    <row r="18" spans="1:54" s="260" customFormat="1" ht="177" customHeight="1">
      <c r="A18" s="622" t="s">
        <v>1234</v>
      </c>
      <c r="B18" s="1115" t="s">
        <v>1249</v>
      </c>
      <c r="C18" s="1942" t="s">
        <v>1250</v>
      </c>
      <c r="D18" s="1943"/>
      <c r="E18" s="1944"/>
      <c r="F18" s="382" t="s">
        <v>167</v>
      </c>
      <c r="G18" s="1945" t="s">
        <v>1251</v>
      </c>
      <c r="H18" s="1946"/>
      <c r="I18" s="1947"/>
      <c r="J18" s="1948" t="s">
        <v>1073</v>
      </c>
      <c r="K18" s="1948"/>
      <c r="L18" s="1948"/>
      <c r="M18" s="608"/>
      <c r="N18" s="608"/>
      <c r="O18" s="608" t="s">
        <v>684</v>
      </c>
      <c r="P18" s="608"/>
      <c r="Q18" s="266" t="s">
        <v>654</v>
      </c>
      <c r="R18" s="266" t="s">
        <v>661</v>
      </c>
      <c r="S18" s="268"/>
      <c r="T18" s="269">
        <f>VLOOKUP(Q18,[78]Listas!$D$6:$E$10,2,0)</f>
        <v>1</v>
      </c>
      <c r="U18" s="269">
        <f>HLOOKUP(R18,[78]Listas!$F$4:$J$5,2,0)</f>
        <v>1</v>
      </c>
      <c r="V18" s="270" t="str">
        <f>INDEX([78]Listas!$F$6:$J$10,MATCH(Q18,[78]Listas!$D$6:$D$10,0),MATCH(R18,[78]Listas!$F$4:$J$4,0))</f>
        <v>1
INFERIOR</v>
      </c>
      <c r="W18" s="268"/>
      <c r="X18" s="1945" t="s">
        <v>1252</v>
      </c>
      <c r="Y18" s="1946"/>
      <c r="Z18" s="1947"/>
      <c r="AA18" s="1131" t="s">
        <v>4188</v>
      </c>
      <c r="AB18" s="382" t="s">
        <v>1239</v>
      </c>
      <c r="AC18" s="259"/>
      <c r="AD18" s="608">
        <v>58</v>
      </c>
      <c r="AE18" s="267" t="s">
        <v>152</v>
      </c>
      <c r="AF18" s="268"/>
      <c r="AG18" s="269">
        <f t="shared" si="0"/>
        <v>1</v>
      </c>
      <c r="AH18" s="271">
        <f t="shared" si="1"/>
        <v>0</v>
      </c>
      <c r="AI18" s="272" t="str">
        <f>IF(AH18&lt;=1,"Remota",VLOOKUP(AH18,[78]Listas!$C$6:$D$10,2,0))</f>
        <v>Remota</v>
      </c>
      <c r="AJ18" s="271">
        <f t="shared" si="2"/>
        <v>0</v>
      </c>
      <c r="AK18" s="272" t="str">
        <f>IF(AJ18&lt;=1,"Insignificante",HLOOKUP(AJ18,[78]Listas!$F$3:$J$4,2,0))</f>
        <v>Insignificante</v>
      </c>
      <c r="AL18" s="273">
        <f t="shared" si="3"/>
        <v>0</v>
      </c>
      <c r="AM18" s="270" t="str">
        <f>INDEX([78]Listas!$F$6:$J$10,MATCH(AI18,[78]Listas!$D$6:$D$10,0),MATCH(AK18,[78]Listas!$F$4:$J$4,0))</f>
        <v>1
INFERIOR</v>
      </c>
      <c r="AN18" s="1116" t="s">
        <v>3051</v>
      </c>
      <c r="AO18" s="384" t="s">
        <v>973</v>
      </c>
      <c r="AP18" s="692">
        <f t="shared" si="4"/>
        <v>1</v>
      </c>
      <c r="AQ18" s="384" t="s">
        <v>3443</v>
      </c>
      <c r="AR18" s="539" t="s">
        <v>3444</v>
      </c>
      <c r="AS18" s="608" t="s">
        <v>36</v>
      </c>
      <c r="AT18" s="693">
        <f t="shared" si="5"/>
        <v>1</v>
      </c>
      <c r="AU18" s="384" t="s">
        <v>3443</v>
      </c>
      <c r="AV18" s="539" t="s">
        <v>3444</v>
      </c>
      <c r="AW18" s="608" t="s">
        <v>36</v>
      </c>
      <c r="AX18" s="259"/>
      <c r="AY18" s="259"/>
      <c r="AZ18" s="261"/>
      <c r="BA18" s="261"/>
      <c r="BB18" s="608"/>
    </row>
    <row r="19" spans="1:54" s="260" customFormat="1" ht="103.5" hidden="1" customHeight="1">
      <c r="A19" s="608"/>
      <c r="B19" s="266"/>
      <c r="C19" s="1399"/>
      <c r="D19" s="1408"/>
      <c r="E19" s="1400"/>
      <c r="F19" s="267"/>
      <c r="G19" s="1399"/>
      <c r="H19" s="1408"/>
      <c r="I19" s="1400"/>
      <c r="J19" s="1380"/>
      <c r="K19" s="1380"/>
      <c r="L19" s="1380"/>
      <c r="M19" s="608"/>
      <c r="N19" s="608"/>
      <c r="O19" s="608"/>
      <c r="P19" s="608"/>
      <c r="Q19" s="266"/>
      <c r="R19" s="266"/>
      <c r="S19" s="268"/>
      <c r="T19" s="269" t="e">
        <f>VLOOKUP(Q19,[78]Listas!$D$6:$E$10,2,0)</f>
        <v>#N/A</v>
      </c>
      <c r="U19" s="269" t="e">
        <f>HLOOKUP(R19,[78]Listas!$F$4:$J$5,2,0)</f>
        <v>#N/A</v>
      </c>
      <c r="V19" s="270" t="e">
        <f>INDEX([78]Listas!$F$6:$J$10,MATCH(Q19,[78]Listas!$D$6:$D$10,0),MATCH(R19,[78]Listas!$F$4:$J$4,0))</f>
        <v>#N/A</v>
      </c>
      <c r="W19" s="268"/>
      <c r="X19" s="1399"/>
      <c r="Y19" s="1408"/>
      <c r="Z19" s="1400"/>
      <c r="AA19" s="1063"/>
      <c r="AB19" s="267"/>
      <c r="AC19" s="259"/>
      <c r="AD19" s="608"/>
      <c r="AE19" s="267"/>
      <c r="AF19" s="268"/>
      <c r="AG19" s="269">
        <f t="shared" si="0"/>
        <v>0</v>
      </c>
      <c r="AH19" s="271" t="e">
        <f t="shared" si="1"/>
        <v>#N/A</v>
      </c>
      <c r="AI19" s="272" t="e">
        <f>IF(AH19&lt;=1,"Remota",VLOOKUP(AH19,[78]Listas!$C$6:$D$10,2,0))</f>
        <v>#N/A</v>
      </c>
      <c r="AJ19" s="271" t="e">
        <f t="shared" si="2"/>
        <v>#N/A</v>
      </c>
      <c r="AK19" s="272" t="e">
        <f>IF(AJ19&lt;=1,"Insignificante",HLOOKUP(AJ19,[78]Listas!$F$3:$J$4,2,0))</f>
        <v>#N/A</v>
      </c>
      <c r="AL19" s="273" t="e">
        <f t="shared" si="3"/>
        <v>#N/A</v>
      </c>
      <c r="AM19" s="270" t="e">
        <f>INDEX([78]Listas!$F$6:$J$10,MATCH(AI19,[78]Listas!$D$6:$D$10,0),MATCH(AK19,[78]Listas!$F$4:$J$4,0))</f>
        <v>#N/A</v>
      </c>
      <c r="AN19" s="259"/>
      <c r="AO19" s="259"/>
      <c r="AP19" s="610"/>
      <c r="AQ19" s="259"/>
      <c r="AR19" s="259" t="s">
        <v>2343</v>
      </c>
      <c r="AS19" s="608"/>
      <c r="AT19" s="610"/>
      <c r="AU19" s="259"/>
      <c r="AV19" s="259" t="s">
        <v>2343</v>
      </c>
      <c r="AW19" s="608"/>
      <c r="AX19" s="259"/>
      <c r="AY19" s="259"/>
      <c r="AZ19" s="261"/>
      <c r="BA19" s="261"/>
      <c r="BB19" s="608"/>
    </row>
    <row r="20" spans="1:54" s="260" customFormat="1" ht="103.5" hidden="1" customHeight="1">
      <c r="A20" s="608"/>
      <c r="B20" s="266"/>
      <c r="C20" s="1399"/>
      <c r="D20" s="1408"/>
      <c r="E20" s="1400"/>
      <c r="F20" s="267"/>
      <c r="G20" s="1399"/>
      <c r="H20" s="1408"/>
      <c r="I20" s="1400"/>
      <c r="J20" s="1380"/>
      <c r="K20" s="1380"/>
      <c r="L20" s="1380"/>
      <c r="M20" s="608"/>
      <c r="N20" s="608"/>
      <c r="O20" s="608"/>
      <c r="P20" s="608"/>
      <c r="Q20" s="266"/>
      <c r="R20" s="266"/>
      <c r="S20" s="268"/>
      <c r="T20" s="269" t="e">
        <f>VLOOKUP(Q20,[78]Listas!$D$6:$E$10,2,0)</f>
        <v>#N/A</v>
      </c>
      <c r="U20" s="269" t="e">
        <f>HLOOKUP(R20,[78]Listas!$F$4:$J$5,2,0)</f>
        <v>#N/A</v>
      </c>
      <c r="V20" s="270" t="e">
        <f>INDEX([78]Listas!$F$6:$J$10,MATCH(Q20,[78]Listas!$D$6:$D$10,0),MATCH(R20,[78]Listas!$F$4:$J$4,0))</f>
        <v>#N/A</v>
      </c>
      <c r="W20" s="268"/>
      <c r="X20" s="1399"/>
      <c r="Y20" s="1408"/>
      <c r="Z20" s="1400"/>
      <c r="AA20" s="1063"/>
      <c r="AB20" s="267"/>
      <c r="AC20" s="259"/>
      <c r="AD20" s="608"/>
      <c r="AE20" s="267"/>
      <c r="AF20" s="268"/>
      <c r="AG20" s="269">
        <f t="shared" si="0"/>
        <v>0</v>
      </c>
      <c r="AH20" s="271" t="e">
        <f t="shared" si="1"/>
        <v>#N/A</v>
      </c>
      <c r="AI20" s="272" t="e">
        <f>IF(AH20&lt;=1,"Remota",VLOOKUP(AH20,[78]Listas!$C$6:$D$10,2,0))</f>
        <v>#N/A</v>
      </c>
      <c r="AJ20" s="271" t="e">
        <f t="shared" si="2"/>
        <v>#N/A</v>
      </c>
      <c r="AK20" s="272" t="e">
        <f>IF(AJ20&lt;=1,"Insignificante",HLOOKUP(AJ20,[78]Listas!$F$3:$J$4,2,0))</f>
        <v>#N/A</v>
      </c>
      <c r="AL20" s="273" t="e">
        <f t="shared" si="3"/>
        <v>#N/A</v>
      </c>
      <c r="AM20" s="270" t="e">
        <f>INDEX([78]Listas!$F$6:$J$10,MATCH(AI20,[78]Listas!$D$6:$D$10,0),MATCH(AK20,[78]Listas!$F$4:$J$4,0))</f>
        <v>#N/A</v>
      </c>
      <c r="AN20" s="259"/>
      <c r="AO20" s="259"/>
      <c r="AP20" s="610"/>
      <c r="AQ20" s="259"/>
      <c r="AR20" s="259" t="s">
        <v>2343</v>
      </c>
      <c r="AS20" s="608"/>
      <c r="AT20" s="610"/>
      <c r="AU20" s="259"/>
      <c r="AV20" s="259" t="s">
        <v>2343</v>
      </c>
      <c r="AW20" s="608"/>
      <c r="AX20" s="259"/>
      <c r="AY20" s="259"/>
      <c r="AZ20" s="261"/>
      <c r="BA20" s="261"/>
      <c r="BB20" s="608"/>
    </row>
    <row r="21" spans="1:54" s="260" customFormat="1" ht="103.5" hidden="1" customHeight="1">
      <c r="A21" s="608"/>
      <c r="B21" s="266"/>
      <c r="C21" s="1399"/>
      <c r="D21" s="1408"/>
      <c r="E21" s="1400"/>
      <c r="F21" s="267"/>
      <c r="G21" s="1399"/>
      <c r="H21" s="1408"/>
      <c r="I21" s="1400"/>
      <c r="J21" s="1380"/>
      <c r="K21" s="1380"/>
      <c r="L21" s="1380"/>
      <c r="M21" s="608"/>
      <c r="N21" s="608"/>
      <c r="O21" s="608"/>
      <c r="P21" s="608"/>
      <c r="Q21" s="266"/>
      <c r="R21" s="266"/>
      <c r="S21" s="268"/>
      <c r="T21" s="269" t="e">
        <f>VLOOKUP(Q21,[78]Listas!$D$6:$E$10,2,0)</f>
        <v>#N/A</v>
      </c>
      <c r="U21" s="269" t="e">
        <f>HLOOKUP(R21,[78]Listas!$F$4:$J$5,2,0)</f>
        <v>#N/A</v>
      </c>
      <c r="V21" s="270" t="e">
        <f>INDEX([78]Listas!$F$6:$J$10,MATCH(Q21,[78]Listas!$D$6:$D$10,0),MATCH(R21,[78]Listas!$F$4:$J$4,0))</f>
        <v>#N/A</v>
      </c>
      <c r="W21" s="268"/>
      <c r="X21" s="1399"/>
      <c r="Y21" s="1408"/>
      <c r="Z21" s="1400"/>
      <c r="AA21" s="1063"/>
      <c r="AB21" s="267"/>
      <c r="AC21" s="259"/>
      <c r="AD21" s="608"/>
      <c r="AE21" s="267"/>
      <c r="AF21" s="268"/>
      <c r="AG21" s="269">
        <f t="shared" si="0"/>
        <v>0</v>
      </c>
      <c r="AH21" s="271" t="e">
        <f t="shared" si="1"/>
        <v>#N/A</v>
      </c>
      <c r="AI21" s="272" t="e">
        <f>IF(AH21&lt;=1,"Remota",VLOOKUP(AH21,[78]Listas!$C$6:$D$10,2,0))</f>
        <v>#N/A</v>
      </c>
      <c r="AJ21" s="271" t="e">
        <f t="shared" si="2"/>
        <v>#N/A</v>
      </c>
      <c r="AK21" s="272" t="e">
        <f>IF(AJ21&lt;=1,"Insignificante",HLOOKUP(AJ21,[78]Listas!$F$3:$J$4,2,0))</f>
        <v>#N/A</v>
      </c>
      <c r="AL21" s="273" t="e">
        <f t="shared" si="3"/>
        <v>#N/A</v>
      </c>
      <c r="AM21" s="270" t="e">
        <f>INDEX([78]Listas!$F$6:$J$10,MATCH(AI21,[78]Listas!$D$6:$D$10,0),MATCH(AK21,[78]Listas!$F$4:$J$4,0))</f>
        <v>#N/A</v>
      </c>
      <c r="AN21" s="259"/>
      <c r="AO21" s="259"/>
      <c r="AP21" s="610"/>
      <c r="AQ21" s="259"/>
      <c r="AR21" s="259" t="s">
        <v>2343</v>
      </c>
      <c r="AS21" s="608"/>
      <c r="AT21" s="610"/>
      <c r="AU21" s="259"/>
      <c r="AV21" s="259" t="s">
        <v>2343</v>
      </c>
      <c r="AW21" s="608"/>
      <c r="AX21" s="259"/>
      <c r="AY21" s="259"/>
      <c r="AZ21" s="261"/>
      <c r="BA21" s="261"/>
      <c r="BB21" s="608"/>
    </row>
    <row r="22" spans="1:54" s="260" customFormat="1" ht="103.5" hidden="1" customHeight="1">
      <c r="A22" s="608"/>
      <c r="B22" s="266"/>
      <c r="C22" s="1399"/>
      <c r="D22" s="1408"/>
      <c r="E22" s="1400"/>
      <c r="F22" s="267"/>
      <c r="G22" s="1399"/>
      <c r="H22" s="1408"/>
      <c r="I22" s="1400"/>
      <c r="J22" s="1380"/>
      <c r="K22" s="1380"/>
      <c r="L22" s="1380"/>
      <c r="M22" s="608"/>
      <c r="N22" s="608"/>
      <c r="O22" s="608"/>
      <c r="P22" s="608"/>
      <c r="Q22" s="266"/>
      <c r="R22" s="266"/>
      <c r="S22" s="268"/>
      <c r="T22" s="269" t="e">
        <f>VLOOKUP(Q22,[78]Listas!$D$6:$E$10,2,0)</f>
        <v>#N/A</v>
      </c>
      <c r="U22" s="269" t="e">
        <f>HLOOKUP(R22,[78]Listas!$F$4:$J$5,2,0)</f>
        <v>#N/A</v>
      </c>
      <c r="V22" s="270" t="e">
        <f>INDEX([78]Listas!$F$6:$J$10,MATCH(Q22,[78]Listas!$D$6:$D$10,0),MATCH(R22,[78]Listas!$F$4:$J$4,0))</f>
        <v>#N/A</v>
      </c>
      <c r="W22" s="268"/>
      <c r="X22" s="1399"/>
      <c r="Y22" s="1408"/>
      <c r="Z22" s="1400"/>
      <c r="AA22" s="1063"/>
      <c r="AB22" s="267"/>
      <c r="AC22" s="259"/>
      <c r="AD22" s="608"/>
      <c r="AE22" s="267"/>
      <c r="AF22" s="268"/>
      <c r="AG22" s="269">
        <f t="shared" si="0"/>
        <v>0</v>
      </c>
      <c r="AH22" s="271" t="e">
        <f t="shared" si="1"/>
        <v>#N/A</v>
      </c>
      <c r="AI22" s="272" t="e">
        <f>IF(AH22&lt;=1,"Remota",VLOOKUP(AH22,[78]Listas!$C$6:$D$10,2,0))</f>
        <v>#N/A</v>
      </c>
      <c r="AJ22" s="271" t="e">
        <f t="shared" si="2"/>
        <v>#N/A</v>
      </c>
      <c r="AK22" s="272" t="e">
        <f>IF(AJ22&lt;=1,"Insignificante",HLOOKUP(AJ22,[78]Listas!$F$3:$J$4,2,0))</f>
        <v>#N/A</v>
      </c>
      <c r="AL22" s="273" t="e">
        <f t="shared" si="3"/>
        <v>#N/A</v>
      </c>
      <c r="AM22" s="270" t="e">
        <f>INDEX([78]Listas!$F$6:$J$10,MATCH(AI22,[78]Listas!$D$6:$D$10,0),MATCH(AK22,[78]Listas!$F$4:$J$4,0))</f>
        <v>#N/A</v>
      </c>
      <c r="AN22" s="259"/>
      <c r="AO22" s="259"/>
      <c r="AP22" s="610"/>
      <c r="AQ22" s="259"/>
      <c r="AR22" s="259" t="s">
        <v>2343</v>
      </c>
      <c r="AS22" s="608"/>
      <c r="AT22" s="610"/>
      <c r="AU22" s="259"/>
      <c r="AV22" s="259" t="s">
        <v>2343</v>
      </c>
      <c r="AW22" s="608"/>
      <c r="AX22" s="259"/>
      <c r="AY22" s="259"/>
      <c r="AZ22" s="261"/>
      <c r="BA22" s="261"/>
      <c r="BB22" s="608"/>
    </row>
    <row r="23" spans="1:54" s="260" customFormat="1" ht="103.5" hidden="1" customHeight="1">
      <c r="A23" s="608"/>
      <c r="B23" s="266"/>
      <c r="C23" s="1399"/>
      <c r="D23" s="1408"/>
      <c r="E23" s="1400"/>
      <c r="F23" s="267"/>
      <c r="G23" s="1399"/>
      <c r="H23" s="1408"/>
      <c r="I23" s="1400"/>
      <c r="J23" s="1380"/>
      <c r="K23" s="1380"/>
      <c r="L23" s="1380"/>
      <c r="M23" s="608"/>
      <c r="N23" s="608"/>
      <c r="O23" s="608"/>
      <c r="P23" s="608"/>
      <c r="Q23" s="266"/>
      <c r="R23" s="266"/>
      <c r="S23" s="268"/>
      <c r="T23" s="269" t="e">
        <f>VLOOKUP(Q23,[78]Listas!$D$6:$E$10,2,0)</f>
        <v>#N/A</v>
      </c>
      <c r="U23" s="269" t="e">
        <f>HLOOKUP(R23,[78]Listas!$F$4:$J$5,2,0)</f>
        <v>#N/A</v>
      </c>
      <c r="V23" s="270" t="e">
        <f>INDEX([78]Listas!$F$6:$J$10,MATCH(Q23,[78]Listas!$D$6:$D$10,0),MATCH(R23,[78]Listas!$F$4:$J$4,0))</f>
        <v>#N/A</v>
      </c>
      <c r="W23" s="268"/>
      <c r="X23" s="1399"/>
      <c r="Y23" s="1408"/>
      <c r="Z23" s="1400"/>
      <c r="AA23" s="1063"/>
      <c r="AB23" s="267"/>
      <c r="AC23" s="259"/>
      <c r="AD23" s="608"/>
      <c r="AE23" s="267"/>
      <c r="AF23" s="268"/>
      <c r="AG23" s="269">
        <f t="shared" si="0"/>
        <v>0</v>
      </c>
      <c r="AH23" s="271" t="e">
        <f t="shared" si="1"/>
        <v>#N/A</v>
      </c>
      <c r="AI23" s="272" t="e">
        <f>IF(AH23&lt;=1,"Remota",VLOOKUP(AH23,[78]Listas!$C$6:$D$10,2,0))</f>
        <v>#N/A</v>
      </c>
      <c r="AJ23" s="271" t="e">
        <f t="shared" si="2"/>
        <v>#N/A</v>
      </c>
      <c r="AK23" s="272" t="e">
        <f>IF(AJ23&lt;=1,"Insignificante",HLOOKUP(AJ23,[78]Listas!$F$3:$J$4,2,0))</f>
        <v>#N/A</v>
      </c>
      <c r="AL23" s="273" t="e">
        <f t="shared" si="3"/>
        <v>#N/A</v>
      </c>
      <c r="AM23" s="270" t="e">
        <f>INDEX([78]Listas!$F$6:$J$10,MATCH(AI23,[78]Listas!$D$6:$D$10,0),MATCH(AK23,[78]Listas!$F$4:$J$4,0))</f>
        <v>#N/A</v>
      </c>
      <c r="AN23" s="259"/>
      <c r="AO23" s="259"/>
      <c r="AP23" s="610"/>
      <c r="AQ23" s="259"/>
      <c r="AR23" s="259" t="s">
        <v>2343</v>
      </c>
      <c r="AS23" s="608"/>
      <c r="AT23" s="610"/>
      <c r="AU23" s="259"/>
      <c r="AV23" s="259" t="s">
        <v>2343</v>
      </c>
      <c r="AW23" s="608"/>
      <c r="AX23" s="259"/>
      <c r="AY23" s="259"/>
      <c r="AZ23" s="261"/>
      <c r="BA23" s="261"/>
      <c r="BB23" s="608"/>
    </row>
    <row r="24" spans="1:54" s="260" customFormat="1" ht="103.5" hidden="1" customHeight="1">
      <c r="A24" s="608"/>
      <c r="B24" s="266"/>
      <c r="C24" s="1399"/>
      <c r="D24" s="1408"/>
      <c r="E24" s="1400"/>
      <c r="F24" s="267"/>
      <c r="G24" s="1399"/>
      <c r="H24" s="1408"/>
      <c r="I24" s="1400"/>
      <c r="J24" s="1380"/>
      <c r="K24" s="1380"/>
      <c r="L24" s="1380"/>
      <c r="M24" s="608"/>
      <c r="N24" s="608"/>
      <c r="O24" s="608"/>
      <c r="P24" s="608"/>
      <c r="Q24" s="266"/>
      <c r="R24" s="266"/>
      <c r="S24" s="268"/>
      <c r="T24" s="269" t="e">
        <f>VLOOKUP(Q24,[78]Listas!$D$6:$E$10,2,0)</f>
        <v>#N/A</v>
      </c>
      <c r="U24" s="269" t="e">
        <f>HLOOKUP(R24,[78]Listas!$F$4:$J$5,2,0)</f>
        <v>#N/A</v>
      </c>
      <c r="V24" s="270" t="e">
        <f>INDEX([78]Listas!$F$6:$J$10,MATCH(Q24,[78]Listas!$D$6:$D$10,0),MATCH(R24,[78]Listas!$F$4:$J$4,0))</f>
        <v>#N/A</v>
      </c>
      <c r="W24" s="268"/>
      <c r="X24" s="1399"/>
      <c r="Y24" s="1408"/>
      <c r="Z24" s="1400"/>
      <c r="AA24" s="1063"/>
      <c r="AB24" s="267"/>
      <c r="AC24" s="259"/>
      <c r="AD24" s="608"/>
      <c r="AE24" s="267"/>
      <c r="AF24" s="268"/>
      <c r="AG24" s="269">
        <f t="shared" si="0"/>
        <v>0</v>
      </c>
      <c r="AH24" s="271" t="e">
        <f t="shared" si="1"/>
        <v>#N/A</v>
      </c>
      <c r="AI24" s="272" t="e">
        <f>IF(AH24&lt;=1,"Remota",VLOOKUP(AH24,[78]Listas!$C$6:$D$10,2,0))</f>
        <v>#N/A</v>
      </c>
      <c r="AJ24" s="271" t="e">
        <f t="shared" si="2"/>
        <v>#N/A</v>
      </c>
      <c r="AK24" s="272" t="e">
        <f>IF(AJ24&lt;=1,"Insignificante",HLOOKUP(AJ24,[78]Listas!$F$3:$J$4,2,0))</f>
        <v>#N/A</v>
      </c>
      <c r="AL24" s="273" t="e">
        <f t="shared" si="3"/>
        <v>#N/A</v>
      </c>
      <c r="AM24" s="270" t="e">
        <f>INDEX([78]Listas!$F$6:$J$10,MATCH(AI24,[78]Listas!$D$6:$D$10,0),MATCH(AK24,[78]Listas!$F$4:$J$4,0))</f>
        <v>#N/A</v>
      </c>
      <c r="AN24" s="259"/>
      <c r="AO24" s="259"/>
      <c r="AP24" s="610"/>
      <c r="AQ24" s="259"/>
      <c r="AR24" s="259" t="s">
        <v>2343</v>
      </c>
      <c r="AS24" s="608"/>
      <c r="AT24" s="610"/>
      <c r="AU24" s="259"/>
      <c r="AV24" s="259" t="s">
        <v>2343</v>
      </c>
      <c r="AW24" s="608"/>
      <c r="AX24" s="259"/>
      <c r="AY24" s="259"/>
      <c r="AZ24" s="261"/>
      <c r="BA24" s="261"/>
      <c r="BB24" s="608"/>
    </row>
    <row r="25" spans="1:54" s="260" customFormat="1" ht="103.5" hidden="1" customHeight="1">
      <c r="A25" s="608"/>
      <c r="B25" s="266"/>
      <c r="C25" s="1399"/>
      <c r="D25" s="1408"/>
      <c r="E25" s="1400"/>
      <c r="F25" s="267"/>
      <c r="G25" s="1399"/>
      <c r="H25" s="1408"/>
      <c r="I25" s="1400"/>
      <c r="J25" s="1380"/>
      <c r="K25" s="1380"/>
      <c r="L25" s="1380"/>
      <c r="M25" s="608"/>
      <c r="N25" s="608"/>
      <c r="O25" s="608"/>
      <c r="P25" s="608"/>
      <c r="Q25" s="266"/>
      <c r="R25" s="266"/>
      <c r="S25" s="268"/>
      <c r="T25" s="269" t="e">
        <f>VLOOKUP(Q25,[78]Listas!$D$6:$E$10,2,0)</f>
        <v>#N/A</v>
      </c>
      <c r="U25" s="269" t="e">
        <f>HLOOKUP(R25,[78]Listas!$F$4:$J$5,2,0)</f>
        <v>#N/A</v>
      </c>
      <c r="V25" s="270" t="e">
        <f>INDEX([78]Listas!$F$6:$J$10,MATCH(Q25,[78]Listas!$D$6:$D$10,0),MATCH(R25,[78]Listas!$F$4:$J$4,0))</f>
        <v>#N/A</v>
      </c>
      <c r="W25" s="268"/>
      <c r="X25" s="1399"/>
      <c r="Y25" s="1408"/>
      <c r="Z25" s="1400"/>
      <c r="AA25" s="1063"/>
      <c r="AB25" s="267"/>
      <c r="AC25" s="259"/>
      <c r="AD25" s="608"/>
      <c r="AE25" s="267"/>
      <c r="AF25" s="268"/>
      <c r="AG25" s="269">
        <f t="shared" si="0"/>
        <v>0</v>
      </c>
      <c r="AH25" s="271" t="e">
        <f t="shared" si="1"/>
        <v>#N/A</v>
      </c>
      <c r="AI25" s="272" t="e">
        <f>IF(AH25&lt;=1,"Remota",VLOOKUP(AH25,[78]Listas!$C$6:$D$10,2,0))</f>
        <v>#N/A</v>
      </c>
      <c r="AJ25" s="271" t="e">
        <f t="shared" si="2"/>
        <v>#N/A</v>
      </c>
      <c r="AK25" s="272" t="e">
        <f>IF(AJ25&lt;=1,"Insignificante",HLOOKUP(AJ25,[78]Listas!$F$3:$J$4,2,0))</f>
        <v>#N/A</v>
      </c>
      <c r="AL25" s="273" t="e">
        <f t="shared" si="3"/>
        <v>#N/A</v>
      </c>
      <c r="AM25" s="270" t="e">
        <f>INDEX([78]Listas!$F$6:$J$10,MATCH(AI25,[78]Listas!$D$6:$D$10,0),MATCH(AK25,[78]Listas!$F$4:$J$4,0))</f>
        <v>#N/A</v>
      </c>
      <c r="AN25" s="259"/>
      <c r="AO25" s="259"/>
      <c r="AP25" s="610"/>
      <c r="AQ25" s="259"/>
      <c r="AR25" s="259" t="s">
        <v>2343</v>
      </c>
      <c r="AS25" s="608"/>
      <c r="AT25" s="610"/>
      <c r="AU25" s="259"/>
      <c r="AV25" s="259" t="s">
        <v>2343</v>
      </c>
      <c r="AW25" s="608"/>
      <c r="AX25" s="259"/>
      <c r="AY25" s="259"/>
      <c r="AZ25" s="261"/>
      <c r="BA25" s="261"/>
      <c r="BB25" s="608"/>
    </row>
    <row r="26" spans="1:54" s="260" customFormat="1" ht="103.5" hidden="1" customHeight="1">
      <c r="A26" s="608"/>
      <c r="B26" s="266"/>
      <c r="C26" s="1399"/>
      <c r="D26" s="1408"/>
      <c r="E26" s="1400"/>
      <c r="F26" s="267"/>
      <c r="G26" s="1399"/>
      <c r="H26" s="1408"/>
      <c r="I26" s="1400"/>
      <c r="J26" s="1380"/>
      <c r="K26" s="1380"/>
      <c r="L26" s="1380"/>
      <c r="M26" s="608"/>
      <c r="N26" s="608"/>
      <c r="O26" s="608"/>
      <c r="P26" s="608"/>
      <c r="Q26" s="266"/>
      <c r="R26" s="266"/>
      <c r="S26" s="268"/>
      <c r="T26" s="269" t="e">
        <f>VLOOKUP(Q26,[78]Listas!$D$6:$E$10,2,0)</f>
        <v>#N/A</v>
      </c>
      <c r="U26" s="269" t="e">
        <f>HLOOKUP(R26,[78]Listas!$F$4:$J$5,2,0)</f>
        <v>#N/A</v>
      </c>
      <c r="V26" s="270" t="e">
        <f>INDEX([78]Listas!$F$6:$J$10,MATCH(Q26,[78]Listas!$D$6:$D$10,0),MATCH(R26,[78]Listas!$F$4:$J$4,0))</f>
        <v>#N/A</v>
      </c>
      <c r="W26" s="268"/>
      <c r="X26" s="1399"/>
      <c r="Y26" s="1408"/>
      <c r="Z26" s="1400"/>
      <c r="AA26" s="1063"/>
      <c r="AB26" s="267"/>
      <c r="AC26" s="259"/>
      <c r="AD26" s="608"/>
      <c r="AE26" s="267"/>
      <c r="AF26" s="268"/>
      <c r="AG26" s="269">
        <f t="shared" si="0"/>
        <v>0</v>
      </c>
      <c r="AH26" s="271" t="e">
        <f t="shared" si="1"/>
        <v>#N/A</v>
      </c>
      <c r="AI26" s="272" t="e">
        <f>IF(AH26&lt;=1,"Remota",VLOOKUP(AH26,[78]Listas!$C$6:$D$10,2,0))</f>
        <v>#N/A</v>
      </c>
      <c r="AJ26" s="271" t="e">
        <f t="shared" si="2"/>
        <v>#N/A</v>
      </c>
      <c r="AK26" s="272" t="e">
        <f>IF(AJ26&lt;=1,"Insignificante",HLOOKUP(AJ26,[78]Listas!$F$3:$J$4,2,0))</f>
        <v>#N/A</v>
      </c>
      <c r="AL26" s="273" t="e">
        <f t="shared" si="3"/>
        <v>#N/A</v>
      </c>
      <c r="AM26" s="270" t="e">
        <f>INDEX([78]Listas!$F$6:$J$10,MATCH(AI26,[78]Listas!$D$6:$D$10,0),MATCH(AK26,[78]Listas!$F$4:$J$4,0))</f>
        <v>#N/A</v>
      </c>
      <c r="AN26" s="259"/>
      <c r="AO26" s="259"/>
      <c r="AP26" s="610"/>
      <c r="AQ26" s="259"/>
      <c r="AR26" s="259" t="s">
        <v>2343</v>
      </c>
      <c r="AS26" s="608"/>
      <c r="AT26" s="610"/>
      <c r="AU26" s="259"/>
      <c r="AV26" s="259" t="s">
        <v>2343</v>
      </c>
      <c r="AW26" s="608"/>
      <c r="AX26" s="259"/>
      <c r="AY26" s="259"/>
      <c r="AZ26" s="261"/>
      <c r="BA26" s="261"/>
      <c r="BB26" s="608"/>
    </row>
    <row r="27" spans="1:54" s="260" customFormat="1" ht="103.5" hidden="1" customHeight="1">
      <c r="A27" s="608"/>
      <c r="B27" s="266"/>
      <c r="C27" s="1399"/>
      <c r="D27" s="1408"/>
      <c r="E27" s="1400"/>
      <c r="F27" s="267"/>
      <c r="G27" s="1399"/>
      <c r="H27" s="1408"/>
      <c r="I27" s="1400"/>
      <c r="J27" s="1380"/>
      <c r="K27" s="1380"/>
      <c r="L27" s="1380"/>
      <c r="M27" s="608"/>
      <c r="N27" s="608"/>
      <c r="O27" s="608"/>
      <c r="P27" s="608"/>
      <c r="Q27" s="266"/>
      <c r="R27" s="266"/>
      <c r="S27" s="268"/>
      <c r="T27" s="269" t="e">
        <f>VLOOKUP(Q27,[78]Listas!$D$6:$E$10,2,0)</f>
        <v>#N/A</v>
      </c>
      <c r="U27" s="269" t="e">
        <f>HLOOKUP(R27,[78]Listas!$F$4:$J$5,2,0)</f>
        <v>#N/A</v>
      </c>
      <c r="V27" s="270" t="e">
        <f>INDEX([78]Listas!$F$6:$J$10,MATCH(Q27,[78]Listas!$D$6:$D$10,0),MATCH(R27,[78]Listas!$F$4:$J$4,0))</f>
        <v>#N/A</v>
      </c>
      <c r="W27" s="268"/>
      <c r="X27" s="1399"/>
      <c r="Y27" s="1408"/>
      <c r="Z27" s="1400"/>
      <c r="AA27" s="1063"/>
      <c r="AB27" s="267"/>
      <c r="AC27" s="259"/>
      <c r="AD27" s="608"/>
      <c r="AE27" s="267"/>
      <c r="AF27" s="268"/>
      <c r="AG27" s="269">
        <f t="shared" si="0"/>
        <v>0</v>
      </c>
      <c r="AH27" s="271" t="e">
        <f t="shared" si="1"/>
        <v>#N/A</v>
      </c>
      <c r="AI27" s="272" t="e">
        <f>IF(AH27&lt;=1,"Remota",VLOOKUP(AH27,[78]Listas!$C$6:$D$10,2,0))</f>
        <v>#N/A</v>
      </c>
      <c r="AJ27" s="271" t="e">
        <f t="shared" si="2"/>
        <v>#N/A</v>
      </c>
      <c r="AK27" s="272" t="e">
        <f>IF(AJ27&lt;=1,"Insignificante",HLOOKUP(AJ27,[78]Listas!$F$3:$J$4,2,0))</f>
        <v>#N/A</v>
      </c>
      <c r="AL27" s="273" t="e">
        <f t="shared" si="3"/>
        <v>#N/A</v>
      </c>
      <c r="AM27" s="270" t="e">
        <f>INDEX([78]Listas!$F$6:$J$10,MATCH(AI27,[78]Listas!$D$6:$D$10,0),MATCH(AK27,[78]Listas!$F$4:$J$4,0))</f>
        <v>#N/A</v>
      </c>
      <c r="AN27" s="259"/>
      <c r="AO27" s="259"/>
      <c r="AP27" s="610"/>
      <c r="AQ27" s="259"/>
      <c r="AR27" s="259" t="s">
        <v>2343</v>
      </c>
      <c r="AS27" s="608"/>
      <c r="AT27" s="610"/>
      <c r="AU27" s="259"/>
      <c r="AV27" s="259" t="s">
        <v>2343</v>
      </c>
      <c r="AW27" s="608"/>
      <c r="AX27" s="259"/>
      <c r="AY27" s="259"/>
      <c r="AZ27" s="261"/>
      <c r="BA27" s="261"/>
      <c r="BB27" s="608"/>
    </row>
    <row r="28" spans="1:54" s="260" customFormat="1" ht="103.5" hidden="1" customHeight="1">
      <c r="A28" s="608"/>
      <c r="B28" s="266"/>
      <c r="C28" s="1399"/>
      <c r="D28" s="1408"/>
      <c r="E28" s="1400"/>
      <c r="F28" s="267"/>
      <c r="G28" s="1399"/>
      <c r="H28" s="1408"/>
      <c r="I28" s="1400"/>
      <c r="J28" s="1380"/>
      <c r="K28" s="1380"/>
      <c r="L28" s="1380"/>
      <c r="M28" s="608"/>
      <c r="N28" s="608"/>
      <c r="O28" s="608"/>
      <c r="P28" s="608"/>
      <c r="Q28" s="266"/>
      <c r="R28" s="266"/>
      <c r="S28" s="268"/>
      <c r="T28" s="269" t="e">
        <f>VLOOKUP(Q28,[78]Listas!$D$6:$E$10,2,0)</f>
        <v>#N/A</v>
      </c>
      <c r="U28" s="269" t="e">
        <f>HLOOKUP(R28,[78]Listas!$F$4:$J$5,2,0)</f>
        <v>#N/A</v>
      </c>
      <c r="V28" s="270" t="e">
        <f>INDEX([78]Listas!$F$6:$J$10,MATCH(Q28,[78]Listas!$D$6:$D$10,0),MATCH(R28,[78]Listas!$F$4:$J$4,0))</f>
        <v>#N/A</v>
      </c>
      <c r="W28" s="268"/>
      <c r="X28" s="1399"/>
      <c r="Y28" s="1408"/>
      <c r="Z28" s="1400"/>
      <c r="AA28" s="1063"/>
      <c r="AB28" s="267"/>
      <c r="AC28" s="259"/>
      <c r="AD28" s="608"/>
      <c r="AE28" s="267"/>
      <c r="AF28" s="268"/>
      <c r="AG28" s="269">
        <f t="shared" si="0"/>
        <v>0</v>
      </c>
      <c r="AH28" s="271" t="e">
        <f t="shared" si="1"/>
        <v>#N/A</v>
      </c>
      <c r="AI28" s="272" t="e">
        <f>IF(AH28&lt;=1,"Remota",VLOOKUP(AH28,[78]Listas!$C$6:$D$10,2,0))</f>
        <v>#N/A</v>
      </c>
      <c r="AJ28" s="271" t="e">
        <f t="shared" si="2"/>
        <v>#N/A</v>
      </c>
      <c r="AK28" s="272" t="e">
        <f>IF(AJ28&lt;=1,"Insignificante",HLOOKUP(AJ28,[78]Listas!$F$3:$J$4,2,0))</f>
        <v>#N/A</v>
      </c>
      <c r="AL28" s="273" t="e">
        <f t="shared" si="3"/>
        <v>#N/A</v>
      </c>
      <c r="AM28" s="270" t="e">
        <f>INDEX([78]Listas!$F$6:$J$10,MATCH(AI28,[78]Listas!$D$6:$D$10,0),MATCH(AK28,[78]Listas!$F$4:$J$4,0))</f>
        <v>#N/A</v>
      </c>
      <c r="AN28" s="259"/>
      <c r="AO28" s="259"/>
      <c r="AP28" s="610"/>
      <c r="AQ28" s="259"/>
      <c r="AR28" s="259" t="s">
        <v>2343</v>
      </c>
      <c r="AS28" s="608"/>
      <c r="AT28" s="610"/>
      <c r="AU28" s="259"/>
      <c r="AV28" s="259" t="s">
        <v>2343</v>
      </c>
      <c r="AW28" s="608"/>
      <c r="AX28" s="259"/>
      <c r="AY28" s="259"/>
      <c r="AZ28" s="261"/>
      <c r="BA28" s="261"/>
      <c r="BB28" s="608"/>
    </row>
    <row r="29" spans="1:54" s="260" customFormat="1" ht="103.5" hidden="1" customHeight="1">
      <c r="A29" s="608"/>
      <c r="B29" s="266"/>
      <c r="C29" s="1399"/>
      <c r="D29" s="1408"/>
      <c r="E29" s="1400"/>
      <c r="F29" s="267"/>
      <c r="G29" s="1399"/>
      <c r="H29" s="1408"/>
      <c r="I29" s="1400"/>
      <c r="J29" s="1380"/>
      <c r="K29" s="1380"/>
      <c r="L29" s="1380"/>
      <c r="M29" s="608"/>
      <c r="N29" s="608"/>
      <c r="O29" s="608"/>
      <c r="P29" s="608"/>
      <c r="Q29" s="266"/>
      <c r="R29" s="266"/>
      <c r="S29" s="268"/>
      <c r="T29" s="269" t="e">
        <f>VLOOKUP(Q29,[78]Listas!$D$6:$E$10,2,0)</f>
        <v>#N/A</v>
      </c>
      <c r="U29" s="269" t="e">
        <f>HLOOKUP(R29,[78]Listas!$F$4:$J$5,2,0)</f>
        <v>#N/A</v>
      </c>
      <c r="V29" s="270" t="e">
        <f>INDEX([78]Listas!$F$6:$J$10,MATCH(Q29,[78]Listas!$D$6:$D$10,0),MATCH(R29,[78]Listas!$F$4:$J$4,0))</f>
        <v>#N/A</v>
      </c>
      <c r="W29" s="268"/>
      <c r="X29" s="1399"/>
      <c r="Y29" s="1408"/>
      <c r="Z29" s="1400"/>
      <c r="AA29" s="1063"/>
      <c r="AB29" s="267"/>
      <c r="AC29" s="259"/>
      <c r="AD29" s="608"/>
      <c r="AE29" s="267"/>
      <c r="AF29" s="268"/>
      <c r="AG29" s="269">
        <f t="shared" si="0"/>
        <v>0</v>
      </c>
      <c r="AH29" s="271" t="e">
        <f t="shared" si="1"/>
        <v>#N/A</v>
      </c>
      <c r="AI29" s="272" t="e">
        <f>IF(AH29&lt;=1,"Remota",VLOOKUP(AH29,[78]Listas!$C$6:$D$10,2,0))</f>
        <v>#N/A</v>
      </c>
      <c r="AJ29" s="271" t="e">
        <f t="shared" si="2"/>
        <v>#N/A</v>
      </c>
      <c r="AK29" s="272" t="e">
        <f>IF(AJ29&lt;=1,"Insignificante",HLOOKUP(AJ29,[78]Listas!$F$3:$J$4,2,0))</f>
        <v>#N/A</v>
      </c>
      <c r="AL29" s="273" t="e">
        <f t="shared" si="3"/>
        <v>#N/A</v>
      </c>
      <c r="AM29" s="270" t="e">
        <f>INDEX([78]Listas!$F$6:$J$10,MATCH(AI29,[78]Listas!$D$6:$D$10,0),MATCH(AK29,[78]Listas!$F$4:$J$4,0))</f>
        <v>#N/A</v>
      </c>
      <c r="AN29" s="259"/>
      <c r="AO29" s="259"/>
      <c r="AP29" s="610"/>
      <c r="AQ29" s="259"/>
      <c r="AR29" s="259" t="s">
        <v>2343</v>
      </c>
      <c r="AS29" s="608"/>
      <c r="AT29" s="610"/>
      <c r="AU29" s="259"/>
      <c r="AV29" s="259" t="s">
        <v>2343</v>
      </c>
      <c r="AW29" s="608"/>
      <c r="AX29" s="259"/>
      <c r="AY29" s="259"/>
      <c r="AZ29" s="261"/>
      <c r="BA29" s="261"/>
      <c r="BB29" s="608"/>
    </row>
    <row r="30" spans="1:54" s="260" customFormat="1" ht="103.5" hidden="1" customHeight="1">
      <c r="A30" s="608"/>
      <c r="B30" s="266"/>
      <c r="C30" s="1399"/>
      <c r="D30" s="1408"/>
      <c r="E30" s="1400"/>
      <c r="F30" s="267"/>
      <c r="G30" s="1399"/>
      <c r="H30" s="1408"/>
      <c r="I30" s="1400"/>
      <c r="J30" s="1380"/>
      <c r="K30" s="1380"/>
      <c r="L30" s="1380"/>
      <c r="M30" s="608"/>
      <c r="N30" s="608"/>
      <c r="O30" s="608"/>
      <c r="P30" s="608"/>
      <c r="Q30" s="266"/>
      <c r="R30" s="266"/>
      <c r="S30" s="268"/>
      <c r="T30" s="269" t="e">
        <f>VLOOKUP(Q30,[78]Listas!$D$6:$E$10,2,0)</f>
        <v>#N/A</v>
      </c>
      <c r="U30" s="269" t="e">
        <f>HLOOKUP(R30,[78]Listas!$F$4:$J$5,2,0)</f>
        <v>#N/A</v>
      </c>
      <c r="V30" s="270" t="e">
        <f>INDEX([78]Listas!$F$6:$J$10,MATCH(Q30,[78]Listas!$D$6:$D$10,0),MATCH(R30,[78]Listas!$F$4:$J$4,0))</f>
        <v>#N/A</v>
      </c>
      <c r="W30" s="268"/>
      <c r="X30" s="1399"/>
      <c r="Y30" s="1408"/>
      <c r="Z30" s="1400"/>
      <c r="AA30" s="1063"/>
      <c r="AB30" s="267"/>
      <c r="AC30" s="259"/>
      <c r="AD30" s="608"/>
      <c r="AE30" s="267"/>
      <c r="AF30" s="268"/>
      <c r="AG30" s="269">
        <f t="shared" si="0"/>
        <v>0</v>
      </c>
      <c r="AH30" s="271" t="e">
        <f t="shared" si="1"/>
        <v>#N/A</v>
      </c>
      <c r="AI30" s="272" t="e">
        <f>IF(AH30&lt;=1,"Remota",VLOOKUP(AH30,[78]Listas!$C$6:$D$10,2,0))</f>
        <v>#N/A</v>
      </c>
      <c r="AJ30" s="271" t="e">
        <f t="shared" si="2"/>
        <v>#N/A</v>
      </c>
      <c r="AK30" s="272" t="e">
        <f>IF(AJ30&lt;=1,"Insignificante",HLOOKUP(AJ30,[78]Listas!$F$3:$J$4,2,0))</f>
        <v>#N/A</v>
      </c>
      <c r="AL30" s="273" t="e">
        <f t="shared" si="3"/>
        <v>#N/A</v>
      </c>
      <c r="AM30" s="270" t="e">
        <f>INDEX([78]Listas!$F$6:$J$10,MATCH(AI30,[78]Listas!$D$6:$D$10,0),MATCH(AK30,[78]Listas!$F$4:$J$4,0))</f>
        <v>#N/A</v>
      </c>
      <c r="AN30" s="259"/>
      <c r="AO30" s="259"/>
      <c r="AP30" s="610"/>
      <c r="AQ30" s="259"/>
      <c r="AR30" s="259" t="s">
        <v>2343</v>
      </c>
      <c r="AS30" s="608"/>
      <c r="AT30" s="610"/>
      <c r="AU30" s="259"/>
      <c r="AV30" s="259" t="s">
        <v>2343</v>
      </c>
      <c r="AW30" s="608"/>
      <c r="AX30" s="259"/>
      <c r="AY30" s="259"/>
      <c r="AZ30" s="261"/>
      <c r="BA30" s="261"/>
      <c r="BB30" s="608"/>
    </row>
    <row r="31" spans="1:54" s="260" customFormat="1" ht="103.5" hidden="1" customHeight="1">
      <c r="A31" s="608"/>
      <c r="B31" s="266"/>
      <c r="C31" s="1399"/>
      <c r="D31" s="1408"/>
      <c r="E31" s="1400"/>
      <c r="F31" s="267"/>
      <c r="G31" s="1399"/>
      <c r="H31" s="1408"/>
      <c r="I31" s="1400"/>
      <c r="J31" s="1380"/>
      <c r="K31" s="1380"/>
      <c r="L31" s="1380"/>
      <c r="M31" s="608"/>
      <c r="N31" s="608"/>
      <c r="O31" s="608"/>
      <c r="P31" s="608"/>
      <c r="Q31" s="266"/>
      <c r="R31" s="266"/>
      <c r="S31" s="268"/>
      <c r="T31" s="269" t="e">
        <f>VLOOKUP(Q31,[78]Listas!$D$6:$E$10,2,0)</f>
        <v>#N/A</v>
      </c>
      <c r="U31" s="269" t="e">
        <f>HLOOKUP(R31,[78]Listas!$F$4:$J$5,2,0)</f>
        <v>#N/A</v>
      </c>
      <c r="V31" s="270" t="e">
        <f>INDEX([78]Listas!$F$6:$J$10,MATCH(Q31,[78]Listas!$D$6:$D$10,0),MATCH(R31,[78]Listas!$F$4:$J$4,0))</f>
        <v>#N/A</v>
      </c>
      <c r="W31" s="268"/>
      <c r="X31" s="1399"/>
      <c r="Y31" s="1408"/>
      <c r="Z31" s="1400"/>
      <c r="AA31" s="1063"/>
      <c r="AB31" s="267"/>
      <c r="AC31" s="259"/>
      <c r="AD31" s="608"/>
      <c r="AE31" s="267"/>
      <c r="AF31" s="268"/>
      <c r="AG31" s="269">
        <f t="shared" si="0"/>
        <v>0</v>
      </c>
      <c r="AH31" s="271" t="e">
        <f t="shared" si="1"/>
        <v>#N/A</v>
      </c>
      <c r="AI31" s="272" t="e">
        <f>IF(AH31&lt;=1,"Remota",VLOOKUP(AH31,[78]Listas!$C$6:$D$10,2,0))</f>
        <v>#N/A</v>
      </c>
      <c r="AJ31" s="271" t="e">
        <f t="shared" si="2"/>
        <v>#N/A</v>
      </c>
      <c r="AK31" s="272" t="e">
        <f>IF(AJ31&lt;=1,"Insignificante",HLOOKUP(AJ31,[78]Listas!$F$3:$J$4,2,0))</f>
        <v>#N/A</v>
      </c>
      <c r="AL31" s="273" t="e">
        <f t="shared" si="3"/>
        <v>#N/A</v>
      </c>
      <c r="AM31" s="270" t="e">
        <f>INDEX([78]Listas!$F$6:$J$10,MATCH(AI31,[78]Listas!$D$6:$D$10,0),MATCH(AK31,[78]Listas!$F$4:$J$4,0))</f>
        <v>#N/A</v>
      </c>
      <c r="AN31" s="259"/>
      <c r="AO31" s="259"/>
      <c r="AP31" s="610"/>
      <c r="AQ31" s="259"/>
      <c r="AR31" s="259" t="s">
        <v>2343</v>
      </c>
      <c r="AS31" s="608"/>
      <c r="AT31" s="610"/>
      <c r="AU31" s="259"/>
      <c r="AV31" s="259" t="s">
        <v>2343</v>
      </c>
      <c r="AW31" s="608"/>
      <c r="AX31" s="259"/>
      <c r="AY31" s="259"/>
      <c r="AZ31" s="261"/>
      <c r="BA31" s="261"/>
      <c r="BB31" s="608"/>
    </row>
    <row r="32" spans="1:54" s="260" customFormat="1" ht="103.5" hidden="1" customHeight="1">
      <c r="A32" s="608"/>
      <c r="B32" s="266"/>
      <c r="C32" s="1399"/>
      <c r="D32" s="1408"/>
      <c r="E32" s="1400"/>
      <c r="F32" s="267"/>
      <c r="G32" s="1399"/>
      <c r="H32" s="1408"/>
      <c r="I32" s="1400"/>
      <c r="J32" s="1380"/>
      <c r="K32" s="1380"/>
      <c r="L32" s="1380"/>
      <c r="M32" s="608"/>
      <c r="N32" s="608"/>
      <c r="O32" s="608"/>
      <c r="P32" s="608"/>
      <c r="Q32" s="266"/>
      <c r="R32" s="266"/>
      <c r="S32" s="268"/>
      <c r="T32" s="269" t="e">
        <f>VLOOKUP(Q32,[78]Listas!$D$6:$E$10,2,0)</f>
        <v>#N/A</v>
      </c>
      <c r="U32" s="269" t="e">
        <f>HLOOKUP(R32,[78]Listas!$F$4:$J$5,2,0)</f>
        <v>#N/A</v>
      </c>
      <c r="V32" s="270" t="e">
        <f>INDEX([78]Listas!$F$6:$J$10,MATCH(Q32,[78]Listas!$D$6:$D$10,0),MATCH(R32,[78]Listas!$F$4:$J$4,0))</f>
        <v>#N/A</v>
      </c>
      <c r="W32" s="268"/>
      <c r="X32" s="1399"/>
      <c r="Y32" s="1408"/>
      <c r="Z32" s="1400"/>
      <c r="AA32" s="1063"/>
      <c r="AB32" s="267"/>
      <c r="AC32" s="259"/>
      <c r="AD32" s="608"/>
      <c r="AE32" s="267"/>
      <c r="AF32" s="268"/>
      <c r="AG32" s="269">
        <f t="shared" si="0"/>
        <v>0</v>
      </c>
      <c r="AH32" s="271" t="e">
        <f t="shared" si="1"/>
        <v>#N/A</v>
      </c>
      <c r="AI32" s="272" t="e">
        <f>IF(AH32&lt;=1,"Remota",VLOOKUP(AH32,[78]Listas!$C$6:$D$10,2,0))</f>
        <v>#N/A</v>
      </c>
      <c r="AJ32" s="271" t="e">
        <f t="shared" si="2"/>
        <v>#N/A</v>
      </c>
      <c r="AK32" s="272" t="e">
        <f>IF(AJ32&lt;=1,"Insignificante",HLOOKUP(AJ32,[78]Listas!$F$3:$J$4,2,0))</f>
        <v>#N/A</v>
      </c>
      <c r="AL32" s="273" t="e">
        <f t="shared" si="3"/>
        <v>#N/A</v>
      </c>
      <c r="AM32" s="270" t="e">
        <f>INDEX([78]Listas!$F$6:$J$10,MATCH(AI32,[78]Listas!$D$6:$D$10,0),MATCH(AK32,[78]Listas!$F$4:$J$4,0))</f>
        <v>#N/A</v>
      </c>
      <c r="AN32" s="259"/>
      <c r="AO32" s="259"/>
      <c r="AP32" s="610"/>
      <c r="AQ32" s="259"/>
      <c r="AR32" s="259" t="s">
        <v>2343</v>
      </c>
      <c r="AS32" s="608"/>
      <c r="AT32" s="610"/>
      <c r="AU32" s="259"/>
      <c r="AV32" s="259" t="s">
        <v>2343</v>
      </c>
      <c r="AW32" s="608"/>
      <c r="AX32" s="259"/>
      <c r="AY32" s="259"/>
      <c r="AZ32" s="261"/>
      <c r="BA32" s="261"/>
      <c r="BB32" s="608"/>
    </row>
    <row r="33" spans="1:54" s="260" customFormat="1" ht="103.5" hidden="1" customHeight="1">
      <c r="A33" s="608"/>
      <c r="B33" s="266"/>
      <c r="C33" s="1399"/>
      <c r="D33" s="1408"/>
      <c r="E33" s="1400"/>
      <c r="F33" s="267"/>
      <c r="G33" s="1399"/>
      <c r="H33" s="1408"/>
      <c r="I33" s="1400"/>
      <c r="J33" s="1380"/>
      <c r="K33" s="1380"/>
      <c r="L33" s="1380"/>
      <c r="M33" s="608"/>
      <c r="N33" s="608"/>
      <c r="O33" s="608"/>
      <c r="P33" s="608"/>
      <c r="Q33" s="266"/>
      <c r="R33" s="266"/>
      <c r="S33" s="268"/>
      <c r="T33" s="269" t="e">
        <f>VLOOKUP(Q33,[78]Listas!$D$6:$E$10,2,0)</f>
        <v>#N/A</v>
      </c>
      <c r="U33" s="269" t="e">
        <f>HLOOKUP(R33,[78]Listas!$F$4:$J$5,2,0)</f>
        <v>#N/A</v>
      </c>
      <c r="V33" s="270" t="e">
        <f>INDEX([78]Listas!$F$6:$J$10,MATCH(Q33,[78]Listas!$D$6:$D$10,0),MATCH(R33,[78]Listas!$F$4:$J$4,0))</f>
        <v>#N/A</v>
      </c>
      <c r="W33" s="268"/>
      <c r="X33" s="1399"/>
      <c r="Y33" s="1408"/>
      <c r="Z33" s="1400"/>
      <c r="AA33" s="1063"/>
      <c r="AB33" s="267"/>
      <c r="AC33" s="259"/>
      <c r="AD33" s="608"/>
      <c r="AE33" s="267"/>
      <c r="AF33" s="268"/>
      <c r="AG33" s="269">
        <f t="shared" si="0"/>
        <v>0</v>
      </c>
      <c r="AH33" s="271" t="e">
        <f t="shared" si="1"/>
        <v>#N/A</v>
      </c>
      <c r="AI33" s="272" t="e">
        <f>IF(AH33&lt;=1,"Remota",VLOOKUP(AH33,[78]Listas!$C$6:$D$10,2,0))</f>
        <v>#N/A</v>
      </c>
      <c r="AJ33" s="271" t="e">
        <f t="shared" si="2"/>
        <v>#N/A</v>
      </c>
      <c r="AK33" s="272" t="e">
        <f>IF(AJ33&lt;=1,"Insignificante",HLOOKUP(AJ33,[78]Listas!$F$3:$J$4,2,0))</f>
        <v>#N/A</v>
      </c>
      <c r="AL33" s="273" t="e">
        <f t="shared" si="3"/>
        <v>#N/A</v>
      </c>
      <c r="AM33" s="270" t="e">
        <f>INDEX([78]Listas!$F$6:$J$10,MATCH(AI33,[78]Listas!$D$6:$D$10,0),MATCH(AK33,[78]Listas!$F$4:$J$4,0))</f>
        <v>#N/A</v>
      </c>
      <c r="AN33" s="259"/>
      <c r="AO33" s="259"/>
      <c r="AP33" s="610"/>
      <c r="AQ33" s="259"/>
      <c r="AR33" s="259" t="s">
        <v>2343</v>
      </c>
      <c r="AS33" s="608"/>
      <c r="AT33" s="610"/>
      <c r="AU33" s="259"/>
      <c r="AV33" s="259" t="s">
        <v>2343</v>
      </c>
      <c r="AW33" s="608"/>
      <c r="AX33" s="259"/>
      <c r="AY33" s="259"/>
      <c r="AZ33" s="261"/>
      <c r="BA33" s="261"/>
      <c r="BB33" s="608"/>
    </row>
    <row r="34" spans="1:54" s="260" customFormat="1" ht="103.5" hidden="1" customHeight="1">
      <c r="A34" s="608"/>
      <c r="B34" s="266"/>
      <c r="C34" s="1399"/>
      <c r="D34" s="1408"/>
      <c r="E34" s="1400"/>
      <c r="F34" s="267"/>
      <c r="G34" s="1399"/>
      <c r="H34" s="1408"/>
      <c r="I34" s="1400"/>
      <c r="J34" s="1380"/>
      <c r="K34" s="1380"/>
      <c r="L34" s="1380"/>
      <c r="M34" s="608"/>
      <c r="N34" s="608"/>
      <c r="O34" s="608"/>
      <c r="P34" s="608"/>
      <c r="Q34" s="266"/>
      <c r="R34" s="266"/>
      <c r="S34" s="268"/>
      <c r="T34" s="269" t="e">
        <f>VLOOKUP(Q34,[78]Listas!$D$6:$E$10,2,0)</f>
        <v>#N/A</v>
      </c>
      <c r="U34" s="269" t="e">
        <f>HLOOKUP(R34,[78]Listas!$F$4:$J$5,2,0)</f>
        <v>#N/A</v>
      </c>
      <c r="V34" s="270" t="e">
        <f>INDEX([78]Listas!$F$6:$J$10,MATCH(Q34,[78]Listas!$D$6:$D$10,0),MATCH(R34,[78]Listas!$F$4:$J$4,0))</f>
        <v>#N/A</v>
      </c>
      <c r="W34" s="268"/>
      <c r="X34" s="1399"/>
      <c r="Y34" s="1408"/>
      <c r="Z34" s="1400"/>
      <c r="AA34" s="1063"/>
      <c r="AB34" s="267"/>
      <c r="AC34" s="259"/>
      <c r="AD34" s="608"/>
      <c r="AE34" s="267"/>
      <c r="AF34" s="268"/>
      <c r="AG34" s="269">
        <f t="shared" si="0"/>
        <v>0</v>
      </c>
      <c r="AH34" s="271" t="e">
        <f t="shared" si="1"/>
        <v>#N/A</v>
      </c>
      <c r="AI34" s="272" t="e">
        <f>IF(AH34&lt;=1,"Remota",VLOOKUP(AH34,[78]Listas!$C$6:$D$10,2,0))</f>
        <v>#N/A</v>
      </c>
      <c r="AJ34" s="271" t="e">
        <f t="shared" si="2"/>
        <v>#N/A</v>
      </c>
      <c r="AK34" s="272" t="e">
        <f>IF(AJ34&lt;=1,"Insignificante",HLOOKUP(AJ34,[78]Listas!$F$3:$J$4,2,0))</f>
        <v>#N/A</v>
      </c>
      <c r="AL34" s="273" t="e">
        <f t="shared" si="3"/>
        <v>#N/A</v>
      </c>
      <c r="AM34" s="270" t="e">
        <f>INDEX([78]Listas!$F$6:$J$10,MATCH(AI34,[78]Listas!$D$6:$D$10,0),MATCH(AK34,[78]Listas!$F$4:$J$4,0))</f>
        <v>#N/A</v>
      </c>
      <c r="AN34" s="259"/>
      <c r="AO34" s="259"/>
      <c r="AP34" s="610"/>
      <c r="AQ34" s="259"/>
      <c r="AR34" s="259" t="s">
        <v>2343</v>
      </c>
      <c r="AS34" s="608"/>
      <c r="AT34" s="610"/>
      <c r="AU34" s="259"/>
      <c r="AV34" s="259" t="s">
        <v>2343</v>
      </c>
      <c r="AW34" s="608"/>
      <c r="AX34" s="259"/>
      <c r="AY34" s="259"/>
      <c r="AZ34" s="261"/>
      <c r="BA34" s="261"/>
      <c r="BB34" s="608"/>
    </row>
    <row r="35" spans="1:54" s="260" customFormat="1" ht="103.5" hidden="1" customHeight="1">
      <c r="A35" s="608"/>
      <c r="B35" s="266"/>
      <c r="C35" s="1399"/>
      <c r="D35" s="1408"/>
      <c r="E35" s="1400"/>
      <c r="F35" s="267"/>
      <c r="G35" s="1399"/>
      <c r="H35" s="1408"/>
      <c r="I35" s="1400"/>
      <c r="J35" s="1380"/>
      <c r="K35" s="1380"/>
      <c r="L35" s="1380"/>
      <c r="M35" s="608"/>
      <c r="N35" s="608"/>
      <c r="O35" s="608"/>
      <c r="P35" s="608"/>
      <c r="Q35" s="266"/>
      <c r="R35" s="266"/>
      <c r="S35" s="268"/>
      <c r="T35" s="269" t="e">
        <f>VLOOKUP(Q35,[78]Listas!$D$6:$E$10,2,0)</f>
        <v>#N/A</v>
      </c>
      <c r="U35" s="269" t="e">
        <f>HLOOKUP(R35,[78]Listas!$F$4:$J$5,2,0)</f>
        <v>#N/A</v>
      </c>
      <c r="V35" s="270" t="e">
        <f>INDEX([78]Listas!$F$6:$J$10,MATCH(Q35,[78]Listas!$D$6:$D$10,0),MATCH(R35,[78]Listas!$F$4:$J$4,0))</f>
        <v>#N/A</v>
      </c>
      <c r="W35" s="268"/>
      <c r="X35" s="1399"/>
      <c r="Y35" s="1408"/>
      <c r="Z35" s="1400"/>
      <c r="AA35" s="1063"/>
      <c r="AB35" s="267"/>
      <c r="AC35" s="259"/>
      <c r="AD35" s="608"/>
      <c r="AE35" s="267"/>
      <c r="AF35" s="268"/>
      <c r="AG35" s="269">
        <f t="shared" si="0"/>
        <v>0</v>
      </c>
      <c r="AH35" s="271" t="e">
        <f t="shared" si="1"/>
        <v>#N/A</v>
      </c>
      <c r="AI35" s="272" t="e">
        <f>IF(AH35&lt;=1,"Remota",VLOOKUP(AH35,[78]Listas!$C$6:$D$10,2,0))</f>
        <v>#N/A</v>
      </c>
      <c r="AJ35" s="271" t="e">
        <f t="shared" si="2"/>
        <v>#N/A</v>
      </c>
      <c r="AK35" s="272" t="e">
        <f>IF(AJ35&lt;=1,"Insignificante",HLOOKUP(AJ35,[78]Listas!$F$3:$J$4,2,0))</f>
        <v>#N/A</v>
      </c>
      <c r="AL35" s="273" t="e">
        <f t="shared" si="3"/>
        <v>#N/A</v>
      </c>
      <c r="AM35" s="270" t="e">
        <f>INDEX([78]Listas!$F$6:$J$10,MATCH(AI35,[78]Listas!$D$6:$D$10,0),MATCH(AK35,[78]Listas!$F$4:$J$4,0))</f>
        <v>#N/A</v>
      </c>
      <c r="AN35" s="259"/>
      <c r="AO35" s="259"/>
      <c r="AP35" s="610"/>
      <c r="AQ35" s="259"/>
      <c r="AR35" s="259" t="s">
        <v>2343</v>
      </c>
      <c r="AS35" s="608"/>
      <c r="AT35" s="610"/>
      <c r="AU35" s="259"/>
      <c r="AV35" s="259" t="s">
        <v>2343</v>
      </c>
      <c r="AW35" s="608"/>
      <c r="AX35" s="259"/>
      <c r="AY35" s="259"/>
      <c r="AZ35" s="261"/>
      <c r="BA35" s="261"/>
      <c r="BB35" s="608"/>
    </row>
    <row r="36" spans="1:54" s="260" customFormat="1" ht="103.5" hidden="1" customHeight="1">
      <c r="A36" s="608"/>
      <c r="B36" s="266"/>
      <c r="C36" s="1399"/>
      <c r="D36" s="1408"/>
      <c r="E36" s="1400"/>
      <c r="F36" s="267"/>
      <c r="G36" s="1399"/>
      <c r="H36" s="1408"/>
      <c r="I36" s="1400"/>
      <c r="J36" s="1380"/>
      <c r="K36" s="1380"/>
      <c r="L36" s="1380"/>
      <c r="M36" s="608"/>
      <c r="N36" s="608"/>
      <c r="O36" s="608"/>
      <c r="P36" s="608"/>
      <c r="Q36" s="266"/>
      <c r="R36" s="266"/>
      <c r="S36" s="268"/>
      <c r="T36" s="269" t="e">
        <f>VLOOKUP(Q36,[78]Listas!$D$6:$E$10,2,0)</f>
        <v>#N/A</v>
      </c>
      <c r="U36" s="269" t="e">
        <f>HLOOKUP(R36,[78]Listas!$F$4:$J$5,2,0)</f>
        <v>#N/A</v>
      </c>
      <c r="V36" s="270" t="e">
        <f>INDEX([78]Listas!$F$6:$J$10,MATCH(Q36,[78]Listas!$D$6:$D$10,0),MATCH(R36,[78]Listas!$F$4:$J$4,0))</f>
        <v>#N/A</v>
      </c>
      <c r="W36" s="268"/>
      <c r="X36" s="1399"/>
      <c r="Y36" s="1408"/>
      <c r="Z36" s="1400"/>
      <c r="AA36" s="1063"/>
      <c r="AB36" s="267"/>
      <c r="AC36" s="259"/>
      <c r="AD36" s="608"/>
      <c r="AE36" s="267"/>
      <c r="AF36" s="268"/>
      <c r="AG36" s="269">
        <f t="shared" si="0"/>
        <v>0</v>
      </c>
      <c r="AH36" s="271" t="e">
        <f t="shared" si="1"/>
        <v>#N/A</v>
      </c>
      <c r="AI36" s="272" t="e">
        <f>IF(AH36&lt;=1,"Remota",VLOOKUP(AH36,[78]Listas!$C$6:$D$10,2,0))</f>
        <v>#N/A</v>
      </c>
      <c r="AJ36" s="271" t="e">
        <f t="shared" si="2"/>
        <v>#N/A</v>
      </c>
      <c r="AK36" s="272" t="e">
        <f>IF(AJ36&lt;=1,"Insignificante",HLOOKUP(AJ36,[78]Listas!$F$3:$J$4,2,0))</f>
        <v>#N/A</v>
      </c>
      <c r="AL36" s="273" t="e">
        <f t="shared" si="3"/>
        <v>#N/A</v>
      </c>
      <c r="AM36" s="270" t="e">
        <f>INDEX([78]Listas!$F$6:$J$10,MATCH(AI36,[78]Listas!$D$6:$D$10,0),MATCH(AK36,[78]Listas!$F$4:$J$4,0))</f>
        <v>#N/A</v>
      </c>
      <c r="AN36" s="259"/>
      <c r="AO36" s="259"/>
      <c r="AP36" s="610"/>
      <c r="AQ36" s="259"/>
      <c r="AR36" s="259" t="s">
        <v>2343</v>
      </c>
      <c r="AS36" s="608"/>
      <c r="AT36" s="610"/>
      <c r="AU36" s="259"/>
      <c r="AV36" s="259" t="s">
        <v>2343</v>
      </c>
      <c r="AW36" s="608"/>
      <c r="AX36" s="259"/>
      <c r="AY36" s="259"/>
      <c r="AZ36" s="261"/>
      <c r="BA36" s="261"/>
      <c r="BB36" s="608"/>
    </row>
    <row r="37" spans="1:54" s="260" customFormat="1" ht="103.5" hidden="1" customHeight="1">
      <c r="A37" s="608"/>
      <c r="B37" s="266"/>
      <c r="C37" s="1399"/>
      <c r="D37" s="1408"/>
      <c r="E37" s="1400"/>
      <c r="F37" s="267"/>
      <c r="G37" s="1399"/>
      <c r="H37" s="1408"/>
      <c r="I37" s="1400"/>
      <c r="J37" s="1380"/>
      <c r="K37" s="1380"/>
      <c r="L37" s="1380"/>
      <c r="M37" s="608"/>
      <c r="N37" s="608"/>
      <c r="O37" s="608"/>
      <c r="P37" s="608"/>
      <c r="Q37" s="266"/>
      <c r="R37" s="266"/>
      <c r="S37" s="268"/>
      <c r="T37" s="269" t="e">
        <f>VLOOKUP(Q37,[78]Listas!$D$6:$E$10,2,0)</f>
        <v>#N/A</v>
      </c>
      <c r="U37" s="269" t="e">
        <f>HLOOKUP(R37,[78]Listas!$F$4:$J$5,2,0)</f>
        <v>#N/A</v>
      </c>
      <c r="V37" s="270" t="e">
        <f>INDEX([78]Listas!$F$6:$J$10,MATCH(Q37,[78]Listas!$D$6:$D$10,0),MATCH(R37,[78]Listas!$F$4:$J$4,0))</f>
        <v>#N/A</v>
      </c>
      <c r="W37" s="268"/>
      <c r="X37" s="1399"/>
      <c r="Y37" s="1408"/>
      <c r="Z37" s="1400"/>
      <c r="AA37" s="1063"/>
      <c r="AB37" s="267"/>
      <c r="AC37" s="259"/>
      <c r="AD37" s="608"/>
      <c r="AE37" s="267"/>
      <c r="AF37" s="268"/>
      <c r="AG37" s="269">
        <f t="shared" si="0"/>
        <v>0</v>
      </c>
      <c r="AH37" s="271" t="e">
        <f t="shared" si="1"/>
        <v>#N/A</v>
      </c>
      <c r="AI37" s="272" t="e">
        <f>IF(AH37&lt;=1,"Remota",VLOOKUP(AH37,[78]Listas!$C$6:$D$10,2,0))</f>
        <v>#N/A</v>
      </c>
      <c r="AJ37" s="271" t="e">
        <f t="shared" si="2"/>
        <v>#N/A</v>
      </c>
      <c r="AK37" s="272" t="e">
        <f>IF(AJ37&lt;=1,"Insignificante",HLOOKUP(AJ37,[78]Listas!$F$3:$J$4,2,0))</f>
        <v>#N/A</v>
      </c>
      <c r="AL37" s="273" t="e">
        <f t="shared" si="3"/>
        <v>#N/A</v>
      </c>
      <c r="AM37" s="270" t="e">
        <f>INDEX([78]Listas!$F$6:$J$10,MATCH(AI37,[78]Listas!$D$6:$D$10,0),MATCH(AK37,[78]Listas!$F$4:$J$4,0))</f>
        <v>#N/A</v>
      </c>
      <c r="AN37" s="259"/>
      <c r="AO37" s="259"/>
      <c r="AP37" s="610"/>
      <c r="AQ37" s="259"/>
      <c r="AR37" s="259" t="s">
        <v>2343</v>
      </c>
      <c r="AS37" s="608"/>
      <c r="AT37" s="610"/>
      <c r="AU37" s="259"/>
      <c r="AV37" s="259" t="s">
        <v>2343</v>
      </c>
      <c r="AW37" s="608"/>
      <c r="AX37" s="259"/>
      <c r="AY37" s="259"/>
      <c r="AZ37" s="261"/>
      <c r="BA37" s="261"/>
      <c r="BB37" s="608"/>
    </row>
    <row r="38" spans="1:54" s="260" customFormat="1" ht="103.5" hidden="1" customHeight="1">
      <c r="A38" s="608"/>
      <c r="B38" s="266"/>
      <c r="C38" s="1399"/>
      <c r="D38" s="1408"/>
      <c r="E38" s="1400"/>
      <c r="F38" s="267"/>
      <c r="G38" s="1399"/>
      <c r="H38" s="1408"/>
      <c r="I38" s="1400"/>
      <c r="J38" s="1380"/>
      <c r="K38" s="1380"/>
      <c r="L38" s="1380"/>
      <c r="M38" s="608"/>
      <c r="N38" s="608"/>
      <c r="O38" s="608"/>
      <c r="P38" s="608"/>
      <c r="Q38" s="266"/>
      <c r="R38" s="266"/>
      <c r="S38" s="268"/>
      <c r="T38" s="269" t="e">
        <f>VLOOKUP(Q38,[78]Listas!$D$6:$E$10,2,0)</f>
        <v>#N/A</v>
      </c>
      <c r="U38" s="269" t="e">
        <f>HLOOKUP(R38,[78]Listas!$F$4:$J$5,2,0)</f>
        <v>#N/A</v>
      </c>
      <c r="V38" s="270" t="e">
        <f>INDEX([78]Listas!$F$6:$J$10,MATCH(Q38,[78]Listas!$D$6:$D$10,0),MATCH(R38,[78]Listas!$F$4:$J$4,0))</f>
        <v>#N/A</v>
      </c>
      <c r="W38" s="268"/>
      <c r="X38" s="1399"/>
      <c r="Y38" s="1408"/>
      <c r="Z38" s="1400"/>
      <c r="AA38" s="1063"/>
      <c r="AB38" s="267"/>
      <c r="AC38" s="259"/>
      <c r="AD38" s="608"/>
      <c r="AE38" s="267"/>
      <c r="AF38" s="268"/>
      <c r="AG38" s="269">
        <f t="shared" si="0"/>
        <v>0</v>
      </c>
      <c r="AH38" s="271" t="e">
        <f t="shared" si="1"/>
        <v>#N/A</v>
      </c>
      <c r="AI38" s="272" t="e">
        <f>IF(AH38&lt;=1,"Remota",VLOOKUP(AH38,[78]Listas!$C$6:$D$10,2,0))</f>
        <v>#N/A</v>
      </c>
      <c r="AJ38" s="271" t="e">
        <f t="shared" si="2"/>
        <v>#N/A</v>
      </c>
      <c r="AK38" s="272" t="e">
        <f>IF(AJ38&lt;=1,"Insignificante",HLOOKUP(AJ38,[78]Listas!$F$3:$J$4,2,0))</f>
        <v>#N/A</v>
      </c>
      <c r="AL38" s="273" t="e">
        <f t="shared" si="3"/>
        <v>#N/A</v>
      </c>
      <c r="AM38" s="270" t="e">
        <f>INDEX([78]Listas!$F$6:$J$10,MATCH(AI38,[78]Listas!$D$6:$D$10,0),MATCH(AK38,[78]Listas!$F$4:$J$4,0))</f>
        <v>#N/A</v>
      </c>
      <c r="AN38" s="259"/>
      <c r="AO38" s="259"/>
      <c r="AP38" s="610"/>
      <c r="AQ38" s="259"/>
      <c r="AR38" s="259" t="s">
        <v>2343</v>
      </c>
      <c r="AS38" s="608"/>
      <c r="AT38" s="610"/>
      <c r="AU38" s="259"/>
      <c r="AV38" s="259" t="s">
        <v>2343</v>
      </c>
      <c r="AW38" s="608"/>
      <c r="AX38" s="259"/>
      <c r="AY38" s="259"/>
      <c r="AZ38" s="261"/>
      <c r="BA38" s="261"/>
      <c r="BB38" s="608"/>
    </row>
    <row r="39" spans="1:54" s="260" customFormat="1" ht="103.5" hidden="1" customHeight="1">
      <c r="A39" s="608"/>
      <c r="B39" s="266"/>
      <c r="C39" s="1399"/>
      <c r="D39" s="1408"/>
      <c r="E39" s="1400"/>
      <c r="F39" s="267"/>
      <c r="G39" s="1399"/>
      <c r="H39" s="1408"/>
      <c r="I39" s="1400"/>
      <c r="J39" s="1380"/>
      <c r="K39" s="1380"/>
      <c r="L39" s="1380"/>
      <c r="M39" s="608"/>
      <c r="N39" s="608"/>
      <c r="O39" s="608"/>
      <c r="P39" s="608"/>
      <c r="Q39" s="266"/>
      <c r="R39" s="266"/>
      <c r="S39" s="268"/>
      <c r="T39" s="269" t="e">
        <f>VLOOKUP(Q39,[78]Listas!$D$6:$E$10,2,0)</f>
        <v>#N/A</v>
      </c>
      <c r="U39" s="269" t="e">
        <f>HLOOKUP(R39,[78]Listas!$F$4:$J$5,2,0)</f>
        <v>#N/A</v>
      </c>
      <c r="V39" s="270" t="e">
        <f>INDEX([78]Listas!$F$6:$J$10,MATCH(Q39,[78]Listas!$D$6:$D$10,0),MATCH(R39,[78]Listas!$F$4:$J$4,0))</f>
        <v>#N/A</v>
      </c>
      <c r="W39" s="268"/>
      <c r="X39" s="1399"/>
      <c r="Y39" s="1408"/>
      <c r="Z39" s="1400"/>
      <c r="AA39" s="1063"/>
      <c r="AB39" s="267"/>
      <c r="AC39" s="259"/>
      <c r="AD39" s="608"/>
      <c r="AE39" s="267"/>
      <c r="AF39" s="268"/>
      <c r="AG39" s="269">
        <f t="shared" si="0"/>
        <v>0</v>
      </c>
      <c r="AH39" s="271" t="e">
        <f t="shared" si="1"/>
        <v>#N/A</v>
      </c>
      <c r="AI39" s="272" t="e">
        <f>IF(AH39&lt;=1,"Remota",VLOOKUP(AH39,[78]Listas!$C$6:$D$10,2,0))</f>
        <v>#N/A</v>
      </c>
      <c r="AJ39" s="271" t="e">
        <f t="shared" si="2"/>
        <v>#N/A</v>
      </c>
      <c r="AK39" s="272" t="e">
        <f>IF(AJ39&lt;=1,"Insignificante",HLOOKUP(AJ39,[78]Listas!$F$3:$J$4,2,0))</f>
        <v>#N/A</v>
      </c>
      <c r="AL39" s="273" t="e">
        <f t="shared" si="3"/>
        <v>#N/A</v>
      </c>
      <c r="AM39" s="270" t="e">
        <f>INDEX([78]Listas!$F$6:$J$10,MATCH(AI39,[78]Listas!$D$6:$D$10,0),MATCH(AK39,[78]Listas!$F$4:$J$4,0))</f>
        <v>#N/A</v>
      </c>
      <c r="AN39" s="259"/>
      <c r="AO39" s="259"/>
      <c r="AP39" s="610"/>
      <c r="AQ39" s="259"/>
      <c r="AR39" s="259" t="s">
        <v>2343</v>
      </c>
      <c r="AS39" s="608"/>
      <c r="AT39" s="610"/>
      <c r="AU39" s="259"/>
      <c r="AV39" s="259" t="s">
        <v>2343</v>
      </c>
      <c r="AW39" s="608"/>
      <c r="AX39" s="259"/>
      <c r="AY39" s="259"/>
      <c r="AZ39" s="261"/>
      <c r="BA39" s="261"/>
      <c r="BB39" s="608"/>
    </row>
    <row r="40" spans="1:54" s="260" customFormat="1" ht="103.5" hidden="1" customHeight="1">
      <c r="A40" s="608"/>
      <c r="B40" s="266"/>
      <c r="C40" s="1399"/>
      <c r="D40" s="1408"/>
      <c r="E40" s="1400"/>
      <c r="F40" s="267"/>
      <c r="G40" s="1399"/>
      <c r="H40" s="1408"/>
      <c r="I40" s="1400"/>
      <c r="J40" s="1380"/>
      <c r="K40" s="1380"/>
      <c r="L40" s="1380"/>
      <c r="M40" s="608"/>
      <c r="N40" s="608"/>
      <c r="O40" s="608"/>
      <c r="P40" s="608"/>
      <c r="Q40" s="266"/>
      <c r="R40" s="266"/>
      <c r="S40" s="268"/>
      <c r="T40" s="269" t="e">
        <f>VLOOKUP(Q40,[78]Listas!$D$6:$E$10,2,0)</f>
        <v>#N/A</v>
      </c>
      <c r="U40" s="269" t="e">
        <f>HLOOKUP(R40,[78]Listas!$F$4:$J$5,2,0)</f>
        <v>#N/A</v>
      </c>
      <c r="V40" s="270" t="e">
        <f>INDEX([78]Listas!$F$6:$J$10,MATCH(Q40,[78]Listas!$D$6:$D$10,0),MATCH(R40,[78]Listas!$F$4:$J$4,0))</f>
        <v>#N/A</v>
      </c>
      <c r="W40" s="268"/>
      <c r="X40" s="1399"/>
      <c r="Y40" s="1408"/>
      <c r="Z40" s="1400"/>
      <c r="AA40" s="1063"/>
      <c r="AB40" s="267"/>
      <c r="AC40" s="259"/>
      <c r="AD40" s="608"/>
      <c r="AE40" s="267"/>
      <c r="AF40" s="268"/>
      <c r="AG40" s="269">
        <f t="shared" si="0"/>
        <v>0</v>
      </c>
      <c r="AH40" s="271" t="e">
        <f t="shared" si="1"/>
        <v>#N/A</v>
      </c>
      <c r="AI40" s="272" t="e">
        <f>IF(AH40&lt;=1,"Remota",VLOOKUP(AH40,[78]Listas!$C$6:$D$10,2,0))</f>
        <v>#N/A</v>
      </c>
      <c r="AJ40" s="271" t="e">
        <f t="shared" si="2"/>
        <v>#N/A</v>
      </c>
      <c r="AK40" s="272" t="e">
        <f>IF(AJ40&lt;=1,"Insignificante",HLOOKUP(AJ40,[78]Listas!$F$3:$J$4,2,0))</f>
        <v>#N/A</v>
      </c>
      <c r="AL40" s="273" t="e">
        <f t="shared" si="3"/>
        <v>#N/A</v>
      </c>
      <c r="AM40" s="270" t="e">
        <f>INDEX([78]Listas!$F$6:$J$10,MATCH(AI40,[78]Listas!$D$6:$D$10,0),MATCH(AK40,[78]Listas!$F$4:$J$4,0))</f>
        <v>#N/A</v>
      </c>
      <c r="AN40" s="259"/>
      <c r="AO40" s="259"/>
      <c r="AP40" s="610"/>
      <c r="AQ40" s="259"/>
      <c r="AR40" s="259" t="s">
        <v>2343</v>
      </c>
      <c r="AS40" s="608"/>
      <c r="AT40" s="610"/>
      <c r="AU40" s="259"/>
      <c r="AV40" s="259" t="s">
        <v>2343</v>
      </c>
      <c r="AW40" s="608"/>
      <c r="AX40" s="259"/>
      <c r="AY40" s="259"/>
      <c r="AZ40" s="261"/>
      <c r="BA40" s="261"/>
      <c r="BB40" s="608"/>
    </row>
    <row r="41" spans="1:54" s="260" customFormat="1" ht="103.5" hidden="1" customHeight="1">
      <c r="A41" s="608"/>
      <c r="B41" s="266"/>
      <c r="C41" s="1399"/>
      <c r="D41" s="1408"/>
      <c r="E41" s="1400"/>
      <c r="F41" s="267"/>
      <c r="G41" s="1399"/>
      <c r="H41" s="1408"/>
      <c r="I41" s="1400"/>
      <c r="J41" s="1380"/>
      <c r="K41" s="1380"/>
      <c r="L41" s="1380"/>
      <c r="M41" s="608"/>
      <c r="N41" s="608"/>
      <c r="O41" s="608"/>
      <c r="P41" s="608"/>
      <c r="Q41" s="266"/>
      <c r="R41" s="266"/>
      <c r="S41" s="268"/>
      <c r="T41" s="269" t="e">
        <f>VLOOKUP(Q41,[78]Listas!$D$6:$E$10,2,0)</f>
        <v>#N/A</v>
      </c>
      <c r="U41" s="269" t="e">
        <f>HLOOKUP(R41,[78]Listas!$F$4:$J$5,2,0)</f>
        <v>#N/A</v>
      </c>
      <c r="V41" s="270" t="e">
        <f>INDEX([78]Listas!$F$6:$J$10,MATCH(Q41,[78]Listas!$D$6:$D$10,0),MATCH(R41,[78]Listas!$F$4:$J$4,0))</f>
        <v>#N/A</v>
      </c>
      <c r="W41" s="268"/>
      <c r="X41" s="1399"/>
      <c r="Y41" s="1408"/>
      <c r="Z41" s="1400"/>
      <c r="AA41" s="1063"/>
      <c r="AB41" s="267"/>
      <c r="AC41" s="259"/>
      <c r="AD41" s="608"/>
      <c r="AE41" s="267"/>
      <c r="AF41" s="268"/>
      <c r="AG41" s="269">
        <f t="shared" si="0"/>
        <v>0</v>
      </c>
      <c r="AH41" s="271" t="e">
        <f t="shared" si="1"/>
        <v>#N/A</v>
      </c>
      <c r="AI41" s="272" t="e">
        <f>IF(AH41&lt;=1,"Remota",VLOOKUP(AH41,[78]Listas!$C$6:$D$10,2,0))</f>
        <v>#N/A</v>
      </c>
      <c r="AJ41" s="271" t="e">
        <f t="shared" si="2"/>
        <v>#N/A</v>
      </c>
      <c r="AK41" s="272" t="e">
        <f>IF(AJ41&lt;=1,"Insignificante",HLOOKUP(AJ41,[78]Listas!$F$3:$J$4,2,0))</f>
        <v>#N/A</v>
      </c>
      <c r="AL41" s="273" t="e">
        <f t="shared" si="3"/>
        <v>#N/A</v>
      </c>
      <c r="AM41" s="270" t="e">
        <f>INDEX([78]Listas!$F$6:$J$10,MATCH(AI41,[78]Listas!$D$6:$D$10,0),MATCH(AK41,[78]Listas!$F$4:$J$4,0))</f>
        <v>#N/A</v>
      </c>
      <c r="AN41" s="259"/>
      <c r="AO41" s="259"/>
      <c r="AP41" s="610"/>
      <c r="AQ41" s="259"/>
      <c r="AR41" s="259" t="s">
        <v>2343</v>
      </c>
      <c r="AS41" s="608"/>
      <c r="AT41" s="610"/>
      <c r="AU41" s="259"/>
      <c r="AV41" s="259" t="s">
        <v>2343</v>
      </c>
      <c r="AW41" s="608"/>
      <c r="AX41" s="259"/>
      <c r="AY41" s="259"/>
      <c r="AZ41" s="261"/>
      <c r="BA41" s="261"/>
      <c r="BB41" s="608"/>
    </row>
    <row r="42" spans="1:54" s="260" customFormat="1" ht="103.5" hidden="1" customHeight="1">
      <c r="A42" s="608"/>
      <c r="B42" s="266"/>
      <c r="C42" s="1399"/>
      <c r="D42" s="1408"/>
      <c r="E42" s="1400"/>
      <c r="F42" s="267"/>
      <c r="G42" s="1399"/>
      <c r="H42" s="1408"/>
      <c r="I42" s="1400"/>
      <c r="J42" s="1380"/>
      <c r="K42" s="1380"/>
      <c r="L42" s="1380"/>
      <c r="M42" s="608"/>
      <c r="N42" s="608"/>
      <c r="O42" s="608"/>
      <c r="P42" s="608"/>
      <c r="Q42" s="266"/>
      <c r="R42" s="266"/>
      <c r="S42" s="268"/>
      <c r="T42" s="269" t="e">
        <f>VLOOKUP(Q42,[78]Listas!$D$6:$E$10,2,0)</f>
        <v>#N/A</v>
      </c>
      <c r="U42" s="269" t="e">
        <f>HLOOKUP(R42,[78]Listas!$F$4:$J$5,2,0)</f>
        <v>#N/A</v>
      </c>
      <c r="V42" s="270" t="e">
        <f>INDEX([78]Listas!$F$6:$J$10,MATCH(Q42,[78]Listas!$D$6:$D$10,0),MATCH(R42,[78]Listas!$F$4:$J$4,0))</f>
        <v>#N/A</v>
      </c>
      <c r="W42" s="268"/>
      <c r="X42" s="1399"/>
      <c r="Y42" s="1408"/>
      <c r="Z42" s="1400"/>
      <c r="AA42" s="1063"/>
      <c r="AB42" s="267"/>
      <c r="AC42" s="259"/>
      <c r="AD42" s="608"/>
      <c r="AE42" s="267"/>
      <c r="AF42" s="268"/>
      <c r="AG42" s="269">
        <f t="shared" si="0"/>
        <v>0</v>
      </c>
      <c r="AH42" s="271" t="e">
        <f t="shared" si="1"/>
        <v>#N/A</v>
      </c>
      <c r="AI42" s="272" t="e">
        <f>IF(AH42&lt;=1,"Remota",VLOOKUP(AH42,[78]Listas!$C$6:$D$10,2,0))</f>
        <v>#N/A</v>
      </c>
      <c r="AJ42" s="271" t="e">
        <f t="shared" si="2"/>
        <v>#N/A</v>
      </c>
      <c r="AK42" s="272" t="e">
        <f>IF(AJ42&lt;=1,"Insignificante",HLOOKUP(AJ42,[78]Listas!$F$3:$J$4,2,0))</f>
        <v>#N/A</v>
      </c>
      <c r="AL42" s="273" t="e">
        <f t="shared" si="3"/>
        <v>#N/A</v>
      </c>
      <c r="AM42" s="270" t="e">
        <f>INDEX([78]Listas!$F$6:$J$10,MATCH(AI42,[78]Listas!$D$6:$D$10,0),MATCH(AK42,[78]Listas!$F$4:$J$4,0))</f>
        <v>#N/A</v>
      </c>
      <c r="AN42" s="259"/>
      <c r="AO42" s="259"/>
      <c r="AP42" s="610"/>
      <c r="AQ42" s="259"/>
      <c r="AR42" s="259" t="s">
        <v>2343</v>
      </c>
      <c r="AS42" s="608"/>
      <c r="AT42" s="610"/>
      <c r="AU42" s="259"/>
      <c r="AV42" s="259" t="s">
        <v>2343</v>
      </c>
      <c r="AW42" s="608"/>
      <c r="AX42" s="259"/>
      <c r="AY42" s="259"/>
      <c r="AZ42" s="261"/>
      <c r="BA42" s="261"/>
      <c r="BB42" s="608"/>
    </row>
    <row r="43" spans="1:54" s="260" customFormat="1" ht="103.5" hidden="1" customHeight="1">
      <c r="A43" s="608"/>
      <c r="B43" s="266"/>
      <c r="C43" s="1399"/>
      <c r="D43" s="1408"/>
      <c r="E43" s="1400"/>
      <c r="F43" s="267"/>
      <c r="G43" s="1399"/>
      <c r="H43" s="1408"/>
      <c r="I43" s="1400"/>
      <c r="J43" s="1380"/>
      <c r="K43" s="1380"/>
      <c r="L43" s="1380"/>
      <c r="M43" s="608"/>
      <c r="N43" s="608"/>
      <c r="O43" s="608"/>
      <c r="P43" s="608"/>
      <c r="Q43" s="266"/>
      <c r="R43" s="266"/>
      <c r="S43" s="268"/>
      <c r="T43" s="269" t="e">
        <f>VLOOKUP(Q43,[78]Listas!$D$6:$E$10,2,0)</f>
        <v>#N/A</v>
      </c>
      <c r="U43" s="269" t="e">
        <f>HLOOKUP(R43,[78]Listas!$F$4:$J$5,2,0)</f>
        <v>#N/A</v>
      </c>
      <c r="V43" s="270" t="e">
        <f>INDEX([78]Listas!$F$6:$J$10,MATCH(Q43,[78]Listas!$D$6:$D$10,0),MATCH(R43,[78]Listas!$F$4:$J$4,0))</f>
        <v>#N/A</v>
      </c>
      <c r="W43" s="268"/>
      <c r="X43" s="1399"/>
      <c r="Y43" s="1408"/>
      <c r="Z43" s="1400"/>
      <c r="AA43" s="1063"/>
      <c r="AB43" s="267"/>
      <c r="AC43" s="259"/>
      <c r="AD43" s="608"/>
      <c r="AE43" s="267"/>
      <c r="AF43" s="268"/>
      <c r="AG43" s="269">
        <f t="shared" si="0"/>
        <v>0</v>
      </c>
      <c r="AH43" s="271" t="e">
        <f t="shared" si="1"/>
        <v>#N/A</v>
      </c>
      <c r="AI43" s="272" t="e">
        <f>IF(AH43&lt;=1,"Remota",VLOOKUP(AH43,[78]Listas!$C$6:$D$10,2,0))</f>
        <v>#N/A</v>
      </c>
      <c r="AJ43" s="271" t="e">
        <f t="shared" si="2"/>
        <v>#N/A</v>
      </c>
      <c r="AK43" s="272" t="e">
        <f>IF(AJ43&lt;=1,"Insignificante",HLOOKUP(AJ43,[78]Listas!$F$3:$J$4,2,0))</f>
        <v>#N/A</v>
      </c>
      <c r="AL43" s="273" t="e">
        <f t="shared" si="3"/>
        <v>#N/A</v>
      </c>
      <c r="AM43" s="270" t="e">
        <f>INDEX([78]Listas!$F$6:$J$10,MATCH(AI43,[78]Listas!$D$6:$D$10,0),MATCH(AK43,[78]Listas!$F$4:$J$4,0))</f>
        <v>#N/A</v>
      </c>
      <c r="AN43" s="259"/>
      <c r="AO43" s="259"/>
      <c r="AP43" s="610"/>
      <c r="AQ43" s="259"/>
      <c r="AR43" s="259" t="s">
        <v>2343</v>
      </c>
      <c r="AS43" s="608"/>
      <c r="AT43" s="610"/>
      <c r="AU43" s="259"/>
      <c r="AV43" s="259" t="s">
        <v>2343</v>
      </c>
      <c r="AW43" s="608"/>
      <c r="AX43" s="259"/>
      <c r="AY43" s="259"/>
      <c r="AZ43" s="261"/>
      <c r="BA43" s="261"/>
      <c r="BB43" s="608"/>
    </row>
    <row r="44" spans="1:54" s="260" customFormat="1" ht="103.5" hidden="1" customHeight="1">
      <c r="A44" s="608"/>
      <c r="B44" s="266"/>
      <c r="C44" s="1399"/>
      <c r="D44" s="1408"/>
      <c r="E44" s="1400"/>
      <c r="F44" s="267"/>
      <c r="G44" s="1399"/>
      <c r="H44" s="1408"/>
      <c r="I44" s="1400"/>
      <c r="J44" s="1380"/>
      <c r="K44" s="1380"/>
      <c r="L44" s="1380"/>
      <c r="M44" s="608"/>
      <c r="N44" s="608"/>
      <c r="O44" s="608"/>
      <c r="P44" s="608"/>
      <c r="Q44" s="266"/>
      <c r="R44" s="266"/>
      <c r="S44" s="268"/>
      <c r="T44" s="269" t="e">
        <f>VLOOKUP(Q44,[78]Listas!$D$6:$E$10,2,0)</f>
        <v>#N/A</v>
      </c>
      <c r="U44" s="269" t="e">
        <f>HLOOKUP(R44,[78]Listas!$F$4:$J$5,2,0)</f>
        <v>#N/A</v>
      </c>
      <c r="V44" s="270" t="e">
        <f>INDEX([78]Listas!$F$6:$J$10,MATCH(Q44,[78]Listas!$D$6:$D$10,0),MATCH(R44,[78]Listas!$F$4:$J$4,0))</f>
        <v>#N/A</v>
      </c>
      <c r="W44" s="268"/>
      <c r="X44" s="1399"/>
      <c r="Y44" s="1408"/>
      <c r="Z44" s="1400"/>
      <c r="AA44" s="1063"/>
      <c r="AB44" s="267"/>
      <c r="AC44" s="259"/>
      <c r="AD44" s="608"/>
      <c r="AE44" s="267"/>
      <c r="AF44" s="268"/>
      <c r="AG44" s="269">
        <f t="shared" si="0"/>
        <v>0</v>
      </c>
      <c r="AH44" s="271" t="e">
        <f t="shared" si="1"/>
        <v>#N/A</v>
      </c>
      <c r="AI44" s="272" t="e">
        <f>IF(AH44&lt;=1,"Remota",VLOOKUP(AH44,[78]Listas!$C$6:$D$10,2,0))</f>
        <v>#N/A</v>
      </c>
      <c r="AJ44" s="271" t="e">
        <f t="shared" si="2"/>
        <v>#N/A</v>
      </c>
      <c r="AK44" s="272" t="e">
        <f>IF(AJ44&lt;=1,"Insignificante",HLOOKUP(AJ44,[78]Listas!$F$3:$J$4,2,0))</f>
        <v>#N/A</v>
      </c>
      <c r="AL44" s="273" t="e">
        <f t="shared" si="3"/>
        <v>#N/A</v>
      </c>
      <c r="AM44" s="270" t="e">
        <f>INDEX([78]Listas!$F$6:$J$10,MATCH(AI44,[78]Listas!$D$6:$D$10,0),MATCH(AK44,[78]Listas!$F$4:$J$4,0))</f>
        <v>#N/A</v>
      </c>
      <c r="AN44" s="259"/>
      <c r="AO44" s="259"/>
      <c r="AP44" s="610"/>
      <c r="AQ44" s="259"/>
      <c r="AR44" s="259" t="s">
        <v>2343</v>
      </c>
      <c r="AS44" s="608"/>
      <c r="AT44" s="610"/>
      <c r="AU44" s="259"/>
      <c r="AV44" s="259" t="s">
        <v>2343</v>
      </c>
      <c r="AW44" s="608"/>
      <c r="AX44" s="259"/>
      <c r="AY44" s="259"/>
      <c r="AZ44" s="261"/>
      <c r="BA44" s="261"/>
      <c r="BB44" s="608"/>
    </row>
    <row r="45" spans="1:54" s="260" customFormat="1" ht="103.5" hidden="1" customHeight="1">
      <c r="A45" s="608"/>
      <c r="B45" s="266"/>
      <c r="C45" s="1399"/>
      <c r="D45" s="1408"/>
      <c r="E45" s="1400"/>
      <c r="F45" s="267"/>
      <c r="G45" s="1399"/>
      <c r="H45" s="1408"/>
      <c r="I45" s="1400"/>
      <c r="J45" s="1380"/>
      <c r="K45" s="1380"/>
      <c r="L45" s="1380"/>
      <c r="M45" s="608"/>
      <c r="N45" s="608"/>
      <c r="O45" s="608"/>
      <c r="P45" s="608"/>
      <c r="Q45" s="266"/>
      <c r="R45" s="266"/>
      <c r="S45" s="268"/>
      <c r="T45" s="269" t="e">
        <f>VLOOKUP(Q45,[78]Listas!$D$6:$E$10,2,0)</f>
        <v>#N/A</v>
      </c>
      <c r="U45" s="269" t="e">
        <f>HLOOKUP(R45,[78]Listas!$F$4:$J$5,2,0)</f>
        <v>#N/A</v>
      </c>
      <c r="V45" s="270" t="e">
        <f>INDEX([78]Listas!$F$6:$J$10,MATCH(Q45,[78]Listas!$D$6:$D$10,0),MATCH(R45,[78]Listas!$F$4:$J$4,0))</f>
        <v>#N/A</v>
      </c>
      <c r="W45" s="268"/>
      <c r="X45" s="1399"/>
      <c r="Y45" s="1408"/>
      <c r="Z45" s="1400"/>
      <c r="AA45" s="1063"/>
      <c r="AB45" s="267"/>
      <c r="AC45" s="259"/>
      <c r="AD45" s="608"/>
      <c r="AE45" s="267"/>
      <c r="AF45" s="268"/>
      <c r="AG45" s="269">
        <f t="shared" si="0"/>
        <v>0</v>
      </c>
      <c r="AH45" s="271" t="e">
        <f t="shared" si="1"/>
        <v>#N/A</v>
      </c>
      <c r="AI45" s="272" t="e">
        <f>IF(AH45&lt;=1,"Remota",VLOOKUP(AH45,[78]Listas!$C$6:$D$10,2,0))</f>
        <v>#N/A</v>
      </c>
      <c r="AJ45" s="271" t="e">
        <f t="shared" si="2"/>
        <v>#N/A</v>
      </c>
      <c r="AK45" s="272" t="e">
        <f>IF(AJ45&lt;=1,"Insignificante",HLOOKUP(AJ45,[78]Listas!$F$3:$J$4,2,0))</f>
        <v>#N/A</v>
      </c>
      <c r="AL45" s="273" t="e">
        <f t="shared" si="3"/>
        <v>#N/A</v>
      </c>
      <c r="AM45" s="270" t="e">
        <f>INDEX([78]Listas!$F$6:$J$10,MATCH(AI45,[78]Listas!$D$6:$D$10,0),MATCH(AK45,[78]Listas!$F$4:$J$4,0))</f>
        <v>#N/A</v>
      </c>
      <c r="AN45" s="259"/>
      <c r="AO45" s="259"/>
      <c r="AP45" s="610"/>
      <c r="AQ45" s="259"/>
      <c r="AR45" s="259" t="s">
        <v>2343</v>
      </c>
      <c r="AS45" s="608"/>
      <c r="AT45" s="610"/>
      <c r="AU45" s="259"/>
      <c r="AV45" s="259" t="s">
        <v>2343</v>
      </c>
      <c r="AW45" s="608"/>
      <c r="AX45" s="259"/>
      <c r="AY45" s="259"/>
      <c r="AZ45" s="261"/>
      <c r="BA45" s="261"/>
      <c r="BB45" s="608"/>
    </row>
    <row r="46" spans="1:54" s="260" customFormat="1" ht="103.5" hidden="1" customHeight="1">
      <c r="A46" s="608"/>
      <c r="B46" s="266"/>
      <c r="C46" s="1399"/>
      <c r="D46" s="1408"/>
      <c r="E46" s="1400"/>
      <c r="F46" s="267"/>
      <c r="G46" s="1399"/>
      <c r="H46" s="1408"/>
      <c r="I46" s="1400"/>
      <c r="J46" s="1380"/>
      <c r="K46" s="1380"/>
      <c r="L46" s="1380"/>
      <c r="M46" s="608"/>
      <c r="N46" s="608"/>
      <c r="O46" s="608"/>
      <c r="P46" s="608"/>
      <c r="Q46" s="266"/>
      <c r="R46" s="266"/>
      <c r="S46" s="268"/>
      <c r="T46" s="269" t="e">
        <f>VLOOKUP(Q46,[78]Listas!$D$6:$E$10,2,0)</f>
        <v>#N/A</v>
      </c>
      <c r="U46" s="269" t="e">
        <f>HLOOKUP(R46,[78]Listas!$F$4:$J$5,2,0)</f>
        <v>#N/A</v>
      </c>
      <c r="V46" s="270" t="e">
        <f>INDEX([78]Listas!$F$6:$J$10,MATCH(Q46,[78]Listas!$D$6:$D$10,0),MATCH(R46,[78]Listas!$F$4:$J$4,0))</f>
        <v>#N/A</v>
      </c>
      <c r="W46" s="268"/>
      <c r="X46" s="1399"/>
      <c r="Y46" s="1408"/>
      <c r="Z46" s="1400"/>
      <c r="AA46" s="1063"/>
      <c r="AB46" s="267"/>
      <c r="AC46" s="259"/>
      <c r="AD46" s="608"/>
      <c r="AE46" s="267"/>
      <c r="AF46" s="268"/>
      <c r="AG46" s="269">
        <f t="shared" si="0"/>
        <v>0</v>
      </c>
      <c r="AH46" s="271" t="e">
        <f t="shared" si="1"/>
        <v>#N/A</v>
      </c>
      <c r="AI46" s="272" t="e">
        <f>IF(AH46&lt;=1,"Remota",VLOOKUP(AH46,[78]Listas!$C$6:$D$10,2,0))</f>
        <v>#N/A</v>
      </c>
      <c r="AJ46" s="271" t="e">
        <f t="shared" si="2"/>
        <v>#N/A</v>
      </c>
      <c r="AK46" s="272" t="e">
        <f>IF(AJ46&lt;=1,"Insignificante",HLOOKUP(AJ46,[78]Listas!$F$3:$J$4,2,0))</f>
        <v>#N/A</v>
      </c>
      <c r="AL46" s="273" t="e">
        <f t="shared" si="3"/>
        <v>#N/A</v>
      </c>
      <c r="AM46" s="270" t="e">
        <f>INDEX([78]Listas!$F$6:$J$10,MATCH(AI46,[78]Listas!$D$6:$D$10,0),MATCH(AK46,[78]Listas!$F$4:$J$4,0))</f>
        <v>#N/A</v>
      </c>
      <c r="AN46" s="259"/>
      <c r="AO46" s="259"/>
      <c r="AP46" s="610"/>
      <c r="AQ46" s="259"/>
      <c r="AR46" s="259" t="s">
        <v>2343</v>
      </c>
      <c r="AS46" s="608"/>
      <c r="AT46" s="610"/>
      <c r="AU46" s="259"/>
      <c r="AV46" s="259" t="s">
        <v>2343</v>
      </c>
      <c r="AW46" s="608"/>
      <c r="AX46" s="259"/>
      <c r="AY46" s="259"/>
      <c r="AZ46" s="261"/>
      <c r="BA46" s="261"/>
      <c r="BB46" s="608"/>
    </row>
    <row r="47" spans="1:54" s="260" customFormat="1" ht="103.5" hidden="1" customHeight="1">
      <c r="A47" s="608"/>
      <c r="B47" s="266"/>
      <c r="C47" s="1399"/>
      <c r="D47" s="1408"/>
      <c r="E47" s="1400"/>
      <c r="F47" s="267"/>
      <c r="G47" s="1399"/>
      <c r="H47" s="1408"/>
      <c r="I47" s="1400"/>
      <c r="J47" s="1380"/>
      <c r="K47" s="1380"/>
      <c r="L47" s="1380"/>
      <c r="M47" s="608"/>
      <c r="N47" s="608"/>
      <c r="O47" s="608"/>
      <c r="P47" s="608"/>
      <c r="Q47" s="266"/>
      <c r="R47" s="266"/>
      <c r="S47" s="268"/>
      <c r="T47" s="269" t="e">
        <f>VLOOKUP(Q47,[78]Listas!$D$6:$E$10,2,0)</f>
        <v>#N/A</v>
      </c>
      <c r="U47" s="269" t="e">
        <f>HLOOKUP(R47,[78]Listas!$F$4:$J$5,2,0)</f>
        <v>#N/A</v>
      </c>
      <c r="V47" s="270" t="e">
        <f>INDEX([78]Listas!$F$6:$J$10,MATCH(Q47,[78]Listas!$D$6:$D$10,0),MATCH(R47,[78]Listas!$F$4:$J$4,0))</f>
        <v>#N/A</v>
      </c>
      <c r="W47" s="268"/>
      <c r="X47" s="1399"/>
      <c r="Y47" s="1408"/>
      <c r="Z47" s="1400"/>
      <c r="AA47" s="1063"/>
      <c r="AB47" s="267"/>
      <c r="AC47" s="259"/>
      <c r="AD47" s="608"/>
      <c r="AE47" s="267"/>
      <c r="AF47" s="268"/>
      <c r="AG47" s="269">
        <f t="shared" si="0"/>
        <v>0</v>
      </c>
      <c r="AH47" s="271" t="e">
        <f t="shared" si="1"/>
        <v>#N/A</v>
      </c>
      <c r="AI47" s="272" t="e">
        <f>IF(AH47&lt;=1,"Remota",VLOOKUP(AH47,[78]Listas!$C$6:$D$10,2,0))</f>
        <v>#N/A</v>
      </c>
      <c r="AJ47" s="271" t="e">
        <f t="shared" si="2"/>
        <v>#N/A</v>
      </c>
      <c r="AK47" s="272" t="e">
        <f>IF(AJ47&lt;=1,"Insignificante",HLOOKUP(AJ47,[78]Listas!$F$3:$J$4,2,0))</f>
        <v>#N/A</v>
      </c>
      <c r="AL47" s="273" t="e">
        <f t="shared" si="3"/>
        <v>#N/A</v>
      </c>
      <c r="AM47" s="270" t="e">
        <f>INDEX([78]Listas!$F$6:$J$10,MATCH(AI47,[78]Listas!$D$6:$D$10,0),MATCH(AK47,[78]Listas!$F$4:$J$4,0))</f>
        <v>#N/A</v>
      </c>
      <c r="AN47" s="259"/>
      <c r="AO47" s="259"/>
      <c r="AP47" s="610"/>
      <c r="AQ47" s="259"/>
      <c r="AR47" s="259" t="s">
        <v>2343</v>
      </c>
      <c r="AS47" s="608"/>
      <c r="AT47" s="610"/>
      <c r="AU47" s="259"/>
      <c r="AV47" s="259" t="s">
        <v>2343</v>
      </c>
      <c r="AW47" s="608"/>
      <c r="AX47" s="259"/>
      <c r="AY47" s="259"/>
      <c r="AZ47" s="261"/>
      <c r="BA47" s="261"/>
      <c r="BB47" s="608"/>
    </row>
    <row r="48" spans="1:54" s="260" customFormat="1" ht="103.5" hidden="1" customHeight="1">
      <c r="A48" s="608"/>
      <c r="B48" s="266"/>
      <c r="C48" s="1399"/>
      <c r="D48" s="1408"/>
      <c r="E48" s="1400"/>
      <c r="F48" s="267"/>
      <c r="G48" s="1399"/>
      <c r="H48" s="1408"/>
      <c r="I48" s="1400"/>
      <c r="J48" s="1380"/>
      <c r="K48" s="1380"/>
      <c r="L48" s="1380"/>
      <c r="M48" s="608"/>
      <c r="N48" s="608"/>
      <c r="O48" s="608"/>
      <c r="P48" s="608"/>
      <c r="Q48" s="266"/>
      <c r="R48" s="266"/>
      <c r="S48" s="268"/>
      <c r="T48" s="269" t="e">
        <f>VLOOKUP(Q48,[78]Listas!$D$6:$E$10,2,0)</f>
        <v>#N/A</v>
      </c>
      <c r="U48" s="269" t="e">
        <f>HLOOKUP(R48,[78]Listas!$F$4:$J$5,2,0)</f>
        <v>#N/A</v>
      </c>
      <c r="V48" s="270" t="e">
        <f>INDEX([78]Listas!$F$6:$J$10,MATCH(Q48,[78]Listas!$D$6:$D$10,0),MATCH(R48,[78]Listas!$F$4:$J$4,0))</f>
        <v>#N/A</v>
      </c>
      <c r="W48" s="268"/>
      <c r="X48" s="1399"/>
      <c r="Y48" s="1408"/>
      <c r="Z48" s="1400"/>
      <c r="AA48" s="1063"/>
      <c r="AB48" s="267"/>
      <c r="AC48" s="259"/>
      <c r="AD48" s="608"/>
      <c r="AE48" s="267"/>
      <c r="AF48" s="268"/>
      <c r="AG48" s="269">
        <f t="shared" si="0"/>
        <v>0</v>
      </c>
      <c r="AH48" s="271" t="e">
        <f t="shared" si="1"/>
        <v>#N/A</v>
      </c>
      <c r="AI48" s="272" t="e">
        <f>IF(AH48&lt;=1,"Remota",VLOOKUP(AH48,[78]Listas!$C$6:$D$10,2,0))</f>
        <v>#N/A</v>
      </c>
      <c r="AJ48" s="271" t="e">
        <f t="shared" si="2"/>
        <v>#N/A</v>
      </c>
      <c r="AK48" s="272" t="e">
        <f>IF(AJ48&lt;=1,"Insignificante",HLOOKUP(AJ48,[78]Listas!$F$3:$J$4,2,0))</f>
        <v>#N/A</v>
      </c>
      <c r="AL48" s="273" t="e">
        <f t="shared" si="3"/>
        <v>#N/A</v>
      </c>
      <c r="AM48" s="270" t="e">
        <f>INDEX([78]Listas!$F$6:$J$10,MATCH(AI48,[78]Listas!$D$6:$D$10,0),MATCH(AK48,[78]Listas!$F$4:$J$4,0))</f>
        <v>#N/A</v>
      </c>
      <c r="AN48" s="259"/>
      <c r="AO48" s="259"/>
      <c r="AP48" s="610"/>
      <c r="AQ48" s="259"/>
      <c r="AR48" s="259" t="s">
        <v>2343</v>
      </c>
      <c r="AS48" s="608"/>
      <c r="AT48" s="610"/>
      <c r="AU48" s="259"/>
      <c r="AV48" s="259" t="s">
        <v>2343</v>
      </c>
      <c r="AW48" s="608"/>
      <c r="AX48" s="259"/>
      <c r="AY48" s="259"/>
      <c r="AZ48" s="261"/>
      <c r="BA48" s="261"/>
      <c r="BB48" s="608"/>
    </row>
    <row r="49" spans="1:54" s="260" customFormat="1" ht="103.5" hidden="1" customHeight="1">
      <c r="A49" s="608"/>
      <c r="B49" s="266"/>
      <c r="C49" s="1399"/>
      <c r="D49" s="1408"/>
      <c r="E49" s="1400"/>
      <c r="F49" s="267"/>
      <c r="G49" s="1399"/>
      <c r="H49" s="1408"/>
      <c r="I49" s="1400"/>
      <c r="J49" s="1380"/>
      <c r="K49" s="1380"/>
      <c r="L49" s="1380"/>
      <c r="M49" s="608"/>
      <c r="N49" s="608"/>
      <c r="O49" s="608"/>
      <c r="P49" s="608"/>
      <c r="Q49" s="266"/>
      <c r="R49" s="266"/>
      <c r="S49" s="268"/>
      <c r="T49" s="269" t="e">
        <f>VLOOKUP(Q49,[78]Listas!$D$6:$E$10,2,0)</f>
        <v>#N/A</v>
      </c>
      <c r="U49" s="269" t="e">
        <f>HLOOKUP(R49,[78]Listas!$F$4:$J$5,2,0)</f>
        <v>#N/A</v>
      </c>
      <c r="V49" s="270" t="e">
        <f>INDEX([78]Listas!$F$6:$J$10,MATCH(Q49,[78]Listas!$D$6:$D$10,0),MATCH(R49,[78]Listas!$F$4:$J$4,0))</f>
        <v>#N/A</v>
      </c>
      <c r="W49" s="268"/>
      <c r="X49" s="1399"/>
      <c r="Y49" s="1408"/>
      <c r="Z49" s="1400"/>
      <c r="AA49" s="1063"/>
      <c r="AB49" s="267"/>
      <c r="AC49" s="259"/>
      <c r="AD49" s="608"/>
      <c r="AE49" s="267"/>
      <c r="AF49" s="268"/>
      <c r="AG49" s="269">
        <f t="shared" si="0"/>
        <v>0</v>
      </c>
      <c r="AH49" s="271" t="e">
        <f t="shared" si="1"/>
        <v>#N/A</v>
      </c>
      <c r="AI49" s="272" t="e">
        <f>IF(AH49&lt;=1,"Remota",VLOOKUP(AH49,[78]Listas!$C$6:$D$10,2,0))</f>
        <v>#N/A</v>
      </c>
      <c r="AJ49" s="271" t="e">
        <f t="shared" si="2"/>
        <v>#N/A</v>
      </c>
      <c r="AK49" s="272" t="e">
        <f>IF(AJ49&lt;=1,"Insignificante",HLOOKUP(AJ49,[78]Listas!$F$3:$J$4,2,0))</f>
        <v>#N/A</v>
      </c>
      <c r="AL49" s="273" t="e">
        <f t="shared" si="3"/>
        <v>#N/A</v>
      </c>
      <c r="AM49" s="270" t="e">
        <f>INDEX([78]Listas!$F$6:$J$10,MATCH(AI49,[78]Listas!$D$6:$D$10,0),MATCH(AK49,[78]Listas!$F$4:$J$4,0))</f>
        <v>#N/A</v>
      </c>
      <c r="AN49" s="259"/>
      <c r="AO49" s="259"/>
      <c r="AP49" s="610"/>
      <c r="AQ49" s="259"/>
      <c r="AR49" s="259" t="s">
        <v>2343</v>
      </c>
      <c r="AS49" s="608"/>
      <c r="AT49" s="610"/>
      <c r="AU49" s="259"/>
      <c r="AV49" s="259" t="s">
        <v>2343</v>
      </c>
      <c r="AW49" s="608"/>
      <c r="AX49" s="259"/>
      <c r="AY49" s="259"/>
      <c r="AZ49" s="261"/>
      <c r="BA49" s="261"/>
      <c r="BB49" s="608"/>
    </row>
    <row r="50" spans="1:54" s="260" customFormat="1" ht="103.5" hidden="1" customHeight="1">
      <c r="A50" s="608"/>
      <c r="B50" s="266"/>
      <c r="C50" s="1399"/>
      <c r="D50" s="1408"/>
      <c r="E50" s="1400"/>
      <c r="F50" s="267"/>
      <c r="G50" s="1399"/>
      <c r="H50" s="1408"/>
      <c r="I50" s="1400"/>
      <c r="J50" s="1380"/>
      <c r="K50" s="1380"/>
      <c r="L50" s="1380"/>
      <c r="M50" s="608"/>
      <c r="N50" s="608"/>
      <c r="O50" s="608"/>
      <c r="P50" s="608"/>
      <c r="Q50" s="266"/>
      <c r="R50" s="266"/>
      <c r="S50" s="268"/>
      <c r="T50" s="269" t="e">
        <f>VLOOKUP(Q50,[78]Listas!$D$6:$E$10,2,0)</f>
        <v>#N/A</v>
      </c>
      <c r="U50" s="269" t="e">
        <f>HLOOKUP(R50,[78]Listas!$F$4:$J$5,2,0)</f>
        <v>#N/A</v>
      </c>
      <c r="V50" s="270" t="e">
        <f>INDEX([78]Listas!$F$6:$J$10,MATCH(Q50,[78]Listas!$D$6:$D$10,0),MATCH(R50,[78]Listas!$F$4:$J$4,0))</f>
        <v>#N/A</v>
      </c>
      <c r="W50" s="268"/>
      <c r="X50" s="1399"/>
      <c r="Y50" s="1408"/>
      <c r="Z50" s="1400"/>
      <c r="AA50" s="1063"/>
      <c r="AB50" s="267"/>
      <c r="AC50" s="259"/>
      <c r="AD50" s="608"/>
      <c r="AE50" s="267"/>
      <c r="AF50" s="268"/>
      <c r="AG50" s="269">
        <f t="shared" si="0"/>
        <v>0</v>
      </c>
      <c r="AH50" s="271" t="e">
        <f t="shared" si="1"/>
        <v>#N/A</v>
      </c>
      <c r="AI50" s="272" t="e">
        <f>IF(AH50&lt;=1,"Remota",VLOOKUP(AH50,[78]Listas!$C$6:$D$10,2,0))</f>
        <v>#N/A</v>
      </c>
      <c r="AJ50" s="271" t="e">
        <f t="shared" si="2"/>
        <v>#N/A</v>
      </c>
      <c r="AK50" s="272" t="e">
        <f>IF(AJ50&lt;=1,"Insignificante",HLOOKUP(AJ50,[78]Listas!$F$3:$J$4,2,0))</f>
        <v>#N/A</v>
      </c>
      <c r="AL50" s="273" t="e">
        <f t="shared" si="3"/>
        <v>#N/A</v>
      </c>
      <c r="AM50" s="270" t="e">
        <f>INDEX([78]Listas!$F$6:$J$10,MATCH(AI50,[78]Listas!$D$6:$D$10,0),MATCH(AK50,[78]Listas!$F$4:$J$4,0))</f>
        <v>#N/A</v>
      </c>
      <c r="AN50" s="259"/>
      <c r="AO50" s="259"/>
      <c r="AP50" s="610"/>
      <c r="AQ50" s="259"/>
      <c r="AR50" s="259" t="s">
        <v>2343</v>
      </c>
      <c r="AS50" s="608"/>
      <c r="AT50" s="610"/>
      <c r="AU50" s="259"/>
      <c r="AV50" s="259" t="s">
        <v>2343</v>
      </c>
      <c r="AW50" s="608"/>
      <c r="AX50" s="259"/>
      <c r="AY50" s="259"/>
      <c r="AZ50" s="261"/>
      <c r="BA50" s="261"/>
      <c r="BB50" s="608"/>
    </row>
    <row r="51" spans="1:54" s="260" customFormat="1" ht="103.5" hidden="1" customHeight="1">
      <c r="A51" s="608"/>
      <c r="B51" s="266"/>
      <c r="C51" s="1399"/>
      <c r="D51" s="1408"/>
      <c r="E51" s="1400"/>
      <c r="F51" s="267"/>
      <c r="G51" s="1399"/>
      <c r="H51" s="1408"/>
      <c r="I51" s="1400"/>
      <c r="J51" s="1380"/>
      <c r="K51" s="1380"/>
      <c r="L51" s="1380"/>
      <c r="M51" s="608"/>
      <c r="N51" s="608"/>
      <c r="O51" s="608"/>
      <c r="P51" s="608"/>
      <c r="Q51" s="266"/>
      <c r="R51" s="266"/>
      <c r="S51" s="268"/>
      <c r="T51" s="269" t="e">
        <f>VLOOKUP(Q51,[78]Listas!$D$6:$E$10,2,0)</f>
        <v>#N/A</v>
      </c>
      <c r="U51" s="269" t="e">
        <f>HLOOKUP(R51,[78]Listas!$F$4:$J$5,2,0)</f>
        <v>#N/A</v>
      </c>
      <c r="V51" s="270" t="e">
        <f>INDEX([78]Listas!$F$6:$J$10,MATCH(Q51,[78]Listas!$D$6:$D$10,0),MATCH(R51,[78]Listas!$F$4:$J$4,0))</f>
        <v>#N/A</v>
      </c>
      <c r="W51" s="268"/>
      <c r="X51" s="1399"/>
      <c r="Y51" s="1408"/>
      <c r="Z51" s="1400"/>
      <c r="AA51" s="1063"/>
      <c r="AB51" s="267"/>
      <c r="AC51" s="259"/>
      <c r="AD51" s="608"/>
      <c r="AE51" s="267"/>
      <c r="AF51" s="268"/>
      <c r="AG51" s="269">
        <f t="shared" si="0"/>
        <v>0</v>
      </c>
      <c r="AH51" s="271" t="e">
        <f t="shared" si="1"/>
        <v>#N/A</v>
      </c>
      <c r="AI51" s="272" t="e">
        <f>IF(AH51&lt;=1,"Remota",VLOOKUP(AH51,[78]Listas!$C$6:$D$10,2,0))</f>
        <v>#N/A</v>
      </c>
      <c r="AJ51" s="271" t="e">
        <f t="shared" si="2"/>
        <v>#N/A</v>
      </c>
      <c r="AK51" s="272" t="e">
        <f>IF(AJ51&lt;=1,"Insignificante",HLOOKUP(AJ51,[78]Listas!$F$3:$J$4,2,0))</f>
        <v>#N/A</v>
      </c>
      <c r="AL51" s="273" t="e">
        <f t="shared" si="3"/>
        <v>#N/A</v>
      </c>
      <c r="AM51" s="270" t="e">
        <f>INDEX([78]Listas!$F$6:$J$10,MATCH(AI51,[78]Listas!$D$6:$D$10,0),MATCH(AK51,[78]Listas!$F$4:$J$4,0))</f>
        <v>#N/A</v>
      </c>
      <c r="AN51" s="259"/>
      <c r="AO51" s="259"/>
      <c r="AP51" s="610"/>
      <c r="AQ51" s="259"/>
      <c r="AR51" s="259" t="s">
        <v>2343</v>
      </c>
      <c r="AS51" s="608"/>
      <c r="AT51" s="610"/>
      <c r="AU51" s="259"/>
      <c r="AV51" s="259" t="s">
        <v>2343</v>
      </c>
      <c r="AW51" s="608"/>
      <c r="AX51" s="259"/>
      <c r="AY51" s="259"/>
      <c r="AZ51" s="261"/>
      <c r="BA51" s="261"/>
      <c r="BB51" s="608"/>
    </row>
    <row r="52" spans="1:54" s="260" customFormat="1" ht="103.5" hidden="1" customHeight="1">
      <c r="A52" s="608"/>
      <c r="B52" s="266"/>
      <c r="C52" s="1399"/>
      <c r="D52" s="1408"/>
      <c r="E52" s="1400"/>
      <c r="F52" s="267"/>
      <c r="G52" s="1399"/>
      <c r="H52" s="1408"/>
      <c r="I52" s="1400"/>
      <c r="J52" s="1380"/>
      <c r="K52" s="1380"/>
      <c r="L52" s="1380"/>
      <c r="M52" s="608"/>
      <c r="N52" s="608"/>
      <c r="O52" s="608"/>
      <c r="P52" s="608"/>
      <c r="Q52" s="266"/>
      <c r="R52" s="266"/>
      <c r="S52" s="268"/>
      <c r="T52" s="269" t="e">
        <f>VLOOKUP(Q52,[78]Listas!$D$6:$E$10,2,0)</f>
        <v>#N/A</v>
      </c>
      <c r="U52" s="269" t="e">
        <f>HLOOKUP(R52,[78]Listas!$F$4:$J$5,2,0)</f>
        <v>#N/A</v>
      </c>
      <c r="V52" s="270" t="e">
        <f>INDEX([78]Listas!$F$6:$J$10,MATCH(Q52,[78]Listas!$D$6:$D$10,0),MATCH(R52,[78]Listas!$F$4:$J$4,0))</f>
        <v>#N/A</v>
      </c>
      <c r="W52" s="268"/>
      <c r="X52" s="1399"/>
      <c r="Y52" s="1408"/>
      <c r="Z52" s="1400"/>
      <c r="AA52" s="1063"/>
      <c r="AB52" s="267"/>
      <c r="AC52" s="259"/>
      <c r="AD52" s="608"/>
      <c r="AE52" s="267"/>
      <c r="AF52" s="268"/>
      <c r="AG52" s="269">
        <f t="shared" si="0"/>
        <v>0</v>
      </c>
      <c r="AH52" s="271" t="e">
        <f t="shared" si="1"/>
        <v>#N/A</v>
      </c>
      <c r="AI52" s="272" t="e">
        <f>IF(AH52&lt;=1,"Remota",VLOOKUP(AH52,[78]Listas!$C$6:$D$10,2,0))</f>
        <v>#N/A</v>
      </c>
      <c r="AJ52" s="271" t="e">
        <f t="shared" si="2"/>
        <v>#N/A</v>
      </c>
      <c r="AK52" s="272" t="e">
        <f>IF(AJ52&lt;=1,"Insignificante",HLOOKUP(AJ52,[78]Listas!$F$3:$J$4,2,0))</f>
        <v>#N/A</v>
      </c>
      <c r="AL52" s="273" t="e">
        <f t="shared" si="3"/>
        <v>#N/A</v>
      </c>
      <c r="AM52" s="270" t="e">
        <f>INDEX([78]Listas!$F$6:$J$10,MATCH(AI52,[78]Listas!$D$6:$D$10,0),MATCH(AK52,[78]Listas!$F$4:$J$4,0))</f>
        <v>#N/A</v>
      </c>
      <c r="AN52" s="259"/>
      <c r="AO52" s="259"/>
      <c r="AP52" s="610"/>
      <c r="AQ52" s="259"/>
      <c r="AR52" s="259" t="s">
        <v>2343</v>
      </c>
      <c r="AS52" s="608"/>
      <c r="AT52" s="610"/>
      <c r="AU52" s="259"/>
      <c r="AV52" s="259" t="s">
        <v>2343</v>
      </c>
      <c r="AW52" s="608"/>
      <c r="AX52" s="259"/>
      <c r="AY52" s="259"/>
      <c r="AZ52" s="261"/>
      <c r="BA52" s="261"/>
      <c r="BB52" s="608"/>
    </row>
    <row r="53" spans="1:54" s="260" customFormat="1" ht="103.5" hidden="1" customHeight="1">
      <c r="A53" s="608"/>
      <c r="B53" s="266"/>
      <c r="C53" s="1399"/>
      <c r="D53" s="1408"/>
      <c r="E53" s="1400"/>
      <c r="F53" s="267"/>
      <c r="G53" s="1399"/>
      <c r="H53" s="1408"/>
      <c r="I53" s="1400"/>
      <c r="J53" s="1380"/>
      <c r="K53" s="1380"/>
      <c r="L53" s="1380"/>
      <c r="M53" s="608"/>
      <c r="N53" s="608"/>
      <c r="O53" s="608"/>
      <c r="P53" s="608"/>
      <c r="Q53" s="266"/>
      <c r="R53" s="266"/>
      <c r="S53" s="268"/>
      <c r="T53" s="269" t="e">
        <f>VLOOKUP(Q53,[78]Listas!$D$6:$E$10,2,0)</f>
        <v>#N/A</v>
      </c>
      <c r="U53" s="269" t="e">
        <f>HLOOKUP(R53,[78]Listas!$F$4:$J$5,2,0)</f>
        <v>#N/A</v>
      </c>
      <c r="V53" s="270" t="e">
        <f>INDEX([78]Listas!$F$6:$J$10,MATCH(Q53,[78]Listas!$D$6:$D$10,0),MATCH(R53,[78]Listas!$F$4:$J$4,0))</f>
        <v>#N/A</v>
      </c>
      <c r="W53" s="268"/>
      <c r="X53" s="1399"/>
      <c r="Y53" s="1408"/>
      <c r="Z53" s="1400"/>
      <c r="AA53" s="1063"/>
      <c r="AB53" s="267"/>
      <c r="AC53" s="259"/>
      <c r="AD53" s="608"/>
      <c r="AE53" s="267"/>
      <c r="AF53" s="268"/>
      <c r="AG53" s="269">
        <f t="shared" si="0"/>
        <v>0</v>
      </c>
      <c r="AH53" s="271" t="e">
        <f t="shared" si="1"/>
        <v>#N/A</v>
      </c>
      <c r="AI53" s="272" t="e">
        <f>IF(AH53&lt;=1,"Remota",VLOOKUP(AH53,[78]Listas!$C$6:$D$10,2,0))</f>
        <v>#N/A</v>
      </c>
      <c r="AJ53" s="271" t="e">
        <f t="shared" si="2"/>
        <v>#N/A</v>
      </c>
      <c r="AK53" s="272" t="e">
        <f>IF(AJ53&lt;=1,"Insignificante",HLOOKUP(AJ53,[78]Listas!$F$3:$J$4,2,0))</f>
        <v>#N/A</v>
      </c>
      <c r="AL53" s="273" t="e">
        <f t="shared" si="3"/>
        <v>#N/A</v>
      </c>
      <c r="AM53" s="270" t="e">
        <f>INDEX([78]Listas!$F$6:$J$10,MATCH(AI53,[78]Listas!$D$6:$D$10,0),MATCH(AK53,[78]Listas!$F$4:$J$4,0))</f>
        <v>#N/A</v>
      </c>
      <c r="AN53" s="259"/>
      <c r="AO53" s="259"/>
      <c r="AP53" s="610"/>
      <c r="AQ53" s="259"/>
      <c r="AR53" s="259" t="s">
        <v>2343</v>
      </c>
      <c r="AS53" s="608"/>
      <c r="AT53" s="610"/>
      <c r="AU53" s="259"/>
      <c r="AV53" s="259" t="s">
        <v>2343</v>
      </c>
      <c r="AW53" s="608"/>
      <c r="AX53" s="259"/>
      <c r="AY53" s="259"/>
      <c r="AZ53" s="261"/>
      <c r="BA53" s="261"/>
      <c r="BB53" s="608"/>
    </row>
    <row r="54" spans="1:54" s="260" customFormat="1" ht="103.5" hidden="1" customHeight="1">
      <c r="A54" s="608"/>
      <c r="B54" s="266"/>
      <c r="C54" s="1399"/>
      <c r="D54" s="1408"/>
      <c r="E54" s="1400"/>
      <c r="F54" s="267"/>
      <c r="G54" s="1399"/>
      <c r="H54" s="1408"/>
      <c r="I54" s="1400"/>
      <c r="J54" s="1380"/>
      <c r="K54" s="1380"/>
      <c r="L54" s="1380"/>
      <c r="M54" s="608"/>
      <c r="N54" s="608"/>
      <c r="O54" s="608"/>
      <c r="P54" s="608"/>
      <c r="Q54" s="266"/>
      <c r="R54" s="266"/>
      <c r="S54" s="268"/>
      <c r="T54" s="269" t="e">
        <f>VLOOKUP(Q54,[78]Listas!$D$6:$E$10,2,0)</f>
        <v>#N/A</v>
      </c>
      <c r="U54" s="269" t="e">
        <f>HLOOKUP(R54,[78]Listas!$F$4:$J$5,2,0)</f>
        <v>#N/A</v>
      </c>
      <c r="V54" s="270" t="e">
        <f>INDEX([78]Listas!$F$6:$J$10,MATCH(Q54,[78]Listas!$D$6:$D$10,0),MATCH(R54,[78]Listas!$F$4:$J$4,0))</f>
        <v>#N/A</v>
      </c>
      <c r="W54" s="268"/>
      <c r="X54" s="1399"/>
      <c r="Y54" s="1408"/>
      <c r="Z54" s="1400"/>
      <c r="AA54" s="1063"/>
      <c r="AB54" s="267"/>
      <c r="AC54" s="259"/>
      <c r="AD54" s="608"/>
      <c r="AE54" s="267"/>
      <c r="AF54" s="268"/>
      <c r="AG54" s="269">
        <f t="shared" si="0"/>
        <v>0</v>
      </c>
      <c r="AH54" s="271" t="e">
        <f t="shared" si="1"/>
        <v>#N/A</v>
      </c>
      <c r="AI54" s="272" t="e">
        <f>IF(AH54&lt;=1,"Remota",VLOOKUP(AH54,[78]Listas!$C$6:$D$10,2,0))</f>
        <v>#N/A</v>
      </c>
      <c r="AJ54" s="271" t="e">
        <f t="shared" si="2"/>
        <v>#N/A</v>
      </c>
      <c r="AK54" s="272" t="e">
        <f>IF(AJ54&lt;=1,"Insignificante",HLOOKUP(AJ54,[78]Listas!$F$3:$J$4,2,0))</f>
        <v>#N/A</v>
      </c>
      <c r="AL54" s="273" t="e">
        <f t="shared" si="3"/>
        <v>#N/A</v>
      </c>
      <c r="AM54" s="270" t="e">
        <f>INDEX([78]Listas!$F$6:$J$10,MATCH(AI54,[78]Listas!$D$6:$D$10,0),MATCH(AK54,[78]Listas!$F$4:$J$4,0))</f>
        <v>#N/A</v>
      </c>
      <c r="AN54" s="259"/>
      <c r="AO54" s="259"/>
      <c r="AP54" s="610"/>
      <c r="AQ54" s="259"/>
      <c r="AR54" s="259" t="s">
        <v>2343</v>
      </c>
      <c r="AS54" s="608"/>
      <c r="AT54" s="610"/>
      <c r="AU54" s="259"/>
      <c r="AV54" s="259" t="s">
        <v>2343</v>
      </c>
      <c r="AW54" s="608"/>
      <c r="AX54" s="259"/>
      <c r="AY54" s="259"/>
      <c r="AZ54" s="261"/>
      <c r="BA54" s="261"/>
      <c r="BB54" s="608"/>
    </row>
    <row r="55" spans="1:54" s="260" customFormat="1" ht="103.5" hidden="1" customHeight="1">
      <c r="A55" s="608"/>
      <c r="B55" s="266"/>
      <c r="C55" s="1399"/>
      <c r="D55" s="1408"/>
      <c r="E55" s="1400"/>
      <c r="F55" s="267"/>
      <c r="G55" s="1399"/>
      <c r="H55" s="1408"/>
      <c r="I55" s="1400"/>
      <c r="J55" s="1380"/>
      <c r="K55" s="1380"/>
      <c r="L55" s="1380"/>
      <c r="M55" s="608"/>
      <c r="N55" s="608"/>
      <c r="O55" s="608"/>
      <c r="P55" s="608"/>
      <c r="Q55" s="266"/>
      <c r="R55" s="266"/>
      <c r="S55" s="268"/>
      <c r="T55" s="269" t="e">
        <f>VLOOKUP(Q55,[78]Listas!$D$6:$E$10,2,0)</f>
        <v>#N/A</v>
      </c>
      <c r="U55" s="269" t="e">
        <f>HLOOKUP(R55,[78]Listas!$F$4:$J$5,2,0)</f>
        <v>#N/A</v>
      </c>
      <c r="V55" s="270" t="e">
        <f>INDEX([78]Listas!$F$6:$J$10,MATCH(Q55,[78]Listas!$D$6:$D$10,0),MATCH(R55,[78]Listas!$F$4:$J$4,0))</f>
        <v>#N/A</v>
      </c>
      <c r="W55" s="268"/>
      <c r="X55" s="1399"/>
      <c r="Y55" s="1408"/>
      <c r="Z55" s="1400"/>
      <c r="AA55" s="1063"/>
      <c r="AB55" s="267"/>
      <c r="AC55" s="259"/>
      <c r="AD55" s="608"/>
      <c r="AE55" s="267"/>
      <c r="AF55" s="268"/>
      <c r="AG55" s="269">
        <f t="shared" si="0"/>
        <v>0</v>
      </c>
      <c r="AH55" s="271" t="e">
        <f t="shared" si="1"/>
        <v>#N/A</v>
      </c>
      <c r="AI55" s="272" t="e">
        <f>IF(AH55&lt;=1,"Remota",VLOOKUP(AH55,[78]Listas!$C$6:$D$10,2,0))</f>
        <v>#N/A</v>
      </c>
      <c r="AJ55" s="271" t="e">
        <f t="shared" si="2"/>
        <v>#N/A</v>
      </c>
      <c r="AK55" s="272" t="e">
        <f>IF(AJ55&lt;=1,"Insignificante",HLOOKUP(AJ55,[78]Listas!$F$3:$J$4,2,0))</f>
        <v>#N/A</v>
      </c>
      <c r="AL55" s="273" t="e">
        <f t="shared" si="3"/>
        <v>#N/A</v>
      </c>
      <c r="AM55" s="270" t="e">
        <f>INDEX([78]Listas!$F$6:$J$10,MATCH(AI55,[78]Listas!$D$6:$D$10,0),MATCH(AK55,[78]Listas!$F$4:$J$4,0))</f>
        <v>#N/A</v>
      </c>
      <c r="AN55" s="259"/>
      <c r="AO55" s="259"/>
      <c r="AP55" s="610"/>
      <c r="AQ55" s="259"/>
      <c r="AR55" s="259" t="s">
        <v>2343</v>
      </c>
      <c r="AS55" s="608"/>
      <c r="AT55" s="610"/>
      <c r="AU55" s="259"/>
      <c r="AV55" s="259" t="s">
        <v>2343</v>
      </c>
      <c r="AW55" s="608"/>
      <c r="AX55" s="259"/>
      <c r="AY55" s="259"/>
      <c r="AZ55" s="261"/>
      <c r="BA55" s="261"/>
      <c r="BB55" s="608"/>
    </row>
    <row r="56" spans="1:54" s="260" customFormat="1" ht="103.5" hidden="1" customHeight="1">
      <c r="A56" s="608"/>
      <c r="B56" s="266"/>
      <c r="C56" s="1399"/>
      <c r="D56" s="1408"/>
      <c r="E56" s="1400"/>
      <c r="F56" s="267"/>
      <c r="G56" s="1399"/>
      <c r="H56" s="1408"/>
      <c r="I56" s="1400"/>
      <c r="J56" s="1380"/>
      <c r="K56" s="1380"/>
      <c r="L56" s="1380"/>
      <c r="M56" s="608"/>
      <c r="N56" s="608"/>
      <c r="O56" s="608"/>
      <c r="P56" s="608"/>
      <c r="Q56" s="266"/>
      <c r="R56" s="266"/>
      <c r="S56" s="268"/>
      <c r="T56" s="269" t="e">
        <f>VLOOKUP(Q56,[78]Listas!$D$6:$E$10,2,0)</f>
        <v>#N/A</v>
      </c>
      <c r="U56" s="269" t="e">
        <f>HLOOKUP(R56,[78]Listas!$F$4:$J$5,2,0)</f>
        <v>#N/A</v>
      </c>
      <c r="V56" s="270" t="e">
        <f>INDEX([78]Listas!$F$6:$J$10,MATCH(Q56,[78]Listas!$D$6:$D$10,0),MATCH(R56,[78]Listas!$F$4:$J$4,0))</f>
        <v>#N/A</v>
      </c>
      <c r="W56" s="268"/>
      <c r="X56" s="1399"/>
      <c r="Y56" s="1408"/>
      <c r="Z56" s="1400"/>
      <c r="AA56" s="1063"/>
      <c r="AB56" s="267"/>
      <c r="AC56" s="259"/>
      <c r="AD56" s="608"/>
      <c r="AE56" s="267"/>
      <c r="AF56" s="268"/>
      <c r="AG56" s="269">
        <f t="shared" si="0"/>
        <v>0</v>
      </c>
      <c r="AH56" s="271" t="e">
        <f t="shared" si="1"/>
        <v>#N/A</v>
      </c>
      <c r="AI56" s="272" t="e">
        <f>IF(AH56&lt;=1,"Remota",VLOOKUP(AH56,[78]Listas!$C$6:$D$10,2,0))</f>
        <v>#N/A</v>
      </c>
      <c r="AJ56" s="271" t="e">
        <f t="shared" si="2"/>
        <v>#N/A</v>
      </c>
      <c r="AK56" s="272" t="e">
        <f>IF(AJ56&lt;=1,"Insignificante",HLOOKUP(AJ56,[78]Listas!$F$3:$J$4,2,0))</f>
        <v>#N/A</v>
      </c>
      <c r="AL56" s="273" t="e">
        <f t="shared" si="3"/>
        <v>#N/A</v>
      </c>
      <c r="AM56" s="270" t="e">
        <f>INDEX([78]Listas!$F$6:$J$10,MATCH(AI56,[78]Listas!$D$6:$D$10,0),MATCH(AK56,[78]Listas!$F$4:$J$4,0))</f>
        <v>#N/A</v>
      </c>
      <c r="AN56" s="259"/>
      <c r="AO56" s="259"/>
      <c r="AP56" s="610"/>
      <c r="AQ56" s="259"/>
      <c r="AR56" s="259" t="s">
        <v>2343</v>
      </c>
      <c r="AS56" s="608"/>
      <c r="AT56" s="610"/>
      <c r="AU56" s="259"/>
      <c r="AV56" s="259" t="s">
        <v>2343</v>
      </c>
      <c r="AW56" s="608"/>
      <c r="AX56" s="259"/>
      <c r="AY56" s="259"/>
      <c r="AZ56" s="261"/>
      <c r="BA56" s="261"/>
      <c r="BB56" s="608"/>
    </row>
    <row r="57" spans="1:54" s="260" customFormat="1" ht="103.5" hidden="1" customHeight="1">
      <c r="A57" s="608"/>
      <c r="B57" s="266"/>
      <c r="C57" s="1399"/>
      <c r="D57" s="1408"/>
      <c r="E57" s="1400"/>
      <c r="F57" s="267"/>
      <c r="G57" s="1399"/>
      <c r="H57" s="1408"/>
      <c r="I57" s="1400"/>
      <c r="J57" s="1380"/>
      <c r="K57" s="1380"/>
      <c r="L57" s="1380"/>
      <c r="M57" s="608"/>
      <c r="N57" s="608"/>
      <c r="O57" s="608"/>
      <c r="P57" s="608"/>
      <c r="Q57" s="266"/>
      <c r="R57" s="266"/>
      <c r="S57" s="268"/>
      <c r="T57" s="269" t="e">
        <f>VLOOKUP(Q57,[78]Listas!$D$6:$E$10,2,0)</f>
        <v>#N/A</v>
      </c>
      <c r="U57" s="269" t="e">
        <f>HLOOKUP(R57,[78]Listas!$F$4:$J$5,2,0)</f>
        <v>#N/A</v>
      </c>
      <c r="V57" s="270" t="e">
        <f>INDEX([78]Listas!$F$6:$J$10,MATCH(Q57,[78]Listas!$D$6:$D$10,0),MATCH(R57,[78]Listas!$F$4:$J$4,0))</f>
        <v>#N/A</v>
      </c>
      <c r="W57" s="268"/>
      <c r="X57" s="1399"/>
      <c r="Y57" s="1408"/>
      <c r="Z57" s="1400"/>
      <c r="AA57" s="1063"/>
      <c r="AB57" s="267"/>
      <c r="AC57" s="259"/>
      <c r="AD57" s="608"/>
      <c r="AE57" s="267"/>
      <c r="AF57" s="268"/>
      <c r="AG57" s="269">
        <f t="shared" si="0"/>
        <v>0</v>
      </c>
      <c r="AH57" s="271" t="e">
        <f t="shared" si="1"/>
        <v>#N/A</v>
      </c>
      <c r="AI57" s="272" t="e">
        <f>IF(AH57&lt;=1,"Remota",VLOOKUP(AH57,[78]Listas!$C$6:$D$10,2,0))</f>
        <v>#N/A</v>
      </c>
      <c r="AJ57" s="271" t="e">
        <f t="shared" si="2"/>
        <v>#N/A</v>
      </c>
      <c r="AK57" s="272" t="e">
        <f>IF(AJ57&lt;=1,"Insignificante",HLOOKUP(AJ57,[78]Listas!$F$3:$J$4,2,0))</f>
        <v>#N/A</v>
      </c>
      <c r="AL57" s="273" t="e">
        <f t="shared" si="3"/>
        <v>#N/A</v>
      </c>
      <c r="AM57" s="270" t="e">
        <f>INDEX([78]Listas!$F$6:$J$10,MATCH(AI57,[78]Listas!$D$6:$D$10,0),MATCH(AK57,[78]Listas!$F$4:$J$4,0))</f>
        <v>#N/A</v>
      </c>
      <c r="AN57" s="259"/>
      <c r="AO57" s="259"/>
      <c r="AP57" s="610"/>
      <c r="AQ57" s="259"/>
      <c r="AR57" s="259" t="s">
        <v>2343</v>
      </c>
      <c r="AS57" s="608"/>
      <c r="AT57" s="610"/>
      <c r="AU57" s="259"/>
      <c r="AV57" s="259" t="s">
        <v>2343</v>
      </c>
      <c r="AW57" s="608"/>
      <c r="AX57" s="259"/>
      <c r="AY57" s="259"/>
      <c r="AZ57" s="261"/>
      <c r="BA57" s="261"/>
      <c r="BB57" s="608"/>
    </row>
    <row r="58" spans="1:54" s="260" customFormat="1" ht="103.5" hidden="1" customHeight="1">
      <c r="A58" s="608"/>
      <c r="B58" s="266"/>
      <c r="C58" s="1399"/>
      <c r="D58" s="1408"/>
      <c r="E58" s="1400"/>
      <c r="F58" s="267"/>
      <c r="G58" s="1399"/>
      <c r="H58" s="1408"/>
      <c r="I58" s="1400"/>
      <c r="J58" s="1380"/>
      <c r="K58" s="1380"/>
      <c r="L58" s="1380"/>
      <c r="M58" s="608"/>
      <c r="N58" s="608"/>
      <c r="O58" s="608"/>
      <c r="P58" s="608"/>
      <c r="Q58" s="266"/>
      <c r="R58" s="266"/>
      <c r="S58" s="268"/>
      <c r="T58" s="269" t="e">
        <f>VLOOKUP(Q58,[78]Listas!$D$6:$E$10,2,0)</f>
        <v>#N/A</v>
      </c>
      <c r="U58" s="269" t="e">
        <f>HLOOKUP(R58,[78]Listas!$F$4:$J$5,2,0)</f>
        <v>#N/A</v>
      </c>
      <c r="V58" s="270" t="e">
        <f>INDEX([78]Listas!$F$6:$J$10,MATCH(Q58,[78]Listas!$D$6:$D$10,0),MATCH(R58,[78]Listas!$F$4:$J$4,0))</f>
        <v>#N/A</v>
      </c>
      <c r="W58" s="268"/>
      <c r="X58" s="1399"/>
      <c r="Y58" s="1408"/>
      <c r="Z58" s="1400"/>
      <c r="AA58" s="1063"/>
      <c r="AB58" s="267"/>
      <c r="AC58" s="259"/>
      <c r="AD58" s="608"/>
      <c r="AE58" s="267"/>
      <c r="AF58" s="268"/>
      <c r="AG58" s="269">
        <f t="shared" si="0"/>
        <v>0</v>
      </c>
      <c r="AH58" s="271" t="e">
        <f t="shared" si="1"/>
        <v>#N/A</v>
      </c>
      <c r="AI58" s="272" t="e">
        <f>IF(AH58&lt;=1,"Remota",VLOOKUP(AH58,[78]Listas!$C$6:$D$10,2,0))</f>
        <v>#N/A</v>
      </c>
      <c r="AJ58" s="271" t="e">
        <f t="shared" si="2"/>
        <v>#N/A</v>
      </c>
      <c r="AK58" s="272" t="e">
        <f>IF(AJ58&lt;=1,"Insignificante",HLOOKUP(AJ58,[78]Listas!$F$3:$J$4,2,0))</f>
        <v>#N/A</v>
      </c>
      <c r="AL58" s="273" t="e">
        <f t="shared" si="3"/>
        <v>#N/A</v>
      </c>
      <c r="AM58" s="270" t="e">
        <f>INDEX([78]Listas!$F$6:$J$10,MATCH(AI58,[78]Listas!$D$6:$D$10,0),MATCH(AK58,[78]Listas!$F$4:$J$4,0))</f>
        <v>#N/A</v>
      </c>
      <c r="AN58" s="259"/>
      <c r="AO58" s="259"/>
      <c r="AP58" s="610"/>
      <c r="AQ58" s="259"/>
      <c r="AR58" s="259" t="s">
        <v>2343</v>
      </c>
      <c r="AS58" s="608"/>
      <c r="AT58" s="610"/>
      <c r="AU58" s="259"/>
      <c r="AV58" s="259" t="s">
        <v>2343</v>
      </c>
      <c r="AW58" s="608"/>
      <c r="AX58" s="259"/>
      <c r="AY58" s="259"/>
      <c r="AZ58" s="261"/>
      <c r="BA58" s="261"/>
      <c r="BB58" s="608"/>
    </row>
    <row r="59" spans="1:54" s="260" customFormat="1" ht="103.5" hidden="1" customHeight="1">
      <c r="A59" s="608"/>
      <c r="B59" s="266"/>
      <c r="C59" s="1399"/>
      <c r="D59" s="1408"/>
      <c r="E59" s="1400"/>
      <c r="F59" s="267"/>
      <c r="G59" s="1399"/>
      <c r="H59" s="1408"/>
      <c r="I59" s="1400"/>
      <c r="J59" s="1380"/>
      <c r="K59" s="1380"/>
      <c r="L59" s="1380"/>
      <c r="M59" s="608"/>
      <c r="N59" s="608"/>
      <c r="O59" s="608"/>
      <c r="P59" s="608"/>
      <c r="Q59" s="266"/>
      <c r="R59" s="266"/>
      <c r="S59" s="268"/>
      <c r="T59" s="269" t="e">
        <f>VLOOKUP(Q59,[78]Listas!$D$6:$E$10,2,0)</f>
        <v>#N/A</v>
      </c>
      <c r="U59" s="269" t="e">
        <f>HLOOKUP(R59,[78]Listas!$F$4:$J$5,2,0)</f>
        <v>#N/A</v>
      </c>
      <c r="V59" s="270" t="e">
        <f>INDEX([78]Listas!$F$6:$J$10,MATCH(Q59,[78]Listas!$D$6:$D$10,0),MATCH(R59,[78]Listas!$F$4:$J$4,0))</f>
        <v>#N/A</v>
      </c>
      <c r="W59" s="268"/>
      <c r="X59" s="1399"/>
      <c r="Y59" s="1408"/>
      <c r="Z59" s="1400"/>
      <c r="AA59" s="1063"/>
      <c r="AB59" s="267"/>
      <c r="AC59" s="259"/>
      <c r="AD59" s="608"/>
      <c r="AE59" s="267"/>
      <c r="AF59" s="268"/>
      <c r="AG59" s="269">
        <f t="shared" si="0"/>
        <v>0</v>
      </c>
      <c r="AH59" s="271" t="e">
        <f t="shared" si="1"/>
        <v>#N/A</v>
      </c>
      <c r="AI59" s="272" t="e">
        <f>IF(AH59&lt;=1,"Remota",VLOOKUP(AH59,[78]Listas!$C$6:$D$10,2,0))</f>
        <v>#N/A</v>
      </c>
      <c r="AJ59" s="271" t="e">
        <f t="shared" si="2"/>
        <v>#N/A</v>
      </c>
      <c r="AK59" s="272" t="e">
        <f>IF(AJ59&lt;=1,"Insignificante",HLOOKUP(AJ59,[78]Listas!$F$3:$J$4,2,0))</f>
        <v>#N/A</v>
      </c>
      <c r="AL59" s="273" t="e">
        <f t="shared" si="3"/>
        <v>#N/A</v>
      </c>
      <c r="AM59" s="270" t="e">
        <f>INDEX([78]Listas!$F$6:$J$10,MATCH(AI59,[78]Listas!$D$6:$D$10,0),MATCH(AK59,[78]Listas!$F$4:$J$4,0))</f>
        <v>#N/A</v>
      </c>
      <c r="AN59" s="259"/>
      <c r="AO59" s="259"/>
      <c r="AP59" s="610"/>
      <c r="AQ59" s="259"/>
      <c r="AR59" s="259" t="s">
        <v>2343</v>
      </c>
      <c r="AS59" s="608"/>
      <c r="AT59" s="610"/>
      <c r="AU59" s="259"/>
      <c r="AV59" s="259" t="s">
        <v>2343</v>
      </c>
      <c r="AW59" s="608"/>
      <c r="AX59" s="259"/>
      <c r="AY59" s="259"/>
      <c r="AZ59" s="261"/>
      <c r="BA59" s="261"/>
      <c r="BB59" s="608"/>
    </row>
    <row r="60" spans="1:54" s="260" customFormat="1" ht="103.5" hidden="1" customHeight="1">
      <c r="A60" s="608"/>
      <c r="B60" s="266"/>
      <c r="C60" s="1399"/>
      <c r="D60" s="1408"/>
      <c r="E60" s="1400"/>
      <c r="F60" s="267"/>
      <c r="G60" s="1399"/>
      <c r="H60" s="1408"/>
      <c r="I60" s="1400"/>
      <c r="J60" s="1380"/>
      <c r="K60" s="1380"/>
      <c r="L60" s="1380"/>
      <c r="M60" s="608"/>
      <c r="N60" s="608"/>
      <c r="O60" s="608"/>
      <c r="P60" s="608"/>
      <c r="Q60" s="266"/>
      <c r="R60" s="266"/>
      <c r="S60" s="268"/>
      <c r="T60" s="269" t="e">
        <f>VLOOKUP(Q60,[78]Listas!$D$6:$E$10,2,0)</f>
        <v>#N/A</v>
      </c>
      <c r="U60" s="269" t="e">
        <f>HLOOKUP(R60,[78]Listas!$F$4:$J$5,2,0)</f>
        <v>#N/A</v>
      </c>
      <c r="V60" s="270" t="e">
        <f>INDEX([78]Listas!$F$6:$J$10,MATCH(Q60,[78]Listas!$D$6:$D$10,0),MATCH(R60,[78]Listas!$F$4:$J$4,0))</f>
        <v>#N/A</v>
      </c>
      <c r="W60" s="268"/>
      <c r="X60" s="1399"/>
      <c r="Y60" s="1408"/>
      <c r="Z60" s="1400"/>
      <c r="AA60" s="1063"/>
      <c r="AB60" s="267"/>
      <c r="AC60" s="259"/>
      <c r="AD60" s="608"/>
      <c r="AE60" s="267"/>
      <c r="AF60" s="268"/>
      <c r="AG60" s="269">
        <f t="shared" si="0"/>
        <v>0</v>
      </c>
      <c r="AH60" s="271" t="e">
        <f t="shared" si="1"/>
        <v>#N/A</v>
      </c>
      <c r="AI60" s="272" t="e">
        <f>IF(AH60&lt;=1,"Remota",VLOOKUP(AH60,[78]Listas!$C$6:$D$10,2,0))</f>
        <v>#N/A</v>
      </c>
      <c r="AJ60" s="271" t="e">
        <f t="shared" si="2"/>
        <v>#N/A</v>
      </c>
      <c r="AK60" s="272" t="e">
        <f>IF(AJ60&lt;=1,"Insignificante",HLOOKUP(AJ60,[78]Listas!$F$3:$J$4,2,0))</f>
        <v>#N/A</v>
      </c>
      <c r="AL60" s="273" t="e">
        <f t="shared" si="3"/>
        <v>#N/A</v>
      </c>
      <c r="AM60" s="270" t="e">
        <f>INDEX([78]Listas!$F$6:$J$10,MATCH(AI60,[78]Listas!$D$6:$D$10,0),MATCH(AK60,[78]Listas!$F$4:$J$4,0))</f>
        <v>#N/A</v>
      </c>
      <c r="AN60" s="259"/>
      <c r="AO60" s="259"/>
      <c r="AP60" s="610"/>
      <c r="AQ60" s="259"/>
      <c r="AR60" s="259" t="s">
        <v>2343</v>
      </c>
      <c r="AS60" s="608"/>
      <c r="AT60" s="610"/>
      <c r="AU60" s="259"/>
      <c r="AV60" s="259" t="s">
        <v>2343</v>
      </c>
      <c r="AW60" s="608"/>
      <c r="AX60" s="259"/>
      <c r="AY60" s="259"/>
      <c r="AZ60" s="261"/>
      <c r="BA60" s="261"/>
      <c r="BB60" s="608"/>
    </row>
    <row r="61" spans="1:54" s="260" customFormat="1" ht="103.5" hidden="1" customHeight="1">
      <c r="A61" s="608"/>
      <c r="B61" s="266"/>
      <c r="C61" s="1399"/>
      <c r="D61" s="1408"/>
      <c r="E61" s="1400"/>
      <c r="F61" s="267"/>
      <c r="G61" s="1399"/>
      <c r="H61" s="1408"/>
      <c r="I61" s="1400"/>
      <c r="J61" s="1380"/>
      <c r="K61" s="1380"/>
      <c r="L61" s="1380"/>
      <c r="M61" s="608"/>
      <c r="N61" s="608"/>
      <c r="O61" s="608"/>
      <c r="P61" s="608"/>
      <c r="Q61" s="266"/>
      <c r="R61" s="266"/>
      <c r="S61" s="268"/>
      <c r="T61" s="269" t="e">
        <f>VLOOKUP(Q61,[78]Listas!$D$6:$E$10,2,0)</f>
        <v>#N/A</v>
      </c>
      <c r="U61" s="269" t="e">
        <f>HLOOKUP(R61,[78]Listas!$F$4:$J$5,2,0)</f>
        <v>#N/A</v>
      </c>
      <c r="V61" s="270" t="e">
        <f>INDEX([78]Listas!$F$6:$J$10,MATCH(Q61,[78]Listas!$D$6:$D$10,0),MATCH(R61,[78]Listas!$F$4:$J$4,0))</f>
        <v>#N/A</v>
      </c>
      <c r="W61" s="268"/>
      <c r="X61" s="1399"/>
      <c r="Y61" s="1408"/>
      <c r="Z61" s="1400"/>
      <c r="AA61" s="1063"/>
      <c r="AB61" s="267"/>
      <c r="AC61" s="259"/>
      <c r="AD61" s="608"/>
      <c r="AE61" s="267"/>
      <c r="AF61" s="268"/>
      <c r="AG61" s="269">
        <f t="shared" si="0"/>
        <v>0</v>
      </c>
      <c r="AH61" s="271" t="e">
        <f t="shared" si="1"/>
        <v>#N/A</v>
      </c>
      <c r="AI61" s="272" t="e">
        <f>IF(AH61&lt;=1,"Remota",VLOOKUP(AH61,[78]Listas!$C$6:$D$10,2,0))</f>
        <v>#N/A</v>
      </c>
      <c r="AJ61" s="271" t="e">
        <f t="shared" si="2"/>
        <v>#N/A</v>
      </c>
      <c r="AK61" s="272" t="e">
        <f>IF(AJ61&lt;=1,"Insignificante",HLOOKUP(AJ61,[78]Listas!$F$3:$J$4,2,0))</f>
        <v>#N/A</v>
      </c>
      <c r="AL61" s="273" t="e">
        <f t="shared" si="3"/>
        <v>#N/A</v>
      </c>
      <c r="AM61" s="270" t="e">
        <f>INDEX([78]Listas!$F$6:$J$10,MATCH(AI61,[78]Listas!$D$6:$D$10,0),MATCH(AK61,[78]Listas!$F$4:$J$4,0))</f>
        <v>#N/A</v>
      </c>
      <c r="AN61" s="259"/>
      <c r="AO61" s="259"/>
      <c r="AP61" s="610"/>
      <c r="AQ61" s="259"/>
      <c r="AR61" s="259" t="s">
        <v>2343</v>
      </c>
      <c r="AS61" s="608"/>
      <c r="AT61" s="610"/>
      <c r="AU61" s="259"/>
      <c r="AV61" s="259" t="s">
        <v>2343</v>
      </c>
      <c r="AW61" s="608"/>
      <c r="AX61" s="259"/>
      <c r="AY61" s="259"/>
      <c r="AZ61" s="261"/>
      <c r="BA61" s="261"/>
      <c r="BB61" s="608"/>
    </row>
    <row r="62" spans="1:54" s="260" customFormat="1" ht="103.5" hidden="1" customHeight="1">
      <c r="A62" s="608"/>
      <c r="B62" s="266"/>
      <c r="C62" s="1399"/>
      <c r="D62" s="1408"/>
      <c r="E62" s="1400"/>
      <c r="F62" s="267"/>
      <c r="G62" s="1399"/>
      <c r="H62" s="1408"/>
      <c r="I62" s="1400"/>
      <c r="J62" s="1380"/>
      <c r="K62" s="1380"/>
      <c r="L62" s="1380"/>
      <c r="M62" s="608"/>
      <c r="N62" s="608"/>
      <c r="O62" s="608"/>
      <c r="P62" s="608"/>
      <c r="Q62" s="266"/>
      <c r="R62" s="266"/>
      <c r="S62" s="268"/>
      <c r="T62" s="269" t="e">
        <f>VLOOKUP(Q62,[78]Listas!$D$6:$E$10,2,0)</f>
        <v>#N/A</v>
      </c>
      <c r="U62" s="269" t="e">
        <f>HLOOKUP(R62,[78]Listas!$F$4:$J$5,2,0)</f>
        <v>#N/A</v>
      </c>
      <c r="V62" s="270" t="e">
        <f>INDEX([78]Listas!$F$6:$J$10,MATCH(Q62,[78]Listas!$D$6:$D$10,0),MATCH(R62,[78]Listas!$F$4:$J$4,0))</f>
        <v>#N/A</v>
      </c>
      <c r="W62" s="268"/>
      <c r="X62" s="1399"/>
      <c r="Y62" s="1408"/>
      <c r="Z62" s="1400"/>
      <c r="AA62" s="1063"/>
      <c r="AB62" s="267"/>
      <c r="AC62" s="259"/>
      <c r="AD62" s="608"/>
      <c r="AE62" s="267"/>
      <c r="AF62" s="268"/>
      <c r="AG62" s="269">
        <f t="shared" si="0"/>
        <v>0</v>
      </c>
      <c r="AH62" s="271" t="e">
        <f t="shared" si="1"/>
        <v>#N/A</v>
      </c>
      <c r="AI62" s="272" t="e">
        <f>IF(AH62&lt;=1,"Remota",VLOOKUP(AH62,[78]Listas!$C$6:$D$10,2,0))</f>
        <v>#N/A</v>
      </c>
      <c r="AJ62" s="271" t="e">
        <f t="shared" si="2"/>
        <v>#N/A</v>
      </c>
      <c r="AK62" s="272" t="e">
        <f>IF(AJ62&lt;=1,"Insignificante",HLOOKUP(AJ62,[78]Listas!$F$3:$J$4,2,0))</f>
        <v>#N/A</v>
      </c>
      <c r="AL62" s="273" t="e">
        <f t="shared" si="3"/>
        <v>#N/A</v>
      </c>
      <c r="AM62" s="270" t="e">
        <f>INDEX([78]Listas!$F$6:$J$10,MATCH(AI62,[78]Listas!$D$6:$D$10,0),MATCH(AK62,[78]Listas!$F$4:$J$4,0))</f>
        <v>#N/A</v>
      </c>
      <c r="AN62" s="259"/>
      <c r="AO62" s="259"/>
      <c r="AP62" s="610"/>
      <c r="AQ62" s="259"/>
      <c r="AR62" s="259" t="s">
        <v>2343</v>
      </c>
      <c r="AS62" s="608"/>
      <c r="AT62" s="610"/>
      <c r="AU62" s="259"/>
      <c r="AV62" s="259" t="s">
        <v>2343</v>
      </c>
      <c r="AW62" s="608"/>
      <c r="AX62" s="259"/>
      <c r="AY62" s="259"/>
      <c r="AZ62" s="261"/>
      <c r="BA62" s="261"/>
      <c r="BB62" s="608"/>
    </row>
    <row r="63" spans="1:54" s="260" customFormat="1" ht="103.5" hidden="1" customHeight="1">
      <c r="A63" s="608"/>
      <c r="B63" s="266"/>
      <c r="C63" s="1399"/>
      <c r="D63" s="1408"/>
      <c r="E63" s="1400"/>
      <c r="F63" s="267"/>
      <c r="G63" s="1399"/>
      <c r="H63" s="1408"/>
      <c r="I63" s="1400"/>
      <c r="J63" s="1380"/>
      <c r="K63" s="1380"/>
      <c r="L63" s="1380"/>
      <c r="M63" s="608"/>
      <c r="N63" s="608"/>
      <c r="O63" s="608"/>
      <c r="P63" s="608"/>
      <c r="Q63" s="266"/>
      <c r="R63" s="266"/>
      <c r="S63" s="268"/>
      <c r="T63" s="269" t="e">
        <f>VLOOKUP(Q63,[78]Listas!$D$6:$E$10,2,0)</f>
        <v>#N/A</v>
      </c>
      <c r="U63" s="269" t="e">
        <f>HLOOKUP(R63,[78]Listas!$F$4:$J$5,2,0)</f>
        <v>#N/A</v>
      </c>
      <c r="V63" s="270" t="e">
        <f>INDEX([78]Listas!$F$6:$J$10,MATCH(Q63,[78]Listas!$D$6:$D$10,0),MATCH(R63,[78]Listas!$F$4:$J$4,0))</f>
        <v>#N/A</v>
      </c>
      <c r="W63" s="268"/>
      <c r="X63" s="1399"/>
      <c r="Y63" s="1408"/>
      <c r="Z63" s="1400"/>
      <c r="AA63" s="1063"/>
      <c r="AB63" s="267"/>
      <c r="AC63" s="259"/>
      <c r="AD63" s="608"/>
      <c r="AE63" s="267"/>
      <c r="AF63" s="268"/>
      <c r="AG63" s="269">
        <f t="shared" si="0"/>
        <v>0</v>
      </c>
      <c r="AH63" s="271" t="e">
        <f t="shared" si="1"/>
        <v>#N/A</v>
      </c>
      <c r="AI63" s="272" t="e">
        <f>IF(AH63&lt;=1,"Remota",VLOOKUP(AH63,[78]Listas!$C$6:$D$10,2,0))</f>
        <v>#N/A</v>
      </c>
      <c r="AJ63" s="271" t="e">
        <f t="shared" si="2"/>
        <v>#N/A</v>
      </c>
      <c r="AK63" s="272" t="e">
        <f>IF(AJ63&lt;=1,"Insignificante",HLOOKUP(AJ63,[78]Listas!$F$3:$J$4,2,0))</f>
        <v>#N/A</v>
      </c>
      <c r="AL63" s="273" t="e">
        <f t="shared" si="3"/>
        <v>#N/A</v>
      </c>
      <c r="AM63" s="270" t="e">
        <f>INDEX([78]Listas!$F$6:$J$10,MATCH(AI63,[78]Listas!$D$6:$D$10,0),MATCH(AK63,[78]Listas!$F$4:$J$4,0))</f>
        <v>#N/A</v>
      </c>
      <c r="AN63" s="259"/>
      <c r="AO63" s="259"/>
      <c r="AP63" s="610"/>
      <c r="AQ63" s="259"/>
      <c r="AR63" s="259" t="s">
        <v>2343</v>
      </c>
      <c r="AS63" s="608"/>
      <c r="AT63" s="610"/>
      <c r="AU63" s="259"/>
      <c r="AV63" s="259" t="s">
        <v>2343</v>
      </c>
      <c r="AW63" s="608"/>
      <c r="AX63" s="259"/>
      <c r="AY63" s="259"/>
      <c r="AZ63" s="261"/>
      <c r="BA63" s="261"/>
      <c r="BB63" s="608"/>
    </row>
    <row r="64" spans="1:54" s="260" customFormat="1" ht="103.5" hidden="1" customHeight="1">
      <c r="A64" s="608"/>
      <c r="B64" s="266"/>
      <c r="C64" s="1399"/>
      <c r="D64" s="1408"/>
      <c r="E64" s="1400"/>
      <c r="F64" s="267"/>
      <c r="G64" s="1399"/>
      <c r="H64" s="1408"/>
      <c r="I64" s="1400"/>
      <c r="J64" s="1380"/>
      <c r="K64" s="1380"/>
      <c r="L64" s="1380"/>
      <c r="M64" s="608"/>
      <c r="N64" s="608"/>
      <c r="O64" s="608"/>
      <c r="P64" s="608"/>
      <c r="Q64" s="266"/>
      <c r="R64" s="266"/>
      <c r="S64" s="268"/>
      <c r="T64" s="269" t="e">
        <f>VLOOKUP(Q64,[78]Listas!$D$6:$E$10,2,0)</f>
        <v>#N/A</v>
      </c>
      <c r="U64" s="269" t="e">
        <f>HLOOKUP(R64,[78]Listas!$F$4:$J$5,2,0)</f>
        <v>#N/A</v>
      </c>
      <c r="V64" s="270" t="e">
        <f>INDEX([78]Listas!$F$6:$J$10,MATCH(Q64,[78]Listas!$D$6:$D$10,0),MATCH(R64,[78]Listas!$F$4:$J$4,0))</f>
        <v>#N/A</v>
      </c>
      <c r="W64" s="268"/>
      <c r="X64" s="1399"/>
      <c r="Y64" s="1408"/>
      <c r="Z64" s="1400"/>
      <c r="AA64" s="1063"/>
      <c r="AB64" s="267"/>
      <c r="AC64" s="259"/>
      <c r="AD64" s="608"/>
      <c r="AE64" s="267"/>
      <c r="AF64" s="268"/>
      <c r="AG64" s="269">
        <f t="shared" si="0"/>
        <v>0</v>
      </c>
      <c r="AH64" s="271" t="e">
        <f t="shared" si="1"/>
        <v>#N/A</v>
      </c>
      <c r="AI64" s="272" t="e">
        <f>IF(AH64&lt;=1,"Remota",VLOOKUP(AH64,[78]Listas!$C$6:$D$10,2,0))</f>
        <v>#N/A</v>
      </c>
      <c r="AJ64" s="271" t="e">
        <f t="shared" si="2"/>
        <v>#N/A</v>
      </c>
      <c r="AK64" s="272" t="e">
        <f>IF(AJ64&lt;=1,"Insignificante",HLOOKUP(AJ64,[78]Listas!$F$3:$J$4,2,0))</f>
        <v>#N/A</v>
      </c>
      <c r="AL64" s="273" t="e">
        <f t="shared" si="3"/>
        <v>#N/A</v>
      </c>
      <c r="AM64" s="270" t="e">
        <f>INDEX([78]Listas!$F$6:$J$10,MATCH(AI64,[78]Listas!$D$6:$D$10,0),MATCH(AK64,[78]Listas!$F$4:$J$4,0))</f>
        <v>#N/A</v>
      </c>
      <c r="AN64" s="259"/>
      <c r="AO64" s="259"/>
      <c r="AP64" s="610"/>
      <c r="AQ64" s="259"/>
      <c r="AR64" s="259" t="s">
        <v>2343</v>
      </c>
      <c r="AS64" s="608"/>
      <c r="AT64" s="610"/>
      <c r="AU64" s="259"/>
      <c r="AV64" s="259" t="s">
        <v>2343</v>
      </c>
      <c r="AW64" s="608"/>
      <c r="AX64" s="259"/>
      <c r="AY64" s="259"/>
      <c r="AZ64" s="261"/>
      <c r="BA64" s="261"/>
      <c r="BB64" s="608"/>
    </row>
    <row r="65" spans="1:54" s="260" customFormat="1" ht="103.5" hidden="1" customHeight="1">
      <c r="A65" s="608"/>
      <c r="B65" s="266"/>
      <c r="C65" s="1399"/>
      <c r="D65" s="1408"/>
      <c r="E65" s="1400"/>
      <c r="F65" s="267"/>
      <c r="G65" s="1399"/>
      <c r="H65" s="1408"/>
      <c r="I65" s="1400"/>
      <c r="J65" s="1380"/>
      <c r="K65" s="1380"/>
      <c r="L65" s="1380"/>
      <c r="M65" s="608"/>
      <c r="N65" s="608"/>
      <c r="O65" s="608"/>
      <c r="P65" s="608"/>
      <c r="Q65" s="266"/>
      <c r="R65" s="266"/>
      <c r="S65" s="268"/>
      <c r="T65" s="269" t="e">
        <f>VLOOKUP(Q65,[78]Listas!$D$6:$E$10,2,0)</f>
        <v>#N/A</v>
      </c>
      <c r="U65" s="269" t="e">
        <f>HLOOKUP(R65,[78]Listas!$F$4:$J$5,2,0)</f>
        <v>#N/A</v>
      </c>
      <c r="V65" s="270" t="e">
        <f>INDEX([78]Listas!$F$6:$J$10,MATCH(Q65,[78]Listas!$D$6:$D$10,0),MATCH(R65,[78]Listas!$F$4:$J$4,0))</f>
        <v>#N/A</v>
      </c>
      <c r="W65" s="268"/>
      <c r="X65" s="1399"/>
      <c r="Y65" s="1408"/>
      <c r="Z65" s="1400"/>
      <c r="AA65" s="1063"/>
      <c r="AB65" s="267"/>
      <c r="AC65" s="259"/>
      <c r="AD65" s="608"/>
      <c r="AE65" s="267"/>
      <c r="AF65" s="268"/>
      <c r="AG65" s="269">
        <f t="shared" si="0"/>
        <v>0</v>
      </c>
      <c r="AH65" s="271" t="e">
        <f t="shared" si="1"/>
        <v>#N/A</v>
      </c>
      <c r="AI65" s="272" t="e">
        <f>IF(AH65&lt;=1,"Remota",VLOOKUP(AH65,[78]Listas!$C$6:$D$10,2,0))</f>
        <v>#N/A</v>
      </c>
      <c r="AJ65" s="271" t="e">
        <f t="shared" si="2"/>
        <v>#N/A</v>
      </c>
      <c r="AK65" s="272" t="e">
        <f>IF(AJ65&lt;=1,"Insignificante",HLOOKUP(AJ65,[78]Listas!$F$3:$J$4,2,0))</f>
        <v>#N/A</v>
      </c>
      <c r="AL65" s="273" t="e">
        <f t="shared" si="3"/>
        <v>#N/A</v>
      </c>
      <c r="AM65" s="270" t="e">
        <f>INDEX([78]Listas!$F$6:$J$10,MATCH(AI65,[78]Listas!$D$6:$D$10,0),MATCH(AK65,[78]Listas!$F$4:$J$4,0))</f>
        <v>#N/A</v>
      </c>
      <c r="AN65" s="259"/>
      <c r="AO65" s="259"/>
      <c r="AP65" s="610"/>
      <c r="AQ65" s="259"/>
      <c r="AR65" s="259" t="s">
        <v>2343</v>
      </c>
      <c r="AS65" s="608"/>
      <c r="AT65" s="610"/>
      <c r="AU65" s="259"/>
      <c r="AV65" s="259" t="s">
        <v>2343</v>
      </c>
      <c r="AW65" s="608"/>
      <c r="AX65" s="259"/>
      <c r="AY65" s="259"/>
      <c r="AZ65" s="261"/>
      <c r="BA65" s="261"/>
      <c r="BB65" s="608"/>
    </row>
    <row r="66" spans="1:54" s="260" customFormat="1" ht="103.5" hidden="1" customHeight="1">
      <c r="A66" s="608"/>
      <c r="B66" s="266"/>
      <c r="C66" s="1399"/>
      <c r="D66" s="1408"/>
      <c r="E66" s="1400"/>
      <c r="F66" s="267"/>
      <c r="G66" s="1399"/>
      <c r="H66" s="1408"/>
      <c r="I66" s="1400"/>
      <c r="J66" s="1380"/>
      <c r="K66" s="1380"/>
      <c r="L66" s="1380"/>
      <c r="M66" s="608"/>
      <c r="N66" s="608"/>
      <c r="O66" s="608"/>
      <c r="P66" s="608"/>
      <c r="Q66" s="266"/>
      <c r="R66" s="266"/>
      <c r="S66" s="268"/>
      <c r="T66" s="269" t="e">
        <f>VLOOKUP(Q66,[78]Listas!$D$6:$E$10,2,0)</f>
        <v>#N/A</v>
      </c>
      <c r="U66" s="269" t="e">
        <f>HLOOKUP(R66,[78]Listas!$F$4:$J$5,2,0)</f>
        <v>#N/A</v>
      </c>
      <c r="V66" s="270" t="e">
        <f>INDEX([78]Listas!$F$6:$J$10,MATCH(Q66,[78]Listas!$D$6:$D$10,0),MATCH(R66,[78]Listas!$F$4:$J$4,0))</f>
        <v>#N/A</v>
      </c>
      <c r="W66" s="268"/>
      <c r="X66" s="1399"/>
      <c r="Y66" s="1408"/>
      <c r="Z66" s="1400"/>
      <c r="AA66" s="1063"/>
      <c r="AB66" s="267"/>
      <c r="AC66" s="259"/>
      <c r="AD66" s="608"/>
      <c r="AE66" s="267"/>
      <c r="AF66" s="268"/>
      <c r="AG66" s="269">
        <f t="shared" si="0"/>
        <v>0</v>
      </c>
      <c r="AH66" s="271" t="e">
        <f t="shared" si="1"/>
        <v>#N/A</v>
      </c>
      <c r="AI66" s="272" t="e">
        <f>IF(AH66&lt;=1,"Remota",VLOOKUP(AH66,[78]Listas!$C$6:$D$10,2,0))</f>
        <v>#N/A</v>
      </c>
      <c r="AJ66" s="271" t="e">
        <f t="shared" si="2"/>
        <v>#N/A</v>
      </c>
      <c r="AK66" s="272" t="e">
        <f>IF(AJ66&lt;=1,"Insignificante",HLOOKUP(AJ66,[78]Listas!$F$3:$J$4,2,0))</f>
        <v>#N/A</v>
      </c>
      <c r="AL66" s="273" t="e">
        <f t="shared" si="3"/>
        <v>#N/A</v>
      </c>
      <c r="AM66" s="270" t="e">
        <f>INDEX([78]Listas!$F$6:$J$10,MATCH(AI66,[78]Listas!$D$6:$D$10,0),MATCH(AK66,[78]Listas!$F$4:$J$4,0))</f>
        <v>#N/A</v>
      </c>
      <c r="AN66" s="259"/>
      <c r="AO66" s="259"/>
      <c r="AP66" s="610"/>
      <c r="AQ66" s="259"/>
      <c r="AR66" s="259" t="s">
        <v>2343</v>
      </c>
      <c r="AS66" s="608"/>
      <c r="AT66" s="610"/>
      <c r="AU66" s="259"/>
      <c r="AV66" s="259" t="s">
        <v>2343</v>
      </c>
      <c r="AW66" s="608"/>
      <c r="AX66" s="259"/>
      <c r="AY66" s="259"/>
      <c r="AZ66" s="261"/>
      <c r="BA66" s="261"/>
      <c r="BB66" s="608"/>
    </row>
    <row r="67" spans="1:54" s="260" customFormat="1" ht="103.5" hidden="1" customHeight="1">
      <c r="A67" s="608"/>
      <c r="B67" s="266"/>
      <c r="C67" s="1399"/>
      <c r="D67" s="1408"/>
      <c r="E67" s="1400"/>
      <c r="F67" s="267"/>
      <c r="G67" s="1399"/>
      <c r="H67" s="1408"/>
      <c r="I67" s="1400"/>
      <c r="J67" s="1380"/>
      <c r="K67" s="1380"/>
      <c r="L67" s="1380"/>
      <c r="M67" s="608"/>
      <c r="N67" s="608"/>
      <c r="O67" s="608"/>
      <c r="P67" s="608"/>
      <c r="Q67" s="266"/>
      <c r="R67" s="266"/>
      <c r="S67" s="268"/>
      <c r="T67" s="269" t="e">
        <f>VLOOKUP(Q67,[78]Listas!$D$6:$E$10,2,0)</f>
        <v>#N/A</v>
      </c>
      <c r="U67" s="269" t="e">
        <f>HLOOKUP(R67,[78]Listas!$F$4:$J$5,2,0)</f>
        <v>#N/A</v>
      </c>
      <c r="V67" s="270" t="e">
        <f>INDEX([78]Listas!$F$6:$J$10,MATCH(Q67,[78]Listas!$D$6:$D$10,0),MATCH(R67,[78]Listas!$F$4:$J$4,0))</f>
        <v>#N/A</v>
      </c>
      <c r="W67" s="268"/>
      <c r="X67" s="1399"/>
      <c r="Y67" s="1408"/>
      <c r="Z67" s="1400"/>
      <c r="AA67" s="1063"/>
      <c r="AB67" s="267"/>
      <c r="AC67" s="259"/>
      <c r="AD67" s="608"/>
      <c r="AE67" s="267"/>
      <c r="AF67" s="268"/>
      <c r="AG67" s="269">
        <f t="shared" si="0"/>
        <v>0</v>
      </c>
      <c r="AH67" s="271" t="e">
        <f t="shared" si="1"/>
        <v>#N/A</v>
      </c>
      <c r="AI67" s="272" t="e">
        <f>IF(AH67&lt;=1,"Remota",VLOOKUP(AH67,[78]Listas!$C$6:$D$10,2,0))</f>
        <v>#N/A</v>
      </c>
      <c r="AJ67" s="271" t="e">
        <f t="shared" si="2"/>
        <v>#N/A</v>
      </c>
      <c r="AK67" s="272" t="e">
        <f>IF(AJ67&lt;=1,"Insignificante",HLOOKUP(AJ67,[78]Listas!$F$3:$J$4,2,0))</f>
        <v>#N/A</v>
      </c>
      <c r="AL67" s="273" t="e">
        <f t="shared" si="3"/>
        <v>#N/A</v>
      </c>
      <c r="AM67" s="270" t="e">
        <f>INDEX([78]Listas!$F$6:$J$10,MATCH(AI67,[78]Listas!$D$6:$D$10,0),MATCH(AK67,[78]Listas!$F$4:$J$4,0))</f>
        <v>#N/A</v>
      </c>
      <c r="AN67" s="259"/>
      <c r="AO67" s="259"/>
      <c r="AP67" s="610"/>
      <c r="AQ67" s="259"/>
      <c r="AR67" s="259" t="s">
        <v>2343</v>
      </c>
      <c r="AS67" s="608"/>
      <c r="AT67" s="610"/>
      <c r="AU67" s="259"/>
      <c r="AV67" s="259" t="s">
        <v>2343</v>
      </c>
      <c r="AW67" s="608"/>
      <c r="AX67" s="259"/>
      <c r="AY67" s="259"/>
      <c r="AZ67" s="261"/>
      <c r="BA67" s="261"/>
      <c r="BB67" s="608"/>
    </row>
    <row r="68" spans="1:54" s="260" customFormat="1" ht="103.5" hidden="1" customHeight="1">
      <c r="A68" s="608"/>
      <c r="B68" s="266"/>
      <c r="C68" s="1399"/>
      <c r="D68" s="1408"/>
      <c r="E68" s="1400"/>
      <c r="F68" s="267"/>
      <c r="G68" s="1399"/>
      <c r="H68" s="1408"/>
      <c r="I68" s="1400"/>
      <c r="J68" s="1380"/>
      <c r="K68" s="1380"/>
      <c r="L68" s="1380"/>
      <c r="M68" s="608"/>
      <c r="N68" s="608"/>
      <c r="O68" s="608"/>
      <c r="P68" s="608"/>
      <c r="Q68" s="266"/>
      <c r="R68" s="266"/>
      <c r="S68" s="268"/>
      <c r="T68" s="269" t="e">
        <f>VLOOKUP(Q68,[78]Listas!$D$6:$E$10,2,0)</f>
        <v>#N/A</v>
      </c>
      <c r="U68" s="269" t="e">
        <f>HLOOKUP(R68,[78]Listas!$F$4:$J$5,2,0)</f>
        <v>#N/A</v>
      </c>
      <c r="V68" s="270" t="e">
        <f>INDEX([78]Listas!$F$6:$J$10,MATCH(Q68,[78]Listas!$D$6:$D$10,0),MATCH(R68,[78]Listas!$F$4:$J$4,0))</f>
        <v>#N/A</v>
      </c>
      <c r="W68" s="268"/>
      <c r="X68" s="1399"/>
      <c r="Y68" s="1408"/>
      <c r="Z68" s="1400"/>
      <c r="AA68" s="1063"/>
      <c r="AB68" s="267"/>
      <c r="AC68" s="259"/>
      <c r="AD68" s="608"/>
      <c r="AE68" s="267"/>
      <c r="AF68" s="268"/>
      <c r="AG68" s="269">
        <f t="shared" si="0"/>
        <v>0</v>
      </c>
      <c r="AH68" s="271" t="e">
        <f t="shared" si="1"/>
        <v>#N/A</v>
      </c>
      <c r="AI68" s="272" t="e">
        <f>IF(AH68&lt;=1,"Remota",VLOOKUP(AH68,[78]Listas!$C$6:$D$10,2,0))</f>
        <v>#N/A</v>
      </c>
      <c r="AJ68" s="271" t="e">
        <f t="shared" si="2"/>
        <v>#N/A</v>
      </c>
      <c r="AK68" s="272" t="e">
        <f>IF(AJ68&lt;=1,"Insignificante",HLOOKUP(AJ68,[78]Listas!$F$3:$J$4,2,0))</f>
        <v>#N/A</v>
      </c>
      <c r="AL68" s="273" t="e">
        <f t="shared" si="3"/>
        <v>#N/A</v>
      </c>
      <c r="AM68" s="270" t="e">
        <f>INDEX([78]Listas!$F$6:$J$10,MATCH(AI68,[78]Listas!$D$6:$D$10,0),MATCH(AK68,[78]Listas!$F$4:$J$4,0))</f>
        <v>#N/A</v>
      </c>
      <c r="AN68" s="259"/>
      <c r="AO68" s="259"/>
      <c r="AP68" s="610"/>
      <c r="AQ68" s="259"/>
      <c r="AR68" s="259" t="s">
        <v>2343</v>
      </c>
      <c r="AS68" s="608"/>
      <c r="AT68" s="610"/>
      <c r="AU68" s="259"/>
      <c r="AV68" s="259" t="s">
        <v>2343</v>
      </c>
      <c r="AW68" s="608"/>
      <c r="AX68" s="259"/>
      <c r="AY68" s="259"/>
      <c r="AZ68" s="261"/>
      <c r="BA68" s="261"/>
      <c r="BB68" s="608"/>
    </row>
    <row r="69" spans="1:54" s="260" customFormat="1" ht="103.5" hidden="1" customHeight="1">
      <c r="A69" s="608"/>
      <c r="B69" s="266"/>
      <c r="C69" s="1399"/>
      <c r="D69" s="1408"/>
      <c r="E69" s="1400"/>
      <c r="F69" s="267"/>
      <c r="G69" s="1399"/>
      <c r="H69" s="1408"/>
      <c r="I69" s="1400"/>
      <c r="J69" s="1380"/>
      <c r="K69" s="1380"/>
      <c r="L69" s="1380"/>
      <c r="M69" s="608"/>
      <c r="N69" s="608"/>
      <c r="O69" s="608"/>
      <c r="P69" s="608"/>
      <c r="Q69" s="266"/>
      <c r="R69" s="266"/>
      <c r="S69" s="268"/>
      <c r="T69" s="269" t="e">
        <f>VLOOKUP(Q69,[78]Listas!$D$6:$E$10,2,0)</f>
        <v>#N/A</v>
      </c>
      <c r="U69" s="269" t="e">
        <f>HLOOKUP(R69,[78]Listas!$F$4:$J$5,2,0)</f>
        <v>#N/A</v>
      </c>
      <c r="V69" s="270" t="e">
        <f>INDEX([78]Listas!$F$6:$J$10,MATCH(Q69,[78]Listas!$D$6:$D$10,0),MATCH(R69,[78]Listas!$F$4:$J$4,0))</f>
        <v>#N/A</v>
      </c>
      <c r="W69" s="268"/>
      <c r="X69" s="1399"/>
      <c r="Y69" s="1408"/>
      <c r="Z69" s="1400"/>
      <c r="AA69" s="1063"/>
      <c r="AB69" s="267"/>
      <c r="AC69" s="259"/>
      <c r="AD69" s="608"/>
      <c r="AE69" s="267"/>
      <c r="AF69" s="268"/>
      <c r="AG69" s="269">
        <f t="shared" si="0"/>
        <v>0</v>
      </c>
      <c r="AH69" s="271" t="e">
        <f t="shared" si="1"/>
        <v>#N/A</v>
      </c>
      <c r="AI69" s="272" t="e">
        <f>IF(AH69&lt;=1,"Remota",VLOOKUP(AH69,[78]Listas!$C$6:$D$10,2,0))</f>
        <v>#N/A</v>
      </c>
      <c r="AJ69" s="271" t="e">
        <f t="shared" si="2"/>
        <v>#N/A</v>
      </c>
      <c r="AK69" s="272" t="e">
        <f>IF(AJ69&lt;=1,"Insignificante",HLOOKUP(AJ69,[78]Listas!$F$3:$J$4,2,0))</f>
        <v>#N/A</v>
      </c>
      <c r="AL69" s="273" t="e">
        <f t="shared" si="3"/>
        <v>#N/A</v>
      </c>
      <c r="AM69" s="270" t="e">
        <f>INDEX([78]Listas!$F$6:$J$10,MATCH(AI69,[78]Listas!$D$6:$D$10,0),MATCH(AK69,[78]Listas!$F$4:$J$4,0))</f>
        <v>#N/A</v>
      </c>
      <c r="AN69" s="259"/>
      <c r="AO69" s="259"/>
      <c r="AP69" s="610"/>
      <c r="AQ69" s="259"/>
      <c r="AR69" s="259" t="s">
        <v>2343</v>
      </c>
      <c r="AS69" s="608"/>
      <c r="AT69" s="610"/>
      <c r="AU69" s="259"/>
      <c r="AV69" s="259" t="s">
        <v>2343</v>
      </c>
      <c r="AW69" s="608"/>
      <c r="AX69" s="259"/>
      <c r="AY69" s="259"/>
      <c r="AZ69" s="261"/>
      <c r="BA69" s="261"/>
      <c r="BB69" s="608"/>
    </row>
    <row r="70" spans="1:54" s="260" customFormat="1" ht="103.5" hidden="1" customHeight="1">
      <c r="A70" s="608"/>
      <c r="B70" s="266"/>
      <c r="C70" s="1399"/>
      <c r="D70" s="1408"/>
      <c r="E70" s="1400"/>
      <c r="F70" s="267"/>
      <c r="G70" s="1399"/>
      <c r="H70" s="1408"/>
      <c r="I70" s="1400"/>
      <c r="J70" s="1380"/>
      <c r="K70" s="1380"/>
      <c r="L70" s="1380"/>
      <c r="M70" s="608"/>
      <c r="N70" s="608"/>
      <c r="O70" s="608"/>
      <c r="P70" s="608"/>
      <c r="Q70" s="266"/>
      <c r="R70" s="266"/>
      <c r="S70" s="268"/>
      <c r="T70" s="269" t="e">
        <f>VLOOKUP(Q70,[78]Listas!$D$6:$E$10,2,0)</f>
        <v>#N/A</v>
      </c>
      <c r="U70" s="269" t="e">
        <f>HLOOKUP(R70,[78]Listas!$F$4:$J$5,2,0)</f>
        <v>#N/A</v>
      </c>
      <c r="V70" s="270" t="e">
        <f>INDEX([78]Listas!$F$6:$J$10,MATCH(Q70,[78]Listas!$D$6:$D$10,0),MATCH(R70,[78]Listas!$F$4:$J$4,0))</f>
        <v>#N/A</v>
      </c>
      <c r="W70" s="268"/>
      <c r="X70" s="1399"/>
      <c r="Y70" s="1408"/>
      <c r="Z70" s="1400"/>
      <c r="AA70" s="1063"/>
      <c r="AB70" s="267"/>
      <c r="AC70" s="259"/>
      <c r="AD70" s="608"/>
      <c r="AE70" s="267"/>
      <c r="AF70" s="268"/>
      <c r="AG70" s="269">
        <f t="shared" si="0"/>
        <v>0</v>
      </c>
      <c r="AH70" s="271" t="e">
        <f t="shared" si="1"/>
        <v>#N/A</v>
      </c>
      <c r="AI70" s="272" t="e">
        <f>IF(AH70&lt;=1,"Remota",VLOOKUP(AH70,[78]Listas!$C$6:$D$10,2,0))</f>
        <v>#N/A</v>
      </c>
      <c r="AJ70" s="271" t="e">
        <f t="shared" si="2"/>
        <v>#N/A</v>
      </c>
      <c r="AK70" s="272" t="e">
        <f>IF(AJ70&lt;=1,"Insignificante",HLOOKUP(AJ70,[78]Listas!$F$3:$J$4,2,0))</f>
        <v>#N/A</v>
      </c>
      <c r="AL70" s="273" t="e">
        <f t="shared" si="3"/>
        <v>#N/A</v>
      </c>
      <c r="AM70" s="270" t="e">
        <f>INDEX([78]Listas!$F$6:$J$10,MATCH(AI70,[78]Listas!$D$6:$D$10,0),MATCH(AK70,[78]Listas!$F$4:$J$4,0))</f>
        <v>#N/A</v>
      </c>
      <c r="AN70" s="259"/>
      <c r="AO70" s="259"/>
      <c r="AP70" s="610"/>
      <c r="AQ70" s="259"/>
      <c r="AR70" s="259" t="s">
        <v>2343</v>
      </c>
      <c r="AS70" s="608"/>
      <c r="AT70" s="610"/>
      <c r="AU70" s="259"/>
      <c r="AV70" s="259" t="s">
        <v>2343</v>
      </c>
      <c r="AW70" s="608"/>
      <c r="AX70" s="259"/>
      <c r="AY70" s="259"/>
      <c r="AZ70" s="261"/>
      <c r="BA70" s="261"/>
      <c r="BB70" s="608"/>
    </row>
    <row r="71" spans="1:54" s="260" customFormat="1" ht="103.5" hidden="1" customHeight="1">
      <c r="A71" s="608"/>
      <c r="B71" s="266"/>
      <c r="C71" s="1399"/>
      <c r="D71" s="1408"/>
      <c r="E71" s="1400"/>
      <c r="F71" s="267"/>
      <c r="G71" s="1399"/>
      <c r="H71" s="1408"/>
      <c r="I71" s="1400"/>
      <c r="J71" s="1380"/>
      <c r="K71" s="1380"/>
      <c r="L71" s="1380"/>
      <c r="M71" s="608"/>
      <c r="N71" s="608"/>
      <c r="O71" s="608"/>
      <c r="P71" s="608"/>
      <c r="Q71" s="266"/>
      <c r="R71" s="266"/>
      <c r="S71" s="268"/>
      <c r="T71" s="269" t="e">
        <f>VLOOKUP(Q71,[78]Listas!$D$6:$E$10,2,0)</f>
        <v>#N/A</v>
      </c>
      <c r="U71" s="269" t="e">
        <f>HLOOKUP(R71,[78]Listas!$F$4:$J$5,2,0)</f>
        <v>#N/A</v>
      </c>
      <c r="V71" s="270" t="e">
        <f>INDEX([78]Listas!$F$6:$J$10,MATCH(Q71,[78]Listas!$D$6:$D$10,0),MATCH(R71,[78]Listas!$F$4:$J$4,0))</f>
        <v>#N/A</v>
      </c>
      <c r="W71" s="268"/>
      <c r="X71" s="1399"/>
      <c r="Y71" s="1408"/>
      <c r="Z71" s="1400"/>
      <c r="AA71" s="1063"/>
      <c r="AB71" s="267"/>
      <c r="AC71" s="259"/>
      <c r="AD71" s="608"/>
      <c r="AE71" s="267"/>
      <c r="AF71" s="268"/>
      <c r="AG71" s="269">
        <f t="shared" si="0"/>
        <v>0</v>
      </c>
      <c r="AH71" s="271" t="e">
        <f t="shared" si="1"/>
        <v>#N/A</v>
      </c>
      <c r="AI71" s="272" t="e">
        <f>IF(AH71&lt;=1,"Remota",VLOOKUP(AH71,[78]Listas!$C$6:$D$10,2,0))</f>
        <v>#N/A</v>
      </c>
      <c r="AJ71" s="271" t="e">
        <f t="shared" si="2"/>
        <v>#N/A</v>
      </c>
      <c r="AK71" s="272" t="e">
        <f>IF(AJ71&lt;=1,"Insignificante",HLOOKUP(AJ71,[78]Listas!$F$3:$J$4,2,0))</f>
        <v>#N/A</v>
      </c>
      <c r="AL71" s="273" t="e">
        <f t="shared" si="3"/>
        <v>#N/A</v>
      </c>
      <c r="AM71" s="270" t="e">
        <f>INDEX([78]Listas!$F$6:$J$10,MATCH(AI71,[78]Listas!$D$6:$D$10,0),MATCH(AK71,[78]Listas!$F$4:$J$4,0))</f>
        <v>#N/A</v>
      </c>
      <c r="AN71" s="259"/>
      <c r="AO71" s="259"/>
      <c r="AP71" s="610"/>
      <c r="AQ71" s="259"/>
      <c r="AR71" s="259" t="s">
        <v>2343</v>
      </c>
      <c r="AS71" s="608"/>
      <c r="AT71" s="610"/>
      <c r="AU71" s="259"/>
      <c r="AV71" s="259" t="s">
        <v>2343</v>
      </c>
      <c r="AW71" s="608"/>
      <c r="AX71" s="259"/>
      <c r="AY71" s="259"/>
      <c r="AZ71" s="261"/>
      <c r="BA71" s="261"/>
      <c r="BB71" s="608"/>
    </row>
    <row r="72" spans="1:54" s="260" customFormat="1" ht="103.5" hidden="1" customHeight="1">
      <c r="A72" s="608"/>
      <c r="B72" s="266"/>
      <c r="C72" s="1399"/>
      <c r="D72" s="1408"/>
      <c r="E72" s="1400"/>
      <c r="F72" s="267"/>
      <c r="G72" s="1399"/>
      <c r="H72" s="1408"/>
      <c r="I72" s="1400"/>
      <c r="J72" s="1380"/>
      <c r="K72" s="1380"/>
      <c r="L72" s="1380"/>
      <c r="M72" s="608"/>
      <c r="N72" s="608"/>
      <c r="O72" s="608"/>
      <c r="P72" s="608"/>
      <c r="Q72" s="266"/>
      <c r="R72" s="266"/>
      <c r="S72" s="268"/>
      <c r="T72" s="269" t="e">
        <f>VLOOKUP(Q72,[78]Listas!$D$6:$E$10,2,0)</f>
        <v>#N/A</v>
      </c>
      <c r="U72" s="269" t="e">
        <f>HLOOKUP(R72,[78]Listas!$F$4:$J$5,2,0)</f>
        <v>#N/A</v>
      </c>
      <c r="V72" s="270" t="e">
        <f>INDEX([78]Listas!$F$6:$J$10,MATCH(Q72,[78]Listas!$D$6:$D$10,0),MATCH(R72,[78]Listas!$F$4:$J$4,0))</f>
        <v>#N/A</v>
      </c>
      <c r="W72" s="268"/>
      <c r="X72" s="1399"/>
      <c r="Y72" s="1408"/>
      <c r="Z72" s="1400"/>
      <c r="AA72" s="1063"/>
      <c r="AB72" s="267"/>
      <c r="AC72" s="259"/>
      <c r="AD72" s="608"/>
      <c r="AE72" s="267"/>
      <c r="AF72" s="268"/>
      <c r="AG72" s="269">
        <f t="shared" si="0"/>
        <v>0</v>
      </c>
      <c r="AH72" s="271" t="e">
        <f t="shared" si="1"/>
        <v>#N/A</v>
      </c>
      <c r="AI72" s="272" t="e">
        <f>IF(AH72&lt;=1,"Remota",VLOOKUP(AH72,[78]Listas!$C$6:$D$10,2,0))</f>
        <v>#N/A</v>
      </c>
      <c r="AJ72" s="271" t="e">
        <f t="shared" si="2"/>
        <v>#N/A</v>
      </c>
      <c r="AK72" s="272" t="e">
        <f>IF(AJ72&lt;=1,"Insignificante",HLOOKUP(AJ72,[78]Listas!$F$3:$J$4,2,0))</f>
        <v>#N/A</v>
      </c>
      <c r="AL72" s="273" t="e">
        <f t="shared" si="3"/>
        <v>#N/A</v>
      </c>
      <c r="AM72" s="270" t="e">
        <f>INDEX([78]Listas!$F$6:$J$10,MATCH(AI72,[78]Listas!$D$6:$D$10,0),MATCH(AK72,[78]Listas!$F$4:$J$4,0))</f>
        <v>#N/A</v>
      </c>
      <c r="AN72" s="259"/>
      <c r="AO72" s="259"/>
      <c r="AP72" s="610"/>
      <c r="AQ72" s="259"/>
      <c r="AR72" s="259" t="s">
        <v>2343</v>
      </c>
      <c r="AS72" s="608"/>
      <c r="AT72" s="610"/>
      <c r="AU72" s="259"/>
      <c r="AV72" s="259" t="s">
        <v>2343</v>
      </c>
      <c r="AW72" s="608"/>
      <c r="AX72" s="259"/>
      <c r="AY72" s="259"/>
      <c r="AZ72" s="261"/>
      <c r="BA72" s="261"/>
      <c r="BB72" s="608"/>
    </row>
    <row r="73" spans="1:54" s="260" customFormat="1" ht="103.5" hidden="1" customHeight="1">
      <c r="A73" s="608"/>
      <c r="B73" s="266"/>
      <c r="C73" s="1399"/>
      <c r="D73" s="1408"/>
      <c r="E73" s="1400"/>
      <c r="F73" s="267"/>
      <c r="G73" s="1399"/>
      <c r="H73" s="1408"/>
      <c r="I73" s="1400"/>
      <c r="J73" s="1380"/>
      <c r="K73" s="1380"/>
      <c r="L73" s="1380"/>
      <c r="M73" s="608"/>
      <c r="N73" s="608"/>
      <c r="O73" s="608"/>
      <c r="P73" s="608"/>
      <c r="Q73" s="266"/>
      <c r="R73" s="266"/>
      <c r="S73" s="268"/>
      <c r="T73" s="269" t="e">
        <f>VLOOKUP(Q73,[78]Listas!$D$6:$E$10,2,0)</f>
        <v>#N/A</v>
      </c>
      <c r="U73" s="269" t="e">
        <f>HLOOKUP(R73,[78]Listas!$F$4:$J$5,2,0)</f>
        <v>#N/A</v>
      </c>
      <c r="V73" s="270" t="e">
        <f>INDEX([78]Listas!$F$6:$J$10,MATCH(Q73,[78]Listas!$D$6:$D$10,0),MATCH(R73,[78]Listas!$F$4:$J$4,0))</f>
        <v>#N/A</v>
      </c>
      <c r="W73" s="268"/>
      <c r="X73" s="1399"/>
      <c r="Y73" s="1408"/>
      <c r="Z73" s="1400"/>
      <c r="AA73" s="1063"/>
      <c r="AB73" s="267"/>
      <c r="AC73" s="259"/>
      <c r="AD73" s="608"/>
      <c r="AE73" s="267"/>
      <c r="AF73" s="268"/>
      <c r="AG73" s="269">
        <f t="shared" si="0"/>
        <v>0</v>
      </c>
      <c r="AH73" s="271" t="e">
        <f t="shared" si="1"/>
        <v>#N/A</v>
      </c>
      <c r="AI73" s="272" t="e">
        <f>IF(AH73&lt;=1,"Remota",VLOOKUP(AH73,[78]Listas!$C$6:$D$10,2,0))</f>
        <v>#N/A</v>
      </c>
      <c r="AJ73" s="271" t="e">
        <f t="shared" si="2"/>
        <v>#N/A</v>
      </c>
      <c r="AK73" s="272" t="e">
        <f>IF(AJ73&lt;=1,"Insignificante",HLOOKUP(AJ73,[78]Listas!$F$3:$J$4,2,0))</f>
        <v>#N/A</v>
      </c>
      <c r="AL73" s="273" t="e">
        <f t="shared" si="3"/>
        <v>#N/A</v>
      </c>
      <c r="AM73" s="270" t="e">
        <f>INDEX([78]Listas!$F$6:$J$10,MATCH(AI73,[78]Listas!$D$6:$D$10,0),MATCH(AK73,[78]Listas!$F$4:$J$4,0))</f>
        <v>#N/A</v>
      </c>
      <c r="AN73" s="259"/>
      <c r="AO73" s="259"/>
      <c r="AP73" s="610"/>
      <c r="AQ73" s="259"/>
      <c r="AR73" s="259" t="s">
        <v>2343</v>
      </c>
      <c r="AS73" s="608"/>
      <c r="AT73" s="610"/>
      <c r="AU73" s="259"/>
      <c r="AV73" s="259" t="s">
        <v>2343</v>
      </c>
      <c r="AW73" s="608"/>
      <c r="AX73" s="259"/>
      <c r="AY73" s="259"/>
      <c r="AZ73" s="261"/>
      <c r="BA73" s="261"/>
      <c r="BB73" s="608"/>
    </row>
    <row r="74" spans="1:54" s="260" customFormat="1" ht="103.5" hidden="1" customHeight="1">
      <c r="A74" s="608"/>
      <c r="B74" s="266"/>
      <c r="C74" s="1399"/>
      <c r="D74" s="1408"/>
      <c r="E74" s="1400"/>
      <c r="F74" s="267"/>
      <c r="G74" s="1399"/>
      <c r="H74" s="1408"/>
      <c r="I74" s="1400"/>
      <c r="J74" s="1380"/>
      <c r="K74" s="1380"/>
      <c r="L74" s="1380"/>
      <c r="M74" s="608"/>
      <c r="N74" s="608"/>
      <c r="O74" s="608"/>
      <c r="P74" s="608"/>
      <c r="Q74" s="266"/>
      <c r="R74" s="266"/>
      <c r="S74" s="268"/>
      <c r="T74" s="269" t="e">
        <f>VLOOKUP(Q74,[78]Listas!$D$6:$E$10,2,0)</f>
        <v>#N/A</v>
      </c>
      <c r="U74" s="269" t="e">
        <f>HLOOKUP(R74,[78]Listas!$F$4:$J$5,2,0)</f>
        <v>#N/A</v>
      </c>
      <c r="V74" s="270" t="e">
        <f>INDEX([78]Listas!$F$6:$J$10,MATCH(Q74,[78]Listas!$D$6:$D$10,0),MATCH(R74,[78]Listas!$F$4:$J$4,0))</f>
        <v>#N/A</v>
      </c>
      <c r="W74" s="268"/>
      <c r="X74" s="1399"/>
      <c r="Y74" s="1408"/>
      <c r="Z74" s="1400"/>
      <c r="AA74" s="1063"/>
      <c r="AB74" s="267"/>
      <c r="AC74" s="259"/>
      <c r="AD74" s="608"/>
      <c r="AE74" s="267"/>
      <c r="AF74" s="268"/>
      <c r="AG74" s="269">
        <f t="shared" ref="AG74:AG86" si="6">IF(AD74&lt;=33,0,IF(AD74&gt;81,2,1))</f>
        <v>0</v>
      </c>
      <c r="AH74" s="271" t="e">
        <f t="shared" ref="AH74:AH86" si="7">IF(OR(AE74="Probabilidad",AE74="Ambos"),T74-AG74,T74)</f>
        <v>#N/A</v>
      </c>
      <c r="AI74" s="272" t="e">
        <f>IF(AH74&lt;=1,"Remota",VLOOKUP(AH74,[78]Listas!$C$6:$D$10,2,0))</f>
        <v>#N/A</v>
      </c>
      <c r="AJ74" s="271" t="e">
        <f t="shared" ref="AJ74:AJ86" si="8">IF(OR(AE74="Impacto",AE74="Ambos"),U74-AG74,U74)</f>
        <v>#N/A</v>
      </c>
      <c r="AK74" s="272" t="e">
        <f>IF(AJ74&lt;=1,"Insignificante",HLOOKUP(AJ74,[78]Listas!$F$3:$J$4,2,0))</f>
        <v>#N/A</v>
      </c>
      <c r="AL74" s="273" t="e">
        <f t="shared" ref="AL74:AL86" si="9">AH74*AJ74</f>
        <v>#N/A</v>
      </c>
      <c r="AM74" s="270" t="e">
        <f>INDEX([78]Listas!$F$6:$J$10,MATCH(AI74,[78]Listas!$D$6:$D$10,0),MATCH(AK74,[78]Listas!$F$4:$J$4,0))</f>
        <v>#N/A</v>
      </c>
      <c r="AN74" s="259"/>
      <c r="AO74" s="259"/>
      <c r="AP74" s="610"/>
      <c r="AQ74" s="259"/>
      <c r="AR74" s="259" t="s">
        <v>2343</v>
      </c>
      <c r="AS74" s="608"/>
      <c r="AT74" s="610"/>
      <c r="AU74" s="259"/>
      <c r="AV74" s="259" t="s">
        <v>2343</v>
      </c>
      <c r="AW74" s="608"/>
      <c r="AX74" s="259"/>
      <c r="AY74" s="259"/>
      <c r="AZ74" s="261"/>
      <c r="BA74" s="261"/>
      <c r="BB74" s="608"/>
    </row>
    <row r="75" spans="1:54" s="260" customFormat="1" ht="103.5" hidden="1" customHeight="1">
      <c r="A75" s="608"/>
      <c r="B75" s="266"/>
      <c r="C75" s="1399"/>
      <c r="D75" s="1408"/>
      <c r="E75" s="1400"/>
      <c r="F75" s="267"/>
      <c r="G75" s="1399"/>
      <c r="H75" s="1408"/>
      <c r="I75" s="1400"/>
      <c r="J75" s="1380"/>
      <c r="K75" s="1380"/>
      <c r="L75" s="1380"/>
      <c r="M75" s="608"/>
      <c r="N75" s="608"/>
      <c r="O75" s="608"/>
      <c r="P75" s="608"/>
      <c r="Q75" s="266"/>
      <c r="R75" s="266"/>
      <c r="S75" s="268"/>
      <c r="T75" s="269" t="e">
        <f>VLOOKUP(Q75,[78]Listas!$D$6:$E$10,2,0)</f>
        <v>#N/A</v>
      </c>
      <c r="U75" s="269" t="e">
        <f>HLOOKUP(R75,[78]Listas!$F$4:$J$5,2,0)</f>
        <v>#N/A</v>
      </c>
      <c r="V75" s="270" t="e">
        <f>INDEX([78]Listas!$F$6:$J$10,MATCH(Q75,[78]Listas!$D$6:$D$10,0),MATCH(R75,[78]Listas!$F$4:$J$4,0))</f>
        <v>#N/A</v>
      </c>
      <c r="W75" s="268"/>
      <c r="X75" s="1399"/>
      <c r="Y75" s="1408"/>
      <c r="Z75" s="1400"/>
      <c r="AA75" s="1063"/>
      <c r="AB75" s="267"/>
      <c r="AC75" s="259"/>
      <c r="AD75" s="608"/>
      <c r="AE75" s="267"/>
      <c r="AF75" s="268"/>
      <c r="AG75" s="269">
        <f t="shared" si="6"/>
        <v>0</v>
      </c>
      <c r="AH75" s="271" t="e">
        <f t="shared" si="7"/>
        <v>#N/A</v>
      </c>
      <c r="AI75" s="272" t="e">
        <f>IF(AH75&lt;=1,"Remota",VLOOKUP(AH75,[78]Listas!$C$6:$D$10,2,0))</f>
        <v>#N/A</v>
      </c>
      <c r="AJ75" s="271" t="e">
        <f t="shared" si="8"/>
        <v>#N/A</v>
      </c>
      <c r="AK75" s="272" t="e">
        <f>IF(AJ75&lt;=1,"Insignificante",HLOOKUP(AJ75,[78]Listas!$F$3:$J$4,2,0))</f>
        <v>#N/A</v>
      </c>
      <c r="AL75" s="273" t="e">
        <f t="shared" si="9"/>
        <v>#N/A</v>
      </c>
      <c r="AM75" s="270" t="e">
        <f>INDEX([78]Listas!$F$6:$J$10,MATCH(AI75,[78]Listas!$D$6:$D$10,0),MATCH(AK75,[78]Listas!$F$4:$J$4,0))</f>
        <v>#N/A</v>
      </c>
      <c r="AN75" s="259"/>
      <c r="AO75" s="259"/>
      <c r="AP75" s="610"/>
      <c r="AQ75" s="259"/>
      <c r="AR75" s="259" t="s">
        <v>2343</v>
      </c>
      <c r="AS75" s="608"/>
      <c r="AT75" s="610"/>
      <c r="AU75" s="259"/>
      <c r="AV75" s="259" t="s">
        <v>2343</v>
      </c>
      <c r="AW75" s="608"/>
      <c r="AX75" s="259"/>
      <c r="AY75" s="259"/>
      <c r="AZ75" s="261"/>
      <c r="BA75" s="261"/>
      <c r="BB75" s="608"/>
    </row>
    <row r="76" spans="1:54" s="260" customFormat="1" ht="103.5" hidden="1" customHeight="1">
      <c r="A76" s="608"/>
      <c r="B76" s="266"/>
      <c r="C76" s="1399"/>
      <c r="D76" s="1408"/>
      <c r="E76" s="1400"/>
      <c r="F76" s="267"/>
      <c r="G76" s="1399"/>
      <c r="H76" s="1408"/>
      <c r="I76" s="1400"/>
      <c r="J76" s="1380"/>
      <c r="K76" s="1380"/>
      <c r="L76" s="1380"/>
      <c r="M76" s="608"/>
      <c r="N76" s="608"/>
      <c r="O76" s="608"/>
      <c r="P76" s="608"/>
      <c r="Q76" s="266"/>
      <c r="R76" s="266"/>
      <c r="S76" s="268"/>
      <c r="T76" s="269" t="e">
        <f>VLOOKUP(Q76,[78]Listas!$D$6:$E$10,2,0)</f>
        <v>#N/A</v>
      </c>
      <c r="U76" s="269" t="e">
        <f>HLOOKUP(R76,[78]Listas!$F$4:$J$5,2,0)</f>
        <v>#N/A</v>
      </c>
      <c r="V76" s="270" t="e">
        <f>INDEX([78]Listas!$F$6:$J$10,MATCH(Q76,[78]Listas!$D$6:$D$10,0),MATCH(R76,[78]Listas!$F$4:$J$4,0))</f>
        <v>#N/A</v>
      </c>
      <c r="W76" s="268"/>
      <c r="X76" s="1399"/>
      <c r="Y76" s="1408"/>
      <c r="Z76" s="1400"/>
      <c r="AA76" s="1063"/>
      <c r="AB76" s="267"/>
      <c r="AC76" s="259"/>
      <c r="AD76" s="608"/>
      <c r="AE76" s="267"/>
      <c r="AF76" s="268"/>
      <c r="AG76" s="269">
        <f t="shared" si="6"/>
        <v>0</v>
      </c>
      <c r="AH76" s="271" t="e">
        <f t="shared" si="7"/>
        <v>#N/A</v>
      </c>
      <c r="AI76" s="272" t="e">
        <f>IF(AH76&lt;=1,"Remota",VLOOKUP(AH76,[78]Listas!$C$6:$D$10,2,0))</f>
        <v>#N/A</v>
      </c>
      <c r="AJ76" s="271" t="e">
        <f t="shared" si="8"/>
        <v>#N/A</v>
      </c>
      <c r="AK76" s="272" t="e">
        <f>IF(AJ76&lt;=1,"Insignificante",HLOOKUP(AJ76,[78]Listas!$F$3:$J$4,2,0))</f>
        <v>#N/A</v>
      </c>
      <c r="AL76" s="273" t="e">
        <f t="shared" si="9"/>
        <v>#N/A</v>
      </c>
      <c r="AM76" s="270" t="e">
        <f>INDEX([78]Listas!$F$6:$J$10,MATCH(AI76,[78]Listas!$D$6:$D$10,0),MATCH(AK76,[78]Listas!$F$4:$J$4,0))</f>
        <v>#N/A</v>
      </c>
      <c r="AN76" s="259"/>
      <c r="AO76" s="259"/>
      <c r="AP76" s="610"/>
      <c r="AQ76" s="259"/>
      <c r="AR76" s="259" t="s">
        <v>2343</v>
      </c>
      <c r="AS76" s="608"/>
      <c r="AT76" s="610"/>
      <c r="AU76" s="259"/>
      <c r="AV76" s="259" t="s">
        <v>2343</v>
      </c>
      <c r="AW76" s="608"/>
      <c r="AX76" s="259"/>
      <c r="AY76" s="259"/>
      <c r="AZ76" s="261"/>
      <c r="BA76" s="261"/>
      <c r="BB76" s="608"/>
    </row>
    <row r="77" spans="1:54" s="260" customFormat="1" ht="103.5" hidden="1" customHeight="1">
      <c r="A77" s="608"/>
      <c r="B77" s="266"/>
      <c r="C77" s="1399"/>
      <c r="D77" s="1408"/>
      <c r="E77" s="1400"/>
      <c r="F77" s="267"/>
      <c r="G77" s="1399"/>
      <c r="H77" s="1408"/>
      <c r="I77" s="1400"/>
      <c r="J77" s="1380"/>
      <c r="K77" s="1380"/>
      <c r="L77" s="1380"/>
      <c r="M77" s="608"/>
      <c r="N77" s="608"/>
      <c r="O77" s="608"/>
      <c r="P77" s="608"/>
      <c r="Q77" s="266"/>
      <c r="R77" s="266"/>
      <c r="S77" s="268"/>
      <c r="T77" s="269" t="e">
        <f>VLOOKUP(Q77,[78]Listas!$D$6:$E$10,2,0)</f>
        <v>#N/A</v>
      </c>
      <c r="U77" s="269" t="e">
        <f>HLOOKUP(R77,[78]Listas!$F$4:$J$5,2,0)</f>
        <v>#N/A</v>
      </c>
      <c r="V77" s="270" t="e">
        <f>INDEX([78]Listas!$F$6:$J$10,MATCH(Q77,[78]Listas!$D$6:$D$10,0),MATCH(R77,[78]Listas!$F$4:$J$4,0))</f>
        <v>#N/A</v>
      </c>
      <c r="W77" s="268"/>
      <c r="X77" s="1399"/>
      <c r="Y77" s="1408"/>
      <c r="Z77" s="1400"/>
      <c r="AA77" s="1063"/>
      <c r="AB77" s="267"/>
      <c r="AC77" s="259"/>
      <c r="AD77" s="608"/>
      <c r="AE77" s="267"/>
      <c r="AF77" s="268"/>
      <c r="AG77" s="269">
        <f t="shared" si="6"/>
        <v>0</v>
      </c>
      <c r="AH77" s="271" t="e">
        <f t="shared" si="7"/>
        <v>#N/A</v>
      </c>
      <c r="AI77" s="272" t="e">
        <f>IF(AH77&lt;=1,"Remota",VLOOKUP(AH77,[78]Listas!$C$6:$D$10,2,0))</f>
        <v>#N/A</v>
      </c>
      <c r="AJ77" s="271" t="e">
        <f t="shared" si="8"/>
        <v>#N/A</v>
      </c>
      <c r="AK77" s="272" t="e">
        <f>IF(AJ77&lt;=1,"Insignificante",HLOOKUP(AJ77,[78]Listas!$F$3:$J$4,2,0))</f>
        <v>#N/A</v>
      </c>
      <c r="AL77" s="273" t="e">
        <f t="shared" si="9"/>
        <v>#N/A</v>
      </c>
      <c r="AM77" s="270" t="e">
        <f>INDEX([78]Listas!$F$6:$J$10,MATCH(AI77,[78]Listas!$D$6:$D$10,0),MATCH(AK77,[78]Listas!$F$4:$J$4,0))</f>
        <v>#N/A</v>
      </c>
      <c r="AN77" s="259"/>
      <c r="AO77" s="259"/>
      <c r="AP77" s="610"/>
      <c r="AQ77" s="259"/>
      <c r="AR77" s="259" t="s">
        <v>2343</v>
      </c>
      <c r="AS77" s="608"/>
      <c r="AT77" s="610"/>
      <c r="AU77" s="259"/>
      <c r="AV77" s="259" t="s">
        <v>2343</v>
      </c>
      <c r="AW77" s="608"/>
      <c r="AX77" s="259"/>
      <c r="AY77" s="259"/>
      <c r="AZ77" s="261"/>
      <c r="BA77" s="261"/>
      <c r="BB77" s="608"/>
    </row>
    <row r="78" spans="1:54" s="260" customFormat="1" ht="103.5" hidden="1" customHeight="1">
      <c r="A78" s="608"/>
      <c r="B78" s="266"/>
      <c r="C78" s="1399"/>
      <c r="D78" s="1408"/>
      <c r="E78" s="1400"/>
      <c r="F78" s="267"/>
      <c r="G78" s="1399"/>
      <c r="H78" s="1408"/>
      <c r="I78" s="1400"/>
      <c r="J78" s="1380"/>
      <c r="K78" s="1380"/>
      <c r="L78" s="1380"/>
      <c r="M78" s="608"/>
      <c r="N78" s="608"/>
      <c r="O78" s="608"/>
      <c r="P78" s="608"/>
      <c r="Q78" s="266"/>
      <c r="R78" s="266"/>
      <c r="S78" s="268"/>
      <c r="T78" s="269" t="e">
        <f>VLOOKUP(Q78,[78]Listas!$D$6:$E$10,2,0)</f>
        <v>#N/A</v>
      </c>
      <c r="U78" s="269" t="e">
        <f>HLOOKUP(R78,[78]Listas!$F$4:$J$5,2,0)</f>
        <v>#N/A</v>
      </c>
      <c r="V78" s="270" t="e">
        <f>INDEX([78]Listas!$F$6:$J$10,MATCH(Q78,[78]Listas!$D$6:$D$10,0),MATCH(R78,[78]Listas!$F$4:$J$4,0))</f>
        <v>#N/A</v>
      </c>
      <c r="W78" s="268"/>
      <c r="X78" s="1399"/>
      <c r="Y78" s="1408"/>
      <c r="Z78" s="1400"/>
      <c r="AA78" s="1063"/>
      <c r="AB78" s="267"/>
      <c r="AC78" s="259"/>
      <c r="AD78" s="608"/>
      <c r="AE78" s="267"/>
      <c r="AF78" s="268"/>
      <c r="AG78" s="269">
        <f t="shared" si="6"/>
        <v>0</v>
      </c>
      <c r="AH78" s="271" t="e">
        <f t="shared" si="7"/>
        <v>#N/A</v>
      </c>
      <c r="AI78" s="272" t="e">
        <f>IF(AH78&lt;=1,"Remota",VLOOKUP(AH78,[78]Listas!$C$6:$D$10,2,0))</f>
        <v>#N/A</v>
      </c>
      <c r="AJ78" s="271" t="e">
        <f t="shared" si="8"/>
        <v>#N/A</v>
      </c>
      <c r="AK78" s="272" t="e">
        <f>IF(AJ78&lt;=1,"Insignificante",HLOOKUP(AJ78,[78]Listas!$F$3:$J$4,2,0))</f>
        <v>#N/A</v>
      </c>
      <c r="AL78" s="273" t="e">
        <f t="shared" si="9"/>
        <v>#N/A</v>
      </c>
      <c r="AM78" s="270" t="e">
        <f>INDEX([78]Listas!$F$6:$J$10,MATCH(AI78,[78]Listas!$D$6:$D$10,0),MATCH(AK78,[78]Listas!$F$4:$J$4,0))</f>
        <v>#N/A</v>
      </c>
      <c r="AN78" s="259"/>
      <c r="AO78" s="259"/>
      <c r="AP78" s="610"/>
      <c r="AQ78" s="259"/>
      <c r="AR78" s="259" t="s">
        <v>2343</v>
      </c>
      <c r="AS78" s="608"/>
      <c r="AT78" s="610"/>
      <c r="AU78" s="259"/>
      <c r="AV78" s="259" t="s">
        <v>2343</v>
      </c>
      <c r="AW78" s="608"/>
      <c r="AX78" s="259"/>
      <c r="AY78" s="259"/>
      <c r="AZ78" s="261"/>
      <c r="BA78" s="261"/>
      <c r="BB78" s="608"/>
    </row>
    <row r="79" spans="1:54" s="260" customFormat="1" ht="103.5" hidden="1" customHeight="1">
      <c r="A79" s="608"/>
      <c r="B79" s="266"/>
      <c r="C79" s="1399"/>
      <c r="D79" s="1408"/>
      <c r="E79" s="1400"/>
      <c r="F79" s="267"/>
      <c r="G79" s="1399"/>
      <c r="H79" s="1408"/>
      <c r="I79" s="1400"/>
      <c r="J79" s="1380"/>
      <c r="K79" s="1380"/>
      <c r="L79" s="1380"/>
      <c r="M79" s="608"/>
      <c r="N79" s="608"/>
      <c r="O79" s="608"/>
      <c r="P79" s="608"/>
      <c r="Q79" s="266"/>
      <c r="R79" s="266"/>
      <c r="S79" s="268"/>
      <c r="T79" s="269" t="e">
        <f>VLOOKUP(Q79,[78]Listas!$D$6:$E$10,2,0)</f>
        <v>#N/A</v>
      </c>
      <c r="U79" s="269" t="e">
        <f>HLOOKUP(R79,[78]Listas!$F$4:$J$5,2,0)</f>
        <v>#N/A</v>
      </c>
      <c r="V79" s="270" t="e">
        <f>INDEX([78]Listas!$F$6:$J$10,MATCH(Q79,[78]Listas!$D$6:$D$10,0),MATCH(R79,[78]Listas!$F$4:$J$4,0))</f>
        <v>#N/A</v>
      </c>
      <c r="W79" s="268"/>
      <c r="X79" s="1399"/>
      <c r="Y79" s="1408"/>
      <c r="Z79" s="1400"/>
      <c r="AA79" s="1063"/>
      <c r="AB79" s="267"/>
      <c r="AC79" s="259"/>
      <c r="AD79" s="608"/>
      <c r="AE79" s="267"/>
      <c r="AF79" s="268"/>
      <c r="AG79" s="269">
        <f t="shared" si="6"/>
        <v>0</v>
      </c>
      <c r="AH79" s="271" t="e">
        <f t="shared" si="7"/>
        <v>#N/A</v>
      </c>
      <c r="AI79" s="272" t="e">
        <f>IF(AH79&lt;=1,"Remota",VLOOKUP(AH79,[78]Listas!$C$6:$D$10,2,0))</f>
        <v>#N/A</v>
      </c>
      <c r="AJ79" s="271" t="e">
        <f t="shared" si="8"/>
        <v>#N/A</v>
      </c>
      <c r="AK79" s="272" t="e">
        <f>IF(AJ79&lt;=1,"Insignificante",HLOOKUP(AJ79,[78]Listas!$F$3:$J$4,2,0))</f>
        <v>#N/A</v>
      </c>
      <c r="AL79" s="273" t="e">
        <f t="shared" si="9"/>
        <v>#N/A</v>
      </c>
      <c r="AM79" s="270" t="e">
        <f>INDEX([78]Listas!$F$6:$J$10,MATCH(AI79,[78]Listas!$D$6:$D$10,0),MATCH(AK79,[78]Listas!$F$4:$J$4,0))</f>
        <v>#N/A</v>
      </c>
      <c r="AN79" s="259"/>
      <c r="AO79" s="259"/>
      <c r="AP79" s="610"/>
      <c r="AQ79" s="259"/>
      <c r="AR79" s="259" t="s">
        <v>2343</v>
      </c>
      <c r="AS79" s="608"/>
      <c r="AT79" s="610"/>
      <c r="AU79" s="259"/>
      <c r="AV79" s="259" t="s">
        <v>2343</v>
      </c>
      <c r="AW79" s="608"/>
      <c r="AX79" s="259"/>
      <c r="AY79" s="259"/>
      <c r="AZ79" s="261"/>
      <c r="BA79" s="261"/>
      <c r="BB79" s="608"/>
    </row>
    <row r="80" spans="1:54" s="260" customFormat="1" ht="103.5" hidden="1" customHeight="1">
      <c r="A80" s="608"/>
      <c r="B80" s="266"/>
      <c r="C80" s="1399"/>
      <c r="D80" s="1408"/>
      <c r="E80" s="1400"/>
      <c r="F80" s="267"/>
      <c r="G80" s="1399"/>
      <c r="H80" s="1408"/>
      <c r="I80" s="1400"/>
      <c r="J80" s="1380"/>
      <c r="K80" s="1380"/>
      <c r="L80" s="1380"/>
      <c r="M80" s="608"/>
      <c r="N80" s="608"/>
      <c r="O80" s="608"/>
      <c r="P80" s="608"/>
      <c r="Q80" s="266"/>
      <c r="R80" s="266"/>
      <c r="S80" s="268"/>
      <c r="T80" s="269" t="e">
        <f>VLOOKUP(Q80,[78]Listas!$D$6:$E$10,2,0)</f>
        <v>#N/A</v>
      </c>
      <c r="U80" s="269" t="e">
        <f>HLOOKUP(R80,[78]Listas!$F$4:$J$5,2,0)</f>
        <v>#N/A</v>
      </c>
      <c r="V80" s="270" t="e">
        <f>INDEX([78]Listas!$F$6:$J$10,MATCH(Q80,[78]Listas!$D$6:$D$10,0),MATCH(R80,[78]Listas!$F$4:$J$4,0))</f>
        <v>#N/A</v>
      </c>
      <c r="W80" s="268"/>
      <c r="X80" s="1399"/>
      <c r="Y80" s="1408"/>
      <c r="Z80" s="1400"/>
      <c r="AA80" s="1063"/>
      <c r="AB80" s="267"/>
      <c r="AC80" s="259"/>
      <c r="AD80" s="608"/>
      <c r="AE80" s="267"/>
      <c r="AF80" s="268"/>
      <c r="AG80" s="269">
        <f t="shared" si="6"/>
        <v>0</v>
      </c>
      <c r="AH80" s="271" t="e">
        <f t="shared" si="7"/>
        <v>#N/A</v>
      </c>
      <c r="AI80" s="272" t="e">
        <f>IF(AH80&lt;=1,"Remota",VLOOKUP(AH80,[78]Listas!$C$6:$D$10,2,0))</f>
        <v>#N/A</v>
      </c>
      <c r="AJ80" s="271" t="e">
        <f t="shared" si="8"/>
        <v>#N/A</v>
      </c>
      <c r="AK80" s="272" t="e">
        <f>IF(AJ80&lt;=1,"Insignificante",HLOOKUP(AJ80,[78]Listas!$F$3:$J$4,2,0))</f>
        <v>#N/A</v>
      </c>
      <c r="AL80" s="273" t="e">
        <f t="shared" si="9"/>
        <v>#N/A</v>
      </c>
      <c r="AM80" s="270" t="e">
        <f>INDEX([78]Listas!$F$6:$J$10,MATCH(AI80,[78]Listas!$D$6:$D$10,0),MATCH(AK80,[78]Listas!$F$4:$J$4,0))</f>
        <v>#N/A</v>
      </c>
      <c r="AN80" s="259"/>
      <c r="AO80" s="259"/>
      <c r="AP80" s="610"/>
      <c r="AQ80" s="259"/>
      <c r="AR80" s="259" t="s">
        <v>2343</v>
      </c>
      <c r="AS80" s="608"/>
      <c r="AT80" s="610"/>
      <c r="AU80" s="259"/>
      <c r="AV80" s="259" t="s">
        <v>2343</v>
      </c>
      <c r="AW80" s="608"/>
      <c r="AX80" s="259"/>
      <c r="AY80" s="259"/>
      <c r="AZ80" s="261"/>
      <c r="BA80" s="261"/>
      <c r="BB80" s="608"/>
    </row>
    <row r="81" spans="1:1030" s="260" customFormat="1" ht="103.5" hidden="1" customHeight="1">
      <c r="A81" s="608"/>
      <c r="B81" s="266"/>
      <c r="C81" s="1399"/>
      <c r="D81" s="1408"/>
      <c r="E81" s="1400"/>
      <c r="F81" s="267"/>
      <c r="G81" s="1399"/>
      <c r="H81" s="1408"/>
      <c r="I81" s="1400"/>
      <c r="J81" s="1380"/>
      <c r="K81" s="1380"/>
      <c r="L81" s="1380"/>
      <c r="M81" s="608"/>
      <c r="N81" s="608"/>
      <c r="O81" s="608"/>
      <c r="P81" s="608"/>
      <c r="Q81" s="266"/>
      <c r="R81" s="266"/>
      <c r="S81" s="268"/>
      <c r="T81" s="269" t="e">
        <f>VLOOKUP(Q81,[78]Listas!$D$6:$E$10,2,0)</f>
        <v>#N/A</v>
      </c>
      <c r="U81" s="269" t="e">
        <f>HLOOKUP(R81,[78]Listas!$F$4:$J$5,2,0)</f>
        <v>#N/A</v>
      </c>
      <c r="V81" s="270" t="e">
        <f>INDEX([78]Listas!$F$6:$J$10,MATCH(Q81,[78]Listas!$D$6:$D$10,0),MATCH(R81,[78]Listas!$F$4:$J$4,0))</f>
        <v>#N/A</v>
      </c>
      <c r="W81" s="268"/>
      <c r="X81" s="1399"/>
      <c r="Y81" s="1408"/>
      <c r="Z81" s="1400"/>
      <c r="AA81" s="1063"/>
      <c r="AB81" s="267"/>
      <c r="AC81" s="259"/>
      <c r="AD81" s="608"/>
      <c r="AE81" s="267"/>
      <c r="AF81" s="268"/>
      <c r="AG81" s="269">
        <f t="shared" si="6"/>
        <v>0</v>
      </c>
      <c r="AH81" s="271" t="e">
        <f t="shared" si="7"/>
        <v>#N/A</v>
      </c>
      <c r="AI81" s="272" t="e">
        <f>IF(AH81&lt;=1,"Remota",VLOOKUP(AH81,[78]Listas!$C$6:$D$10,2,0))</f>
        <v>#N/A</v>
      </c>
      <c r="AJ81" s="271" t="e">
        <f t="shared" si="8"/>
        <v>#N/A</v>
      </c>
      <c r="AK81" s="272" t="e">
        <f>IF(AJ81&lt;=1,"Insignificante",HLOOKUP(AJ81,[78]Listas!$F$3:$J$4,2,0))</f>
        <v>#N/A</v>
      </c>
      <c r="AL81" s="273" t="e">
        <f t="shared" si="9"/>
        <v>#N/A</v>
      </c>
      <c r="AM81" s="270" t="e">
        <f>INDEX([78]Listas!$F$6:$J$10,MATCH(AI81,[78]Listas!$D$6:$D$10,0),MATCH(AK81,[78]Listas!$F$4:$J$4,0))</f>
        <v>#N/A</v>
      </c>
      <c r="AN81" s="259"/>
      <c r="AO81" s="259"/>
      <c r="AP81" s="610"/>
      <c r="AQ81" s="259"/>
      <c r="AR81" s="259" t="s">
        <v>2343</v>
      </c>
      <c r="AS81" s="608"/>
      <c r="AT81" s="610"/>
      <c r="AU81" s="259"/>
      <c r="AV81" s="259" t="s">
        <v>2343</v>
      </c>
      <c r="AW81" s="608"/>
      <c r="AX81" s="259"/>
      <c r="AY81" s="259"/>
      <c r="AZ81" s="261"/>
      <c r="BA81" s="261"/>
      <c r="BB81" s="608"/>
    </row>
    <row r="82" spans="1:1030" s="260" customFormat="1" ht="103.5" hidden="1" customHeight="1">
      <c r="A82" s="608"/>
      <c r="B82" s="266"/>
      <c r="C82" s="1399"/>
      <c r="D82" s="1408"/>
      <c r="E82" s="1400"/>
      <c r="F82" s="267"/>
      <c r="G82" s="1399"/>
      <c r="H82" s="1408"/>
      <c r="I82" s="1400"/>
      <c r="J82" s="1380"/>
      <c r="K82" s="1380"/>
      <c r="L82" s="1380"/>
      <c r="M82" s="608"/>
      <c r="N82" s="608"/>
      <c r="O82" s="608"/>
      <c r="P82" s="608"/>
      <c r="Q82" s="266"/>
      <c r="R82" s="266"/>
      <c r="S82" s="268"/>
      <c r="T82" s="269" t="e">
        <f>VLOOKUP(Q82,[78]Listas!$D$6:$E$10,2,0)</f>
        <v>#N/A</v>
      </c>
      <c r="U82" s="269" t="e">
        <f>HLOOKUP(R82,[78]Listas!$F$4:$J$5,2,0)</f>
        <v>#N/A</v>
      </c>
      <c r="V82" s="270" t="e">
        <f>INDEX([78]Listas!$F$6:$J$10,MATCH(Q82,[78]Listas!$D$6:$D$10,0),MATCH(R82,[78]Listas!$F$4:$J$4,0))</f>
        <v>#N/A</v>
      </c>
      <c r="W82" s="268"/>
      <c r="X82" s="1399"/>
      <c r="Y82" s="1408"/>
      <c r="Z82" s="1400"/>
      <c r="AA82" s="1063"/>
      <c r="AB82" s="267"/>
      <c r="AC82" s="259"/>
      <c r="AD82" s="608"/>
      <c r="AE82" s="267"/>
      <c r="AF82" s="268"/>
      <c r="AG82" s="269">
        <f t="shared" si="6"/>
        <v>0</v>
      </c>
      <c r="AH82" s="271" t="e">
        <f t="shared" si="7"/>
        <v>#N/A</v>
      </c>
      <c r="AI82" s="272" t="e">
        <f>IF(AH82&lt;=1,"Remota",VLOOKUP(AH82,[78]Listas!$C$6:$D$10,2,0))</f>
        <v>#N/A</v>
      </c>
      <c r="AJ82" s="271" t="e">
        <f t="shared" si="8"/>
        <v>#N/A</v>
      </c>
      <c r="AK82" s="272" t="e">
        <f>IF(AJ82&lt;=1,"Insignificante",HLOOKUP(AJ82,[78]Listas!$F$3:$J$4,2,0))</f>
        <v>#N/A</v>
      </c>
      <c r="AL82" s="273" t="e">
        <f t="shared" si="9"/>
        <v>#N/A</v>
      </c>
      <c r="AM82" s="270" t="e">
        <f>INDEX([78]Listas!$F$6:$J$10,MATCH(AI82,[78]Listas!$D$6:$D$10,0),MATCH(AK82,[78]Listas!$F$4:$J$4,0))</f>
        <v>#N/A</v>
      </c>
      <c r="AN82" s="259"/>
      <c r="AO82" s="259"/>
      <c r="AP82" s="610"/>
      <c r="AQ82" s="259"/>
      <c r="AR82" s="259" t="s">
        <v>2343</v>
      </c>
      <c r="AS82" s="608"/>
      <c r="AT82" s="610"/>
      <c r="AU82" s="259"/>
      <c r="AV82" s="259" t="s">
        <v>2343</v>
      </c>
      <c r="AW82" s="608"/>
      <c r="AX82" s="259"/>
      <c r="AY82" s="259"/>
      <c r="AZ82" s="261"/>
      <c r="BA82" s="261"/>
      <c r="BB82" s="608"/>
    </row>
    <row r="83" spans="1:1030" s="260" customFormat="1" ht="103.5" hidden="1" customHeight="1">
      <c r="A83" s="608"/>
      <c r="B83" s="266"/>
      <c r="C83" s="1399"/>
      <c r="D83" s="1408"/>
      <c r="E83" s="1400"/>
      <c r="F83" s="267"/>
      <c r="G83" s="1399"/>
      <c r="H83" s="1408"/>
      <c r="I83" s="1400"/>
      <c r="J83" s="1380"/>
      <c r="K83" s="1380"/>
      <c r="L83" s="1380"/>
      <c r="M83" s="608"/>
      <c r="N83" s="608"/>
      <c r="O83" s="608"/>
      <c r="P83" s="608"/>
      <c r="Q83" s="266"/>
      <c r="R83" s="266"/>
      <c r="S83" s="268"/>
      <c r="T83" s="269" t="e">
        <f>VLOOKUP(Q83,[78]Listas!$D$6:$E$10,2,0)</f>
        <v>#N/A</v>
      </c>
      <c r="U83" s="269" t="e">
        <f>HLOOKUP(R83,[78]Listas!$F$4:$J$5,2,0)</f>
        <v>#N/A</v>
      </c>
      <c r="V83" s="270" t="e">
        <f>INDEX([78]Listas!$F$6:$J$10,MATCH(Q83,[78]Listas!$D$6:$D$10,0),MATCH(R83,[78]Listas!$F$4:$J$4,0))</f>
        <v>#N/A</v>
      </c>
      <c r="W83" s="268"/>
      <c r="X83" s="1399"/>
      <c r="Y83" s="1408"/>
      <c r="Z83" s="1400"/>
      <c r="AA83" s="1063"/>
      <c r="AB83" s="267"/>
      <c r="AC83" s="259"/>
      <c r="AD83" s="608"/>
      <c r="AE83" s="267"/>
      <c r="AF83" s="268"/>
      <c r="AG83" s="269">
        <f t="shared" si="6"/>
        <v>0</v>
      </c>
      <c r="AH83" s="271" t="e">
        <f t="shared" si="7"/>
        <v>#N/A</v>
      </c>
      <c r="AI83" s="272" t="e">
        <f>IF(AH83&lt;=1,"Remota",VLOOKUP(AH83,[78]Listas!$C$6:$D$10,2,0))</f>
        <v>#N/A</v>
      </c>
      <c r="AJ83" s="271" t="e">
        <f t="shared" si="8"/>
        <v>#N/A</v>
      </c>
      <c r="AK83" s="272" t="e">
        <f>IF(AJ83&lt;=1,"Insignificante",HLOOKUP(AJ83,[78]Listas!$F$3:$J$4,2,0))</f>
        <v>#N/A</v>
      </c>
      <c r="AL83" s="273" t="e">
        <f t="shared" si="9"/>
        <v>#N/A</v>
      </c>
      <c r="AM83" s="270" t="e">
        <f>INDEX([78]Listas!$F$6:$J$10,MATCH(AI83,[78]Listas!$D$6:$D$10,0),MATCH(AK83,[78]Listas!$F$4:$J$4,0))</f>
        <v>#N/A</v>
      </c>
      <c r="AN83" s="259"/>
      <c r="AO83" s="259"/>
      <c r="AP83" s="610"/>
      <c r="AQ83" s="259"/>
      <c r="AR83" s="259" t="s">
        <v>2343</v>
      </c>
      <c r="AS83" s="608"/>
      <c r="AT83" s="610"/>
      <c r="AU83" s="259"/>
      <c r="AV83" s="259" t="s">
        <v>2343</v>
      </c>
      <c r="AW83" s="608"/>
      <c r="AX83" s="259"/>
      <c r="AY83" s="259"/>
      <c r="AZ83" s="261"/>
      <c r="BA83" s="261"/>
      <c r="BB83" s="608"/>
    </row>
    <row r="84" spans="1:1030" s="260" customFormat="1" ht="103.5" hidden="1" customHeight="1">
      <c r="A84" s="608"/>
      <c r="B84" s="266"/>
      <c r="C84" s="1399"/>
      <c r="D84" s="1408"/>
      <c r="E84" s="1400"/>
      <c r="F84" s="267"/>
      <c r="G84" s="1399"/>
      <c r="H84" s="1408"/>
      <c r="I84" s="1400"/>
      <c r="J84" s="1380"/>
      <c r="K84" s="1380"/>
      <c r="L84" s="1380"/>
      <c r="M84" s="608"/>
      <c r="N84" s="608"/>
      <c r="O84" s="608"/>
      <c r="P84" s="608"/>
      <c r="Q84" s="266"/>
      <c r="R84" s="266"/>
      <c r="S84" s="268"/>
      <c r="T84" s="269" t="e">
        <f>VLOOKUP(Q84,[78]Listas!$D$6:$E$10,2,0)</f>
        <v>#N/A</v>
      </c>
      <c r="U84" s="269" t="e">
        <f>HLOOKUP(R84,[78]Listas!$F$4:$J$5,2,0)</f>
        <v>#N/A</v>
      </c>
      <c r="V84" s="270" t="e">
        <f>INDEX([78]Listas!$F$6:$J$10,MATCH(Q84,[78]Listas!$D$6:$D$10,0),MATCH(R84,[78]Listas!$F$4:$J$4,0))</f>
        <v>#N/A</v>
      </c>
      <c r="W84" s="268"/>
      <c r="X84" s="1399"/>
      <c r="Y84" s="1408"/>
      <c r="Z84" s="1400"/>
      <c r="AA84" s="1063"/>
      <c r="AB84" s="267"/>
      <c r="AC84" s="259"/>
      <c r="AD84" s="608"/>
      <c r="AE84" s="267"/>
      <c r="AF84" s="268"/>
      <c r="AG84" s="269">
        <f t="shared" si="6"/>
        <v>0</v>
      </c>
      <c r="AH84" s="271" t="e">
        <f t="shared" si="7"/>
        <v>#N/A</v>
      </c>
      <c r="AI84" s="272" t="e">
        <f>IF(AH84&lt;=1,"Remota",VLOOKUP(AH84,[78]Listas!$C$6:$D$10,2,0))</f>
        <v>#N/A</v>
      </c>
      <c r="AJ84" s="271" t="e">
        <f t="shared" si="8"/>
        <v>#N/A</v>
      </c>
      <c r="AK84" s="272" t="e">
        <f>IF(AJ84&lt;=1,"Insignificante",HLOOKUP(AJ84,[78]Listas!$F$3:$J$4,2,0))</f>
        <v>#N/A</v>
      </c>
      <c r="AL84" s="273" t="e">
        <f t="shared" si="9"/>
        <v>#N/A</v>
      </c>
      <c r="AM84" s="270" t="e">
        <f>INDEX([78]Listas!$F$6:$J$10,MATCH(AI84,[78]Listas!$D$6:$D$10,0),MATCH(AK84,[78]Listas!$F$4:$J$4,0))</f>
        <v>#N/A</v>
      </c>
      <c r="AN84" s="259"/>
      <c r="AO84" s="259"/>
      <c r="AP84" s="610"/>
      <c r="AQ84" s="259"/>
      <c r="AR84" s="259" t="s">
        <v>2343</v>
      </c>
      <c r="AS84" s="608"/>
      <c r="AT84" s="610"/>
      <c r="AU84" s="259"/>
      <c r="AV84" s="259" t="s">
        <v>2343</v>
      </c>
      <c r="AW84" s="608"/>
      <c r="AX84" s="259"/>
      <c r="AY84" s="259"/>
      <c r="AZ84" s="261"/>
      <c r="BA84" s="261"/>
      <c r="BB84" s="608"/>
    </row>
    <row r="85" spans="1:1030" s="260" customFormat="1" ht="103.5" hidden="1" customHeight="1">
      <c r="A85" s="608"/>
      <c r="B85" s="266"/>
      <c r="C85" s="1399"/>
      <c r="D85" s="1408"/>
      <c r="E85" s="1400"/>
      <c r="F85" s="267"/>
      <c r="G85" s="1399"/>
      <c r="H85" s="1408"/>
      <c r="I85" s="1400"/>
      <c r="J85" s="1380"/>
      <c r="K85" s="1380"/>
      <c r="L85" s="1380"/>
      <c r="M85" s="608"/>
      <c r="N85" s="608"/>
      <c r="O85" s="608"/>
      <c r="P85" s="608"/>
      <c r="Q85" s="266"/>
      <c r="R85" s="266"/>
      <c r="S85" s="268"/>
      <c r="T85" s="269" t="e">
        <f>VLOOKUP(Q85,[78]Listas!$D$6:$E$10,2,0)</f>
        <v>#N/A</v>
      </c>
      <c r="U85" s="269" t="e">
        <f>HLOOKUP(R85,[78]Listas!$F$4:$J$5,2,0)</f>
        <v>#N/A</v>
      </c>
      <c r="V85" s="270" t="e">
        <f>INDEX([78]Listas!$F$6:$J$10,MATCH(Q85,[78]Listas!$D$6:$D$10,0),MATCH(R85,[78]Listas!$F$4:$J$4,0))</f>
        <v>#N/A</v>
      </c>
      <c r="W85" s="268"/>
      <c r="X85" s="1399"/>
      <c r="Y85" s="1408"/>
      <c r="Z85" s="1400"/>
      <c r="AA85" s="1063"/>
      <c r="AB85" s="267"/>
      <c r="AC85" s="259"/>
      <c r="AD85" s="608"/>
      <c r="AE85" s="267"/>
      <c r="AF85" s="268"/>
      <c r="AG85" s="269">
        <f t="shared" si="6"/>
        <v>0</v>
      </c>
      <c r="AH85" s="271" t="e">
        <f t="shared" si="7"/>
        <v>#N/A</v>
      </c>
      <c r="AI85" s="272" t="e">
        <f>IF(AH85&lt;=1,"Remota",VLOOKUP(AH85,[78]Listas!$C$6:$D$10,2,0))</f>
        <v>#N/A</v>
      </c>
      <c r="AJ85" s="271" t="e">
        <f t="shared" si="8"/>
        <v>#N/A</v>
      </c>
      <c r="AK85" s="272" t="e">
        <f>IF(AJ85&lt;=1,"Insignificante",HLOOKUP(AJ85,[78]Listas!$F$3:$J$4,2,0))</f>
        <v>#N/A</v>
      </c>
      <c r="AL85" s="273" t="e">
        <f t="shared" si="9"/>
        <v>#N/A</v>
      </c>
      <c r="AM85" s="270" t="e">
        <f>INDEX([78]Listas!$F$6:$J$10,MATCH(AI85,[78]Listas!$D$6:$D$10,0),MATCH(AK85,[78]Listas!$F$4:$J$4,0))</f>
        <v>#N/A</v>
      </c>
      <c r="AN85" s="259"/>
      <c r="AO85" s="259"/>
      <c r="AP85" s="610"/>
      <c r="AQ85" s="259"/>
      <c r="AR85" s="259" t="s">
        <v>2343</v>
      </c>
      <c r="AS85" s="608"/>
      <c r="AT85" s="610"/>
      <c r="AU85" s="259"/>
      <c r="AV85" s="259" t="s">
        <v>2343</v>
      </c>
      <c r="AW85" s="608"/>
      <c r="AX85" s="259"/>
      <c r="AY85" s="259"/>
      <c r="AZ85" s="261"/>
      <c r="BA85" s="261"/>
      <c r="BB85" s="608"/>
    </row>
    <row r="86" spans="1:1030" s="260" customFormat="1" ht="103.5" hidden="1" customHeight="1">
      <c r="A86" s="608"/>
      <c r="B86" s="266"/>
      <c r="C86" s="1399"/>
      <c r="D86" s="1408"/>
      <c r="E86" s="1400"/>
      <c r="F86" s="267"/>
      <c r="G86" s="1399"/>
      <c r="H86" s="1408"/>
      <c r="I86" s="1400"/>
      <c r="J86" s="1380"/>
      <c r="K86" s="1380"/>
      <c r="L86" s="1380"/>
      <c r="M86" s="608"/>
      <c r="N86" s="608"/>
      <c r="O86" s="608"/>
      <c r="P86" s="608"/>
      <c r="Q86" s="266"/>
      <c r="R86" s="266"/>
      <c r="S86" s="268"/>
      <c r="T86" s="269" t="e">
        <f>VLOOKUP(Q86,[78]Listas!$D$6:$E$10,2,0)</f>
        <v>#N/A</v>
      </c>
      <c r="U86" s="269" t="e">
        <f>HLOOKUP(R86,[78]Listas!$F$4:$J$5,2,0)</f>
        <v>#N/A</v>
      </c>
      <c r="V86" s="270" t="e">
        <f>INDEX([78]Listas!$F$6:$J$10,MATCH(Q86,[78]Listas!$D$6:$D$10,0),MATCH(R86,[78]Listas!$F$4:$J$4,0))</f>
        <v>#N/A</v>
      </c>
      <c r="W86" s="268"/>
      <c r="X86" s="1399"/>
      <c r="Y86" s="1408"/>
      <c r="Z86" s="1400"/>
      <c r="AA86" s="1063"/>
      <c r="AB86" s="267"/>
      <c r="AC86" s="259"/>
      <c r="AD86" s="608"/>
      <c r="AE86" s="267"/>
      <c r="AF86" s="268"/>
      <c r="AG86" s="269">
        <f t="shared" si="6"/>
        <v>0</v>
      </c>
      <c r="AH86" s="271" t="e">
        <f t="shared" si="7"/>
        <v>#N/A</v>
      </c>
      <c r="AI86" s="272" t="e">
        <f>IF(AH86&lt;=1,"Remota",VLOOKUP(AH86,[78]Listas!$C$6:$D$10,2,0))</f>
        <v>#N/A</v>
      </c>
      <c r="AJ86" s="271" t="e">
        <f t="shared" si="8"/>
        <v>#N/A</v>
      </c>
      <c r="AK86" s="272" t="e">
        <f>IF(AJ86&lt;=1,"Insignificante",HLOOKUP(AJ86,[78]Listas!$F$3:$J$4,2,0))</f>
        <v>#N/A</v>
      </c>
      <c r="AL86" s="273" t="e">
        <f t="shared" si="9"/>
        <v>#N/A</v>
      </c>
      <c r="AM86" s="270" t="e">
        <f>INDEX([78]Listas!$F$6:$J$10,MATCH(AI86,[78]Listas!$D$6:$D$10,0),MATCH(AK86,[78]Listas!$F$4:$J$4,0))</f>
        <v>#N/A</v>
      </c>
      <c r="AN86" s="259"/>
      <c r="AO86" s="259"/>
      <c r="AP86" s="610"/>
      <c r="AQ86" s="259"/>
      <c r="AR86" s="259" t="s">
        <v>2343</v>
      </c>
      <c r="AS86" s="608"/>
      <c r="AT86" s="610"/>
      <c r="AU86" s="259"/>
      <c r="AV86" s="259" t="s">
        <v>2343</v>
      </c>
      <c r="AW86" s="608"/>
      <c r="AX86" s="259"/>
      <c r="AY86" s="259"/>
      <c r="AZ86" s="261"/>
      <c r="BA86" s="261"/>
      <c r="BB86" s="608"/>
    </row>
    <row r="87" spans="1:1030" ht="5.25" customHeight="1">
      <c r="A87" s="275"/>
      <c r="B87" s="276"/>
      <c r="C87" s="276"/>
      <c r="D87" s="276"/>
      <c r="E87" s="275"/>
      <c r="F87" s="275"/>
      <c r="G87" s="277"/>
      <c r="H87" s="277"/>
      <c r="I87" s="277"/>
      <c r="J87" s="275"/>
      <c r="K87" s="275"/>
      <c r="L87" s="278"/>
      <c r="M87" s="278"/>
      <c r="N87" s="278"/>
      <c r="O87" s="278"/>
      <c r="P87" s="278"/>
      <c r="Q87" s="278"/>
      <c r="R87" s="278"/>
      <c r="S87" s="278"/>
      <c r="T87" s="278"/>
      <c r="U87" s="278"/>
      <c r="V87" s="275"/>
      <c r="W87" s="275"/>
      <c r="X87" s="277"/>
      <c r="Y87" s="277"/>
      <c r="Z87" s="277"/>
      <c r="AA87" s="275"/>
      <c r="AB87" s="277"/>
      <c r="AC87" s="277"/>
      <c r="AD87" s="275"/>
      <c r="AE87" s="275"/>
      <c r="AF87" s="275"/>
      <c r="AG87" s="275"/>
      <c r="AH87" s="275"/>
      <c r="AI87" s="275"/>
      <c r="AJ87" s="275"/>
      <c r="AK87" s="275"/>
      <c r="AL87" s="275"/>
      <c r="AM87" s="279"/>
      <c r="AN87" s="262"/>
      <c r="AO87" s="262"/>
      <c r="AP87" s="262"/>
      <c r="AQ87" s="262"/>
      <c r="AR87" s="262"/>
      <c r="AS87" s="262"/>
      <c r="AT87" s="262"/>
      <c r="AU87" s="262"/>
      <c r="AV87" s="262"/>
      <c r="AW87" s="262"/>
      <c r="AX87" s="262"/>
      <c r="AY87" s="262"/>
      <c r="AZ87" s="262"/>
      <c r="BA87" s="262"/>
      <c r="BB87" s="262"/>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c r="HV87" s="236"/>
      <c r="HW87" s="236"/>
      <c r="HX87" s="236"/>
      <c r="HY87" s="236"/>
      <c r="HZ87" s="236"/>
      <c r="IA87" s="236"/>
      <c r="IB87" s="236"/>
      <c r="IC87" s="236"/>
      <c r="ID87" s="236"/>
      <c r="IE87" s="236"/>
      <c r="IF87" s="236"/>
      <c r="IG87" s="236"/>
      <c r="IH87" s="236"/>
      <c r="II87" s="236"/>
      <c r="IJ87" s="236"/>
      <c r="IK87" s="236"/>
      <c r="IL87" s="236"/>
      <c r="IM87" s="236"/>
      <c r="IN87" s="236"/>
      <c r="IO87" s="236"/>
      <c r="IP87" s="236"/>
      <c r="IQ87" s="236"/>
      <c r="IR87" s="236"/>
      <c r="IS87" s="236"/>
      <c r="IT87" s="236"/>
      <c r="IU87" s="236"/>
      <c r="IV87" s="236"/>
      <c r="IW87" s="236"/>
      <c r="IX87" s="236"/>
      <c r="IY87" s="236"/>
      <c r="IZ87" s="236"/>
      <c r="JA87" s="236"/>
      <c r="JB87" s="236"/>
      <c r="JC87" s="236"/>
      <c r="JD87" s="236"/>
      <c r="JE87" s="236"/>
      <c r="JF87" s="236"/>
      <c r="JG87" s="236"/>
      <c r="JH87" s="236"/>
      <c r="JI87" s="236"/>
      <c r="JJ87" s="236"/>
      <c r="JK87" s="236"/>
      <c r="JL87" s="236"/>
      <c r="JM87" s="236"/>
      <c r="JN87" s="236"/>
      <c r="JO87" s="236"/>
      <c r="JP87" s="236"/>
      <c r="JQ87" s="236"/>
      <c r="JR87" s="236"/>
      <c r="JS87" s="236"/>
      <c r="JT87" s="236"/>
      <c r="JU87" s="236"/>
      <c r="JV87" s="236"/>
      <c r="JW87" s="236"/>
      <c r="JX87" s="236"/>
      <c r="JY87" s="236"/>
      <c r="JZ87" s="236"/>
      <c r="KA87" s="236"/>
      <c r="KB87" s="236"/>
      <c r="KC87" s="236"/>
      <c r="KD87" s="236"/>
      <c r="KE87" s="236"/>
      <c r="KF87" s="236"/>
      <c r="KG87" s="236"/>
      <c r="KH87" s="236"/>
      <c r="KI87" s="236"/>
      <c r="KJ87" s="236"/>
      <c r="KK87" s="236"/>
      <c r="KL87" s="236"/>
      <c r="KM87" s="236"/>
      <c r="KN87" s="236"/>
      <c r="KO87" s="236"/>
      <c r="KP87" s="236"/>
      <c r="KQ87" s="236"/>
      <c r="KR87" s="236"/>
      <c r="KS87" s="236"/>
      <c r="KT87" s="236"/>
      <c r="KU87" s="236"/>
      <c r="KV87" s="236"/>
      <c r="KW87" s="236"/>
      <c r="KX87" s="236"/>
      <c r="KY87" s="236"/>
      <c r="KZ87" s="236"/>
      <c r="LA87" s="236"/>
      <c r="LB87" s="236"/>
      <c r="LC87" s="236"/>
      <c r="LD87" s="236"/>
      <c r="LE87" s="236"/>
      <c r="LF87" s="236"/>
      <c r="LG87" s="236"/>
      <c r="LH87" s="236"/>
      <c r="LI87" s="236"/>
      <c r="LJ87" s="236"/>
      <c r="LK87" s="236"/>
      <c r="LL87" s="236"/>
      <c r="LM87" s="236"/>
      <c r="LN87" s="236"/>
      <c r="LO87" s="236"/>
      <c r="LP87" s="236"/>
      <c r="LQ87" s="236"/>
      <c r="LR87" s="236"/>
      <c r="LS87" s="236"/>
      <c r="LT87" s="236"/>
      <c r="LU87" s="236"/>
      <c r="LV87" s="236"/>
      <c r="LW87" s="236"/>
      <c r="LX87" s="236"/>
      <c r="LY87" s="236"/>
      <c r="LZ87" s="236"/>
      <c r="MA87" s="236"/>
      <c r="MB87" s="236"/>
      <c r="MC87" s="236"/>
      <c r="MD87" s="236"/>
      <c r="ME87" s="236"/>
      <c r="MF87" s="236"/>
      <c r="MG87" s="236"/>
      <c r="MH87" s="236"/>
      <c r="MI87" s="236"/>
      <c r="MJ87" s="236"/>
      <c r="MK87" s="236"/>
      <c r="ML87" s="236"/>
      <c r="MM87" s="236"/>
      <c r="MN87" s="236"/>
      <c r="MO87" s="236"/>
      <c r="MP87" s="236"/>
      <c r="MQ87" s="236"/>
      <c r="MR87" s="236"/>
      <c r="MS87" s="236"/>
      <c r="MT87" s="236"/>
      <c r="MU87" s="236"/>
      <c r="MV87" s="236"/>
      <c r="MW87" s="236"/>
      <c r="MX87" s="236"/>
      <c r="MY87" s="236"/>
      <c r="MZ87" s="236"/>
      <c r="NA87" s="236"/>
      <c r="NB87" s="236"/>
      <c r="NC87" s="236"/>
      <c r="ND87" s="236"/>
      <c r="NE87" s="236"/>
      <c r="NF87" s="236"/>
      <c r="NG87" s="236"/>
      <c r="NH87" s="236"/>
      <c r="NI87" s="236"/>
      <c r="NJ87" s="236"/>
      <c r="NK87" s="236"/>
      <c r="NL87" s="236"/>
      <c r="NM87" s="236"/>
      <c r="NN87" s="236"/>
      <c r="NO87" s="236"/>
      <c r="NP87" s="236"/>
      <c r="NQ87" s="236"/>
      <c r="NR87" s="236"/>
      <c r="NS87" s="236"/>
      <c r="NT87" s="236"/>
      <c r="NU87" s="236"/>
      <c r="NV87" s="236"/>
      <c r="NW87" s="236"/>
      <c r="NX87" s="236"/>
      <c r="NY87" s="236"/>
      <c r="NZ87" s="236"/>
      <c r="OA87" s="236"/>
      <c r="OB87" s="236"/>
      <c r="OC87" s="236"/>
      <c r="OD87" s="236"/>
      <c r="OE87" s="236"/>
      <c r="OF87" s="236"/>
      <c r="OG87" s="236"/>
      <c r="OH87" s="236"/>
      <c r="OI87" s="236"/>
      <c r="OJ87" s="236"/>
      <c r="OK87" s="236"/>
      <c r="OL87" s="236"/>
      <c r="OM87" s="236"/>
      <c r="ON87" s="236"/>
      <c r="OO87" s="236"/>
      <c r="OP87" s="236"/>
      <c r="OQ87" s="236"/>
      <c r="OR87" s="236"/>
      <c r="OS87" s="236"/>
      <c r="OT87" s="236"/>
      <c r="OU87" s="236"/>
      <c r="OV87" s="236"/>
      <c r="OW87" s="236"/>
      <c r="OX87" s="236"/>
      <c r="OY87" s="236"/>
      <c r="OZ87" s="236"/>
      <c r="PA87" s="236"/>
      <c r="PB87" s="236"/>
      <c r="PC87" s="236"/>
      <c r="PD87" s="236"/>
      <c r="PE87" s="236"/>
      <c r="PF87" s="236"/>
      <c r="PG87" s="236"/>
      <c r="PH87" s="236"/>
      <c r="PI87" s="236"/>
      <c r="PJ87" s="236"/>
      <c r="PK87" s="236"/>
      <c r="PL87" s="236"/>
      <c r="PM87" s="236"/>
      <c r="PN87" s="236"/>
      <c r="PO87" s="236"/>
      <c r="PP87" s="236"/>
      <c r="PQ87" s="236"/>
      <c r="PR87" s="236"/>
      <c r="PS87" s="236"/>
      <c r="PT87" s="236"/>
      <c r="PU87" s="236"/>
      <c r="PV87" s="236"/>
      <c r="PW87" s="236"/>
      <c r="PX87" s="236"/>
      <c r="PY87" s="236"/>
      <c r="PZ87" s="236"/>
      <c r="QA87" s="236"/>
      <c r="QB87" s="236"/>
      <c r="QC87" s="236"/>
      <c r="QD87" s="236"/>
      <c r="QE87" s="236"/>
      <c r="QF87" s="236"/>
      <c r="QG87" s="236"/>
      <c r="QH87" s="236"/>
      <c r="QI87" s="236"/>
      <c r="QJ87" s="236"/>
      <c r="QK87" s="236"/>
      <c r="QL87" s="236"/>
      <c r="QM87" s="236"/>
      <c r="QN87" s="236"/>
      <c r="QO87" s="236"/>
      <c r="QP87" s="236"/>
      <c r="QQ87" s="236"/>
      <c r="QR87" s="236"/>
      <c r="QS87" s="236"/>
      <c r="QT87" s="236"/>
      <c r="QU87" s="236"/>
      <c r="QV87" s="236"/>
      <c r="QW87" s="236"/>
      <c r="QX87" s="236"/>
      <c r="QY87" s="236"/>
      <c r="QZ87" s="236"/>
      <c r="RA87" s="236"/>
      <c r="RB87" s="236"/>
      <c r="RC87" s="236"/>
      <c r="RD87" s="236"/>
      <c r="RE87" s="236"/>
      <c r="RF87" s="236"/>
      <c r="RG87" s="236"/>
      <c r="RH87" s="236"/>
      <c r="RI87" s="236"/>
      <c r="RJ87" s="236"/>
      <c r="RK87" s="236"/>
      <c r="RL87" s="236"/>
      <c r="RM87" s="236"/>
      <c r="RN87" s="236"/>
      <c r="RO87" s="236"/>
      <c r="RP87" s="236"/>
      <c r="RQ87" s="236"/>
      <c r="RR87" s="236"/>
      <c r="RS87" s="236"/>
      <c r="RT87" s="236"/>
      <c r="RU87" s="236"/>
      <c r="RV87" s="236"/>
      <c r="RW87" s="236"/>
      <c r="RX87" s="236"/>
      <c r="RY87" s="236"/>
      <c r="RZ87" s="236"/>
      <c r="SA87" s="236"/>
      <c r="SB87" s="236"/>
      <c r="SC87" s="236"/>
      <c r="SD87" s="236"/>
      <c r="SE87" s="236"/>
      <c r="SF87" s="236"/>
      <c r="SG87" s="236"/>
      <c r="SH87" s="236"/>
      <c r="SI87" s="236"/>
      <c r="SJ87" s="236"/>
      <c r="SK87" s="236"/>
      <c r="SL87" s="236"/>
      <c r="SM87" s="236"/>
      <c r="SN87" s="236"/>
      <c r="SO87" s="236"/>
      <c r="SP87" s="236"/>
      <c r="SQ87" s="236"/>
      <c r="SR87" s="236"/>
      <c r="SS87" s="236"/>
      <c r="ST87" s="236"/>
      <c r="SU87" s="236"/>
      <c r="SV87" s="236"/>
      <c r="SW87" s="236"/>
      <c r="SX87" s="236"/>
      <c r="SY87" s="236"/>
      <c r="SZ87" s="236"/>
      <c r="TA87" s="236"/>
      <c r="TB87" s="236"/>
      <c r="TC87" s="236"/>
      <c r="TD87" s="236"/>
      <c r="TE87" s="236"/>
      <c r="TF87" s="236"/>
      <c r="TG87" s="236"/>
      <c r="TH87" s="236"/>
      <c r="TI87" s="236"/>
      <c r="TJ87" s="236"/>
      <c r="TK87" s="236"/>
      <c r="TL87" s="236"/>
      <c r="TM87" s="236"/>
      <c r="TN87" s="236"/>
      <c r="TO87" s="236"/>
      <c r="TP87" s="236"/>
      <c r="TQ87" s="236"/>
      <c r="TR87" s="236"/>
      <c r="TS87" s="236"/>
      <c r="TT87" s="236"/>
      <c r="TU87" s="236"/>
      <c r="TV87" s="236"/>
      <c r="TW87" s="236"/>
      <c r="TX87" s="236"/>
      <c r="TY87" s="236"/>
      <c r="TZ87" s="236"/>
      <c r="UA87" s="236"/>
      <c r="UB87" s="236"/>
      <c r="UC87" s="236"/>
      <c r="UD87" s="236"/>
      <c r="UE87" s="236"/>
      <c r="UF87" s="236"/>
      <c r="UG87" s="236"/>
      <c r="UH87" s="236"/>
      <c r="UI87" s="236"/>
      <c r="UJ87" s="236"/>
      <c r="UK87" s="236"/>
      <c r="UL87" s="236"/>
      <c r="UM87" s="236"/>
      <c r="UN87" s="236"/>
      <c r="UO87" s="236"/>
      <c r="UP87" s="236"/>
      <c r="UQ87" s="236"/>
      <c r="UR87" s="236"/>
      <c r="US87" s="236"/>
      <c r="UT87" s="236"/>
      <c r="UU87" s="236"/>
      <c r="UV87" s="236"/>
      <c r="UW87" s="236"/>
      <c r="UX87" s="236"/>
      <c r="UY87" s="236"/>
      <c r="UZ87" s="236"/>
      <c r="VA87" s="236"/>
      <c r="VB87" s="236"/>
      <c r="VC87" s="236"/>
      <c r="VD87" s="236"/>
      <c r="VE87" s="236"/>
      <c r="VF87" s="236"/>
      <c r="VG87" s="236"/>
      <c r="VH87" s="236"/>
      <c r="VI87" s="236"/>
      <c r="VJ87" s="236"/>
      <c r="VK87" s="236"/>
      <c r="VL87" s="236"/>
      <c r="VM87" s="236"/>
      <c r="VN87" s="236"/>
      <c r="VO87" s="236"/>
      <c r="VP87" s="236"/>
      <c r="VQ87" s="236"/>
      <c r="VR87" s="236"/>
      <c r="VS87" s="236"/>
      <c r="VT87" s="236"/>
      <c r="VU87" s="236"/>
      <c r="VV87" s="236"/>
      <c r="VW87" s="236"/>
      <c r="VX87" s="236"/>
      <c r="VY87" s="236"/>
      <c r="VZ87" s="236"/>
      <c r="WA87" s="236"/>
      <c r="WB87" s="236"/>
      <c r="WC87" s="236"/>
      <c r="WD87" s="236"/>
      <c r="WE87" s="236"/>
      <c r="WF87" s="236"/>
      <c r="WG87" s="236"/>
      <c r="WH87" s="236"/>
      <c r="WI87" s="236"/>
      <c r="WJ87" s="236"/>
      <c r="WK87" s="236"/>
      <c r="WL87" s="236"/>
      <c r="WM87" s="236"/>
      <c r="WN87" s="236"/>
      <c r="WO87" s="236"/>
      <c r="WP87" s="236"/>
      <c r="WQ87" s="236"/>
      <c r="WR87" s="236"/>
      <c r="WS87" s="236"/>
      <c r="WT87" s="236"/>
      <c r="WU87" s="236"/>
      <c r="WV87" s="236"/>
      <c r="WW87" s="236"/>
      <c r="WX87" s="236"/>
      <c r="WY87" s="236"/>
      <c r="WZ87" s="236"/>
      <c r="XA87" s="236"/>
      <c r="XB87" s="236"/>
      <c r="XC87" s="236"/>
      <c r="XD87" s="236"/>
      <c r="XE87" s="236"/>
      <c r="XF87" s="236"/>
      <c r="XG87" s="236"/>
      <c r="XH87" s="236"/>
      <c r="XI87" s="236"/>
      <c r="XJ87" s="236"/>
      <c r="XK87" s="236"/>
      <c r="XL87" s="236"/>
      <c r="XM87" s="236"/>
      <c r="XN87" s="236"/>
      <c r="XO87" s="236"/>
      <c r="XP87" s="236"/>
      <c r="XQ87" s="236"/>
      <c r="XR87" s="236"/>
      <c r="XS87" s="236"/>
      <c r="XT87" s="236"/>
      <c r="XU87" s="236"/>
      <c r="XV87" s="236"/>
      <c r="XW87" s="236"/>
      <c r="XX87" s="236"/>
      <c r="XY87" s="236"/>
      <c r="XZ87" s="236"/>
      <c r="YA87" s="236"/>
      <c r="YB87" s="236"/>
      <c r="YC87" s="236"/>
      <c r="YD87" s="236"/>
      <c r="YE87" s="236"/>
      <c r="YF87" s="236"/>
      <c r="YG87" s="236"/>
      <c r="YH87" s="236"/>
      <c r="YI87" s="236"/>
      <c r="YJ87" s="236"/>
      <c r="YK87" s="236"/>
      <c r="YL87" s="236"/>
      <c r="YM87" s="236"/>
      <c r="YN87" s="236"/>
      <c r="YO87" s="236"/>
      <c r="YP87" s="236"/>
      <c r="YQ87" s="236"/>
      <c r="YR87" s="236"/>
      <c r="YS87" s="236"/>
      <c r="YT87" s="236"/>
      <c r="YU87" s="236"/>
      <c r="YV87" s="236"/>
      <c r="YW87" s="236"/>
      <c r="YX87" s="236"/>
      <c r="YY87" s="236"/>
      <c r="YZ87" s="236"/>
      <c r="ZA87" s="236"/>
      <c r="ZB87" s="236"/>
      <c r="ZC87" s="236"/>
      <c r="ZD87" s="236"/>
      <c r="ZE87" s="236"/>
      <c r="ZF87" s="236"/>
      <c r="ZG87" s="236"/>
      <c r="ZH87" s="236"/>
      <c r="ZI87" s="236"/>
      <c r="ZJ87" s="236"/>
      <c r="ZK87" s="236"/>
      <c r="ZL87" s="236"/>
      <c r="ZM87" s="236"/>
      <c r="ZN87" s="236"/>
      <c r="ZO87" s="236"/>
      <c r="ZP87" s="236"/>
      <c r="ZQ87" s="236"/>
      <c r="ZR87" s="236"/>
      <c r="ZS87" s="236"/>
      <c r="ZT87" s="236"/>
      <c r="ZU87" s="236"/>
      <c r="ZV87" s="236"/>
      <c r="ZW87" s="236"/>
      <c r="ZX87" s="236"/>
      <c r="ZY87" s="236"/>
      <c r="ZZ87" s="236"/>
      <c r="AAA87" s="236"/>
      <c r="AAB87" s="236"/>
      <c r="AAC87" s="236"/>
      <c r="AAD87" s="236"/>
      <c r="AAE87" s="236"/>
      <c r="AAF87" s="236"/>
      <c r="AAG87" s="236"/>
      <c r="AAH87" s="236"/>
      <c r="AAI87" s="236"/>
      <c r="AAJ87" s="236"/>
      <c r="AAK87" s="236"/>
      <c r="AAL87" s="236"/>
      <c r="AAM87" s="236"/>
      <c r="AAN87" s="236"/>
      <c r="AAO87" s="236"/>
      <c r="AAP87" s="236"/>
      <c r="AAQ87" s="236"/>
      <c r="AAR87" s="236"/>
      <c r="AAS87" s="236"/>
      <c r="AAT87" s="236"/>
      <c r="AAU87" s="236"/>
      <c r="AAV87" s="236"/>
      <c r="AAW87" s="236"/>
      <c r="AAX87" s="236"/>
      <c r="AAY87" s="236"/>
      <c r="AAZ87" s="236"/>
      <c r="ABA87" s="236"/>
      <c r="ABB87" s="236"/>
      <c r="ABC87" s="236"/>
      <c r="ABD87" s="236"/>
      <c r="ABE87" s="236"/>
      <c r="ABF87" s="236"/>
      <c r="ABG87" s="236"/>
      <c r="ABH87" s="236"/>
      <c r="ABI87" s="236"/>
      <c r="ABJ87" s="236"/>
      <c r="ABK87" s="236"/>
      <c r="ABL87" s="236"/>
      <c r="ABM87" s="236"/>
      <c r="ABN87" s="236"/>
      <c r="ABO87" s="236"/>
      <c r="ABP87" s="236"/>
      <c r="ABQ87" s="236"/>
      <c r="ABR87" s="236"/>
      <c r="ABS87" s="236"/>
      <c r="ABT87" s="236"/>
      <c r="ABU87" s="236"/>
      <c r="ABV87" s="236"/>
      <c r="ABW87" s="236"/>
      <c r="ABX87" s="236"/>
      <c r="ABY87" s="236"/>
      <c r="ABZ87" s="236"/>
      <c r="ACA87" s="236"/>
      <c r="ACB87" s="236"/>
      <c r="ACC87" s="236"/>
      <c r="ACD87" s="236"/>
      <c r="ACE87" s="236"/>
      <c r="ACF87" s="236"/>
      <c r="ACG87" s="236"/>
      <c r="ACH87" s="236"/>
      <c r="ACI87" s="236"/>
      <c r="ACJ87" s="236"/>
      <c r="ACK87" s="236"/>
      <c r="ACL87" s="236"/>
      <c r="ACM87" s="236"/>
      <c r="ACN87" s="236"/>
      <c r="ACO87" s="236"/>
      <c r="ACP87" s="236"/>
      <c r="ACQ87" s="236"/>
      <c r="ACR87" s="236"/>
      <c r="ACS87" s="236"/>
      <c r="ACT87" s="236"/>
      <c r="ACU87" s="236"/>
      <c r="ACV87" s="236"/>
      <c r="ACW87" s="236"/>
      <c r="ACX87" s="236"/>
      <c r="ACY87" s="236"/>
      <c r="ACZ87" s="236"/>
      <c r="ADA87" s="236"/>
      <c r="ADB87" s="236"/>
      <c r="ADC87" s="236"/>
      <c r="ADD87" s="236"/>
      <c r="ADE87" s="236"/>
      <c r="ADF87" s="236"/>
      <c r="ADG87" s="236"/>
      <c r="ADH87" s="236"/>
      <c r="ADI87" s="236"/>
      <c r="ADJ87" s="236"/>
      <c r="ADK87" s="236"/>
      <c r="ADL87" s="236"/>
      <c r="ADM87" s="236"/>
      <c r="ADN87" s="236"/>
      <c r="ADO87" s="236"/>
      <c r="ADP87" s="236"/>
      <c r="ADQ87" s="236"/>
      <c r="ADR87" s="236"/>
      <c r="ADS87" s="236"/>
      <c r="ADT87" s="236"/>
      <c r="ADU87" s="236"/>
      <c r="ADV87" s="236"/>
      <c r="ADW87" s="236"/>
      <c r="ADX87" s="236"/>
      <c r="ADY87" s="236"/>
      <c r="ADZ87" s="236"/>
      <c r="AEA87" s="236"/>
      <c r="AEB87" s="236"/>
      <c r="AEC87" s="236"/>
      <c r="AED87" s="236"/>
      <c r="AEE87" s="236"/>
      <c r="AEF87" s="236"/>
      <c r="AEG87" s="236"/>
      <c r="AEH87" s="236"/>
      <c r="AEI87" s="236"/>
      <c r="AEJ87" s="236"/>
      <c r="AEK87" s="236"/>
      <c r="AEL87" s="236"/>
      <c r="AEM87" s="236"/>
      <c r="AEN87" s="236"/>
      <c r="AEO87" s="236"/>
      <c r="AEP87" s="236"/>
      <c r="AEQ87" s="236"/>
      <c r="AER87" s="236"/>
      <c r="AES87" s="236"/>
      <c r="AET87" s="236"/>
      <c r="AEU87" s="236"/>
      <c r="AEV87" s="236"/>
      <c r="AEW87" s="236"/>
      <c r="AEX87" s="236"/>
      <c r="AEY87" s="236"/>
      <c r="AEZ87" s="236"/>
      <c r="AFA87" s="236"/>
      <c r="AFB87" s="236"/>
      <c r="AFC87" s="236"/>
      <c r="AFD87" s="236"/>
      <c r="AFE87" s="236"/>
      <c r="AFF87" s="236"/>
      <c r="AFG87" s="236"/>
      <c r="AFH87" s="236"/>
      <c r="AFI87" s="236"/>
      <c r="AFJ87" s="236"/>
      <c r="AFK87" s="236"/>
      <c r="AFL87" s="236"/>
      <c r="AFM87" s="236"/>
      <c r="AFN87" s="236"/>
      <c r="AFO87" s="236"/>
      <c r="AFP87" s="236"/>
      <c r="AFQ87" s="236"/>
      <c r="AFR87" s="236"/>
      <c r="AFS87" s="236"/>
      <c r="AFT87" s="236"/>
      <c r="AFU87" s="236"/>
      <c r="AFV87" s="236"/>
      <c r="AFW87" s="236"/>
      <c r="AFX87" s="236"/>
      <c r="AFY87" s="236"/>
      <c r="AFZ87" s="236"/>
      <c r="AGA87" s="236"/>
      <c r="AGB87" s="236"/>
      <c r="AGC87" s="236"/>
      <c r="AGD87" s="236"/>
      <c r="AGE87" s="236"/>
      <c r="AGF87" s="236"/>
      <c r="AGG87" s="236"/>
      <c r="AGH87" s="236"/>
      <c r="AGI87" s="236"/>
      <c r="AGJ87" s="236"/>
      <c r="AGK87" s="236"/>
      <c r="AGL87" s="236"/>
      <c r="AGM87" s="236"/>
      <c r="AGN87" s="236"/>
      <c r="AGO87" s="236"/>
      <c r="AGP87" s="236"/>
      <c r="AGQ87" s="236"/>
      <c r="AGR87" s="236"/>
      <c r="AGS87" s="236"/>
      <c r="AGT87" s="236"/>
      <c r="AGU87" s="236"/>
      <c r="AGV87" s="236"/>
      <c r="AGW87" s="236"/>
      <c r="AGX87" s="236"/>
      <c r="AGY87" s="236"/>
      <c r="AGZ87" s="236"/>
      <c r="AHA87" s="236"/>
      <c r="AHB87" s="236"/>
      <c r="AHC87" s="236"/>
      <c r="AHD87" s="236"/>
      <c r="AHE87" s="236"/>
      <c r="AHF87" s="236"/>
      <c r="AHG87" s="236"/>
      <c r="AHH87" s="236"/>
      <c r="AHI87" s="236"/>
      <c r="AHJ87" s="236"/>
      <c r="AHK87" s="236"/>
      <c r="AHL87" s="236"/>
      <c r="AHM87" s="236"/>
      <c r="AHN87" s="236"/>
      <c r="AHO87" s="236"/>
      <c r="AHP87" s="236"/>
      <c r="AHQ87" s="236"/>
      <c r="AHR87" s="236"/>
      <c r="AHS87" s="236"/>
      <c r="AHT87" s="236"/>
      <c r="AHU87" s="236"/>
      <c r="AHV87" s="236"/>
      <c r="AHW87" s="236"/>
      <c r="AHX87" s="236"/>
      <c r="AHY87" s="236"/>
      <c r="AHZ87" s="236"/>
      <c r="AIA87" s="236"/>
      <c r="AIB87" s="236"/>
      <c r="AIC87" s="236"/>
      <c r="AID87" s="236"/>
      <c r="AIE87" s="236"/>
      <c r="AIF87" s="236"/>
      <c r="AIG87" s="236"/>
      <c r="AIH87" s="236"/>
      <c r="AII87" s="236"/>
      <c r="AIJ87" s="236"/>
      <c r="AIK87" s="236"/>
      <c r="AIL87" s="236"/>
      <c r="AIM87" s="236"/>
      <c r="AIN87" s="236"/>
      <c r="AIO87" s="236"/>
      <c r="AIP87" s="236"/>
      <c r="AIQ87" s="236"/>
      <c r="AIR87" s="236"/>
      <c r="AIS87" s="236"/>
      <c r="AIT87" s="236"/>
      <c r="AIU87" s="236"/>
      <c r="AIV87" s="236"/>
      <c r="AIW87" s="236"/>
      <c r="AIX87" s="236"/>
      <c r="AIY87" s="236"/>
      <c r="AIZ87" s="236"/>
      <c r="AJA87" s="236"/>
      <c r="AJB87" s="236"/>
      <c r="AJC87" s="236"/>
      <c r="AJD87" s="236"/>
      <c r="AJE87" s="236"/>
      <c r="AJF87" s="236"/>
      <c r="AJG87" s="236"/>
      <c r="AJH87" s="236"/>
      <c r="AJI87" s="236"/>
      <c r="AJJ87" s="236"/>
      <c r="AJK87" s="236"/>
      <c r="AJL87" s="236"/>
      <c r="AJM87" s="236"/>
      <c r="AJN87" s="236"/>
      <c r="AJO87" s="236"/>
      <c r="AJP87" s="236"/>
      <c r="AJQ87" s="236"/>
      <c r="AJR87" s="236"/>
      <c r="AJS87" s="236"/>
      <c r="AJT87" s="236"/>
      <c r="AJU87" s="236"/>
      <c r="AJV87" s="236"/>
      <c r="AJW87" s="236"/>
      <c r="AJX87" s="236"/>
      <c r="AJY87" s="236"/>
      <c r="AJZ87" s="236"/>
      <c r="AKA87" s="236"/>
      <c r="AKB87" s="236"/>
      <c r="AKC87" s="236"/>
      <c r="AKD87" s="236"/>
      <c r="AKE87" s="236"/>
      <c r="AKF87" s="236"/>
      <c r="AKG87" s="236"/>
      <c r="AKH87" s="236"/>
      <c r="AKI87" s="236"/>
      <c r="AKJ87" s="236"/>
      <c r="AKK87" s="236"/>
      <c r="AKL87" s="236"/>
      <c r="AKM87" s="236"/>
      <c r="AKN87" s="236"/>
      <c r="AKO87" s="236"/>
      <c r="AKP87" s="236"/>
      <c r="AKQ87" s="236"/>
      <c r="AKR87" s="236"/>
      <c r="AKS87" s="236"/>
      <c r="AKT87" s="236"/>
      <c r="AKU87" s="236"/>
      <c r="AKV87" s="236"/>
      <c r="AKW87" s="236"/>
      <c r="AKX87" s="236"/>
      <c r="AKY87" s="236"/>
      <c r="AKZ87" s="236"/>
      <c r="ALA87" s="236"/>
      <c r="ALB87" s="236"/>
      <c r="ALC87" s="236"/>
      <c r="ALD87" s="236"/>
      <c r="ALE87" s="236"/>
      <c r="ALF87" s="236"/>
      <c r="ALG87" s="236"/>
      <c r="ALH87" s="236"/>
      <c r="ALI87" s="236"/>
      <c r="ALJ87" s="236"/>
      <c r="ALK87" s="236"/>
      <c r="ALL87" s="236"/>
      <c r="ALM87" s="236"/>
      <c r="ALN87" s="236"/>
      <c r="ALO87" s="236"/>
      <c r="ALP87" s="236"/>
      <c r="ALQ87" s="236"/>
      <c r="ALR87" s="236"/>
      <c r="ALS87" s="236"/>
      <c r="ALT87" s="236"/>
      <c r="ALU87" s="236"/>
      <c r="ALV87" s="236"/>
      <c r="ALW87" s="236"/>
      <c r="ALX87" s="236"/>
      <c r="ALY87" s="236"/>
      <c r="ALZ87" s="236"/>
      <c r="AMA87" s="236"/>
      <c r="AMB87" s="236"/>
      <c r="AMC87" s="236"/>
      <c r="AMD87" s="236"/>
      <c r="AME87" s="236"/>
      <c r="AMF87" s="236"/>
      <c r="AMG87" s="236"/>
      <c r="AMH87" s="236"/>
      <c r="AMI87" s="236"/>
      <c r="AMJ87" s="236"/>
      <c r="AMK87" s="236"/>
      <c r="AML87" s="236"/>
      <c r="AMM87" s="236"/>
      <c r="AMN87" s="236"/>
      <c r="AMO87" s="236"/>
      <c r="AMP87" s="236"/>
    </row>
    <row r="88" spans="1:1030" ht="11.25" customHeight="1">
      <c r="A88" s="1386" t="s">
        <v>656</v>
      </c>
      <c r="B88" s="1387"/>
      <c r="C88" s="1387"/>
      <c r="D88" s="1387"/>
      <c r="E88" s="1387"/>
      <c r="F88" s="1387"/>
      <c r="G88" s="1387"/>
      <c r="H88" s="1387"/>
      <c r="I88" s="1387"/>
      <c r="J88" s="1387"/>
      <c r="K88" s="1387"/>
      <c r="L88" s="1388"/>
      <c r="M88" s="275"/>
      <c r="N88" s="280" t="s">
        <v>650</v>
      </c>
      <c r="O88" s="280"/>
      <c r="P88" s="281"/>
      <c r="Q88" s="281"/>
      <c r="R88" s="281"/>
      <c r="S88" s="281"/>
      <c r="T88" s="281"/>
      <c r="U88" s="281"/>
      <c r="V88" s="281"/>
      <c r="W88" s="281"/>
      <c r="X88" s="282"/>
      <c r="Y88" s="282"/>
      <c r="Z88" s="282"/>
      <c r="AA88" s="281"/>
      <c r="AB88" s="282"/>
      <c r="AC88" s="282"/>
      <c r="AD88" s="281"/>
      <c r="AE88" s="281"/>
      <c r="AF88" s="281"/>
      <c r="AG88" s="281"/>
      <c r="AH88" s="281"/>
      <c r="AI88" s="281"/>
      <c r="AJ88" s="275"/>
      <c r="AK88" s="275"/>
      <c r="AL88" s="275"/>
      <c r="AM88" s="279"/>
      <c r="AN88" s="262"/>
      <c r="AO88" s="262"/>
      <c r="AP88" s="262"/>
      <c r="AQ88" s="262"/>
      <c r="AR88" s="262"/>
      <c r="AS88" s="262"/>
      <c r="AT88" s="262"/>
      <c r="AU88" s="262"/>
      <c r="AV88" s="262"/>
      <c r="AW88" s="262"/>
      <c r="AX88" s="262"/>
      <c r="AY88" s="262"/>
      <c r="AZ88" s="262"/>
      <c r="BA88" s="262"/>
      <c r="BB88" s="262"/>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c r="HV88" s="236"/>
      <c r="HW88" s="236"/>
      <c r="HX88" s="236"/>
      <c r="HY88" s="236"/>
      <c r="HZ88" s="236"/>
      <c r="IA88" s="236"/>
      <c r="IB88" s="236"/>
      <c r="IC88" s="236"/>
      <c r="ID88" s="236"/>
      <c r="IE88" s="236"/>
      <c r="IF88" s="236"/>
      <c r="IG88" s="236"/>
      <c r="IH88" s="236"/>
      <c r="II88" s="236"/>
      <c r="IJ88" s="236"/>
      <c r="IK88" s="236"/>
      <c r="IL88" s="236"/>
      <c r="IM88" s="236"/>
      <c r="IN88" s="236"/>
      <c r="IO88" s="236"/>
      <c r="IP88" s="236"/>
      <c r="IQ88" s="236"/>
      <c r="IR88" s="236"/>
      <c r="IS88" s="236"/>
      <c r="IT88" s="236"/>
      <c r="IU88" s="236"/>
      <c r="IV88" s="236"/>
      <c r="IW88" s="236"/>
      <c r="IX88" s="236"/>
      <c r="IY88" s="236"/>
      <c r="IZ88" s="236"/>
      <c r="JA88" s="236"/>
      <c r="JB88" s="236"/>
      <c r="JC88" s="236"/>
      <c r="JD88" s="236"/>
      <c r="JE88" s="236"/>
      <c r="JF88" s="236"/>
      <c r="JG88" s="236"/>
      <c r="JH88" s="236"/>
      <c r="JI88" s="236"/>
      <c r="JJ88" s="236"/>
      <c r="JK88" s="236"/>
      <c r="JL88" s="236"/>
      <c r="JM88" s="236"/>
      <c r="JN88" s="236"/>
      <c r="JO88" s="236"/>
      <c r="JP88" s="236"/>
      <c r="JQ88" s="236"/>
      <c r="JR88" s="236"/>
      <c r="JS88" s="236"/>
      <c r="JT88" s="236"/>
      <c r="JU88" s="236"/>
      <c r="JV88" s="236"/>
      <c r="JW88" s="236"/>
      <c r="JX88" s="236"/>
      <c r="JY88" s="236"/>
      <c r="JZ88" s="236"/>
      <c r="KA88" s="236"/>
      <c r="KB88" s="236"/>
      <c r="KC88" s="236"/>
      <c r="KD88" s="236"/>
      <c r="KE88" s="236"/>
      <c r="KF88" s="236"/>
      <c r="KG88" s="236"/>
      <c r="KH88" s="236"/>
      <c r="KI88" s="236"/>
      <c r="KJ88" s="236"/>
      <c r="KK88" s="236"/>
      <c r="KL88" s="236"/>
      <c r="KM88" s="236"/>
      <c r="KN88" s="236"/>
      <c r="KO88" s="236"/>
      <c r="KP88" s="236"/>
      <c r="KQ88" s="236"/>
      <c r="KR88" s="236"/>
      <c r="KS88" s="236"/>
      <c r="KT88" s="236"/>
      <c r="KU88" s="236"/>
      <c r="KV88" s="236"/>
      <c r="KW88" s="236"/>
      <c r="KX88" s="236"/>
      <c r="KY88" s="236"/>
      <c r="KZ88" s="236"/>
      <c r="LA88" s="236"/>
      <c r="LB88" s="236"/>
      <c r="LC88" s="236"/>
      <c r="LD88" s="236"/>
      <c r="LE88" s="236"/>
      <c r="LF88" s="236"/>
      <c r="LG88" s="236"/>
      <c r="LH88" s="236"/>
      <c r="LI88" s="236"/>
      <c r="LJ88" s="236"/>
      <c r="LK88" s="236"/>
      <c r="LL88" s="236"/>
      <c r="LM88" s="236"/>
      <c r="LN88" s="236"/>
      <c r="LO88" s="236"/>
      <c r="LP88" s="236"/>
      <c r="LQ88" s="236"/>
      <c r="LR88" s="236"/>
      <c r="LS88" s="236"/>
      <c r="LT88" s="236"/>
      <c r="LU88" s="236"/>
      <c r="LV88" s="236"/>
      <c r="LW88" s="236"/>
      <c r="LX88" s="236"/>
      <c r="LY88" s="236"/>
      <c r="LZ88" s="236"/>
      <c r="MA88" s="236"/>
      <c r="MB88" s="236"/>
      <c r="MC88" s="236"/>
      <c r="MD88" s="236"/>
      <c r="ME88" s="236"/>
      <c r="MF88" s="236"/>
      <c r="MG88" s="236"/>
      <c r="MH88" s="236"/>
      <c r="MI88" s="236"/>
      <c r="MJ88" s="236"/>
      <c r="MK88" s="236"/>
      <c r="ML88" s="236"/>
      <c r="MM88" s="236"/>
      <c r="MN88" s="236"/>
      <c r="MO88" s="236"/>
      <c r="MP88" s="236"/>
      <c r="MQ88" s="236"/>
      <c r="MR88" s="236"/>
      <c r="MS88" s="236"/>
      <c r="MT88" s="236"/>
      <c r="MU88" s="236"/>
      <c r="MV88" s="236"/>
      <c r="MW88" s="236"/>
      <c r="MX88" s="236"/>
      <c r="MY88" s="236"/>
      <c r="MZ88" s="236"/>
      <c r="NA88" s="236"/>
      <c r="NB88" s="236"/>
      <c r="NC88" s="236"/>
      <c r="ND88" s="236"/>
      <c r="NE88" s="236"/>
      <c r="NF88" s="236"/>
      <c r="NG88" s="236"/>
      <c r="NH88" s="236"/>
      <c r="NI88" s="236"/>
      <c r="NJ88" s="236"/>
      <c r="NK88" s="236"/>
      <c r="NL88" s="236"/>
      <c r="NM88" s="236"/>
      <c r="NN88" s="236"/>
      <c r="NO88" s="236"/>
      <c r="NP88" s="236"/>
      <c r="NQ88" s="236"/>
      <c r="NR88" s="236"/>
      <c r="NS88" s="236"/>
      <c r="NT88" s="236"/>
      <c r="NU88" s="236"/>
      <c r="NV88" s="236"/>
      <c r="NW88" s="236"/>
      <c r="NX88" s="236"/>
      <c r="NY88" s="236"/>
      <c r="NZ88" s="236"/>
      <c r="OA88" s="236"/>
      <c r="OB88" s="236"/>
      <c r="OC88" s="236"/>
      <c r="OD88" s="236"/>
      <c r="OE88" s="236"/>
      <c r="OF88" s="236"/>
      <c r="OG88" s="236"/>
      <c r="OH88" s="236"/>
      <c r="OI88" s="236"/>
      <c r="OJ88" s="236"/>
      <c r="OK88" s="236"/>
      <c r="OL88" s="236"/>
      <c r="OM88" s="236"/>
      <c r="ON88" s="236"/>
      <c r="OO88" s="236"/>
      <c r="OP88" s="236"/>
      <c r="OQ88" s="236"/>
      <c r="OR88" s="236"/>
      <c r="OS88" s="236"/>
      <c r="OT88" s="236"/>
      <c r="OU88" s="236"/>
      <c r="OV88" s="236"/>
      <c r="OW88" s="236"/>
      <c r="OX88" s="236"/>
      <c r="OY88" s="236"/>
      <c r="OZ88" s="236"/>
      <c r="PA88" s="236"/>
      <c r="PB88" s="236"/>
      <c r="PC88" s="236"/>
      <c r="PD88" s="236"/>
      <c r="PE88" s="236"/>
      <c r="PF88" s="236"/>
      <c r="PG88" s="236"/>
      <c r="PH88" s="236"/>
      <c r="PI88" s="236"/>
      <c r="PJ88" s="236"/>
      <c r="PK88" s="236"/>
      <c r="PL88" s="236"/>
      <c r="PM88" s="236"/>
      <c r="PN88" s="236"/>
      <c r="PO88" s="236"/>
      <c r="PP88" s="236"/>
      <c r="PQ88" s="236"/>
      <c r="PR88" s="236"/>
      <c r="PS88" s="236"/>
      <c r="PT88" s="236"/>
      <c r="PU88" s="236"/>
      <c r="PV88" s="236"/>
      <c r="PW88" s="236"/>
      <c r="PX88" s="236"/>
      <c r="PY88" s="236"/>
      <c r="PZ88" s="236"/>
      <c r="QA88" s="236"/>
      <c r="QB88" s="236"/>
      <c r="QC88" s="236"/>
      <c r="QD88" s="236"/>
      <c r="QE88" s="236"/>
      <c r="QF88" s="236"/>
      <c r="QG88" s="236"/>
      <c r="QH88" s="236"/>
      <c r="QI88" s="236"/>
      <c r="QJ88" s="236"/>
      <c r="QK88" s="236"/>
      <c r="QL88" s="236"/>
      <c r="QM88" s="236"/>
      <c r="QN88" s="236"/>
      <c r="QO88" s="236"/>
      <c r="QP88" s="236"/>
      <c r="QQ88" s="236"/>
      <c r="QR88" s="236"/>
      <c r="QS88" s="236"/>
      <c r="QT88" s="236"/>
      <c r="QU88" s="236"/>
      <c r="QV88" s="236"/>
      <c r="QW88" s="236"/>
      <c r="QX88" s="236"/>
      <c r="QY88" s="236"/>
      <c r="QZ88" s="236"/>
      <c r="RA88" s="236"/>
      <c r="RB88" s="236"/>
      <c r="RC88" s="236"/>
      <c r="RD88" s="236"/>
      <c r="RE88" s="236"/>
      <c r="RF88" s="236"/>
      <c r="RG88" s="236"/>
      <c r="RH88" s="236"/>
      <c r="RI88" s="236"/>
      <c r="RJ88" s="236"/>
      <c r="RK88" s="236"/>
      <c r="RL88" s="236"/>
      <c r="RM88" s="236"/>
      <c r="RN88" s="236"/>
      <c r="RO88" s="236"/>
      <c r="RP88" s="236"/>
      <c r="RQ88" s="236"/>
      <c r="RR88" s="236"/>
      <c r="RS88" s="236"/>
      <c r="RT88" s="236"/>
      <c r="RU88" s="236"/>
      <c r="RV88" s="236"/>
      <c r="RW88" s="236"/>
      <c r="RX88" s="236"/>
      <c r="RY88" s="236"/>
      <c r="RZ88" s="236"/>
      <c r="SA88" s="236"/>
      <c r="SB88" s="236"/>
      <c r="SC88" s="236"/>
      <c r="SD88" s="236"/>
      <c r="SE88" s="236"/>
      <c r="SF88" s="236"/>
      <c r="SG88" s="236"/>
      <c r="SH88" s="236"/>
      <c r="SI88" s="236"/>
      <c r="SJ88" s="236"/>
      <c r="SK88" s="236"/>
      <c r="SL88" s="236"/>
      <c r="SM88" s="236"/>
      <c r="SN88" s="236"/>
      <c r="SO88" s="236"/>
      <c r="SP88" s="236"/>
      <c r="SQ88" s="236"/>
      <c r="SR88" s="236"/>
      <c r="SS88" s="236"/>
      <c r="ST88" s="236"/>
      <c r="SU88" s="236"/>
      <c r="SV88" s="236"/>
      <c r="SW88" s="236"/>
      <c r="SX88" s="236"/>
      <c r="SY88" s="236"/>
      <c r="SZ88" s="236"/>
      <c r="TA88" s="236"/>
      <c r="TB88" s="236"/>
      <c r="TC88" s="236"/>
      <c r="TD88" s="236"/>
      <c r="TE88" s="236"/>
      <c r="TF88" s="236"/>
      <c r="TG88" s="236"/>
      <c r="TH88" s="236"/>
      <c r="TI88" s="236"/>
      <c r="TJ88" s="236"/>
      <c r="TK88" s="236"/>
      <c r="TL88" s="236"/>
      <c r="TM88" s="236"/>
      <c r="TN88" s="236"/>
      <c r="TO88" s="236"/>
      <c r="TP88" s="236"/>
      <c r="TQ88" s="236"/>
      <c r="TR88" s="236"/>
      <c r="TS88" s="236"/>
      <c r="TT88" s="236"/>
      <c r="TU88" s="236"/>
      <c r="TV88" s="236"/>
      <c r="TW88" s="236"/>
      <c r="TX88" s="236"/>
      <c r="TY88" s="236"/>
      <c r="TZ88" s="236"/>
      <c r="UA88" s="236"/>
      <c r="UB88" s="236"/>
      <c r="UC88" s="236"/>
      <c r="UD88" s="236"/>
      <c r="UE88" s="236"/>
      <c r="UF88" s="236"/>
      <c r="UG88" s="236"/>
      <c r="UH88" s="236"/>
      <c r="UI88" s="236"/>
      <c r="UJ88" s="236"/>
      <c r="UK88" s="236"/>
      <c r="UL88" s="236"/>
      <c r="UM88" s="236"/>
      <c r="UN88" s="236"/>
      <c r="UO88" s="236"/>
      <c r="UP88" s="236"/>
      <c r="UQ88" s="236"/>
      <c r="UR88" s="236"/>
      <c r="US88" s="236"/>
      <c r="UT88" s="236"/>
      <c r="UU88" s="236"/>
      <c r="UV88" s="236"/>
      <c r="UW88" s="236"/>
      <c r="UX88" s="236"/>
      <c r="UY88" s="236"/>
      <c r="UZ88" s="236"/>
      <c r="VA88" s="236"/>
      <c r="VB88" s="236"/>
      <c r="VC88" s="236"/>
      <c r="VD88" s="236"/>
      <c r="VE88" s="236"/>
      <c r="VF88" s="236"/>
      <c r="VG88" s="236"/>
      <c r="VH88" s="236"/>
      <c r="VI88" s="236"/>
      <c r="VJ88" s="236"/>
      <c r="VK88" s="236"/>
      <c r="VL88" s="236"/>
      <c r="VM88" s="236"/>
      <c r="VN88" s="236"/>
      <c r="VO88" s="236"/>
      <c r="VP88" s="236"/>
      <c r="VQ88" s="236"/>
      <c r="VR88" s="236"/>
      <c r="VS88" s="236"/>
      <c r="VT88" s="236"/>
      <c r="VU88" s="236"/>
      <c r="VV88" s="236"/>
      <c r="VW88" s="236"/>
      <c r="VX88" s="236"/>
      <c r="VY88" s="236"/>
      <c r="VZ88" s="236"/>
      <c r="WA88" s="236"/>
      <c r="WB88" s="236"/>
      <c r="WC88" s="236"/>
      <c r="WD88" s="236"/>
      <c r="WE88" s="236"/>
      <c r="WF88" s="236"/>
      <c r="WG88" s="236"/>
      <c r="WH88" s="236"/>
      <c r="WI88" s="236"/>
      <c r="WJ88" s="236"/>
      <c r="WK88" s="236"/>
      <c r="WL88" s="236"/>
      <c r="WM88" s="236"/>
      <c r="WN88" s="236"/>
      <c r="WO88" s="236"/>
      <c r="WP88" s="236"/>
      <c r="WQ88" s="236"/>
      <c r="WR88" s="236"/>
      <c r="WS88" s="236"/>
      <c r="WT88" s="236"/>
      <c r="WU88" s="236"/>
      <c r="WV88" s="236"/>
      <c r="WW88" s="236"/>
      <c r="WX88" s="236"/>
      <c r="WY88" s="236"/>
      <c r="WZ88" s="236"/>
      <c r="XA88" s="236"/>
      <c r="XB88" s="236"/>
      <c r="XC88" s="236"/>
      <c r="XD88" s="236"/>
      <c r="XE88" s="236"/>
      <c r="XF88" s="236"/>
      <c r="XG88" s="236"/>
      <c r="XH88" s="236"/>
      <c r="XI88" s="236"/>
      <c r="XJ88" s="236"/>
      <c r="XK88" s="236"/>
      <c r="XL88" s="236"/>
      <c r="XM88" s="236"/>
      <c r="XN88" s="236"/>
      <c r="XO88" s="236"/>
      <c r="XP88" s="236"/>
      <c r="XQ88" s="236"/>
      <c r="XR88" s="236"/>
      <c r="XS88" s="236"/>
      <c r="XT88" s="236"/>
      <c r="XU88" s="236"/>
      <c r="XV88" s="236"/>
      <c r="XW88" s="236"/>
      <c r="XX88" s="236"/>
      <c r="XY88" s="236"/>
      <c r="XZ88" s="236"/>
      <c r="YA88" s="236"/>
      <c r="YB88" s="236"/>
      <c r="YC88" s="236"/>
      <c r="YD88" s="236"/>
      <c r="YE88" s="236"/>
      <c r="YF88" s="236"/>
      <c r="YG88" s="236"/>
      <c r="YH88" s="236"/>
      <c r="YI88" s="236"/>
      <c r="YJ88" s="236"/>
      <c r="YK88" s="236"/>
      <c r="YL88" s="236"/>
      <c r="YM88" s="236"/>
      <c r="YN88" s="236"/>
      <c r="YO88" s="236"/>
      <c r="YP88" s="236"/>
      <c r="YQ88" s="236"/>
      <c r="YR88" s="236"/>
      <c r="YS88" s="236"/>
      <c r="YT88" s="236"/>
      <c r="YU88" s="236"/>
      <c r="YV88" s="236"/>
      <c r="YW88" s="236"/>
      <c r="YX88" s="236"/>
      <c r="YY88" s="236"/>
      <c r="YZ88" s="236"/>
      <c r="ZA88" s="236"/>
      <c r="ZB88" s="236"/>
      <c r="ZC88" s="236"/>
      <c r="ZD88" s="236"/>
      <c r="ZE88" s="236"/>
      <c r="ZF88" s="236"/>
      <c r="ZG88" s="236"/>
      <c r="ZH88" s="236"/>
      <c r="ZI88" s="236"/>
      <c r="ZJ88" s="236"/>
      <c r="ZK88" s="236"/>
      <c r="ZL88" s="236"/>
      <c r="ZM88" s="236"/>
      <c r="ZN88" s="236"/>
      <c r="ZO88" s="236"/>
      <c r="ZP88" s="236"/>
      <c r="ZQ88" s="236"/>
      <c r="ZR88" s="236"/>
      <c r="ZS88" s="236"/>
      <c r="ZT88" s="236"/>
      <c r="ZU88" s="236"/>
      <c r="ZV88" s="236"/>
      <c r="ZW88" s="236"/>
      <c r="ZX88" s="236"/>
      <c r="ZY88" s="236"/>
      <c r="ZZ88" s="236"/>
      <c r="AAA88" s="236"/>
      <c r="AAB88" s="236"/>
      <c r="AAC88" s="236"/>
      <c r="AAD88" s="236"/>
      <c r="AAE88" s="236"/>
      <c r="AAF88" s="236"/>
      <c r="AAG88" s="236"/>
      <c r="AAH88" s="236"/>
      <c r="AAI88" s="236"/>
      <c r="AAJ88" s="236"/>
      <c r="AAK88" s="236"/>
      <c r="AAL88" s="236"/>
      <c r="AAM88" s="236"/>
      <c r="AAN88" s="236"/>
      <c r="AAO88" s="236"/>
      <c r="AAP88" s="236"/>
      <c r="AAQ88" s="236"/>
      <c r="AAR88" s="236"/>
      <c r="AAS88" s="236"/>
      <c r="AAT88" s="236"/>
      <c r="AAU88" s="236"/>
      <c r="AAV88" s="236"/>
      <c r="AAW88" s="236"/>
      <c r="AAX88" s="236"/>
      <c r="AAY88" s="236"/>
      <c r="AAZ88" s="236"/>
      <c r="ABA88" s="236"/>
      <c r="ABB88" s="236"/>
      <c r="ABC88" s="236"/>
      <c r="ABD88" s="236"/>
      <c r="ABE88" s="236"/>
      <c r="ABF88" s="236"/>
      <c r="ABG88" s="236"/>
      <c r="ABH88" s="236"/>
      <c r="ABI88" s="236"/>
      <c r="ABJ88" s="236"/>
      <c r="ABK88" s="236"/>
      <c r="ABL88" s="236"/>
      <c r="ABM88" s="236"/>
      <c r="ABN88" s="236"/>
      <c r="ABO88" s="236"/>
      <c r="ABP88" s="236"/>
      <c r="ABQ88" s="236"/>
      <c r="ABR88" s="236"/>
      <c r="ABS88" s="236"/>
      <c r="ABT88" s="236"/>
      <c r="ABU88" s="236"/>
      <c r="ABV88" s="236"/>
      <c r="ABW88" s="236"/>
      <c r="ABX88" s="236"/>
      <c r="ABY88" s="236"/>
      <c r="ABZ88" s="236"/>
      <c r="ACA88" s="236"/>
      <c r="ACB88" s="236"/>
      <c r="ACC88" s="236"/>
      <c r="ACD88" s="236"/>
      <c r="ACE88" s="236"/>
      <c r="ACF88" s="236"/>
      <c r="ACG88" s="236"/>
      <c r="ACH88" s="236"/>
      <c r="ACI88" s="236"/>
      <c r="ACJ88" s="236"/>
      <c r="ACK88" s="236"/>
      <c r="ACL88" s="236"/>
      <c r="ACM88" s="236"/>
      <c r="ACN88" s="236"/>
      <c r="ACO88" s="236"/>
      <c r="ACP88" s="236"/>
      <c r="ACQ88" s="236"/>
      <c r="ACR88" s="236"/>
      <c r="ACS88" s="236"/>
      <c r="ACT88" s="236"/>
      <c r="ACU88" s="236"/>
      <c r="ACV88" s="236"/>
      <c r="ACW88" s="236"/>
      <c r="ACX88" s="236"/>
      <c r="ACY88" s="236"/>
      <c r="ACZ88" s="236"/>
      <c r="ADA88" s="236"/>
      <c r="ADB88" s="236"/>
      <c r="ADC88" s="236"/>
      <c r="ADD88" s="236"/>
      <c r="ADE88" s="236"/>
      <c r="ADF88" s="236"/>
      <c r="ADG88" s="236"/>
      <c r="ADH88" s="236"/>
      <c r="ADI88" s="236"/>
      <c r="ADJ88" s="236"/>
      <c r="ADK88" s="236"/>
      <c r="ADL88" s="236"/>
      <c r="ADM88" s="236"/>
      <c r="ADN88" s="236"/>
      <c r="ADO88" s="236"/>
      <c r="ADP88" s="236"/>
      <c r="ADQ88" s="236"/>
      <c r="ADR88" s="236"/>
      <c r="ADS88" s="236"/>
      <c r="ADT88" s="236"/>
      <c r="ADU88" s="236"/>
      <c r="ADV88" s="236"/>
      <c r="ADW88" s="236"/>
      <c r="ADX88" s="236"/>
      <c r="ADY88" s="236"/>
      <c r="ADZ88" s="236"/>
      <c r="AEA88" s="236"/>
      <c r="AEB88" s="236"/>
      <c r="AEC88" s="236"/>
      <c r="AED88" s="236"/>
      <c r="AEE88" s="236"/>
      <c r="AEF88" s="236"/>
      <c r="AEG88" s="236"/>
      <c r="AEH88" s="236"/>
      <c r="AEI88" s="236"/>
      <c r="AEJ88" s="236"/>
      <c r="AEK88" s="236"/>
      <c r="AEL88" s="236"/>
      <c r="AEM88" s="236"/>
      <c r="AEN88" s="236"/>
      <c r="AEO88" s="236"/>
      <c r="AEP88" s="236"/>
      <c r="AEQ88" s="236"/>
      <c r="AER88" s="236"/>
      <c r="AES88" s="236"/>
      <c r="AET88" s="236"/>
      <c r="AEU88" s="236"/>
      <c r="AEV88" s="236"/>
      <c r="AEW88" s="236"/>
      <c r="AEX88" s="236"/>
      <c r="AEY88" s="236"/>
      <c r="AEZ88" s="236"/>
      <c r="AFA88" s="236"/>
      <c r="AFB88" s="236"/>
      <c r="AFC88" s="236"/>
      <c r="AFD88" s="236"/>
      <c r="AFE88" s="236"/>
      <c r="AFF88" s="236"/>
      <c r="AFG88" s="236"/>
      <c r="AFH88" s="236"/>
      <c r="AFI88" s="236"/>
      <c r="AFJ88" s="236"/>
      <c r="AFK88" s="236"/>
      <c r="AFL88" s="236"/>
      <c r="AFM88" s="236"/>
      <c r="AFN88" s="236"/>
      <c r="AFO88" s="236"/>
      <c r="AFP88" s="236"/>
      <c r="AFQ88" s="236"/>
      <c r="AFR88" s="236"/>
      <c r="AFS88" s="236"/>
      <c r="AFT88" s="236"/>
      <c r="AFU88" s="236"/>
      <c r="AFV88" s="236"/>
      <c r="AFW88" s="236"/>
      <c r="AFX88" s="236"/>
      <c r="AFY88" s="236"/>
      <c r="AFZ88" s="236"/>
      <c r="AGA88" s="236"/>
      <c r="AGB88" s="236"/>
      <c r="AGC88" s="236"/>
      <c r="AGD88" s="236"/>
      <c r="AGE88" s="236"/>
      <c r="AGF88" s="236"/>
      <c r="AGG88" s="236"/>
      <c r="AGH88" s="236"/>
      <c r="AGI88" s="236"/>
      <c r="AGJ88" s="236"/>
      <c r="AGK88" s="236"/>
      <c r="AGL88" s="236"/>
      <c r="AGM88" s="236"/>
      <c r="AGN88" s="236"/>
      <c r="AGO88" s="236"/>
      <c r="AGP88" s="236"/>
      <c r="AGQ88" s="236"/>
      <c r="AGR88" s="236"/>
      <c r="AGS88" s="236"/>
      <c r="AGT88" s="236"/>
      <c r="AGU88" s="236"/>
      <c r="AGV88" s="236"/>
      <c r="AGW88" s="236"/>
      <c r="AGX88" s="236"/>
      <c r="AGY88" s="236"/>
      <c r="AGZ88" s="236"/>
      <c r="AHA88" s="236"/>
      <c r="AHB88" s="236"/>
      <c r="AHC88" s="236"/>
      <c r="AHD88" s="236"/>
      <c r="AHE88" s="236"/>
      <c r="AHF88" s="236"/>
      <c r="AHG88" s="236"/>
      <c r="AHH88" s="236"/>
      <c r="AHI88" s="236"/>
      <c r="AHJ88" s="236"/>
      <c r="AHK88" s="236"/>
      <c r="AHL88" s="236"/>
      <c r="AHM88" s="236"/>
      <c r="AHN88" s="236"/>
      <c r="AHO88" s="236"/>
      <c r="AHP88" s="236"/>
      <c r="AHQ88" s="236"/>
      <c r="AHR88" s="236"/>
      <c r="AHS88" s="236"/>
      <c r="AHT88" s="236"/>
      <c r="AHU88" s="236"/>
      <c r="AHV88" s="236"/>
      <c r="AHW88" s="236"/>
      <c r="AHX88" s="236"/>
      <c r="AHY88" s="236"/>
      <c r="AHZ88" s="236"/>
      <c r="AIA88" s="236"/>
      <c r="AIB88" s="236"/>
      <c r="AIC88" s="236"/>
      <c r="AID88" s="236"/>
      <c r="AIE88" s="236"/>
      <c r="AIF88" s="236"/>
      <c r="AIG88" s="236"/>
      <c r="AIH88" s="236"/>
      <c r="AII88" s="236"/>
      <c r="AIJ88" s="236"/>
      <c r="AIK88" s="236"/>
      <c r="AIL88" s="236"/>
      <c r="AIM88" s="236"/>
      <c r="AIN88" s="236"/>
      <c r="AIO88" s="236"/>
      <c r="AIP88" s="236"/>
      <c r="AIQ88" s="236"/>
      <c r="AIR88" s="236"/>
      <c r="AIS88" s="236"/>
      <c r="AIT88" s="236"/>
      <c r="AIU88" s="236"/>
      <c r="AIV88" s="236"/>
      <c r="AIW88" s="236"/>
      <c r="AIX88" s="236"/>
      <c r="AIY88" s="236"/>
      <c r="AIZ88" s="236"/>
      <c r="AJA88" s="236"/>
      <c r="AJB88" s="236"/>
      <c r="AJC88" s="236"/>
      <c r="AJD88" s="236"/>
      <c r="AJE88" s="236"/>
      <c r="AJF88" s="236"/>
      <c r="AJG88" s="236"/>
      <c r="AJH88" s="236"/>
      <c r="AJI88" s="236"/>
      <c r="AJJ88" s="236"/>
      <c r="AJK88" s="236"/>
      <c r="AJL88" s="236"/>
      <c r="AJM88" s="236"/>
      <c r="AJN88" s="236"/>
      <c r="AJO88" s="236"/>
      <c r="AJP88" s="236"/>
      <c r="AJQ88" s="236"/>
      <c r="AJR88" s="236"/>
      <c r="AJS88" s="236"/>
      <c r="AJT88" s="236"/>
      <c r="AJU88" s="236"/>
      <c r="AJV88" s="236"/>
      <c r="AJW88" s="236"/>
      <c r="AJX88" s="236"/>
      <c r="AJY88" s="236"/>
      <c r="AJZ88" s="236"/>
      <c r="AKA88" s="236"/>
      <c r="AKB88" s="236"/>
      <c r="AKC88" s="236"/>
      <c r="AKD88" s="236"/>
      <c r="AKE88" s="236"/>
      <c r="AKF88" s="236"/>
      <c r="AKG88" s="236"/>
      <c r="AKH88" s="236"/>
      <c r="AKI88" s="236"/>
      <c r="AKJ88" s="236"/>
      <c r="AKK88" s="236"/>
      <c r="AKL88" s="236"/>
      <c r="AKM88" s="236"/>
      <c r="AKN88" s="236"/>
      <c r="AKO88" s="236"/>
      <c r="AKP88" s="236"/>
      <c r="AKQ88" s="236"/>
      <c r="AKR88" s="236"/>
      <c r="AKS88" s="236"/>
      <c r="AKT88" s="236"/>
      <c r="AKU88" s="236"/>
      <c r="AKV88" s="236"/>
      <c r="AKW88" s="236"/>
      <c r="AKX88" s="236"/>
      <c r="AKY88" s="236"/>
      <c r="AKZ88" s="236"/>
      <c r="ALA88" s="236"/>
      <c r="ALB88" s="236"/>
      <c r="ALC88" s="236"/>
      <c r="ALD88" s="236"/>
      <c r="ALE88" s="236"/>
      <c r="ALF88" s="236"/>
      <c r="ALG88" s="236"/>
      <c r="ALH88" s="236"/>
      <c r="ALI88" s="236"/>
      <c r="ALJ88" s="236"/>
      <c r="ALK88" s="236"/>
      <c r="ALL88" s="236"/>
      <c r="ALM88" s="236"/>
      <c r="ALN88" s="236"/>
      <c r="ALO88" s="236"/>
      <c r="ALP88" s="236"/>
      <c r="ALQ88" s="236"/>
      <c r="ALR88" s="236"/>
      <c r="ALS88" s="236"/>
      <c r="ALT88" s="236"/>
      <c r="ALU88" s="236"/>
      <c r="ALV88" s="236"/>
      <c r="ALW88" s="236"/>
      <c r="ALX88" s="236"/>
      <c r="ALY88" s="236"/>
      <c r="ALZ88" s="236"/>
      <c r="AMA88" s="236"/>
      <c r="AMB88" s="236"/>
      <c r="AMC88" s="236"/>
      <c r="AMD88" s="236"/>
      <c r="AME88" s="236"/>
      <c r="AMF88" s="236"/>
      <c r="AMG88" s="236"/>
      <c r="AMH88" s="236"/>
      <c r="AMI88" s="236"/>
      <c r="AMJ88" s="236"/>
      <c r="AMK88" s="236"/>
      <c r="AML88" s="236"/>
      <c r="AMM88" s="236"/>
      <c r="AMN88" s="236"/>
      <c r="AMO88" s="236"/>
      <c r="AMP88" s="236"/>
    </row>
    <row r="89" spans="1:1030" ht="18.75" customHeight="1">
      <c r="A89" s="1418"/>
      <c r="B89" s="1419"/>
      <c r="C89" s="1419"/>
      <c r="D89" s="1419"/>
      <c r="E89" s="1419"/>
      <c r="F89" s="1419"/>
      <c r="G89" s="1419"/>
      <c r="H89" s="1419"/>
      <c r="I89" s="1419"/>
      <c r="J89" s="1419"/>
      <c r="K89" s="1419"/>
      <c r="L89" s="1420"/>
      <c r="M89" s="283"/>
      <c r="N89" s="1395" t="s">
        <v>278</v>
      </c>
      <c r="O89" s="1395"/>
      <c r="P89" s="1395"/>
      <c r="Q89" s="1395" t="s">
        <v>170</v>
      </c>
      <c r="R89" s="1395"/>
      <c r="S89" s="1395"/>
      <c r="T89" s="1395"/>
      <c r="U89" s="1395"/>
      <c r="V89" s="1395"/>
      <c r="W89" s="1395"/>
      <c r="X89" s="1395"/>
      <c r="Y89" s="1395"/>
      <c r="Z89" s="1395" t="s">
        <v>171</v>
      </c>
      <c r="AA89" s="1395"/>
      <c r="AB89" s="1395"/>
      <c r="AC89" s="1395"/>
      <c r="AD89" s="1395" t="s">
        <v>172</v>
      </c>
      <c r="AE89" s="1395"/>
      <c r="AF89" s="1395"/>
      <c r="AG89" s="1395"/>
      <c r="AH89" s="1395"/>
      <c r="AI89" s="1395"/>
      <c r="AJ89" s="1395"/>
      <c r="AK89" s="1395"/>
      <c r="AL89" s="1395"/>
      <c r="AM89" s="1395"/>
      <c r="AN89" s="1395"/>
      <c r="AO89" s="1395"/>
      <c r="AP89" s="262"/>
      <c r="AQ89" s="262"/>
      <c r="AR89" s="262"/>
      <c r="AS89" s="262"/>
      <c r="AT89" s="262"/>
      <c r="AU89" s="262"/>
      <c r="AV89" s="262"/>
      <c r="AW89" s="262"/>
      <c r="AX89" s="262"/>
      <c r="AY89" s="262"/>
      <c r="AZ89" s="262"/>
      <c r="BA89" s="262"/>
      <c r="BB89" s="262"/>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c r="HV89" s="236"/>
      <c r="HW89" s="236"/>
      <c r="HX89" s="236"/>
      <c r="HY89" s="236"/>
      <c r="HZ89" s="236"/>
      <c r="IA89" s="236"/>
      <c r="IB89" s="236"/>
      <c r="IC89" s="236"/>
      <c r="ID89" s="236"/>
      <c r="IE89" s="236"/>
      <c r="IF89" s="236"/>
      <c r="IG89" s="236"/>
      <c r="IH89" s="236"/>
      <c r="II89" s="236"/>
      <c r="IJ89" s="236"/>
      <c r="IK89" s="236"/>
      <c r="IL89" s="236"/>
      <c r="IM89" s="236"/>
      <c r="IN89" s="236"/>
      <c r="IO89" s="236"/>
      <c r="IP89" s="236"/>
      <c r="IQ89" s="236"/>
      <c r="IR89" s="236"/>
      <c r="IS89" s="236"/>
      <c r="IT89" s="236"/>
      <c r="IU89" s="236"/>
      <c r="IV89" s="236"/>
      <c r="IW89" s="236"/>
      <c r="IX89" s="236"/>
      <c r="IY89" s="236"/>
      <c r="IZ89" s="236"/>
      <c r="JA89" s="236"/>
      <c r="JB89" s="236"/>
      <c r="JC89" s="236"/>
      <c r="JD89" s="236"/>
      <c r="JE89" s="236"/>
      <c r="JF89" s="236"/>
      <c r="JG89" s="236"/>
      <c r="JH89" s="236"/>
      <c r="JI89" s="236"/>
      <c r="JJ89" s="236"/>
      <c r="JK89" s="236"/>
      <c r="JL89" s="236"/>
      <c r="JM89" s="236"/>
      <c r="JN89" s="236"/>
      <c r="JO89" s="236"/>
      <c r="JP89" s="236"/>
      <c r="JQ89" s="236"/>
      <c r="JR89" s="236"/>
      <c r="JS89" s="236"/>
      <c r="JT89" s="236"/>
      <c r="JU89" s="236"/>
      <c r="JV89" s="236"/>
      <c r="JW89" s="236"/>
      <c r="JX89" s="236"/>
      <c r="JY89" s="236"/>
      <c r="JZ89" s="236"/>
      <c r="KA89" s="236"/>
      <c r="KB89" s="236"/>
      <c r="KC89" s="236"/>
      <c r="KD89" s="236"/>
      <c r="KE89" s="236"/>
      <c r="KF89" s="236"/>
      <c r="KG89" s="236"/>
      <c r="KH89" s="236"/>
      <c r="KI89" s="236"/>
      <c r="KJ89" s="236"/>
      <c r="KK89" s="236"/>
      <c r="KL89" s="236"/>
      <c r="KM89" s="236"/>
      <c r="KN89" s="236"/>
      <c r="KO89" s="236"/>
      <c r="KP89" s="236"/>
      <c r="KQ89" s="236"/>
      <c r="KR89" s="236"/>
      <c r="KS89" s="236"/>
      <c r="KT89" s="236"/>
      <c r="KU89" s="236"/>
      <c r="KV89" s="236"/>
      <c r="KW89" s="236"/>
      <c r="KX89" s="236"/>
      <c r="KY89" s="236"/>
      <c r="KZ89" s="236"/>
      <c r="LA89" s="236"/>
      <c r="LB89" s="236"/>
      <c r="LC89" s="236"/>
      <c r="LD89" s="236"/>
      <c r="LE89" s="236"/>
      <c r="LF89" s="236"/>
      <c r="LG89" s="236"/>
      <c r="LH89" s="236"/>
      <c r="LI89" s="236"/>
      <c r="LJ89" s="236"/>
      <c r="LK89" s="236"/>
      <c r="LL89" s="236"/>
      <c r="LM89" s="236"/>
      <c r="LN89" s="236"/>
      <c r="LO89" s="236"/>
      <c r="LP89" s="236"/>
      <c r="LQ89" s="236"/>
      <c r="LR89" s="236"/>
      <c r="LS89" s="236"/>
      <c r="LT89" s="236"/>
      <c r="LU89" s="236"/>
      <c r="LV89" s="236"/>
      <c r="LW89" s="236"/>
      <c r="LX89" s="236"/>
      <c r="LY89" s="236"/>
      <c r="LZ89" s="236"/>
      <c r="MA89" s="236"/>
      <c r="MB89" s="236"/>
      <c r="MC89" s="236"/>
      <c r="MD89" s="236"/>
      <c r="ME89" s="236"/>
      <c r="MF89" s="236"/>
      <c r="MG89" s="236"/>
      <c r="MH89" s="236"/>
      <c r="MI89" s="236"/>
      <c r="MJ89" s="236"/>
      <c r="MK89" s="236"/>
      <c r="ML89" s="236"/>
      <c r="MM89" s="236"/>
      <c r="MN89" s="236"/>
      <c r="MO89" s="236"/>
      <c r="MP89" s="236"/>
      <c r="MQ89" s="236"/>
      <c r="MR89" s="236"/>
      <c r="MS89" s="236"/>
      <c r="MT89" s="236"/>
      <c r="MU89" s="236"/>
      <c r="MV89" s="236"/>
      <c r="MW89" s="236"/>
      <c r="MX89" s="236"/>
      <c r="MY89" s="236"/>
      <c r="MZ89" s="236"/>
      <c r="NA89" s="236"/>
      <c r="NB89" s="236"/>
      <c r="NC89" s="236"/>
      <c r="ND89" s="236"/>
      <c r="NE89" s="236"/>
      <c r="NF89" s="236"/>
      <c r="NG89" s="236"/>
      <c r="NH89" s="236"/>
      <c r="NI89" s="236"/>
      <c r="NJ89" s="236"/>
      <c r="NK89" s="236"/>
      <c r="NL89" s="236"/>
      <c r="NM89" s="236"/>
      <c r="NN89" s="236"/>
      <c r="NO89" s="236"/>
      <c r="NP89" s="236"/>
      <c r="NQ89" s="236"/>
      <c r="NR89" s="236"/>
      <c r="NS89" s="236"/>
      <c r="NT89" s="236"/>
      <c r="NU89" s="236"/>
      <c r="NV89" s="236"/>
      <c r="NW89" s="236"/>
      <c r="NX89" s="236"/>
      <c r="NY89" s="236"/>
      <c r="NZ89" s="236"/>
      <c r="OA89" s="236"/>
      <c r="OB89" s="236"/>
      <c r="OC89" s="236"/>
      <c r="OD89" s="236"/>
      <c r="OE89" s="236"/>
      <c r="OF89" s="236"/>
      <c r="OG89" s="236"/>
      <c r="OH89" s="236"/>
      <c r="OI89" s="236"/>
      <c r="OJ89" s="236"/>
      <c r="OK89" s="236"/>
      <c r="OL89" s="236"/>
      <c r="OM89" s="236"/>
      <c r="ON89" s="236"/>
      <c r="OO89" s="236"/>
      <c r="OP89" s="236"/>
      <c r="OQ89" s="236"/>
      <c r="OR89" s="236"/>
      <c r="OS89" s="236"/>
      <c r="OT89" s="236"/>
      <c r="OU89" s="236"/>
      <c r="OV89" s="236"/>
      <c r="OW89" s="236"/>
      <c r="OX89" s="236"/>
      <c r="OY89" s="236"/>
      <c r="OZ89" s="236"/>
      <c r="PA89" s="236"/>
      <c r="PB89" s="236"/>
      <c r="PC89" s="236"/>
      <c r="PD89" s="236"/>
      <c r="PE89" s="236"/>
      <c r="PF89" s="236"/>
      <c r="PG89" s="236"/>
      <c r="PH89" s="236"/>
      <c r="PI89" s="236"/>
      <c r="PJ89" s="236"/>
      <c r="PK89" s="236"/>
      <c r="PL89" s="236"/>
      <c r="PM89" s="236"/>
      <c r="PN89" s="236"/>
      <c r="PO89" s="236"/>
      <c r="PP89" s="236"/>
      <c r="PQ89" s="236"/>
      <c r="PR89" s="236"/>
      <c r="PS89" s="236"/>
      <c r="PT89" s="236"/>
      <c r="PU89" s="236"/>
      <c r="PV89" s="236"/>
      <c r="PW89" s="236"/>
      <c r="PX89" s="236"/>
      <c r="PY89" s="236"/>
      <c r="PZ89" s="236"/>
      <c r="QA89" s="236"/>
      <c r="QB89" s="236"/>
      <c r="QC89" s="236"/>
      <c r="QD89" s="236"/>
      <c r="QE89" s="236"/>
      <c r="QF89" s="236"/>
      <c r="QG89" s="236"/>
      <c r="QH89" s="236"/>
      <c r="QI89" s="236"/>
      <c r="QJ89" s="236"/>
      <c r="QK89" s="236"/>
      <c r="QL89" s="236"/>
      <c r="QM89" s="236"/>
      <c r="QN89" s="236"/>
      <c r="QO89" s="236"/>
      <c r="QP89" s="236"/>
      <c r="QQ89" s="236"/>
      <c r="QR89" s="236"/>
      <c r="QS89" s="236"/>
      <c r="QT89" s="236"/>
      <c r="QU89" s="236"/>
      <c r="QV89" s="236"/>
      <c r="QW89" s="236"/>
      <c r="QX89" s="236"/>
      <c r="QY89" s="236"/>
      <c r="QZ89" s="236"/>
      <c r="RA89" s="236"/>
      <c r="RB89" s="236"/>
      <c r="RC89" s="236"/>
      <c r="RD89" s="236"/>
      <c r="RE89" s="236"/>
      <c r="RF89" s="236"/>
      <c r="RG89" s="236"/>
      <c r="RH89" s="236"/>
      <c r="RI89" s="236"/>
      <c r="RJ89" s="236"/>
      <c r="RK89" s="236"/>
      <c r="RL89" s="236"/>
      <c r="RM89" s="236"/>
      <c r="RN89" s="236"/>
      <c r="RO89" s="236"/>
      <c r="RP89" s="236"/>
      <c r="RQ89" s="236"/>
      <c r="RR89" s="236"/>
      <c r="RS89" s="236"/>
      <c r="RT89" s="236"/>
      <c r="RU89" s="236"/>
      <c r="RV89" s="236"/>
      <c r="RW89" s="236"/>
      <c r="RX89" s="236"/>
      <c r="RY89" s="236"/>
      <c r="RZ89" s="236"/>
      <c r="SA89" s="236"/>
      <c r="SB89" s="236"/>
      <c r="SC89" s="236"/>
      <c r="SD89" s="236"/>
      <c r="SE89" s="236"/>
      <c r="SF89" s="236"/>
      <c r="SG89" s="236"/>
      <c r="SH89" s="236"/>
      <c r="SI89" s="236"/>
      <c r="SJ89" s="236"/>
      <c r="SK89" s="236"/>
      <c r="SL89" s="236"/>
      <c r="SM89" s="236"/>
      <c r="SN89" s="236"/>
      <c r="SO89" s="236"/>
      <c r="SP89" s="236"/>
      <c r="SQ89" s="236"/>
      <c r="SR89" s="236"/>
      <c r="SS89" s="236"/>
      <c r="ST89" s="236"/>
      <c r="SU89" s="236"/>
      <c r="SV89" s="236"/>
      <c r="SW89" s="236"/>
      <c r="SX89" s="236"/>
      <c r="SY89" s="236"/>
      <c r="SZ89" s="236"/>
      <c r="TA89" s="236"/>
      <c r="TB89" s="236"/>
      <c r="TC89" s="236"/>
      <c r="TD89" s="236"/>
      <c r="TE89" s="236"/>
      <c r="TF89" s="236"/>
      <c r="TG89" s="236"/>
      <c r="TH89" s="236"/>
      <c r="TI89" s="236"/>
      <c r="TJ89" s="236"/>
      <c r="TK89" s="236"/>
      <c r="TL89" s="236"/>
      <c r="TM89" s="236"/>
      <c r="TN89" s="236"/>
      <c r="TO89" s="236"/>
      <c r="TP89" s="236"/>
      <c r="TQ89" s="236"/>
      <c r="TR89" s="236"/>
      <c r="TS89" s="236"/>
      <c r="TT89" s="236"/>
      <c r="TU89" s="236"/>
      <c r="TV89" s="236"/>
      <c r="TW89" s="236"/>
      <c r="TX89" s="236"/>
      <c r="TY89" s="236"/>
      <c r="TZ89" s="236"/>
      <c r="UA89" s="236"/>
      <c r="UB89" s="236"/>
      <c r="UC89" s="236"/>
      <c r="UD89" s="236"/>
      <c r="UE89" s="236"/>
      <c r="UF89" s="236"/>
      <c r="UG89" s="236"/>
      <c r="UH89" s="236"/>
      <c r="UI89" s="236"/>
      <c r="UJ89" s="236"/>
      <c r="UK89" s="236"/>
      <c r="UL89" s="236"/>
      <c r="UM89" s="236"/>
      <c r="UN89" s="236"/>
      <c r="UO89" s="236"/>
      <c r="UP89" s="236"/>
      <c r="UQ89" s="236"/>
      <c r="UR89" s="236"/>
      <c r="US89" s="236"/>
      <c r="UT89" s="236"/>
      <c r="UU89" s="236"/>
      <c r="UV89" s="236"/>
      <c r="UW89" s="236"/>
      <c r="UX89" s="236"/>
      <c r="UY89" s="236"/>
      <c r="UZ89" s="236"/>
      <c r="VA89" s="236"/>
      <c r="VB89" s="236"/>
      <c r="VC89" s="236"/>
      <c r="VD89" s="236"/>
      <c r="VE89" s="236"/>
      <c r="VF89" s="236"/>
      <c r="VG89" s="236"/>
      <c r="VH89" s="236"/>
      <c r="VI89" s="236"/>
      <c r="VJ89" s="236"/>
      <c r="VK89" s="236"/>
      <c r="VL89" s="236"/>
      <c r="VM89" s="236"/>
      <c r="VN89" s="236"/>
      <c r="VO89" s="236"/>
      <c r="VP89" s="236"/>
      <c r="VQ89" s="236"/>
      <c r="VR89" s="236"/>
      <c r="VS89" s="236"/>
      <c r="VT89" s="236"/>
      <c r="VU89" s="236"/>
      <c r="VV89" s="236"/>
      <c r="VW89" s="236"/>
      <c r="VX89" s="236"/>
      <c r="VY89" s="236"/>
      <c r="VZ89" s="236"/>
      <c r="WA89" s="236"/>
      <c r="WB89" s="236"/>
      <c r="WC89" s="236"/>
      <c r="WD89" s="236"/>
      <c r="WE89" s="236"/>
      <c r="WF89" s="236"/>
      <c r="WG89" s="236"/>
      <c r="WH89" s="236"/>
      <c r="WI89" s="236"/>
      <c r="WJ89" s="236"/>
      <c r="WK89" s="236"/>
      <c r="WL89" s="236"/>
      <c r="WM89" s="236"/>
      <c r="WN89" s="236"/>
      <c r="WO89" s="236"/>
      <c r="WP89" s="236"/>
      <c r="WQ89" s="236"/>
      <c r="WR89" s="236"/>
      <c r="WS89" s="236"/>
      <c r="WT89" s="236"/>
      <c r="WU89" s="236"/>
      <c r="WV89" s="236"/>
      <c r="WW89" s="236"/>
      <c r="WX89" s="236"/>
      <c r="WY89" s="236"/>
      <c r="WZ89" s="236"/>
      <c r="XA89" s="236"/>
      <c r="XB89" s="236"/>
      <c r="XC89" s="236"/>
      <c r="XD89" s="236"/>
      <c r="XE89" s="236"/>
      <c r="XF89" s="236"/>
      <c r="XG89" s="236"/>
      <c r="XH89" s="236"/>
      <c r="XI89" s="236"/>
      <c r="XJ89" s="236"/>
      <c r="XK89" s="236"/>
      <c r="XL89" s="236"/>
      <c r="XM89" s="236"/>
      <c r="XN89" s="236"/>
      <c r="XO89" s="236"/>
      <c r="XP89" s="236"/>
      <c r="XQ89" s="236"/>
      <c r="XR89" s="236"/>
      <c r="XS89" s="236"/>
      <c r="XT89" s="236"/>
      <c r="XU89" s="236"/>
      <c r="XV89" s="236"/>
      <c r="XW89" s="236"/>
      <c r="XX89" s="236"/>
      <c r="XY89" s="236"/>
      <c r="XZ89" s="236"/>
      <c r="YA89" s="236"/>
      <c r="YB89" s="236"/>
      <c r="YC89" s="236"/>
      <c r="YD89" s="236"/>
      <c r="YE89" s="236"/>
      <c r="YF89" s="236"/>
      <c r="YG89" s="236"/>
      <c r="YH89" s="236"/>
      <c r="YI89" s="236"/>
      <c r="YJ89" s="236"/>
      <c r="YK89" s="236"/>
      <c r="YL89" s="236"/>
      <c r="YM89" s="236"/>
      <c r="YN89" s="236"/>
      <c r="YO89" s="236"/>
      <c r="YP89" s="236"/>
      <c r="YQ89" s="236"/>
      <c r="YR89" s="236"/>
      <c r="YS89" s="236"/>
      <c r="YT89" s="236"/>
      <c r="YU89" s="236"/>
      <c r="YV89" s="236"/>
      <c r="YW89" s="236"/>
      <c r="YX89" s="236"/>
      <c r="YY89" s="236"/>
      <c r="YZ89" s="236"/>
      <c r="ZA89" s="236"/>
      <c r="ZB89" s="236"/>
      <c r="ZC89" s="236"/>
      <c r="ZD89" s="236"/>
      <c r="ZE89" s="236"/>
      <c r="ZF89" s="236"/>
      <c r="ZG89" s="236"/>
      <c r="ZH89" s="236"/>
      <c r="ZI89" s="236"/>
      <c r="ZJ89" s="236"/>
      <c r="ZK89" s="236"/>
      <c r="ZL89" s="236"/>
      <c r="ZM89" s="236"/>
      <c r="ZN89" s="236"/>
      <c r="ZO89" s="236"/>
      <c r="ZP89" s="236"/>
      <c r="ZQ89" s="236"/>
      <c r="ZR89" s="236"/>
      <c r="ZS89" s="236"/>
      <c r="ZT89" s="236"/>
      <c r="ZU89" s="236"/>
      <c r="ZV89" s="236"/>
      <c r="ZW89" s="236"/>
      <c r="ZX89" s="236"/>
      <c r="ZY89" s="236"/>
      <c r="ZZ89" s="236"/>
      <c r="AAA89" s="236"/>
      <c r="AAB89" s="236"/>
      <c r="AAC89" s="236"/>
      <c r="AAD89" s="236"/>
      <c r="AAE89" s="236"/>
      <c r="AAF89" s="236"/>
      <c r="AAG89" s="236"/>
      <c r="AAH89" s="236"/>
      <c r="AAI89" s="236"/>
      <c r="AAJ89" s="236"/>
      <c r="AAK89" s="236"/>
      <c r="AAL89" s="236"/>
      <c r="AAM89" s="236"/>
      <c r="AAN89" s="236"/>
      <c r="AAO89" s="236"/>
      <c r="AAP89" s="236"/>
      <c r="AAQ89" s="236"/>
      <c r="AAR89" s="236"/>
      <c r="AAS89" s="236"/>
      <c r="AAT89" s="236"/>
      <c r="AAU89" s="236"/>
      <c r="AAV89" s="236"/>
      <c r="AAW89" s="236"/>
      <c r="AAX89" s="236"/>
      <c r="AAY89" s="236"/>
      <c r="AAZ89" s="236"/>
      <c r="ABA89" s="236"/>
      <c r="ABB89" s="236"/>
      <c r="ABC89" s="236"/>
      <c r="ABD89" s="236"/>
      <c r="ABE89" s="236"/>
      <c r="ABF89" s="236"/>
      <c r="ABG89" s="236"/>
      <c r="ABH89" s="236"/>
      <c r="ABI89" s="236"/>
      <c r="ABJ89" s="236"/>
      <c r="ABK89" s="236"/>
      <c r="ABL89" s="236"/>
      <c r="ABM89" s="236"/>
      <c r="ABN89" s="236"/>
      <c r="ABO89" s="236"/>
      <c r="ABP89" s="236"/>
      <c r="ABQ89" s="236"/>
      <c r="ABR89" s="236"/>
      <c r="ABS89" s="236"/>
      <c r="ABT89" s="236"/>
      <c r="ABU89" s="236"/>
      <c r="ABV89" s="236"/>
      <c r="ABW89" s="236"/>
      <c r="ABX89" s="236"/>
      <c r="ABY89" s="236"/>
      <c r="ABZ89" s="236"/>
      <c r="ACA89" s="236"/>
      <c r="ACB89" s="236"/>
      <c r="ACC89" s="236"/>
      <c r="ACD89" s="236"/>
      <c r="ACE89" s="236"/>
      <c r="ACF89" s="236"/>
      <c r="ACG89" s="236"/>
      <c r="ACH89" s="236"/>
      <c r="ACI89" s="236"/>
      <c r="ACJ89" s="236"/>
      <c r="ACK89" s="236"/>
      <c r="ACL89" s="236"/>
      <c r="ACM89" s="236"/>
      <c r="ACN89" s="236"/>
      <c r="ACO89" s="236"/>
      <c r="ACP89" s="236"/>
      <c r="ACQ89" s="236"/>
      <c r="ACR89" s="236"/>
      <c r="ACS89" s="236"/>
      <c r="ACT89" s="236"/>
      <c r="ACU89" s="236"/>
      <c r="ACV89" s="236"/>
      <c r="ACW89" s="236"/>
      <c r="ACX89" s="236"/>
      <c r="ACY89" s="236"/>
      <c r="ACZ89" s="236"/>
      <c r="ADA89" s="236"/>
      <c r="ADB89" s="236"/>
      <c r="ADC89" s="236"/>
      <c r="ADD89" s="236"/>
      <c r="ADE89" s="236"/>
      <c r="ADF89" s="236"/>
      <c r="ADG89" s="236"/>
      <c r="ADH89" s="236"/>
      <c r="ADI89" s="236"/>
      <c r="ADJ89" s="236"/>
      <c r="ADK89" s="236"/>
      <c r="ADL89" s="236"/>
      <c r="ADM89" s="236"/>
      <c r="ADN89" s="236"/>
      <c r="ADO89" s="236"/>
      <c r="ADP89" s="236"/>
      <c r="ADQ89" s="236"/>
      <c r="ADR89" s="236"/>
      <c r="ADS89" s="236"/>
      <c r="ADT89" s="236"/>
      <c r="ADU89" s="236"/>
      <c r="ADV89" s="236"/>
      <c r="ADW89" s="236"/>
      <c r="ADX89" s="236"/>
      <c r="ADY89" s="236"/>
      <c r="ADZ89" s="236"/>
      <c r="AEA89" s="236"/>
      <c r="AEB89" s="236"/>
      <c r="AEC89" s="236"/>
      <c r="AED89" s="236"/>
      <c r="AEE89" s="236"/>
      <c r="AEF89" s="236"/>
      <c r="AEG89" s="236"/>
      <c r="AEH89" s="236"/>
      <c r="AEI89" s="236"/>
      <c r="AEJ89" s="236"/>
      <c r="AEK89" s="236"/>
      <c r="AEL89" s="236"/>
      <c r="AEM89" s="236"/>
      <c r="AEN89" s="236"/>
      <c r="AEO89" s="236"/>
      <c r="AEP89" s="236"/>
      <c r="AEQ89" s="236"/>
      <c r="AER89" s="236"/>
      <c r="AES89" s="236"/>
      <c r="AET89" s="236"/>
      <c r="AEU89" s="236"/>
      <c r="AEV89" s="236"/>
      <c r="AEW89" s="236"/>
      <c r="AEX89" s="236"/>
      <c r="AEY89" s="236"/>
      <c r="AEZ89" s="236"/>
      <c r="AFA89" s="236"/>
      <c r="AFB89" s="236"/>
      <c r="AFC89" s="236"/>
      <c r="AFD89" s="236"/>
      <c r="AFE89" s="236"/>
      <c r="AFF89" s="236"/>
      <c r="AFG89" s="236"/>
      <c r="AFH89" s="236"/>
      <c r="AFI89" s="236"/>
      <c r="AFJ89" s="236"/>
      <c r="AFK89" s="236"/>
      <c r="AFL89" s="236"/>
      <c r="AFM89" s="236"/>
      <c r="AFN89" s="236"/>
      <c r="AFO89" s="236"/>
      <c r="AFP89" s="236"/>
      <c r="AFQ89" s="236"/>
      <c r="AFR89" s="236"/>
      <c r="AFS89" s="236"/>
      <c r="AFT89" s="236"/>
      <c r="AFU89" s="236"/>
      <c r="AFV89" s="236"/>
      <c r="AFW89" s="236"/>
      <c r="AFX89" s="236"/>
      <c r="AFY89" s="236"/>
      <c r="AFZ89" s="236"/>
      <c r="AGA89" s="236"/>
      <c r="AGB89" s="236"/>
      <c r="AGC89" s="236"/>
      <c r="AGD89" s="236"/>
      <c r="AGE89" s="236"/>
      <c r="AGF89" s="236"/>
      <c r="AGG89" s="236"/>
      <c r="AGH89" s="236"/>
      <c r="AGI89" s="236"/>
      <c r="AGJ89" s="236"/>
      <c r="AGK89" s="236"/>
      <c r="AGL89" s="236"/>
      <c r="AGM89" s="236"/>
      <c r="AGN89" s="236"/>
      <c r="AGO89" s="236"/>
      <c r="AGP89" s="236"/>
      <c r="AGQ89" s="236"/>
      <c r="AGR89" s="236"/>
      <c r="AGS89" s="236"/>
      <c r="AGT89" s="236"/>
      <c r="AGU89" s="236"/>
      <c r="AGV89" s="236"/>
      <c r="AGW89" s="236"/>
      <c r="AGX89" s="236"/>
      <c r="AGY89" s="236"/>
      <c r="AGZ89" s="236"/>
      <c r="AHA89" s="236"/>
      <c r="AHB89" s="236"/>
      <c r="AHC89" s="236"/>
      <c r="AHD89" s="236"/>
      <c r="AHE89" s="236"/>
      <c r="AHF89" s="236"/>
      <c r="AHG89" s="236"/>
      <c r="AHH89" s="236"/>
      <c r="AHI89" s="236"/>
      <c r="AHJ89" s="236"/>
      <c r="AHK89" s="236"/>
      <c r="AHL89" s="236"/>
      <c r="AHM89" s="236"/>
      <c r="AHN89" s="236"/>
      <c r="AHO89" s="236"/>
      <c r="AHP89" s="236"/>
      <c r="AHQ89" s="236"/>
      <c r="AHR89" s="236"/>
      <c r="AHS89" s="236"/>
      <c r="AHT89" s="236"/>
      <c r="AHU89" s="236"/>
      <c r="AHV89" s="236"/>
      <c r="AHW89" s="236"/>
      <c r="AHX89" s="236"/>
      <c r="AHY89" s="236"/>
      <c r="AHZ89" s="236"/>
      <c r="AIA89" s="236"/>
      <c r="AIB89" s="236"/>
      <c r="AIC89" s="236"/>
      <c r="AID89" s="236"/>
      <c r="AIE89" s="236"/>
      <c r="AIF89" s="236"/>
      <c r="AIG89" s="236"/>
      <c r="AIH89" s="236"/>
      <c r="AII89" s="236"/>
      <c r="AIJ89" s="236"/>
      <c r="AIK89" s="236"/>
      <c r="AIL89" s="236"/>
      <c r="AIM89" s="236"/>
      <c r="AIN89" s="236"/>
      <c r="AIO89" s="236"/>
      <c r="AIP89" s="236"/>
      <c r="AIQ89" s="236"/>
      <c r="AIR89" s="236"/>
      <c r="AIS89" s="236"/>
      <c r="AIT89" s="236"/>
      <c r="AIU89" s="236"/>
      <c r="AIV89" s="236"/>
      <c r="AIW89" s="236"/>
      <c r="AIX89" s="236"/>
      <c r="AIY89" s="236"/>
      <c r="AIZ89" s="236"/>
      <c r="AJA89" s="236"/>
      <c r="AJB89" s="236"/>
      <c r="AJC89" s="236"/>
      <c r="AJD89" s="236"/>
      <c r="AJE89" s="236"/>
      <c r="AJF89" s="236"/>
      <c r="AJG89" s="236"/>
      <c r="AJH89" s="236"/>
      <c r="AJI89" s="236"/>
      <c r="AJJ89" s="236"/>
      <c r="AJK89" s="236"/>
      <c r="AJL89" s="236"/>
      <c r="AJM89" s="236"/>
      <c r="AJN89" s="236"/>
      <c r="AJO89" s="236"/>
      <c r="AJP89" s="236"/>
      <c r="AJQ89" s="236"/>
      <c r="AJR89" s="236"/>
      <c r="AJS89" s="236"/>
      <c r="AJT89" s="236"/>
      <c r="AJU89" s="236"/>
      <c r="AJV89" s="236"/>
      <c r="AJW89" s="236"/>
      <c r="AJX89" s="236"/>
      <c r="AJY89" s="236"/>
      <c r="AJZ89" s="236"/>
      <c r="AKA89" s="236"/>
      <c r="AKB89" s="236"/>
      <c r="AKC89" s="236"/>
      <c r="AKD89" s="236"/>
      <c r="AKE89" s="236"/>
      <c r="AKF89" s="236"/>
      <c r="AKG89" s="236"/>
      <c r="AKH89" s="236"/>
      <c r="AKI89" s="236"/>
      <c r="AKJ89" s="236"/>
      <c r="AKK89" s="236"/>
      <c r="AKL89" s="236"/>
      <c r="AKM89" s="236"/>
      <c r="AKN89" s="236"/>
      <c r="AKO89" s="236"/>
      <c r="AKP89" s="236"/>
      <c r="AKQ89" s="236"/>
      <c r="AKR89" s="236"/>
      <c r="AKS89" s="236"/>
      <c r="AKT89" s="236"/>
      <c r="AKU89" s="236"/>
      <c r="AKV89" s="236"/>
      <c r="AKW89" s="236"/>
      <c r="AKX89" s="236"/>
      <c r="AKY89" s="236"/>
      <c r="AKZ89" s="236"/>
      <c r="ALA89" s="236"/>
      <c r="ALB89" s="236"/>
      <c r="ALC89" s="236"/>
      <c r="ALD89" s="236"/>
      <c r="ALE89" s="236"/>
      <c r="ALF89" s="236"/>
      <c r="ALG89" s="236"/>
      <c r="ALH89" s="236"/>
      <c r="ALI89" s="236"/>
      <c r="ALJ89" s="236"/>
      <c r="ALK89" s="236"/>
      <c r="ALL89" s="236"/>
      <c r="ALM89" s="236"/>
      <c r="ALN89" s="236"/>
      <c r="ALO89" s="236"/>
      <c r="ALP89" s="236"/>
      <c r="ALQ89" s="236"/>
      <c r="ALR89" s="236"/>
      <c r="ALS89" s="236"/>
      <c r="ALT89" s="236"/>
      <c r="ALU89" s="236"/>
      <c r="ALV89" s="236"/>
      <c r="ALW89" s="236"/>
      <c r="ALX89" s="236"/>
      <c r="ALY89" s="236"/>
      <c r="ALZ89" s="236"/>
      <c r="AMA89" s="236"/>
      <c r="AMB89" s="236"/>
      <c r="AMC89" s="236"/>
      <c r="AMD89" s="236"/>
      <c r="AME89" s="236"/>
      <c r="AMF89" s="236"/>
      <c r="AMG89" s="236"/>
      <c r="AMH89" s="236"/>
      <c r="AMI89" s="236"/>
      <c r="AMJ89" s="236"/>
      <c r="AMK89" s="236"/>
      <c r="AML89" s="236"/>
      <c r="AMM89" s="236"/>
      <c r="AMN89" s="236"/>
      <c r="AMO89" s="236"/>
      <c r="AMP89" s="236"/>
    </row>
    <row r="90" spans="1:1030" s="243" customFormat="1" ht="47.25" customHeight="1">
      <c r="A90" s="1832"/>
      <c r="B90" s="1833"/>
      <c r="C90" s="1833"/>
      <c r="D90" s="1833"/>
      <c r="E90" s="1833"/>
      <c r="F90" s="1833"/>
      <c r="G90" s="1833"/>
      <c r="H90" s="1833"/>
      <c r="I90" s="1833"/>
      <c r="J90" s="1833"/>
      <c r="K90" s="1833"/>
      <c r="L90" s="1834"/>
      <c r="M90" s="285"/>
      <c r="N90" s="1938" t="s">
        <v>184</v>
      </c>
      <c r="O90" s="1938"/>
      <c r="P90" s="1938"/>
      <c r="Q90" s="1938" t="s">
        <v>607</v>
      </c>
      <c r="R90" s="1938"/>
      <c r="S90" s="1938"/>
      <c r="T90" s="1938"/>
      <c r="U90" s="1938"/>
      <c r="V90" s="1938"/>
      <c r="W90" s="1938"/>
      <c r="X90" s="1938"/>
      <c r="Y90" s="1938"/>
      <c r="Z90" s="1938" t="s">
        <v>166</v>
      </c>
      <c r="AA90" s="1938"/>
      <c r="AB90" s="1938"/>
      <c r="AC90" s="1938"/>
      <c r="AD90" s="1938"/>
      <c r="AE90" s="1938"/>
      <c r="AF90" s="1938"/>
      <c r="AG90" s="1938"/>
      <c r="AH90" s="1938"/>
      <c r="AI90" s="1938"/>
      <c r="AJ90" s="1938"/>
      <c r="AK90" s="1938"/>
      <c r="AL90" s="1938"/>
      <c r="AM90" s="1938"/>
      <c r="AN90" s="1938"/>
      <c r="AO90" s="1938"/>
      <c r="AP90" s="245"/>
      <c r="AQ90" s="245"/>
      <c r="AR90" s="245"/>
      <c r="AS90" s="245"/>
      <c r="AT90" s="245"/>
      <c r="AU90" s="245"/>
      <c r="AV90" s="245"/>
      <c r="AW90" s="245"/>
      <c r="AX90" s="245"/>
      <c r="AY90" s="245"/>
      <c r="AZ90" s="245"/>
      <c r="BA90" s="245"/>
      <c r="BB90" s="245"/>
    </row>
    <row r="91" spans="1:1030" s="243" customFormat="1" ht="47.25" customHeight="1">
      <c r="A91" s="1835"/>
      <c r="B91" s="1836"/>
      <c r="C91" s="1836"/>
      <c r="D91" s="1836"/>
      <c r="E91" s="1836"/>
      <c r="F91" s="1836"/>
      <c r="G91" s="1836"/>
      <c r="H91" s="1836"/>
      <c r="I91" s="1836"/>
      <c r="J91" s="1836"/>
      <c r="K91" s="1836"/>
      <c r="L91" s="1837"/>
      <c r="M91" s="285"/>
      <c r="N91" s="1938" t="s">
        <v>224</v>
      </c>
      <c r="O91" s="1938"/>
      <c r="P91" s="1938"/>
      <c r="Q91" s="1939" t="s">
        <v>657</v>
      </c>
      <c r="R91" s="1940"/>
      <c r="S91" s="1940"/>
      <c r="T91" s="1940"/>
      <c r="U91" s="1940"/>
      <c r="V91" s="1940"/>
      <c r="W91" s="1940"/>
      <c r="X91" s="1940"/>
      <c r="Y91" s="1941"/>
      <c r="Z91" s="1938" t="s">
        <v>167</v>
      </c>
      <c r="AA91" s="1938"/>
      <c r="AB91" s="1938"/>
      <c r="AC91" s="1938"/>
      <c r="AD91" s="1938"/>
      <c r="AE91" s="1938"/>
      <c r="AF91" s="1938"/>
      <c r="AG91" s="1938"/>
      <c r="AH91" s="1938"/>
      <c r="AI91" s="1938"/>
      <c r="AJ91" s="1938"/>
      <c r="AK91" s="1938"/>
      <c r="AL91" s="1938"/>
      <c r="AM91" s="1938"/>
      <c r="AN91" s="1938"/>
      <c r="AO91" s="1938"/>
      <c r="AP91" s="245"/>
      <c r="AQ91" s="245"/>
      <c r="AR91" s="245"/>
      <c r="AS91" s="245"/>
      <c r="AT91" s="245"/>
      <c r="AU91" s="245"/>
      <c r="AV91" s="245"/>
      <c r="AW91" s="245"/>
      <c r="AX91" s="245"/>
      <c r="AY91" s="245"/>
      <c r="AZ91" s="245"/>
      <c r="BA91" s="245"/>
      <c r="BB91" s="245"/>
    </row>
    <row r="92" spans="1:1030" s="243" customFormat="1" ht="30" customHeight="1">
      <c r="A92" s="300"/>
      <c r="B92" s="300"/>
      <c r="C92" s="300"/>
      <c r="D92" s="300"/>
      <c r="E92" s="300"/>
      <c r="F92" s="300"/>
      <c r="G92" s="300"/>
      <c r="H92" s="300"/>
      <c r="I92" s="300"/>
      <c r="J92" s="300"/>
      <c r="K92" s="300"/>
      <c r="L92" s="300"/>
      <c r="M92" s="285"/>
      <c r="N92" s="1403"/>
      <c r="O92" s="1403"/>
      <c r="P92" s="1403"/>
      <c r="Q92" s="1403"/>
      <c r="R92" s="1403"/>
      <c r="S92" s="288"/>
      <c r="T92" s="288"/>
      <c r="U92" s="288"/>
      <c r="V92" s="1403"/>
      <c r="W92" s="1403"/>
      <c r="X92" s="1403"/>
      <c r="Y92" s="1403"/>
      <c r="Z92" s="1403"/>
      <c r="AA92" s="1064"/>
      <c r="AB92" s="611"/>
      <c r="AC92" s="611"/>
      <c r="AD92" s="285"/>
      <c r="AE92" s="285"/>
      <c r="AF92" s="285"/>
      <c r="AG92" s="285"/>
      <c r="AH92" s="285"/>
      <c r="AI92" s="285"/>
      <c r="AJ92" s="285"/>
      <c r="AK92" s="285"/>
      <c r="AL92" s="285"/>
      <c r="AM92" s="285"/>
      <c r="AN92" s="245"/>
      <c r="AO92" s="245"/>
      <c r="AP92" s="245"/>
      <c r="AQ92" s="245"/>
      <c r="AR92" s="245"/>
      <c r="AS92" s="245"/>
      <c r="AT92" s="245"/>
      <c r="AU92" s="245"/>
      <c r="AV92" s="245"/>
      <c r="AW92" s="245"/>
      <c r="AX92" s="245"/>
      <c r="AY92" s="245"/>
      <c r="AZ92" s="245"/>
      <c r="BA92" s="245"/>
      <c r="BB92" s="245"/>
    </row>
    <row r="93" spans="1:1030">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1076"/>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row>
    <row r="94" spans="1:1030">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1076"/>
      <c r="AB94" s="233"/>
      <c r="AC94" s="233"/>
      <c r="AD94" s="233"/>
      <c r="AE94" s="233"/>
      <c r="AF94" s="233"/>
      <c r="AG94" s="233"/>
      <c r="AH94" s="233"/>
      <c r="AI94" s="233"/>
      <c r="AJ94" s="233"/>
      <c r="AK94" s="233"/>
      <c r="AL94" s="233"/>
      <c r="AM94" s="233"/>
    </row>
  </sheetData>
  <sheetProtection formatCells="0" formatColumns="0" formatRows="0" insertRows="0" deleteColumns="0" sort="0" autoFilter="0"/>
  <mergeCells count="393">
    <mergeCell ref="AT1:AW1"/>
    <mergeCell ref="BA1:BB4"/>
    <mergeCell ref="G2:V2"/>
    <mergeCell ref="AP2:AQ2"/>
    <mergeCell ref="AR2:AS2"/>
    <mergeCell ref="AT2:AU2"/>
    <mergeCell ref="AV2:AW2"/>
    <mergeCell ref="AD3:AO4"/>
    <mergeCell ref="AP3:AQ3"/>
    <mergeCell ref="AR3:AS3"/>
    <mergeCell ref="G1:V1"/>
    <mergeCell ref="X1:Y4"/>
    <mergeCell ref="Z1:AB2"/>
    <mergeCell ref="AC1:AC2"/>
    <mergeCell ref="AD1:AO2"/>
    <mergeCell ref="AP1:AS1"/>
    <mergeCell ref="AT3:AU3"/>
    <mergeCell ref="AV3:AW3"/>
    <mergeCell ref="G4:H4"/>
    <mergeCell ref="I4:N4"/>
    <mergeCell ref="O4:V4"/>
    <mergeCell ref="AP4:AQ4"/>
    <mergeCell ref="AR4:AS4"/>
    <mergeCell ref="AT4:AU4"/>
    <mergeCell ref="AV4:AW4"/>
    <mergeCell ref="A6:P6"/>
    <mergeCell ref="Q6:V6"/>
    <mergeCell ref="X6:AM6"/>
    <mergeCell ref="A3:A4"/>
    <mergeCell ref="G3:H3"/>
    <mergeCell ref="I3:N3"/>
    <mergeCell ref="O3:V3"/>
    <mergeCell ref="Z3:AB4"/>
    <mergeCell ref="AC3:AC4"/>
    <mergeCell ref="AP7:AP8"/>
    <mergeCell ref="AQ7:AQ8"/>
    <mergeCell ref="M7:P7"/>
    <mergeCell ref="Q7:V7"/>
    <mergeCell ref="X7:Z8"/>
    <mergeCell ref="AB7:AB8"/>
    <mergeCell ref="AX6:BB6"/>
    <mergeCell ref="A7:A8"/>
    <mergeCell ref="B7:B8"/>
    <mergeCell ref="C7:E8"/>
    <mergeCell ref="F7:F8"/>
    <mergeCell ref="G7:I8"/>
    <mergeCell ref="J7:L8"/>
    <mergeCell ref="AY7:AY8"/>
    <mergeCell ref="AZ7:AZ8"/>
    <mergeCell ref="BA7:BA8"/>
    <mergeCell ref="BB7:BB8"/>
    <mergeCell ref="AW7:AW8"/>
    <mergeCell ref="AA7:AA8"/>
    <mergeCell ref="C10:E10"/>
    <mergeCell ref="G10:I10"/>
    <mergeCell ref="J10:L10"/>
    <mergeCell ref="X10:Z10"/>
    <mergeCell ref="C11:E11"/>
    <mergeCell ref="G11:I11"/>
    <mergeCell ref="J11:L11"/>
    <mergeCell ref="X11:Z11"/>
    <mergeCell ref="AX7:AX8"/>
    <mergeCell ref="AC7:AC8"/>
    <mergeCell ref="AD7:AD8"/>
    <mergeCell ref="C9:E9"/>
    <mergeCell ref="G9:I9"/>
    <mergeCell ref="J9:L9"/>
    <mergeCell ref="X9:Z9"/>
    <mergeCell ref="AR7:AR8"/>
    <mergeCell ref="AS7:AS8"/>
    <mergeCell ref="AT7:AT8"/>
    <mergeCell ref="AU7:AU8"/>
    <mergeCell ref="AV7:AV8"/>
    <mergeCell ref="AE7:AE8"/>
    <mergeCell ref="AI7:AM7"/>
    <mergeCell ref="AN7:AN8"/>
    <mergeCell ref="AO7:AO8"/>
    <mergeCell ref="C14:E14"/>
    <mergeCell ref="G14:I14"/>
    <mergeCell ref="J14:L14"/>
    <mergeCell ref="X14:Z14"/>
    <mergeCell ref="C15:E15"/>
    <mergeCell ref="G15:I15"/>
    <mergeCell ref="J15:L15"/>
    <mergeCell ref="X15:Z15"/>
    <mergeCell ref="C12:E12"/>
    <mergeCell ref="G12:I12"/>
    <mergeCell ref="J12:L12"/>
    <mergeCell ref="X12:Z12"/>
    <mergeCell ref="C13:E13"/>
    <mergeCell ref="G13:I13"/>
    <mergeCell ref="J13:L13"/>
    <mergeCell ref="X13:Z13"/>
    <mergeCell ref="C18:E18"/>
    <mergeCell ref="G18:I18"/>
    <mergeCell ref="J18:L18"/>
    <mergeCell ref="X18:Z18"/>
    <mergeCell ref="C19:E19"/>
    <mergeCell ref="G19:I19"/>
    <mergeCell ref="J19:L19"/>
    <mergeCell ref="X19:Z19"/>
    <mergeCell ref="C16:E16"/>
    <mergeCell ref="G16:I16"/>
    <mergeCell ref="J16:L16"/>
    <mergeCell ref="X16:Z16"/>
    <mergeCell ref="C17:E17"/>
    <mergeCell ref="G17:I17"/>
    <mergeCell ref="J17:L17"/>
    <mergeCell ref="X17:Z17"/>
    <mergeCell ref="C22:E22"/>
    <mergeCell ref="G22:I22"/>
    <mergeCell ref="J22:L22"/>
    <mergeCell ref="X22:Z22"/>
    <mergeCell ref="C23:E23"/>
    <mergeCell ref="G23:I23"/>
    <mergeCell ref="J23:L23"/>
    <mergeCell ref="X23:Z23"/>
    <mergeCell ref="C20:E20"/>
    <mergeCell ref="G20:I20"/>
    <mergeCell ref="J20:L20"/>
    <mergeCell ref="X20:Z20"/>
    <mergeCell ref="C21:E21"/>
    <mergeCell ref="G21:I21"/>
    <mergeCell ref="J21:L21"/>
    <mergeCell ref="X21:Z21"/>
    <mergeCell ref="C26:E26"/>
    <mergeCell ref="G26:I26"/>
    <mergeCell ref="J26:L26"/>
    <mergeCell ref="X26:Z26"/>
    <mergeCell ref="C27:E27"/>
    <mergeCell ref="G27:I27"/>
    <mergeCell ref="J27:L27"/>
    <mergeCell ref="X27:Z27"/>
    <mergeCell ref="C24:E24"/>
    <mergeCell ref="G24:I24"/>
    <mergeCell ref="J24:L24"/>
    <mergeCell ref="X24:Z24"/>
    <mergeCell ref="C25:E25"/>
    <mergeCell ref="G25:I25"/>
    <mergeCell ref="J25:L25"/>
    <mergeCell ref="X25:Z25"/>
    <mergeCell ref="C30:E30"/>
    <mergeCell ref="G30:I30"/>
    <mergeCell ref="J30:L30"/>
    <mergeCell ref="X30:Z30"/>
    <mergeCell ref="C31:E31"/>
    <mergeCell ref="G31:I31"/>
    <mergeCell ref="J31:L31"/>
    <mergeCell ref="X31:Z31"/>
    <mergeCell ref="C28:E28"/>
    <mergeCell ref="G28:I28"/>
    <mergeCell ref="J28:L28"/>
    <mergeCell ref="X28:Z28"/>
    <mergeCell ref="C29:E29"/>
    <mergeCell ref="G29:I29"/>
    <mergeCell ref="J29:L29"/>
    <mergeCell ref="X29:Z29"/>
    <mergeCell ref="C34:E34"/>
    <mergeCell ref="G34:I34"/>
    <mergeCell ref="J34:L34"/>
    <mergeCell ref="X34:Z34"/>
    <mergeCell ref="C35:E35"/>
    <mergeCell ref="G35:I35"/>
    <mergeCell ref="J35:L35"/>
    <mergeCell ref="X35:Z35"/>
    <mergeCell ref="C32:E32"/>
    <mergeCell ref="G32:I32"/>
    <mergeCell ref="J32:L32"/>
    <mergeCell ref="X32:Z32"/>
    <mergeCell ref="C33:E33"/>
    <mergeCell ref="G33:I33"/>
    <mergeCell ref="J33:L33"/>
    <mergeCell ref="X33:Z33"/>
    <mergeCell ref="C38:E38"/>
    <mergeCell ref="G38:I38"/>
    <mergeCell ref="J38:L38"/>
    <mergeCell ref="X38:Z38"/>
    <mergeCell ref="C39:E39"/>
    <mergeCell ref="G39:I39"/>
    <mergeCell ref="J39:L39"/>
    <mergeCell ref="X39:Z39"/>
    <mergeCell ref="C36:E36"/>
    <mergeCell ref="G36:I36"/>
    <mergeCell ref="J36:L36"/>
    <mergeCell ref="X36:Z36"/>
    <mergeCell ref="C37:E37"/>
    <mergeCell ref="G37:I37"/>
    <mergeCell ref="J37:L37"/>
    <mergeCell ref="X37:Z37"/>
    <mergeCell ref="C42:E42"/>
    <mergeCell ref="G42:I42"/>
    <mergeCell ref="J42:L42"/>
    <mergeCell ref="X42:Z42"/>
    <mergeCell ref="C43:E43"/>
    <mergeCell ref="G43:I43"/>
    <mergeCell ref="J43:L43"/>
    <mergeCell ref="X43:Z43"/>
    <mergeCell ref="C40:E40"/>
    <mergeCell ref="G40:I40"/>
    <mergeCell ref="J40:L40"/>
    <mergeCell ref="X40:Z40"/>
    <mergeCell ref="C41:E41"/>
    <mergeCell ref="G41:I41"/>
    <mergeCell ref="J41:L41"/>
    <mergeCell ref="X41:Z41"/>
    <mergeCell ref="C46:E46"/>
    <mergeCell ref="G46:I46"/>
    <mergeCell ref="J46:L46"/>
    <mergeCell ref="X46:Z46"/>
    <mergeCell ref="C47:E47"/>
    <mergeCell ref="G47:I47"/>
    <mergeCell ref="J47:L47"/>
    <mergeCell ref="X47:Z47"/>
    <mergeCell ref="C44:E44"/>
    <mergeCell ref="G44:I44"/>
    <mergeCell ref="J44:L44"/>
    <mergeCell ref="X44:Z44"/>
    <mergeCell ref="C45:E45"/>
    <mergeCell ref="G45:I45"/>
    <mergeCell ref="J45:L45"/>
    <mergeCell ref="X45:Z45"/>
    <mergeCell ref="C50:E50"/>
    <mergeCell ref="G50:I50"/>
    <mergeCell ref="J50:L50"/>
    <mergeCell ref="X50:Z50"/>
    <mergeCell ref="C51:E51"/>
    <mergeCell ref="G51:I51"/>
    <mergeCell ref="J51:L51"/>
    <mergeCell ref="X51:Z51"/>
    <mergeCell ref="C48:E48"/>
    <mergeCell ref="G48:I48"/>
    <mergeCell ref="J48:L48"/>
    <mergeCell ref="X48:Z48"/>
    <mergeCell ref="C49:E49"/>
    <mergeCell ref="G49:I49"/>
    <mergeCell ref="J49:L49"/>
    <mergeCell ref="X49:Z49"/>
    <mergeCell ref="C54:E54"/>
    <mergeCell ref="G54:I54"/>
    <mergeCell ref="J54:L54"/>
    <mergeCell ref="X54:Z54"/>
    <mergeCell ref="C55:E55"/>
    <mergeCell ref="G55:I55"/>
    <mergeCell ref="J55:L55"/>
    <mergeCell ref="X55:Z55"/>
    <mergeCell ref="C52:E52"/>
    <mergeCell ref="G52:I52"/>
    <mergeCell ref="J52:L52"/>
    <mergeCell ref="X52:Z52"/>
    <mergeCell ref="C53:E53"/>
    <mergeCell ref="G53:I53"/>
    <mergeCell ref="J53:L53"/>
    <mergeCell ref="X53:Z53"/>
    <mergeCell ref="C58:E58"/>
    <mergeCell ref="G58:I58"/>
    <mergeCell ref="J58:L58"/>
    <mergeCell ref="X58:Z58"/>
    <mergeCell ref="C59:E59"/>
    <mergeCell ref="G59:I59"/>
    <mergeCell ref="J59:L59"/>
    <mergeCell ref="X59:Z59"/>
    <mergeCell ref="C56:E56"/>
    <mergeCell ref="G56:I56"/>
    <mergeCell ref="J56:L56"/>
    <mergeCell ref="X56:Z56"/>
    <mergeCell ref="C57:E57"/>
    <mergeCell ref="G57:I57"/>
    <mergeCell ref="J57:L57"/>
    <mergeCell ref="X57:Z57"/>
    <mergeCell ref="C62:E62"/>
    <mergeCell ref="G62:I62"/>
    <mergeCell ref="J62:L62"/>
    <mergeCell ref="X62:Z62"/>
    <mergeCell ref="C63:E63"/>
    <mergeCell ref="G63:I63"/>
    <mergeCell ref="J63:L63"/>
    <mergeCell ref="X63:Z63"/>
    <mergeCell ref="C60:E60"/>
    <mergeCell ref="G60:I60"/>
    <mergeCell ref="J60:L60"/>
    <mergeCell ref="X60:Z60"/>
    <mergeCell ref="C61:E61"/>
    <mergeCell ref="G61:I61"/>
    <mergeCell ref="J61:L61"/>
    <mergeCell ref="X61:Z61"/>
    <mergeCell ref="C66:E66"/>
    <mergeCell ref="G66:I66"/>
    <mergeCell ref="J66:L66"/>
    <mergeCell ref="X66:Z66"/>
    <mergeCell ref="C67:E67"/>
    <mergeCell ref="G67:I67"/>
    <mergeCell ref="J67:L67"/>
    <mergeCell ref="X67:Z67"/>
    <mergeCell ref="C64:E64"/>
    <mergeCell ref="G64:I64"/>
    <mergeCell ref="J64:L64"/>
    <mergeCell ref="X64:Z64"/>
    <mergeCell ref="C65:E65"/>
    <mergeCell ref="G65:I65"/>
    <mergeCell ref="J65:L65"/>
    <mergeCell ref="X65:Z65"/>
    <mergeCell ref="C70:E70"/>
    <mergeCell ref="G70:I70"/>
    <mergeCell ref="J70:L70"/>
    <mergeCell ref="X70:Z70"/>
    <mergeCell ref="C71:E71"/>
    <mergeCell ref="G71:I71"/>
    <mergeCell ref="J71:L71"/>
    <mergeCell ref="X71:Z71"/>
    <mergeCell ref="C68:E68"/>
    <mergeCell ref="G68:I68"/>
    <mergeCell ref="J68:L68"/>
    <mergeCell ref="X68:Z68"/>
    <mergeCell ref="C69:E69"/>
    <mergeCell ref="G69:I69"/>
    <mergeCell ref="J69:L69"/>
    <mergeCell ref="X69:Z69"/>
    <mergeCell ref="C74:E74"/>
    <mergeCell ref="G74:I74"/>
    <mergeCell ref="J74:L74"/>
    <mergeCell ref="X74:Z74"/>
    <mergeCell ref="C75:E75"/>
    <mergeCell ref="G75:I75"/>
    <mergeCell ref="J75:L75"/>
    <mergeCell ref="X75:Z75"/>
    <mergeCell ref="C72:E72"/>
    <mergeCell ref="G72:I72"/>
    <mergeCell ref="J72:L72"/>
    <mergeCell ref="X72:Z72"/>
    <mergeCell ref="C73:E73"/>
    <mergeCell ref="G73:I73"/>
    <mergeCell ref="J73:L73"/>
    <mergeCell ref="X73:Z73"/>
    <mergeCell ref="C78:E78"/>
    <mergeCell ref="G78:I78"/>
    <mergeCell ref="J78:L78"/>
    <mergeCell ref="X78:Z78"/>
    <mergeCell ref="C79:E79"/>
    <mergeCell ref="G79:I79"/>
    <mergeCell ref="J79:L79"/>
    <mergeCell ref="X79:Z79"/>
    <mergeCell ref="C76:E76"/>
    <mergeCell ref="G76:I76"/>
    <mergeCell ref="J76:L76"/>
    <mergeCell ref="X76:Z76"/>
    <mergeCell ref="C77:E77"/>
    <mergeCell ref="G77:I77"/>
    <mergeCell ref="J77:L77"/>
    <mergeCell ref="X77:Z77"/>
    <mergeCell ref="C82:E82"/>
    <mergeCell ref="G82:I82"/>
    <mergeCell ref="J82:L82"/>
    <mergeCell ref="X82:Z82"/>
    <mergeCell ref="C83:E83"/>
    <mergeCell ref="G83:I83"/>
    <mergeCell ref="J83:L83"/>
    <mergeCell ref="X83:Z83"/>
    <mergeCell ref="C80:E80"/>
    <mergeCell ref="G80:I80"/>
    <mergeCell ref="J80:L80"/>
    <mergeCell ref="X80:Z80"/>
    <mergeCell ref="C81:E81"/>
    <mergeCell ref="G81:I81"/>
    <mergeCell ref="J81:L81"/>
    <mergeCell ref="X81:Z81"/>
    <mergeCell ref="C86:E86"/>
    <mergeCell ref="G86:I86"/>
    <mergeCell ref="J86:L86"/>
    <mergeCell ref="X86:Z86"/>
    <mergeCell ref="A88:L89"/>
    <mergeCell ref="N89:P89"/>
    <mergeCell ref="Q89:Y89"/>
    <mergeCell ref="Z89:AC89"/>
    <mergeCell ref="C84:E84"/>
    <mergeCell ref="G84:I84"/>
    <mergeCell ref="J84:L84"/>
    <mergeCell ref="X84:Z84"/>
    <mergeCell ref="C85:E85"/>
    <mergeCell ref="G85:I85"/>
    <mergeCell ref="J85:L85"/>
    <mergeCell ref="X85:Z85"/>
    <mergeCell ref="N92:R92"/>
    <mergeCell ref="V92:Z92"/>
    <mergeCell ref="AD89:AO89"/>
    <mergeCell ref="A90:L91"/>
    <mergeCell ref="N90:P90"/>
    <mergeCell ref="Q90:Y90"/>
    <mergeCell ref="Z90:AC90"/>
    <mergeCell ref="AD90:AO90"/>
    <mergeCell ref="N91:P91"/>
    <mergeCell ref="Q91:Y91"/>
    <mergeCell ref="Z91:AC91"/>
    <mergeCell ref="AD91:AO91"/>
  </mergeCells>
  <dataValidations count="7">
    <dataValidation type="list" sqref="AR4:AS4 AV4:AW4">
      <formula1>Monitoreo</formula1>
    </dataValidation>
    <dataValidation type="list" allowBlank="1" showInputMessage="1" showErrorMessage="1" sqref="WWC9:WWC86 WMG9:WMG86 WCK9:WCK86 VSO9:VSO86 VIS9:VIS86 UYW9:UYW86 UPA9:UPA86 UFE9:UFE86 TVI9:TVI86 TLM9:TLM86 TBQ9:TBQ86 SRU9:SRU86 SHY9:SHY86 RYC9:RYC86 ROG9:ROG86 REK9:REK86 QUO9:QUO86 QKS9:QKS86 QAW9:QAW86 PRA9:PRA86 PHE9:PHE86 OXI9:OXI86 ONM9:ONM86 ODQ9:ODQ86 NTU9:NTU86 NJY9:NJY86 NAC9:NAC86 MQG9:MQG86 MGK9:MGK86 LWO9:LWO86 LMS9:LMS86 LCW9:LCW86 KTA9:KTA86 KJE9:KJE86 JZI9:JZI86 JPM9:JPM86 JFQ9:JFQ86 IVU9:IVU86 ILY9:ILY86 ICC9:ICC86 HSG9:HSG86 HIK9:HIK86 GYO9:GYO86 GOS9:GOS86 GEW9:GEW86 FVA9:FVA86 FLE9:FLE86 FBI9:FBI86 ERM9:ERM86 EHQ9:EHQ86 DXU9:DXU86 DNY9:DNY86 DEC9:DEC86 CUG9:CUG86 CKK9:CKK86 CAO9:CAO86 BQS9:BQS86 BGW9:BGW86 AXA9:AXA86 ANE9:ANE86 ADI9:ADI86 TM9:TM86 JQ9:JQ86 Q9:Q86">
      <formula1>PROBAB</formula1>
    </dataValidation>
    <dataValidation type="list" allowBlank="1" showInputMessage="1" showErrorMessage="1" sqref="WWD9:WWD86 WMH9:WMH86 WCL9:WCL86 VSP9:VSP86 VIT9:VIT86 UYX9:UYX86 UPB9:UPB86 UFF9:UFF86 TVJ9:TVJ86 TLN9:TLN86 TBR9:TBR86 SRV9:SRV86 SHZ9:SHZ86 RYD9:RYD86 ROH9:ROH86 REL9:REL86 QUP9:QUP86 QKT9:QKT86 QAX9:QAX86 PRB9:PRB86 PHF9:PHF86 OXJ9:OXJ86 ONN9:ONN86 ODR9:ODR86 NTV9:NTV86 NJZ9:NJZ86 NAD9:NAD86 MQH9:MQH86 MGL9:MGL86 LWP9:LWP86 LMT9:LMT86 LCX9:LCX86 KTB9:KTB86 KJF9:KJF86 JZJ9:JZJ86 JPN9:JPN86 JFR9:JFR86 IVV9:IVV86 ILZ9:ILZ86 ICD9:ICD86 HSH9:HSH86 HIL9:HIL86 GYP9:GYP86 GOT9:GOT86 GEX9:GEX86 FVB9:FVB86 FLF9:FLF86 FBJ9:FBJ86 ERN9:ERN86 EHR9:EHR86 DXV9:DXV86 DNZ9:DNZ86 DED9:DED86 CUH9:CUH86 CKL9:CKL86 CAP9:CAP86 BQT9:BQT86 BGX9:BGX86 AXB9:AXB86 ANF9:ANF86 ADJ9:ADJ86 TN9:TN86 JR9:JR86 R9:R86">
      <formula1>IMPACTO</formula1>
    </dataValidation>
    <dataValidation type="list" showInputMessage="1" showErrorMessage="1" errorTitle="Rechazado" error="Solo son validadas las opciones de la lista" sqref="WWP9:WWP86 WMT9:WMT86 WCX9:WCX86 VTB9:VTB86 VJF9:VJF86 UZJ9:UZJ86 UPN9:UPN86 UFR9:UFR86 TVV9:TVV86 TLZ9:TLZ86 TCD9:TCD86 SSH9:SSH86 SIL9:SIL86 RYP9:RYP86 ROT9:ROT86 REX9:REX86 QVB9:QVB86 QLF9:QLF86 QBJ9:QBJ86 PRN9:PRN86 PHR9:PHR86 OXV9:OXV86 ONZ9:ONZ86 OED9:OED86 NUH9:NUH86 NKL9:NKL86 NAP9:NAP86 MQT9:MQT86 MGX9:MGX86 LXB9:LXB86 LNF9:LNF86 LDJ9:LDJ86 KTN9:KTN86 KJR9:KJR86 JZV9:JZV86 JPZ9:JPZ86 JGD9:JGD86 IWH9:IWH86 IML9:IML86 ICP9:ICP86 HST9:HST86 HIX9:HIX86 GZB9:GZB86 GPF9:GPF86 GFJ9:GFJ86 FVN9:FVN86 FLR9:FLR86 FBV9:FBV86 ERZ9:ERZ86 EID9:EID86 DYH9:DYH86 DOL9:DOL86 DEP9:DEP86 CUT9:CUT86 CKX9:CKX86 CBB9:CBB86 BRF9:BRF86 BHJ9:BHJ86 AXN9:AXN86 ANR9:ANR86 ADV9:ADV86 TZ9:TZ86 KD9:KD86 AE9:AE86">
      <formula1>Efecto</formula1>
    </dataValidation>
    <dataValidation showInputMessage="1" showErrorMessage="1" sqref="WWR9:WWV86 WMV9:WMZ86 WCZ9:WDD86 VTD9:VTH86 VJH9:VJL86 UZL9:UZP86 UPP9:UPT86 UFT9:UFX86 TVX9:TWB86 TMB9:TMF86 TCF9:TCJ86 SSJ9:SSN86 SIN9:SIR86 RYR9:RYV86 ROV9:ROZ86 REZ9:RFD86 QVD9:QVH86 QLH9:QLL86 QBL9:QBP86 PRP9:PRT86 PHT9:PHX86 OXX9:OYB86 OOB9:OOF86 OEF9:OEJ86 NUJ9:NUN86 NKN9:NKR86 NAR9:NAV86 MQV9:MQZ86 MGZ9:MHD86 LXD9:LXH86 LNH9:LNL86 LDL9:LDP86 KTP9:KTT86 KJT9:KJX86 JZX9:KAB86 JQB9:JQF86 JGF9:JGJ86 IWJ9:IWN86 IMN9:IMR86 ICR9:ICV86 HSV9:HSZ86 HIZ9:HJD86 GZD9:GZH86 GPH9:GPL86 GFL9:GFP86 FVP9:FVT86 FLT9:FLX86 FBX9:FCB86 ESB9:ESF86 EIF9:EIJ86 DYJ9:DYN86 DON9:DOR86 DER9:DEV86 CUV9:CUZ86 CKZ9:CLD86 CBD9:CBH86 BRH9:BRL86 BHL9:BHP86 AXP9:AXT86 ANT9:ANX86 ADX9:AEB86 UB9:UF86 KF9:KJ86 AG9:AK86"/>
    <dataValidation type="whole" allowBlank="1" showInputMessage="1" showErrorMessage="1" sqref="WWO9:WWO86 WMS9:WMS86 WCW9:WCW86 VTA9:VTA86 VJE9:VJE86 UZI9:UZI86 UPM9:UPM86 UFQ9:UFQ86 TVU9:TVU86 TLY9:TLY86 TCC9:TCC86 SSG9:SSG86 SIK9:SIK86 RYO9:RYO86 ROS9:ROS86 REW9:REW86 QVA9:QVA86 QLE9:QLE86 QBI9:QBI86 PRM9:PRM86 PHQ9:PHQ86 OXU9:OXU86 ONY9:ONY86 OEC9:OEC86 NUG9:NUG86 NKK9:NKK86 NAO9:NAO86 MQS9:MQS86 MGW9:MGW86 LXA9:LXA86 LNE9:LNE86 LDI9:LDI86 KTM9:KTM86 KJQ9:KJQ86 JZU9:JZU86 JPY9:JPY86 JGC9:JGC86 IWG9:IWG86 IMK9:IMK86 ICO9:ICO86 HSS9:HSS86 HIW9:HIW86 GZA9:GZA86 GPE9:GPE86 GFI9:GFI86 FVM9:FVM86 FLQ9:FLQ86 FBU9:FBU86 ERY9:ERY86 EIC9:EIC86 DYG9:DYG86 DOK9:DOK86 DEO9:DEO86 CUS9:CUS86 CKW9:CKW86 CBA9:CBA86 BRE9:BRE86 BHI9:BHI86 AXM9:AXM86 ANQ9:ANQ86 ADU9:ADU86 TY9:TY86 KC9:KC86 AD9:AD86">
      <formula1>0</formula1>
      <formula2>100</formula2>
    </dataValidation>
    <dataValidation type="list" allowBlank="1" showInputMessage="1" showErrorMessage="1" sqref="WXD9:WXD86 WNH9:WNH86 WDL9:WDL86 VTP9:VTP86 VJT9:VJT86 UZX9:UZX86 UQB9:UQB86 UGF9:UGF86 TWJ9:TWJ86 TMN9:TMN86 TCR9:TCR86 SSV9:SSV86 SIZ9:SIZ86 RZD9:RZD86 RPH9:RPH86 RFL9:RFL86 QVP9:QVP86 QLT9:QLT86 QBX9:QBX86 PSB9:PSB86 PIF9:PIF86 OYJ9:OYJ86 OON9:OON86 OER9:OER86 NUV9:NUV86 NKZ9:NKZ86 NBD9:NBD86 MRH9:MRH86 MHL9:MHL86 LXP9:LXP86 LNT9:LNT86 LDX9:LDX86 KUB9:KUB86 KKF9:KKF86 KAJ9:KAJ86 JQN9:JQN86 JGR9:JGR86 IWV9:IWV86 IMZ9:IMZ86 IDD9:IDD86 HTH9:HTH86 HJL9:HJL86 GZP9:GZP86 GPT9:GPT86 GFX9:GFX86 FWB9:FWB86 FMF9:FMF86 FCJ9:FCJ86 ESN9:ESN86 EIR9:EIR86 DYV9:DYV86 DOZ9:DOZ86 DFD9:DFD86 CVH9:CVH86 CLL9:CLL86 CBP9:CBP86 BRT9:BRT86 BHX9:BHX86 AYB9:AYB86 AOF9:AOF86 AEJ9:AEJ86 UN9:UN86 KR9:KR86 AS9:AS86 AW9:AW86">
      <formula1>SINO</formula1>
    </dataValidation>
  </dataValidations>
  <printOptions horizontalCentered="1"/>
  <pageMargins left="0" right="0.39370078740157483" top="0.98425196850393704" bottom="0.59055118110236227" header="0.51181102362204722" footer="0.27559055118110237"/>
  <pageSetup paperSize="14" scale="40" firstPageNumber="0" fitToHeight="3" orientation="landscape" r:id="rId1"/>
  <headerFooter>
    <oddFooter>&amp;L&amp;9Formato: FO-PE-06 Versión: 5.0&amp;C&amp;9Página &amp;P de &amp;N</oddFooter>
  </headerFooter>
  <rowBreaks count="1" manualBreakCount="1">
    <brk id="15" max="67"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N165"/>
  <sheetViews>
    <sheetView zoomScaleNormal="100" zoomScaleSheetLayoutView="100" zoomScalePageLayoutView="95" workbookViewId="0">
      <pane xSplit="13" ySplit="8" topLeftCell="N9" activePane="bottomRight" state="frozen"/>
      <selection pane="topRight" activeCell="N1" sqref="N1"/>
      <selection pane="bottomLeft" activeCell="A9" sqref="A9"/>
      <selection pane="bottomRight"/>
    </sheetView>
  </sheetViews>
  <sheetFormatPr baseColWidth="10" defaultRowHeight="12.75"/>
  <cols>
    <col min="1" max="1" width="1.140625" style="236" customWidth="1"/>
    <col min="2" max="2" width="12" style="235" customWidth="1"/>
    <col min="3" max="3" width="2.7109375" style="235" customWidth="1"/>
    <col min="4" max="6" width="5" style="235" customWidth="1"/>
    <col min="7" max="7" width="6.28515625" style="235" customWidth="1"/>
    <col min="8" max="9" width="8.42578125" style="235" customWidth="1"/>
    <col min="10" max="10" width="10.7109375" style="235" customWidth="1"/>
    <col min="11" max="11" width="2.5703125" style="235" customWidth="1"/>
    <col min="12" max="13" width="9" style="235" customWidth="1"/>
    <col min="14" max="16" width="3.7109375" style="235" customWidth="1"/>
    <col min="17" max="17" width="3.5703125" style="235" customWidth="1"/>
    <col min="18" max="18" width="2.85546875" style="235" customWidth="1"/>
    <col min="19" max="19" width="3" style="235" customWidth="1"/>
    <col min="20" max="22" width="0" style="235" hidden="1" customWidth="1"/>
    <col min="23" max="23" width="4.42578125" style="235" customWidth="1"/>
    <col min="24" max="24" width="0" style="235" hidden="1" customWidth="1"/>
    <col min="25" max="27" width="14.28515625" style="235" customWidth="1"/>
    <col min="28" max="28" width="14.28515625" style="1126" customWidth="1"/>
    <col min="29" max="29" width="6.42578125" style="235" customWidth="1"/>
    <col min="30" max="30" width="15.140625" style="235" customWidth="1"/>
    <col min="31" max="31" width="4.140625" style="235" customWidth="1"/>
    <col min="32" max="32" width="3" style="235" customWidth="1"/>
    <col min="33" max="35" width="0" style="235" hidden="1" customWidth="1"/>
    <col min="36" max="36" width="3" style="235" customWidth="1"/>
    <col min="37" max="37" width="0" style="235" hidden="1" customWidth="1"/>
    <col min="38" max="38" width="3" style="235" customWidth="1"/>
    <col min="39" max="39" width="0" style="235" hidden="1" customWidth="1"/>
    <col min="40" max="40" width="4.42578125" style="235" customWidth="1"/>
    <col min="41" max="41" width="19.5703125" style="235" customWidth="1"/>
    <col min="42" max="42" width="17.7109375" style="235" customWidth="1"/>
    <col min="43" max="43" width="9.140625" style="235" customWidth="1"/>
    <col min="44" max="44" width="19.5703125" style="235" customWidth="1"/>
    <col min="45" max="45" width="42.7109375" style="235" customWidth="1"/>
    <col min="46" max="46" width="5.85546875" style="235" customWidth="1"/>
    <col min="47" max="47" width="31.5703125" style="235" customWidth="1"/>
    <col min="48" max="48" width="16.140625" style="235" customWidth="1"/>
    <col min="49" max="50" width="9.28515625" style="235" customWidth="1"/>
    <col min="51" max="51" width="11.140625" style="235" customWidth="1"/>
    <col min="52" max="52" width="2.140625" style="235" customWidth="1"/>
    <col min="53" max="57" width="11.42578125" style="235" customWidth="1"/>
    <col min="58" max="258" width="11.42578125" style="235"/>
    <col min="259" max="259" width="12" style="235" customWidth="1"/>
    <col min="260" max="260" width="2.7109375" style="235" customWidth="1"/>
    <col min="261" max="262" width="6.5703125" style="235" customWidth="1"/>
    <col min="263" max="263" width="5.85546875" style="235" customWidth="1"/>
    <col min="264" max="264" width="6.5703125" style="235" customWidth="1"/>
    <col min="265" max="265" width="13.7109375" style="235" customWidth="1"/>
    <col min="266" max="267" width="9" style="235" customWidth="1"/>
    <col min="268" max="268" width="2.5703125" style="235" customWidth="1"/>
    <col min="269" max="269" width="8.85546875" style="235" customWidth="1"/>
    <col min="270" max="270" width="7.5703125" style="235" customWidth="1"/>
    <col min="271" max="273" width="3.7109375" style="235" customWidth="1"/>
    <col min="274" max="274" width="3.5703125" style="235" customWidth="1"/>
    <col min="275" max="275" width="2.85546875" style="235" customWidth="1"/>
    <col min="276" max="276" width="3" style="235" customWidth="1"/>
    <col min="277" max="279" width="0" style="235" hidden="1" customWidth="1"/>
    <col min="280" max="280" width="4.42578125" style="235" customWidth="1"/>
    <col min="281" max="281" width="0" style="235" hidden="1" customWidth="1"/>
    <col min="282" max="283" width="14.85546875" style="235" customWidth="1"/>
    <col min="284" max="284" width="15.140625" style="235" customWidth="1"/>
    <col min="285" max="285" width="6.42578125" style="235" customWidth="1"/>
    <col min="286" max="286" width="15.140625" style="235" customWidth="1"/>
    <col min="287" max="287" width="4.140625" style="235" customWidth="1"/>
    <col min="288" max="288" width="3" style="235" customWidth="1"/>
    <col min="289" max="291" width="0" style="235" hidden="1" customWidth="1"/>
    <col min="292" max="292" width="3" style="235" customWidth="1"/>
    <col min="293" max="293" width="0" style="235" hidden="1" customWidth="1"/>
    <col min="294" max="294" width="3" style="235" customWidth="1"/>
    <col min="295" max="295" width="0" style="235" hidden="1" customWidth="1"/>
    <col min="296" max="296" width="4.42578125" style="235" customWidth="1"/>
    <col min="297" max="297" width="34.28515625" style="235" customWidth="1"/>
    <col min="298" max="298" width="23.42578125" style="235" customWidth="1"/>
    <col min="299" max="299" width="9.140625" style="235" customWidth="1"/>
    <col min="300" max="300" width="19.5703125" style="235" customWidth="1"/>
    <col min="301" max="301" width="42.7109375" style="235" customWidth="1"/>
    <col min="302" max="302" width="5.85546875" style="235" customWidth="1"/>
    <col min="303" max="303" width="31.5703125" style="235" customWidth="1"/>
    <col min="304" max="304" width="16.140625" style="235" customWidth="1"/>
    <col min="305" max="306" width="9.28515625" style="235" customWidth="1"/>
    <col min="307" max="307" width="11.140625" style="235" customWidth="1"/>
    <col min="308" max="308" width="2.140625" style="235" customWidth="1"/>
    <col min="309" max="514" width="11.42578125" style="235"/>
    <col min="515" max="515" width="12" style="235" customWidth="1"/>
    <col min="516" max="516" width="2.7109375" style="235" customWidth="1"/>
    <col min="517" max="518" width="6.5703125" style="235" customWidth="1"/>
    <col min="519" max="519" width="5.85546875" style="235" customWidth="1"/>
    <col min="520" max="520" width="6.5703125" style="235" customWidth="1"/>
    <col min="521" max="521" width="13.7109375" style="235" customWidth="1"/>
    <col min="522" max="523" width="9" style="235" customWidth="1"/>
    <col min="524" max="524" width="2.5703125" style="235" customWidth="1"/>
    <col min="525" max="525" width="8.85546875" style="235" customWidth="1"/>
    <col min="526" max="526" width="7.5703125" style="235" customWidth="1"/>
    <col min="527" max="529" width="3.7109375" style="235" customWidth="1"/>
    <col min="530" max="530" width="3.5703125" style="235" customWidth="1"/>
    <col min="531" max="531" width="2.85546875" style="235" customWidth="1"/>
    <col min="532" max="532" width="3" style="235" customWidth="1"/>
    <col min="533" max="535" width="0" style="235" hidden="1" customWidth="1"/>
    <col min="536" max="536" width="4.42578125" style="235" customWidth="1"/>
    <col min="537" max="537" width="0" style="235" hidden="1" customWidth="1"/>
    <col min="538" max="539" width="14.85546875" style="235" customWidth="1"/>
    <col min="540" max="540" width="15.140625" style="235" customWidth="1"/>
    <col min="541" max="541" width="6.42578125" style="235" customWidth="1"/>
    <col min="542" max="542" width="15.140625" style="235" customWidth="1"/>
    <col min="543" max="543" width="4.140625" style="235" customWidth="1"/>
    <col min="544" max="544" width="3" style="235" customWidth="1"/>
    <col min="545" max="547" width="0" style="235" hidden="1" customWidth="1"/>
    <col min="548" max="548" width="3" style="235" customWidth="1"/>
    <col min="549" max="549" width="0" style="235" hidden="1" customWidth="1"/>
    <col min="550" max="550" width="3" style="235" customWidth="1"/>
    <col min="551" max="551" width="0" style="235" hidden="1" customWidth="1"/>
    <col min="552" max="552" width="4.42578125" style="235" customWidth="1"/>
    <col min="553" max="553" width="34.28515625" style="235" customWidth="1"/>
    <col min="554" max="554" width="23.42578125" style="235" customWidth="1"/>
    <col min="555" max="555" width="9.140625" style="235" customWidth="1"/>
    <col min="556" max="556" width="19.5703125" style="235" customWidth="1"/>
    <col min="557" max="557" width="42.7109375" style="235" customWidth="1"/>
    <col min="558" max="558" width="5.85546875" style="235" customWidth="1"/>
    <col min="559" max="559" width="31.5703125" style="235" customWidth="1"/>
    <col min="560" max="560" width="16.140625" style="235" customWidth="1"/>
    <col min="561" max="562" width="9.28515625" style="235" customWidth="1"/>
    <col min="563" max="563" width="11.140625" style="235" customWidth="1"/>
    <col min="564" max="564" width="2.140625" style="235" customWidth="1"/>
    <col min="565" max="770" width="11.42578125" style="235"/>
    <col min="771" max="771" width="12" style="235" customWidth="1"/>
    <col min="772" max="772" width="2.7109375" style="235" customWidth="1"/>
    <col min="773" max="774" width="6.5703125" style="235" customWidth="1"/>
    <col min="775" max="775" width="5.85546875" style="235" customWidth="1"/>
    <col min="776" max="776" width="6.5703125" style="235" customWidth="1"/>
    <col min="777" max="777" width="13.7109375" style="235" customWidth="1"/>
    <col min="778" max="779" width="9" style="235" customWidth="1"/>
    <col min="780" max="780" width="2.5703125" style="235" customWidth="1"/>
    <col min="781" max="781" width="8.85546875" style="235" customWidth="1"/>
    <col min="782" max="782" width="7.5703125" style="235" customWidth="1"/>
    <col min="783" max="785" width="3.7109375" style="235" customWidth="1"/>
    <col min="786" max="786" width="3.5703125" style="235" customWidth="1"/>
    <col min="787" max="787" width="2.85546875" style="235" customWidth="1"/>
    <col min="788" max="788" width="3" style="235" customWidth="1"/>
    <col min="789" max="791" width="0" style="235" hidden="1" customWidth="1"/>
    <col min="792" max="792" width="4.42578125" style="235" customWidth="1"/>
    <col min="793" max="793" width="0" style="235" hidden="1" customWidth="1"/>
    <col min="794" max="795" width="14.85546875" style="235" customWidth="1"/>
    <col min="796" max="796" width="15.140625" style="235" customWidth="1"/>
    <col min="797" max="797" width="6.42578125" style="235" customWidth="1"/>
    <col min="798" max="798" width="15.140625" style="235" customWidth="1"/>
    <col min="799" max="799" width="4.140625" style="235" customWidth="1"/>
    <col min="800" max="800" width="3" style="235" customWidth="1"/>
    <col min="801" max="803" width="0" style="235" hidden="1" customWidth="1"/>
    <col min="804" max="804" width="3" style="235" customWidth="1"/>
    <col min="805" max="805" width="0" style="235" hidden="1" customWidth="1"/>
    <col min="806" max="806" width="3" style="235" customWidth="1"/>
    <col min="807" max="807" width="0" style="235" hidden="1" customWidth="1"/>
    <col min="808" max="808" width="4.42578125" style="235" customWidth="1"/>
    <col min="809" max="809" width="34.28515625" style="235" customWidth="1"/>
    <col min="810" max="810" width="23.42578125" style="235" customWidth="1"/>
    <col min="811" max="811" width="9.140625" style="235" customWidth="1"/>
    <col min="812" max="812" width="19.5703125" style="235" customWidth="1"/>
    <col min="813" max="813" width="42.7109375" style="235" customWidth="1"/>
    <col min="814" max="814" width="5.85546875" style="235" customWidth="1"/>
    <col min="815" max="815" width="31.5703125" style="235" customWidth="1"/>
    <col min="816" max="816" width="16.140625" style="235" customWidth="1"/>
    <col min="817" max="818" width="9.28515625" style="235" customWidth="1"/>
    <col min="819" max="819" width="11.140625" style="235" customWidth="1"/>
    <col min="820" max="820" width="2.140625" style="235" customWidth="1"/>
    <col min="821" max="1026" width="11.42578125" style="235"/>
    <col min="1027" max="1027" width="12" style="235" customWidth="1"/>
    <col min="1028" max="1028" width="2.7109375" style="235" customWidth="1"/>
    <col min="1029" max="1030" width="6.5703125" style="236" customWidth="1"/>
    <col min="1031" max="1031" width="5.85546875" style="236" customWidth="1"/>
    <col min="1032" max="1032" width="6.5703125" style="236" customWidth="1"/>
    <col min="1033" max="1033" width="13.7109375" style="236" customWidth="1"/>
    <col min="1034" max="1035" width="9" style="236" customWidth="1"/>
    <col min="1036" max="1036" width="2.5703125" style="236" customWidth="1"/>
    <col min="1037" max="1037" width="8.85546875" style="236" customWidth="1"/>
    <col min="1038" max="1038" width="7.5703125" style="236" customWidth="1"/>
    <col min="1039" max="1041" width="3.7109375" style="236" customWidth="1"/>
    <col min="1042" max="1042" width="3.5703125" style="236" customWidth="1"/>
    <col min="1043" max="1043" width="2.85546875" style="236" customWidth="1"/>
    <col min="1044" max="1044" width="3" style="236" customWidth="1"/>
    <col min="1045" max="1047" width="0" style="236" hidden="1" customWidth="1"/>
    <col min="1048" max="1048" width="4.42578125" style="236" customWidth="1"/>
    <col min="1049" max="1049" width="0" style="236" hidden="1" customWidth="1"/>
    <col min="1050" max="1051" width="14.85546875" style="236" customWidth="1"/>
    <col min="1052" max="1052" width="15.140625" style="236" customWidth="1"/>
    <col min="1053" max="1053" width="6.42578125" style="236" customWidth="1"/>
    <col min="1054" max="1054" width="15.140625" style="236" customWidth="1"/>
    <col min="1055" max="1055" width="4.140625" style="236" customWidth="1"/>
    <col min="1056" max="1056" width="3" style="236" customWidth="1"/>
    <col min="1057" max="1059" width="0" style="236" hidden="1" customWidth="1"/>
    <col min="1060" max="1060" width="3" style="236" customWidth="1"/>
    <col min="1061" max="1061" width="0" style="236" hidden="1" customWidth="1"/>
    <col min="1062" max="1062" width="3" style="236" customWidth="1"/>
    <col min="1063" max="1063" width="0" style="236" hidden="1" customWidth="1"/>
    <col min="1064" max="1064" width="4.42578125" style="236" customWidth="1"/>
    <col min="1065" max="1065" width="34.28515625" style="236" customWidth="1"/>
    <col min="1066" max="1066" width="23.42578125" style="236" customWidth="1"/>
    <col min="1067" max="1067" width="9.140625" style="236" customWidth="1"/>
    <col min="1068" max="1068" width="19.5703125" style="236" customWidth="1"/>
    <col min="1069" max="1069" width="42.7109375" style="236" customWidth="1"/>
    <col min="1070" max="1070" width="5.85546875" style="236" customWidth="1"/>
    <col min="1071" max="1071" width="31.5703125" style="236" customWidth="1"/>
    <col min="1072" max="1072" width="16.140625" style="236" customWidth="1"/>
    <col min="1073" max="1074" width="9.28515625" style="236" customWidth="1"/>
    <col min="1075" max="1075" width="11.140625" style="236" customWidth="1"/>
    <col min="1076" max="1076" width="2.140625" style="236" customWidth="1"/>
    <col min="1077" max="1282" width="11.42578125" style="236"/>
    <col min="1283" max="1283" width="12" style="236" customWidth="1"/>
    <col min="1284" max="1284" width="2.7109375" style="236" customWidth="1"/>
    <col min="1285" max="1286" width="6.5703125" style="236" customWidth="1"/>
    <col min="1287" max="1287" width="5.85546875" style="236" customWidth="1"/>
    <col min="1288" max="1288" width="6.5703125" style="236" customWidth="1"/>
    <col min="1289" max="1289" width="13.7109375" style="236" customWidth="1"/>
    <col min="1290" max="1291" width="9" style="236" customWidth="1"/>
    <col min="1292" max="1292" width="2.5703125" style="236" customWidth="1"/>
    <col min="1293" max="1293" width="8.85546875" style="236" customWidth="1"/>
    <col min="1294" max="1294" width="7.5703125" style="236" customWidth="1"/>
    <col min="1295" max="1297" width="3.7109375" style="236" customWidth="1"/>
    <col min="1298" max="1298" width="3.5703125" style="236" customWidth="1"/>
    <col min="1299" max="1299" width="2.85546875" style="236" customWidth="1"/>
    <col min="1300" max="1300" width="3" style="236" customWidth="1"/>
    <col min="1301" max="1303" width="0" style="236" hidden="1" customWidth="1"/>
    <col min="1304" max="1304" width="4.42578125" style="236" customWidth="1"/>
    <col min="1305" max="1305" width="0" style="236" hidden="1" customWidth="1"/>
    <col min="1306" max="1307" width="14.85546875" style="236" customWidth="1"/>
    <col min="1308" max="1308" width="15.140625" style="236" customWidth="1"/>
    <col min="1309" max="1309" width="6.42578125" style="236" customWidth="1"/>
    <col min="1310" max="1310" width="15.140625" style="236" customWidth="1"/>
    <col min="1311" max="1311" width="4.140625" style="236" customWidth="1"/>
    <col min="1312" max="1312" width="3" style="236" customWidth="1"/>
    <col min="1313" max="1315" width="0" style="236" hidden="1" customWidth="1"/>
    <col min="1316" max="1316" width="3" style="236" customWidth="1"/>
    <col min="1317" max="1317" width="0" style="236" hidden="1" customWidth="1"/>
    <col min="1318" max="1318" width="3" style="236" customWidth="1"/>
    <col min="1319" max="1319" width="0" style="236" hidden="1" customWidth="1"/>
    <col min="1320" max="1320" width="4.42578125" style="236" customWidth="1"/>
    <col min="1321" max="1321" width="34.28515625" style="236" customWidth="1"/>
    <col min="1322" max="1322" width="23.42578125" style="236" customWidth="1"/>
    <col min="1323" max="1323" width="9.140625" style="236" customWidth="1"/>
    <col min="1324" max="1324" width="19.5703125" style="236" customWidth="1"/>
    <col min="1325" max="1325" width="42.7109375" style="236" customWidth="1"/>
    <col min="1326" max="1326" width="5.85546875" style="236" customWidth="1"/>
    <col min="1327" max="1327" width="31.5703125" style="236" customWidth="1"/>
    <col min="1328" max="1328" width="16.140625" style="236" customWidth="1"/>
    <col min="1329" max="1330" width="9.28515625" style="236" customWidth="1"/>
    <col min="1331" max="1331" width="11.140625" style="236" customWidth="1"/>
    <col min="1332" max="1332" width="2.140625" style="236" customWidth="1"/>
    <col min="1333" max="1538" width="11.42578125" style="236"/>
    <col min="1539" max="1539" width="12" style="236" customWidth="1"/>
    <col min="1540" max="1540" width="2.7109375" style="236" customWidth="1"/>
    <col min="1541" max="1542" width="6.5703125" style="236" customWidth="1"/>
    <col min="1543" max="1543" width="5.85546875" style="236" customWidth="1"/>
    <col min="1544" max="1544" width="6.5703125" style="236" customWidth="1"/>
    <col min="1545" max="1545" width="13.7109375" style="236" customWidth="1"/>
    <col min="1546" max="1547" width="9" style="236" customWidth="1"/>
    <col min="1548" max="1548" width="2.5703125" style="236" customWidth="1"/>
    <col min="1549" max="1549" width="8.85546875" style="236" customWidth="1"/>
    <col min="1550" max="1550" width="7.5703125" style="236" customWidth="1"/>
    <col min="1551" max="1553" width="3.7109375" style="236" customWidth="1"/>
    <col min="1554" max="1554" width="3.5703125" style="236" customWidth="1"/>
    <col min="1555" max="1555" width="2.85546875" style="236" customWidth="1"/>
    <col min="1556" max="1556" width="3" style="236" customWidth="1"/>
    <col min="1557" max="1559" width="0" style="236" hidden="1" customWidth="1"/>
    <col min="1560" max="1560" width="4.42578125" style="236" customWidth="1"/>
    <col min="1561" max="1561" width="0" style="236" hidden="1" customWidth="1"/>
    <col min="1562" max="1563" width="14.85546875" style="236" customWidth="1"/>
    <col min="1564" max="1564" width="15.140625" style="236" customWidth="1"/>
    <col min="1565" max="1565" width="6.42578125" style="236" customWidth="1"/>
    <col min="1566" max="1566" width="15.140625" style="236" customWidth="1"/>
    <col min="1567" max="1567" width="4.140625" style="236" customWidth="1"/>
    <col min="1568" max="1568" width="3" style="236" customWidth="1"/>
    <col min="1569" max="1571" width="0" style="236" hidden="1" customWidth="1"/>
    <col min="1572" max="1572" width="3" style="236" customWidth="1"/>
    <col min="1573" max="1573" width="0" style="236" hidden="1" customWidth="1"/>
    <col min="1574" max="1574" width="3" style="236" customWidth="1"/>
    <col min="1575" max="1575" width="0" style="236" hidden="1" customWidth="1"/>
    <col min="1576" max="1576" width="4.42578125" style="236" customWidth="1"/>
    <col min="1577" max="1577" width="34.28515625" style="236" customWidth="1"/>
    <col min="1578" max="1578" width="23.42578125" style="236" customWidth="1"/>
    <col min="1579" max="1579" width="9.140625" style="236" customWidth="1"/>
    <col min="1580" max="1580" width="19.5703125" style="236" customWidth="1"/>
    <col min="1581" max="1581" width="42.7109375" style="236" customWidth="1"/>
    <col min="1582" max="1582" width="5.85546875" style="236" customWidth="1"/>
    <col min="1583" max="1583" width="31.5703125" style="236" customWidth="1"/>
    <col min="1584" max="1584" width="16.140625" style="236" customWidth="1"/>
    <col min="1585" max="1586" width="9.28515625" style="236" customWidth="1"/>
    <col min="1587" max="1587" width="11.140625" style="236" customWidth="1"/>
    <col min="1588" max="1588" width="2.140625" style="236" customWidth="1"/>
    <col min="1589" max="1794" width="11.42578125" style="236"/>
    <col min="1795" max="1795" width="12" style="236" customWidth="1"/>
    <col min="1796" max="1796" width="2.7109375" style="236" customWidth="1"/>
    <col min="1797" max="1798" width="6.5703125" style="236" customWidth="1"/>
    <col min="1799" max="1799" width="5.85546875" style="236" customWidth="1"/>
    <col min="1800" max="1800" width="6.5703125" style="236" customWidth="1"/>
    <col min="1801" max="1801" width="13.7109375" style="236" customWidth="1"/>
    <col min="1802" max="1803" width="9" style="236" customWidth="1"/>
    <col min="1804" max="1804" width="2.5703125" style="236" customWidth="1"/>
    <col min="1805" max="1805" width="8.85546875" style="236" customWidth="1"/>
    <col min="1806" max="1806" width="7.5703125" style="236" customWidth="1"/>
    <col min="1807" max="1809" width="3.7109375" style="236" customWidth="1"/>
    <col min="1810" max="1810" width="3.5703125" style="236" customWidth="1"/>
    <col min="1811" max="1811" width="2.85546875" style="236" customWidth="1"/>
    <col min="1812" max="1812" width="3" style="236" customWidth="1"/>
    <col min="1813" max="1815" width="0" style="236" hidden="1" customWidth="1"/>
    <col min="1816" max="1816" width="4.42578125" style="236" customWidth="1"/>
    <col min="1817" max="1817" width="0" style="236" hidden="1" customWidth="1"/>
    <col min="1818" max="1819" width="14.85546875" style="236" customWidth="1"/>
    <col min="1820" max="1820" width="15.140625" style="236" customWidth="1"/>
    <col min="1821" max="1821" width="6.42578125" style="236" customWidth="1"/>
    <col min="1822" max="1822" width="15.140625" style="236" customWidth="1"/>
    <col min="1823" max="1823" width="4.140625" style="236" customWidth="1"/>
    <col min="1824" max="1824" width="3" style="236" customWidth="1"/>
    <col min="1825" max="1827" width="0" style="236" hidden="1" customWidth="1"/>
    <col min="1828" max="1828" width="3" style="236" customWidth="1"/>
    <col min="1829" max="1829" width="0" style="236" hidden="1" customWidth="1"/>
    <col min="1830" max="1830" width="3" style="236" customWidth="1"/>
    <col min="1831" max="1831" width="0" style="236" hidden="1" customWidth="1"/>
    <col min="1832" max="1832" width="4.42578125" style="236" customWidth="1"/>
    <col min="1833" max="1833" width="34.28515625" style="236" customWidth="1"/>
    <col min="1834" max="1834" width="23.42578125" style="236" customWidth="1"/>
    <col min="1835" max="1835" width="9.140625" style="236" customWidth="1"/>
    <col min="1836" max="1836" width="19.5703125" style="236" customWidth="1"/>
    <col min="1837" max="1837" width="42.7109375" style="236" customWidth="1"/>
    <col min="1838" max="1838" width="5.85546875" style="236" customWidth="1"/>
    <col min="1839" max="1839" width="31.5703125" style="236" customWidth="1"/>
    <col min="1840" max="1840" width="16.140625" style="236" customWidth="1"/>
    <col min="1841" max="1842" width="9.28515625" style="236" customWidth="1"/>
    <col min="1843" max="1843" width="11.140625" style="236" customWidth="1"/>
    <col min="1844" max="1844" width="2.140625" style="236" customWidth="1"/>
    <col min="1845" max="2050" width="11.42578125" style="236"/>
    <col min="2051" max="2051" width="12" style="236" customWidth="1"/>
    <col min="2052" max="2052" width="2.7109375" style="236" customWidth="1"/>
    <col min="2053" max="2054" width="6.5703125" style="236" customWidth="1"/>
    <col min="2055" max="2055" width="5.85546875" style="236" customWidth="1"/>
    <col min="2056" max="2056" width="6.5703125" style="236" customWidth="1"/>
    <col min="2057" max="2057" width="13.7109375" style="236" customWidth="1"/>
    <col min="2058" max="2059" width="9" style="236" customWidth="1"/>
    <col min="2060" max="2060" width="2.5703125" style="236" customWidth="1"/>
    <col min="2061" max="2061" width="8.85546875" style="236" customWidth="1"/>
    <col min="2062" max="2062" width="7.5703125" style="236" customWidth="1"/>
    <col min="2063" max="2065" width="3.7109375" style="236" customWidth="1"/>
    <col min="2066" max="2066" width="3.5703125" style="236" customWidth="1"/>
    <col min="2067" max="2067" width="2.85546875" style="236" customWidth="1"/>
    <col min="2068" max="2068" width="3" style="236" customWidth="1"/>
    <col min="2069" max="2071" width="0" style="236" hidden="1" customWidth="1"/>
    <col min="2072" max="2072" width="4.42578125" style="236" customWidth="1"/>
    <col min="2073" max="2073" width="0" style="236" hidden="1" customWidth="1"/>
    <col min="2074" max="2075" width="14.85546875" style="236" customWidth="1"/>
    <col min="2076" max="2076" width="15.140625" style="236" customWidth="1"/>
    <col min="2077" max="2077" width="6.42578125" style="236" customWidth="1"/>
    <col min="2078" max="2078" width="15.140625" style="236" customWidth="1"/>
    <col min="2079" max="2079" width="4.140625" style="236" customWidth="1"/>
    <col min="2080" max="2080" width="3" style="236" customWidth="1"/>
    <col min="2081" max="2083" width="0" style="236" hidden="1" customWidth="1"/>
    <col min="2084" max="2084" width="3" style="236" customWidth="1"/>
    <col min="2085" max="2085" width="0" style="236" hidden="1" customWidth="1"/>
    <col min="2086" max="2086" width="3" style="236" customWidth="1"/>
    <col min="2087" max="2087" width="0" style="236" hidden="1" customWidth="1"/>
    <col min="2088" max="2088" width="4.42578125" style="236" customWidth="1"/>
    <col min="2089" max="2089" width="34.28515625" style="236" customWidth="1"/>
    <col min="2090" max="2090" width="23.42578125" style="236" customWidth="1"/>
    <col min="2091" max="2091" width="9.140625" style="236" customWidth="1"/>
    <col min="2092" max="2092" width="19.5703125" style="236" customWidth="1"/>
    <col min="2093" max="2093" width="42.7109375" style="236" customWidth="1"/>
    <col min="2094" max="2094" width="5.85546875" style="236" customWidth="1"/>
    <col min="2095" max="2095" width="31.5703125" style="236" customWidth="1"/>
    <col min="2096" max="2096" width="16.140625" style="236" customWidth="1"/>
    <col min="2097" max="2098" width="9.28515625" style="236" customWidth="1"/>
    <col min="2099" max="2099" width="11.140625" style="236" customWidth="1"/>
    <col min="2100" max="2100" width="2.140625" style="236" customWidth="1"/>
    <col min="2101" max="2306" width="11.42578125" style="236"/>
    <col min="2307" max="2307" width="12" style="236" customWidth="1"/>
    <col min="2308" max="2308" width="2.7109375" style="236" customWidth="1"/>
    <col min="2309" max="2310" width="6.5703125" style="236" customWidth="1"/>
    <col min="2311" max="2311" width="5.85546875" style="236" customWidth="1"/>
    <col min="2312" max="2312" width="6.5703125" style="236" customWidth="1"/>
    <col min="2313" max="2313" width="13.7109375" style="236" customWidth="1"/>
    <col min="2314" max="2315" width="9" style="236" customWidth="1"/>
    <col min="2316" max="2316" width="2.5703125" style="236" customWidth="1"/>
    <col min="2317" max="2317" width="8.85546875" style="236" customWidth="1"/>
    <col min="2318" max="2318" width="7.5703125" style="236" customWidth="1"/>
    <col min="2319" max="2321" width="3.7109375" style="236" customWidth="1"/>
    <col min="2322" max="2322" width="3.5703125" style="236" customWidth="1"/>
    <col min="2323" max="2323" width="2.85546875" style="236" customWidth="1"/>
    <col min="2324" max="2324" width="3" style="236" customWidth="1"/>
    <col min="2325" max="2327" width="0" style="236" hidden="1" customWidth="1"/>
    <col min="2328" max="2328" width="4.42578125" style="236" customWidth="1"/>
    <col min="2329" max="2329" width="0" style="236" hidden="1" customWidth="1"/>
    <col min="2330" max="2331" width="14.85546875" style="236" customWidth="1"/>
    <col min="2332" max="2332" width="15.140625" style="236" customWidth="1"/>
    <col min="2333" max="2333" width="6.42578125" style="236" customWidth="1"/>
    <col min="2334" max="2334" width="15.140625" style="236" customWidth="1"/>
    <col min="2335" max="2335" width="4.140625" style="236" customWidth="1"/>
    <col min="2336" max="2336" width="3" style="236" customWidth="1"/>
    <col min="2337" max="2339" width="0" style="236" hidden="1" customWidth="1"/>
    <col min="2340" max="2340" width="3" style="236" customWidth="1"/>
    <col min="2341" max="2341" width="0" style="236" hidden="1" customWidth="1"/>
    <col min="2342" max="2342" width="3" style="236" customWidth="1"/>
    <col min="2343" max="2343" width="0" style="236" hidden="1" customWidth="1"/>
    <col min="2344" max="2344" width="4.42578125" style="236" customWidth="1"/>
    <col min="2345" max="2345" width="34.28515625" style="236" customWidth="1"/>
    <col min="2346" max="2346" width="23.42578125" style="236" customWidth="1"/>
    <col min="2347" max="2347" width="9.140625" style="236" customWidth="1"/>
    <col min="2348" max="2348" width="19.5703125" style="236" customWidth="1"/>
    <col min="2349" max="2349" width="42.7109375" style="236" customWidth="1"/>
    <col min="2350" max="2350" width="5.85546875" style="236" customWidth="1"/>
    <col min="2351" max="2351" width="31.5703125" style="236" customWidth="1"/>
    <col min="2352" max="2352" width="16.140625" style="236" customWidth="1"/>
    <col min="2353" max="2354" width="9.28515625" style="236" customWidth="1"/>
    <col min="2355" max="2355" width="11.140625" style="236" customWidth="1"/>
    <col min="2356" max="2356" width="2.140625" style="236" customWidth="1"/>
    <col min="2357" max="2562" width="11.42578125" style="236"/>
    <col min="2563" max="2563" width="12" style="236" customWidth="1"/>
    <col min="2564" max="2564" width="2.7109375" style="236" customWidth="1"/>
    <col min="2565" max="2566" width="6.5703125" style="236" customWidth="1"/>
    <col min="2567" max="2567" width="5.85546875" style="236" customWidth="1"/>
    <col min="2568" max="2568" width="6.5703125" style="236" customWidth="1"/>
    <col min="2569" max="2569" width="13.7109375" style="236" customWidth="1"/>
    <col min="2570" max="2571" width="9" style="236" customWidth="1"/>
    <col min="2572" max="2572" width="2.5703125" style="236" customWidth="1"/>
    <col min="2573" max="2573" width="8.85546875" style="236" customWidth="1"/>
    <col min="2574" max="2574" width="7.5703125" style="236" customWidth="1"/>
    <col min="2575" max="2577" width="3.7109375" style="236" customWidth="1"/>
    <col min="2578" max="2578" width="3.5703125" style="236" customWidth="1"/>
    <col min="2579" max="2579" width="2.85546875" style="236" customWidth="1"/>
    <col min="2580" max="2580" width="3" style="236" customWidth="1"/>
    <col min="2581" max="2583" width="0" style="236" hidden="1" customWidth="1"/>
    <col min="2584" max="2584" width="4.42578125" style="236" customWidth="1"/>
    <col min="2585" max="2585" width="0" style="236" hidden="1" customWidth="1"/>
    <col min="2586" max="2587" width="14.85546875" style="236" customWidth="1"/>
    <col min="2588" max="2588" width="15.140625" style="236" customWidth="1"/>
    <col min="2589" max="2589" width="6.42578125" style="236" customWidth="1"/>
    <col min="2590" max="2590" width="15.140625" style="236" customWidth="1"/>
    <col min="2591" max="2591" width="4.140625" style="236" customWidth="1"/>
    <col min="2592" max="2592" width="3" style="236" customWidth="1"/>
    <col min="2593" max="2595" width="0" style="236" hidden="1" customWidth="1"/>
    <col min="2596" max="2596" width="3" style="236" customWidth="1"/>
    <col min="2597" max="2597" width="0" style="236" hidden="1" customWidth="1"/>
    <col min="2598" max="2598" width="3" style="236" customWidth="1"/>
    <col min="2599" max="2599" width="0" style="236" hidden="1" customWidth="1"/>
    <col min="2600" max="2600" width="4.42578125" style="236" customWidth="1"/>
    <col min="2601" max="2601" width="34.28515625" style="236" customWidth="1"/>
    <col min="2602" max="2602" width="23.42578125" style="236" customWidth="1"/>
    <col min="2603" max="2603" width="9.140625" style="236" customWidth="1"/>
    <col min="2604" max="2604" width="19.5703125" style="236" customWidth="1"/>
    <col min="2605" max="2605" width="42.7109375" style="236" customWidth="1"/>
    <col min="2606" max="2606" width="5.85546875" style="236" customWidth="1"/>
    <col min="2607" max="2607" width="31.5703125" style="236" customWidth="1"/>
    <col min="2608" max="2608" width="16.140625" style="236" customWidth="1"/>
    <col min="2609" max="2610" width="9.28515625" style="236" customWidth="1"/>
    <col min="2611" max="2611" width="11.140625" style="236" customWidth="1"/>
    <col min="2612" max="2612" width="2.140625" style="236" customWidth="1"/>
    <col min="2613" max="2818" width="11.42578125" style="236"/>
    <col min="2819" max="2819" width="12" style="236" customWidth="1"/>
    <col min="2820" max="2820" width="2.7109375" style="236" customWidth="1"/>
    <col min="2821" max="2822" width="6.5703125" style="236" customWidth="1"/>
    <col min="2823" max="2823" width="5.85546875" style="236" customWidth="1"/>
    <col min="2824" max="2824" width="6.5703125" style="236" customWidth="1"/>
    <col min="2825" max="2825" width="13.7109375" style="236" customWidth="1"/>
    <col min="2826" max="2827" width="9" style="236" customWidth="1"/>
    <col min="2828" max="2828" width="2.5703125" style="236" customWidth="1"/>
    <col min="2829" max="2829" width="8.85546875" style="236" customWidth="1"/>
    <col min="2830" max="2830" width="7.5703125" style="236" customWidth="1"/>
    <col min="2831" max="2833" width="3.7109375" style="236" customWidth="1"/>
    <col min="2834" max="2834" width="3.5703125" style="236" customWidth="1"/>
    <col min="2835" max="2835" width="2.85546875" style="236" customWidth="1"/>
    <col min="2836" max="2836" width="3" style="236" customWidth="1"/>
    <col min="2837" max="2839" width="0" style="236" hidden="1" customWidth="1"/>
    <col min="2840" max="2840" width="4.42578125" style="236" customWidth="1"/>
    <col min="2841" max="2841" width="0" style="236" hidden="1" customWidth="1"/>
    <col min="2842" max="2843" width="14.85546875" style="236" customWidth="1"/>
    <col min="2844" max="2844" width="15.140625" style="236" customWidth="1"/>
    <col min="2845" max="2845" width="6.42578125" style="236" customWidth="1"/>
    <col min="2846" max="2846" width="15.140625" style="236" customWidth="1"/>
    <col min="2847" max="2847" width="4.140625" style="236" customWidth="1"/>
    <col min="2848" max="2848" width="3" style="236" customWidth="1"/>
    <col min="2849" max="2851" width="0" style="236" hidden="1" customWidth="1"/>
    <col min="2852" max="2852" width="3" style="236" customWidth="1"/>
    <col min="2853" max="2853" width="0" style="236" hidden="1" customWidth="1"/>
    <col min="2854" max="2854" width="3" style="236" customWidth="1"/>
    <col min="2855" max="2855" width="0" style="236" hidden="1" customWidth="1"/>
    <col min="2856" max="2856" width="4.42578125" style="236" customWidth="1"/>
    <col min="2857" max="2857" width="34.28515625" style="236" customWidth="1"/>
    <col min="2858" max="2858" width="23.42578125" style="236" customWidth="1"/>
    <col min="2859" max="2859" width="9.140625" style="236" customWidth="1"/>
    <col min="2860" max="2860" width="19.5703125" style="236" customWidth="1"/>
    <col min="2861" max="2861" width="42.7109375" style="236" customWidth="1"/>
    <col min="2862" max="2862" width="5.85546875" style="236" customWidth="1"/>
    <col min="2863" max="2863" width="31.5703125" style="236" customWidth="1"/>
    <col min="2864" max="2864" width="16.140625" style="236" customWidth="1"/>
    <col min="2865" max="2866" width="9.28515625" style="236" customWidth="1"/>
    <col min="2867" max="2867" width="11.140625" style="236" customWidth="1"/>
    <col min="2868" max="2868" width="2.140625" style="236" customWidth="1"/>
    <col min="2869" max="3074" width="11.42578125" style="236"/>
    <col min="3075" max="3075" width="12" style="236" customWidth="1"/>
    <col min="3076" max="3076" width="2.7109375" style="236" customWidth="1"/>
    <col min="3077" max="3078" width="6.5703125" style="236" customWidth="1"/>
    <col min="3079" max="3079" width="5.85546875" style="236" customWidth="1"/>
    <col min="3080" max="3080" width="6.5703125" style="236" customWidth="1"/>
    <col min="3081" max="3081" width="13.7109375" style="236" customWidth="1"/>
    <col min="3082" max="3083" width="9" style="236" customWidth="1"/>
    <col min="3084" max="3084" width="2.5703125" style="236" customWidth="1"/>
    <col min="3085" max="3085" width="8.85546875" style="236" customWidth="1"/>
    <col min="3086" max="3086" width="7.5703125" style="236" customWidth="1"/>
    <col min="3087" max="3089" width="3.7109375" style="236" customWidth="1"/>
    <col min="3090" max="3090" width="3.5703125" style="236" customWidth="1"/>
    <col min="3091" max="3091" width="2.85546875" style="236" customWidth="1"/>
    <col min="3092" max="3092" width="3" style="236" customWidth="1"/>
    <col min="3093" max="3095" width="0" style="236" hidden="1" customWidth="1"/>
    <col min="3096" max="3096" width="4.42578125" style="236" customWidth="1"/>
    <col min="3097" max="3097" width="0" style="236" hidden="1" customWidth="1"/>
    <col min="3098" max="3099" width="14.85546875" style="236" customWidth="1"/>
    <col min="3100" max="3100" width="15.140625" style="236" customWidth="1"/>
    <col min="3101" max="3101" width="6.42578125" style="236" customWidth="1"/>
    <col min="3102" max="3102" width="15.140625" style="236" customWidth="1"/>
    <col min="3103" max="3103" width="4.140625" style="236" customWidth="1"/>
    <col min="3104" max="3104" width="3" style="236" customWidth="1"/>
    <col min="3105" max="3107" width="0" style="236" hidden="1" customWidth="1"/>
    <col min="3108" max="3108" width="3" style="236" customWidth="1"/>
    <col min="3109" max="3109" width="0" style="236" hidden="1" customWidth="1"/>
    <col min="3110" max="3110" width="3" style="236" customWidth="1"/>
    <col min="3111" max="3111" width="0" style="236" hidden="1" customWidth="1"/>
    <col min="3112" max="3112" width="4.42578125" style="236" customWidth="1"/>
    <col min="3113" max="3113" width="34.28515625" style="236" customWidth="1"/>
    <col min="3114" max="3114" width="23.42578125" style="236" customWidth="1"/>
    <col min="3115" max="3115" width="9.140625" style="236" customWidth="1"/>
    <col min="3116" max="3116" width="19.5703125" style="236" customWidth="1"/>
    <col min="3117" max="3117" width="42.7109375" style="236" customWidth="1"/>
    <col min="3118" max="3118" width="5.85546875" style="236" customWidth="1"/>
    <col min="3119" max="3119" width="31.5703125" style="236" customWidth="1"/>
    <col min="3120" max="3120" width="16.140625" style="236" customWidth="1"/>
    <col min="3121" max="3122" width="9.28515625" style="236" customWidth="1"/>
    <col min="3123" max="3123" width="11.140625" style="236" customWidth="1"/>
    <col min="3124" max="3124" width="2.140625" style="236" customWidth="1"/>
    <col min="3125" max="3330" width="11.42578125" style="236"/>
    <col min="3331" max="3331" width="12" style="236" customWidth="1"/>
    <col min="3332" max="3332" width="2.7109375" style="236" customWidth="1"/>
    <col min="3333" max="3334" width="6.5703125" style="236" customWidth="1"/>
    <col min="3335" max="3335" width="5.85546875" style="236" customWidth="1"/>
    <col min="3336" max="3336" width="6.5703125" style="236" customWidth="1"/>
    <col min="3337" max="3337" width="13.7109375" style="236" customWidth="1"/>
    <col min="3338" max="3339" width="9" style="236" customWidth="1"/>
    <col min="3340" max="3340" width="2.5703125" style="236" customWidth="1"/>
    <col min="3341" max="3341" width="8.85546875" style="236" customWidth="1"/>
    <col min="3342" max="3342" width="7.5703125" style="236" customWidth="1"/>
    <col min="3343" max="3345" width="3.7109375" style="236" customWidth="1"/>
    <col min="3346" max="3346" width="3.5703125" style="236" customWidth="1"/>
    <col min="3347" max="3347" width="2.85546875" style="236" customWidth="1"/>
    <col min="3348" max="3348" width="3" style="236" customWidth="1"/>
    <col min="3349" max="3351" width="0" style="236" hidden="1" customWidth="1"/>
    <col min="3352" max="3352" width="4.42578125" style="236" customWidth="1"/>
    <col min="3353" max="3353" width="0" style="236" hidden="1" customWidth="1"/>
    <col min="3354" max="3355" width="14.85546875" style="236" customWidth="1"/>
    <col min="3356" max="3356" width="15.140625" style="236" customWidth="1"/>
    <col min="3357" max="3357" width="6.42578125" style="236" customWidth="1"/>
    <col min="3358" max="3358" width="15.140625" style="236" customWidth="1"/>
    <col min="3359" max="3359" width="4.140625" style="236" customWidth="1"/>
    <col min="3360" max="3360" width="3" style="236" customWidth="1"/>
    <col min="3361" max="3363" width="0" style="236" hidden="1" customWidth="1"/>
    <col min="3364" max="3364" width="3" style="236" customWidth="1"/>
    <col min="3365" max="3365" width="0" style="236" hidden="1" customWidth="1"/>
    <col min="3366" max="3366" width="3" style="236" customWidth="1"/>
    <col min="3367" max="3367" width="0" style="236" hidden="1" customWidth="1"/>
    <col min="3368" max="3368" width="4.42578125" style="236" customWidth="1"/>
    <col min="3369" max="3369" width="34.28515625" style="236" customWidth="1"/>
    <col min="3370" max="3370" width="23.42578125" style="236" customWidth="1"/>
    <col min="3371" max="3371" width="9.140625" style="236" customWidth="1"/>
    <col min="3372" max="3372" width="19.5703125" style="236" customWidth="1"/>
    <col min="3373" max="3373" width="42.7109375" style="236" customWidth="1"/>
    <col min="3374" max="3374" width="5.85546875" style="236" customWidth="1"/>
    <col min="3375" max="3375" width="31.5703125" style="236" customWidth="1"/>
    <col min="3376" max="3376" width="16.140625" style="236" customWidth="1"/>
    <col min="3377" max="3378" width="9.28515625" style="236" customWidth="1"/>
    <col min="3379" max="3379" width="11.140625" style="236" customWidth="1"/>
    <col min="3380" max="3380" width="2.140625" style="236" customWidth="1"/>
    <col min="3381" max="3586" width="11.42578125" style="236"/>
    <col min="3587" max="3587" width="12" style="236" customWidth="1"/>
    <col min="3588" max="3588" width="2.7109375" style="236" customWidth="1"/>
    <col min="3589" max="3590" width="6.5703125" style="236" customWidth="1"/>
    <col min="3591" max="3591" width="5.85546875" style="236" customWidth="1"/>
    <col min="3592" max="3592" width="6.5703125" style="236" customWidth="1"/>
    <col min="3593" max="3593" width="13.7109375" style="236" customWidth="1"/>
    <col min="3594" max="3595" width="9" style="236" customWidth="1"/>
    <col min="3596" max="3596" width="2.5703125" style="236" customWidth="1"/>
    <col min="3597" max="3597" width="8.85546875" style="236" customWidth="1"/>
    <col min="3598" max="3598" width="7.5703125" style="236" customWidth="1"/>
    <col min="3599" max="3601" width="3.7109375" style="236" customWidth="1"/>
    <col min="3602" max="3602" width="3.5703125" style="236" customWidth="1"/>
    <col min="3603" max="3603" width="2.85546875" style="236" customWidth="1"/>
    <col min="3604" max="3604" width="3" style="236" customWidth="1"/>
    <col min="3605" max="3607" width="0" style="236" hidden="1" customWidth="1"/>
    <col min="3608" max="3608" width="4.42578125" style="236" customWidth="1"/>
    <col min="3609" max="3609" width="0" style="236" hidden="1" customWidth="1"/>
    <col min="3610" max="3611" width="14.85546875" style="236" customWidth="1"/>
    <col min="3612" max="3612" width="15.140625" style="236" customWidth="1"/>
    <col min="3613" max="3613" width="6.42578125" style="236" customWidth="1"/>
    <col min="3614" max="3614" width="15.140625" style="236" customWidth="1"/>
    <col min="3615" max="3615" width="4.140625" style="236" customWidth="1"/>
    <col min="3616" max="3616" width="3" style="236" customWidth="1"/>
    <col min="3617" max="3619" width="0" style="236" hidden="1" customWidth="1"/>
    <col min="3620" max="3620" width="3" style="236" customWidth="1"/>
    <col min="3621" max="3621" width="0" style="236" hidden="1" customWidth="1"/>
    <col min="3622" max="3622" width="3" style="236" customWidth="1"/>
    <col min="3623" max="3623" width="0" style="236" hidden="1" customWidth="1"/>
    <col min="3624" max="3624" width="4.42578125" style="236" customWidth="1"/>
    <col min="3625" max="3625" width="34.28515625" style="236" customWidth="1"/>
    <col min="3626" max="3626" width="23.42578125" style="236" customWidth="1"/>
    <col min="3627" max="3627" width="9.140625" style="236" customWidth="1"/>
    <col min="3628" max="3628" width="19.5703125" style="236" customWidth="1"/>
    <col min="3629" max="3629" width="42.7109375" style="236" customWidth="1"/>
    <col min="3630" max="3630" width="5.85546875" style="236" customWidth="1"/>
    <col min="3631" max="3631" width="31.5703125" style="236" customWidth="1"/>
    <col min="3632" max="3632" width="16.140625" style="236" customWidth="1"/>
    <col min="3633" max="3634" width="9.28515625" style="236" customWidth="1"/>
    <col min="3635" max="3635" width="11.140625" style="236" customWidth="1"/>
    <col min="3636" max="3636" width="2.140625" style="236" customWidth="1"/>
    <col min="3637" max="3842" width="11.42578125" style="236"/>
    <col min="3843" max="3843" width="12" style="236" customWidth="1"/>
    <col min="3844" max="3844" width="2.7109375" style="236" customWidth="1"/>
    <col min="3845" max="3846" width="6.5703125" style="236" customWidth="1"/>
    <col min="3847" max="3847" width="5.85546875" style="236" customWidth="1"/>
    <col min="3848" max="3848" width="6.5703125" style="236" customWidth="1"/>
    <col min="3849" max="3849" width="13.7109375" style="236" customWidth="1"/>
    <col min="3850" max="3851" width="9" style="236" customWidth="1"/>
    <col min="3852" max="3852" width="2.5703125" style="236" customWidth="1"/>
    <col min="3853" max="3853" width="8.85546875" style="236" customWidth="1"/>
    <col min="3854" max="3854" width="7.5703125" style="236" customWidth="1"/>
    <col min="3855" max="3857" width="3.7109375" style="236" customWidth="1"/>
    <col min="3858" max="3858" width="3.5703125" style="236" customWidth="1"/>
    <col min="3859" max="3859" width="2.85546875" style="236" customWidth="1"/>
    <col min="3860" max="3860" width="3" style="236" customWidth="1"/>
    <col min="3861" max="3863" width="0" style="236" hidden="1" customWidth="1"/>
    <col min="3864" max="3864" width="4.42578125" style="236" customWidth="1"/>
    <col min="3865" max="3865" width="0" style="236" hidden="1" customWidth="1"/>
    <col min="3866" max="3867" width="14.85546875" style="236" customWidth="1"/>
    <col min="3868" max="3868" width="15.140625" style="236" customWidth="1"/>
    <col min="3869" max="3869" width="6.42578125" style="236" customWidth="1"/>
    <col min="3870" max="3870" width="15.140625" style="236" customWidth="1"/>
    <col min="3871" max="3871" width="4.140625" style="236" customWidth="1"/>
    <col min="3872" max="3872" width="3" style="236" customWidth="1"/>
    <col min="3873" max="3875" width="0" style="236" hidden="1" customWidth="1"/>
    <col min="3876" max="3876" width="3" style="236" customWidth="1"/>
    <col min="3877" max="3877" width="0" style="236" hidden="1" customWidth="1"/>
    <col min="3878" max="3878" width="3" style="236" customWidth="1"/>
    <col min="3879" max="3879" width="0" style="236" hidden="1" customWidth="1"/>
    <col min="3880" max="3880" width="4.42578125" style="236" customWidth="1"/>
    <col min="3881" max="3881" width="34.28515625" style="236" customWidth="1"/>
    <col min="3882" max="3882" width="23.42578125" style="236" customWidth="1"/>
    <col min="3883" max="3883" width="9.140625" style="236" customWidth="1"/>
    <col min="3884" max="3884" width="19.5703125" style="236" customWidth="1"/>
    <col min="3885" max="3885" width="42.7109375" style="236" customWidth="1"/>
    <col min="3886" max="3886" width="5.85546875" style="236" customWidth="1"/>
    <col min="3887" max="3887" width="31.5703125" style="236" customWidth="1"/>
    <col min="3888" max="3888" width="16.140625" style="236" customWidth="1"/>
    <col min="3889" max="3890" width="9.28515625" style="236" customWidth="1"/>
    <col min="3891" max="3891" width="11.140625" style="236" customWidth="1"/>
    <col min="3892" max="3892" width="2.140625" style="236" customWidth="1"/>
    <col min="3893" max="4098" width="11.42578125" style="236"/>
    <col min="4099" max="4099" width="12" style="236" customWidth="1"/>
    <col min="4100" max="4100" width="2.7109375" style="236" customWidth="1"/>
    <col min="4101" max="4102" width="6.5703125" style="236" customWidth="1"/>
    <col min="4103" max="4103" width="5.85546875" style="236" customWidth="1"/>
    <col min="4104" max="4104" width="6.5703125" style="236" customWidth="1"/>
    <col min="4105" max="4105" width="13.7109375" style="236" customWidth="1"/>
    <col min="4106" max="4107" width="9" style="236" customWidth="1"/>
    <col min="4108" max="4108" width="2.5703125" style="236" customWidth="1"/>
    <col min="4109" max="4109" width="8.85546875" style="236" customWidth="1"/>
    <col min="4110" max="4110" width="7.5703125" style="236" customWidth="1"/>
    <col min="4111" max="4113" width="3.7109375" style="236" customWidth="1"/>
    <col min="4114" max="4114" width="3.5703125" style="236" customWidth="1"/>
    <col min="4115" max="4115" width="2.85546875" style="236" customWidth="1"/>
    <col min="4116" max="4116" width="3" style="236" customWidth="1"/>
    <col min="4117" max="4119" width="0" style="236" hidden="1" customWidth="1"/>
    <col min="4120" max="4120" width="4.42578125" style="236" customWidth="1"/>
    <col min="4121" max="4121" width="0" style="236" hidden="1" customWidth="1"/>
    <col min="4122" max="4123" width="14.85546875" style="236" customWidth="1"/>
    <col min="4124" max="4124" width="15.140625" style="236" customWidth="1"/>
    <col min="4125" max="4125" width="6.42578125" style="236" customWidth="1"/>
    <col min="4126" max="4126" width="15.140625" style="236" customWidth="1"/>
    <col min="4127" max="4127" width="4.140625" style="236" customWidth="1"/>
    <col min="4128" max="4128" width="3" style="236" customWidth="1"/>
    <col min="4129" max="4131" width="0" style="236" hidden="1" customWidth="1"/>
    <col min="4132" max="4132" width="3" style="236" customWidth="1"/>
    <col min="4133" max="4133" width="0" style="236" hidden="1" customWidth="1"/>
    <col min="4134" max="4134" width="3" style="236" customWidth="1"/>
    <col min="4135" max="4135" width="0" style="236" hidden="1" customWidth="1"/>
    <col min="4136" max="4136" width="4.42578125" style="236" customWidth="1"/>
    <col min="4137" max="4137" width="34.28515625" style="236" customWidth="1"/>
    <col min="4138" max="4138" width="23.42578125" style="236" customWidth="1"/>
    <col min="4139" max="4139" width="9.140625" style="236" customWidth="1"/>
    <col min="4140" max="4140" width="19.5703125" style="236" customWidth="1"/>
    <col min="4141" max="4141" width="42.7109375" style="236" customWidth="1"/>
    <col min="4142" max="4142" width="5.85546875" style="236" customWidth="1"/>
    <col min="4143" max="4143" width="31.5703125" style="236" customWidth="1"/>
    <col min="4144" max="4144" width="16.140625" style="236" customWidth="1"/>
    <col min="4145" max="4146" width="9.28515625" style="236" customWidth="1"/>
    <col min="4147" max="4147" width="11.140625" style="236" customWidth="1"/>
    <col min="4148" max="4148" width="2.140625" style="236" customWidth="1"/>
    <col min="4149" max="4354" width="11.42578125" style="236"/>
    <col min="4355" max="4355" width="12" style="236" customWidth="1"/>
    <col min="4356" max="4356" width="2.7109375" style="236" customWidth="1"/>
    <col min="4357" max="4358" width="6.5703125" style="236" customWidth="1"/>
    <col min="4359" max="4359" width="5.85546875" style="236" customWidth="1"/>
    <col min="4360" max="4360" width="6.5703125" style="236" customWidth="1"/>
    <col min="4361" max="4361" width="13.7109375" style="236" customWidth="1"/>
    <col min="4362" max="4363" width="9" style="236" customWidth="1"/>
    <col min="4364" max="4364" width="2.5703125" style="236" customWidth="1"/>
    <col min="4365" max="4365" width="8.85546875" style="236" customWidth="1"/>
    <col min="4366" max="4366" width="7.5703125" style="236" customWidth="1"/>
    <col min="4367" max="4369" width="3.7109375" style="236" customWidth="1"/>
    <col min="4370" max="4370" width="3.5703125" style="236" customWidth="1"/>
    <col min="4371" max="4371" width="2.85546875" style="236" customWidth="1"/>
    <col min="4372" max="4372" width="3" style="236" customWidth="1"/>
    <col min="4373" max="4375" width="0" style="236" hidden="1" customWidth="1"/>
    <col min="4376" max="4376" width="4.42578125" style="236" customWidth="1"/>
    <col min="4377" max="4377" width="0" style="236" hidden="1" customWidth="1"/>
    <col min="4378" max="4379" width="14.85546875" style="236" customWidth="1"/>
    <col min="4380" max="4380" width="15.140625" style="236" customWidth="1"/>
    <col min="4381" max="4381" width="6.42578125" style="236" customWidth="1"/>
    <col min="4382" max="4382" width="15.140625" style="236" customWidth="1"/>
    <col min="4383" max="4383" width="4.140625" style="236" customWidth="1"/>
    <col min="4384" max="4384" width="3" style="236" customWidth="1"/>
    <col min="4385" max="4387" width="0" style="236" hidden="1" customWidth="1"/>
    <col min="4388" max="4388" width="3" style="236" customWidth="1"/>
    <col min="4389" max="4389" width="0" style="236" hidden="1" customWidth="1"/>
    <col min="4390" max="4390" width="3" style="236" customWidth="1"/>
    <col min="4391" max="4391" width="0" style="236" hidden="1" customWidth="1"/>
    <col min="4392" max="4392" width="4.42578125" style="236" customWidth="1"/>
    <col min="4393" max="4393" width="34.28515625" style="236" customWidth="1"/>
    <col min="4394" max="4394" width="23.42578125" style="236" customWidth="1"/>
    <col min="4395" max="4395" width="9.140625" style="236" customWidth="1"/>
    <col min="4396" max="4396" width="19.5703125" style="236" customWidth="1"/>
    <col min="4397" max="4397" width="42.7109375" style="236" customWidth="1"/>
    <col min="4398" max="4398" width="5.85546875" style="236" customWidth="1"/>
    <col min="4399" max="4399" width="31.5703125" style="236" customWidth="1"/>
    <col min="4400" max="4400" width="16.140625" style="236" customWidth="1"/>
    <col min="4401" max="4402" width="9.28515625" style="236" customWidth="1"/>
    <col min="4403" max="4403" width="11.140625" style="236" customWidth="1"/>
    <col min="4404" max="4404" width="2.140625" style="236" customWidth="1"/>
    <col min="4405" max="4610" width="11.42578125" style="236"/>
    <col min="4611" max="4611" width="12" style="236" customWidth="1"/>
    <col min="4612" max="4612" width="2.7109375" style="236" customWidth="1"/>
    <col min="4613" max="4614" width="6.5703125" style="236" customWidth="1"/>
    <col min="4615" max="4615" width="5.85546875" style="236" customWidth="1"/>
    <col min="4616" max="4616" width="6.5703125" style="236" customWidth="1"/>
    <col min="4617" max="4617" width="13.7109375" style="236" customWidth="1"/>
    <col min="4618" max="4619" width="9" style="236" customWidth="1"/>
    <col min="4620" max="4620" width="2.5703125" style="236" customWidth="1"/>
    <col min="4621" max="4621" width="8.85546875" style="236" customWidth="1"/>
    <col min="4622" max="4622" width="7.5703125" style="236" customWidth="1"/>
    <col min="4623" max="4625" width="3.7109375" style="236" customWidth="1"/>
    <col min="4626" max="4626" width="3.5703125" style="236" customWidth="1"/>
    <col min="4627" max="4627" width="2.85546875" style="236" customWidth="1"/>
    <col min="4628" max="4628" width="3" style="236" customWidth="1"/>
    <col min="4629" max="4631" width="0" style="236" hidden="1" customWidth="1"/>
    <col min="4632" max="4632" width="4.42578125" style="236" customWidth="1"/>
    <col min="4633" max="4633" width="0" style="236" hidden="1" customWidth="1"/>
    <col min="4634" max="4635" width="14.85546875" style="236" customWidth="1"/>
    <col min="4636" max="4636" width="15.140625" style="236" customWidth="1"/>
    <col min="4637" max="4637" width="6.42578125" style="236" customWidth="1"/>
    <col min="4638" max="4638" width="15.140625" style="236" customWidth="1"/>
    <col min="4639" max="4639" width="4.140625" style="236" customWidth="1"/>
    <col min="4640" max="4640" width="3" style="236" customWidth="1"/>
    <col min="4641" max="4643" width="0" style="236" hidden="1" customWidth="1"/>
    <col min="4644" max="4644" width="3" style="236" customWidth="1"/>
    <col min="4645" max="4645" width="0" style="236" hidden="1" customWidth="1"/>
    <col min="4646" max="4646" width="3" style="236" customWidth="1"/>
    <col min="4647" max="4647" width="0" style="236" hidden="1" customWidth="1"/>
    <col min="4648" max="4648" width="4.42578125" style="236" customWidth="1"/>
    <col min="4649" max="4649" width="34.28515625" style="236" customWidth="1"/>
    <col min="4650" max="4650" width="23.42578125" style="236" customWidth="1"/>
    <col min="4651" max="4651" width="9.140625" style="236" customWidth="1"/>
    <col min="4652" max="4652" width="19.5703125" style="236" customWidth="1"/>
    <col min="4653" max="4653" width="42.7109375" style="236" customWidth="1"/>
    <col min="4654" max="4654" width="5.85546875" style="236" customWidth="1"/>
    <col min="4655" max="4655" width="31.5703125" style="236" customWidth="1"/>
    <col min="4656" max="4656" width="16.140625" style="236" customWidth="1"/>
    <col min="4657" max="4658" width="9.28515625" style="236" customWidth="1"/>
    <col min="4659" max="4659" width="11.140625" style="236" customWidth="1"/>
    <col min="4660" max="4660" width="2.140625" style="236" customWidth="1"/>
    <col min="4661" max="4866" width="11.42578125" style="236"/>
    <col min="4867" max="4867" width="12" style="236" customWidth="1"/>
    <col min="4868" max="4868" width="2.7109375" style="236" customWidth="1"/>
    <col min="4869" max="4870" width="6.5703125" style="236" customWidth="1"/>
    <col min="4871" max="4871" width="5.85546875" style="236" customWidth="1"/>
    <col min="4872" max="4872" width="6.5703125" style="236" customWidth="1"/>
    <col min="4873" max="4873" width="13.7109375" style="236" customWidth="1"/>
    <col min="4874" max="4875" width="9" style="236" customWidth="1"/>
    <col min="4876" max="4876" width="2.5703125" style="236" customWidth="1"/>
    <col min="4877" max="4877" width="8.85546875" style="236" customWidth="1"/>
    <col min="4878" max="4878" width="7.5703125" style="236" customWidth="1"/>
    <col min="4879" max="4881" width="3.7109375" style="236" customWidth="1"/>
    <col min="4882" max="4882" width="3.5703125" style="236" customWidth="1"/>
    <col min="4883" max="4883" width="2.85546875" style="236" customWidth="1"/>
    <col min="4884" max="4884" width="3" style="236" customWidth="1"/>
    <col min="4885" max="4887" width="0" style="236" hidden="1" customWidth="1"/>
    <col min="4888" max="4888" width="4.42578125" style="236" customWidth="1"/>
    <col min="4889" max="4889" width="0" style="236" hidden="1" customWidth="1"/>
    <col min="4890" max="4891" width="14.85546875" style="236" customWidth="1"/>
    <col min="4892" max="4892" width="15.140625" style="236" customWidth="1"/>
    <col min="4893" max="4893" width="6.42578125" style="236" customWidth="1"/>
    <col min="4894" max="4894" width="15.140625" style="236" customWidth="1"/>
    <col min="4895" max="4895" width="4.140625" style="236" customWidth="1"/>
    <col min="4896" max="4896" width="3" style="236" customWidth="1"/>
    <col min="4897" max="4899" width="0" style="236" hidden="1" customWidth="1"/>
    <col min="4900" max="4900" width="3" style="236" customWidth="1"/>
    <col min="4901" max="4901" width="0" style="236" hidden="1" customWidth="1"/>
    <col min="4902" max="4902" width="3" style="236" customWidth="1"/>
    <col min="4903" max="4903" width="0" style="236" hidden="1" customWidth="1"/>
    <col min="4904" max="4904" width="4.42578125" style="236" customWidth="1"/>
    <col min="4905" max="4905" width="34.28515625" style="236" customWidth="1"/>
    <col min="4906" max="4906" width="23.42578125" style="236" customWidth="1"/>
    <col min="4907" max="4907" width="9.140625" style="236" customWidth="1"/>
    <col min="4908" max="4908" width="19.5703125" style="236" customWidth="1"/>
    <col min="4909" max="4909" width="42.7109375" style="236" customWidth="1"/>
    <col min="4910" max="4910" width="5.85546875" style="236" customWidth="1"/>
    <col min="4911" max="4911" width="31.5703125" style="236" customWidth="1"/>
    <col min="4912" max="4912" width="16.140625" style="236" customWidth="1"/>
    <col min="4913" max="4914" width="9.28515625" style="236" customWidth="1"/>
    <col min="4915" max="4915" width="11.140625" style="236" customWidth="1"/>
    <col min="4916" max="4916" width="2.140625" style="236" customWidth="1"/>
    <col min="4917" max="5122" width="11.42578125" style="236"/>
    <col min="5123" max="5123" width="12" style="236" customWidth="1"/>
    <col min="5124" max="5124" width="2.7109375" style="236" customWidth="1"/>
    <col min="5125" max="5126" width="6.5703125" style="236" customWidth="1"/>
    <col min="5127" max="5127" width="5.85546875" style="236" customWidth="1"/>
    <col min="5128" max="5128" width="6.5703125" style="236" customWidth="1"/>
    <col min="5129" max="5129" width="13.7109375" style="236" customWidth="1"/>
    <col min="5130" max="5131" width="9" style="236" customWidth="1"/>
    <col min="5132" max="5132" width="2.5703125" style="236" customWidth="1"/>
    <col min="5133" max="5133" width="8.85546875" style="236" customWidth="1"/>
    <col min="5134" max="5134" width="7.5703125" style="236" customWidth="1"/>
    <col min="5135" max="5137" width="3.7109375" style="236" customWidth="1"/>
    <col min="5138" max="5138" width="3.5703125" style="236" customWidth="1"/>
    <col min="5139" max="5139" width="2.85546875" style="236" customWidth="1"/>
    <col min="5140" max="5140" width="3" style="236" customWidth="1"/>
    <col min="5141" max="5143" width="0" style="236" hidden="1" customWidth="1"/>
    <col min="5144" max="5144" width="4.42578125" style="236" customWidth="1"/>
    <col min="5145" max="5145" width="0" style="236" hidden="1" customWidth="1"/>
    <col min="5146" max="5147" width="14.85546875" style="236" customWidth="1"/>
    <col min="5148" max="5148" width="15.140625" style="236" customWidth="1"/>
    <col min="5149" max="5149" width="6.42578125" style="236" customWidth="1"/>
    <col min="5150" max="5150" width="15.140625" style="236" customWidth="1"/>
    <col min="5151" max="5151" width="4.140625" style="236" customWidth="1"/>
    <col min="5152" max="5152" width="3" style="236" customWidth="1"/>
    <col min="5153" max="5155" width="0" style="236" hidden="1" customWidth="1"/>
    <col min="5156" max="5156" width="3" style="236" customWidth="1"/>
    <col min="5157" max="5157" width="0" style="236" hidden="1" customWidth="1"/>
    <col min="5158" max="5158" width="3" style="236" customWidth="1"/>
    <col min="5159" max="5159" width="0" style="236" hidden="1" customWidth="1"/>
    <col min="5160" max="5160" width="4.42578125" style="236" customWidth="1"/>
    <col min="5161" max="5161" width="34.28515625" style="236" customWidth="1"/>
    <col min="5162" max="5162" width="23.42578125" style="236" customWidth="1"/>
    <col min="5163" max="5163" width="9.140625" style="236" customWidth="1"/>
    <col min="5164" max="5164" width="19.5703125" style="236" customWidth="1"/>
    <col min="5165" max="5165" width="42.7109375" style="236" customWidth="1"/>
    <col min="5166" max="5166" width="5.85546875" style="236" customWidth="1"/>
    <col min="5167" max="5167" width="31.5703125" style="236" customWidth="1"/>
    <col min="5168" max="5168" width="16.140625" style="236" customWidth="1"/>
    <col min="5169" max="5170" width="9.28515625" style="236" customWidth="1"/>
    <col min="5171" max="5171" width="11.140625" style="236" customWidth="1"/>
    <col min="5172" max="5172" width="2.140625" style="236" customWidth="1"/>
    <col min="5173" max="5378" width="11.42578125" style="236"/>
    <col min="5379" max="5379" width="12" style="236" customWidth="1"/>
    <col min="5380" max="5380" width="2.7109375" style="236" customWidth="1"/>
    <col min="5381" max="5382" width="6.5703125" style="236" customWidth="1"/>
    <col min="5383" max="5383" width="5.85546875" style="236" customWidth="1"/>
    <col min="5384" max="5384" width="6.5703125" style="236" customWidth="1"/>
    <col min="5385" max="5385" width="13.7109375" style="236" customWidth="1"/>
    <col min="5386" max="5387" width="9" style="236" customWidth="1"/>
    <col min="5388" max="5388" width="2.5703125" style="236" customWidth="1"/>
    <col min="5389" max="5389" width="8.85546875" style="236" customWidth="1"/>
    <col min="5390" max="5390" width="7.5703125" style="236" customWidth="1"/>
    <col min="5391" max="5393" width="3.7109375" style="236" customWidth="1"/>
    <col min="5394" max="5394" width="3.5703125" style="236" customWidth="1"/>
    <col min="5395" max="5395" width="2.85546875" style="236" customWidth="1"/>
    <col min="5396" max="5396" width="3" style="236" customWidth="1"/>
    <col min="5397" max="5399" width="0" style="236" hidden="1" customWidth="1"/>
    <col min="5400" max="5400" width="4.42578125" style="236" customWidth="1"/>
    <col min="5401" max="5401" width="0" style="236" hidden="1" customWidth="1"/>
    <col min="5402" max="5403" width="14.85546875" style="236" customWidth="1"/>
    <col min="5404" max="5404" width="15.140625" style="236" customWidth="1"/>
    <col min="5405" max="5405" width="6.42578125" style="236" customWidth="1"/>
    <col min="5406" max="5406" width="15.140625" style="236" customWidth="1"/>
    <col min="5407" max="5407" width="4.140625" style="236" customWidth="1"/>
    <col min="5408" max="5408" width="3" style="236" customWidth="1"/>
    <col min="5409" max="5411" width="0" style="236" hidden="1" customWidth="1"/>
    <col min="5412" max="5412" width="3" style="236" customWidth="1"/>
    <col min="5413" max="5413" width="0" style="236" hidden="1" customWidth="1"/>
    <col min="5414" max="5414" width="3" style="236" customWidth="1"/>
    <col min="5415" max="5415" width="0" style="236" hidden="1" customWidth="1"/>
    <col min="5416" max="5416" width="4.42578125" style="236" customWidth="1"/>
    <col min="5417" max="5417" width="34.28515625" style="236" customWidth="1"/>
    <col min="5418" max="5418" width="23.42578125" style="236" customWidth="1"/>
    <col min="5419" max="5419" width="9.140625" style="236" customWidth="1"/>
    <col min="5420" max="5420" width="19.5703125" style="236" customWidth="1"/>
    <col min="5421" max="5421" width="42.7109375" style="236" customWidth="1"/>
    <col min="5422" max="5422" width="5.85546875" style="236" customWidth="1"/>
    <col min="5423" max="5423" width="31.5703125" style="236" customWidth="1"/>
    <col min="5424" max="5424" width="16.140625" style="236" customWidth="1"/>
    <col min="5425" max="5426" width="9.28515625" style="236" customWidth="1"/>
    <col min="5427" max="5427" width="11.140625" style="236" customWidth="1"/>
    <col min="5428" max="5428" width="2.140625" style="236" customWidth="1"/>
    <col min="5429" max="5634" width="11.42578125" style="236"/>
    <col min="5635" max="5635" width="12" style="236" customWidth="1"/>
    <col min="5636" max="5636" width="2.7109375" style="236" customWidth="1"/>
    <col min="5637" max="5638" width="6.5703125" style="236" customWidth="1"/>
    <col min="5639" max="5639" width="5.85546875" style="236" customWidth="1"/>
    <col min="5640" max="5640" width="6.5703125" style="236" customWidth="1"/>
    <col min="5641" max="5641" width="13.7109375" style="236" customWidth="1"/>
    <col min="5642" max="5643" width="9" style="236" customWidth="1"/>
    <col min="5644" max="5644" width="2.5703125" style="236" customWidth="1"/>
    <col min="5645" max="5645" width="8.85546875" style="236" customWidth="1"/>
    <col min="5646" max="5646" width="7.5703125" style="236" customWidth="1"/>
    <col min="5647" max="5649" width="3.7109375" style="236" customWidth="1"/>
    <col min="5650" max="5650" width="3.5703125" style="236" customWidth="1"/>
    <col min="5651" max="5651" width="2.85546875" style="236" customWidth="1"/>
    <col min="5652" max="5652" width="3" style="236" customWidth="1"/>
    <col min="5653" max="5655" width="0" style="236" hidden="1" customWidth="1"/>
    <col min="5656" max="5656" width="4.42578125" style="236" customWidth="1"/>
    <col min="5657" max="5657" width="0" style="236" hidden="1" customWidth="1"/>
    <col min="5658" max="5659" width="14.85546875" style="236" customWidth="1"/>
    <col min="5660" max="5660" width="15.140625" style="236" customWidth="1"/>
    <col min="5661" max="5661" width="6.42578125" style="236" customWidth="1"/>
    <col min="5662" max="5662" width="15.140625" style="236" customWidth="1"/>
    <col min="5663" max="5663" width="4.140625" style="236" customWidth="1"/>
    <col min="5664" max="5664" width="3" style="236" customWidth="1"/>
    <col min="5665" max="5667" width="0" style="236" hidden="1" customWidth="1"/>
    <col min="5668" max="5668" width="3" style="236" customWidth="1"/>
    <col min="5669" max="5669" width="0" style="236" hidden="1" customWidth="1"/>
    <col min="5670" max="5670" width="3" style="236" customWidth="1"/>
    <col min="5671" max="5671" width="0" style="236" hidden="1" customWidth="1"/>
    <col min="5672" max="5672" width="4.42578125" style="236" customWidth="1"/>
    <col min="5673" max="5673" width="34.28515625" style="236" customWidth="1"/>
    <col min="5674" max="5674" width="23.42578125" style="236" customWidth="1"/>
    <col min="5675" max="5675" width="9.140625" style="236" customWidth="1"/>
    <col min="5676" max="5676" width="19.5703125" style="236" customWidth="1"/>
    <col min="5677" max="5677" width="42.7109375" style="236" customWidth="1"/>
    <col min="5678" max="5678" width="5.85546875" style="236" customWidth="1"/>
    <col min="5679" max="5679" width="31.5703125" style="236" customWidth="1"/>
    <col min="5680" max="5680" width="16.140625" style="236" customWidth="1"/>
    <col min="5681" max="5682" width="9.28515625" style="236" customWidth="1"/>
    <col min="5683" max="5683" width="11.140625" style="236" customWidth="1"/>
    <col min="5684" max="5684" width="2.140625" style="236" customWidth="1"/>
    <col min="5685" max="5890" width="11.42578125" style="236"/>
    <col min="5891" max="5891" width="12" style="236" customWidth="1"/>
    <col min="5892" max="5892" width="2.7109375" style="236" customWidth="1"/>
    <col min="5893" max="5894" width="6.5703125" style="236" customWidth="1"/>
    <col min="5895" max="5895" width="5.85546875" style="236" customWidth="1"/>
    <col min="5896" max="5896" width="6.5703125" style="236" customWidth="1"/>
    <col min="5897" max="5897" width="13.7109375" style="236" customWidth="1"/>
    <col min="5898" max="5899" width="9" style="236" customWidth="1"/>
    <col min="5900" max="5900" width="2.5703125" style="236" customWidth="1"/>
    <col min="5901" max="5901" width="8.85546875" style="236" customWidth="1"/>
    <col min="5902" max="5902" width="7.5703125" style="236" customWidth="1"/>
    <col min="5903" max="5905" width="3.7109375" style="236" customWidth="1"/>
    <col min="5906" max="5906" width="3.5703125" style="236" customWidth="1"/>
    <col min="5907" max="5907" width="2.85546875" style="236" customWidth="1"/>
    <col min="5908" max="5908" width="3" style="236" customWidth="1"/>
    <col min="5909" max="5911" width="0" style="236" hidden="1" customWidth="1"/>
    <col min="5912" max="5912" width="4.42578125" style="236" customWidth="1"/>
    <col min="5913" max="5913" width="0" style="236" hidden="1" customWidth="1"/>
    <col min="5914" max="5915" width="14.85546875" style="236" customWidth="1"/>
    <col min="5916" max="5916" width="15.140625" style="236" customWidth="1"/>
    <col min="5917" max="5917" width="6.42578125" style="236" customWidth="1"/>
    <col min="5918" max="5918" width="15.140625" style="236" customWidth="1"/>
    <col min="5919" max="5919" width="4.140625" style="236" customWidth="1"/>
    <col min="5920" max="5920" width="3" style="236" customWidth="1"/>
    <col min="5921" max="5923" width="0" style="236" hidden="1" customWidth="1"/>
    <col min="5924" max="5924" width="3" style="236" customWidth="1"/>
    <col min="5925" max="5925" width="0" style="236" hidden="1" customWidth="1"/>
    <col min="5926" max="5926" width="3" style="236" customWidth="1"/>
    <col min="5927" max="5927" width="0" style="236" hidden="1" customWidth="1"/>
    <col min="5928" max="5928" width="4.42578125" style="236" customWidth="1"/>
    <col min="5929" max="5929" width="34.28515625" style="236" customWidth="1"/>
    <col min="5930" max="5930" width="23.42578125" style="236" customWidth="1"/>
    <col min="5931" max="5931" width="9.140625" style="236" customWidth="1"/>
    <col min="5932" max="5932" width="19.5703125" style="236" customWidth="1"/>
    <col min="5933" max="5933" width="42.7109375" style="236" customWidth="1"/>
    <col min="5934" max="5934" width="5.85546875" style="236" customWidth="1"/>
    <col min="5935" max="5935" width="31.5703125" style="236" customWidth="1"/>
    <col min="5936" max="5936" width="16.140625" style="236" customWidth="1"/>
    <col min="5937" max="5938" width="9.28515625" style="236" customWidth="1"/>
    <col min="5939" max="5939" width="11.140625" style="236" customWidth="1"/>
    <col min="5940" max="5940" width="2.140625" style="236" customWidth="1"/>
    <col min="5941" max="6146" width="11.42578125" style="236"/>
    <col min="6147" max="6147" width="12" style="236" customWidth="1"/>
    <col min="6148" max="6148" width="2.7109375" style="236" customWidth="1"/>
    <col min="6149" max="6150" width="6.5703125" style="236" customWidth="1"/>
    <col min="6151" max="6151" width="5.85546875" style="236" customWidth="1"/>
    <col min="6152" max="6152" width="6.5703125" style="236" customWidth="1"/>
    <col min="6153" max="6153" width="13.7109375" style="236" customWidth="1"/>
    <col min="6154" max="6155" width="9" style="236" customWidth="1"/>
    <col min="6156" max="6156" width="2.5703125" style="236" customWidth="1"/>
    <col min="6157" max="6157" width="8.85546875" style="236" customWidth="1"/>
    <col min="6158" max="6158" width="7.5703125" style="236" customWidth="1"/>
    <col min="6159" max="6161" width="3.7109375" style="236" customWidth="1"/>
    <col min="6162" max="6162" width="3.5703125" style="236" customWidth="1"/>
    <col min="6163" max="6163" width="2.85546875" style="236" customWidth="1"/>
    <col min="6164" max="6164" width="3" style="236" customWidth="1"/>
    <col min="6165" max="6167" width="0" style="236" hidden="1" customWidth="1"/>
    <col min="6168" max="6168" width="4.42578125" style="236" customWidth="1"/>
    <col min="6169" max="6169" width="0" style="236" hidden="1" customWidth="1"/>
    <col min="6170" max="6171" width="14.85546875" style="236" customWidth="1"/>
    <col min="6172" max="6172" width="15.140625" style="236" customWidth="1"/>
    <col min="6173" max="6173" width="6.42578125" style="236" customWidth="1"/>
    <col min="6174" max="6174" width="15.140625" style="236" customWidth="1"/>
    <col min="6175" max="6175" width="4.140625" style="236" customWidth="1"/>
    <col min="6176" max="6176" width="3" style="236" customWidth="1"/>
    <col min="6177" max="6179" width="0" style="236" hidden="1" customWidth="1"/>
    <col min="6180" max="6180" width="3" style="236" customWidth="1"/>
    <col min="6181" max="6181" width="0" style="236" hidden="1" customWidth="1"/>
    <col min="6182" max="6182" width="3" style="236" customWidth="1"/>
    <col min="6183" max="6183" width="0" style="236" hidden="1" customWidth="1"/>
    <col min="6184" max="6184" width="4.42578125" style="236" customWidth="1"/>
    <col min="6185" max="6185" width="34.28515625" style="236" customWidth="1"/>
    <col min="6186" max="6186" width="23.42578125" style="236" customWidth="1"/>
    <col min="6187" max="6187" width="9.140625" style="236" customWidth="1"/>
    <col min="6188" max="6188" width="19.5703125" style="236" customWidth="1"/>
    <col min="6189" max="6189" width="42.7109375" style="236" customWidth="1"/>
    <col min="6190" max="6190" width="5.85546875" style="236" customWidth="1"/>
    <col min="6191" max="6191" width="31.5703125" style="236" customWidth="1"/>
    <col min="6192" max="6192" width="16.140625" style="236" customWidth="1"/>
    <col min="6193" max="6194" width="9.28515625" style="236" customWidth="1"/>
    <col min="6195" max="6195" width="11.140625" style="236" customWidth="1"/>
    <col min="6196" max="6196" width="2.140625" style="236" customWidth="1"/>
    <col min="6197" max="6402" width="11.42578125" style="236"/>
    <col min="6403" max="6403" width="12" style="236" customWidth="1"/>
    <col min="6404" max="6404" width="2.7109375" style="236" customWidth="1"/>
    <col min="6405" max="6406" width="6.5703125" style="236" customWidth="1"/>
    <col min="6407" max="6407" width="5.85546875" style="236" customWidth="1"/>
    <col min="6408" max="6408" width="6.5703125" style="236" customWidth="1"/>
    <col min="6409" max="6409" width="13.7109375" style="236" customWidth="1"/>
    <col min="6410" max="6411" width="9" style="236" customWidth="1"/>
    <col min="6412" max="6412" width="2.5703125" style="236" customWidth="1"/>
    <col min="6413" max="6413" width="8.85546875" style="236" customWidth="1"/>
    <col min="6414" max="6414" width="7.5703125" style="236" customWidth="1"/>
    <col min="6415" max="6417" width="3.7109375" style="236" customWidth="1"/>
    <col min="6418" max="6418" width="3.5703125" style="236" customWidth="1"/>
    <col min="6419" max="6419" width="2.85546875" style="236" customWidth="1"/>
    <col min="6420" max="6420" width="3" style="236" customWidth="1"/>
    <col min="6421" max="6423" width="0" style="236" hidden="1" customWidth="1"/>
    <col min="6424" max="6424" width="4.42578125" style="236" customWidth="1"/>
    <col min="6425" max="6425" width="0" style="236" hidden="1" customWidth="1"/>
    <col min="6426" max="6427" width="14.85546875" style="236" customWidth="1"/>
    <col min="6428" max="6428" width="15.140625" style="236" customWidth="1"/>
    <col min="6429" max="6429" width="6.42578125" style="236" customWidth="1"/>
    <col min="6430" max="6430" width="15.140625" style="236" customWidth="1"/>
    <col min="6431" max="6431" width="4.140625" style="236" customWidth="1"/>
    <col min="6432" max="6432" width="3" style="236" customWidth="1"/>
    <col min="6433" max="6435" width="0" style="236" hidden="1" customWidth="1"/>
    <col min="6436" max="6436" width="3" style="236" customWidth="1"/>
    <col min="6437" max="6437" width="0" style="236" hidden="1" customWidth="1"/>
    <col min="6438" max="6438" width="3" style="236" customWidth="1"/>
    <col min="6439" max="6439" width="0" style="236" hidden="1" customWidth="1"/>
    <col min="6440" max="6440" width="4.42578125" style="236" customWidth="1"/>
    <col min="6441" max="6441" width="34.28515625" style="236" customWidth="1"/>
    <col min="6442" max="6442" width="23.42578125" style="236" customWidth="1"/>
    <col min="6443" max="6443" width="9.140625" style="236" customWidth="1"/>
    <col min="6444" max="6444" width="19.5703125" style="236" customWidth="1"/>
    <col min="6445" max="6445" width="42.7109375" style="236" customWidth="1"/>
    <col min="6446" max="6446" width="5.85546875" style="236" customWidth="1"/>
    <col min="6447" max="6447" width="31.5703125" style="236" customWidth="1"/>
    <col min="6448" max="6448" width="16.140625" style="236" customWidth="1"/>
    <col min="6449" max="6450" width="9.28515625" style="236" customWidth="1"/>
    <col min="6451" max="6451" width="11.140625" style="236" customWidth="1"/>
    <col min="6452" max="6452" width="2.140625" style="236" customWidth="1"/>
    <col min="6453" max="6658" width="11.42578125" style="236"/>
    <col min="6659" max="6659" width="12" style="236" customWidth="1"/>
    <col min="6660" max="6660" width="2.7109375" style="236" customWidth="1"/>
    <col min="6661" max="6662" width="6.5703125" style="236" customWidth="1"/>
    <col min="6663" max="6663" width="5.85546875" style="236" customWidth="1"/>
    <col min="6664" max="6664" width="6.5703125" style="236" customWidth="1"/>
    <col min="6665" max="6665" width="13.7109375" style="236" customWidth="1"/>
    <col min="6666" max="6667" width="9" style="236" customWidth="1"/>
    <col min="6668" max="6668" width="2.5703125" style="236" customWidth="1"/>
    <col min="6669" max="6669" width="8.85546875" style="236" customWidth="1"/>
    <col min="6670" max="6670" width="7.5703125" style="236" customWidth="1"/>
    <col min="6671" max="6673" width="3.7109375" style="236" customWidth="1"/>
    <col min="6674" max="6674" width="3.5703125" style="236" customWidth="1"/>
    <col min="6675" max="6675" width="2.85546875" style="236" customWidth="1"/>
    <col min="6676" max="6676" width="3" style="236" customWidth="1"/>
    <col min="6677" max="6679" width="0" style="236" hidden="1" customWidth="1"/>
    <col min="6680" max="6680" width="4.42578125" style="236" customWidth="1"/>
    <col min="6681" max="6681" width="0" style="236" hidden="1" customWidth="1"/>
    <col min="6682" max="6683" width="14.85546875" style="236" customWidth="1"/>
    <col min="6684" max="6684" width="15.140625" style="236" customWidth="1"/>
    <col min="6685" max="6685" width="6.42578125" style="236" customWidth="1"/>
    <col min="6686" max="6686" width="15.140625" style="236" customWidth="1"/>
    <col min="6687" max="6687" width="4.140625" style="236" customWidth="1"/>
    <col min="6688" max="6688" width="3" style="236" customWidth="1"/>
    <col min="6689" max="6691" width="0" style="236" hidden="1" customWidth="1"/>
    <col min="6692" max="6692" width="3" style="236" customWidth="1"/>
    <col min="6693" max="6693" width="0" style="236" hidden="1" customWidth="1"/>
    <col min="6694" max="6694" width="3" style="236" customWidth="1"/>
    <col min="6695" max="6695" width="0" style="236" hidden="1" customWidth="1"/>
    <col min="6696" max="6696" width="4.42578125" style="236" customWidth="1"/>
    <col min="6697" max="6697" width="34.28515625" style="236" customWidth="1"/>
    <col min="6698" max="6698" width="23.42578125" style="236" customWidth="1"/>
    <col min="6699" max="6699" width="9.140625" style="236" customWidth="1"/>
    <col min="6700" max="6700" width="19.5703125" style="236" customWidth="1"/>
    <col min="6701" max="6701" width="42.7109375" style="236" customWidth="1"/>
    <col min="6702" max="6702" width="5.85546875" style="236" customWidth="1"/>
    <col min="6703" max="6703" width="31.5703125" style="236" customWidth="1"/>
    <col min="6704" max="6704" width="16.140625" style="236" customWidth="1"/>
    <col min="6705" max="6706" width="9.28515625" style="236" customWidth="1"/>
    <col min="6707" max="6707" width="11.140625" style="236" customWidth="1"/>
    <col min="6708" max="6708" width="2.140625" style="236" customWidth="1"/>
    <col min="6709" max="6914" width="11.42578125" style="236"/>
    <col min="6915" max="6915" width="12" style="236" customWidth="1"/>
    <col min="6916" max="6916" width="2.7109375" style="236" customWidth="1"/>
    <col min="6917" max="6918" width="6.5703125" style="236" customWidth="1"/>
    <col min="6919" max="6919" width="5.85546875" style="236" customWidth="1"/>
    <col min="6920" max="6920" width="6.5703125" style="236" customWidth="1"/>
    <col min="6921" max="6921" width="13.7109375" style="236" customWidth="1"/>
    <col min="6922" max="6923" width="9" style="236" customWidth="1"/>
    <col min="6924" max="6924" width="2.5703125" style="236" customWidth="1"/>
    <col min="6925" max="6925" width="8.85546875" style="236" customWidth="1"/>
    <col min="6926" max="6926" width="7.5703125" style="236" customWidth="1"/>
    <col min="6927" max="6929" width="3.7109375" style="236" customWidth="1"/>
    <col min="6930" max="6930" width="3.5703125" style="236" customWidth="1"/>
    <col min="6931" max="6931" width="2.85546875" style="236" customWidth="1"/>
    <col min="6932" max="6932" width="3" style="236" customWidth="1"/>
    <col min="6933" max="6935" width="0" style="236" hidden="1" customWidth="1"/>
    <col min="6936" max="6936" width="4.42578125" style="236" customWidth="1"/>
    <col min="6937" max="6937" width="0" style="236" hidden="1" customWidth="1"/>
    <col min="6938" max="6939" width="14.85546875" style="236" customWidth="1"/>
    <col min="6940" max="6940" width="15.140625" style="236" customWidth="1"/>
    <col min="6941" max="6941" width="6.42578125" style="236" customWidth="1"/>
    <col min="6942" max="6942" width="15.140625" style="236" customWidth="1"/>
    <col min="6943" max="6943" width="4.140625" style="236" customWidth="1"/>
    <col min="6944" max="6944" width="3" style="236" customWidth="1"/>
    <col min="6945" max="6947" width="0" style="236" hidden="1" customWidth="1"/>
    <col min="6948" max="6948" width="3" style="236" customWidth="1"/>
    <col min="6949" max="6949" width="0" style="236" hidden="1" customWidth="1"/>
    <col min="6950" max="6950" width="3" style="236" customWidth="1"/>
    <col min="6951" max="6951" width="0" style="236" hidden="1" customWidth="1"/>
    <col min="6952" max="6952" width="4.42578125" style="236" customWidth="1"/>
    <col min="6953" max="6953" width="34.28515625" style="236" customWidth="1"/>
    <col min="6954" max="6954" width="23.42578125" style="236" customWidth="1"/>
    <col min="6955" max="6955" width="9.140625" style="236" customWidth="1"/>
    <col min="6956" max="6956" width="19.5703125" style="236" customWidth="1"/>
    <col min="6957" max="6957" width="42.7109375" style="236" customWidth="1"/>
    <col min="6958" max="6958" width="5.85546875" style="236" customWidth="1"/>
    <col min="6959" max="6959" width="31.5703125" style="236" customWidth="1"/>
    <col min="6960" max="6960" width="16.140625" style="236" customWidth="1"/>
    <col min="6961" max="6962" width="9.28515625" style="236" customWidth="1"/>
    <col min="6963" max="6963" width="11.140625" style="236" customWidth="1"/>
    <col min="6964" max="6964" width="2.140625" style="236" customWidth="1"/>
    <col min="6965" max="7170" width="11.42578125" style="236"/>
    <col min="7171" max="7171" width="12" style="236" customWidth="1"/>
    <col min="7172" max="7172" width="2.7109375" style="236" customWidth="1"/>
    <col min="7173" max="7174" width="6.5703125" style="236" customWidth="1"/>
    <col min="7175" max="7175" width="5.85546875" style="236" customWidth="1"/>
    <col min="7176" max="7176" width="6.5703125" style="236" customWidth="1"/>
    <col min="7177" max="7177" width="13.7109375" style="236" customWidth="1"/>
    <col min="7178" max="7179" width="9" style="236" customWidth="1"/>
    <col min="7180" max="7180" width="2.5703125" style="236" customWidth="1"/>
    <col min="7181" max="7181" width="8.85546875" style="236" customWidth="1"/>
    <col min="7182" max="7182" width="7.5703125" style="236" customWidth="1"/>
    <col min="7183" max="7185" width="3.7109375" style="236" customWidth="1"/>
    <col min="7186" max="7186" width="3.5703125" style="236" customWidth="1"/>
    <col min="7187" max="7187" width="2.85546875" style="236" customWidth="1"/>
    <col min="7188" max="7188" width="3" style="236" customWidth="1"/>
    <col min="7189" max="7191" width="0" style="236" hidden="1" customWidth="1"/>
    <col min="7192" max="7192" width="4.42578125" style="236" customWidth="1"/>
    <col min="7193" max="7193" width="0" style="236" hidden="1" customWidth="1"/>
    <col min="7194" max="7195" width="14.85546875" style="236" customWidth="1"/>
    <col min="7196" max="7196" width="15.140625" style="236" customWidth="1"/>
    <col min="7197" max="7197" width="6.42578125" style="236" customWidth="1"/>
    <col min="7198" max="7198" width="15.140625" style="236" customWidth="1"/>
    <col min="7199" max="7199" width="4.140625" style="236" customWidth="1"/>
    <col min="7200" max="7200" width="3" style="236" customWidth="1"/>
    <col min="7201" max="7203" width="0" style="236" hidden="1" customWidth="1"/>
    <col min="7204" max="7204" width="3" style="236" customWidth="1"/>
    <col min="7205" max="7205" width="0" style="236" hidden="1" customWidth="1"/>
    <col min="7206" max="7206" width="3" style="236" customWidth="1"/>
    <col min="7207" max="7207" width="0" style="236" hidden="1" customWidth="1"/>
    <col min="7208" max="7208" width="4.42578125" style="236" customWidth="1"/>
    <col min="7209" max="7209" width="34.28515625" style="236" customWidth="1"/>
    <col min="7210" max="7210" width="23.42578125" style="236" customWidth="1"/>
    <col min="7211" max="7211" width="9.140625" style="236" customWidth="1"/>
    <col min="7212" max="7212" width="19.5703125" style="236" customWidth="1"/>
    <col min="7213" max="7213" width="42.7109375" style="236" customWidth="1"/>
    <col min="7214" max="7214" width="5.85546875" style="236" customWidth="1"/>
    <col min="7215" max="7215" width="31.5703125" style="236" customWidth="1"/>
    <col min="7216" max="7216" width="16.140625" style="236" customWidth="1"/>
    <col min="7217" max="7218" width="9.28515625" style="236" customWidth="1"/>
    <col min="7219" max="7219" width="11.140625" style="236" customWidth="1"/>
    <col min="7220" max="7220" width="2.140625" style="236" customWidth="1"/>
    <col min="7221" max="7426" width="11.42578125" style="236"/>
    <col min="7427" max="7427" width="12" style="236" customWidth="1"/>
    <col min="7428" max="7428" width="2.7109375" style="236" customWidth="1"/>
    <col min="7429" max="7430" width="6.5703125" style="236" customWidth="1"/>
    <col min="7431" max="7431" width="5.85546875" style="236" customWidth="1"/>
    <col min="7432" max="7432" width="6.5703125" style="236" customWidth="1"/>
    <col min="7433" max="7433" width="13.7109375" style="236" customWidth="1"/>
    <col min="7434" max="7435" width="9" style="236" customWidth="1"/>
    <col min="7436" max="7436" width="2.5703125" style="236" customWidth="1"/>
    <col min="7437" max="7437" width="8.85546875" style="236" customWidth="1"/>
    <col min="7438" max="7438" width="7.5703125" style="236" customWidth="1"/>
    <col min="7439" max="7441" width="3.7109375" style="236" customWidth="1"/>
    <col min="7442" max="7442" width="3.5703125" style="236" customWidth="1"/>
    <col min="7443" max="7443" width="2.85546875" style="236" customWidth="1"/>
    <col min="7444" max="7444" width="3" style="236" customWidth="1"/>
    <col min="7445" max="7447" width="0" style="236" hidden="1" customWidth="1"/>
    <col min="7448" max="7448" width="4.42578125" style="236" customWidth="1"/>
    <col min="7449" max="7449" width="0" style="236" hidden="1" customWidth="1"/>
    <col min="7450" max="7451" width="14.85546875" style="236" customWidth="1"/>
    <col min="7452" max="7452" width="15.140625" style="236" customWidth="1"/>
    <col min="7453" max="7453" width="6.42578125" style="236" customWidth="1"/>
    <col min="7454" max="7454" width="15.140625" style="236" customWidth="1"/>
    <col min="7455" max="7455" width="4.140625" style="236" customWidth="1"/>
    <col min="7456" max="7456" width="3" style="236" customWidth="1"/>
    <col min="7457" max="7459" width="0" style="236" hidden="1" customWidth="1"/>
    <col min="7460" max="7460" width="3" style="236" customWidth="1"/>
    <col min="7461" max="7461" width="0" style="236" hidden="1" customWidth="1"/>
    <col min="7462" max="7462" width="3" style="236" customWidth="1"/>
    <col min="7463" max="7463" width="0" style="236" hidden="1" customWidth="1"/>
    <col min="7464" max="7464" width="4.42578125" style="236" customWidth="1"/>
    <col min="7465" max="7465" width="34.28515625" style="236" customWidth="1"/>
    <col min="7466" max="7466" width="23.42578125" style="236" customWidth="1"/>
    <col min="7467" max="7467" width="9.140625" style="236" customWidth="1"/>
    <col min="7468" max="7468" width="19.5703125" style="236" customWidth="1"/>
    <col min="7469" max="7469" width="42.7109375" style="236" customWidth="1"/>
    <col min="7470" max="7470" width="5.85546875" style="236" customWidth="1"/>
    <col min="7471" max="7471" width="31.5703125" style="236" customWidth="1"/>
    <col min="7472" max="7472" width="16.140625" style="236" customWidth="1"/>
    <col min="7473" max="7474" width="9.28515625" style="236" customWidth="1"/>
    <col min="7475" max="7475" width="11.140625" style="236" customWidth="1"/>
    <col min="7476" max="7476" width="2.140625" style="236" customWidth="1"/>
    <col min="7477" max="7682" width="11.42578125" style="236"/>
    <col min="7683" max="7683" width="12" style="236" customWidth="1"/>
    <col min="7684" max="7684" width="2.7109375" style="236" customWidth="1"/>
    <col min="7685" max="7686" width="6.5703125" style="236" customWidth="1"/>
    <col min="7687" max="7687" width="5.85546875" style="236" customWidth="1"/>
    <col min="7688" max="7688" width="6.5703125" style="236" customWidth="1"/>
    <col min="7689" max="7689" width="13.7109375" style="236" customWidth="1"/>
    <col min="7690" max="7691" width="9" style="236" customWidth="1"/>
    <col min="7692" max="7692" width="2.5703125" style="236" customWidth="1"/>
    <col min="7693" max="7693" width="8.85546875" style="236" customWidth="1"/>
    <col min="7694" max="7694" width="7.5703125" style="236" customWidth="1"/>
    <col min="7695" max="7697" width="3.7109375" style="236" customWidth="1"/>
    <col min="7698" max="7698" width="3.5703125" style="236" customWidth="1"/>
    <col min="7699" max="7699" width="2.85546875" style="236" customWidth="1"/>
    <col min="7700" max="7700" width="3" style="236" customWidth="1"/>
    <col min="7701" max="7703" width="0" style="236" hidden="1" customWidth="1"/>
    <col min="7704" max="7704" width="4.42578125" style="236" customWidth="1"/>
    <col min="7705" max="7705" width="0" style="236" hidden="1" customWidth="1"/>
    <col min="7706" max="7707" width="14.85546875" style="236" customWidth="1"/>
    <col min="7708" max="7708" width="15.140625" style="236" customWidth="1"/>
    <col min="7709" max="7709" width="6.42578125" style="236" customWidth="1"/>
    <col min="7710" max="7710" width="15.140625" style="236" customWidth="1"/>
    <col min="7711" max="7711" width="4.140625" style="236" customWidth="1"/>
    <col min="7712" max="7712" width="3" style="236" customWidth="1"/>
    <col min="7713" max="7715" width="0" style="236" hidden="1" customWidth="1"/>
    <col min="7716" max="7716" width="3" style="236" customWidth="1"/>
    <col min="7717" max="7717" width="0" style="236" hidden="1" customWidth="1"/>
    <col min="7718" max="7718" width="3" style="236" customWidth="1"/>
    <col min="7719" max="7719" width="0" style="236" hidden="1" customWidth="1"/>
    <col min="7720" max="7720" width="4.42578125" style="236" customWidth="1"/>
    <col min="7721" max="7721" width="34.28515625" style="236" customWidth="1"/>
    <col min="7722" max="7722" width="23.42578125" style="236" customWidth="1"/>
    <col min="7723" max="7723" width="9.140625" style="236" customWidth="1"/>
    <col min="7724" max="7724" width="19.5703125" style="236" customWidth="1"/>
    <col min="7725" max="7725" width="42.7109375" style="236" customWidth="1"/>
    <col min="7726" max="7726" width="5.85546875" style="236" customWidth="1"/>
    <col min="7727" max="7727" width="31.5703125" style="236" customWidth="1"/>
    <col min="7728" max="7728" width="16.140625" style="236" customWidth="1"/>
    <col min="7729" max="7730" width="9.28515625" style="236" customWidth="1"/>
    <col min="7731" max="7731" width="11.140625" style="236" customWidth="1"/>
    <col min="7732" max="7732" width="2.140625" style="236" customWidth="1"/>
    <col min="7733" max="7938" width="11.42578125" style="236"/>
    <col min="7939" max="7939" width="12" style="236" customWidth="1"/>
    <col min="7940" max="7940" width="2.7109375" style="236" customWidth="1"/>
    <col min="7941" max="7942" width="6.5703125" style="236" customWidth="1"/>
    <col min="7943" max="7943" width="5.85546875" style="236" customWidth="1"/>
    <col min="7944" max="7944" width="6.5703125" style="236" customWidth="1"/>
    <col min="7945" max="7945" width="13.7109375" style="236" customWidth="1"/>
    <col min="7946" max="7947" width="9" style="236" customWidth="1"/>
    <col min="7948" max="7948" width="2.5703125" style="236" customWidth="1"/>
    <col min="7949" max="7949" width="8.85546875" style="236" customWidth="1"/>
    <col min="7950" max="7950" width="7.5703125" style="236" customWidth="1"/>
    <col min="7951" max="7953" width="3.7109375" style="236" customWidth="1"/>
    <col min="7954" max="7954" width="3.5703125" style="236" customWidth="1"/>
    <col min="7955" max="7955" width="2.85546875" style="236" customWidth="1"/>
    <col min="7956" max="7956" width="3" style="236" customWidth="1"/>
    <col min="7957" max="7959" width="0" style="236" hidden="1" customWidth="1"/>
    <col min="7960" max="7960" width="4.42578125" style="236" customWidth="1"/>
    <col min="7961" max="7961" width="0" style="236" hidden="1" customWidth="1"/>
    <col min="7962" max="7963" width="14.85546875" style="236" customWidth="1"/>
    <col min="7964" max="7964" width="15.140625" style="236" customWidth="1"/>
    <col min="7965" max="7965" width="6.42578125" style="236" customWidth="1"/>
    <col min="7966" max="7966" width="15.140625" style="236" customWidth="1"/>
    <col min="7967" max="7967" width="4.140625" style="236" customWidth="1"/>
    <col min="7968" max="7968" width="3" style="236" customWidth="1"/>
    <col min="7969" max="7971" width="0" style="236" hidden="1" customWidth="1"/>
    <col min="7972" max="7972" width="3" style="236" customWidth="1"/>
    <col min="7973" max="7973" width="0" style="236" hidden="1" customWidth="1"/>
    <col min="7974" max="7974" width="3" style="236" customWidth="1"/>
    <col min="7975" max="7975" width="0" style="236" hidden="1" customWidth="1"/>
    <col min="7976" max="7976" width="4.42578125" style="236" customWidth="1"/>
    <col min="7977" max="7977" width="34.28515625" style="236" customWidth="1"/>
    <col min="7978" max="7978" width="23.42578125" style="236" customWidth="1"/>
    <col min="7979" max="7979" width="9.140625" style="236" customWidth="1"/>
    <col min="7980" max="7980" width="19.5703125" style="236" customWidth="1"/>
    <col min="7981" max="7981" width="42.7109375" style="236" customWidth="1"/>
    <col min="7982" max="7982" width="5.85546875" style="236" customWidth="1"/>
    <col min="7983" max="7983" width="31.5703125" style="236" customWidth="1"/>
    <col min="7984" max="7984" width="16.140625" style="236" customWidth="1"/>
    <col min="7985" max="7986" width="9.28515625" style="236" customWidth="1"/>
    <col min="7987" max="7987" width="11.140625" style="236" customWidth="1"/>
    <col min="7988" max="7988" width="2.140625" style="236" customWidth="1"/>
    <col min="7989" max="8194" width="11.42578125" style="236"/>
    <col min="8195" max="8195" width="12" style="236" customWidth="1"/>
    <col min="8196" max="8196" width="2.7109375" style="236" customWidth="1"/>
    <col min="8197" max="8198" width="6.5703125" style="236" customWidth="1"/>
    <col min="8199" max="8199" width="5.85546875" style="236" customWidth="1"/>
    <col min="8200" max="8200" width="6.5703125" style="236" customWidth="1"/>
    <col min="8201" max="8201" width="13.7109375" style="236" customWidth="1"/>
    <col min="8202" max="8203" width="9" style="236" customWidth="1"/>
    <col min="8204" max="8204" width="2.5703125" style="236" customWidth="1"/>
    <col min="8205" max="8205" width="8.85546875" style="236" customWidth="1"/>
    <col min="8206" max="8206" width="7.5703125" style="236" customWidth="1"/>
    <col min="8207" max="8209" width="3.7109375" style="236" customWidth="1"/>
    <col min="8210" max="8210" width="3.5703125" style="236" customWidth="1"/>
    <col min="8211" max="8211" width="2.85546875" style="236" customWidth="1"/>
    <col min="8212" max="8212" width="3" style="236" customWidth="1"/>
    <col min="8213" max="8215" width="0" style="236" hidden="1" customWidth="1"/>
    <col min="8216" max="8216" width="4.42578125" style="236" customWidth="1"/>
    <col min="8217" max="8217" width="0" style="236" hidden="1" customWidth="1"/>
    <col min="8218" max="8219" width="14.85546875" style="236" customWidth="1"/>
    <col min="8220" max="8220" width="15.140625" style="236" customWidth="1"/>
    <col min="8221" max="8221" width="6.42578125" style="236" customWidth="1"/>
    <col min="8222" max="8222" width="15.140625" style="236" customWidth="1"/>
    <col min="8223" max="8223" width="4.140625" style="236" customWidth="1"/>
    <col min="8224" max="8224" width="3" style="236" customWidth="1"/>
    <col min="8225" max="8227" width="0" style="236" hidden="1" customWidth="1"/>
    <col min="8228" max="8228" width="3" style="236" customWidth="1"/>
    <col min="8229" max="8229" width="0" style="236" hidden="1" customWidth="1"/>
    <col min="8230" max="8230" width="3" style="236" customWidth="1"/>
    <col min="8231" max="8231" width="0" style="236" hidden="1" customWidth="1"/>
    <col min="8232" max="8232" width="4.42578125" style="236" customWidth="1"/>
    <col min="8233" max="8233" width="34.28515625" style="236" customWidth="1"/>
    <col min="8234" max="8234" width="23.42578125" style="236" customWidth="1"/>
    <col min="8235" max="8235" width="9.140625" style="236" customWidth="1"/>
    <col min="8236" max="8236" width="19.5703125" style="236" customWidth="1"/>
    <col min="8237" max="8237" width="42.7109375" style="236" customWidth="1"/>
    <col min="8238" max="8238" width="5.85546875" style="236" customWidth="1"/>
    <col min="8239" max="8239" width="31.5703125" style="236" customWidth="1"/>
    <col min="8240" max="8240" width="16.140625" style="236" customWidth="1"/>
    <col min="8241" max="8242" width="9.28515625" style="236" customWidth="1"/>
    <col min="8243" max="8243" width="11.140625" style="236" customWidth="1"/>
    <col min="8244" max="8244" width="2.140625" style="236" customWidth="1"/>
    <col min="8245" max="8450" width="11.42578125" style="236"/>
    <col min="8451" max="8451" width="12" style="236" customWidth="1"/>
    <col min="8452" max="8452" width="2.7109375" style="236" customWidth="1"/>
    <col min="8453" max="8454" width="6.5703125" style="236" customWidth="1"/>
    <col min="8455" max="8455" width="5.85546875" style="236" customWidth="1"/>
    <col min="8456" max="8456" width="6.5703125" style="236" customWidth="1"/>
    <col min="8457" max="8457" width="13.7109375" style="236" customWidth="1"/>
    <col min="8458" max="8459" width="9" style="236" customWidth="1"/>
    <col min="8460" max="8460" width="2.5703125" style="236" customWidth="1"/>
    <col min="8461" max="8461" width="8.85546875" style="236" customWidth="1"/>
    <col min="8462" max="8462" width="7.5703125" style="236" customWidth="1"/>
    <col min="8463" max="8465" width="3.7109375" style="236" customWidth="1"/>
    <col min="8466" max="8466" width="3.5703125" style="236" customWidth="1"/>
    <col min="8467" max="8467" width="2.85546875" style="236" customWidth="1"/>
    <col min="8468" max="8468" width="3" style="236" customWidth="1"/>
    <col min="8469" max="8471" width="0" style="236" hidden="1" customWidth="1"/>
    <col min="8472" max="8472" width="4.42578125" style="236" customWidth="1"/>
    <col min="8473" max="8473" width="0" style="236" hidden="1" customWidth="1"/>
    <col min="8474" max="8475" width="14.85546875" style="236" customWidth="1"/>
    <col min="8476" max="8476" width="15.140625" style="236" customWidth="1"/>
    <col min="8477" max="8477" width="6.42578125" style="236" customWidth="1"/>
    <col min="8478" max="8478" width="15.140625" style="236" customWidth="1"/>
    <col min="8479" max="8479" width="4.140625" style="236" customWidth="1"/>
    <col min="8480" max="8480" width="3" style="236" customWidth="1"/>
    <col min="8481" max="8483" width="0" style="236" hidden="1" customWidth="1"/>
    <col min="8484" max="8484" width="3" style="236" customWidth="1"/>
    <col min="8485" max="8485" width="0" style="236" hidden="1" customWidth="1"/>
    <col min="8486" max="8486" width="3" style="236" customWidth="1"/>
    <col min="8487" max="8487" width="0" style="236" hidden="1" customWidth="1"/>
    <col min="8488" max="8488" width="4.42578125" style="236" customWidth="1"/>
    <col min="8489" max="8489" width="34.28515625" style="236" customWidth="1"/>
    <col min="8490" max="8490" width="23.42578125" style="236" customWidth="1"/>
    <col min="8491" max="8491" width="9.140625" style="236" customWidth="1"/>
    <col min="8492" max="8492" width="19.5703125" style="236" customWidth="1"/>
    <col min="8493" max="8493" width="42.7109375" style="236" customWidth="1"/>
    <col min="8494" max="8494" width="5.85546875" style="236" customWidth="1"/>
    <col min="8495" max="8495" width="31.5703125" style="236" customWidth="1"/>
    <col min="8496" max="8496" width="16.140625" style="236" customWidth="1"/>
    <col min="8497" max="8498" width="9.28515625" style="236" customWidth="1"/>
    <col min="8499" max="8499" width="11.140625" style="236" customWidth="1"/>
    <col min="8500" max="8500" width="2.140625" style="236" customWidth="1"/>
    <col min="8501" max="8706" width="11.42578125" style="236"/>
    <col min="8707" max="8707" width="12" style="236" customWidth="1"/>
    <col min="8708" max="8708" width="2.7109375" style="236" customWidth="1"/>
    <col min="8709" max="8710" width="6.5703125" style="236" customWidth="1"/>
    <col min="8711" max="8711" width="5.85546875" style="236" customWidth="1"/>
    <col min="8712" max="8712" width="6.5703125" style="236" customWidth="1"/>
    <col min="8713" max="8713" width="13.7109375" style="236" customWidth="1"/>
    <col min="8714" max="8715" width="9" style="236" customWidth="1"/>
    <col min="8716" max="8716" width="2.5703125" style="236" customWidth="1"/>
    <col min="8717" max="8717" width="8.85546875" style="236" customWidth="1"/>
    <col min="8718" max="8718" width="7.5703125" style="236" customWidth="1"/>
    <col min="8719" max="8721" width="3.7109375" style="236" customWidth="1"/>
    <col min="8722" max="8722" width="3.5703125" style="236" customWidth="1"/>
    <col min="8723" max="8723" width="2.85546875" style="236" customWidth="1"/>
    <col min="8724" max="8724" width="3" style="236" customWidth="1"/>
    <col min="8725" max="8727" width="0" style="236" hidden="1" customWidth="1"/>
    <col min="8728" max="8728" width="4.42578125" style="236" customWidth="1"/>
    <col min="8729" max="8729" width="0" style="236" hidden="1" customWidth="1"/>
    <col min="8730" max="8731" width="14.85546875" style="236" customWidth="1"/>
    <col min="8732" max="8732" width="15.140625" style="236" customWidth="1"/>
    <col min="8733" max="8733" width="6.42578125" style="236" customWidth="1"/>
    <col min="8734" max="8734" width="15.140625" style="236" customWidth="1"/>
    <col min="8735" max="8735" width="4.140625" style="236" customWidth="1"/>
    <col min="8736" max="8736" width="3" style="236" customWidth="1"/>
    <col min="8737" max="8739" width="0" style="236" hidden="1" customWidth="1"/>
    <col min="8740" max="8740" width="3" style="236" customWidth="1"/>
    <col min="8741" max="8741" width="0" style="236" hidden="1" customWidth="1"/>
    <col min="8742" max="8742" width="3" style="236" customWidth="1"/>
    <col min="8743" max="8743" width="0" style="236" hidden="1" customWidth="1"/>
    <col min="8744" max="8744" width="4.42578125" style="236" customWidth="1"/>
    <col min="8745" max="8745" width="34.28515625" style="236" customWidth="1"/>
    <col min="8746" max="8746" width="23.42578125" style="236" customWidth="1"/>
    <col min="8747" max="8747" width="9.140625" style="236" customWidth="1"/>
    <col min="8748" max="8748" width="19.5703125" style="236" customWidth="1"/>
    <col min="8749" max="8749" width="42.7109375" style="236" customWidth="1"/>
    <col min="8750" max="8750" width="5.85546875" style="236" customWidth="1"/>
    <col min="8751" max="8751" width="31.5703125" style="236" customWidth="1"/>
    <col min="8752" max="8752" width="16.140625" style="236" customWidth="1"/>
    <col min="8753" max="8754" width="9.28515625" style="236" customWidth="1"/>
    <col min="8755" max="8755" width="11.140625" style="236" customWidth="1"/>
    <col min="8756" max="8756" width="2.140625" style="236" customWidth="1"/>
    <col min="8757" max="8962" width="11.42578125" style="236"/>
    <col min="8963" max="8963" width="12" style="236" customWidth="1"/>
    <col min="8964" max="8964" width="2.7109375" style="236" customWidth="1"/>
    <col min="8965" max="8966" width="6.5703125" style="236" customWidth="1"/>
    <col min="8967" max="8967" width="5.85546875" style="236" customWidth="1"/>
    <col min="8968" max="8968" width="6.5703125" style="236" customWidth="1"/>
    <col min="8969" max="8969" width="13.7109375" style="236" customWidth="1"/>
    <col min="8970" max="8971" width="9" style="236" customWidth="1"/>
    <col min="8972" max="8972" width="2.5703125" style="236" customWidth="1"/>
    <col min="8973" max="8973" width="8.85546875" style="236" customWidth="1"/>
    <col min="8974" max="8974" width="7.5703125" style="236" customWidth="1"/>
    <col min="8975" max="8977" width="3.7109375" style="236" customWidth="1"/>
    <col min="8978" max="8978" width="3.5703125" style="236" customWidth="1"/>
    <col min="8979" max="8979" width="2.85546875" style="236" customWidth="1"/>
    <col min="8980" max="8980" width="3" style="236" customWidth="1"/>
    <col min="8981" max="8983" width="0" style="236" hidden="1" customWidth="1"/>
    <col min="8984" max="8984" width="4.42578125" style="236" customWidth="1"/>
    <col min="8985" max="8985" width="0" style="236" hidden="1" customWidth="1"/>
    <col min="8986" max="8987" width="14.85546875" style="236" customWidth="1"/>
    <col min="8988" max="8988" width="15.140625" style="236" customWidth="1"/>
    <col min="8989" max="8989" width="6.42578125" style="236" customWidth="1"/>
    <col min="8990" max="8990" width="15.140625" style="236" customWidth="1"/>
    <col min="8991" max="8991" width="4.140625" style="236" customWidth="1"/>
    <col min="8992" max="8992" width="3" style="236" customWidth="1"/>
    <col min="8993" max="8995" width="0" style="236" hidden="1" customWidth="1"/>
    <col min="8996" max="8996" width="3" style="236" customWidth="1"/>
    <col min="8997" max="8997" width="0" style="236" hidden="1" customWidth="1"/>
    <col min="8998" max="8998" width="3" style="236" customWidth="1"/>
    <col min="8999" max="8999" width="0" style="236" hidden="1" customWidth="1"/>
    <col min="9000" max="9000" width="4.42578125" style="236" customWidth="1"/>
    <col min="9001" max="9001" width="34.28515625" style="236" customWidth="1"/>
    <col min="9002" max="9002" width="23.42578125" style="236" customWidth="1"/>
    <col min="9003" max="9003" width="9.140625" style="236" customWidth="1"/>
    <col min="9004" max="9004" width="19.5703125" style="236" customWidth="1"/>
    <col min="9005" max="9005" width="42.7109375" style="236" customWidth="1"/>
    <col min="9006" max="9006" width="5.85546875" style="236" customWidth="1"/>
    <col min="9007" max="9007" width="31.5703125" style="236" customWidth="1"/>
    <col min="9008" max="9008" width="16.140625" style="236" customWidth="1"/>
    <col min="9009" max="9010" width="9.28515625" style="236" customWidth="1"/>
    <col min="9011" max="9011" width="11.140625" style="236" customWidth="1"/>
    <col min="9012" max="9012" width="2.140625" style="236" customWidth="1"/>
    <col min="9013" max="9218" width="11.42578125" style="236"/>
    <col min="9219" max="9219" width="12" style="236" customWidth="1"/>
    <col min="9220" max="9220" width="2.7109375" style="236" customWidth="1"/>
    <col min="9221" max="9222" width="6.5703125" style="236" customWidth="1"/>
    <col min="9223" max="9223" width="5.85546875" style="236" customWidth="1"/>
    <col min="9224" max="9224" width="6.5703125" style="236" customWidth="1"/>
    <col min="9225" max="9225" width="13.7109375" style="236" customWidth="1"/>
    <col min="9226" max="9227" width="9" style="236" customWidth="1"/>
    <col min="9228" max="9228" width="2.5703125" style="236" customWidth="1"/>
    <col min="9229" max="9229" width="8.85546875" style="236" customWidth="1"/>
    <col min="9230" max="9230" width="7.5703125" style="236" customWidth="1"/>
    <col min="9231" max="9233" width="3.7109375" style="236" customWidth="1"/>
    <col min="9234" max="9234" width="3.5703125" style="236" customWidth="1"/>
    <col min="9235" max="9235" width="2.85546875" style="236" customWidth="1"/>
    <col min="9236" max="9236" width="3" style="236" customWidth="1"/>
    <col min="9237" max="9239" width="0" style="236" hidden="1" customWidth="1"/>
    <col min="9240" max="9240" width="4.42578125" style="236" customWidth="1"/>
    <col min="9241" max="9241" width="0" style="236" hidden="1" customWidth="1"/>
    <col min="9242" max="9243" width="14.85546875" style="236" customWidth="1"/>
    <col min="9244" max="9244" width="15.140625" style="236" customWidth="1"/>
    <col min="9245" max="9245" width="6.42578125" style="236" customWidth="1"/>
    <col min="9246" max="9246" width="15.140625" style="236" customWidth="1"/>
    <col min="9247" max="9247" width="4.140625" style="236" customWidth="1"/>
    <col min="9248" max="9248" width="3" style="236" customWidth="1"/>
    <col min="9249" max="9251" width="0" style="236" hidden="1" customWidth="1"/>
    <col min="9252" max="9252" width="3" style="236" customWidth="1"/>
    <col min="9253" max="9253" width="0" style="236" hidden="1" customWidth="1"/>
    <col min="9254" max="9254" width="3" style="236" customWidth="1"/>
    <col min="9255" max="9255" width="0" style="236" hidden="1" customWidth="1"/>
    <col min="9256" max="9256" width="4.42578125" style="236" customWidth="1"/>
    <col min="9257" max="9257" width="34.28515625" style="236" customWidth="1"/>
    <col min="9258" max="9258" width="23.42578125" style="236" customWidth="1"/>
    <col min="9259" max="9259" width="9.140625" style="236" customWidth="1"/>
    <col min="9260" max="9260" width="19.5703125" style="236" customWidth="1"/>
    <col min="9261" max="9261" width="42.7109375" style="236" customWidth="1"/>
    <col min="9262" max="9262" width="5.85546875" style="236" customWidth="1"/>
    <col min="9263" max="9263" width="31.5703125" style="236" customWidth="1"/>
    <col min="9264" max="9264" width="16.140625" style="236" customWidth="1"/>
    <col min="9265" max="9266" width="9.28515625" style="236" customWidth="1"/>
    <col min="9267" max="9267" width="11.140625" style="236" customWidth="1"/>
    <col min="9268" max="9268" width="2.140625" style="236" customWidth="1"/>
    <col min="9269" max="9474" width="11.42578125" style="236"/>
    <col min="9475" max="9475" width="12" style="236" customWidth="1"/>
    <col min="9476" max="9476" width="2.7109375" style="236" customWidth="1"/>
    <col min="9477" max="9478" width="6.5703125" style="236" customWidth="1"/>
    <col min="9479" max="9479" width="5.85546875" style="236" customWidth="1"/>
    <col min="9480" max="9480" width="6.5703125" style="236" customWidth="1"/>
    <col min="9481" max="9481" width="13.7109375" style="236" customWidth="1"/>
    <col min="9482" max="9483" width="9" style="236" customWidth="1"/>
    <col min="9484" max="9484" width="2.5703125" style="236" customWidth="1"/>
    <col min="9485" max="9485" width="8.85546875" style="236" customWidth="1"/>
    <col min="9486" max="9486" width="7.5703125" style="236" customWidth="1"/>
    <col min="9487" max="9489" width="3.7109375" style="236" customWidth="1"/>
    <col min="9490" max="9490" width="3.5703125" style="236" customWidth="1"/>
    <col min="9491" max="9491" width="2.85546875" style="236" customWidth="1"/>
    <col min="9492" max="9492" width="3" style="236" customWidth="1"/>
    <col min="9493" max="9495" width="0" style="236" hidden="1" customWidth="1"/>
    <col min="9496" max="9496" width="4.42578125" style="236" customWidth="1"/>
    <col min="9497" max="9497" width="0" style="236" hidden="1" customWidth="1"/>
    <col min="9498" max="9499" width="14.85546875" style="236" customWidth="1"/>
    <col min="9500" max="9500" width="15.140625" style="236" customWidth="1"/>
    <col min="9501" max="9501" width="6.42578125" style="236" customWidth="1"/>
    <col min="9502" max="9502" width="15.140625" style="236" customWidth="1"/>
    <col min="9503" max="9503" width="4.140625" style="236" customWidth="1"/>
    <col min="9504" max="9504" width="3" style="236" customWidth="1"/>
    <col min="9505" max="9507" width="0" style="236" hidden="1" customWidth="1"/>
    <col min="9508" max="9508" width="3" style="236" customWidth="1"/>
    <col min="9509" max="9509" width="0" style="236" hidden="1" customWidth="1"/>
    <col min="9510" max="9510" width="3" style="236" customWidth="1"/>
    <col min="9511" max="9511" width="0" style="236" hidden="1" customWidth="1"/>
    <col min="9512" max="9512" width="4.42578125" style="236" customWidth="1"/>
    <col min="9513" max="9513" width="34.28515625" style="236" customWidth="1"/>
    <col min="9514" max="9514" width="23.42578125" style="236" customWidth="1"/>
    <col min="9515" max="9515" width="9.140625" style="236" customWidth="1"/>
    <col min="9516" max="9516" width="19.5703125" style="236" customWidth="1"/>
    <col min="9517" max="9517" width="42.7109375" style="236" customWidth="1"/>
    <col min="9518" max="9518" width="5.85546875" style="236" customWidth="1"/>
    <col min="9519" max="9519" width="31.5703125" style="236" customWidth="1"/>
    <col min="9520" max="9520" width="16.140625" style="236" customWidth="1"/>
    <col min="9521" max="9522" width="9.28515625" style="236" customWidth="1"/>
    <col min="9523" max="9523" width="11.140625" style="236" customWidth="1"/>
    <col min="9524" max="9524" width="2.140625" style="236" customWidth="1"/>
    <col min="9525" max="9730" width="11.42578125" style="236"/>
    <col min="9731" max="9731" width="12" style="236" customWidth="1"/>
    <col min="9732" max="9732" width="2.7109375" style="236" customWidth="1"/>
    <col min="9733" max="9734" width="6.5703125" style="236" customWidth="1"/>
    <col min="9735" max="9735" width="5.85546875" style="236" customWidth="1"/>
    <col min="9736" max="9736" width="6.5703125" style="236" customWidth="1"/>
    <col min="9737" max="9737" width="13.7109375" style="236" customWidth="1"/>
    <col min="9738" max="9739" width="9" style="236" customWidth="1"/>
    <col min="9740" max="9740" width="2.5703125" style="236" customWidth="1"/>
    <col min="9741" max="9741" width="8.85546875" style="236" customWidth="1"/>
    <col min="9742" max="9742" width="7.5703125" style="236" customWidth="1"/>
    <col min="9743" max="9745" width="3.7109375" style="236" customWidth="1"/>
    <col min="9746" max="9746" width="3.5703125" style="236" customWidth="1"/>
    <col min="9747" max="9747" width="2.85546875" style="236" customWidth="1"/>
    <col min="9748" max="9748" width="3" style="236" customWidth="1"/>
    <col min="9749" max="9751" width="0" style="236" hidden="1" customWidth="1"/>
    <col min="9752" max="9752" width="4.42578125" style="236" customWidth="1"/>
    <col min="9753" max="9753" width="0" style="236" hidden="1" customWidth="1"/>
    <col min="9754" max="9755" width="14.85546875" style="236" customWidth="1"/>
    <col min="9756" max="9756" width="15.140625" style="236" customWidth="1"/>
    <col min="9757" max="9757" width="6.42578125" style="236" customWidth="1"/>
    <col min="9758" max="9758" width="15.140625" style="236" customWidth="1"/>
    <col min="9759" max="9759" width="4.140625" style="236" customWidth="1"/>
    <col min="9760" max="9760" width="3" style="236" customWidth="1"/>
    <col min="9761" max="9763" width="0" style="236" hidden="1" customWidth="1"/>
    <col min="9764" max="9764" width="3" style="236" customWidth="1"/>
    <col min="9765" max="9765" width="0" style="236" hidden="1" customWidth="1"/>
    <col min="9766" max="9766" width="3" style="236" customWidth="1"/>
    <col min="9767" max="9767" width="0" style="236" hidden="1" customWidth="1"/>
    <col min="9768" max="9768" width="4.42578125" style="236" customWidth="1"/>
    <col min="9769" max="9769" width="34.28515625" style="236" customWidth="1"/>
    <col min="9770" max="9770" width="23.42578125" style="236" customWidth="1"/>
    <col min="9771" max="9771" width="9.140625" style="236" customWidth="1"/>
    <col min="9772" max="9772" width="19.5703125" style="236" customWidth="1"/>
    <col min="9773" max="9773" width="42.7109375" style="236" customWidth="1"/>
    <col min="9774" max="9774" width="5.85546875" style="236" customWidth="1"/>
    <col min="9775" max="9775" width="31.5703125" style="236" customWidth="1"/>
    <col min="9776" max="9776" width="16.140625" style="236" customWidth="1"/>
    <col min="9777" max="9778" width="9.28515625" style="236" customWidth="1"/>
    <col min="9779" max="9779" width="11.140625" style="236" customWidth="1"/>
    <col min="9780" max="9780" width="2.140625" style="236" customWidth="1"/>
    <col min="9781" max="9986" width="11.42578125" style="236"/>
    <col min="9987" max="9987" width="12" style="236" customWidth="1"/>
    <col min="9988" max="9988" width="2.7109375" style="236" customWidth="1"/>
    <col min="9989" max="9990" width="6.5703125" style="236" customWidth="1"/>
    <col min="9991" max="9991" width="5.85546875" style="236" customWidth="1"/>
    <col min="9992" max="9992" width="6.5703125" style="236" customWidth="1"/>
    <col min="9993" max="9993" width="13.7109375" style="236" customWidth="1"/>
    <col min="9994" max="9995" width="9" style="236" customWidth="1"/>
    <col min="9996" max="9996" width="2.5703125" style="236" customWidth="1"/>
    <col min="9997" max="9997" width="8.85546875" style="236" customWidth="1"/>
    <col min="9998" max="9998" width="7.5703125" style="236" customWidth="1"/>
    <col min="9999" max="10001" width="3.7109375" style="236" customWidth="1"/>
    <col min="10002" max="10002" width="3.5703125" style="236" customWidth="1"/>
    <col min="10003" max="10003" width="2.85546875" style="236" customWidth="1"/>
    <col min="10004" max="10004" width="3" style="236" customWidth="1"/>
    <col min="10005" max="10007" width="0" style="236" hidden="1" customWidth="1"/>
    <col min="10008" max="10008" width="4.42578125" style="236" customWidth="1"/>
    <col min="10009" max="10009" width="0" style="236" hidden="1" customWidth="1"/>
    <col min="10010" max="10011" width="14.85546875" style="236" customWidth="1"/>
    <col min="10012" max="10012" width="15.140625" style="236" customWidth="1"/>
    <col min="10013" max="10013" width="6.42578125" style="236" customWidth="1"/>
    <col min="10014" max="10014" width="15.140625" style="236" customWidth="1"/>
    <col min="10015" max="10015" width="4.140625" style="236" customWidth="1"/>
    <col min="10016" max="10016" width="3" style="236" customWidth="1"/>
    <col min="10017" max="10019" width="0" style="236" hidden="1" customWidth="1"/>
    <col min="10020" max="10020" width="3" style="236" customWidth="1"/>
    <col min="10021" max="10021" width="0" style="236" hidden="1" customWidth="1"/>
    <col min="10022" max="10022" width="3" style="236" customWidth="1"/>
    <col min="10023" max="10023" width="0" style="236" hidden="1" customWidth="1"/>
    <col min="10024" max="10024" width="4.42578125" style="236" customWidth="1"/>
    <col min="10025" max="10025" width="34.28515625" style="236" customWidth="1"/>
    <col min="10026" max="10026" width="23.42578125" style="236" customWidth="1"/>
    <col min="10027" max="10027" width="9.140625" style="236" customWidth="1"/>
    <col min="10028" max="10028" width="19.5703125" style="236" customWidth="1"/>
    <col min="10029" max="10029" width="42.7109375" style="236" customWidth="1"/>
    <col min="10030" max="10030" width="5.85546875" style="236" customWidth="1"/>
    <col min="10031" max="10031" width="31.5703125" style="236" customWidth="1"/>
    <col min="10032" max="10032" width="16.140625" style="236" customWidth="1"/>
    <col min="10033" max="10034" width="9.28515625" style="236" customWidth="1"/>
    <col min="10035" max="10035" width="11.140625" style="236" customWidth="1"/>
    <col min="10036" max="10036" width="2.140625" style="236" customWidth="1"/>
    <col min="10037" max="10242" width="11.42578125" style="236"/>
    <col min="10243" max="10243" width="12" style="236" customWidth="1"/>
    <col min="10244" max="10244" width="2.7109375" style="236" customWidth="1"/>
    <col min="10245" max="10246" width="6.5703125" style="236" customWidth="1"/>
    <col min="10247" max="10247" width="5.85546875" style="236" customWidth="1"/>
    <col min="10248" max="10248" width="6.5703125" style="236" customWidth="1"/>
    <col min="10249" max="10249" width="13.7109375" style="236" customWidth="1"/>
    <col min="10250" max="10251" width="9" style="236" customWidth="1"/>
    <col min="10252" max="10252" width="2.5703125" style="236" customWidth="1"/>
    <col min="10253" max="10253" width="8.85546875" style="236" customWidth="1"/>
    <col min="10254" max="10254" width="7.5703125" style="236" customWidth="1"/>
    <col min="10255" max="10257" width="3.7109375" style="236" customWidth="1"/>
    <col min="10258" max="10258" width="3.5703125" style="236" customWidth="1"/>
    <col min="10259" max="10259" width="2.85546875" style="236" customWidth="1"/>
    <col min="10260" max="10260" width="3" style="236" customWidth="1"/>
    <col min="10261" max="10263" width="0" style="236" hidden="1" customWidth="1"/>
    <col min="10264" max="10264" width="4.42578125" style="236" customWidth="1"/>
    <col min="10265" max="10265" width="0" style="236" hidden="1" customWidth="1"/>
    <col min="10266" max="10267" width="14.85546875" style="236" customWidth="1"/>
    <col min="10268" max="10268" width="15.140625" style="236" customWidth="1"/>
    <col min="10269" max="10269" width="6.42578125" style="236" customWidth="1"/>
    <col min="10270" max="10270" width="15.140625" style="236" customWidth="1"/>
    <col min="10271" max="10271" width="4.140625" style="236" customWidth="1"/>
    <col min="10272" max="10272" width="3" style="236" customWidth="1"/>
    <col min="10273" max="10275" width="0" style="236" hidden="1" customWidth="1"/>
    <col min="10276" max="10276" width="3" style="236" customWidth="1"/>
    <col min="10277" max="10277" width="0" style="236" hidden="1" customWidth="1"/>
    <col min="10278" max="10278" width="3" style="236" customWidth="1"/>
    <col min="10279" max="10279" width="0" style="236" hidden="1" customWidth="1"/>
    <col min="10280" max="10280" width="4.42578125" style="236" customWidth="1"/>
    <col min="10281" max="10281" width="34.28515625" style="236" customWidth="1"/>
    <col min="10282" max="10282" width="23.42578125" style="236" customWidth="1"/>
    <col min="10283" max="10283" width="9.140625" style="236" customWidth="1"/>
    <col min="10284" max="10284" width="19.5703125" style="236" customWidth="1"/>
    <col min="10285" max="10285" width="42.7109375" style="236" customWidth="1"/>
    <col min="10286" max="10286" width="5.85546875" style="236" customWidth="1"/>
    <col min="10287" max="10287" width="31.5703125" style="236" customWidth="1"/>
    <col min="10288" max="10288" width="16.140625" style="236" customWidth="1"/>
    <col min="10289" max="10290" width="9.28515625" style="236" customWidth="1"/>
    <col min="10291" max="10291" width="11.140625" style="236" customWidth="1"/>
    <col min="10292" max="10292" width="2.140625" style="236" customWidth="1"/>
    <col min="10293" max="10498" width="11.42578125" style="236"/>
    <col min="10499" max="10499" width="12" style="236" customWidth="1"/>
    <col min="10500" max="10500" width="2.7109375" style="236" customWidth="1"/>
    <col min="10501" max="10502" width="6.5703125" style="236" customWidth="1"/>
    <col min="10503" max="10503" width="5.85546875" style="236" customWidth="1"/>
    <col min="10504" max="10504" width="6.5703125" style="236" customWidth="1"/>
    <col min="10505" max="10505" width="13.7109375" style="236" customWidth="1"/>
    <col min="10506" max="10507" width="9" style="236" customWidth="1"/>
    <col min="10508" max="10508" width="2.5703125" style="236" customWidth="1"/>
    <col min="10509" max="10509" width="8.85546875" style="236" customWidth="1"/>
    <col min="10510" max="10510" width="7.5703125" style="236" customWidth="1"/>
    <col min="10511" max="10513" width="3.7109375" style="236" customWidth="1"/>
    <col min="10514" max="10514" width="3.5703125" style="236" customWidth="1"/>
    <col min="10515" max="10515" width="2.85546875" style="236" customWidth="1"/>
    <col min="10516" max="10516" width="3" style="236" customWidth="1"/>
    <col min="10517" max="10519" width="0" style="236" hidden="1" customWidth="1"/>
    <col min="10520" max="10520" width="4.42578125" style="236" customWidth="1"/>
    <col min="10521" max="10521" width="0" style="236" hidden="1" customWidth="1"/>
    <col min="10522" max="10523" width="14.85546875" style="236" customWidth="1"/>
    <col min="10524" max="10524" width="15.140625" style="236" customWidth="1"/>
    <col min="10525" max="10525" width="6.42578125" style="236" customWidth="1"/>
    <col min="10526" max="10526" width="15.140625" style="236" customWidth="1"/>
    <col min="10527" max="10527" width="4.140625" style="236" customWidth="1"/>
    <col min="10528" max="10528" width="3" style="236" customWidth="1"/>
    <col min="10529" max="10531" width="0" style="236" hidden="1" customWidth="1"/>
    <col min="10532" max="10532" width="3" style="236" customWidth="1"/>
    <col min="10533" max="10533" width="0" style="236" hidden="1" customWidth="1"/>
    <col min="10534" max="10534" width="3" style="236" customWidth="1"/>
    <col min="10535" max="10535" width="0" style="236" hidden="1" customWidth="1"/>
    <col min="10536" max="10536" width="4.42578125" style="236" customWidth="1"/>
    <col min="10537" max="10537" width="34.28515625" style="236" customWidth="1"/>
    <col min="10538" max="10538" width="23.42578125" style="236" customWidth="1"/>
    <col min="10539" max="10539" width="9.140625" style="236" customWidth="1"/>
    <col min="10540" max="10540" width="19.5703125" style="236" customWidth="1"/>
    <col min="10541" max="10541" width="42.7109375" style="236" customWidth="1"/>
    <col min="10542" max="10542" width="5.85546875" style="236" customWidth="1"/>
    <col min="10543" max="10543" width="31.5703125" style="236" customWidth="1"/>
    <col min="10544" max="10544" width="16.140625" style="236" customWidth="1"/>
    <col min="10545" max="10546" width="9.28515625" style="236" customWidth="1"/>
    <col min="10547" max="10547" width="11.140625" style="236" customWidth="1"/>
    <col min="10548" max="10548" width="2.140625" style="236" customWidth="1"/>
    <col min="10549" max="10754" width="11.42578125" style="236"/>
    <col min="10755" max="10755" width="12" style="236" customWidth="1"/>
    <col min="10756" max="10756" width="2.7109375" style="236" customWidth="1"/>
    <col min="10757" max="10758" width="6.5703125" style="236" customWidth="1"/>
    <col min="10759" max="10759" width="5.85546875" style="236" customWidth="1"/>
    <col min="10760" max="10760" width="6.5703125" style="236" customWidth="1"/>
    <col min="10761" max="10761" width="13.7109375" style="236" customWidth="1"/>
    <col min="10762" max="10763" width="9" style="236" customWidth="1"/>
    <col min="10764" max="10764" width="2.5703125" style="236" customWidth="1"/>
    <col min="10765" max="10765" width="8.85546875" style="236" customWidth="1"/>
    <col min="10766" max="10766" width="7.5703125" style="236" customWidth="1"/>
    <col min="10767" max="10769" width="3.7109375" style="236" customWidth="1"/>
    <col min="10770" max="10770" width="3.5703125" style="236" customWidth="1"/>
    <col min="10771" max="10771" width="2.85546875" style="236" customWidth="1"/>
    <col min="10772" max="10772" width="3" style="236" customWidth="1"/>
    <col min="10773" max="10775" width="0" style="236" hidden="1" customWidth="1"/>
    <col min="10776" max="10776" width="4.42578125" style="236" customWidth="1"/>
    <col min="10777" max="10777" width="0" style="236" hidden="1" customWidth="1"/>
    <col min="10778" max="10779" width="14.85546875" style="236" customWidth="1"/>
    <col min="10780" max="10780" width="15.140625" style="236" customWidth="1"/>
    <col min="10781" max="10781" width="6.42578125" style="236" customWidth="1"/>
    <col min="10782" max="10782" width="15.140625" style="236" customWidth="1"/>
    <col min="10783" max="10783" width="4.140625" style="236" customWidth="1"/>
    <col min="10784" max="10784" width="3" style="236" customWidth="1"/>
    <col min="10785" max="10787" width="0" style="236" hidden="1" customWidth="1"/>
    <col min="10788" max="10788" width="3" style="236" customWidth="1"/>
    <col min="10789" max="10789" width="0" style="236" hidden="1" customWidth="1"/>
    <col min="10790" max="10790" width="3" style="236" customWidth="1"/>
    <col min="10791" max="10791" width="0" style="236" hidden="1" customWidth="1"/>
    <col min="10792" max="10792" width="4.42578125" style="236" customWidth="1"/>
    <col min="10793" max="10793" width="34.28515625" style="236" customWidth="1"/>
    <col min="10794" max="10794" width="23.42578125" style="236" customWidth="1"/>
    <col min="10795" max="10795" width="9.140625" style="236" customWidth="1"/>
    <col min="10796" max="10796" width="19.5703125" style="236" customWidth="1"/>
    <col min="10797" max="10797" width="42.7109375" style="236" customWidth="1"/>
    <col min="10798" max="10798" width="5.85546875" style="236" customWidth="1"/>
    <col min="10799" max="10799" width="31.5703125" style="236" customWidth="1"/>
    <col min="10800" max="10800" width="16.140625" style="236" customWidth="1"/>
    <col min="10801" max="10802" width="9.28515625" style="236" customWidth="1"/>
    <col min="10803" max="10803" width="11.140625" style="236" customWidth="1"/>
    <col min="10804" max="10804" width="2.140625" style="236" customWidth="1"/>
    <col min="10805" max="11010" width="11.42578125" style="236"/>
    <col min="11011" max="11011" width="12" style="236" customWidth="1"/>
    <col min="11012" max="11012" width="2.7109375" style="236" customWidth="1"/>
    <col min="11013" max="11014" width="6.5703125" style="236" customWidth="1"/>
    <col min="11015" max="11015" width="5.85546875" style="236" customWidth="1"/>
    <col min="11016" max="11016" width="6.5703125" style="236" customWidth="1"/>
    <col min="11017" max="11017" width="13.7109375" style="236" customWidth="1"/>
    <col min="11018" max="11019" width="9" style="236" customWidth="1"/>
    <col min="11020" max="11020" width="2.5703125" style="236" customWidth="1"/>
    <col min="11021" max="11021" width="8.85546875" style="236" customWidth="1"/>
    <col min="11022" max="11022" width="7.5703125" style="236" customWidth="1"/>
    <col min="11023" max="11025" width="3.7109375" style="236" customWidth="1"/>
    <col min="11026" max="11026" width="3.5703125" style="236" customWidth="1"/>
    <col min="11027" max="11027" width="2.85546875" style="236" customWidth="1"/>
    <col min="11028" max="11028" width="3" style="236" customWidth="1"/>
    <col min="11029" max="11031" width="0" style="236" hidden="1" customWidth="1"/>
    <col min="11032" max="11032" width="4.42578125" style="236" customWidth="1"/>
    <col min="11033" max="11033" width="0" style="236" hidden="1" customWidth="1"/>
    <col min="11034" max="11035" width="14.85546875" style="236" customWidth="1"/>
    <col min="11036" max="11036" width="15.140625" style="236" customWidth="1"/>
    <col min="11037" max="11037" width="6.42578125" style="236" customWidth="1"/>
    <col min="11038" max="11038" width="15.140625" style="236" customWidth="1"/>
    <col min="11039" max="11039" width="4.140625" style="236" customWidth="1"/>
    <col min="11040" max="11040" width="3" style="236" customWidth="1"/>
    <col min="11041" max="11043" width="0" style="236" hidden="1" customWidth="1"/>
    <col min="11044" max="11044" width="3" style="236" customWidth="1"/>
    <col min="11045" max="11045" width="0" style="236" hidden="1" customWidth="1"/>
    <col min="11046" max="11046" width="3" style="236" customWidth="1"/>
    <col min="11047" max="11047" width="0" style="236" hidden="1" customWidth="1"/>
    <col min="11048" max="11048" width="4.42578125" style="236" customWidth="1"/>
    <col min="11049" max="11049" width="34.28515625" style="236" customWidth="1"/>
    <col min="11050" max="11050" width="23.42578125" style="236" customWidth="1"/>
    <col min="11051" max="11051" width="9.140625" style="236" customWidth="1"/>
    <col min="11052" max="11052" width="19.5703125" style="236" customWidth="1"/>
    <col min="11053" max="11053" width="42.7109375" style="236" customWidth="1"/>
    <col min="11054" max="11054" width="5.85546875" style="236" customWidth="1"/>
    <col min="11055" max="11055" width="31.5703125" style="236" customWidth="1"/>
    <col min="11056" max="11056" width="16.140625" style="236" customWidth="1"/>
    <col min="11057" max="11058" width="9.28515625" style="236" customWidth="1"/>
    <col min="11059" max="11059" width="11.140625" style="236" customWidth="1"/>
    <col min="11060" max="11060" width="2.140625" style="236" customWidth="1"/>
    <col min="11061" max="11266" width="11.42578125" style="236"/>
    <col min="11267" max="11267" width="12" style="236" customWidth="1"/>
    <col min="11268" max="11268" width="2.7109375" style="236" customWidth="1"/>
    <col min="11269" max="11270" width="6.5703125" style="236" customWidth="1"/>
    <col min="11271" max="11271" width="5.85546875" style="236" customWidth="1"/>
    <col min="11272" max="11272" width="6.5703125" style="236" customWidth="1"/>
    <col min="11273" max="11273" width="13.7109375" style="236" customWidth="1"/>
    <col min="11274" max="11275" width="9" style="236" customWidth="1"/>
    <col min="11276" max="11276" width="2.5703125" style="236" customWidth="1"/>
    <col min="11277" max="11277" width="8.85546875" style="236" customWidth="1"/>
    <col min="11278" max="11278" width="7.5703125" style="236" customWidth="1"/>
    <col min="11279" max="11281" width="3.7109375" style="236" customWidth="1"/>
    <col min="11282" max="11282" width="3.5703125" style="236" customWidth="1"/>
    <col min="11283" max="11283" width="2.85546875" style="236" customWidth="1"/>
    <col min="11284" max="11284" width="3" style="236" customWidth="1"/>
    <col min="11285" max="11287" width="0" style="236" hidden="1" customWidth="1"/>
    <col min="11288" max="11288" width="4.42578125" style="236" customWidth="1"/>
    <col min="11289" max="11289" width="0" style="236" hidden="1" customWidth="1"/>
    <col min="11290" max="11291" width="14.85546875" style="236" customWidth="1"/>
    <col min="11292" max="11292" width="15.140625" style="236" customWidth="1"/>
    <col min="11293" max="11293" width="6.42578125" style="236" customWidth="1"/>
    <col min="11294" max="11294" width="15.140625" style="236" customWidth="1"/>
    <col min="11295" max="11295" width="4.140625" style="236" customWidth="1"/>
    <col min="11296" max="11296" width="3" style="236" customWidth="1"/>
    <col min="11297" max="11299" width="0" style="236" hidden="1" customWidth="1"/>
    <col min="11300" max="11300" width="3" style="236" customWidth="1"/>
    <col min="11301" max="11301" width="0" style="236" hidden="1" customWidth="1"/>
    <col min="11302" max="11302" width="3" style="236" customWidth="1"/>
    <col min="11303" max="11303" width="0" style="236" hidden="1" customWidth="1"/>
    <col min="11304" max="11304" width="4.42578125" style="236" customWidth="1"/>
    <col min="11305" max="11305" width="34.28515625" style="236" customWidth="1"/>
    <col min="11306" max="11306" width="23.42578125" style="236" customWidth="1"/>
    <col min="11307" max="11307" width="9.140625" style="236" customWidth="1"/>
    <col min="11308" max="11308" width="19.5703125" style="236" customWidth="1"/>
    <col min="11309" max="11309" width="42.7109375" style="236" customWidth="1"/>
    <col min="11310" max="11310" width="5.85546875" style="236" customWidth="1"/>
    <col min="11311" max="11311" width="31.5703125" style="236" customWidth="1"/>
    <col min="11312" max="11312" width="16.140625" style="236" customWidth="1"/>
    <col min="11313" max="11314" width="9.28515625" style="236" customWidth="1"/>
    <col min="11315" max="11315" width="11.140625" style="236" customWidth="1"/>
    <col min="11316" max="11316" width="2.140625" style="236" customWidth="1"/>
    <col min="11317" max="11522" width="11.42578125" style="236"/>
    <col min="11523" max="11523" width="12" style="236" customWidth="1"/>
    <col min="11524" max="11524" width="2.7109375" style="236" customWidth="1"/>
    <col min="11525" max="11526" width="6.5703125" style="236" customWidth="1"/>
    <col min="11527" max="11527" width="5.85546875" style="236" customWidth="1"/>
    <col min="11528" max="11528" width="6.5703125" style="236" customWidth="1"/>
    <col min="11529" max="11529" width="13.7109375" style="236" customWidth="1"/>
    <col min="11530" max="11531" width="9" style="236" customWidth="1"/>
    <col min="11532" max="11532" width="2.5703125" style="236" customWidth="1"/>
    <col min="11533" max="11533" width="8.85546875" style="236" customWidth="1"/>
    <col min="11534" max="11534" width="7.5703125" style="236" customWidth="1"/>
    <col min="11535" max="11537" width="3.7109375" style="236" customWidth="1"/>
    <col min="11538" max="11538" width="3.5703125" style="236" customWidth="1"/>
    <col min="11539" max="11539" width="2.85546875" style="236" customWidth="1"/>
    <col min="11540" max="11540" width="3" style="236" customWidth="1"/>
    <col min="11541" max="11543" width="0" style="236" hidden="1" customWidth="1"/>
    <col min="11544" max="11544" width="4.42578125" style="236" customWidth="1"/>
    <col min="11545" max="11545" width="0" style="236" hidden="1" customWidth="1"/>
    <col min="11546" max="11547" width="14.85546875" style="236" customWidth="1"/>
    <col min="11548" max="11548" width="15.140625" style="236" customWidth="1"/>
    <col min="11549" max="11549" width="6.42578125" style="236" customWidth="1"/>
    <col min="11550" max="11550" width="15.140625" style="236" customWidth="1"/>
    <col min="11551" max="11551" width="4.140625" style="236" customWidth="1"/>
    <col min="11552" max="11552" width="3" style="236" customWidth="1"/>
    <col min="11553" max="11555" width="0" style="236" hidden="1" customWidth="1"/>
    <col min="11556" max="11556" width="3" style="236" customWidth="1"/>
    <col min="11557" max="11557" width="0" style="236" hidden="1" customWidth="1"/>
    <col min="11558" max="11558" width="3" style="236" customWidth="1"/>
    <col min="11559" max="11559" width="0" style="236" hidden="1" customWidth="1"/>
    <col min="11560" max="11560" width="4.42578125" style="236" customWidth="1"/>
    <col min="11561" max="11561" width="34.28515625" style="236" customWidth="1"/>
    <col min="11562" max="11562" width="23.42578125" style="236" customWidth="1"/>
    <col min="11563" max="11563" width="9.140625" style="236" customWidth="1"/>
    <col min="11564" max="11564" width="19.5703125" style="236" customWidth="1"/>
    <col min="11565" max="11565" width="42.7109375" style="236" customWidth="1"/>
    <col min="11566" max="11566" width="5.85546875" style="236" customWidth="1"/>
    <col min="11567" max="11567" width="31.5703125" style="236" customWidth="1"/>
    <col min="11568" max="11568" width="16.140625" style="236" customWidth="1"/>
    <col min="11569" max="11570" width="9.28515625" style="236" customWidth="1"/>
    <col min="11571" max="11571" width="11.140625" style="236" customWidth="1"/>
    <col min="11572" max="11572" width="2.140625" style="236" customWidth="1"/>
    <col min="11573" max="11778" width="11.42578125" style="236"/>
    <col min="11779" max="11779" width="12" style="236" customWidth="1"/>
    <col min="11780" max="11780" width="2.7109375" style="236" customWidth="1"/>
    <col min="11781" max="11782" width="6.5703125" style="236" customWidth="1"/>
    <col min="11783" max="11783" width="5.85546875" style="236" customWidth="1"/>
    <col min="11784" max="11784" width="6.5703125" style="236" customWidth="1"/>
    <col min="11785" max="11785" width="13.7109375" style="236" customWidth="1"/>
    <col min="11786" max="11787" width="9" style="236" customWidth="1"/>
    <col min="11788" max="11788" width="2.5703125" style="236" customWidth="1"/>
    <col min="11789" max="11789" width="8.85546875" style="236" customWidth="1"/>
    <col min="11790" max="11790" width="7.5703125" style="236" customWidth="1"/>
    <col min="11791" max="11793" width="3.7109375" style="236" customWidth="1"/>
    <col min="11794" max="11794" width="3.5703125" style="236" customWidth="1"/>
    <col min="11795" max="11795" width="2.85546875" style="236" customWidth="1"/>
    <col min="11796" max="11796" width="3" style="236" customWidth="1"/>
    <col min="11797" max="11799" width="0" style="236" hidden="1" customWidth="1"/>
    <col min="11800" max="11800" width="4.42578125" style="236" customWidth="1"/>
    <col min="11801" max="11801" width="0" style="236" hidden="1" customWidth="1"/>
    <col min="11802" max="11803" width="14.85546875" style="236" customWidth="1"/>
    <col min="11804" max="11804" width="15.140625" style="236" customWidth="1"/>
    <col min="11805" max="11805" width="6.42578125" style="236" customWidth="1"/>
    <col min="11806" max="11806" width="15.140625" style="236" customWidth="1"/>
    <col min="11807" max="11807" width="4.140625" style="236" customWidth="1"/>
    <col min="11808" max="11808" width="3" style="236" customWidth="1"/>
    <col min="11809" max="11811" width="0" style="236" hidden="1" customWidth="1"/>
    <col min="11812" max="11812" width="3" style="236" customWidth="1"/>
    <col min="11813" max="11813" width="0" style="236" hidden="1" customWidth="1"/>
    <col min="11814" max="11814" width="3" style="236" customWidth="1"/>
    <col min="11815" max="11815" width="0" style="236" hidden="1" customWidth="1"/>
    <col min="11816" max="11816" width="4.42578125" style="236" customWidth="1"/>
    <col min="11817" max="11817" width="34.28515625" style="236" customWidth="1"/>
    <col min="11818" max="11818" width="23.42578125" style="236" customWidth="1"/>
    <col min="11819" max="11819" width="9.140625" style="236" customWidth="1"/>
    <col min="11820" max="11820" width="19.5703125" style="236" customWidth="1"/>
    <col min="11821" max="11821" width="42.7109375" style="236" customWidth="1"/>
    <col min="11822" max="11822" width="5.85546875" style="236" customWidth="1"/>
    <col min="11823" max="11823" width="31.5703125" style="236" customWidth="1"/>
    <col min="11824" max="11824" width="16.140625" style="236" customWidth="1"/>
    <col min="11825" max="11826" width="9.28515625" style="236" customWidth="1"/>
    <col min="11827" max="11827" width="11.140625" style="236" customWidth="1"/>
    <col min="11828" max="11828" width="2.140625" style="236" customWidth="1"/>
    <col min="11829" max="12034" width="11.42578125" style="236"/>
    <col min="12035" max="12035" width="12" style="236" customWidth="1"/>
    <col min="12036" max="12036" width="2.7109375" style="236" customWidth="1"/>
    <col min="12037" max="12038" width="6.5703125" style="236" customWidth="1"/>
    <col min="12039" max="12039" width="5.85546875" style="236" customWidth="1"/>
    <col min="12040" max="12040" width="6.5703125" style="236" customWidth="1"/>
    <col min="12041" max="12041" width="13.7109375" style="236" customWidth="1"/>
    <col min="12042" max="12043" width="9" style="236" customWidth="1"/>
    <col min="12044" max="12044" width="2.5703125" style="236" customWidth="1"/>
    <col min="12045" max="12045" width="8.85546875" style="236" customWidth="1"/>
    <col min="12046" max="12046" width="7.5703125" style="236" customWidth="1"/>
    <col min="12047" max="12049" width="3.7109375" style="236" customWidth="1"/>
    <col min="12050" max="12050" width="3.5703125" style="236" customWidth="1"/>
    <col min="12051" max="12051" width="2.85546875" style="236" customWidth="1"/>
    <col min="12052" max="12052" width="3" style="236" customWidth="1"/>
    <col min="12053" max="12055" width="0" style="236" hidden="1" customWidth="1"/>
    <col min="12056" max="12056" width="4.42578125" style="236" customWidth="1"/>
    <col min="12057" max="12057" width="0" style="236" hidden="1" customWidth="1"/>
    <col min="12058" max="12059" width="14.85546875" style="236" customWidth="1"/>
    <col min="12060" max="12060" width="15.140625" style="236" customWidth="1"/>
    <col min="12061" max="12061" width="6.42578125" style="236" customWidth="1"/>
    <col min="12062" max="12062" width="15.140625" style="236" customWidth="1"/>
    <col min="12063" max="12063" width="4.140625" style="236" customWidth="1"/>
    <col min="12064" max="12064" width="3" style="236" customWidth="1"/>
    <col min="12065" max="12067" width="0" style="236" hidden="1" customWidth="1"/>
    <col min="12068" max="12068" width="3" style="236" customWidth="1"/>
    <col min="12069" max="12069" width="0" style="236" hidden="1" customWidth="1"/>
    <col min="12070" max="12070" width="3" style="236" customWidth="1"/>
    <col min="12071" max="12071" width="0" style="236" hidden="1" customWidth="1"/>
    <col min="12072" max="12072" width="4.42578125" style="236" customWidth="1"/>
    <col min="12073" max="12073" width="34.28515625" style="236" customWidth="1"/>
    <col min="12074" max="12074" width="23.42578125" style="236" customWidth="1"/>
    <col min="12075" max="12075" width="9.140625" style="236" customWidth="1"/>
    <col min="12076" max="12076" width="19.5703125" style="236" customWidth="1"/>
    <col min="12077" max="12077" width="42.7109375" style="236" customWidth="1"/>
    <col min="12078" max="12078" width="5.85546875" style="236" customWidth="1"/>
    <col min="12079" max="12079" width="31.5703125" style="236" customWidth="1"/>
    <col min="12080" max="12080" width="16.140625" style="236" customWidth="1"/>
    <col min="12081" max="12082" width="9.28515625" style="236" customWidth="1"/>
    <col min="12083" max="12083" width="11.140625" style="236" customWidth="1"/>
    <col min="12084" max="12084" width="2.140625" style="236" customWidth="1"/>
    <col min="12085" max="12290" width="11.42578125" style="236"/>
    <col min="12291" max="12291" width="12" style="236" customWidth="1"/>
    <col min="12292" max="12292" width="2.7109375" style="236" customWidth="1"/>
    <col min="12293" max="12294" width="6.5703125" style="236" customWidth="1"/>
    <col min="12295" max="12295" width="5.85546875" style="236" customWidth="1"/>
    <col min="12296" max="12296" width="6.5703125" style="236" customWidth="1"/>
    <col min="12297" max="12297" width="13.7109375" style="236" customWidth="1"/>
    <col min="12298" max="12299" width="9" style="236" customWidth="1"/>
    <col min="12300" max="12300" width="2.5703125" style="236" customWidth="1"/>
    <col min="12301" max="12301" width="8.85546875" style="236" customWidth="1"/>
    <col min="12302" max="12302" width="7.5703125" style="236" customWidth="1"/>
    <col min="12303" max="12305" width="3.7109375" style="236" customWidth="1"/>
    <col min="12306" max="12306" width="3.5703125" style="236" customWidth="1"/>
    <col min="12307" max="12307" width="2.85546875" style="236" customWidth="1"/>
    <col min="12308" max="12308" width="3" style="236" customWidth="1"/>
    <col min="12309" max="12311" width="0" style="236" hidden="1" customWidth="1"/>
    <col min="12312" max="12312" width="4.42578125" style="236" customWidth="1"/>
    <col min="12313" max="12313" width="0" style="236" hidden="1" customWidth="1"/>
    <col min="12314" max="12315" width="14.85546875" style="236" customWidth="1"/>
    <col min="12316" max="12316" width="15.140625" style="236" customWidth="1"/>
    <col min="12317" max="12317" width="6.42578125" style="236" customWidth="1"/>
    <col min="12318" max="12318" width="15.140625" style="236" customWidth="1"/>
    <col min="12319" max="12319" width="4.140625" style="236" customWidth="1"/>
    <col min="12320" max="12320" width="3" style="236" customWidth="1"/>
    <col min="12321" max="12323" width="0" style="236" hidden="1" customWidth="1"/>
    <col min="12324" max="12324" width="3" style="236" customWidth="1"/>
    <col min="12325" max="12325" width="0" style="236" hidden="1" customWidth="1"/>
    <col min="12326" max="12326" width="3" style="236" customWidth="1"/>
    <col min="12327" max="12327" width="0" style="236" hidden="1" customWidth="1"/>
    <col min="12328" max="12328" width="4.42578125" style="236" customWidth="1"/>
    <col min="12329" max="12329" width="34.28515625" style="236" customWidth="1"/>
    <col min="12330" max="12330" width="23.42578125" style="236" customWidth="1"/>
    <col min="12331" max="12331" width="9.140625" style="236" customWidth="1"/>
    <col min="12332" max="12332" width="19.5703125" style="236" customWidth="1"/>
    <col min="12333" max="12333" width="42.7109375" style="236" customWidth="1"/>
    <col min="12334" max="12334" width="5.85546875" style="236" customWidth="1"/>
    <col min="12335" max="12335" width="31.5703125" style="236" customWidth="1"/>
    <col min="12336" max="12336" width="16.140625" style="236" customWidth="1"/>
    <col min="12337" max="12338" width="9.28515625" style="236" customWidth="1"/>
    <col min="12339" max="12339" width="11.140625" style="236" customWidth="1"/>
    <col min="12340" max="12340" width="2.140625" style="236" customWidth="1"/>
    <col min="12341" max="12546" width="11.42578125" style="236"/>
    <col min="12547" max="12547" width="12" style="236" customWidth="1"/>
    <col min="12548" max="12548" width="2.7109375" style="236" customWidth="1"/>
    <col min="12549" max="12550" width="6.5703125" style="236" customWidth="1"/>
    <col min="12551" max="12551" width="5.85546875" style="236" customWidth="1"/>
    <col min="12552" max="12552" width="6.5703125" style="236" customWidth="1"/>
    <col min="12553" max="12553" width="13.7109375" style="236" customWidth="1"/>
    <col min="12554" max="12555" width="9" style="236" customWidth="1"/>
    <col min="12556" max="12556" width="2.5703125" style="236" customWidth="1"/>
    <col min="12557" max="12557" width="8.85546875" style="236" customWidth="1"/>
    <col min="12558" max="12558" width="7.5703125" style="236" customWidth="1"/>
    <col min="12559" max="12561" width="3.7109375" style="236" customWidth="1"/>
    <col min="12562" max="12562" width="3.5703125" style="236" customWidth="1"/>
    <col min="12563" max="12563" width="2.85546875" style="236" customWidth="1"/>
    <col min="12564" max="12564" width="3" style="236" customWidth="1"/>
    <col min="12565" max="12567" width="0" style="236" hidden="1" customWidth="1"/>
    <col min="12568" max="12568" width="4.42578125" style="236" customWidth="1"/>
    <col min="12569" max="12569" width="0" style="236" hidden="1" customWidth="1"/>
    <col min="12570" max="12571" width="14.85546875" style="236" customWidth="1"/>
    <col min="12572" max="12572" width="15.140625" style="236" customWidth="1"/>
    <col min="12573" max="12573" width="6.42578125" style="236" customWidth="1"/>
    <col min="12574" max="12574" width="15.140625" style="236" customWidth="1"/>
    <col min="12575" max="12575" width="4.140625" style="236" customWidth="1"/>
    <col min="12576" max="12576" width="3" style="236" customWidth="1"/>
    <col min="12577" max="12579" width="0" style="236" hidden="1" customWidth="1"/>
    <col min="12580" max="12580" width="3" style="236" customWidth="1"/>
    <col min="12581" max="12581" width="0" style="236" hidden="1" customWidth="1"/>
    <col min="12582" max="12582" width="3" style="236" customWidth="1"/>
    <col min="12583" max="12583" width="0" style="236" hidden="1" customWidth="1"/>
    <col min="12584" max="12584" width="4.42578125" style="236" customWidth="1"/>
    <col min="12585" max="12585" width="34.28515625" style="236" customWidth="1"/>
    <col min="12586" max="12586" width="23.42578125" style="236" customWidth="1"/>
    <col min="12587" max="12587" width="9.140625" style="236" customWidth="1"/>
    <col min="12588" max="12588" width="19.5703125" style="236" customWidth="1"/>
    <col min="12589" max="12589" width="42.7109375" style="236" customWidth="1"/>
    <col min="12590" max="12590" width="5.85546875" style="236" customWidth="1"/>
    <col min="12591" max="12591" width="31.5703125" style="236" customWidth="1"/>
    <col min="12592" max="12592" width="16.140625" style="236" customWidth="1"/>
    <col min="12593" max="12594" width="9.28515625" style="236" customWidth="1"/>
    <col min="12595" max="12595" width="11.140625" style="236" customWidth="1"/>
    <col min="12596" max="12596" width="2.140625" style="236" customWidth="1"/>
    <col min="12597" max="12802" width="11.42578125" style="236"/>
    <col min="12803" max="12803" width="12" style="236" customWidth="1"/>
    <col min="12804" max="12804" width="2.7109375" style="236" customWidth="1"/>
    <col min="12805" max="12806" width="6.5703125" style="236" customWidth="1"/>
    <col min="12807" max="12807" width="5.85546875" style="236" customWidth="1"/>
    <col min="12808" max="12808" width="6.5703125" style="236" customWidth="1"/>
    <col min="12809" max="12809" width="13.7109375" style="236" customWidth="1"/>
    <col min="12810" max="12811" width="9" style="236" customWidth="1"/>
    <col min="12812" max="12812" width="2.5703125" style="236" customWidth="1"/>
    <col min="12813" max="12813" width="8.85546875" style="236" customWidth="1"/>
    <col min="12814" max="12814" width="7.5703125" style="236" customWidth="1"/>
    <col min="12815" max="12817" width="3.7109375" style="236" customWidth="1"/>
    <col min="12818" max="12818" width="3.5703125" style="236" customWidth="1"/>
    <col min="12819" max="12819" width="2.85546875" style="236" customWidth="1"/>
    <col min="12820" max="12820" width="3" style="236" customWidth="1"/>
    <col min="12821" max="12823" width="0" style="236" hidden="1" customWidth="1"/>
    <col min="12824" max="12824" width="4.42578125" style="236" customWidth="1"/>
    <col min="12825" max="12825" width="0" style="236" hidden="1" customWidth="1"/>
    <col min="12826" max="12827" width="14.85546875" style="236" customWidth="1"/>
    <col min="12828" max="12828" width="15.140625" style="236" customWidth="1"/>
    <col min="12829" max="12829" width="6.42578125" style="236" customWidth="1"/>
    <col min="12830" max="12830" width="15.140625" style="236" customWidth="1"/>
    <col min="12831" max="12831" width="4.140625" style="236" customWidth="1"/>
    <col min="12832" max="12832" width="3" style="236" customWidth="1"/>
    <col min="12833" max="12835" width="0" style="236" hidden="1" customWidth="1"/>
    <col min="12836" max="12836" width="3" style="236" customWidth="1"/>
    <col min="12837" max="12837" width="0" style="236" hidden="1" customWidth="1"/>
    <col min="12838" max="12838" width="3" style="236" customWidth="1"/>
    <col min="12839" max="12839" width="0" style="236" hidden="1" customWidth="1"/>
    <col min="12840" max="12840" width="4.42578125" style="236" customWidth="1"/>
    <col min="12841" max="12841" width="34.28515625" style="236" customWidth="1"/>
    <col min="12842" max="12842" width="23.42578125" style="236" customWidth="1"/>
    <col min="12843" max="12843" width="9.140625" style="236" customWidth="1"/>
    <col min="12844" max="12844" width="19.5703125" style="236" customWidth="1"/>
    <col min="12845" max="12845" width="42.7109375" style="236" customWidth="1"/>
    <col min="12846" max="12846" width="5.85546875" style="236" customWidth="1"/>
    <col min="12847" max="12847" width="31.5703125" style="236" customWidth="1"/>
    <col min="12848" max="12848" width="16.140625" style="236" customWidth="1"/>
    <col min="12849" max="12850" width="9.28515625" style="236" customWidth="1"/>
    <col min="12851" max="12851" width="11.140625" style="236" customWidth="1"/>
    <col min="12852" max="12852" width="2.140625" style="236" customWidth="1"/>
    <col min="12853" max="13058" width="11.42578125" style="236"/>
    <col min="13059" max="13059" width="12" style="236" customWidth="1"/>
    <col min="13060" max="13060" width="2.7109375" style="236" customWidth="1"/>
    <col min="13061" max="13062" width="6.5703125" style="236" customWidth="1"/>
    <col min="13063" max="13063" width="5.85546875" style="236" customWidth="1"/>
    <col min="13064" max="13064" width="6.5703125" style="236" customWidth="1"/>
    <col min="13065" max="13065" width="13.7109375" style="236" customWidth="1"/>
    <col min="13066" max="13067" width="9" style="236" customWidth="1"/>
    <col min="13068" max="13068" width="2.5703125" style="236" customWidth="1"/>
    <col min="13069" max="13069" width="8.85546875" style="236" customWidth="1"/>
    <col min="13070" max="13070" width="7.5703125" style="236" customWidth="1"/>
    <col min="13071" max="13073" width="3.7109375" style="236" customWidth="1"/>
    <col min="13074" max="13074" width="3.5703125" style="236" customWidth="1"/>
    <col min="13075" max="13075" width="2.85546875" style="236" customWidth="1"/>
    <col min="13076" max="13076" width="3" style="236" customWidth="1"/>
    <col min="13077" max="13079" width="0" style="236" hidden="1" customWidth="1"/>
    <col min="13080" max="13080" width="4.42578125" style="236" customWidth="1"/>
    <col min="13081" max="13081" width="0" style="236" hidden="1" customWidth="1"/>
    <col min="13082" max="13083" width="14.85546875" style="236" customWidth="1"/>
    <col min="13084" max="13084" width="15.140625" style="236" customWidth="1"/>
    <col min="13085" max="13085" width="6.42578125" style="236" customWidth="1"/>
    <col min="13086" max="13086" width="15.140625" style="236" customWidth="1"/>
    <col min="13087" max="13087" width="4.140625" style="236" customWidth="1"/>
    <col min="13088" max="13088" width="3" style="236" customWidth="1"/>
    <col min="13089" max="13091" width="0" style="236" hidden="1" customWidth="1"/>
    <col min="13092" max="13092" width="3" style="236" customWidth="1"/>
    <col min="13093" max="13093" width="0" style="236" hidden="1" customWidth="1"/>
    <col min="13094" max="13094" width="3" style="236" customWidth="1"/>
    <col min="13095" max="13095" width="0" style="236" hidden="1" customWidth="1"/>
    <col min="13096" max="13096" width="4.42578125" style="236" customWidth="1"/>
    <col min="13097" max="13097" width="34.28515625" style="236" customWidth="1"/>
    <col min="13098" max="13098" width="23.42578125" style="236" customWidth="1"/>
    <col min="13099" max="13099" width="9.140625" style="236" customWidth="1"/>
    <col min="13100" max="13100" width="19.5703125" style="236" customWidth="1"/>
    <col min="13101" max="13101" width="42.7109375" style="236" customWidth="1"/>
    <col min="13102" max="13102" width="5.85546875" style="236" customWidth="1"/>
    <col min="13103" max="13103" width="31.5703125" style="236" customWidth="1"/>
    <col min="13104" max="13104" width="16.140625" style="236" customWidth="1"/>
    <col min="13105" max="13106" width="9.28515625" style="236" customWidth="1"/>
    <col min="13107" max="13107" width="11.140625" style="236" customWidth="1"/>
    <col min="13108" max="13108" width="2.140625" style="236" customWidth="1"/>
    <col min="13109" max="13314" width="11.42578125" style="236"/>
    <col min="13315" max="13315" width="12" style="236" customWidth="1"/>
    <col min="13316" max="13316" width="2.7109375" style="236" customWidth="1"/>
    <col min="13317" max="13318" width="6.5703125" style="236" customWidth="1"/>
    <col min="13319" max="13319" width="5.85546875" style="236" customWidth="1"/>
    <col min="13320" max="13320" width="6.5703125" style="236" customWidth="1"/>
    <col min="13321" max="13321" width="13.7109375" style="236" customWidth="1"/>
    <col min="13322" max="13323" width="9" style="236" customWidth="1"/>
    <col min="13324" max="13324" width="2.5703125" style="236" customWidth="1"/>
    <col min="13325" max="13325" width="8.85546875" style="236" customWidth="1"/>
    <col min="13326" max="13326" width="7.5703125" style="236" customWidth="1"/>
    <col min="13327" max="13329" width="3.7109375" style="236" customWidth="1"/>
    <col min="13330" max="13330" width="3.5703125" style="236" customWidth="1"/>
    <col min="13331" max="13331" width="2.85546875" style="236" customWidth="1"/>
    <col min="13332" max="13332" width="3" style="236" customWidth="1"/>
    <col min="13333" max="13335" width="0" style="236" hidden="1" customWidth="1"/>
    <col min="13336" max="13336" width="4.42578125" style="236" customWidth="1"/>
    <col min="13337" max="13337" width="0" style="236" hidden="1" customWidth="1"/>
    <col min="13338" max="13339" width="14.85546875" style="236" customWidth="1"/>
    <col min="13340" max="13340" width="15.140625" style="236" customWidth="1"/>
    <col min="13341" max="13341" width="6.42578125" style="236" customWidth="1"/>
    <col min="13342" max="13342" width="15.140625" style="236" customWidth="1"/>
    <col min="13343" max="13343" width="4.140625" style="236" customWidth="1"/>
    <col min="13344" max="13344" width="3" style="236" customWidth="1"/>
    <col min="13345" max="13347" width="0" style="236" hidden="1" customWidth="1"/>
    <col min="13348" max="13348" width="3" style="236" customWidth="1"/>
    <col min="13349" max="13349" width="0" style="236" hidden="1" customWidth="1"/>
    <col min="13350" max="13350" width="3" style="236" customWidth="1"/>
    <col min="13351" max="13351" width="0" style="236" hidden="1" customWidth="1"/>
    <col min="13352" max="13352" width="4.42578125" style="236" customWidth="1"/>
    <col min="13353" max="13353" width="34.28515625" style="236" customWidth="1"/>
    <col min="13354" max="13354" width="23.42578125" style="236" customWidth="1"/>
    <col min="13355" max="13355" width="9.140625" style="236" customWidth="1"/>
    <col min="13356" max="13356" width="19.5703125" style="236" customWidth="1"/>
    <col min="13357" max="13357" width="42.7109375" style="236" customWidth="1"/>
    <col min="13358" max="13358" width="5.85546875" style="236" customWidth="1"/>
    <col min="13359" max="13359" width="31.5703125" style="236" customWidth="1"/>
    <col min="13360" max="13360" width="16.140625" style="236" customWidth="1"/>
    <col min="13361" max="13362" width="9.28515625" style="236" customWidth="1"/>
    <col min="13363" max="13363" width="11.140625" style="236" customWidth="1"/>
    <col min="13364" max="13364" width="2.140625" style="236" customWidth="1"/>
    <col min="13365" max="13570" width="11.42578125" style="236"/>
    <col min="13571" max="13571" width="12" style="236" customWidth="1"/>
    <col min="13572" max="13572" width="2.7109375" style="236" customWidth="1"/>
    <col min="13573" max="13574" width="6.5703125" style="236" customWidth="1"/>
    <col min="13575" max="13575" width="5.85546875" style="236" customWidth="1"/>
    <col min="13576" max="13576" width="6.5703125" style="236" customWidth="1"/>
    <col min="13577" max="13577" width="13.7109375" style="236" customWidth="1"/>
    <col min="13578" max="13579" width="9" style="236" customWidth="1"/>
    <col min="13580" max="13580" width="2.5703125" style="236" customWidth="1"/>
    <col min="13581" max="13581" width="8.85546875" style="236" customWidth="1"/>
    <col min="13582" max="13582" width="7.5703125" style="236" customWidth="1"/>
    <col min="13583" max="13585" width="3.7109375" style="236" customWidth="1"/>
    <col min="13586" max="13586" width="3.5703125" style="236" customWidth="1"/>
    <col min="13587" max="13587" width="2.85546875" style="236" customWidth="1"/>
    <col min="13588" max="13588" width="3" style="236" customWidth="1"/>
    <col min="13589" max="13591" width="0" style="236" hidden="1" customWidth="1"/>
    <col min="13592" max="13592" width="4.42578125" style="236" customWidth="1"/>
    <col min="13593" max="13593" width="0" style="236" hidden="1" customWidth="1"/>
    <col min="13594" max="13595" width="14.85546875" style="236" customWidth="1"/>
    <col min="13596" max="13596" width="15.140625" style="236" customWidth="1"/>
    <col min="13597" max="13597" width="6.42578125" style="236" customWidth="1"/>
    <col min="13598" max="13598" width="15.140625" style="236" customWidth="1"/>
    <col min="13599" max="13599" width="4.140625" style="236" customWidth="1"/>
    <col min="13600" max="13600" width="3" style="236" customWidth="1"/>
    <col min="13601" max="13603" width="0" style="236" hidden="1" customWidth="1"/>
    <col min="13604" max="13604" width="3" style="236" customWidth="1"/>
    <col min="13605" max="13605" width="0" style="236" hidden="1" customWidth="1"/>
    <col min="13606" max="13606" width="3" style="236" customWidth="1"/>
    <col min="13607" max="13607" width="0" style="236" hidden="1" customWidth="1"/>
    <col min="13608" max="13608" width="4.42578125" style="236" customWidth="1"/>
    <col min="13609" max="13609" width="34.28515625" style="236" customWidth="1"/>
    <col min="13610" max="13610" width="23.42578125" style="236" customWidth="1"/>
    <col min="13611" max="13611" width="9.140625" style="236" customWidth="1"/>
    <col min="13612" max="13612" width="19.5703125" style="236" customWidth="1"/>
    <col min="13613" max="13613" width="42.7109375" style="236" customWidth="1"/>
    <col min="13614" max="13614" width="5.85546875" style="236" customWidth="1"/>
    <col min="13615" max="13615" width="31.5703125" style="236" customWidth="1"/>
    <col min="13616" max="13616" width="16.140625" style="236" customWidth="1"/>
    <col min="13617" max="13618" width="9.28515625" style="236" customWidth="1"/>
    <col min="13619" max="13619" width="11.140625" style="236" customWidth="1"/>
    <col min="13620" max="13620" width="2.140625" style="236" customWidth="1"/>
    <col min="13621" max="13826" width="11.42578125" style="236"/>
    <col min="13827" max="13827" width="12" style="236" customWidth="1"/>
    <col min="13828" max="13828" width="2.7109375" style="236" customWidth="1"/>
    <col min="13829" max="13830" width="6.5703125" style="236" customWidth="1"/>
    <col min="13831" max="13831" width="5.85546875" style="236" customWidth="1"/>
    <col min="13832" max="13832" width="6.5703125" style="236" customWidth="1"/>
    <col min="13833" max="13833" width="13.7109375" style="236" customWidth="1"/>
    <col min="13834" max="13835" width="9" style="236" customWidth="1"/>
    <col min="13836" max="13836" width="2.5703125" style="236" customWidth="1"/>
    <col min="13837" max="13837" width="8.85546875" style="236" customWidth="1"/>
    <col min="13838" max="13838" width="7.5703125" style="236" customWidth="1"/>
    <col min="13839" max="13841" width="3.7109375" style="236" customWidth="1"/>
    <col min="13842" max="13842" width="3.5703125" style="236" customWidth="1"/>
    <col min="13843" max="13843" width="2.85546875" style="236" customWidth="1"/>
    <col min="13844" max="13844" width="3" style="236" customWidth="1"/>
    <col min="13845" max="13847" width="0" style="236" hidden="1" customWidth="1"/>
    <col min="13848" max="13848" width="4.42578125" style="236" customWidth="1"/>
    <col min="13849" max="13849" width="0" style="236" hidden="1" customWidth="1"/>
    <col min="13850" max="13851" width="14.85546875" style="236" customWidth="1"/>
    <col min="13852" max="13852" width="15.140625" style="236" customWidth="1"/>
    <col min="13853" max="13853" width="6.42578125" style="236" customWidth="1"/>
    <col min="13854" max="13854" width="15.140625" style="236" customWidth="1"/>
    <col min="13855" max="13855" width="4.140625" style="236" customWidth="1"/>
    <col min="13856" max="13856" width="3" style="236" customWidth="1"/>
    <col min="13857" max="13859" width="0" style="236" hidden="1" customWidth="1"/>
    <col min="13860" max="13860" width="3" style="236" customWidth="1"/>
    <col min="13861" max="13861" width="0" style="236" hidden="1" customWidth="1"/>
    <col min="13862" max="13862" width="3" style="236" customWidth="1"/>
    <col min="13863" max="13863" width="0" style="236" hidden="1" customWidth="1"/>
    <col min="13864" max="13864" width="4.42578125" style="236" customWidth="1"/>
    <col min="13865" max="13865" width="34.28515625" style="236" customWidth="1"/>
    <col min="13866" max="13866" width="23.42578125" style="236" customWidth="1"/>
    <col min="13867" max="13867" width="9.140625" style="236" customWidth="1"/>
    <col min="13868" max="13868" width="19.5703125" style="236" customWidth="1"/>
    <col min="13869" max="13869" width="42.7109375" style="236" customWidth="1"/>
    <col min="13870" max="13870" width="5.85546875" style="236" customWidth="1"/>
    <col min="13871" max="13871" width="31.5703125" style="236" customWidth="1"/>
    <col min="13872" max="13872" width="16.140625" style="236" customWidth="1"/>
    <col min="13873" max="13874" width="9.28515625" style="236" customWidth="1"/>
    <col min="13875" max="13875" width="11.140625" style="236" customWidth="1"/>
    <col min="13876" max="13876" width="2.140625" style="236" customWidth="1"/>
    <col min="13877" max="14082" width="11.42578125" style="236"/>
    <col min="14083" max="14083" width="12" style="236" customWidth="1"/>
    <col min="14084" max="14084" width="2.7109375" style="236" customWidth="1"/>
    <col min="14085" max="14086" width="6.5703125" style="236" customWidth="1"/>
    <col min="14087" max="14087" width="5.85546875" style="236" customWidth="1"/>
    <col min="14088" max="14088" width="6.5703125" style="236" customWidth="1"/>
    <col min="14089" max="14089" width="13.7109375" style="236" customWidth="1"/>
    <col min="14090" max="14091" width="9" style="236" customWidth="1"/>
    <col min="14092" max="14092" width="2.5703125" style="236" customWidth="1"/>
    <col min="14093" max="14093" width="8.85546875" style="236" customWidth="1"/>
    <col min="14094" max="14094" width="7.5703125" style="236" customWidth="1"/>
    <col min="14095" max="14097" width="3.7109375" style="236" customWidth="1"/>
    <col min="14098" max="14098" width="3.5703125" style="236" customWidth="1"/>
    <col min="14099" max="14099" width="2.85546875" style="236" customWidth="1"/>
    <col min="14100" max="14100" width="3" style="236" customWidth="1"/>
    <col min="14101" max="14103" width="0" style="236" hidden="1" customWidth="1"/>
    <col min="14104" max="14104" width="4.42578125" style="236" customWidth="1"/>
    <col min="14105" max="14105" width="0" style="236" hidden="1" customWidth="1"/>
    <col min="14106" max="14107" width="14.85546875" style="236" customWidth="1"/>
    <col min="14108" max="14108" width="15.140625" style="236" customWidth="1"/>
    <col min="14109" max="14109" width="6.42578125" style="236" customWidth="1"/>
    <col min="14110" max="14110" width="15.140625" style="236" customWidth="1"/>
    <col min="14111" max="14111" width="4.140625" style="236" customWidth="1"/>
    <col min="14112" max="14112" width="3" style="236" customWidth="1"/>
    <col min="14113" max="14115" width="0" style="236" hidden="1" customWidth="1"/>
    <col min="14116" max="14116" width="3" style="236" customWidth="1"/>
    <col min="14117" max="14117" width="0" style="236" hidden="1" customWidth="1"/>
    <col min="14118" max="14118" width="3" style="236" customWidth="1"/>
    <col min="14119" max="14119" width="0" style="236" hidden="1" customWidth="1"/>
    <col min="14120" max="14120" width="4.42578125" style="236" customWidth="1"/>
    <col min="14121" max="14121" width="34.28515625" style="236" customWidth="1"/>
    <col min="14122" max="14122" width="23.42578125" style="236" customWidth="1"/>
    <col min="14123" max="14123" width="9.140625" style="236" customWidth="1"/>
    <col min="14124" max="14124" width="19.5703125" style="236" customWidth="1"/>
    <col min="14125" max="14125" width="42.7109375" style="236" customWidth="1"/>
    <col min="14126" max="14126" width="5.85546875" style="236" customWidth="1"/>
    <col min="14127" max="14127" width="31.5703125" style="236" customWidth="1"/>
    <col min="14128" max="14128" width="16.140625" style="236" customWidth="1"/>
    <col min="14129" max="14130" width="9.28515625" style="236" customWidth="1"/>
    <col min="14131" max="14131" width="11.140625" style="236" customWidth="1"/>
    <col min="14132" max="14132" width="2.140625" style="236" customWidth="1"/>
    <col min="14133" max="14338" width="11.42578125" style="236"/>
    <col min="14339" max="14339" width="12" style="236" customWidth="1"/>
    <col min="14340" max="14340" width="2.7109375" style="236" customWidth="1"/>
    <col min="14341" max="14342" width="6.5703125" style="236" customWidth="1"/>
    <col min="14343" max="14343" width="5.85546875" style="236" customWidth="1"/>
    <col min="14344" max="14344" width="6.5703125" style="236" customWidth="1"/>
    <col min="14345" max="14345" width="13.7109375" style="236" customWidth="1"/>
    <col min="14346" max="14347" width="9" style="236" customWidth="1"/>
    <col min="14348" max="14348" width="2.5703125" style="236" customWidth="1"/>
    <col min="14349" max="14349" width="8.85546875" style="236" customWidth="1"/>
    <col min="14350" max="14350" width="7.5703125" style="236" customWidth="1"/>
    <col min="14351" max="14353" width="3.7109375" style="236" customWidth="1"/>
    <col min="14354" max="14354" width="3.5703125" style="236" customWidth="1"/>
    <col min="14355" max="14355" width="2.85546875" style="236" customWidth="1"/>
    <col min="14356" max="14356" width="3" style="236" customWidth="1"/>
    <col min="14357" max="14359" width="0" style="236" hidden="1" customWidth="1"/>
    <col min="14360" max="14360" width="4.42578125" style="236" customWidth="1"/>
    <col min="14361" max="14361" width="0" style="236" hidden="1" customWidth="1"/>
    <col min="14362" max="14363" width="14.85546875" style="236" customWidth="1"/>
    <col min="14364" max="14364" width="15.140625" style="236" customWidth="1"/>
    <col min="14365" max="14365" width="6.42578125" style="236" customWidth="1"/>
    <col min="14366" max="14366" width="15.140625" style="236" customWidth="1"/>
    <col min="14367" max="14367" width="4.140625" style="236" customWidth="1"/>
    <col min="14368" max="14368" width="3" style="236" customWidth="1"/>
    <col min="14369" max="14371" width="0" style="236" hidden="1" customWidth="1"/>
    <col min="14372" max="14372" width="3" style="236" customWidth="1"/>
    <col min="14373" max="14373" width="0" style="236" hidden="1" customWidth="1"/>
    <col min="14374" max="14374" width="3" style="236" customWidth="1"/>
    <col min="14375" max="14375" width="0" style="236" hidden="1" customWidth="1"/>
    <col min="14376" max="14376" width="4.42578125" style="236" customWidth="1"/>
    <col min="14377" max="14377" width="34.28515625" style="236" customWidth="1"/>
    <col min="14378" max="14378" width="23.42578125" style="236" customWidth="1"/>
    <col min="14379" max="14379" width="9.140625" style="236" customWidth="1"/>
    <col min="14380" max="14380" width="19.5703125" style="236" customWidth="1"/>
    <col min="14381" max="14381" width="42.7109375" style="236" customWidth="1"/>
    <col min="14382" max="14382" width="5.85546875" style="236" customWidth="1"/>
    <col min="14383" max="14383" width="31.5703125" style="236" customWidth="1"/>
    <col min="14384" max="14384" width="16.140625" style="236" customWidth="1"/>
    <col min="14385" max="14386" width="9.28515625" style="236" customWidth="1"/>
    <col min="14387" max="14387" width="11.140625" style="236" customWidth="1"/>
    <col min="14388" max="14388" width="2.140625" style="236" customWidth="1"/>
    <col min="14389" max="14594" width="11.42578125" style="236"/>
    <col min="14595" max="14595" width="12" style="236" customWidth="1"/>
    <col min="14596" max="14596" width="2.7109375" style="236" customWidth="1"/>
    <col min="14597" max="14598" width="6.5703125" style="236" customWidth="1"/>
    <col min="14599" max="14599" width="5.85546875" style="236" customWidth="1"/>
    <col min="14600" max="14600" width="6.5703125" style="236" customWidth="1"/>
    <col min="14601" max="14601" width="13.7109375" style="236" customWidth="1"/>
    <col min="14602" max="14603" width="9" style="236" customWidth="1"/>
    <col min="14604" max="14604" width="2.5703125" style="236" customWidth="1"/>
    <col min="14605" max="14605" width="8.85546875" style="236" customWidth="1"/>
    <col min="14606" max="14606" width="7.5703125" style="236" customWidth="1"/>
    <col min="14607" max="14609" width="3.7109375" style="236" customWidth="1"/>
    <col min="14610" max="14610" width="3.5703125" style="236" customWidth="1"/>
    <col min="14611" max="14611" width="2.85546875" style="236" customWidth="1"/>
    <col min="14612" max="14612" width="3" style="236" customWidth="1"/>
    <col min="14613" max="14615" width="0" style="236" hidden="1" customWidth="1"/>
    <col min="14616" max="14616" width="4.42578125" style="236" customWidth="1"/>
    <col min="14617" max="14617" width="0" style="236" hidden="1" customWidth="1"/>
    <col min="14618" max="14619" width="14.85546875" style="236" customWidth="1"/>
    <col min="14620" max="14620" width="15.140625" style="236" customWidth="1"/>
    <col min="14621" max="14621" width="6.42578125" style="236" customWidth="1"/>
    <col min="14622" max="14622" width="15.140625" style="236" customWidth="1"/>
    <col min="14623" max="14623" width="4.140625" style="236" customWidth="1"/>
    <col min="14624" max="14624" width="3" style="236" customWidth="1"/>
    <col min="14625" max="14627" width="0" style="236" hidden="1" customWidth="1"/>
    <col min="14628" max="14628" width="3" style="236" customWidth="1"/>
    <col min="14629" max="14629" width="0" style="236" hidden="1" customWidth="1"/>
    <col min="14630" max="14630" width="3" style="236" customWidth="1"/>
    <col min="14631" max="14631" width="0" style="236" hidden="1" customWidth="1"/>
    <col min="14632" max="14632" width="4.42578125" style="236" customWidth="1"/>
    <col min="14633" max="14633" width="34.28515625" style="236" customWidth="1"/>
    <col min="14634" max="14634" width="23.42578125" style="236" customWidth="1"/>
    <col min="14635" max="14635" width="9.140625" style="236" customWidth="1"/>
    <col min="14636" max="14636" width="19.5703125" style="236" customWidth="1"/>
    <col min="14637" max="14637" width="42.7109375" style="236" customWidth="1"/>
    <col min="14638" max="14638" width="5.85546875" style="236" customWidth="1"/>
    <col min="14639" max="14639" width="31.5703125" style="236" customWidth="1"/>
    <col min="14640" max="14640" width="16.140625" style="236" customWidth="1"/>
    <col min="14641" max="14642" width="9.28515625" style="236" customWidth="1"/>
    <col min="14643" max="14643" width="11.140625" style="236" customWidth="1"/>
    <col min="14644" max="14644" width="2.140625" style="236" customWidth="1"/>
    <col min="14645" max="14850" width="11.42578125" style="236"/>
    <col min="14851" max="14851" width="12" style="236" customWidth="1"/>
    <col min="14852" max="14852" width="2.7109375" style="236" customWidth="1"/>
    <col min="14853" max="14854" width="6.5703125" style="236" customWidth="1"/>
    <col min="14855" max="14855" width="5.85546875" style="236" customWidth="1"/>
    <col min="14856" max="14856" width="6.5703125" style="236" customWidth="1"/>
    <col min="14857" max="14857" width="13.7109375" style="236" customWidth="1"/>
    <col min="14858" max="14859" width="9" style="236" customWidth="1"/>
    <col min="14860" max="14860" width="2.5703125" style="236" customWidth="1"/>
    <col min="14861" max="14861" width="8.85546875" style="236" customWidth="1"/>
    <col min="14862" max="14862" width="7.5703125" style="236" customWidth="1"/>
    <col min="14863" max="14865" width="3.7109375" style="236" customWidth="1"/>
    <col min="14866" max="14866" width="3.5703125" style="236" customWidth="1"/>
    <col min="14867" max="14867" width="2.85546875" style="236" customWidth="1"/>
    <col min="14868" max="14868" width="3" style="236" customWidth="1"/>
    <col min="14869" max="14871" width="0" style="236" hidden="1" customWidth="1"/>
    <col min="14872" max="14872" width="4.42578125" style="236" customWidth="1"/>
    <col min="14873" max="14873" width="0" style="236" hidden="1" customWidth="1"/>
    <col min="14874" max="14875" width="14.85546875" style="236" customWidth="1"/>
    <col min="14876" max="14876" width="15.140625" style="236" customWidth="1"/>
    <col min="14877" max="14877" width="6.42578125" style="236" customWidth="1"/>
    <col min="14878" max="14878" width="15.140625" style="236" customWidth="1"/>
    <col min="14879" max="14879" width="4.140625" style="236" customWidth="1"/>
    <col min="14880" max="14880" width="3" style="236" customWidth="1"/>
    <col min="14881" max="14883" width="0" style="236" hidden="1" customWidth="1"/>
    <col min="14884" max="14884" width="3" style="236" customWidth="1"/>
    <col min="14885" max="14885" width="0" style="236" hidden="1" customWidth="1"/>
    <col min="14886" max="14886" width="3" style="236" customWidth="1"/>
    <col min="14887" max="14887" width="0" style="236" hidden="1" customWidth="1"/>
    <col min="14888" max="14888" width="4.42578125" style="236" customWidth="1"/>
    <col min="14889" max="14889" width="34.28515625" style="236" customWidth="1"/>
    <col min="14890" max="14890" width="23.42578125" style="236" customWidth="1"/>
    <col min="14891" max="14891" width="9.140625" style="236" customWidth="1"/>
    <col min="14892" max="14892" width="19.5703125" style="236" customWidth="1"/>
    <col min="14893" max="14893" width="42.7109375" style="236" customWidth="1"/>
    <col min="14894" max="14894" width="5.85546875" style="236" customWidth="1"/>
    <col min="14895" max="14895" width="31.5703125" style="236" customWidth="1"/>
    <col min="14896" max="14896" width="16.140625" style="236" customWidth="1"/>
    <col min="14897" max="14898" width="9.28515625" style="236" customWidth="1"/>
    <col min="14899" max="14899" width="11.140625" style="236" customWidth="1"/>
    <col min="14900" max="14900" width="2.140625" style="236" customWidth="1"/>
    <col min="14901" max="15106" width="11.42578125" style="236"/>
    <col min="15107" max="15107" width="12" style="236" customWidth="1"/>
    <col min="15108" max="15108" width="2.7109375" style="236" customWidth="1"/>
    <col min="15109" max="15110" width="6.5703125" style="236" customWidth="1"/>
    <col min="15111" max="15111" width="5.85546875" style="236" customWidth="1"/>
    <col min="15112" max="15112" width="6.5703125" style="236" customWidth="1"/>
    <col min="15113" max="15113" width="13.7109375" style="236" customWidth="1"/>
    <col min="15114" max="15115" width="9" style="236" customWidth="1"/>
    <col min="15116" max="15116" width="2.5703125" style="236" customWidth="1"/>
    <col min="15117" max="15117" width="8.85546875" style="236" customWidth="1"/>
    <col min="15118" max="15118" width="7.5703125" style="236" customWidth="1"/>
    <col min="15119" max="15121" width="3.7109375" style="236" customWidth="1"/>
    <col min="15122" max="15122" width="3.5703125" style="236" customWidth="1"/>
    <col min="15123" max="15123" width="2.85546875" style="236" customWidth="1"/>
    <col min="15124" max="15124" width="3" style="236" customWidth="1"/>
    <col min="15125" max="15127" width="0" style="236" hidden="1" customWidth="1"/>
    <col min="15128" max="15128" width="4.42578125" style="236" customWidth="1"/>
    <col min="15129" max="15129" width="0" style="236" hidden="1" customWidth="1"/>
    <col min="15130" max="15131" width="14.85546875" style="236" customWidth="1"/>
    <col min="15132" max="15132" width="15.140625" style="236" customWidth="1"/>
    <col min="15133" max="15133" width="6.42578125" style="236" customWidth="1"/>
    <col min="15134" max="15134" width="15.140625" style="236" customWidth="1"/>
    <col min="15135" max="15135" width="4.140625" style="236" customWidth="1"/>
    <col min="15136" max="15136" width="3" style="236" customWidth="1"/>
    <col min="15137" max="15139" width="0" style="236" hidden="1" customWidth="1"/>
    <col min="15140" max="15140" width="3" style="236" customWidth="1"/>
    <col min="15141" max="15141" width="0" style="236" hidden="1" customWidth="1"/>
    <col min="15142" max="15142" width="3" style="236" customWidth="1"/>
    <col min="15143" max="15143" width="0" style="236" hidden="1" customWidth="1"/>
    <col min="15144" max="15144" width="4.42578125" style="236" customWidth="1"/>
    <col min="15145" max="15145" width="34.28515625" style="236" customWidth="1"/>
    <col min="15146" max="15146" width="23.42578125" style="236" customWidth="1"/>
    <col min="15147" max="15147" width="9.140625" style="236" customWidth="1"/>
    <col min="15148" max="15148" width="19.5703125" style="236" customWidth="1"/>
    <col min="15149" max="15149" width="42.7109375" style="236" customWidth="1"/>
    <col min="15150" max="15150" width="5.85546875" style="236" customWidth="1"/>
    <col min="15151" max="15151" width="31.5703125" style="236" customWidth="1"/>
    <col min="15152" max="15152" width="16.140625" style="236" customWidth="1"/>
    <col min="15153" max="15154" width="9.28515625" style="236" customWidth="1"/>
    <col min="15155" max="15155" width="11.140625" style="236" customWidth="1"/>
    <col min="15156" max="15156" width="2.140625" style="236" customWidth="1"/>
    <col min="15157" max="15362" width="11.42578125" style="236"/>
    <col min="15363" max="15363" width="12" style="236" customWidth="1"/>
    <col min="15364" max="15364" width="2.7109375" style="236" customWidth="1"/>
    <col min="15365" max="15366" width="6.5703125" style="236" customWidth="1"/>
    <col min="15367" max="15367" width="5.85546875" style="236" customWidth="1"/>
    <col min="15368" max="15368" width="6.5703125" style="236" customWidth="1"/>
    <col min="15369" max="15369" width="13.7109375" style="236" customWidth="1"/>
    <col min="15370" max="15371" width="9" style="236" customWidth="1"/>
    <col min="15372" max="15372" width="2.5703125" style="236" customWidth="1"/>
    <col min="15373" max="15373" width="8.85546875" style="236" customWidth="1"/>
    <col min="15374" max="15374" width="7.5703125" style="236" customWidth="1"/>
    <col min="15375" max="15377" width="3.7109375" style="236" customWidth="1"/>
    <col min="15378" max="15378" width="3.5703125" style="236" customWidth="1"/>
    <col min="15379" max="15379" width="2.85546875" style="236" customWidth="1"/>
    <col min="15380" max="15380" width="3" style="236" customWidth="1"/>
    <col min="15381" max="15383" width="0" style="236" hidden="1" customWidth="1"/>
    <col min="15384" max="15384" width="4.42578125" style="236" customWidth="1"/>
    <col min="15385" max="15385" width="0" style="236" hidden="1" customWidth="1"/>
    <col min="15386" max="15387" width="14.85546875" style="236" customWidth="1"/>
    <col min="15388" max="15388" width="15.140625" style="236" customWidth="1"/>
    <col min="15389" max="15389" width="6.42578125" style="236" customWidth="1"/>
    <col min="15390" max="15390" width="15.140625" style="236" customWidth="1"/>
    <col min="15391" max="15391" width="4.140625" style="236" customWidth="1"/>
    <col min="15392" max="15392" width="3" style="236" customWidth="1"/>
    <col min="15393" max="15395" width="0" style="236" hidden="1" customWidth="1"/>
    <col min="15396" max="15396" width="3" style="236" customWidth="1"/>
    <col min="15397" max="15397" width="0" style="236" hidden="1" customWidth="1"/>
    <col min="15398" max="15398" width="3" style="236" customWidth="1"/>
    <col min="15399" max="15399" width="0" style="236" hidden="1" customWidth="1"/>
    <col min="15400" max="15400" width="4.42578125" style="236" customWidth="1"/>
    <col min="15401" max="15401" width="34.28515625" style="236" customWidth="1"/>
    <col min="15402" max="15402" width="23.42578125" style="236" customWidth="1"/>
    <col min="15403" max="15403" width="9.140625" style="236" customWidth="1"/>
    <col min="15404" max="15404" width="19.5703125" style="236" customWidth="1"/>
    <col min="15405" max="15405" width="42.7109375" style="236" customWidth="1"/>
    <col min="15406" max="15406" width="5.85546875" style="236" customWidth="1"/>
    <col min="15407" max="15407" width="31.5703125" style="236" customWidth="1"/>
    <col min="15408" max="15408" width="16.140625" style="236" customWidth="1"/>
    <col min="15409" max="15410" width="9.28515625" style="236" customWidth="1"/>
    <col min="15411" max="15411" width="11.140625" style="236" customWidth="1"/>
    <col min="15412" max="15412" width="2.140625" style="236" customWidth="1"/>
    <col min="15413" max="15618" width="11.42578125" style="236"/>
    <col min="15619" max="15619" width="12" style="236" customWidth="1"/>
    <col min="15620" max="15620" width="2.7109375" style="236" customWidth="1"/>
    <col min="15621" max="15622" width="6.5703125" style="236" customWidth="1"/>
    <col min="15623" max="15623" width="5.85546875" style="236" customWidth="1"/>
    <col min="15624" max="15624" width="6.5703125" style="236" customWidth="1"/>
    <col min="15625" max="15625" width="13.7109375" style="236" customWidth="1"/>
    <col min="15626" max="15627" width="9" style="236" customWidth="1"/>
    <col min="15628" max="15628" width="2.5703125" style="236" customWidth="1"/>
    <col min="15629" max="15629" width="8.85546875" style="236" customWidth="1"/>
    <col min="15630" max="15630" width="7.5703125" style="236" customWidth="1"/>
    <col min="15631" max="15633" width="3.7109375" style="236" customWidth="1"/>
    <col min="15634" max="15634" width="3.5703125" style="236" customWidth="1"/>
    <col min="15635" max="15635" width="2.85546875" style="236" customWidth="1"/>
    <col min="15636" max="15636" width="3" style="236" customWidth="1"/>
    <col min="15637" max="15639" width="0" style="236" hidden="1" customWidth="1"/>
    <col min="15640" max="15640" width="4.42578125" style="236" customWidth="1"/>
    <col min="15641" max="15641" width="0" style="236" hidden="1" customWidth="1"/>
    <col min="15642" max="15643" width="14.85546875" style="236" customWidth="1"/>
    <col min="15644" max="15644" width="15.140625" style="236" customWidth="1"/>
    <col min="15645" max="15645" width="6.42578125" style="236" customWidth="1"/>
    <col min="15646" max="15646" width="15.140625" style="236" customWidth="1"/>
    <col min="15647" max="15647" width="4.140625" style="236" customWidth="1"/>
    <col min="15648" max="15648" width="3" style="236" customWidth="1"/>
    <col min="15649" max="15651" width="0" style="236" hidden="1" customWidth="1"/>
    <col min="15652" max="15652" width="3" style="236" customWidth="1"/>
    <col min="15653" max="15653" width="0" style="236" hidden="1" customWidth="1"/>
    <col min="15654" max="15654" width="3" style="236" customWidth="1"/>
    <col min="15655" max="15655" width="0" style="236" hidden="1" customWidth="1"/>
    <col min="15656" max="15656" width="4.42578125" style="236" customWidth="1"/>
    <col min="15657" max="15657" width="34.28515625" style="236" customWidth="1"/>
    <col min="15658" max="15658" width="23.42578125" style="236" customWidth="1"/>
    <col min="15659" max="15659" width="9.140625" style="236" customWidth="1"/>
    <col min="15660" max="15660" width="19.5703125" style="236" customWidth="1"/>
    <col min="15661" max="15661" width="42.7109375" style="236" customWidth="1"/>
    <col min="15662" max="15662" width="5.85546875" style="236" customWidth="1"/>
    <col min="15663" max="15663" width="31.5703125" style="236" customWidth="1"/>
    <col min="15664" max="15664" width="16.140625" style="236" customWidth="1"/>
    <col min="15665" max="15666" width="9.28515625" style="236" customWidth="1"/>
    <col min="15667" max="15667" width="11.140625" style="236" customWidth="1"/>
    <col min="15668" max="15668" width="2.140625" style="236" customWidth="1"/>
    <col min="15669" max="15874" width="11.42578125" style="236"/>
    <col min="15875" max="15875" width="12" style="236" customWidth="1"/>
    <col min="15876" max="15876" width="2.7109375" style="236" customWidth="1"/>
    <col min="15877" max="15878" width="6.5703125" style="236" customWidth="1"/>
    <col min="15879" max="15879" width="5.85546875" style="236" customWidth="1"/>
    <col min="15880" max="15880" width="6.5703125" style="236" customWidth="1"/>
    <col min="15881" max="15881" width="13.7109375" style="236" customWidth="1"/>
    <col min="15882" max="15883" width="9" style="236" customWidth="1"/>
    <col min="15884" max="15884" width="2.5703125" style="236" customWidth="1"/>
    <col min="15885" max="15885" width="8.85546875" style="236" customWidth="1"/>
    <col min="15886" max="15886" width="7.5703125" style="236" customWidth="1"/>
    <col min="15887" max="15889" width="3.7109375" style="236" customWidth="1"/>
    <col min="15890" max="15890" width="3.5703125" style="236" customWidth="1"/>
    <col min="15891" max="15891" width="2.85546875" style="236" customWidth="1"/>
    <col min="15892" max="15892" width="3" style="236" customWidth="1"/>
    <col min="15893" max="15895" width="0" style="236" hidden="1" customWidth="1"/>
    <col min="15896" max="15896" width="4.42578125" style="236" customWidth="1"/>
    <col min="15897" max="15897" width="0" style="236" hidden="1" customWidth="1"/>
    <col min="15898" max="15899" width="14.85546875" style="236" customWidth="1"/>
    <col min="15900" max="15900" width="15.140625" style="236" customWidth="1"/>
    <col min="15901" max="15901" width="6.42578125" style="236" customWidth="1"/>
    <col min="15902" max="15902" width="15.140625" style="236" customWidth="1"/>
    <col min="15903" max="15903" width="4.140625" style="236" customWidth="1"/>
    <col min="15904" max="15904" width="3" style="236" customWidth="1"/>
    <col min="15905" max="15907" width="0" style="236" hidden="1" customWidth="1"/>
    <col min="15908" max="15908" width="3" style="236" customWidth="1"/>
    <col min="15909" max="15909" width="0" style="236" hidden="1" customWidth="1"/>
    <col min="15910" max="15910" width="3" style="236" customWidth="1"/>
    <col min="15911" max="15911" width="0" style="236" hidden="1" customWidth="1"/>
    <col min="15912" max="15912" width="4.42578125" style="236" customWidth="1"/>
    <col min="15913" max="15913" width="34.28515625" style="236" customWidth="1"/>
    <col min="15914" max="15914" width="23.42578125" style="236" customWidth="1"/>
    <col min="15915" max="15915" width="9.140625" style="236" customWidth="1"/>
    <col min="15916" max="15916" width="19.5703125" style="236" customWidth="1"/>
    <col min="15917" max="15917" width="42.7109375" style="236" customWidth="1"/>
    <col min="15918" max="15918" width="5.85546875" style="236" customWidth="1"/>
    <col min="15919" max="15919" width="31.5703125" style="236" customWidth="1"/>
    <col min="15920" max="15920" width="16.140625" style="236" customWidth="1"/>
    <col min="15921" max="15922" width="9.28515625" style="236" customWidth="1"/>
    <col min="15923" max="15923" width="11.140625" style="236" customWidth="1"/>
    <col min="15924" max="15924" width="2.140625" style="236" customWidth="1"/>
    <col min="15925" max="16130" width="11.42578125" style="236"/>
    <col min="16131" max="16131" width="12" style="236" customWidth="1"/>
    <col min="16132" max="16132" width="2.7109375" style="236" customWidth="1"/>
    <col min="16133" max="16134" width="6.5703125" style="236" customWidth="1"/>
    <col min="16135" max="16135" width="5.85546875" style="236" customWidth="1"/>
    <col min="16136" max="16136" width="6.5703125" style="236" customWidth="1"/>
    <col min="16137" max="16137" width="13.7109375" style="236" customWidth="1"/>
    <col min="16138" max="16139" width="9" style="236" customWidth="1"/>
    <col min="16140" max="16140" width="2.5703125" style="236" customWidth="1"/>
    <col min="16141" max="16141" width="8.85546875" style="236" customWidth="1"/>
    <col min="16142" max="16142" width="7.5703125" style="236" customWidth="1"/>
    <col min="16143" max="16145" width="3.7109375" style="236" customWidth="1"/>
    <col min="16146" max="16146" width="3.5703125" style="236" customWidth="1"/>
    <col min="16147" max="16147" width="2.85546875" style="236" customWidth="1"/>
    <col min="16148" max="16148" width="3" style="236" customWidth="1"/>
    <col min="16149" max="16151" width="0" style="236" hidden="1" customWidth="1"/>
    <col min="16152" max="16152" width="4.42578125" style="236" customWidth="1"/>
    <col min="16153" max="16153" width="0" style="236" hidden="1" customWidth="1"/>
    <col min="16154" max="16155" width="14.85546875" style="236" customWidth="1"/>
    <col min="16156" max="16156" width="15.140625" style="236" customWidth="1"/>
    <col min="16157" max="16157" width="6.42578125" style="236" customWidth="1"/>
    <col min="16158" max="16158" width="15.140625" style="236" customWidth="1"/>
    <col min="16159" max="16159" width="4.140625" style="236" customWidth="1"/>
    <col min="16160" max="16160" width="3" style="236" customWidth="1"/>
    <col min="16161" max="16163" width="0" style="236" hidden="1" customWidth="1"/>
    <col min="16164" max="16164" width="3" style="236" customWidth="1"/>
    <col min="16165" max="16165" width="0" style="236" hidden="1" customWidth="1"/>
    <col min="16166" max="16166" width="3" style="236" customWidth="1"/>
    <col min="16167" max="16167" width="0" style="236" hidden="1" customWidth="1"/>
    <col min="16168" max="16168" width="4.42578125" style="236" customWidth="1"/>
    <col min="16169" max="16169" width="34.28515625" style="236" customWidth="1"/>
    <col min="16170" max="16170" width="23.42578125" style="236" customWidth="1"/>
    <col min="16171" max="16171" width="9.140625" style="236" customWidth="1"/>
    <col min="16172" max="16172" width="19.5703125" style="236" customWidth="1"/>
    <col min="16173" max="16173" width="42.7109375" style="236" customWidth="1"/>
    <col min="16174" max="16174" width="5.85546875" style="236" customWidth="1"/>
    <col min="16175" max="16175" width="31.5703125" style="236" customWidth="1"/>
    <col min="16176" max="16176" width="16.140625" style="236" customWidth="1"/>
    <col min="16177" max="16178" width="9.28515625" style="236" customWidth="1"/>
    <col min="16179" max="16179" width="11.140625" style="236" customWidth="1"/>
    <col min="16180" max="16180" width="2.140625" style="236" customWidth="1"/>
    <col min="16181" max="16384" width="11.42578125" style="236"/>
  </cols>
  <sheetData>
    <row r="1" spans="1:1028" ht="11.25" customHeight="1" thickTop="1">
      <c r="A1" s="262"/>
      <c r="B1" s="233"/>
      <c r="C1" s="233"/>
      <c r="D1" s="233"/>
      <c r="E1" s="233"/>
      <c r="F1" s="233"/>
      <c r="G1" s="233"/>
      <c r="H1" s="1248" t="s">
        <v>137</v>
      </c>
      <c r="I1" s="1249"/>
      <c r="J1" s="1249"/>
      <c r="K1" s="1249"/>
      <c r="L1" s="1249"/>
      <c r="M1" s="1249"/>
      <c r="N1" s="1249"/>
      <c r="O1" s="1249"/>
      <c r="P1" s="1249"/>
      <c r="Q1" s="1249"/>
      <c r="R1" s="1249"/>
      <c r="S1" s="1249"/>
      <c r="T1" s="1249"/>
      <c r="U1" s="1249"/>
      <c r="V1" s="1249"/>
      <c r="W1" s="1250"/>
      <c r="X1" s="234"/>
      <c r="Y1" s="1251"/>
      <c r="Z1" s="1252"/>
      <c r="AA1" s="1257" t="s">
        <v>2347</v>
      </c>
      <c r="AB1" s="1257"/>
      <c r="AC1" s="1257"/>
      <c r="AD1" s="1258" t="s">
        <v>636</v>
      </c>
      <c r="AE1" s="2037" t="s">
        <v>142</v>
      </c>
      <c r="AF1" s="2037"/>
      <c r="AG1" s="2037"/>
      <c r="AH1" s="2037"/>
      <c r="AI1" s="2037"/>
      <c r="AJ1" s="2037"/>
      <c r="AK1" s="2037"/>
      <c r="AL1" s="2037"/>
      <c r="AM1" s="2037"/>
      <c r="AN1" s="2037"/>
      <c r="AO1" s="2037"/>
      <c r="AQ1" s="1247" t="s">
        <v>2320</v>
      </c>
      <c r="AR1" s="1247"/>
      <c r="AS1" s="1247"/>
      <c r="AT1" s="1247"/>
      <c r="AU1" s="233"/>
      <c r="AV1" s="233"/>
      <c r="AW1" s="233"/>
      <c r="AX1" s="1246"/>
      <c r="AY1" s="1246"/>
      <c r="AZ1" s="233"/>
    </row>
    <row r="2" spans="1:1028" ht="14.25" customHeight="1">
      <c r="A2" s="262"/>
      <c r="B2" s="237" t="s">
        <v>2348</v>
      </c>
      <c r="C2" s="233"/>
      <c r="D2" s="233"/>
      <c r="E2" s="233"/>
      <c r="F2" s="233"/>
      <c r="G2" s="233"/>
      <c r="H2" s="1214" t="str">
        <f>UPPER([44]Control!A2)</f>
        <v xml:space="preserve">MATRIZ DE RIESGOS </v>
      </c>
      <c r="I2" s="1215"/>
      <c r="J2" s="1215"/>
      <c r="K2" s="1215"/>
      <c r="L2" s="1215"/>
      <c r="M2" s="1215"/>
      <c r="N2" s="1215"/>
      <c r="O2" s="1215"/>
      <c r="P2" s="1215"/>
      <c r="Q2" s="1215"/>
      <c r="R2" s="1215"/>
      <c r="S2" s="1215"/>
      <c r="T2" s="1215"/>
      <c r="U2" s="1215"/>
      <c r="V2" s="1215"/>
      <c r="W2" s="1216"/>
      <c r="X2" s="238"/>
      <c r="Y2" s="1253"/>
      <c r="Z2" s="1254"/>
      <c r="AA2" s="1257"/>
      <c r="AB2" s="1257"/>
      <c r="AC2" s="1257"/>
      <c r="AD2" s="1259"/>
      <c r="AE2" s="2037"/>
      <c r="AF2" s="2037"/>
      <c r="AG2" s="2037"/>
      <c r="AH2" s="2037"/>
      <c r="AI2" s="2037"/>
      <c r="AJ2" s="2037"/>
      <c r="AK2" s="2037"/>
      <c r="AL2" s="2037"/>
      <c r="AM2" s="2037"/>
      <c r="AN2" s="2037"/>
      <c r="AO2" s="2037"/>
      <c r="AQ2" s="1268" t="s">
        <v>138</v>
      </c>
      <c r="AR2" s="1269"/>
      <c r="AS2" s="1270" t="str">
        <f>AE1</f>
        <v>PLANEACIÓN ESTRATÉGICA</v>
      </c>
      <c r="AT2" s="1271"/>
      <c r="AU2" s="233"/>
      <c r="AV2" s="233"/>
      <c r="AW2" s="233"/>
      <c r="AX2" s="1246"/>
      <c r="AY2" s="1246"/>
      <c r="AZ2" s="233"/>
    </row>
    <row r="3" spans="1:1028" ht="11.25" customHeight="1">
      <c r="A3" s="262"/>
      <c r="B3" s="1435">
        <v>2019</v>
      </c>
      <c r="C3" s="233"/>
      <c r="D3" s="233"/>
      <c r="E3" s="233"/>
      <c r="F3" s="233"/>
      <c r="G3" s="233"/>
      <c r="H3" s="1203" t="s">
        <v>139</v>
      </c>
      <c r="I3" s="1204"/>
      <c r="J3" s="1204" t="s">
        <v>140</v>
      </c>
      <c r="K3" s="1204"/>
      <c r="L3" s="1204"/>
      <c r="M3" s="1204"/>
      <c r="N3" s="1204"/>
      <c r="O3" s="1204"/>
      <c r="P3" s="1205" t="s">
        <v>141</v>
      </c>
      <c r="Q3" s="1204"/>
      <c r="R3" s="1204"/>
      <c r="S3" s="1204"/>
      <c r="T3" s="1204"/>
      <c r="U3" s="1204"/>
      <c r="V3" s="1204"/>
      <c r="W3" s="1206"/>
      <c r="X3" s="238"/>
      <c r="Y3" s="1253"/>
      <c r="Z3" s="1254"/>
      <c r="AA3" s="2035">
        <v>43448</v>
      </c>
      <c r="AB3" s="2036"/>
      <c r="AC3" s="1438"/>
      <c r="AD3" s="1259" t="s">
        <v>2349</v>
      </c>
      <c r="AE3" s="2038" t="s">
        <v>99</v>
      </c>
      <c r="AF3" s="2038"/>
      <c r="AG3" s="2038"/>
      <c r="AH3" s="2038"/>
      <c r="AI3" s="2038"/>
      <c r="AJ3" s="2038"/>
      <c r="AK3" s="2038"/>
      <c r="AL3" s="2038"/>
      <c r="AM3" s="2038"/>
      <c r="AN3" s="2038"/>
      <c r="AO3" s="2038"/>
      <c r="AQ3" s="1265" t="s">
        <v>2322</v>
      </c>
      <c r="AR3" s="1266"/>
      <c r="AS3" s="1266" t="s">
        <v>2323</v>
      </c>
      <c r="AT3" s="1267"/>
      <c r="AU3" s="233"/>
      <c r="AV3" s="233"/>
      <c r="AW3" s="233"/>
      <c r="AX3" s="1246"/>
      <c r="AY3" s="1246"/>
      <c r="AZ3" s="233"/>
    </row>
    <row r="4" spans="1:1028" ht="14.25" customHeight="1" thickBot="1">
      <c r="A4" s="262"/>
      <c r="B4" s="1435"/>
      <c r="C4" s="233"/>
      <c r="D4" s="233"/>
      <c r="E4" s="233"/>
      <c r="F4" s="233"/>
      <c r="G4" s="233"/>
      <c r="H4" s="1236" t="str">
        <f>[44]Control!A4</f>
        <v>FO-PE-06</v>
      </c>
      <c r="I4" s="1237"/>
      <c r="J4" s="1238" t="str">
        <f>[44]Control!C4</f>
        <v>Planeación Estratégica</v>
      </c>
      <c r="K4" s="1237"/>
      <c r="L4" s="1237"/>
      <c r="M4" s="1237"/>
      <c r="N4" s="1237"/>
      <c r="O4" s="1239"/>
      <c r="P4" s="1238">
        <f>[44]Control!H4</f>
        <v>5</v>
      </c>
      <c r="Q4" s="1237"/>
      <c r="R4" s="1237"/>
      <c r="S4" s="1237"/>
      <c r="T4" s="1237"/>
      <c r="U4" s="1237"/>
      <c r="V4" s="1237"/>
      <c r="W4" s="1239"/>
      <c r="X4" s="239"/>
      <c r="Y4" s="1255"/>
      <c r="Z4" s="1256"/>
      <c r="AA4" s="1439"/>
      <c r="AB4" s="1440"/>
      <c r="AC4" s="1441"/>
      <c r="AD4" s="1259"/>
      <c r="AE4" s="2038"/>
      <c r="AF4" s="2038"/>
      <c r="AG4" s="2038"/>
      <c r="AH4" s="2038"/>
      <c r="AI4" s="2038"/>
      <c r="AJ4" s="2038"/>
      <c r="AK4" s="2038"/>
      <c r="AL4" s="2038"/>
      <c r="AM4" s="2038"/>
      <c r="AN4" s="2038"/>
      <c r="AO4" s="2038"/>
      <c r="AQ4" s="1240">
        <v>43708</v>
      </c>
      <c r="AR4" s="1241"/>
      <c r="AS4" s="1242" t="s">
        <v>3818</v>
      </c>
      <c r="AT4" s="1243"/>
      <c r="AU4" s="233"/>
      <c r="AV4" s="233"/>
      <c r="AW4" s="233"/>
      <c r="AX4" s="1246"/>
      <c r="AY4" s="1246"/>
      <c r="AZ4" s="233"/>
    </row>
    <row r="5" spans="1:1028" s="243" customFormat="1" ht="5.25" customHeight="1" thickTop="1">
      <c r="A5" s="245"/>
      <c r="B5" s="240"/>
      <c r="C5" s="241"/>
      <c r="D5" s="241"/>
      <c r="E5" s="241"/>
      <c r="F5" s="241"/>
      <c r="G5" s="240"/>
      <c r="H5" s="242"/>
      <c r="I5" s="242"/>
      <c r="J5" s="242"/>
      <c r="K5" s="241"/>
      <c r="L5" s="241"/>
      <c r="M5" s="241"/>
      <c r="N5" s="241"/>
      <c r="O5" s="241"/>
      <c r="P5" s="241"/>
      <c r="Q5" s="241"/>
      <c r="R5" s="241"/>
      <c r="S5" s="241"/>
      <c r="T5" s="241"/>
      <c r="U5" s="241"/>
      <c r="V5" s="241"/>
      <c r="W5" s="241"/>
      <c r="X5" s="241"/>
      <c r="Y5" s="242"/>
      <c r="Z5" s="242"/>
      <c r="AA5" s="242"/>
      <c r="AB5" s="241"/>
      <c r="AC5" s="242"/>
      <c r="AD5" s="242"/>
      <c r="AE5" s="241"/>
      <c r="AF5" s="241"/>
      <c r="AG5" s="241"/>
      <c r="AH5" s="241"/>
      <c r="AI5" s="241"/>
      <c r="AJ5" s="241"/>
      <c r="AK5" s="241"/>
      <c r="AL5" s="241"/>
      <c r="AM5" s="241"/>
      <c r="AN5" s="240"/>
      <c r="AO5" s="240"/>
      <c r="AP5" s="240"/>
      <c r="AR5" s="244"/>
      <c r="AZ5" s="245"/>
    </row>
    <row r="6" spans="1:1028" s="243" customFormat="1" ht="11.25" customHeight="1">
      <c r="A6" s="245"/>
      <c r="B6" s="1233" t="s">
        <v>143</v>
      </c>
      <c r="C6" s="1234"/>
      <c r="D6" s="1234"/>
      <c r="E6" s="1234"/>
      <c r="F6" s="1234"/>
      <c r="G6" s="1234"/>
      <c r="H6" s="1234"/>
      <c r="I6" s="1234"/>
      <c r="J6" s="1234"/>
      <c r="K6" s="1234"/>
      <c r="L6" s="1234"/>
      <c r="M6" s="1234"/>
      <c r="N6" s="1234"/>
      <c r="O6" s="1234"/>
      <c r="P6" s="1234"/>
      <c r="Q6" s="1235"/>
      <c r="R6" s="1230" t="s">
        <v>1003</v>
      </c>
      <c r="S6" s="1231"/>
      <c r="T6" s="1231"/>
      <c r="U6" s="1231"/>
      <c r="V6" s="1231"/>
      <c r="W6" s="1232"/>
      <c r="X6" s="246"/>
      <c r="Y6" s="1262" t="s">
        <v>2350</v>
      </c>
      <c r="Z6" s="1263"/>
      <c r="AA6" s="1263"/>
      <c r="AB6" s="1263"/>
      <c r="AC6" s="1263"/>
      <c r="AD6" s="1263"/>
      <c r="AE6" s="1263"/>
      <c r="AF6" s="1263"/>
      <c r="AG6" s="1263"/>
      <c r="AH6" s="1263"/>
      <c r="AI6" s="1263"/>
      <c r="AJ6" s="1263"/>
      <c r="AK6" s="1263"/>
      <c r="AL6" s="1263"/>
      <c r="AM6" s="1263"/>
      <c r="AN6" s="1264"/>
      <c r="AO6" s="2033" t="s">
        <v>268</v>
      </c>
      <c r="AP6" s="2034"/>
      <c r="AQ6" s="247" t="s">
        <v>2325</v>
      </c>
      <c r="AR6" s="248"/>
      <c r="AS6" s="248"/>
      <c r="AT6" s="249"/>
      <c r="AU6" s="1244" t="s">
        <v>2326</v>
      </c>
      <c r="AV6" s="1244"/>
      <c r="AW6" s="1244"/>
      <c r="AX6" s="1244"/>
      <c r="AY6" s="1245"/>
      <c r="AZ6" s="245"/>
    </row>
    <row r="7" spans="1:1028" s="243" customFormat="1" ht="23.25" customHeight="1">
      <c r="A7" s="245"/>
      <c r="B7" s="1217" t="s">
        <v>1002</v>
      </c>
      <c r="C7" s="1218" t="s">
        <v>640</v>
      </c>
      <c r="D7" s="1219" t="s">
        <v>1001</v>
      </c>
      <c r="E7" s="1220"/>
      <c r="F7" s="1221"/>
      <c r="G7" s="1217" t="s">
        <v>1000</v>
      </c>
      <c r="H7" s="1219" t="s">
        <v>999</v>
      </c>
      <c r="I7" s="1220"/>
      <c r="J7" s="1221"/>
      <c r="K7" s="1217" t="s">
        <v>145</v>
      </c>
      <c r="L7" s="1217"/>
      <c r="M7" s="1217"/>
      <c r="N7" s="1225" t="s">
        <v>144</v>
      </c>
      <c r="O7" s="1226"/>
      <c r="P7" s="1226"/>
      <c r="Q7" s="1226"/>
      <c r="R7" s="1227" t="s">
        <v>637</v>
      </c>
      <c r="S7" s="1228"/>
      <c r="T7" s="1228"/>
      <c r="U7" s="1228"/>
      <c r="V7" s="1228"/>
      <c r="W7" s="1229"/>
      <c r="X7" s="250"/>
      <c r="Y7" s="1217" t="s">
        <v>2351</v>
      </c>
      <c r="Z7" s="1217"/>
      <c r="AA7" s="1217"/>
      <c r="AB7" s="1284" t="s">
        <v>4175</v>
      </c>
      <c r="AC7" s="1221" t="s">
        <v>998</v>
      </c>
      <c r="AD7" s="1284" t="s">
        <v>641</v>
      </c>
      <c r="AE7" s="1286" t="s">
        <v>546</v>
      </c>
      <c r="AF7" s="1286" t="s">
        <v>638</v>
      </c>
      <c r="AG7" s="251"/>
      <c r="AH7" s="252"/>
      <c r="AI7" s="253"/>
      <c r="AJ7" s="1288" t="s">
        <v>639</v>
      </c>
      <c r="AK7" s="1288"/>
      <c r="AL7" s="1288"/>
      <c r="AM7" s="1288"/>
      <c r="AN7" s="1288"/>
      <c r="AO7" s="2032" t="s">
        <v>2352</v>
      </c>
      <c r="AP7" s="1431" t="s">
        <v>2328</v>
      </c>
      <c r="AQ7" s="1432" t="s">
        <v>2353</v>
      </c>
      <c r="AR7" s="1431" t="s">
        <v>2330</v>
      </c>
      <c r="AS7" s="1432" t="s">
        <v>2354</v>
      </c>
      <c r="AT7" s="1432" t="s">
        <v>2332</v>
      </c>
      <c r="AU7" s="1432" t="s">
        <v>2333</v>
      </c>
      <c r="AV7" s="1432" t="s">
        <v>2334</v>
      </c>
      <c r="AW7" s="1432" t="s">
        <v>2335</v>
      </c>
      <c r="AX7" s="1432" t="s">
        <v>2336</v>
      </c>
      <c r="AY7" s="1432" t="s">
        <v>2337</v>
      </c>
      <c r="AZ7" s="245"/>
    </row>
    <row r="8" spans="1:1028" ht="14.25" customHeight="1">
      <c r="A8" s="262"/>
      <c r="B8" s="1217"/>
      <c r="C8" s="1218"/>
      <c r="D8" s="1222"/>
      <c r="E8" s="1223"/>
      <c r="F8" s="1224"/>
      <c r="G8" s="1217"/>
      <c r="H8" s="1222"/>
      <c r="I8" s="1223"/>
      <c r="J8" s="1224"/>
      <c r="K8" s="1217"/>
      <c r="L8" s="1217"/>
      <c r="M8" s="1217"/>
      <c r="N8" s="254" t="s">
        <v>146</v>
      </c>
      <c r="O8" s="254" t="s">
        <v>997</v>
      </c>
      <c r="P8" s="254" t="s">
        <v>65</v>
      </c>
      <c r="Q8" s="254" t="s">
        <v>996</v>
      </c>
      <c r="R8" s="601" t="s">
        <v>147</v>
      </c>
      <c r="S8" s="601" t="s">
        <v>148</v>
      </c>
      <c r="T8" s="255"/>
      <c r="U8" s="255" t="s">
        <v>239</v>
      </c>
      <c r="V8" s="255" t="s">
        <v>242</v>
      </c>
      <c r="W8" s="601" t="s">
        <v>149</v>
      </c>
      <c r="X8" s="256"/>
      <c r="Y8" s="1217"/>
      <c r="Z8" s="1217"/>
      <c r="AA8" s="1217"/>
      <c r="AB8" s="1285"/>
      <c r="AC8" s="1224"/>
      <c r="AD8" s="1285"/>
      <c r="AE8" s="1287"/>
      <c r="AF8" s="1287"/>
      <c r="AG8" s="256"/>
      <c r="AH8" s="257" t="s">
        <v>642</v>
      </c>
      <c r="AI8" s="257" t="s">
        <v>264</v>
      </c>
      <c r="AJ8" s="601" t="s">
        <v>147</v>
      </c>
      <c r="AK8" s="258" t="s">
        <v>265</v>
      </c>
      <c r="AL8" s="601" t="s">
        <v>148</v>
      </c>
      <c r="AM8" s="255" t="s">
        <v>150</v>
      </c>
      <c r="AN8" s="601" t="s">
        <v>150</v>
      </c>
      <c r="AO8" s="2032"/>
      <c r="AP8" s="1431"/>
      <c r="AQ8" s="1432"/>
      <c r="AR8" s="1432"/>
      <c r="AS8" s="1432"/>
      <c r="AT8" s="1432"/>
      <c r="AU8" s="1432"/>
      <c r="AV8" s="1432"/>
      <c r="AW8" s="1432"/>
      <c r="AX8" s="1432"/>
      <c r="AY8" s="1432"/>
      <c r="AZ8" s="245"/>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c r="AMN8" s="236"/>
    </row>
    <row r="9" spans="1:1028" s="260" customFormat="1" ht="201" customHeight="1">
      <c r="A9" s="624"/>
      <c r="B9" s="625" t="s">
        <v>2355</v>
      </c>
      <c r="C9" s="642" t="s">
        <v>1937</v>
      </c>
      <c r="D9" s="2021" t="s">
        <v>2356</v>
      </c>
      <c r="E9" s="2021"/>
      <c r="F9" s="2021"/>
      <c r="G9" s="633" t="s">
        <v>99</v>
      </c>
      <c r="H9" s="2031" t="s">
        <v>2357</v>
      </c>
      <c r="I9" s="2022"/>
      <c r="J9" s="2023"/>
      <c r="K9" s="2024" t="s">
        <v>2358</v>
      </c>
      <c r="L9" s="2024"/>
      <c r="M9" s="2024"/>
      <c r="N9" s="625" t="s">
        <v>8</v>
      </c>
      <c r="O9" s="625">
        <v>1</v>
      </c>
      <c r="P9" s="625"/>
      <c r="Q9" s="625" t="s">
        <v>8</v>
      </c>
      <c r="R9" s="633" t="s">
        <v>648</v>
      </c>
      <c r="S9" s="633" t="s">
        <v>274</v>
      </c>
      <c r="T9" s="73"/>
      <c r="U9" s="54">
        <f>VLOOKUP(R9,[79]Listas!$D$6:$E$10,2,0)</f>
        <v>4</v>
      </c>
      <c r="V9" s="54">
        <f>HLOOKUP(S9,[79]Listas!$F$4:$J$5,2,0)</f>
        <v>3</v>
      </c>
      <c r="W9" s="649" t="str">
        <f>INDEX([79]Listas!$F$6:$J$10,MATCH(R9,[79]Listas!$D$6:$D$10,0),MATCH(S9,[79]Listas!$F$4:$J$4,0))</f>
        <v>12
ALTO</v>
      </c>
      <c r="X9" s="73"/>
      <c r="Y9" s="2025" t="s">
        <v>2359</v>
      </c>
      <c r="Z9" s="2025"/>
      <c r="AA9" s="2025"/>
      <c r="AB9" s="1097" t="s">
        <v>4013</v>
      </c>
      <c r="AC9" s="632" t="s">
        <v>2360</v>
      </c>
      <c r="AD9" s="625" t="s">
        <v>2361</v>
      </c>
      <c r="AE9" s="625">
        <v>75</v>
      </c>
      <c r="AF9" s="632" t="s">
        <v>153</v>
      </c>
      <c r="AG9" s="73"/>
      <c r="AH9" s="54">
        <f t="shared" ref="AH9:AH28" si="0">IF(AE9&lt;=33,0,IF(AE9&gt;81,2,1))</f>
        <v>1</v>
      </c>
      <c r="AI9" s="74">
        <f t="shared" ref="AI9:AI28" si="1">IF(OR(AF9="Probabilidad",AF9="Ambos"),U9-AH9,U9)</f>
        <v>3</v>
      </c>
      <c r="AJ9" s="56" t="str">
        <f>IF(AI9&lt;=1,"Remota",VLOOKUP(AI9,[79]Listas!$C$6:$D$10,2,0))</f>
        <v>Posible</v>
      </c>
      <c r="AK9" s="74">
        <f t="shared" ref="AK9:AK28" si="2">IF(OR(AF9="Impacto",AF9="Ambos"),V9-AH9,V9)</f>
        <v>3</v>
      </c>
      <c r="AL9" s="56" t="str">
        <f>IF(AK9&lt;=1,"Insignificante",HLOOKUP(AK9,[79]Listas!$F$3:$J$4,2,0))</f>
        <v>Moderado</v>
      </c>
      <c r="AM9" s="55">
        <f t="shared" ref="AM9:AM28" si="3">AI9*AK9</f>
        <v>9</v>
      </c>
      <c r="AN9" s="649" t="str">
        <f>INDEX([79]Listas!$F$6:$J$10,MATCH(AJ9,[79]Listas!$D$6:$D$10,0),MATCH(AL9,[79]Listas!$F$4:$J$4,0))</f>
        <v>9
MODERADO</v>
      </c>
      <c r="AO9" s="263" t="s">
        <v>2362</v>
      </c>
      <c r="AP9" s="263" t="s">
        <v>3819</v>
      </c>
      <c r="AQ9" s="489">
        <f>1/1</f>
        <v>1</v>
      </c>
      <c r="AR9" s="263" t="s">
        <v>3820</v>
      </c>
      <c r="AS9" s="263" t="s">
        <v>3821</v>
      </c>
      <c r="AT9" s="620" t="s">
        <v>36</v>
      </c>
      <c r="AU9" s="778"/>
      <c r="AV9" s="259"/>
      <c r="AW9" s="261"/>
      <c r="AX9" s="261"/>
      <c r="AY9" s="608"/>
      <c r="AZ9" s="262"/>
    </row>
    <row r="10" spans="1:1028" s="260" customFormat="1" ht="139.5" customHeight="1">
      <c r="A10" s="492"/>
      <c r="B10" s="629" t="s">
        <v>103</v>
      </c>
      <c r="C10" s="642" t="s">
        <v>1940</v>
      </c>
      <c r="D10" s="2021" t="s">
        <v>169</v>
      </c>
      <c r="E10" s="2021"/>
      <c r="F10" s="2021"/>
      <c r="G10" s="633" t="s">
        <v>99</v>
      </c>
      <c r="H10" s="2022" t="s">
        <v>662</v>
      </c>
      <c r="I10" s="2022"/>
      <c r="J10" s="2023"/>
      <c r="K10" s="2024" t="s">
        <v>498</v>
      </c>
      <c r="L10" s="2024"/>
      <c r="M10" s="2024"/>
      <c r="N10" s="625"/>
      <c r="O10" s="625"/>
      <c r="P10" s="625"/>
      <c r="Q10" s="625"/>
      <c r="R10" s="633" t="s">
        <v>64</v>
      </c>
      <c r="S10" s="633" t="s">
        <v>274</v>
      </c>
      <c r="T10" s="73"/>
      <c r="U10" s="54">
        <f>VLOOKUP(R10,[79]Listas!$D$6:$E$10,2,0)</f>
        <v>3</v>
      </c>
      <c r="V10" s="54">
        <f>HLOOKUP(S10,[79]Listas!$F$4:$J$5,2,0)</f>
        <v>3</v>
      </c>
      <c r="W10" s="649" t="str">
        <f>INDEX([79]Listas!$F$6:$J$10,MATCH(R10,[79]Listas!$D$6:$D$10,0),MATCH(S10,[79]Listas!$F$4:$J$4,0))</f>
        <v>9
MODERADO</v>
      </c>
      <c r="X10" s="73"/>
      <c r="Y10" s="2025" t="s">
        <v>2363</v>
      </c>
      <c r="Z10" s="2025"/>
      <c r="AA10" s="2025"/>
      <c r="AB10" s="1097" t="s">
        <v>4013</v>
      </c>
      <c r="AC10" s="632" t="s">
        <v>2360</v>
      </c>
      <c r="AD10" s="626" t="s">
        <v>663</v>
      </c>
      <c r="AE10" s="625">
        <v>71</v>
      </c>
      <c r="AF10" s="632" t="s">
        <v>153</v>
      </c>
      <c r="AG10" s="73"/>
      <c r="AH10" s="54">
        <f t="shared" si="0"/>
        <v>1</v>
      </c>
      <c r="AI10" s="74">
        <f t="shared" si="1"/>
        <v>2</v>
      </c>
      <c r="AJ10" s="56" t="str">
        <f>IF(AI10&lt;=1,"Remota",VLOOKUP(AI10,[79]Listas!$C$6:$D$10,2,0))</f>
        <v>Baja</v>
      </c>
      <c r="AK10" s="74">
        <f t="shared" si="2"/>
        <v>3</v>
      </c>
      <c r="AL10" s="56" t="str">
        <f>IF(AK10&lt;=1,"Insignificante",HLOOKUP(AK10,[79]Listas!$F$3:$J$4,2,0))</f>
        <v>Moderado</v>
      </c>
      <c r="AM10" s="55">
        <f t="shared" si="3"/>
        <v>6</v>
      </c>
      <c r="AN10" s="649" t="str">
        <f>INDEX([79]Listas!$F$6:$J$10,MATCH(AJ10,[79]Listas!$D$6:$D$10,0),MATCH(AL10,[79]Listas!$F$4:$J$4,0))</f>
        <v>6
MODERADO</v>
      </c>
      <c r="AO10" s="259" t="s">
        <v>2364</v>
      </c>
      <c r="AP10" s="263" t="s">
        <v>3822</v>
      </c>
      <c r="AQ10" s="491">
        <v>1</v>
      </c>
      <c r="AR10" s="259" t="s">
        <v>3823</v>
      </c>
      <c r="AS10" s="259" t="s">
        <v>3824</v>
      </c>
      <c r="AT10" s="608" t="s">
        <v>36</v>
      </c>
      <c r="AU10" s="620"/>
      <c r="AV10" s="259"/>
      <c r="AW10" s="261"/>
      <c r="AX10" s="261"/>
      <c r="AY10" s="608"/>
      <c r="AZ10" s="262"/>
    </row>
    <row r="11" spans="1:1028" s="262" customFormat="1" ht="240" customHeight="1">
      <c r="A11" s="490"/>
      <c r="B11" s="613" t="s">
        <v>2365</v>
      </c>
      <c r="C11" s="642" t="s">
        <v>2317</v>
      </c>
      <c r="D11" s="2026" t="s">
        <v>2366</v>
      </c>
      <c r="E11" s="2026"/>
      <c r="F11" s="2026"/>
      <c r="G11" s="643" t="s">
        <v>99</v>
      </c>
      <c r="H11" s="2027" t="s">
        <v>2367</v>
      </c>
      <c r="I11" s="2027"/>
      <c r="J11" s="2028"/>
      <c r="K11" s="2029" t="s">
        <v>2368</v>
      </c>
      <c r="L11" s="2029"/>
      <c r="M11" s="2029"/>
      <c r="N11" s="629" t="s">
        <v>684</v>
      </c>
      <c r="O11" s="629"/>
      <c r="P11" s="629"/>
      <c r="Q11" s="629"/>
      <c r="R11" s="643" t="s">
        <v>655</v>
      </c>
      <c r="S11" s="643" t="s">
        <v>270</v>
      </c>
      <c r="T11" s="52"/>
      <c r="U11" s="53">
        <f>VLOOKUP(R11,[79]Listas!$D$6:$E$10,2,0)</f>
        <v>2</v>
      </c>
      <c r="V11" s="53">
        <f>HLOOKUP(S11,[79]Listas!$F$4:$J$5,2,0)</f>
        <v>4</v>
      </c>
      <c r="W11" s="644" t="str">
        <f>INDEX([79]Listas!$F$6:$J$10,MATCH(R11,[79]Listas!$D$6:$D$10,0),MATCH(S11,[79]Listas!$F$4:$J$4,0))</f>
        <v>8
MODERADO</v>
      </c>
      <c r="X11" s="52"/>
      <c r="Y11" s="2030" t="s">
        <v>2369</v>
      </c>
      <c r="Z11" s="2030"/>
      <c r="AA11" s="2030"/>
      <c r="AB11" s="1105" t="s">
        <v>4013</v>
      </c>
      <c r="AC11" s="642" t="s">
        <v>995</v>
      </c>
      <c r="AD11" s="629" t="s">
        <v>2370</v>
      </c>
      <c r="AE11" s="629">
        <v>84</v>
      </c>
      <c r="AF11" s="642" t="s">
        <v>151</v>
      </c>
      <c r="AG11" s="52"/>
      <c r="AH11" s="53">
        <f t="shared" si="0"/>
        <v>2</v>
      </c>
      <c r="AI11" s="85">
        <f t="shared" si="1"/>
        <v>2</v>
      </c>
      <c r="AJ11" s="56" t="str">
        <f>IF(AI11&lt;=1,"Remota",VLOOKUP(AI11,[79]Listas!$C$6:$D$10,2,0))</f>
        <v>Baja</v>
      </c>
      <c r="AK11" s="779">
        <f t="shared" si="2"/>
        <v>2</v>
      </c>
      <c r="AL11" s="56" t="str">
        <f>IF(AK11&lt;=1,"Insignificante",HLOOKUP(AK11,[79]Listas!$F$3:$J$4,2,0))</f>
        <v>Menor</v>
      </c>
      <c r="AM11" s="780">
        <f t="shared" si="3"/>
        <v>4</v>
      </c>
      <c r="AN11" s="649" t="str">
        <f>INDEX([79]Listas!$F$6:$J$10,MATCH(AJ11,[79]Listas!$D$6:$D$10,0),MATCH(AL11,[79]Listas!$F$4:$J$4,0))</f>
        <v>4
INFERIOR</v>
      </c>
      <c r="AO11" s="263" t="s">
        <v>2371</v>
      </c>
      <c r="AP11" s="263" t="s">
        <v>3825</v>
      </c>
      <c r="AQ11" s="489">
        <f>31/31</f>
        <v>1</v>
      </c>
      <c r="AR11" s="263" t="s">
        <v>3826</v>
      </c>
      <c r="AS11" s="263" t="s">
        <v>3824</v>
      </c>
      <c r="AT11" s="620" t="s">
        <v>36</v>
      </c>
      <c r="AU11" s="620"/>
      <c r="AV11" s="263"/>
      <c r="AW11" s="264"/>
      <c r="AX11" s="264"/>
      <c r="AY11" s="620"/>
    </row>
    <row r="12" spans="1:1028" s="260" customFormat="1" ht="85.5" customHeight="1">
      <c r="A12" s="2009"/>
      <c r="B12" s="2012" t="s">
        <v>142</v>
      </c>
      <c r="C12" s="2015" t="s">
        <v>1943</v>
      </c>
      <c r="D12" s="1300" t="s">
        <v>2372</v>
      </c>
      <c r="E12" s="1301"/>
      <c r="F12" s="1302"/>
      <c r="G12" s="1298" t="s">
        <v>99</v>
      </c>
      <c r="H12" s="1996" t="s">
        <v>981</v>
      </c>
      <c r="I12" s="1997"/>
      <c r="J12" s="1998"/>
      <c r="K12" s="1308" t="s">
        <v>980</v>
      </c>
      <c r="L12" s="1309"/>
      <c r="M12" s="1310"/>
      <c r="N12" s="1570"/>
      <c r="O12" s="1570"/>
      <c r="P12" s="1570" t="s">
        <v>8</v>
      </c>
      <c r="Q12" s="1570"/>
      <c r="R12" s="1990" t="s">
        <v>64</v>
      </c>
      <c r="S12" s="1990" t="s">
        <v>274</v>
      </c>
      <c r="T12" s="73"/>
      <c r="U12" s="54">
        <f>VLOOKUP(R12,[79]Listas!$D$6:$E$10,2,0)</f>
        <v>3</v>
      </c>
      <c r="V12" s="54">
        <f>HLOOKUP(S12,[79]Listas!$F$4:$J$5,2,0)</f>
        <v>3</v>
      </c>
      <c r="W12" s="2006" t="str">
        <f>INDEX([79]Listas!$F$6:$J$10,MATCH(R12,[79]Listas!$D$6:$D$10,0),MATCH(S12,[79]Listas!$F$4:$J$4,0))</f>
        <v>9
MODERADO</v>
      </c>
      <c r="X12" s="73"/>
      <c r="Y12" s="1999" t="s">
        <v>979</v>
      </c>
      <c r="Z12" s="1999"/>
      <c r="AA12" s="1999"/>
      <c r="AB12" s="1993" t="s">
        <v>4189</v>
      </c>
      <c r="AC12" s="1298" t="s">
        <v>978</v>
      </c>
      <c r="AD12" s="1570" t="s">
        <v>977</v>
      </c>
      <c r="AE12" s="1570">
        <v>70</v>
      </c>
      <c r="AF12" s="1298" t="s">
        <v>152</v>
      </c>
      <c r="AG12" s="73"/>
      <c r="AH12" s="54">
        <f t="shared" si="0"/>
        <v>1</v>
      </c>
      <c r="AI12" s="74">
        <f t="shared" si="1"/>
        <v>2</v>
      </c>
      <c r="AJ12" s="2003" t="str">
        <f>IF(AI12&lt;=1,"Remota",VLOOKUP(AI12,[79]Listas!$C$6:$D$10,2,0))</f>
        <v>Baja</v>
      </c>
      <c r="AK12" s="74">
        <f t="shared" si="2"/>
        <v>2</v>
      </c>
      <c r="AL12" s="2003" t="str">
        <f>IF(AK12&lt;=1,"Insignificante",HLOOKUP(AK12,[79]Listas!$F$3:$J$4,2,0))</f>
        <v>Menor</v>
      </c>
      <c r="AM12" s="55">
        <f t="shared" si="3"/>
        <v>4</v>
      </c>
      <c r="AN12" s="2006" t="str">
        <f>INDEX([79]Listas!$F$6:$J$10,MATCH(AJ12,[79]Listas!$D$6:$D$10,0),MATCH(AL12,[79]Listas!$F$4:$J$4,0))</f>
        <v>4
INFERIOR</v>
      </c>
      <c r="AO12" s="1325" t="s">
        <v>2373</v>
      </c>
      <c r="AP12" s="1886" t="s">
        <v>2374</v>
      </c>
      <c r="AQ12" s="2000">
        <v>0</v>
      </c>
      <c r="AR12" s="1325" t="s">
        <v>3207</v>
      </c>
      <c r="AS12" s="1329" t="s">
        <v>3827</v>
      </c>
      <c r="AT12" s="1325" t="s">
        <v>36</v>
      </c>
      <c r="AU12" s="1886"/>
      <c r="AV12" s="1325"/>
      <c r="AW12" s="1375"/>
      <c r="AX12" s="1375"/>
      <c r="AY12" s="1325"/>
      <c r="AZ12" s="262"/>
    </row>
    <row r="13" spans="1:1028" s="260" customFormat="1" ht="57" customHeight="1">
      <c r="A13" s="2010"/>
      <c r="B13" s="2013"/>
      <c r="C13" s="2016"/>
      <c r="D13" s="1303"/>
      <c r="E13" s="1304"/>
      <c r="F13" s="1305"/>
      <c r="G13" s="1299"/>
      <c r="H13" s="1996" t="s">
        <v>985</v>
      </c>
      <c r="I13" s="1997"/>
      <c r="J13" s="1998"/>
      <c r="K13" s="1311"/>
      <c r="L13" s="1312"/>
      <c r="M13" s="1313"/>
      <c r="N13" s="1571"/>
      <c r="O13" s="1571"/>
      <c r="P13" s="1571"/>
      <c r="Q13" s="1571"/>
      <c r="R13" s="1991"/>
      <c r="S13" s="1991"/>
      <c r="T13" s="73"/>
      <c r="U13" s="54" t="e">
        <f>VLOOKUP(R13,[79]Listas!$D$6:$E$10,2,0)</f>
        <v>#N/A</v>
      </c>
      <c r="V13" s="54" t="e">
        <f>HLOOKUP(S13,[79]Listas!$F$4:$J$5,2,0)</f>
        <v>#N/A</v>
      </c>
      <c r="W13" s="2007"/>
      <c r="X13" s="73"/>
      <c r="Y13" s="1999" t="s">
        <v>984</v>
      </c>
      <c r="Z13" s="1999"/>
      <c r="AA13" s="1999"/>
      <c r="AB13" s="1994"/>
      <c r="AC13" s="1299"/>
      <c r="AD13" s="1571"/>
      <c r="AE13" s="1571"/>
      <c r="AF13" s="1299"/>
      <c r="AG13" s="73"/>
      <c r="AH13" s="54">
        <f t="shared" si="0"/>
        <v>0</v>
      </c>
      <c r="AI13" s="74" t="e">
        <f t="shared" si="1"/>
        <v>#N/A</v>
      </c>
      <c r="AJ13" s="2004"/>
      <c r="AK13" s="74" t="e">
        <f t="shared" si="2"/>
        <v>#N/A</v>
      </c>
      <c r="AL13" s="2004"/>
      <c r="AM13" s="55" t="e">
        <f t="shared" si="3"/>
        <v>#N/A</v>
      </c>
      <c r="AN13" s="2007"/>
      <c r="AO13" s="1326"/>
      <c r="AP13" s="1887"/>
      <c r="AQ13" s="2001"/>
      <c r="AR13" s="1326"/>
      <c r="AS13" s="1330"/>
      <c r="AT13" s="1326"/>
      <c r="AU13" s="1887"/>
      <c r="AV13" s="1326"/>
      <c r="AW13" s="1376"/>
      <c r="AX13" s="1376"/>
      <c r="AY13" s="1326"/>
      <c r="AZ13" s="262"/>
    </row>
    <row r="14" spans="1:1028" s="260" customFormat="1" ht="70.5" customHeight="1">
      <c r="A14" s="2011"/>
      <c r="B14" s="2014"/>
      <c r="C14" s="2017"/>
      <c r="D14" s="2018"/>
      <c r="E14" s="2019"/>
      <c r="F14" s="2020"/>
      <c r="G14" s="1469"/>
      <c r="H14" s="1996" t="s">
        <v>976</v>
      </c>
      <c r="I14" s="1997"/>
      <c r="J14" s="1998"/>
      <c r="K14" s="1314"/>
      <c r="L14" s="1315"/>
      <c r="M14" s="1316"/>
      <c r="N14" s="1572"/>
      <c r="O14" s="1572"/>
      <c r="P14" s="1572"/>
      <c r="Q14" s="1572"/>
      <c r="R14" s="1992"/>
      <c r="S14" s="1992"/>
      <c r="T14" s="265"/>
      <c r="U14" s="54" t="e">
        <f>VLOOKUP(R14,[79]Listas!$D$6:$E$10,2,0)</f>
        <v>#N/A</v>
      </c>
      <c r="V14" s="54" t="e">
        <f>HLOOKUP(S14,[79]Listas!$F$4:$J$5,2,0)</f>
        <v>#N/A</v>
      </c>
      <c r="W14" s="2008"/>
      <c r="X14" s="265"/>
      <c r="Y14" s="1999" t="s">
        <v>975</v>
      </c>
      <c r="Z14" s="1999"/>
      <c r="AA14" s="1999"/>
      <c r="AB14" s="1995"/>
      <c r="AC14" s="1469"/>
      <c r="AD14" s="1572"/>
      <c r="AE14" s="1572"/>
      <c r="AF14" s="1469"/>
      <c r="AG14" s="265"/>
      <c r="AH14" s="54">
        <f t="shared" si="0"/>
        <v>0</v>
      </c>
      <c r="AI14" s="89" t="e">
        <f t="shared" si="1"/>
        <v>#N/A</v>
      </c>
      <c r="AJ14" s="2005"/>
      <c r="AK14" s="89" t="e">
        <f t="shared" si="2"/>
        <v>#N/A</v>
      </c>
      <c r="AL14" s="2005"/>
      <c r="AM14" s="55" t="e">
        <f t="shared" si="3"/>
        <v>#N/A</v>
      </c>
      <c r="AN14" s="2008"/>
      <c r="AO14" s="1327"/>
      <c r="AP14" s="1888"/>
      <c r="AQ14" s="2002"/>
      <c r="AR14" s="1327"/>
      <c r="AS14" s="1331"/>
      <c r="AT14" s="1327"/>
      <c r="AU14" s="1888"/>
      <c r="AV14" s="1327"/>
      <c r="AW14" s="1377"/>
      <c r="AX14" s="1377"/>
      <c r="AY14" s="1327"/>
      <c r="AZ14" s="262"/>
    </row>
    <row r="15" spans="1:1028" s="260" customFormat="1" ht="103.5" hidden="1" customHeight="1">
      <c r="B15" s="605"/>
      <c r="C15" s="266"/>
      <c r="D15" s="1399"/>
      <c r="E15" s="1408"/>
      <c r="F15" s="1400"/>
      <c r="G15" s="267"/>
      <c r="H15" s="1399"/>
      <c r="I15" s="1408"/>
      <c r="J15" s="1400"/>
      <c r="K15" s="1380"/>
      <c r="L15" s="1380"/>
      <c r="M15" s="1380"/>
      <c r="N15" s="608"/>
      <c r="O15" s="608"/>
      <c r="P15" s="608"/>
      <c r="Q15" s="608"/>
      <c r="R15" s="266"/>
      <c r="S15" s="266"/>
      <c r="T15" s="268"/>
      <c r="U15" s="269" t="e">
        <f>VLOOKUP(R15,[71]Listas!$D$6:$E$10,2,0)</f>
        <v>#N/A</v>
      </c>
      <c r="V15" s="269" t="e">
        <f>HLOOKUP(S15,[71]Listas!$F$4:$J$5,2,0)</f>
        <v>#N/A</v>
      </c>
      <c r="W15" s="270" t="e">
        <f>INDEX([71]Listas!$F$6:$J$10,MATCH(R15,[71]Listas!$D$6:$D$10,0),MATCH(S15,[71]Listas!$F$4:$J$4,0))</f>
        <v>#N/A</v>
      </c>
      <c r="X15" s="268"/>
      <c r="Y15" s="1399"/>
      <c r="Z15" s="1408"/>
      <c r="AA15" s="1400"/>
      <c r="AB15" s="1063"/>
      <c r="AC15" s="267"/>
      <c r="AD15" s="259"/>
      <c r="AE15" s="608"/>
      <c r="AF15" s="267"/>
      <c r="AG15" s="268"/>
      <c r="AH15" s="269">
        <f t="shared" si="0"/>
        <v>0</v>
      </c>
      <c r="AI15" s="271" t="e">
        <f t="shared" si="1"/>
        <v>#N/A</v>
      </c>
      <c r="AJ15" s="272" t="e">
        <f>IF(AI15&lt;=1,"Remota",VLOOKUP(AI15,[71]Listas!$C$6:$D$10,2,0))</f>
        <v>#N/A</v>
      </c>
      <c r="AK15" s="271" t="e">
        <f t="shared" si="2"/>
        <v>#N/A</v>
      </c>
      <c r="AL15" s="272" t="e">
        <f>IF(AK15&lt;=1,"Insignificante",HLOOKUP(AK15,[71]Listas!$F$3:$J$4,2,0))</f>
        <v>#N/A</v>
      </c>
      <c r="AM15" s="273" t="e">
        <f t="shared" si="3"/>
        <v>#N/A</v>
      </c>
      <c r="AN15" s="270" t="e">
        <f>INDEX([71]Listas!$F$6:$J$10,MATCH(AJ15,[71]Listas!$D$6:$D$10,0),MATCH(AL15,[71]Listas!$F$4:$J$4,0))</f>
        <v>#N/A</v>
      </c>
      <c r="AO15" s="259"/>
      <c r="AP15" s="259"/>
      <c r="AQ15" s="610"/>
      <c r="AR15" s="259"/>
      <c r="AS15" s="259" t="s">
        <v>2343</v>
      </c>
      <c r="AT15" s="608"/>
      <c r="AU15" s="259"/>
      <c r="AV15" s="259"/>
      <c r="AW15" s="261"/>
      <c r="AX15" s="261"/>
      <c r="AY15" s="608"/>
      <c r="AZ15" s="262"/>
    </row>
    <row r="16" spans="1:1028" s="260" customFormat="1" ht="103.5" hidden="1" customHeight="1">
      <c r="B16" s="608"/>
      <c r="C16" s="266"/>
      <c r="D16" s="1399"/>
      <c r="E16" s="1408"/>
      <c r="F16" s="1400"/>
      <c r="G16" s="267"/>
      <c r="H16" s="1399"/>
      <c r="I16" s="1408"/>
      <c r="J16" s="1400"/>
      <c r="K16" s="1380"/>
      <c r="L16" s="1380"/>
      <c r="M16" s="1380"/>
      <c r="N16" s="608"/>
      <c r="O16" s="608"/>
      <c r="P16" s="608"/>
      <c r="Q16" s="608"/>
      <c r="R16" s="266"/>
      <c r="S16" s="266"/>
      <c r="T16" s="268"/>
      <c r="U16" s="269" t="e">
        <f>VLOOKUP(R16,[71]Listas!$D$6:$E$10,2,0)</f>
        <v>#N/A</v>
      </c>
      <c r="V16" s="269" t="e">
        <f>HLOOKUP(S16,[71]Listas!$F$4:$J$5,2,0)</f>
        <v>#N/A</v>
      </c>
      <c r="W16" s="270" t="e">
        <f>INDEX([71]Listas!$F$6:$J$10,MATCH(R16,[71]Listas!$D$6:$D$10,0),MATCH(S16,[71]Listas!$F$4:$J$4,0))</f>
        <v>#N/A</v>
      </c>
      <c r="X16" s="268"/>
      <c r="Y16" s="1399"/>
      <c r="Z16" s="1408"/>
      <c r="AA16" s="1400"/>
      <c r="AB16" s="1063"/>
      <c r="AC16" s="267"/>
      <c r="AD16" s="259"/>
      <c r="AE16" s="608"/>
      <c r="AF16" s="267"/>
      <c r="AG16" s="268"/>
      <c r="AH16" s="269">
        <f t="shared" si="0"/>
        <v>0</v>
      </c>
      <c r="AI16" s="271" t="e">
        <f t="shared" si="1"/>
        <v>#N/A</v>
      </c>
      <c r="AJ16" s="272" t="e">
        <f>IF(AI16&lt;=1,"Remota",VLOOKUP(AI16,[71]Listas!$C$6:$D$10,2,0))</f>
        <v>#N/A</v>
      </c>
      <c r="AK16" s="271" t="e">
        <f t="shared" si="2"/>
        <v>#N/A</v>
      </c>
      <c r="AL16" s="272" t="e">
        <f>IF(AK16&lt;=1,"Insignificante",HLOOKUP(AK16,[71]Listas!$F$3:$J$4,2,0))</f>
        <v>#N/A</v>
      </c>
      <c r="AM16" s="273" t="e">
        <f t="shared" si="3"/>
        <v>#N/A</v>
      </c>
      <c r="AN16" s="270" t="e">
        <f>INDEX([71]Listas!$F$6:$J$10,MATCH(AJ16,[71]Listas!$D$6:$D$10,0),MATCH(AL16,[71]Listas!$F$4:$J$4,0))</f>
        <v>#N/A</v>
      </c>
      <c r="AO16" s="259"/>
      <c r="AP16" s="259"/>
      <c r="AQ16" s="610"/>
      <c r="AR16" s="259"/>
      <c r="AS16" s="259" t="s">
        <v>2343</v>
      </c>
      <c r="AT16" s="608"/>
      <c r="AU16" s="259"/>
      <c r="AV16" s="259"/>
      <c r="AW16" s="261"/>
      <c r="AX16" s="261"/>
      <c r="AY16" s="608"/>
      <c r="AZ16" s="262"/>
    </row>
    <row r="17" spans="2:52" s="260" customFormat="1" ht="103.5" hidden="1" customHeight="1">
      <c r="B17" s="608"/>
      <c r="C17" s="266"/>
      <c r="D17" s="1399"/>
      <c r="E17" s="1408"/>
      <c r="F17" s="1400"/>
      <c r="G17" s="267"/>
      <c r="H17" s="1399"/>
      <c r="I17" s="1408"/>
      <c r="J17" s="1400"/>
      <c r="K17" s="1380"/>
      <c r="L17" s="1380"/>
      <c r="M17" s="1380"/>
      <c r="N17" s="608"/>
      <c r="O17" s="608"/>
      <c r="P17" s="608"/>
      <c r="Q17" s="608"/>
      <c r="R17" s="266"/>
      <c r="S17" s="266"/>
      <c r="T17" s="268"/>
      <c r="U17" s="269" t="e">
        <f>VLOOKUP(R17,[71]Listas!$D$6:$E$10,2,0)</f>
        <v>#N/A</v>
      </c>
      <c r="V17" s="269" t="e">
        <f>HLOOKUP(S17,[71]Listas!$F$4:$J$5,2,0)</f>
        <v>#N/A</v>
      </c>
      <c r="W17" s="270" t="e">
        <f>INDEX([71]Listas!$F$6:$J$10,MATCH(R17,[71]Listas!$D$6:$D$10,0),MATCH(S17,[71]Listas!$F$4:$J$4,0))</f>
        <v>#N/A</v>
      </c>
      <c r="X17" s="268"/>
      <c r="Y17" s="1399"/>
      <c r="Z17" s="1408"/>
      <c r="AA17" s="1400"/>
      <c r="AB17" s="1063"/>
      <c r="AC17" s="267"/>
      <c r="AD17" s="259"/>
      <c r="AE17" s="608"/>
      <c r="AF17" s="267"/>
      <c r="AG17" s="268"/>
      <c r="AH17" s="269">
        <f t="shared" si="0"/>
        <v>0</v>
      </c>
      <c r="AI17" s="271" t="e">
        <f t="shared" si="1"/>
        <v>#N/A</v>
      </c>
      <c r="AJ17" s="272" t="e">
        <f>IF(AI17&lt;=1,"Remota",VLOOKUP(AI17,[71]Listas!$C$6:$D$10,2,0))</f>
        <v>#N/A</v>
      </c>
      <c r="AK17" s="271" t="e">
        <f t="shared" si="2"/>
        <v>#N/A</v>
      </c>
      <c r="AL17" s="272" t="e">
        <f>IF(AK17&lt;=1,"Insignificante",HLOOKUP(AK17,[71]Listas!$F$3:$J$4,2,0))</f>
        <v>#N/A</v>
      </c>
      <c r="AM17" s="273" t="e">
        <f t="shared" si="3"/>
        <v>#N/A</v>
      </c>
      <c r="AN17" s="270" t="e">
        <f>INDEX([71]Listas!$F$6:$J$10,MATCH(AJ17,[71]Listas!$D$6:$D$10,0),MATCH(AL17,[71]Listas!$F$4:$J$4,0))</f>
        <v>#N/A</v>
      </c>
      <c r="AO17" s="259"/>
      <c r="AP17" s="259"/>
      <c r="AQ17" s="610"/>
      <c r="AR17" s="259"/>
      <c r="AS17" s="259" t="s">
        <v>2343</v>
      </c>
      <c r="AT17" s="608"/>
      <c r="AU17" s="259"/>
      <c r="AV17" s="259"/>
      <c r="AW17" s="261"/>
      <c r="AX17" s="261"/>
      <c r="AY17" s="608"/>
      <c r="AZ17" s="262"/>
    </row>
    <row r="18" spans="2:52" s="260" customFormat="1" ht="103.5" hidden="1" customHeight="1">
      <c r="B18" s="608"/>
      <c r="C18" s="266"/>
      <c r="D18" s="1399"/>
      <c r="E18" s="1408"/>
      <c r="F18" s="1400"/>
      <c r="G18" s="267"/>
      <c r="H18" s="1399"/>
      <c r="I18" s="1408"/>
      <c r="J18" s="1400"/>
      <c r="K18" s="1380"/>
      <c r="L18" s="1380"/>
      <c r="M18" s="1380"/>
      <c r="N18" s="608"/>
      <c r="O18" s="608"/>
      <c r="P18" s="608"/>
      <c r="Q18" s="608"/>
      <c r="R18" s="266"/>
      <c r="S18" s="266"/>
      <c r="T18" s="268"/>
      <c r="U18" s="269" t="e">
        <f>VLOOKUP(R18,[71]Listas!$D$6:$E$10,2,0)</f>
        <v>#N/A</v>
      </c>
      <c r="V18" s="269" t="e">
        <f>HLOOKUP(S18,[71]Listas!$F$4:$J$5,2,0)</f>
        <v>#N/A</v>
      </c>
      <c r="W18" s="270" t="e">
        <f>INDEX([71]Listas!$F$6:$J$10,MATCH(R18,[71]Listas!$D$6:$D$10,0),MATCH(S18,[71]Listas!$F$4:$J$4,0))</f>
        <v>#N/A</v>
      </c>
      <c r="X18" s="268"/>
      <c r="Y18" s="1399"/>
      <c r="Z18" s="1408"/>
      <c r="AA18" s="1400"/>
      <c r="AB18" s="1063"/>
      <c r="AC18" s="267"/>
      <c r="AD18" s="259"/>
      <c r="AE18" s="608"/>
      <c r="AF18" s="267"/>
      <c r="AG18" s="268"/>
      <c r="AH18" s="269">
        <f t="shared" si="0"/>
        <v>0</v>
      </c>
      <c r="AI18" s="271" t="e">
        <f t="shared" si="1"/>
        <v>#N/A</v>
      </c>
      <c r="AJ18" s="272" t="e">
        <f>IF(AI18&lt;=1,"Remota",VLOOKUP(AI18,[71]Listas!$C$6:$D$10,2,0))</f>
        <v>#N/A</v>
      </c>
      <c r="AK18" s="271" t="e">
        <f t="shared" si="2"/>
        <v>#N/A</v>
      </c>
      <c r="AL18" s="272" t="e">
        <f>IF(AK18&lt;=1,"Insignificante",HLOOKUP(AK18,[71]Listas!$F$3:$J$4,2,0))</f>
        <v>#N/A</v>
      </c>
      <c r="AM18" s="273" t="e">
        <f t="shared" si="3"/>
        <v>#N/A</v>
      </c>
      <c r="AN18" s="270" t="e">
        <f>INDEX([71]Listas!$F$6:$J$10,MATCH(AJ18,[71]Listas!$D$6:$D$10,0),MATCH(AL18,[71]Listas!$F$4:$J$4,0))</f>
        <v>#N/A</v>
      </c>
      <c r="AO18" s="259"/>
      <c r="AP18" s="259"/>
      <c r="AQ18" s="610"/>
      <c r="AR18" s="259"/>
      <c r="AS18" s="259" t="s">
        <v>2343</v>
      </c>
      <c r="AT18" s="608"/>
      <c r="AU18" s="259"/>
      <c r="AV18" s="259"/>
      <c r="AW18" s="261"/>
      <c r="AX18" s="261"/>
      <c r="AY18" s="608"/>
      <c r="AZ18" s="262"/>
    </row>
    <row r="19" spans="2:52" s="260" customFormat="1" ht="103.5" hidden="1" customHeight="1">
      <c r="B19" s="608"/>
      <c r="C19" s="266"/>
      <c r="D19" s="1399"/>
      <c r="E19" s="1408"/>
      <c r="F19" s="1400"/>
      <c r="G19" s="267"/>
      <c r="H19" s="1399"/>
      <c r="I19" s="1408"/>
      <c r="J19" s="1400"/>
      <c r="K19" s="1380"/>
      <c r="L19" s="1380"/>
      <c r="M19" s="1380"/>
      <c r="N19" s="608"/>
      <c r="O19" s="608"/>
      <c r="P19" s="608"/>
      <c r="Q19" s="608"/>
      <c r="R19" s="266"/>
      <c r="S19" s="266"/>
      <c r="T19" s="268"/>
      <c r="U19" s="269" t="e">
        <f>VLOOKUP(R19,[71]Listas!$D$6:$E$10,2,0)</f>
        <v>#N/A</v>
      </c>
      <c r="V19" s="269" t="e">
        <f>HLOOKUP(S19,[71]Listas!$F$4:$J$5,2,0)</f>
        <v>#N/A</v>
      </c>
      <c r="W19" s="270" t="e">
        <f>INDEX([71]Listas!$F$6:$J$10,MATCH(R19,[71]Listas!$D$6:$D$10,0),MATCH(S19,[71]Listas!$F$4:$J$4,0))</f>
        <v>#N/A</v>
      </c>
      <c r="X19" s="268"/>
      <c r="Y19" s="1399"/>
      <c r="Z19" s="1408"/>
      <c r="AA19" s="1400"/>
      <c r="AB19" s="1063"/>
      <c r="AC19" s="267"/>
      <c r="AD19" s="259"/>
      <c r="AE19" s="608"/>
      <c r="AF19" s="267"/>
      <c r="AG19" s="268"/>
      <c r="AH19" s="269">
        <f t="shared" si="0"/>
        <v>0</v>
      </c>
      <c r="AI19" s="271" t="e">
        <f t="shared" si="1"/>
        <v>#N/A</v>
      </c>
      <c r="AJ19" s="272" t="e">
        <f>IF(AI19&lt;=1,"Remota",VLOOKUP(AI19,[71]Listas!$C$6:$D$10,2,0))</f>
        <v>#N/A</v>
      </c>
      <c r="AK19" s="271" t="e">
        <f t="shared" si="2"/>
        <v>#N/A</v>
      </c>
      <c r="AL19" s="272" t="e">
        <f>IF(AK19&lt;=1,"Insignificante",HLOOKUP(AK19,[71]Listas!$F$3:$J$4,2,0))</f>
        <v>#N/A</v>
      </c>
      <c r="AM19" s="273" t="e">
        <f t="shared" si="3"/>
        <v>#N/A</v>
      </c>
      <c r="AN19" s="270" t="e">
        <f>INDEX([71]Listas!$F$6:$J$10,MATCH(AJ19,[71]Listas!$D$6:$D$10,0),MATCH(AL19,[71]Listas!$F$4:$J$4,0))</f>
        <v>#N/A</v>
      </c>
      <c r="AO19" s="259"/>
      <c r="AP19" s="259"/>
      <c r="AQ19" s="610"/>
      <c r="AR19" s="259"/>
      <c r="AS19" s="259" t="s">
        <v>2343</v>
      </c>
      <c r="AT19" s="608"/>
      <c r="AU19" s="259"/>
      <c r="AV19" s="259"/>
      <c r="AW19" s="261"/>
      <c r="AX19" s="261"/>
      <c r="AY19" s="608"/>
      <c r="AZ19" s="262"/>
    </row>
    <row r="20" spans="2:52" s="260" customFormat="1" ht="103.5" hidden="1" customHeight="1">
      <c r="B20" s="608"/>
      <c r="C20" s="266"/>
      <c r="D20" s="1399"/>
      <c r="E20" s="1408"/>
      <c r="F20" s="1400"/>
      <c r="G20" s="267"/>
      <c r="H20" s="1399"/>
      <c r="I20" s="1408"/>
      <c r="J20" s="1400"/>
      <c r="K20" s="1380"/>
      <c r="L20" s="1380"/>
      <c r="M20" s="1380"/>
      <c r="N20" s="608"/>
      <c r="O20" s="608"/>
      <c r="P20" s="608"/>
      <c r="Q20" s="608"/>
      <c r="R20" s="266"/>
      <c r="S20" s="266"/>
      <c r="T20" s="268"/>
      <c r="U20" s="269" t="e">
        <f>VLOOKUP(R20,[71]Listas!$D$6:$E$10,2,0)</f>
        <v>#N/A</v>
      </c>
      <c r="V20" s="269" t="e">
        <f>HLOOKUP(S20,[71]Listas!$F$4:$J$5,2,0)</f>
        <v>#N/A</v>
      </c>
      <c r="W20" s="270" t="e">
        <f>INDEX([71]Listas!$F$6:$J$10,MATCH(R20,[71]Listas!$D$6:$D$10,0),MATCH(S20,[71]Listas!$F$4:$J$4,0))</f>
        <v>#N/A</v>
      </c>
      <c r="X20" s="268"/>
      <c r="Y20" s="1399"/>
      <c r="Z20" s="1408"/>
      <c r="AA20" s="1400"/>
      <c r="AB20" s="1063"/>
      <c r="AC20" s="267"/>
      <c r="AD20" s="259"/>
      <c r="AE20" s="608"/>
      <c r="AF20" s="267"/>
      <c r="AG20" s="268"/>
      <c r="AH20" s="269">
        <f t="shared" si="0"/>
        <v>0</v>
      </c>
      <c r="AI20" s="271" t="e">
        <f t="shared" si="1"/>
        <v>#N/A</v>
      </c>
      <c r="AJ20" s="272" t="e">
        <f>IF(AI20&lt;=1,"Remota",VLOOKUP(AI20,[71]Listas!$C$6:$D$10,2,0))</f>
        <v>#N/A</v>
      </c>
      <c r="AK20" s="271" t="e">
        <f t="shared" si="2"/>
        <v>#N/A</v>
      </c>
      <c r="AL20" s="272" t="e">
        <f>IF(AK20&lt;=1,"Insignificante",HLOOKUP(AK20,[71]Listas!$F$3:$J$4,2,0))</f>
        <v>#N/A</v>
      </c>
      <c r="AM20" s="273" t="e">
        <f t="shared" si="3"/>
        <v>#N/A</v>
      </c>
      <c r="AN20" s="270" t="e">
        <f>INDEX([71]Listas!$F$6:$J$10,MATCH(AJ20,[71]Listas!$D$6:$D$10,0),MATCH(AL20,[71]Listas!$F$4:$J$4,0))</f>
        <v>#N/A</v>
      </c>
      <c r="AO20" s="259"/>
      <c r="AP20" s="259"/>
      <c r="AQ20" s="610"/>
      <c r="AR20" s="259"/>
      <c r="AS20" s="259" t="s">
        <v>2343</v>
      </c>
      <c r="AT20" s="608"/>
      <c r="AU20" s="259"/>
      <c r="AV20" s="259"/>
      <c r="AW20" s="261"/>
      <c r="AX20" s="261"/>
      <c r="AY20" s="608"/>
      <c r="AZ20" s="262"/>
    </row>
    <row r="21" spans="2:52" s="260" customFormat="1" ht="103.5" hidden="1" customHeight="1">
      <c r="B21" s="608"/>
      <c r="C21" s="266"/>
      <c r="D21" s="1399"/>
      <c r="E21" s="1408"/>
      <c r="F21" s="1400"/>
      <c r="G21" s="267"/>
      <c r="H21" s="1399"/>
      <c r="I21" s="1408"/>
      <c r="J21" s="1400"/>
      <c r="K21" s="1380"/>
      <c r="L21" s="1380"/>
      <c r="M21" s="1380"/>
      <c r="N21" s="608"/>
      <c r="O21" s="608"/>
      <c r="P21" s="608"/>
      <c r="Q21" s="608"/>
      <c r="R21" s="266"/>
      <c r="S21" s="266"/>
      <c r="T21" s="268"/>
      <c r="U21" s="269" t="e">
        <f>VLOOKUP(R21,[71]Listas!$D$6:$E$10,2,0)</f>
        <v>#N/A</v>
      </c>
      <c r="V21" s="269" t="e">
        <f>HLOOKUP(S21,[71]Listas!$F$4:$J$5,2,0)</f>
        <v>#N/A</v>
      </c>
      <c r="W21" s="270" t="e">
        <f>INDEX([71]Listas!$F$6:$J$10,MATCH(R21,[71]Listas!$D$6:$D$10,0),MATCH(S21,[71]Listas!$F$4:$J$4,0))</f>
        <v>#N/A</v>
      </c>
      <c r="X21" s="268"/>
      <c r="Y21" s="1399"/>
      <c r="Z21" s="1408"/>
      <c r="AA21" s="1400"/>
      <c r="AB21" s="1063"/>
      <c r="AC21" s="267"/>
      <c r="AD21" s="259"/>
      <c r="AE21" s="608"/>
      <c r="AF21" s="267"/>
      <c r="AG21" s="268"/>
      <c r="AH21" s="269">
        <f t="shared" si="0"/>
        <v>0</v>
      </c>
      <c r="AI21" s="271" t="e">
        <f t="shared" si="1"/>
        <v>#N/A</v>
      </c>
      <c r="AJ21" s="272" t="e">
        <f>IF(AI21&lt;=1,"Remota",VLOOKUP(AI21,[71]Listas!$C$6:$D$10,2,0))</f>
        <v>#N/A</v>
      </c>
      <c r="AK21" s="271" t="e">
        <f t="shared" si="2"/>
        <v>#N/A</v>
      </c>
      <c r="AL21" s="272" t="e">
        <f>IF(AK21&lt;=1,"Insignificante",HLOOKUP(AK21,[71]Listas!$F$3:$J$4,2,0))</f>
        <v>#N/A</v>
      </c>
      <c r="AM21" s="273" t="e">
        <f t="shared" si="3"/>
        <v>#N/A</v>
      </c>
      <c r="AN21" s="270" t="e">
        <f>INDEX([71]Listas!$F$6:$J$10,MATCH(AJ21,[71]Listas!$D$6:$D$10,0),MATCH(AL21,[71]Listas!$F$4:$J$4,0))</f>
        <v>#N/A</v>
      </c>
      <c r="AO21" s="259"/>
      <c r="AP21" s="259"/>
      <c r="AQ21" s="610"/>
      <c r="AR21" s="259"/>
      <c r="AS21" s="259" t="s">
        <v>2343</v>
      </c>
      <c r="AT21" s="608"/>
      <c r="AU21" s="259"/>
      <c r="AV21" s="259"/>
      <c r="AW21" s="261"/>
      <c r="AX21" s="261"/>
      <c r="AY21" s="608"/>
      <c r="AZ21" s="262"/>
    </row>
    <row r="22" spans="2:52" s="260" customFormat="1" ht="103.5" hidden="1" customHeight="1">
      <c r="B22" s="608"/>
      <c r="C22" s="266"/>
      <c r="D22" s="1399"/>
      <c r="E22" s="1408"/>
      <c r="F22" s="1400"/>
      <c r="G22" s="267"/>
      <c r="H22" s="1399"/>
      <c r="I22" s="1408"/>
      <c r="J22" s="1400"/>
      <c r="K22" s="1380"/>
      <c r="L22" s="1380"/>
      <c r="M22" s="1380"/>
      <c r="N22" s="608"/>
      <c r="O22" s="608"/>
      <c r="P22" s="608"/>
      <c r="Q22" s="608"/>
      <c r="R22" s="266"/>
      <c r="S22" s="266"/>
      <c r="T22" s="268"/>
      <c r="U22" s="269" t="e">
        <f>VLOOKUP(R22,[71]Listas!$D$6:$E$10,2,0)</f>
        <v>#N/A</v>
      </c>
      <c r="V22" s="269" t="e">
        <f>HLOOKUP(S22,[71]Listas!$F$4:$J$5,2,0)</f>
        <v>#N/A</v>
      </c>
      <c r="W22" s="270" t="e">
        <f>INDEX([71]Listas!$F$6:$J$10,MATCH(R22,[71]Listas!$D$6:$D$10,0),MATCH(S22,[71]Listas!$F$4:$J$4,0))</f>
        <v>#N/A</v>
      </c>
      <c r="X22" s="268"/>
      <c r="Y22" s="1399"/>
      <c r="Z22" s="1408"/>
      <c r="AA22" s="1400"/>
      <c r="AB22" s="1063"/>
      <c r="AC22" s="267"/>
      <c r="AD22" s="259"/>
      <c r="AE22" s="608"/>
      <c r="AF22" s="267"/>
      <c r="AG22" s="268"/>
      <c r="AH22" s="269">
        <f t="shared" si="0"/>
        <v>0</v>
      </c>
      <c r="AI22" s="271" t="e">
        <f t="shared" si="1"/>
        <v>#N/A</v>
      </c>
      <c r="AJ22" s="272" t="e">
        <f>IF(AI22&lt;=1,"Remota",VLOOKUP(AI22,[71]Listas!$C$6:$D$10,2,0))</f>
        <v>#N/A</v>
      </c>
      <c r="AK22" s="271" t="e">
        <f t="shared" si="2"/>
        <v>#N/A</v>
      </c>
      <c r="AL22" s="272" t="e">
        <f>IF(AK22&lt;=1,"Insignificante",HLOOKUP(AK22,[71]Listas!$F$3:$J$4,2,0))</f>
        <v>#N/A</v>
      </c>
      <c r="AM22" s="273" t="e">
        <f t="shared" si="3"/>
        <v>#N/A</v>
      </c>
      <c r="AN22" s="270" t="e">
        <f>INDEX([71]Listas!$F$6:$J$10,MATCH(AJ22,[71]Listas!$D$6:$D$10,0),MATCH(AL22,[71]Listas!$F$4:$J$4,0))</f>
        <v>#N/A</v>
      </c>
      <c r="AO22" s="259"/>
      <c r="AP22" s="259"/>
      <c r="AQ22" s="610"/>
      <c r="AR22" s="259"/>
      <c r="AS22" s="259" t="s">
        <v>2343</v>
      </c>
      <c r="AT22" s="608"/>
      <c r="AU22" s="259"/>
      <c r="AV22" s="259"/>
      <c r="AW22" s="261"/>
      <c r="AX22" s="261"/>
      <c r="AY22" s="608"/>
      <c r="AZ22" s="262"/>
    </row>
    <row r="23" spans="2:52" s="260" customFormat="1" ht="103.5" hidden="1" customHeight="1">
      <c r="B23" s="608"/>
      <c r="C23" s="266"/>
      <c r="D23" s="1399"/>
      <c r="E23" s="1408"/>
      <c r="F23" s="1400"/>
      <c r="G23" s="267"/>
      <c r="H23" s="1399"/>
      <c r="I23" s="1408"/>
      <c r="J23" s="1400"/>
      <c r="K23" s="1380"/>
      <c r="L23" s="1380"/>
      <c r="M23" s="1380"/>
      <c r="N23" s="608"/>
      <c r="O23" s="608"/>
      <c r="P23" s="608"/>
      <c r="Q23" s="608"/>
      <c r="R23" s="266"/>
      <c r="S23" s="266"/>
      <c r="T23" s="268"/>
      <c r="U23" s="269" t="e">
        <f>VLOOKUP(R23,[71]Listas!$D$6:$E$10,2,0)</f>
        <v>#N/A</v>
      </c>
      <c r="V23" s="269" t="e">
        <f>HLOOKUP(S23,[71]Listas!$F$4:$J$5,2,0)</f>
        <v>#N/A</v>
      </c>
      <c r="W23" s="270" t="e">
        <f>INDEX([71]Listas!$F$6:$J$10,MATCH(R23,[71]Listas!$D$6:$D$10,0),MATCH(S23,[71]Listas!$F$4:$J$4,0))</f>
        <v>#N/A</v>
      </c>
      <c r="X23" s="268"/>
      <c r="Y23" s="1399"/>
      <c r="Z23" s="1408"/>
      <c r="AA23" s="1400"/>
      <c r="AB23" s="1063"/>
      <c r="AC23" s="267"/>
      <c r="AD23" s="259"/>
      <c r="AE23" s="608"/>
      <c r="AF23" s="267"/>
      <c r="AG23" s="268"/>
      <c r="AH23" s="269">
        <f t="shared" si="0"/>
        <v>0</v>
      </c>
      <c r="AI23" s="271" t="e">
        <f t="shared" si="1"/>
        <v>#N/A</v>
      </c>
      <c r="AJ23" s="272" t="e">
        <f>IF(AI23&lt;=1,"Remota",VLOOKUP(AI23,[71]Listas!$C$6:$D$10,2,0))</f>
        <v>#N/A</v>
      </c>
      <c r="AK23" s="271" t="e">
        <f t="shared" si="2"/>
        <v>#N/A</v>
      </c>
      <c r="AL23" s="272" t="e">
        <f>IF(AK23&lt;=1,"Insignificante",HLOOKUP(AK23,[71]Listas!$F$3:$J$4,2,0))</f>
        <v>#N/A</v>
      </c>
      <c r="AM23" s="273" t="e">
        <f t="shared" si="3"/>
        <v>#N/A</v>
      </c>
      <c r="AN23" s="270" t="e">
        <f>INDEX([71]Listas!$F$6:$J$10,MATCH(AJ23,[71]Listas!$D$6:$D$10,0),MATCH(AL23,[71]Listas!$F$4:$J$4,0))</f>
        <v>#N/A</v>
      </c>
      <c r="AO23" s="259"/>
      <c r="AP23" s="259"/>
      <c r="AQ23" s="610"/>
      <c r="AR23" s="259"/>
      <c r="AS23" s="259" t="s">
        <v>2343</v>
      </c>
      <c r="AT23" s="608"/>
      <c r="AU23" s="259"/>
      <c r="AV23" s="259"/>
      <c r="AW23" s="261"/>
      <c r="AX23" s="261"/>
      <c r="AY23" s="608"/>
      <c r="AZ23" s="262"/>
    </row>
    <row r="24" spans="2:52" s="260" customFormat="1" ht="103.5" hidden="1" customHeight="1">
      <c r="B24" s="608"/>
      <c r="C24" s="266"/>
      <c r="D24" s="1399"/>
      <c r="E24" s="1408"/>
      <c r="F24" s="1400"/>
      <c r="G24" s="267"/>
      <c r="H24" s="1399"/>
      <c r="I24" s="1408"/>
      <c r="J24" s="1400"/>
      <c r="K24" s="1380"/>
      <c r="L24" s="1380"/>
      <c r="M24" s="1380"/>
      <c r="N24" s="608"/>
      <c r="O24" s="608"/>
      <c r="P24" s="608"/>
      <c r="Q24" s="608"/>
      <c r="R24" s="266"/>
      <c r="S24" s="266"/>
      <c r="T24" s="268"/>
      <c r="U24" s="269" t="e">
        <f>VLOOKUP(R24,[71]Listas!$D$6:$E$10,2,0)</f>
        <v>#N/A</v>
      </c>
      <c r="V24" s="269" t="e">
        <f>HLOOKUP(S24,[71]Listas!$F$4:$J$5,2,0)</f>
        <v>#N/A</v>
      </c>
      <c r="W24" s="270" t="e">
        <f>INDEX([71]Listas!$F$6:$J$10,MATCH(R24,[71]Listas!$D$6:$D$10,0),MATCH(S24,[71]Listas!$F$4:$J$4,0))</f>
        <v>#N/A</v>
      </c>
      <c r="X24" s="268"/>
      <c r="Y24" s="1399"/>
      <c r="Z24" s="1408"/>
      <c r="AA24" s="1400"/>
      <c r="AB24" s="1063"/>
      <c r="AC24" s="267"/>
      <c r="AD24" s="259"/>
      <c r="AE24" s="608"/>
      <c r="AF24" s="267"/>
      <c r="AG24" s="268"/>
      <c r="AH24" s="269">
        <f t="shared" si="0"/>
        <v>0</v>
      </c>
      <c r="AI24" s="271" t="e">
        <f t="shared" si="1"/>
        <v>#N/A</v>
      </c>
      <c r="AJ24" s="272" t="e">
        <f>IF(AI24&lt;=1,"Remota",VLOOKUP(AI24,[71]Listas!$C$6:$D$10,2,0))</f>
        <v>#N/A</v>
      </c>
      <c r="AK24" s="271" t="e">
        <f t="shared" si="2"/>
        <v>#N/A</v>
      </c>
      <c r="AL24" s="272" t="e">
        <f>IF(AK24&lt;=1,"Insignificante",HLOOKUP(AK24,[71]Listas!$F$3:$J$4,2,0))</f>
        <v>#N/A</v>
      </c>
      <c r="AM24" s="273" t="e">
        <f t="shared" si="3"/>
        <v>#N/A</v>
      </c>
      <c r="AN24" s="270" t="e">
        <f>INDEX([71]Listas!$F$6:$J$10,MATCH(AJ24,[71]Listas!$D$6:$D$10,0),MATCH(AL24,[71]Listas!$F$4:$J$4,0))</f>
        <v>#N/A</v>
      </c>
      <c r="AO24" s="259"/>
      <c r="AP24" s="259"/>
      <c r="AQ24" s="610"/>
      <c r="AR24" s="259"/>
      <c r="AS24" s="259" t="s">
        <v>2343</v>
      </c>
      <c r="AT24" s="608"/>
      <c r="AU24" s="259"/>
      <c r="AV24" s="259"/>
      <c r="AW24" s="261"/>
      <c r="AX24" s="261"/>
      <c r="AY24" s="608"/>
      <c r="AZ24" s="262"/>
    </row>
    <row r="25" spans="2:52" s="260" customFormat="1" ht="103.5" hidden="1" customHeight="1">
      <c r="B25" s="608"/>
      <c r="C25" s="266"/>
      <c r="D25" s="1399"/>
      <c r="E25" s="1408"/>
      <c r="F25" s="1400"/>
      <c r="G25" s="267"/>
      <c r="H25" s="1399"/>
      <c r="I25" s="1408"/>
      <c r="J25" s="1400"/>
      <c r="K25" s="1380"/>
      <c r="L25" s="1380"/>
      <c r="M25" s="1380"/>
      <c r="N25" s="608"/>
      <c r="O25" s="608"/>
      <c r="P25" s="608"/>
      <c r="Q25" s="608"/>
      <c r="R25" s="266"/>
      <c r="S25" s="266"/>
      <c r="T25" s="268"/>
      <c r="U25" s="269" t="e">
        <f>VLOOKUP(R25,[71]Listas!$D$6:$E$10,2,0)</f>
        <v>#N/A</v>
      </c>
      <c r="V25" s="269" t="e">
        <f>HLOOKUP(S25,[71]Listas!$F$4:$J$5,2,0)</f>
        <v>#N/A</v>
      </c>
      <c r="W25" s="270" t="e">
        <f>INDEX([71]Listas!$F$6:$J$10,MATCH(R25,[71]Listas!$D$6:$D$10,0),MATCH(S25,[71]Listas!$F$4:$J$4,0))</f>
        <v>#N/A</v>
      </c>
      <c r="X25" s="268"/>
      <c r="Y25" s="1399"/>
      <c r="Z25" s="1408"/>
      <c r="AA25" s="1400"/>
      <c r="AB25" s="1063"/>
      <c r="AC25" s="267"/>
      <c r="AD25" s="259"/>
      <c r="AE25" s="608"/>
      <c r="AF25" s="267"/>
      <c r="AG25" s="268"/>
      <c r="AH25" s="269">
        <f t="shared" si="0"/>
        <v>0</v>
      </c>
      <c r="AI25" s="271" t="e">
        <f t="shared" si="1"/>
        <v>#N/A</v>
      </c>
      <c r="AJ25" s="272" t="e">
        <f>IF(AI25&lt;=1,"Remota",VLOOKUP(AI25,[71]Listas!$C$6:$D$10,2,0))</f>
        <v>#N/A</v>
      </c>
      <c r="AK25" s="271" t="e">
        <f t="shared" si="2"/>
        <v>#N/A</v>
      </c>
      <c r="AL25" s="272" t="e">
        <f>IF(AK25&lt;=1,"Insignificante",HLOOKUP(AK25,[71]Listas!$F$3:$J$4,2,0))</f>
        <v>#N/A</v>
      </c>
      <c r="AM25" s="273" t="e">
        <f t="shared" si="3"/>
        <v>#N/A</v>
      </c>
      <c r="AN25" s="270" t="e">
        <f>INDEX([71]Listas!$F$6:$J$10,MATCH(AJ25,[71]Listas!$D$6:$D$10,0),MATCH(AL25,[71]Listas!$F$4:$J$4,0))</f>
        <v>#N/A</v>
      </c>
      <c r="AO25" s="259"/>
      <c r="AP25" s="259"/>
      <c r="AQ25" s="610"/>
      <c r="AR25" s="259"/>
      <c r="AS25" s="259" t="s">
        <v>2343</v>
      </c>
      <c r="AT25" s="608"/>
      <c r="AU25" s="259"/>
      <c r="AV25" s="259"/>
      <c r="AW25" s="261"/>
      <c r="AX25" s="261"/>
      <c r="AY25" s="608"/>
      <c r="AZ25" s="262"/>
    </row>
    <row r="26" spans="2:52" s="260" customFormat="1" ht="103.5" hidden="1" customHeight="1">
      <c r="B26" s="608"/>
      <c r="C26" s="266"/>
      <c r="D26" s="1399"/>
      <c r="E26" s="1408"/>
      <c r="F26" s="1400"/>
      <c r="G26" s="267"/>
      <c r="H26" s="1399"/>
      <c r="I26" s="1408"/>
      <c r="J26" s="1400"/>
      <c r="K26" s="1380"/>
      <c r="L26" s="1380"/>
      <c r="M26" s="1380"/>
      <c r="N26" s="608"/>
      <c r="O26" s="608"/>
      <c r="P26" s="608"/>
      <c r="Q26" s="608"/>
      <c r="R26" s="266"/>
      <c r="S26" s="266"/>
      <c r="T26" s="268"/>
      <c r="U26" s="269" t="e">
        <f>VLOOKUP(R26,[71]Listas!$D$6:$E$10,2,0)</f>
        <v>#N/A</v>
      </c>
      <c r="V26" s="269" t="e">
        <f>HLOOKUP(S26,[71]Listas!$F$4:$J$5,2,0)</f>
        <v>#N/A</v>
      </c>
      <c r="W26" s="270" t="e">
        <f>INDEX([71]Listas!$F$6:$J$10,MATCH(R26,[71]Listas!$D$6:$D$10,0),MATCH(S26,[71]Listas!$F$4:$J$4,0))</f>
        <v>#N/A</v>
      </c>
      <c r="X26" s="268"/>
      <c r="Y26" s="1399"/>
      <c r="Z26" s="1408"/>
      <c r="AA26" s="1400"/>
      <c r="AB26" s="1063"/>
      <c r="AC26" s="267"/>
      <c r="AD26" s="259"/>
      <c r="AE26" s="608"/>
      <c r="AF26" s="267"/>
      <c r="AG26" s="268"/>
      <c r="AH26" s="269">
        <f t="shared" si="0"/>
        <v>0</v>
      </c>
      <c r="AI26" s="271" t="e">
        <f t="shared" si="1"/>
        <v>#N/A</v>
      </c>
      <c r="AJ26" s="272" t="e">
        <f>IF(AI26&lt;=1,"Remota",VLOOKUP(AI26,[71]Listas!$C$6:$D$10,2,0))</f>
        <v>#N/A</v>
      </c>
      <c r="AK26" s="271" t="e">
        <f t="shared" si="2"/>
        <v>#N/A</v>
      </c>
      <c r="AL26" s="272" t="e">
        <f>IF(AK26&lt;=1,"Insignificante",HLOOKUP(AK26,[71]Listas!$F$3:$J$4,2,0))</f>
        <v>#N/A</v>
      </c>
      <c r="AM26" s="273" t="e">
        <f t="shared" si="3"/>
        <v>#N/A</v>
      </c>
      <c r="AN26" s="270" t="e">
        <f>INDEX([71]Listas!$F$6:$J$10,MATCH(AJ26,[71]Listas!$D$6:$D$10,0),MATCH(AL26,[71]Listas!$F$4:$J$4,0))</f>
        <v>#N/A</v>
      </c>
      <c r="AO26" s="259"/>
      <c r="AP26" s="259"/>
      <c r="AQ26" s="610"/>
      <c r="AR26" s="259"/>
      <c r="AS26" s="259" t="s">
        <v>2343</v>
      </c>
      <c r="AT26" s="608"/>
      <c r="AU26" s="259"/>
      <c r="AV26" s="259"/>
      <c r="AW26" s="261"/>
      <c r="AX26" s="261"/>
      <c r="AY26" s="608"/>
      <c r="AZ26" s="262"/>
    </row>
    <row r="27" spans="2:52" s="260" customFormat="1" ht="103.5" hidden="1" customHeight="1">
      <c r="B27" s="608"/>
      <c r="C27" s="266"/>
      <c r="D27" s="1399"/>
      <c r="E27" s="1408"/>
      <c r="F27" s="1400"/>
      <c r="G27" s="267"/>
      <c r="H27" s="1399"/>
      <c r="I27" s="1408"/>
      <c r="J27" s="1400"/>
      <c r="K27" s="1380"/>
      <c r="L27" s="1380"/>
      <c r="M27" s="1380"/>
      <c r="N27" s="608"/>
      <c r="O27" s="608"/>
      <c r="P27" s="608"/>
      <c r="Q27" s="608"/>
      <c r="R27" s="266"/>
      <c r="S27" s="266"/>
      <c r="T27" s="268"/>
      <c r="U27" s="269" t="e">
        <f>VLOOKUP(R27,[71]Listas!$D$6:$E$10,2,0)</f>
        <v>#N/A</v>
      </c>
      <c r="V27" s="269" t="e">
        <f>HLOOKUP(S27,[71]Listas!$F$4:$J$5,2,0)</f>
        <v>#N/A</v>
      </c>
      <c r="W27" s="270" t="e">
        <f>INDEX([71]Listas!$F$6:$J$10,MATCH(R27,[71]Listas!$D$6:$D$10,0),MATCH(S27,[71]Listas!$F$4:$J$4,0))</f>
        <v>#N/A</v>
      </c>
      <c r="X27" s="268"/>
      <c r="Y27" s="1399"/>
      <c r="Z27" s="1408"/>
      <c r="AA27" s="1400"/>
      <c r="AB27" s="1063"/>
      <c r="AC27" s="267"/>
      <c r="AD27" s="259"/>
      <c r="AE27" s="608"/>
      <c r="AF27" s="267"/>
      <c r="AG27" s="268"/>
      <c r="AH27" s="269">
        <f t="shared" si="0"/>
        <v>0</v>
      </c>
      <c r="AI27" s="271" t="e">
        <f t="shared" si="1"/>
        <v>#N/A</v>
      </c>
      <c r="AJ27" s="272" t="e">
        <f>IF(AI27&lt;=1,"Remota",VLOOKUP(AI27,[71]Listas!$C$6:$D$10,2,0))</f>
        <v>#N/A</v>
      </c>
      <c r="AK27" s="271" t="e">
        <f t="shared" si="2"/>
        <v>#N/A</v>
      </c>
      <c r="AL27" s="272" t="e">
        <f>IF(AK27&lt;=1,"Insignificante",HLOOKUP(AK27,[71]Listas!$F$3:$J$4,2,0))</f>
        <v>#N/A</v>
      </c>
      <c r="AM27" s="273" t="e">
        <f t="shared" si="3"/>
        <v>#N/A</v>
      </c>
      <c r="AN27" s="270" t="e">
        <f>INDEX([71]Listas!$F$6:$J$10,MATCH(AJ27,[71]Listas!$D$6:$D$10,0),MATCH(AL27,[71]Listas!$F$4:$J$4,0))</f>
        <v>#N/A</v>
      </c>
      <c r="AO27" s="259"/>
      <c r="AP27" s="259"/>
      <c r="AQ27" s="610"/>
      <c r="AR27" s="259"/>
      <c r="AS27" s="259" t="s">
        <v>2343</v>
      </c>
      <c r="AT27" s="608"/>
      <c r="AU27" s="259"/>
      <c r="AV27" s="259"/>
      <c r="AW27" s="261"/>
      <c r="AX27" s="261"/>
      <c r="AY27" s="608"/>
      <c r="AZ27" s="262"/>
    </row>
    <row r="28" spans="2:52" s="260" customFormat="1" ht="103.5" hidden="1" customHeight="1">
      <c r="B28" s="608"/>
      <c r="C28" s="266"/>
      <c r="D28" s="1399"/>
      <c r="E28" s="1408"/>
      <c r="F28" s="1400"/>
      <c r="G28" s="267"/>
      <c r="H28" s="1399"/>
      <c r="I28" s="1408"/>
      <c r="J28" s="1400"/>
      <c r="K28" s="1380"/>
      <c r="L28" s="1380"/>
      <c r="M28" s="1380"/>
      <c r="N28" s="608"/>
      <c r="O28" s="608"/>
      <c r="P28" s="608"/>
      <c r="Q28" s="608"/>
      <c r="R28" s="266"/>
      <c r="S28" s="266"/>
      <c r="T28" s="268"/>
      <c r="U28" s="269" t="e">
        <f>VLOOKUP(R28,[71]Listas!$D$6:$E$10,2,0)</f>
        <v>#N/A</v>
      </c>
      <c r="V28" s="269" t="e">
        <f>HLOOKUP(S28,[71]Listas!$F$4:$J$5,2,0)</f>
        <v>#N/A</v>
      </c>
      <c r="W28" s="270" t="e">
        <f>INDEX([71]Listas!$F$6:$J$10,MATCH(R28,[71]Listas!$D$6:$D$10,0),MATCH(S28,[71]Listas!$F$4:$J$4,0))</f>
        <v>#N/A</v>
      </c>
      <c r="X28" s="268"/>
      <c r="Y28" s="1399"/>
      <c r="Z28" s="1408"/>
      <c r="AA28" s="1400"/>
      <c r="AB28" s="1063"/>
      <c r="AC28" s="267"/>
      <c r="AD28" s="259"/>
      <c r="AE28" s="608"/>
      <c r="AF28" s="267"/>
      <c r="AG28" s="268"/>
      <c r="AH28" s="269">
        <f t="shared" si="0"/>
        <v>0</v>
      </c>
      <c r="AI28" s="271" t="e">
        <f t="shared" si="1"/>
        <v>#N/A</v>
      </c>
      <c r="AJ28" s="272" t="e">
        <f>IF(AI28&lt;=1,"Remota",VLOOKUP(AI28,[71]Listas!$C$6:$D$10,2,0))</f>
        <v>#N/A</v>
      </c>
      <c r="AK28" s="271" t="e">
        <f t="shared" si="2"/>
        <v>#N/A</v>
      </c>
      <c r="AL28" s="272" t="e">
        <f>IF(AK28&lt;=1,"Insignificante",HLOOKUP(AK28,[71]Listas!$F$3:$J$4,2,0))</f>
        <v>#N/A</v>
      </c>
      <c r="AM28" s="273" t="e">
        <f t="shared" si="3"/>
        <v>#N/A</v>
      </c>
      <c r="AN28" s="270" t="e">
        <f>INDEX([71]Listas!$F$6:$J$10,MATCH(AJ28,[71]Listas!$D$6:$D$10,0),MATCH(AL28,[71]Listas!$F$4:$J$4,0))</f>
        <v>#N/A</v>
      </c>
      <c r="AO28" s="259"/>
      <c r="AP28" s="259"/>
      <c r="AQ28" s="610"/>
      <c r="AR28" s="259"/>
      <c r="AS28" s="259" t="s">
        <v>2343</v>
      </c>
      <c r="AT28" s="608"/>
      <c r="AU28" s="259"/>
      <c r="AV28" s="259"/>
      <c r="AW28" s="261"/>
      <c r="AX28" s="261"/>
      <c r="AY28" s="608"/>
      <c r="AZ28" s="262"/>
    </row>
    <row r="29" spans="2:52" s="260" customFormat="1" ht="103.5" hidden="1" customHeight="1">
      <c r="B29" s="608"/>
      <c r="C29" s="266"/>
      <c r="D29" s="1399"/>
      <c r="E29" s="1408"/>
      <c r="F29" s="1400"/>
      <c r="G29" s="266"/>
      <c r="H29" s="1399"/>
      <c r="I29" s="1408"/>
      <c r="J29" s="1400"/>
      <c r="K29" s="1380"/>
      <c r="L29" s="1380"/>
      <c r="M29" s="1380"/>
      <c r="N29" s="608"/>
      <c r="O29" s="608"/>
      <c r="P29" s="608"/>
      <c r="Q29" s="608"/>
      <c r="R29" s="266"/>
      <c r="S29" s="266"/>
      <c r="T29" s="268"/>
      <c r="U29" s="269" t="e">
        <f>VLOOKUP(R29,[71]Listas!$D$6:$E$10,2,0)</f>
        <v>#N/A</v>
      </c>
      <c r="V29" s="269" t="e">
        <f>HLOOKUP(S29,[71]Listas!$F$4:$J$5,2,0)</f>
        <v>#N/A</v>
      </c>
      <c r="W29" s="270" t="e">
        <f>INDEX([71]Listas!$F$6:$J$10,MATCH(R29,[71]Listas!$D$6:$D$10,0),MATCH(S29,[71]Listas!$F$4:$J$4,0))</f>
        <v>#N/A</v>
      </c>
      <c r="X29" s="268"/>
      <c r="Y29" s="1399"/>
      <c r="Z29" s="1408"/>
      <c r="AA29" s="1400"/>
      <c r="AB29" s="1063"/>
      <c r="AC29" s="267"/>
      <c r="AD29" s="259"/>
      <c r="AE29" s="608"/>
      <c r="AF29" s="267"/>
      <c r="AG29" s="268"/>
      <c r="AH29" s="269">
        <f>IF(AE29&lt;=33,0,IF(AE29&gt;81,2,1))</f>
        <v>0</v>
      </c>
      <c r="AI29" s="271" t="e">
        <f>IF(OR(AF29="Probabilidad",AF29="Ambos"),U29-AH29,U29)</f>
        <v>#N/A</v>
      </c>
      <c r="AJ29" s="272" t="e">
        <f>IF(AI29&lt;=1,"Remota",VLOOKUP(AI29,[71]Listas!$C$6:$D$10,2,0))</f>
        <v>#N/A</v>
      </c>
      <c r="AK29" s="271" t="e">
        <f>IF(OR(AF29="Impacto",AF29="Ambos"),V29-AH29,V29)</f>
        <v>#N/A</v>
      </c>
      <c r="AL29" s="272" t="e">
        <f>IF(AK29&lt;=1,"Insignificante",HLOOKUP(AK29,[71]Listas!$F$3:$J$4,2,0))</f>
        <v>#N/A</v>
      </c>
      <c r="AM29" s="273" t="e">
        <f>AI29*AK29</f>
        <v>#N/A</v>
      </c>
      <c r="AN29" s="270" t="e">
        <f>INDEX([71]Listas!$F$6:$J$10,MATCH(AJ29,[71]Listas!$D$6:$D$10,0),MATCH(AL29,[71]Listas!$F$4:$J$4,0))</f>
        <v>#N/A</v>
      </c>
      <c r="AO29" s="259"/>
      <c r="AP29" s="259"/>
      <c r="AQ29" s="610"/>
      <c r="AR29" s="259"/>
      <c r="AS29" s="259" t="s">
        <v>2343</v>
      </c>
      <c r="AT29" s="608"/>
      <c r="AV29" s="259"/>
      <c r="AW29" s="261"/>
      <c r="AX29" s="261"/>
      <c r="AY29" s="608"/>
      <c r="AZ29" s="262"/>
    </row>
    <row r="30" spans="2:52" s="260" customFormat="1" ht="103.5" hidden="1" customHeight="1">
      <c r="B30" s="608"/>
      <c r="C30" s="266"/>
      <c r="D30" s="1399"/>
      <c r="E30" s="1408"/>
      <c r="F30" s="1400"/>
      <c r="G30" s="267"/>
      <c r="H30" s="1399"/>
      <c r="I30" s="1408"/>
      <c r="J30" s="1400"/>
      <c r="K30" s="1380"/>
      <c r="L30" s="1380"/>
      <c r="M30" s="1380"/>
      <c r="N30" s="608"/>
      <c r="O30" s="608"/>
      <c r="P30" s="608"/>
      <c r="Q30" s="608"/>
      <c r="R30" s="266"/>
      <c r="S30" s="266"/>
      <c r="T30" s="268"/>
      <c r="U30" s="269" t="e">
        <f>VLOOKUP(R30,[71]Listas!$D$6:$E$10,2,0)</f>
        <v>#N/A</v>
      </c>
      <c r="V30" s="269" t="e">
        <f>HLOOKUP(S30,[71]Listas!$F$4:$J$5,2,0)</f>
        <v>#N/A</v>
      </c>
      <c r="W30" s="270" t="e">
        <f>INDEX([71]Listas!$F$6:$J$10,MATCH(R30,[71]Listas!$D$6:$D$10,0),MATCH(S30,[71]Listas!$F$4:$J$4,0))</f>
        <v>#N/A</v>
      </c>
      <c r="X30" s="268"/>
      <c r="Y30" s="1399"/>
      <c r="Z30" s="1408"/>
      <c r="AA30" s="1400"/>
      <c r="AB30" s="1063"/>
      <c r="AC30" s="267"/>
      <c r="AD30" s="259"/>
      <c r="AE30" s="608"/>
      <c r="AF30" s="267"/>
      <c r="AG30" s="268"/>
      <c r="AH30" s="269">
        <f t="shared" ref="AH30:AH50" si="4">IF(AE30&lt;=33,0,IF(AE30&gt;81,2,1))</f>
        <v>0</v>
      </c>
      <c r="AI30" s="271" t="e">
        <f t="shared" ref="AI30:AI50" si="5">IF(OR(AF30="Probabilidad",AF30="Ambos"),U30-AH30,U30)</f>
        <v>#N/A</v>
      </c>
      <c r="AJ30" s="272" t="e">
        <f>IF(AI30&lt;=1,"Remota",VLOOKUP(AI30,[71]Listas!$C$6:$D$10,2,0))</f>
        <v>#N/A</v>
      </c>
      <c r="AK30" s="271" t="e">
        <f t="shared" ref="AK30:AK50" si="6">IF(OR(AF30="Impacto",AF30="Ambos"),V30-AH30,V30)</f>
        <v>#N/A</v>
      </c>
      <c r="AL30" s="272" t="e">
        <f>IF(AK30&lt;=1,"Insignificante",HLOOKUP(AK30,[71]Listas!$F$3:$J$4,2,0))</f>
        <v>#N/A</v>
      </c>
      <c r="AM30" s="273" t="e">
        <f t="shared" ref="AM30:AM50" si="7">AI30*AK30</f>
        <v>#N/A</v>
      </c>
      <c r="AN30" s="270" t="e">
        <f>INDEX([71]Listas!$F$6:$J$10,MATCH(AJ30,[71]Listas!$D$6:$D$10,0),MATCH(AL30,[71]Listas!$F$4:$J$4,0))</f>
        <v>#N/A</v>
      </c>
      <c r="AO30" s="259"/>
      <c r="AP30" s="259"/>
      <c r="AQ30" s="610"/>
      <c r="AR30" s="259"/>
      <c r="AS30" s="259" t="s">
        <v>2343</v>
      </c>
      <c r="AT30" s="608"/>
      <c r="AU30" s="259"/>
      <c r="AV30" s="259"/>
      <c r="AW30" s="261"/>
      <c r="AX30" s="261"/>
      <c r="AY30" s="608"/>
      <c r="AZ30" s="262"/>
    </row>
    <row r="31" spans="2:52" s="260" customFormat="1" ht="103.5" hidden="1" customHeight="1">
      <c r="B31" s="608"/>
      <c r="C31" s="266"/>
      <c r="D31" s="1399"/>
      <c r="E31" s="1408"/>
      <c r="F31" s="1400"/>
      <c r="G31" s="267"/>
      <c r="H31" s="1399"/>
      <c r="I31" s="1408"/>
      <c r="J31" s="1400"/>
      <c r="K31" s="1380"/>
      <c r="L31" s="1380"/>
      <c r="M31" s="1380"/>
      <c r="N31" s="608"/>
      <c r="O31" s="608"/>
      <c r="P31" s="608"/>
      <c r="Q31" s="608"/>
      <c r="R31" s="266"/>
      <c r="S31" s="266"/>
      <c r="T31" s="268"/>
      <c r="U31" s="269" t="e">
        <f>VLOOKUP(R31,[71]Listas!$D$6:$E$10,2,0)</f>
        <v>#N/A</v>
      </c>
      <c r="V31" s="269" t="e">
        <f>HLOOKUP(S31,[71]Listas!$F$4:$J$5,2,0)</f>
        <v>#N/A</v>
      </c>
      <c r="W31" s="270" t="e">
        <f>INDEX([71]Listas!$F$6:$J$10,MATCH(R31,[71]Listas!$D$6:$D$10,0),MATCH(S31,[71]Listas!$F$4:$J$4,0))</f>
        <v>#N/A</v>
      </c>
      <c r="X31" s="268"/>
      <c r="Y31" s="1399"/>
      <c r="Z31" s="1408"/>
      <c r="AA31" s="1400"/>
      <c r="AB31" s="1063"/>
      <c r="AC31" s="267"/>
      <c r="AD31" s="259"/>
      <c r="AE31" s="608"/>
      <c r="AF31" s="267"/>
      <c r="AG31" s="268"/>
      <c r="AH31" s="269">
        <f t="shared" si="4"/>
        <v>0</v>
      </c>
      <c r="AI31" s="271" t="e">
        <f t="shared" si="5"/>
        <v>#N/A</v>
      </c>
      <c r="AJ31" s="272" t="e">
        <f>IF(AI31&lt;=1,"Remota",VLOOKUP(AI31,[71]Listas!$C$6:$D$10,2,0))</f>
        <v>#N/A</v>
      </c>
      <c r="AK31" s="271" t="e">
        <f t="shared" si="6"/>
        <v>#N/A</v>
      </c>
      <c r="AL31" s="272" t="e">
        <f>IF(AK31&lt;=1,"Insignificante",HLOOKUP(AK31,[71]Listas!$F$3:$J$4,2,0))</f>
        <v>#N/A</v>
      </c>
      <c r="AM31" s="273" t="e">
        <f t="shared" si="7"/>
        <v>#N/A</v>
      </c>
      <c r="AN31" s="270" t="e">
        <f>INDEX([71]Listas!$F$6:$J$10,MATCH(AJ31,[71]Listas!$D$6:$D$10,0),MATCH(AL31,[71]Listas!$F$4:$J$4,0))</f>
        <v>#N/A</v>
      </c>
      <c r="AO31" s="259"/>
      <c r="AP31" s="259"/>
      <c r="AQ31" s="610"/>
      <c r="AR31" s="259"/>
      <c r="AS31" s="259" t="s">
        <v>2343</v>
      </c>
      <c r="AT31" s="608"/>
      <c r="AU31" s="259"/>
      <c r="AV31" s="259"/>
      <c r="AW31" s="261"/>
      <c r="AX31" s="261"/>
      <c r="AY31" s="608"/>
      <c r="AZ31" s="262"/>
    </row>
    <row r="32" spans="2:52" s="260" customFormat="1" ht="103.5" hidden="1" customHeight="1">
      <c r="B32" s="608"/>
      <c r="C32" s="266"/>
      <c r="D32" s="1399"/>
      <c r="E32" s="1408"/>
      <c r="F32" s="1400"/>
      <c r="G32" s="267"/>
      <c r="H32" s="1399"/>
      <c r="I32" s="1408"/>
      <c r="J32" s="1400"/>
      <c r="K32" s="1380"/>
      <c r="L32" s="1380"/>
      <c r="M32" s="1380"/>
      <c r="N32" s="608"/>
      <c r="O32" s="608"/>
      <c r="P32" s="608"/>
      <c r="Q32" s="608"/>
      <c r="R32" s="266"/>
      <c r="S32" s="266"/>
      <c r="T32" s="268"/>
      <c r="U32" s="269" t="e">
        <f>VLOOKUP(R32,[71]Listas!$D$6:$E$10,2,0)</f>
        <v>#N/A</v>
      </c>
      <c r="V32" s="269" t="e">
        <f>HLOOKUP(S32,[71]Listas!$F$4:$J$5,2,0)</f>
        <v>#N/A</v>
      </c>
      <c r="W32" s="270" t="e">
        <f>INDEX([71]Listas!$F$6:$J$10,MATCH(R32,[71]Listas!$D$6:$D$10,0),MATCH(S32,[71]Listas!$F$4:$J$4,0))</f>
        <v>#N/A</v>
      </c>
      <c r="X32" s="268"/>
      <c r="Y32" s="1399"/>
      <c r="Z32" s="1408"/>
      <c r="AA32" s="1400"/>
      <c r="AB32" s="1063"/>
      <c r="AC32" s="267"/>
      <c r="AD32" s="259"/>
      <c r="AE32" s="608"/>
      <c r="AF32" s="267"/>
      <c r="AG32" s="268"/>
      <c r="AH32" s="269">
        <f t="shared" si="4"/>
        <v>0</v>
      </c>
      <c r="AI32" s="271" t="e">
        <f t="shared" si="5"/>
        <v>#N/A</v>
      </c>
      <c r="AJ32" s="272" t="e">
        <f>IF(AI32&lt;=1,"Remota",VLOOKUP(AI32,[71]Listas!$C$6:$D$10,2,0))</f>
        <v>#N/A</v>
      </c>
      <c r="AK32" s="271" t="e">
        <f t="shared" si="6"/>
        <v>#N/A</v>
      </c>
      <c r="AL32" s="272" t="e">
        <f>IF(AK32&lt;=1,"Insignificante",HLOOKUP(AK32,[71]Listas!$F$3:$J$4,2,0))</f>
        <v>#N/A</v>
      </c>
      <c r="AM32" s="273" t="e">
        <f t="shared" si="7"/>
        <v>#N/A</v>
      </c>
      <c r="AN32" s="270" t="e">
        <f>INDEX([71]Listas!$F$6:$J$10,MATCH(AJ32,[71]Listas!$D$6:$D$10,0),MATCH(AL32,[71]Listas!$F$4:$J$4,0))</f>
        <v>#N/A</v>
      </c>
      <c r="AO32" s="259"/>
      <c r="AP32" s="259"/>
      <c r="AQ32" s="610"/>
      <c r="AR32" s="259"/>
      <c r="AS32" s="259" t="s">
        <v>2343</v>
      </c>
      <c r="AT32" s="608"/>
      <c r="AU32" s="259"/>
      <c r="AV32" s="259"/>
      <c r="AW32" s="261"/>
      <c r="AX32" s="261"/>
      <c r="AY32" s="608"/>
      <c r="AZ32" s="262"/>
    </row>
    <row r="33" spans="2:52" s="260" customFormat="1" ht="103.5" hidden="1" customHeight="1">
      <c r="B33" s="608"/>
      <c r="C33" s="266"/>
      <c r="D33" s="1399"/>
      <c r="E33" s="1408"/>
      <c r="F33" s="1400"/>
      <c r="G33" s="267"/>
      <c r="H33" s="1399"/>
      <c r="I33" s="1408"/>
      <c r="J33" s="1400"/>
      <c r="K33" s="1380"/>
      <c r="L33" s="1380"/>
      <c r="M33" s="1380"/>
      <c r="N33" s="608"/>
      <c r="O33" s="608"/>
      <c r="P33" s="608"/>
      <c r="Q33" s="608"/>
      <c r="R33" s="266"/>
      <c r="S33" s="266"/>
      <c r="T33" s="268"/>
      <c r="U33" s="269" t="e">
        <f>VLOOKUP(R33,[71]Listas!$D$6:$E$10,2,0)</f>
        <v>#N/A</v>
      </c>
      <c r="V33" s="269" t="e">
        <f>HLOOKUP(S33,[71]Listas!$F$4:$J$5,2,0)</f>
        <v>#N/A</v>
      </c>
      <c r="W33" s="270" t="e">
        <f>INDEX([71]Listas!$F$6:$J$10,MATCH(R33,[71]Listas!$D$6:$D$10,0),MATCH(S33,[71]Listas!$F$4:$J$4,0))</f>
        <v>#N/A</v>
      </c>
      <c r="X33" s="268"/>
      <c r="Y33" s="1399"/>
      <c r="Z33" s="1408"/>
      <c r="AA33" s="1400"/>
      <c r="AB33" s="1063"/>
      <c r="AC33" s="267"/>
      <c r="AD33" s="259"/>
      <c r="AE33" s="608"/>
      <c r="AF33" s="267"/>
      <c r="AG33" s="268"/>
      <c r="AH33" s="269">
        <f t="shared" si="4"/>
        <v>0</v>
      </c>
      <c r="AI33" s="271" t="e">
        <f t="shared" si="5"/>
        <v>#N/A</v>
      </c>
      <c r="AJ33" s="272" t="e">
        <f>IF(AI33&lt;=1,"Remota",VLOOKUP(AI33,[71]Listas!$C$6:$D$10,2,0))</f>
        <v>#N/A</v>
      </c>
      <c r="AK33" s="271" t="e">
        <f t="shared" si="6"/>
        <v>#N/A</v>
      </c>
      <c r="AL33" s="272" t="e">
        <f>IF(AK33&lt;=1,"Insignificante",HLOOKUP(AK33,[71]Listas!$F$3:$J$4,2,0))</f>
        <v>#N/A</v>
      </c>
      <c r="AM33" s="273" t="e">
        <f t="shared" si="7"/>
        <v>#N/A</v>
      </c>
      <c r="AN33" s="270" t="e">
        <f>INDEX([71]Listas!$F$6:$J$10,MATCH(AJ33,[71]Listas!$D$6:$D$10,0),MATCH(AL33,[71]Listas!$F$4:$J$4,0))</f>
        <v>#N/A</v>
      </c>
      <c r="AO33" s="259"/>
      <c r="AP33" s="259"/>
      <c r="AQ33" s="610"/>
      <c r="AR33" s="259"/>
      <c r="AS33" s="259" t="s">
        <v>2343</v>
      </c>
      <c r="AT33" s="608"/>
      <c r="AU33" s="259"/>
      <c r="AV33" s="259"/>
      <c r="AW33" s="261"/>
      <c r="AX33" s="261"/>
      <c r="AY33" s="608"/>
      <c r="AZ33" s="262"/>
    </row>
    <row r="34" spans="2:52" s="260" customFormat="1" ht="103.5" hidden="1" customHeight="1">
      <c r="B34" s="608"/>
      <c r="C34" s="266"/>
      <c r="D34" s="1399"/>
      <c r="E34" s="1408"/>
      <c r="F34" s="1400"/>
      <c r="G34" s="267"/>
      <c r="H34" s="1399"/>
      <c r="I34" s="1408"/>
      <c r="J34" s="1400"/>
      <c r="K34" s="1380"/>
      <c r="L34" s="1380"/>
      <c r="M34" s="1380"/>
      <c r="N34" s="608"/>
      <c r="O34" s="608"/>
      <c r="P34" s="608"/>
      <c r="Q34" s="608"/>
      <c r="R34" s="266"/>
      <c r="S34" s="266"/>
      <c r="T34" s="268"/>
      <c r="U34" s="269" t="e">
        <f>VLOOKUP(R34,[71]Listas!$D$6:$E$10,2,0)</f>
        <v>#N/A</v>
      </c>
      <c r="V34" s="269" t="e">
        <f>HLOOKUP(S34,[71]Listas!$F$4:$J$5,2,0)</f>
        <v>#N/A</v>
      </c>
      <c r="W34" s="270" t="e">
        <f>INDEX([71]Listas!$F$6:$J$10,MATCH(R34,[71]Listas!$D$6:$D$10,0),MATCH(S34,[71]Listas!$F$4:$J$4,0))</f>
        <v>#N/A</v>
      </c>
      <c r="X34" s="268"/>
      <c r="Y34" s="1399"/>
      <c r="Z34" s="1408"/>
      <c r="AA34" s="1400"/>
      <c r="AB34" s="1063"/>
      <c r="AC34" s="267"/>
      <c r="AD34" s="259"/>
      <c r="AE34" s="608"/>
      <c r="AF34" s="267"/>
      <c r="AG34" s="268"/>
      <c r="AH34" s="269">
        <f t="shared" si="4"/>
        <v>0</v>
      </c>
      <c r="AI34" s="271" t="e">
        <f t="shared" si="5"/>
        <v>#N/A</v>
      </c>
      <c r="AJ34" s="272" t="e">
        <f>IF(AI34&lt;=1,"Remota",VLOOKUP(AI34,[71]Listas!$C$6:$D$10,2,0))</f>
        <v>#N/A</v>
      </c>
      <c r="AK34" s="271" t="e">
        <f t="shared" si="6"/>
        <v>#N/A</v>
      </c>
      <c r="AL34" s="272" t="e">
        <f>IF(AK34&lt;=1,"Insignificante",HLOOKUP(AK34,[71]Listas!$F$3:$J$4,2,0))</f>
        <v>#N/A</v>
      </c>
      <c r="AM34" s="273" t="e">
        <f t="shared" si="7"/>
        <v>#N/A</v>
      </c>
      <c r="AN34" s="270" t="e">
        <f>INDEX([71]Listas!$F$6:$J$10,MATCH(AJ34,[71]Listas!$D$6:$D$10,0),MATCH(AL34,[71]Listas!$F$4:$J$4,0))</f>
        <v>#N/A</v>
      </c>
      <c r="AO34" s="259"/>
      <c r="AP34" s="259"/>
      <c r="AQ34" s="610"/>
      <c r="AR34" s="259"/>
      <c r="AS34" s="259" t="s">
        <v>2343</v>
      </c>
      <c r="AT34" s="608"/>
      <c r="AU34" s="259"/>
      <c r="AV34" s="259"/>
      <c r="AW34" s="261"/>
      <c r="AX34" s="261"/>
      <c r="AY34" s="608"/>
      <c r="AZ34" s="262"/>
    </row>
    <row r="35" spans="2:52" s="260" customFormat="1" ht="103.5" hidden="1" customHeight="1">
      <c r="B35" s="608"/>
      <c r="C35" s="266"/>
      <c r="D35" s="1399"/>
      <c r="E35" s="1408"/>
      <c r="F35" s="1400"/>
      <c r="G35" s="267"/>
      <c r="H35" s="1399"/>
      <c r="I35" s="1408"/>
      <c r="J35" s="1400"/>
      <c r="K35" s="1380"/>
      <c r="L35" s="1380"/>
      <c r="M35" s="1380"/>
      <c r="N35" s="608"/>
      <c r="O35" s="608"/>
      <c r="P35" s="608"/>
      <c r="Q35" s="608"/>
      <c r="R35" s="266"/>
      <c r="S35" s="266"/>
      <c r="T35" s="268"/>
      <c r="U35" s="269" t="e">
        <f>VLOOKUP(R35,[71]Listas!$D$6:$E$10,2,0)</f>
        <v>#N/A</v>
      </c>
      <c r="V35" s="269" t="e">
        <f>HLOOKUP(S35,[71]Listas!$F$4:$J$5,2,0)</f>
        <v>#N/A</v>
      </c>
      <c r="W35" s="270" t="e">
        <f>INDEX([71]Listas!$F$6:$J$10,MATCH(R35,[71]Listas!$D$6:$D$10,0),MATCH(S35,[71]Listas!$F$4:$J$4,0))</f>
        <v>#N/A</v>
      </c>
      <c r="X35" s="268"/>
      <c r="Y35" s="1399"/>
      <c r="Z35" s="1408"/>
      <c r="AA35" s="1400"/>
      <c r="AB35" s="1063"/>
      <c r="AC35" s="267"/>
      <c r="AD35" s="259"/>
      <c r="AE35" s="608"/>
      <c r="AF35" s="267"/>
      <c r="AG35" s="268"/>
      <c r="AH35" s="269">
        <f t="shared" si="4"/>
        <v>0</v>
      </c>
      <c r="AI35" s="271" t="e">
        <f t="shared" si="5"/>
        <v>#N/A</v>
      </c>
      <c r="AJ35" s="272" t="e">
        <f>IF(AI35&lt;=1,"Remota",VLOOKUP(AI35,[71]Listas!$C$6:$D$10,2,0))</f>
        <v>#N/A</v>
      </c>
      <c r="AK35" s="271" t="e">
        <f t="shared" si="6"/>
        <v>#N/A</v>
      </c>
      <c r="AL35" s="272" t="e">
        <f>IF(AK35&lt;=1,"Insignificante",HLOOKUP(AK35,[71]Listas!$F$3:$J$4,2,0))</f>
        <v>#N/A</v>
      </c>
      <c r="AM35" s="273" t="e">
        <f t="shared" si="7"/>
        <v>#N/A</v>
      </c>
      <c r="AN35" s="270" t="e">
        <f>INDEX([71]Listas!$F$6:$J$10,MATCH(AJ35,[71]Listas!$D$6:$D$10,0),MATCH(AL35,[71]Listas!$F$4:$J$4,0))</f>
        <v>#N/A</v>
      </c>
      <c r="AO35" s="259"/>
      <c r="AP35" s="259"/>
      <c r="AQ35" s="610"/>
      <c r="AR35" s="259"/>
      <c r="AS35" s="259" t="s">
        <v>2343</v>
      </c>
      <c r="AT35" s="608"/>
      <c r="AU35" s="259"/>
      <c r="AV35" s="259"/>
      <c r="AW35" s="261"/>
      <c r="AX35" s="261"/>
      <c r="AY35" s="608"/>
      <c r="AZ35" s="262"/>
    </row>
    <row r="36" spans="2:52" s="260" customFormat="1" ht="103.5" hidden="1" customHeight="1">
      <c r="B36" s="608"/>
      <c r="C36" s="266"/>
      <c r="D36" s="1399"/>
      <c r="E36" s="1408"/>
      <c r="F36" s="1400"/>
      <c r="G36" s="267"/>
      <c r="H36" s="1399"/>
      <c r="I36" s="1408"/>
      <c r="J36" s="1400"/>
      <c r="K36" s="1380"/>
      <c r="L36" s="1380"/>
      <c r="M36" s="1380"/>
      <c r="N36" s="608"/>
      <c r="O36" s="608"/>
      <c r="P36" s="608"/>
      <c r="Q36" s="608"/>
      <c r="R36" s="266"/>
      <c r="S36" s="266"/>
      <c r="T36" s="268"/>
      <c r="U36" s="269" t="e">
        <f>VLOOKUP(R36,[71]Listas!$D$6:$E$10,2,0)</f>
        <v>#N/A</v>
      </c>
      <c r="V36" s="269" t="e">
        <f>HLOOKUP(S36,[71]Listas!$F$4:$J$5,2,0)</f>
        <v>#N/A</v>
      </c>
      <c r="W36" s="270" t="e">
        <f>INDEX([71]Listas!$F$6:$J$10,MATCH(R36,[71]Listas!$D$6:$D$10,0),MATCH(S36,[71]Listas!$F$4:$J$4,0))</f>
        <v>#N/A</v>
      </c>
      <c r="X36" s="268"/>
      <c r="Y36" s="1399"/>
      <c r="Z36" s="1408"/>
      <c r="AA36" s="1400"/>
      <c r="AB36" s="1063"/>
      <c r="AC36" s="267"/>
      <c r="AD36" s="259"/>
      <c r="AE36" s="608"/>
      <c r="AF36" s="267"/>
      <c r="AG36" s="268"/>
      <c r="AH36" s="269">
        <f t="shared" si="4"/>
        <v>0</v>
      </c>
      <c r="AI36" s="271" t="e">
        <f t="shared" si="5"/>
        <v>#N/A</v>
      </c>
      <c r="AJ36" s="272" t="e">
        <f>IF(AI36&lt;=1,"Remota",VLOOKUP(AI36,[71]Listas!$C$6:$D$10,2,0))</f>
        <v>#N/A</v>
      </c>
      <c r="AK36" s="271" t="e">
        <f t="shared" si="6"/>
        <v>#N/A</v>
      </c>
      <c r="AL36" s="272" t="e">
        <f>IF(AK36&lt;=1,"Insignificante",HLOOKUP(AK36,[71]Listas!$F$3:$J$4,2,0))</f>
        <v>#N/A</v>
      </c>
      <c r="AM36" s="273" t="e">
        <f t="shared" si="7"/>
        <v>#N/A</v>
      </c>
      <c r="AN36" s="270" t="e">
        <f>INDEX([71]Listas!$F$6:$J$10,MATCH(AJ36,[71]Listas!$D$6:$D$10,0),MATCH(AL36,[71]Listas!$F$4:$J$4,0))</f>
        <v>#N/A</v>
      </c>
      <c r="AO36" s="259"/>
      <c r="AP36" s="259"/>
      <c r="AQ36" s="610"/>
      <c r="AR36" s="259"/>
      <c r="AS36" s="259" t="s">
        <v>2343</v>
      </c>
      <c r="AT36" s="608"/>
      <c r="AU36" s="259"/>
      <c r="AV36" s="259"/>
      <c r="AW36" s="261"/>
      <c r="AX36" s="261"/>
      <c r="AY36" s="608"/>
      <c r="AZ36" s="262"/>
    </row>
    <row r="37" spans="2:52" s="260" customFormat="1" ht="103.5" hidden="1" customHeight="1">
      <c r="B37" s="608"/>
      <c r="C37" s="266"/>
      <c r="D37" s="1399"/>
      <c r="E37" s="1408"/>
      <c r="F37" s="1400"/>
      <c r="G37" s="267"/>
      <c r="H37" s="1399"/>
      <c r="I37" s="1408"/>
      <c r="J37" s="1400"/>
      <c r="K37" s="1380"/>
      <c r="L37" s="1380"/>
      <c r="M37" s="1380"/>
      <c r="N37" s="608"/>
      <c r="O37" s="608"/>
      <c r="P37" s="608"/>
      <c r="Q37" s="608"/>
      <c r="R37" s="266"/>
      <c r="S37" s="266"/>
      <c r="T37" s="268"/>
      <c r="U37" s="269" t="e">
        <f>VLOOKUP(R37,[71]Listas!$D$6:$E$10,2,0)</f>
        <v>#N/A</v>
      </c>
      <c r="V37" s="269" t="e">
        <f>HLOOKUP(S37,[71]Listas!$F$4:$J$5,2,0)</f>
        <v>#N/A</v>
      </c>
      <c r="W37" s="270" t="e">
        <f>INDEX([71]Listas!$F$6:$J$10,MATCH(R37,[71]Listas!$D$6:$D$10,0),MATCH(S37,[71]Listas!$F$4:$J$4,0))</f>
        <v>#N/A</v>
      </c>
      <c r="X37" s="268"/>
      <c r="Y37" s="1399"/>
      <c r="Z37" s="1408"/>
      <c r="AA37" s="1400"/>
      <c r="AB37" s="1063"/>
      <c r="AC37" s="267"/>
      <c r="AD37" s="259"/>
      <c r="AE37" s="608"/>
      <c r="AF37" s="267"/>
      <c r="AG37" s="268"/>
      <c r="AH37" s="269">
        <f t="shared" si="4"/>
        <v>0</v>
      </c>
      <c r="AI37" s="271" t="e">
        <f t="shared" si="5"/>
        <v>#N/A</v>
      </c>
      <c r="AJ37" s="272" t="e">
        <f>IF(AI37&lt;=1,"Remota",VLOOKUP(AI37,[71]Listas!$C$6:$D$10,2,0))</f>
        <v>#N/A</v>
      </c>
      <c r="AK37" s="271" t="e">
        <f t="shared" si="6"/>
        <v>#N/A</v>
      </c>
      <c r="AL37" s="272" t="e">
        <f>IF(AK37&lt;=1,"Insignificante",HLOOKUP(AK37,[71]Listas!$F$3:$J$4,2,0))</f>
        <v>#N/A</v>
      </c>
      <c r="AM37" s="273" t="e">
        <f t="shared" si="7"/>
        <v>#N/A</v>
      </c>
      <c r="AN37" s="270" t="e">
        <f>INDEX([71]Listas!$F$6:$J$10,MATCH(AJ37,[71]Listas!$D$6:$D$10,0),MATCH(AL37,[71]Listas!$F$4:$J$4,0))</f>
        <v>#N/A</v>
      </c>
      <c r="AO37" s="259"/>
      <c r="AP37" s="259"/>
      <c r="AQ37" s="610"/>
      <c r="AR37" s="259"/>
      <c r="AS37" s="259" t="s">
        <v>2343</v>
      </c>
      <c r="AT37" s="608"/>
      <c r="AU37" s="259"/>
      <c r="AV37" s="259"/>
      <c r="AW37" s="261"/>
      <c r="AX37" s="261"/>
      <c r="AY37" s="608"/>
      <c r="AZ37" s="262"/>
    </row>
    <row r="38" spans="2:52" s="260" customFormat="1" ht="103.5" hidden="1" customHeight="1">
      <c r="B38" s="608"/>
      <c r="C38" s="266"/>
      <c r="D38" s="1399"/>
      <c r="E38" s="1408"/>
      <c r="F38" s="1400"/>
      <c r="G38" s="267"/>
      <c r="H38" s="1399"/>
      <c r="I38" s="1408"/>
      <c r="J38" s="1400"/>
      <c r="K38" s="1380"/>
      <c r="L38" s="1380"/>
      <c r="M38" s="1380"/>
      <c r="N38" s="608"/>
      <c r="O38" s="608"/>
      <c r="P38" s="608"/>
      <c r="Q38" s="608"/>
      <c r="R38" s="266"/>
      <c r="S38" s="266"/>
      <c r="T38" s="268"/>
      <c r="U38" s="269" t="e">
        <f>VLOOKUP(R38,[71]Listas!$D$6:$E$10,2,0)</f>
        <v>#N/A</v>
      </c>
      <c r="V38" s="269" t="e">
        <f>HLOOKUP(S38,[71]Listas!$F$4:$J$5,2,0)</f>
        <v>#N/A</v>
      </c>
      <c r="W38" s="270" t="e">
        <f>INDEX([71]Listas!$F$6:$J$10,MATCH(R38,[71]Listas!$D$6:$D$10,0),MATCH(S38,[71]Listas!$F$4:$J$4,0))</f>
        <v>#N/A</v>
      </c>
      <c r="X38" s="268"/>
      <c r="Y38" s="1399"/>
      <c r="Z38" s="1408"/>
      <c r="AA38" s="1400"/>
      <c r="AB38" s="1063"/>
      <c r="AC38" s="267"/>
      <c r="AD38" s="259"/>
      <c r="AE38" s="608"/>
      <c r="AF38" s="267"/>
      <c r="AG38" s="268"/>
      <c r="AH38" s="269">
        <f t="shared" si="4"/>
        <v>0</v>
      </c>
      <c r="AI38" s="271" t="e">
        <f t="shared" si="5"/>
        <v>#N/A</v>
      </c>
      <c r="AJ38" s="272" t="e">
        <f>IF(AI38&lt;=1,"Remota",VLOOKUP(AI38,[71]Listas!$C$6:$D$10,2,0))</f>
        <v>#N/A</v>
      </c>
      <c r="AK38" s="271" t="e">
        <f t="shared" si="6"/>
        <v>#N/A</v>
      </c>
      <c r="AL38" s="272" t="e">
        <f>IF(AK38&lt;=1,"Insignificante",HLOOKUP(AK38,[71]Listas!$F$3:$J$4,2,0))</f>
        <v>#N/A</v>
      </c>
      <c r="AM38" s="273" t="e">
        <f t="shared" si="7"/>
        <v>#N/A</v>
      </c>
      <c r="AN38" s="270" t="e">
        <f>INDEX([71]Listas!$F$6:$J$10,MATCH(AJ38,[71]Listas!$D$6:$D$10,0),MATCH(AL38,[71]Listas!$F$4:$J$4,0))</f>
        <v>#N/A</v>
      </c>
      <c r="AO38" s="259"/>
      <c r="AP38" s="259"/>
      <c r="AQ38" s="610"/>
      <c r="AR38" s="259"/>
      <c r="AS38" s="259" t="s">
        <v>2343</v>
      </c>
      <c r="AT38" s="608"/>
      <c r="AU38" s="259"/>
      <c r="AV38" s="259"/>
      <c r="AW38" s="261"/>
      <c r="AX38" s="261"/>
      <c r="AY38" s="608"/>
      <c r="AZ38" s="262"/>
    </row>
    <row r="39" spans="2:52" s="260" customFormat="1" ht="103.5" hidden="1" customHeight="1">
      <c r="B39" s="608"/>
      <c r="C39" s="266"/>
      <c r="D39" s="1399"/>
      <c r="E39" s="1408"/>
      <c r="F39" s="1400"/>
      <c r="G39" s="267"/>
      <c r="H39" s="1399"/>
      <c r="I39" s="1408"/>
      <c r="J39" s="1400"/>
      <c r="K39" s="1380"/>
      <c r="L39" s="1380"/>
      <c r="M39" s="1380"/>
      <c r="N39" s="608"/>
      <c r="O39" s="608"/>
      <c r="P39" s="608"/>
      <c r="Q39" s="608"/>
      <c r="R39" s="266"/>
      <c r="S39" s="266"/>
      <c r="T39" s="268"/>
      <c r="U39" s="269" t="e">
        <f>VLOOKUP(R39,[71]Listas!$D$6:$E$10,2,0)</f>
        <v>#N/A</v>
      </c>
      <c r="V39" s="269" t="e">
        <f>HLOOKUP(S39,[71]Listas!$F$4:$J$5,2,0)</f>
        <v>#N/A</v>
      </c>
      <c r="W39" s="270" t="e">
        <f>INDEX([71]Listas!$F$6:$J$10,MATCH(R39,[71]Listas!$D$6:$D$10,0),MATCH(S39,[71]Listas!$F$4:$J$4,0))</f>
        <v>#N/A</v>
      </c>
      <c r="X39" s="268"/>
      <c r="Y39" s="1399"/>
      <c r="Z39" s="1408"/>
      <c r="AA39" s="1400"/>
      <c r="AB39" s="1063"/>
      <c r="AC39" s="267"/>
      <c r="AD39" s="259"/>
      <c r="AE39" s="608"/>
      <c r="AF39" s="267"/>
      <c r="AG39" s="268"/>
      <c r="AH39" s="269">
        <f t="shared" si="4"/>
        <v>0</v>
      </c>
      <c r="AI39" s="271" t="e">
        <f t="shared" si="5"/>
        <v>#N/A</v>
      </c>
      <c r="AJ39" s="272" t="e">
        <f>IF(AI39&lt;=1,"Remota",VLOOKUP(AI39,[71]Listas!$C$6:$D$10,2,0))</f>
        <v>#N/A</v>
      </c>
      <c r="AK39" s="271" t="e">
        <f t="shared" si="6"/>
        <v>#N/A</v>
      </c>
      <c r="AL39" s="272" t="e">
        <f>IF(AK39&lt;=1,"Insignificante",HLOOKUP(AK39,[71]Listas!$F$3:$J$4,2,0))</f>
        <v>#N/A</v>
      </c>
      <c r="AM39" s="273" t="e">
        <f t="shared" si="7"/>
        <v>#N/A</v>
      </c>
      <c r="AN39" s="270" t="e">
        <f>INDEX([71]Listas!$F$6:$J$10,MATCH(AJ39,[71]Listas!$D$6:$D$10,0),MATCH(AL39,[71]Listas!$F$4:$J$4,0))</f>
        <v>#N/A</v>
      </c>
      <c r="AO39" s="259"/>
      <c r="AP39" s="259"/>
      <c r="AQ39" s="610"/>
      <c r="AR39" s="259"/>
      <c r="AS39" s="259" t="s">
        <v>2343</v>
      </c>
      <c r="AT39" s="608"/>
      <c r="AU39" s="259"/>
      <c r="AV39" s="259"/>
      <c r="AW39" s="261"/>
      <c r="AX39" s="261"/>
      <c r="AY39" s="608"/>
      <c r="AZ39" s="262"/>
    </row>
    <row r="40" spans="2:52" s="260" customFormat="1" ht="103.5" hidden="1" customHeight="1">
      <c r="B40" s="608"/>
      <c r="C40" s="266"/>
      <c r="D40" s="1399"/>
      <c r="E40" s="1408"/>
      <c r="F40" s="1400"/>
      <c r="G40" s="267"/>
      <c r="H40" s="1399"/>
      <c r="I40" s="1408"/>
      <c r="J40" s="1400"/>
      <c r="K40" s="1380"/>
      <c r="L40" s="1380"/>
      <c r="M40" s="1380"/>
      <c r="N40" s="608"/>
      <c r="O40" s="608"/>
      <c r="P40" s="608"/>
      <c r="Q40" s="608"/>
      <c r="R40" s="266"/>
      <c r="S40" s="266"/>
      <c r="T40" s="268"/>
      <c r="U40" s="269" t="e">
        <f>VLOOKUP(R40,[71]Listas!$D$6:$E$10,2,0)</f>
        <v>#N/A</v>
      </c>
      <c r="V40" s="269" t="e">
        <f>HLOOKUP(S40,[71]Listas!$F$4:$J$5,2,0)</f>
        <v>#N/A</v>
      </c>
      <c r="W40" s="270" t="e">
        <f>INDEX([71]Listas!$F$6:$J$10,MATCH(R40,[71]Listas!$D$6:$D$10,0),MATCH(S40,[71]Listas!$F$4:$J$4,0))</f>
        <v>#N/A</v>
      </c>
      <c r="X40" s="268"/>
      <c r="Y40" s="1399"/>
      <c r="Z40" s="1408"/>
      <c r="AA40" s="1400"/>
      <c r="AB40" s="1063"/>
      <c r="AC40" s="267"/>
      <c r="AD40" s="259"/>
      <c r="AE40" s="608"/>
      <c r="AF40" s="267"/>
      <c r="AG40" s="268"/>
      <c r="AH40" s="269">
        <f t="shared" si="4"/>
        <v>0</v>
      </c>
      <c r="AI40" s="271" t="e">
        <f t="shared" si="5"/>
        <v>#N/A</v>
      </c>
      <c r="AJ40" s="272" t="e">
        <f>IF(AI40&lt;=1,"Remota",VLOOKUP(AI40,[71]Listas!$C$6:$D$10,2,0))</f>
        <v>#N/A</v>
      </c>
      <c r="AK40" s="271" t="e">
        <f t="shared" si="6"/>
        <v>#N/A</v>
      </c>
      <c r="AL40" s="272" t="e">
        <f>IF(AK40&lt;=1,"Insignificante",HLOOKUP(AK40,[71]Listas!$F$3:$J$4,2,0))</f>
        <v>#N/A</v>
      </c>
      <c r="AM40" s="273" t="e">
        <f t="shared" si="7"/>
        <v>#N/A</v>
      </c>
      <c r="AN40" s="270" t="e">
        <f>INDEX([71]Listas!$F$6:$J$10,MATCH(AJ40,[71]Listas!$D$6:$D$10,0),MATCH(AL40,[71]Listas!$F$4:$J$4,0))</f>
        <v>#N/A</v>
      </c>
      <c r="AO40" s="259"/>
      <c r="AP40" s="259"/>
      <c r="AQ40" s="610"/>
      <c r="AR40" s="259"/>
      <c r="AS40" s="259" t="s">
        <v>2343</v>
      </c>
      <c r="AT40" s="608"/>
      <c r="AU40" s="259"/>
      <c r="AV40" s="259"/>
      <c r="AW40" s="261"/>
      <c r="AX40" s="261"/>
      <c r="AY40" s="608"/>
      <c r="AZ40" s="262"/>
    </row>
    <row r="41" spans="2:52" s="260" customFormat="1" ht="103.5" hidden="1" customHeight="1">
      <c r="B41" s="608"/>
      <c r="C41" s="266"/>
      <c r="D41" s="1399"/>
      <c r="E41" s="1408"/>
      <c r="F41" s="1400"/>
      <c r="G41" s="267"/>
      <c r="H41" s="1399"/>
      <c r="I41" s="1408"/>
      <c r="J41" s="1400"/>
      <c r="K41" s="1380"/>
      <c r="L41" s="1380"/>
      <c r="M41" s="1380"/>
      <c r="N41" s="608"/>
      <c r="O41" s="608"/>
      <c r="P41" s="608"/>
      <c r="Q41" s="608"/>
      <c r="R41" s="266"/>
      <c r="S41" s="266"/>
      <c r="T41" s="268"/>
      <c r="U41" s="269" t="e">
        <f>VLOOKUP(R41,[71]Listas!$D$6:$E$10,2,0)</f>
        <v>#N/A</v>
      </c>
      <c r="V41" s="269" t="e">
        <f>HLOOKUP(S41,[71]Listas!$F$4:$J$5,2,0)</f>
        <v>#N/A</v>
      </c>
      <c r="W41" s="270" t="e">
        <f>INDEX([71]Listas!$F$6:$J$10,MATCH(R41,[71]Listas!$D$6:$D$10,0),MATCH(S41,[71]Listas!$F$4:$J$4,0))</f>
        <v>#N/A</v>
      </c>
      <c r="X41" s="268"/>
      <c r="Y41" s="1399"/>
      <c r="Z41" s="1408"/>
      <c r="AA41" s="1400"/>
      <c r="AB41" s="1063"/>
      <c r="AC41" s="267"/>
      <c r="AD41" s="259"/>
      <c r="AE41" s="608"/>
      <c r="AF41" s="267"/>
      <c r="AG41" s="268"/>
      <c r="AH41" s="269">
        <f t="shared" si="4"/>
        <v>0</v>
      </c>
      <c r="AI41" s="271" t="e">
        <f t="shared" si="5"/>
        <v>#N/A</v>
      </c>
      <c r="AJ41" s="272" t="e">
        <f>IF(AI41&lt;=1,"Remota",VLOOKUP(AI41,[71]Listas!$C$6:$D$10,2,0))</f>
        <v>#N/A</v>
      </c>
      <c r="AK41" s="271" t="e">
        <f t="shared" si="6"/>
        <v>#N/A</v>
      </c>
      <c r="AL41" s="272" t="e">
        <f>IF(AK41&lt;=1,"Insignificante",HLOOKUP(AK41,[71]Listas!$F$3:$J$4,2,0))</f>
        <v>#N/A</v>
      </c>
      <c r="AM41" s="273" t="e">
        <f t="shared" si="7"/>
        <v>#N/A</v>
      </c>
      <c r="AN41" s="270" t="e">
        <f>INDEX([71]Listas!$F$6:$J$10,MATCH(AJ41,[71]Listas!$D$6:$D$10,0),MATCH(AL41,[71]Listas!$F$4:$J$4,0))</f>
        <v>#N/A</v>
      </c>
      <c r="AO41" s="259"/>
      <c r="AP41" s="259"/>
      <c r="AQ41" s="610"/>
      <c r="AR41" s="259"/>
      <c r="AS41" s="259" t="s">
        <v>2343</v>
      </c>
      <c r="AT41" s="608"/>
      <c r="AU41" s="259"/>
      <c r="AV41" s="259"/>
      <c r="AW41" s="261"/>
      <c r="AX41" s="261"/>
      <c r="AY41" s="608"/>
      <c r="AZ41" s="262"/>
    </row>
    <row r="42" spans="2:52" s="260" customFormat="1" ht="103.5" hidden="1" customHeight="1">
      <c r="B42" s="608"/>
      <c r="C42" s="266"/>
      <c r="D42" s="1399"/>
      <c r="E42" s="1408"/>
      <c r="F42" s="1400"/>
      <c r="G42" s="267"/>
      <c r="H42" s="1399"/>
      <c r="I42" s="1408"/>
      <c r="J42" s="1400"/>
      <c r="K42" s="1380"/>
      <c r="L42" s="1380"/>
      <c r="M42" s="1380"/>
      <c r="N42" s="608"/>
      <c r="O42" s="608"/>
      <c r="P42" s="608"/>
      <c r="Q42" s="608"/>
      <c r="R42" s="266"/>
      <c r="S42" s="266"/>
      <c r="T42" s="268"/>
      <c r="U42" s="269" t="e">
        <f>VLOOKUP(R42,[71]Listas!$D$6:$E$10,2,0)</f>
        <v>#N/A</v>
      </c>
      <c r="V42" s="269" t="e">
        <f>HLOOKUP(S42,[71]Listas!$F$4:$J$5,2,0)</f>
        <v>#N/A</v>
      </c>
      <c r="W42" s="270" t="e">
        <f>INDEX([71]Listas!$F$6:$J$10,MATCH(R42,[71]Listas!$D$6:$D$10,0),MATCH(S42,[71]Listas!$F$4:$J$4,0))</f>
        <v>#N/A</v>
      </c>
      <c r="X42" s="268"/>
      <c r="Y42" s="1399"/>
      <c r="Z42" s="1408"/>
      <c r="AA42" s="1400"/>
      <c r="AB42" s="1063"/>
      <c r="AC42" s="267"/>
      <c r="AD42" s="259"/>
      <c r="AE42" s="608"/>
      <c r="AF42" s="267"/>
      <c r="AG42" s="268"/>
      <c r="AH42" s="269">
        <f t="shared" si="4"/>
        <v>0</v>
      </c>
      <c r="AI42" s="271" t="e">
        <f t="shared" si="5"/>
        <v>#N/A</v>
      </c>
      <c r="AJ42" s="272" t="e">
        <f>IF(AI42&lt;=1,"Remota",VLOOKUP(AI42,[71]Listas!$C$6:$D$10,2,0))</f>
        <v>#N/A</v>
      </c>
      <c r="AK42" s="271" t="e">
        <f t="shared" si="6"/>
        <v>#N/A</v>
      </c>
      <c r="AL42" s="272" t="e">
        <f>IF(AK42&lt;=1,"Insignificante",HLOOKUP(AK42,[71]Listas!$F$3:$J$4,2,0))</f>
        <v>#N/A</v>
      </c>
      <c r="AM42" s="273" t="e">
        <f t="shared" si="7"/>
        <v>#N/A</v>
      </c>
      <c r="AN42" s="270" t="e">
        <f>INDEX([71]Listas!$F$6:$J$10,MATCH(AJ42,[71]Listas!$D$6:$D$10,0),MATCH(AL42,[71]Listas!$F$4:$J$4,0))</f>
        <v>#N/A</v>
      </c>
      <c r="AO42" s="259"/>
      <c r="AP42" s="259"/>
      <c r="AQ42" s="610"/>
      <c r="AR42" s="259"/>
      <c r="AS42" s="259" t="s">
        <v>2343</v>
      </c>
      <c r="AT42" s="608"/>
      <c r="AU42" s="259"/>
      <c r="AV42" s="259"/>
      <c r="AW42" s="261"/>
      <c r="AX42" s="261"/>
      <c r="AY42" s="608"/>
      <c r="AZ42" s="262"/>
    </row>
    <row r="43" spans="2:52" s="260" customFormat="1" ht="103.5" hidden="1" customHeight="1">
      <c r="B43" s="608"/>
      <c r="C43" s="266"/>
      <c r="D43" s="1399"/>
      <c r="E43" s="1408"/>
      <c r="F43" s="1400"/>
      <c r="G43" s="267"/>
      <c r="H43" s="1399"/>
      <c r="I43" s="1408"/>
      <c r="J43" s="1400"/>
      <c r="K43" s="1380"/>
      <c r="L43" s="1380"/>
      <c r="M43" s="1380"/>
      <c r="N43" s="608"/>
      <c r="O43" s="608"/>
      <c r="P43" s="608"/>
      <c r="Q43" s="608"/>
      <c r="R43" s="266"/>
      <c r="S43" s="266"/>
      <c r="T43" s="268"/>
      <c r="U43" s="269" t="e">
        <f>VLOOKUP(R43,[71]Listas!$D$6:$E$10,2,0)</f>
        <v>#N/A</v>
      </c>
      <c r="V43" s="269" t="e">
        <f>HLOOKUP(S43,[71]Listas!$F$4:$J$5,2,0)</f>
        <v>#N/A</v>
      </c>
      <c r="W43" s="270" t="e">
        <f>INDEX([71]Listas!$F$6:$J$10,MATCH(R43,[71]Listas!$D$6:$D$10,0),MATCH(S43,[71]Listas!$F$4:$J$4,0))</f>
        <v>#N/A</v>
      </c>
      <c r="X43" s="268"/>
      <c r="Y43" s="1399"/>
      <c r="Z43" s="1408"/>
      <c r="AA43" s="1400"/>
      <c r="AB43" s="1063"/>
      <c r="AC43" s="267"/>
      <c r="AD43" s="259"/>
      <c r="AE43" s="608"/>
      <c r="AF43" s="267"/>
      <c r="AG43" s="268"/>
      <c r="AH43" s="269">
        <f t="shared" si="4"/>
        <v>0</v>
      </c>
      <c r="AI43" s="271" t="e">
        <f t="shared" si="5"/>
        <v>#N/A</v>
      </c>
      <c r="AJ43" s="272" t="e">
        <f>IF(AI43&lt;=1,"Remota",VLOOKUP(AI43,[71]Listas!$C$6:$D$10,2,0))</f>
        <v>#N/A</v>
      </c>
      <c r="AK43" s="271" t="e">
        <f t="shared" si="6"/>
        <v>#N/A</v>
      </c>
      <c r="AL43" s="272" t="e">
        <f>IF(AK43&lt;=1,"Insignificante",HLOOKUP(AK43,[71]Listas!$F$3:$J$4,2,0))</f>
        <v>#N/A</v>
      </c>
      <c r="AM43" s="273" t="e">
        <f t="shared" si="7"/>
        <v>#N/A</v>
      </c>
      <c r="AN43" s="270" t="e">
        <f>INDEX([71]Listas!$F$6:$J$10,MATCH(AJ43,[71]Listas!$D$6:$D$10,0),MATCH(AL43,[71]Listas!$F$4:$J$4,0))</f>
        <v>#N/A</v>
      </c>
      <c r="AO43" s="259"/>
      <c r="AP43" s="259"/>
      <c r="AQ43" s="610"/>
      <c r="AR43" s="259"/>
      <c r="AS43" s="259" t="s">
        <v>2343</v>
      </c>
      <c r="AT43" s="608"/>
      <c r="AU43" s="259"/>
      <c r="AV43" s="259"/>
      <c r="AW43" s="261"/>
      <c r="AX43" s="261"/>
      <c r="AY43" s="608"/>
      <c r="AZ43" s="262"/>
    </row>
    <row r="44" spans="2:52" s="260" customFormat="1" ht="103.5" hidden="1" customHeight="1">
      <c r="B44" s="608"/>
      <c r="C44" s="266"/>
      <c r="D44" s="1399"/>
      <c r="E44" s="1408"/>
      <c r="F44" s="1400"/>
      <c r="G44" s="267"/>
      <c r="H44" s="1399"/>
      <c r="I44" s="1408"/>
      <c r="J44" s="1400"/>
      <c r="K44" s="1380"/>
      <c r="L44" s="1380"/>
      <c r="M44" s="1380"/>
      <c r="N44" s="608"/>
      <c r="O44" s="608"/>
      <c r="P44" s="608"/>
      <c r="Q44" s="608"/>
      <c r="R44" s="266"/>
      <c r="S44" s="266"/>
      <c r="T44" s="268"/>
      <c r="U44" s="269" t="e">
        <f>VLOOKUP(R44,[71]Listas!$D$6:$E$10,2,0)</f>
        <v>#N/A</v>
      </c>
      <c r="V44" s="269" t="e">
        <f>HLOOKUP(S44,[71]Listas!$F$4:$J$5,2,0)</f>
        <v>#N/A</v>
      </c>
      <c r="W44" s="270" t="e">
        <f>INDEX([71]Listas!$F$6:$J$10,MATCH(R44,[71]Listas!$D$6:$D$10,0),MATCH(S44,[71]Listas!$F$4:$J$4,0))</f>
        <v>#N/A</v>
      </c>
      <c r="X44" s="268"/>
      <c r="Y44" s="1399"/>
      <c r="Z44" s="1408"/>
      <c r="AA44" s="1400"/>
      <c r="AB44" s="1063"/>
      <c r="AC44" s="267"/>
      <c r="AD44" s="259"/>
      <c r="AE44" s="608"/>
      <c r="AF44" s="267"/>
      <c r="AG44" s="268"/>
      <c r="AH44" s="269">
        <f t="shared" si="4"/>
        <v>0</v>
      </c>
      <c r="AI44" s="271" t="e">
        <f t="shared" si="5"/>
        <v>#N/A</v>
      </c>
      <c r="AJ44" s="272" t="e">
        <f>IF(AI44&lt;=1,"Remota",VLOOKUP(AI44,[71]Listas!$C$6:$D$10,2,0))</f>
        <v>#N/A</v>
      </c>
      <c r="AK44" s="271" t="e">
        <f t="shared" si="6"/>
        <v>#N/A</v>
      </c>
      <c r="AL44" s="272" t="e">
        <f>IF(AK44&lt;=1,"Insignificante",HLOOKUP(AK44,[71]Listas!$F$3:$J$4,2,0))</f>
        <v>#N/A</v>
      </c>
      <c r="AM44" s="273" t="e">
        <f t="shared" si="7"/>
        <v>#N/A</v>
      </c>
      <c r="AN44" s="270" t="e">
        <f>INDEX([71]Listas!$F$6:$J$10,MATCH(AJ44,[71]Listas!$D$6:$D$10,0),MATCH(AL44,[71]Listas!$F$4:$J$4,0))</f>
        <v>#N/A</v>
      </c>
      <c r="AO44" s="259"/>
      <c r="AP44" s="259"/>
      <c r="AQ44" s="610"/>
      <c r="AR44" s="259"/>
      <c r="AS44" s="259" t="s">
        <v>2343</v>
      </c>
      <c r="AT44" s="608"/>
      <c r="AU44" s="259"/>
      <c r="AV44" s="259"/>
      <c r="AW44" s="261"/>
      <c r="AX44" s="261"/>
      <c r="AY44" s="608"/>
      <c r="AZ44" s="262"/>
    </row>
    <row r="45" spans="2:52" s="260" customFormat="1" ht="103.5" hidden="1" customHeight="1">
      <c r="B45" s="608"/>
      <c r="C45" s="266"/>
      <c r="D45" s="1399"/>
      <c r="E45" s="1408"/>
      <c r="F45" s="1400"/>
      <c r="G45" s="267"/>
      <c r="H45" s="1399"/>
      <c r="I45" s="1408"/>
      <c r="J45" s="1400"/>
      <c r="K45" s="1380"/>
      <c r="L45" s="1380"/>
      <c r="M45" s="1380"/>
      <c r="N45" s="608"/>
      <c r="O45" s="608"/>
      <c r="P45" s="608"/>
      <c r="Q45" s="608"/>
      <c r="R45" s="266"/>
      <c r="S45" s="266"/>
      <c r="T45" s="268"/>
      <c r="U45" s="269" t="e">
        <f>VLOOKUP(R45,[71]Listas!$D$6:$E$10,2,0)</f>
        <v>#N/A</v>
      </c>
      <c r="V45" s="269" t="e">
        <f>HLOOKUP(S45,[71]Listas!$F$4:$J$5,2,0)</f>
        <v>#N/A</v>
      </c>
      <c r="W45" s="270" t="e">
        <f>INDEX([71]Listas!$F$6:$J$10,MATCH(R45,[71]Listas!$D$6:$D$10,0),MATCH(S45,[71]Listas!$F$4:$J$4,0))</f>
        <v>#N/A</v>
      </c>
      <c r="X45" s="268"/>
      <c r="Y45" s="1399"/>
      <c r="Z45" s="1408"/>
      <c r="AA45" s="1400"/>
      <c r="AB45" s="1063"/>
      <c r="AC45" s="267"/>
      <c r="AD45" s="259"/>
      <c r="AE45" s="608"/>
      <c r="AF45" s="267"/>
      <c r="AG45" s="268"/>
      <c r="AH45" s="269">
        <f t="shared" si="4"/>
        <v>0</v>
      </c>
      <c r="AI45" s="271" t="e">
        <f t="shared" si="5"/>
        <v>#N/A</v>
      </c>
      <c r="AJ45" s="272" t="e">
        <f>IF(AI45&lt;=1,"Remota",VLOOKUP(AI45,[71]Listas!$C$6:$D$10,2,0))</f>
        <v>#N/A</v>
      </c>
      <c r="AK45" s="271" t="e">
        <f t="shared" si="6"/>
        <v>#N/A</v>
      </c>
      <c r="AL45" s="272" t="e">
        <f>IF(AK45&lt;=1,"Insignificante",HLOOKUP(AK45,[71]Listas!$F$3:$J$4,2,0))</f>
        <v>#N/A</v>
      </c>
      <c r="AM45" s="273" t="e">
        <f t="shared" si="7"/>
        <v>#N/A</v>
      </c>
      <c r="AN45" s="270" t="e">
        <f>INDEX([71]Listas!$F$6:$J$10,MATCH(AJ45,[71]Listas!$D$6:$D$10,0),MATCH(AL45,[71]Listas!$F$4:$J$4,0))</f>
        <v>#N/A</v>
      </c>
      <c r="AO45" s="259"/>
      <c r="AP45" s="259"/>
      <c r="AQ45" s="610"/>
      <c r="AR45" s="259"/>
      <c r="AS45" s="259" t="s">
        <v>2343</v>
      </c>
      <c r="AT45" s="608"/>
      <c r="AU45" s="259"/>
      <c r="AV45" s="259"/>
      <c r="AW45" s="261"/>
      <c r="AX45" s="261"/>
      <c r="AY45" s="608"/>
      <c r="AZ45" s="262"/>
    </row>
    <row r="46" spans="2:52" s="260" customFormat="1" ht="103.5" hidden="1" customHeight="1">
      <c r="B46" s="608"/>
      <c r="C46" s="266"/>
      <c r="D46" s="1399"/>
      <c r="E46" s="1408"/>
      <c r="F46" s="1400"/>
      <c r="G46" s="267"/>
      <c r="H46" s="1399"/>
      <c r="I46" s="1408"/>
      <c r="J46" s="1400"/>
      <c r="K46" s="1380"/>
      <c r="L46" s="1380"/>
      <c r="M46" s="1380"/>
      <c r="N46" s="608"/>
      <c r="O46" s="608"/>
      <c r="P46" s="608"/>
      <c r="Q46" s="608"/>
      <c r="R46" s="266"/>
      <c r="S46" s="266"/>
      <c r="T46" s="268"/>
      <c r="U46" s="269" t="e">
        <f>VLOOKUP(R46,[71]Listas!$D$6:$E$10,2,0)</f>
        <v>#N/A</v>
      </c>
      <c r="V46" s="269" t="e">
        <f>HLOOKUP(S46,[71]Listas!$F$4:$J$5,2,0)</f>
        <v>#N/A</v>
      </c>
      <c r="W46" s="270" t="e">
        <f>INDEX([71]Listas!$F$6:$J$10,MATCH(R46,[71]Listas!$D$6:$D$10,0),MATCH(S46,[71]Listas!$F$4:$J$4,0))</f>
        <v>#N/A</v>
      </c>
      <c r="X46" s="268"/>
      <c r="Y46" s="1399"/>
      <c r="Z46" s="1408"/>
      <c r="AA46" s="1400"/>
      <c r="AB46" s="1063"/>
      <c r="AC46" s="267"/>
      <c r="AD46" s="259"/>
      <c r="AE46" s="608"/>
      <c r="AF46" s="267"/>
      <c r="AG46" s="268"/>
      <c r="AH46" s="269">
        <f t="shared" si="4"/>
        <v>0</v>
      </c>
      <c r="AI46" s="271" t="e">
        <f t="shared" si="5"/>
        <v>#N/A</v>
      </c>
      <c r="AJ46" s="272" t="e">
        <f>IF(AI46&lt;=1,"Remota",VLOOKUP(AI46,[71]Listas!$C$6:$D$10,2,0))</f>
        <v>#N/A</v>
      </c>
      <c r="AK46" s="271" t="e">
        <f t="shared" si="6"/>
        <v>#N/A</v>
      </c>
      <c r="AL46" s="272" t="e">
        <f>IF(AK46&lt;=1,"Insignificante",HLOOKUP(AK46,[71]Listas!$F$3:$J$4,2,0))</f>
        <v>#N/A</v>
      </c>
      <c r="AM46" s="273" t="e">
        <f t="shared" si="7"/>
        <v>#N/A</v>
      </c>
      <c r="AN46" s="270" t="e">
        <f>INDEX([71]Listas!$F$6:$J$10,MATCH(AJ46,[71]Listas!$D$6:$D$10,0),MATCH(AL46,[71]Listas!$F$4:$J$4,0))</f>
        <v>#N/A</v>
      </c>
      <c r="AO46" s="259"/>
      <c r="AP46" s="259"/>
      <c r="AQ46" s="610"/>
      <c r="AR46" s="259"/>
      <c r="AS46" s="259" t="s">
        <v>2343</v>
      </c>
      <c r="AT46" s="608"/>
      <c r="AU46" s="259"/>
      <c r="AV46" s="259"/>
      <c r="AW46" s="261"/>
      <c r="AX46" s="261"/>
      <c r="AY46" s="608"/>
      <c r="AZ46" s="262"/>
    </row>
    <row r="47" spans="2:52" s="260" customFormat="1" ht="103.5" hidden="1" customHeight="1">
      <c r="B47" s="608"/>
      <c r="C47" s="266"/>
      <c r="D47" s="1399"/>
      <c r="E47" s="1408"/>
      <c r="F47" s="1400"/>
      <c r="G47" s="267"/>
      <c r="H47" s="1399"/>
      <c r="I47" s="1408"/>
      <c r="J47" s="1400"/>
      <c r="K47" s="1380"/>
      <c r="L47" s="1380"/>
      <c r="M47" s="1380"/>
      <c r="N47" s="608"/>
      <c r="O47" s="608"/>
      <c r="P47" s="608"/>
      <c r="Q47" s="608"/>
      <c r="R47" s="266"/>
      <c r="S47" s="266"/>
      <c r="T47" s="268"/>
      <c r="U47" s="269" t="e">
        <f>VLOOKUP(R47,[71]Listas!$D$6:$E$10,2,0)</f>
        <v>#N/A</v>
      </c>
      <c r="V47" s="269" t="e">
        <f>HLOOKUP(S47,[71]Listas!$F$4:$J$5,2,0)</f>
        <v>#N/A</v>
      </c>
      <c r="W47" s="270" t="e">
        <f>INDEX([71]Listas!$F$6:$J$10,MATCH(R47,[71]Listas!$D$6:$D$10,0),MATCH(S47,[71]Listas!$F$4:$J$4,0))</f>
        <v>#N/A</v>
      </c>
      <c r="X47" s="268"/>
      <c r="Y47" s="1399"/>
      <c r="Z47" s="1408"/>
      <c r="AA47" s="1400"/>
      <c r="AB47" s="1063"/>
      <c r="AC47" s="267"/>
      <c r="AD47" s="259"/>
      <c r="AE47" s="608"/>
      <c r="AF47" s="267"/>
      <c r="AG47" s="268"/>
      <c r="AH47" s="269">
        <f t="shared" si="4"/>
        <v>0</v>
      </c>
      <c r="AI47" s="271" t="e">
        <f t="shared" si="5"/>
        <v>#N/A</v>
      </c>
      <c r="AJ47" s="272" t="e">
        <f>IF(AI47&lt;=1,"Remota",VLOOKUP(AI47,[71]Listas!$C$6:$D$10,2,0))</f>
        <v>#N/A</v>
      </c>
      <c r="AK47" s="271" t="e">
        <f t="shared" si="6"/>
        <v>#N/A</v>
      </c>
      <c r="AL47" s="272" t="e">
        <f>IF(AK47&lt;=1,"Insignificante",HLOOKUP(AK47,[71]Listas!$F$3:$J$4,2,0))</f>
        <v>#N/A</v>
      </c>
      <c r="AM47" s="273" t="e">
        <f t="shared" si="7"/>
        <v>#N/A</v>
      </c>
      <c r="AN47" s="270" t="e">
        <f>INDEX([71]Listas!$F$6:$J$10,MATCH(AJ47,[71]Listas!$D$6:$D$10,0),MATCH(AL47,[71]Listas!$F$4:$J$4,0))</f>
        <v>#N/A</v>
      </c>
      <c r="AO47" s="259"/>
      <c r="AP47" s="259"/>
      <c r="AQ47" s="610"/>
      <c r="AR47" s="259"/>
      <c r="AS47" s="259" t="s">
        <v>2343</v>
      </c>
      <c r="AT47" s="608"/>
      <c r="AU47" s="259"/>
      <c r="AV47" s="259"/>
      <c r="AW47" s="261"/>
      <c r="AX47" s="261"/>
      <c r="AY47" s="608"/>
      <c r="AZ47" s="262"/>
    </row>
    <row r="48" spans="2:52" s="260" customFormat="1" ht="103.5" hidden="1" customHeight="1">
      <c r="B48" s="608"/>
      <c r="C48" s="266"/>
      <c r="D48" s="1399"/>
      <c r="E48" s="1408"/>
      <c r="F48" s="1400"/>
      <c r="G48" s="267"/>
      <c r="H48" s="1399"/>
      <c r="I48" s="1408"/>
      <c r="J48" s="1400"/>
      <c r="K48" s="1380"/>
      <c r="L48" s="1380"/>
      <c r="M48" s="1380"/>
      <c r="N48" s="608"/>
      <c r="O48" s="608"/>
      <c r="P48" s="608"/>
      <c r="Q48" s="608"/>
      <c r="R48" s="266"/>
      <c r="S48" s="266"/>
      <c r="T48" s="268"/>
      <c r="U48" s="269" t="e">
        <f>VLOOKUP(R48,[71]Listas!$D$6:$E$10,2,0)</f>
        <v>#N/A</v>
      </c>
      <c r="V48" s="269" t="e">
        <f>HLOOKUP(S48,[71]Listas!$F$4:$J$5,2,0)</f>
        <v>#N/A</v>
      </c>
      <c r="W48" s="270" t="e">
        <f>INDEX([71]Listas!$F$6:$J$10,MATCH(R48,[71]Listas!$D$6:$D$10,0),MATCH(S48,[71]Listas!$F$4:$J$4,0))</f>
        <v>#N/A</v>
      </c>
      <c r="X48" s="268"/>
      <c r="Y48" s="1399"/>
      <c r="Z48" s="1408"/>
      <c r="AA48" s="1400"/>
      <c r="AB48" s="1063"/>
      <c r="AC48" s="267"/>
      <c r="AD48" s="259"/>
      <c r="AE48" s="608"/>
      <c r="AF48" s="267"/>
      <c r="AG48" s="268"/>
      <c r="AH48" s="269">
        <f t="shared" si="4"/>
        <v>0</v>
      </c>
      <c r="AI48" s="271" t="e">
        <f t="shared" si="5"/>
        <v>#N/A</v>
      </c>
      <c r="AJ48" s="272" t="e">
        <f>IF(AI48&lt;=1,"Remota",VLOOKUP(AI48,[71]Listas!$C$6:$D$10,2,0))</f>
        <v>#N/A</v>
      </c>
      <c r="AK48" s="271" t="e">
        <f t="shared" si="6"/>
        <v>#N/A</v>
      </c>
      <c r="AL48" s="272" t="e">
        <f>IF(AK48&lt;=1,"Insignificante",HLOOKUP(AK48,[71]Listas!$F$3:$J$4,2,0))</f>
        <v>#N/A</v>
      </c>
      <c r="AM48" s="273" t="e">
        <f t="shared" si="7"/>
        <v>#N/A</v>
      </c>
      <c r="AN48" s="270" t="e">
        <f>INDEX([71]Listas!$F$6:$J$10,MATCH(AJ48,[71]Listas!$D$6:$D$10,0),MATCH(AL48,[71]Listas!$F$4:$J$4,0))</f>
        <v>#N/A</v>
      </c>
      <c r="AO48" s="259"/>
      <c r="AP48" s="259"/>
      <c r="AQ48" s="610"/>
      <c r="AR48" s="259"/>
      <c r="AS48" s="259" t="s">
        <v>2343</v>
      </c>
      <c r="AT48" s="608"/>
      <c r="AU48" s="259"/>
      <c r="AV48" s="259"/>
      <c r="AW48" s="261"/>
      <c r="AX48" s="261"/>
      <c r="AY48" s="608"/>
      <c r="AZ48" s="262"/>
    </row>
    <row r="49" spans="2:52" s="260" customFormat="1" ht="103.5" hidden="1" customHeight="1">
      <c r="B49" s="608"/>
      <c r="C49" s="266"/>
      <c r="D49" s="1399"/>
      <c r="E49" s="1408"/>
      <c r="F49" s="1400"/>
      <c r="G49" s="267"/>
      <c r="H49" s="1399"/>
      <c r="I49" s="1408"/>
      <c r="J49" s="1400"/>
      <c r="K49" s="1380"/>
      <c r="L49" s="1380"/>
      <c r="M49" s="1380"/>
      <c r="N49" s="608"/>
      <c r="O49" s="608"/>
      <c r="P49" s="608"/>
      <c r="Q49" s="608"/>
      <c r="R49" s="266"/>
      <c r="S49" s="266"/>
      <c r="T49" s="268"/>
      <c r="U49" s="269" t="e">
        <f>VLOOKUP(R49,[71]Listas!$D$6:$E$10,2,0)</f>
        <v>#N/A</v>
      </c>
      <c r="V49" s="269" t="e">
        <f>HLOOKUP(S49,[71]Listas!$F$4:$J$5,2,0)</f>
        <v>#N/A</v>
      </c>
      <c r="W49" s="270" t="e">
        <f>INDEX([71]Listas!$F$6:$J$10,MATCH(R49,[71]Listas!$D$6:$D$10,0),MATCH(S49,[71]Listas!$F$4:$J$4,0))</f>
        <v>#N/A</v>
      </c>
      <c r="X49" s="268"/>
      <c r="Y49" s="1399"/>
      <c r="Z49" s="1408"/>
      <c r="AA49" s="1400"/>
      <c r="AB49" s="1063"/>
      <c r="AC49" s="267"/>
      <c r="AD49" s="259"/>
      <c r="AE49" s="608"/>
      <c r="AF49" s="267"/>
      <c r="AG49" s="268"/>
      <c r="AH49" s="269">
        <f t="shared" si="4"/>
        <v>0</v>
      </c>
      <c r="AI49" s="271" t="e">
        <f t="shared" si="5"/>
        <v>#N/A</v>
      </c>
      <c r="AJ49" s="272" t="e">
        <f>IF(AI49&lt;=1,"Remota",VLOOKUP(AI49,[71]Listas!$C$6:$D$10,2,0))</f>
        <v>#N/A</v>
      </c>
      <c r="AK49" s="271" t="e">
        <f t="shared" si="6"/>
        <v>#N/A</v>
      </c>
      <c r="AL49" s="272" t="e">
        <f>IF(AK49&lt;=1,"Insignificante",HLOOKUP(AK49,[71]Listas!$F$3:$J$4,2,0))</f>
        <v>#N/A</v>
      </c>
      <c r="AM49" s="273" t="e">
        <f t="shared" si="7"/>
        <v>#N/A</v>
      </c>
      <c r="AN49" s="270" t="e">
        <f>INDEX([71]Listas!$F$6:$J$10,MATCH(AJ49,[71]Listas!$D$6:$D$10,0),MATCH(AL49,[71]Listas!$F$4:$J$4,0))</f>
        <v>#N/A</v>
      </c>
      <c r="AO49" s="259"/>
      <c r="AP49" s="259"/>
      <c r="AQ49" s="610"/>
      <c r="AR49" s="259"/>
      <c r="AS49" s="259" t="s">
        <v>2343</v>
      </c>
      <c r="AT49" s="608"/>
      <c r="AU49" s="259"/>
      <c r="AV49" s="259"/>
      <c r="AW49" s="261"/>
      <c r="AX49" s="261"/>
      <c r="AY49" s="608"/>
      <c r="AZ49" s="262"/>
    </row>
    <row r="50" spans="2:52" s="260" customFormat="1" ht="103.5" hidden="1" customHeight="1">
      <c r="B50" s="608"/>
      <c r="C50" s="266"/>
      <c r="D50" s="1399"/>
      <c r="E50" s="1408"/>
      <c r="F50" s="1400"/>
      <c r="G50" s="267"/>
      <c r="H50" s="1399"/>
      <c r="I50" s="1408"/>
      <c r="J50" s="1400"/>
      <c r="K50" s="1380"/>
      <c r="L50" s="1380"/>
      <c r="M50" s="1380"/>
      <c r="N50" s="608"/>
      <c r="O50" s="608"/>
      <c r="P50" s="608"/>
      <c r="Q50" s="608"/>
      <c r="R50" s="266"/>
      <c r="S50" s="266"/>
      <c r="T50" s="268"/>
      <c r="U50" s="269" t="e">
        <f>VLOOKUP(R50,[71]Listas!$D$6:$E$10,2,0)</f>
        <v>#N/A</v>
      </c>
      <c r="V50" s="269" t="e">
        <f>HLOOKUP(S50,[71]Listas!$F$4:$J$5,2,0)</f>
        <v>#N/A</v>
      </c>
      <c r="W50" s="270" t="e">
        <f>INDEX([71]Listas!$F$6:$J$10,MATCH(R50,[71]Listas!$D$6:$D$10,0),MATCH(S50,[71]Listas!$F$4:$J$4,0))</f>
        <v>#N/A</v>
      </c>
      <c r="X50" s="268"/>
      <c r="Y50" s="1399"/>
      <c r="Z50" s="1408"/>
      <c r="AA50" s="1400"/>
      <c r="AB50" s="1063"/>
      <c r="AC50" s="267"/>
      <c r="AD50" s="259"/>
      <c r="AE50" s="608"/>
      <c r="AF50" s="267"/>
      <c r="AG50" s="268"/>
      <c r="AH50" s="269">
        <f t="shared" si="4"/>
        <v>0</v>
      </c>
      <c r="AI50" s="271" t="e">
        <f t="shared" si="5"/>
        <v>#N/A</v>
      </c>
      <c r="AJ50" s="272" t="e">
        <f>IF(AI50&lt;=1,"Remota",VLOOKUP(AI50,[71]Listas!$C$6:$D$10,2,0))</f>
        <v>#N/A</v>
      </c>
      <c r="AK50" s="271" t="e">
        <f t="shared" si="6"/>
        <v>#N/A</v>
      </c>
      <c r="AL50" s="272" t="e">
        <f>IF(AK50&lt;=1,"Insignificante",HLOOKUP(AK50,[71]Listas!$F$3:$J$4,2,0))</f>
        <v>#N/A</v>
      </c>
      <c r="AM50" s="273" t="e">
        <f t="shared" si="7"/>
        <v>#N/A</v>
      </c>
      <c r="AN50" s="270" t="e">
        <f>INDEX([71]Listas!$F$6:$J$10,MATCH(AJ50,[71]Listas!$D$6:$D$10,0),MATCH(AL50,[71]Listas!$F$4:$J$4,0))</f>
        <v>#N/A</v>
      </c>
      <c r="AO50" s="259"/>
      <c r="AP50" s="259"/>
      <c r="AQ50" s="610"/>
      <c r="AR50" s="259"/>
      <c r="AS50" s="259" t="s">
        <v>2343</v>
      </c>
      <c r="AT50" s="608"/>
      <c r="AU50" s="259"/>
      <c r="AV50" s="259"/>
      <c r="AW50" s="261"/>
      <c r="AX50" s="261"/>
      <c r="AY50" s="608"/>
      <c r="AZ50" s="262"/>
    </row>
    <row r="51" spans="2:52" s="260" customFormat="1" ht="103.5" hidden="1" customHeight="1">
      <c r="B51" s="608"/>
      <c r="C51" s="266"/>
      <c r="D51" s="1399"/>
      <c r="E51" s="1408"/>
      <c r="F51" s="1400"/>
      <c r="G51" s="266"/>
      <c r="H51" s="1399"/>
      <c r="I51" s="1408"/>
      <c r="J51" s="1400"/>
      <c r="K51" s="1380"/>
      <c r="L51" s="1380"/>
      <c r="M51" s="1380"/>
      <c r="N51" s="608"/>
      <c r="O51" s="608"/>
      <c r="P51" s="608"/>
      <c r="Q51" s="608"/>
      <c r="R51" s="266"/>
      <c r="S51" s="266"/>
      <c r="T51" s="268"/>
      <c r="U51" s="269" t="e">
        <f>VLOOKUP(R51,[71]Listas!$D$6:$E$10,2,0)</f>
        <v>#N/A</v>
      </c>
      <c r="V51" s="269" t="e">
        <f>HLOOKUP(S51,[71]Listas!$F$4:$J$5,2,0)</f>
        <v>#N/A</v>
      </c>
      <c r="W51" s="270" t="e">
        <f>INDEX([71]Listas!$F$6:$J$10,MATCH(R51,[71]Listas!$D$6:$D$10,0),MATCH(S51,[71]Listas!$F$4:$J$4,0))</f>
        <v>#N/A</v>
      </c>
      <c r="X51" s="268"/>
      <c r="Y51" s="1399"/>
      <c r="Z51" s="1408"/>
      <c r="AA51" s="1400"/>
      <c r="AB51" s="1063"/>
      <c r="AC51" s="267"/>
      <c r="AD51" s="259"/>
      <c r="AE51" s="608"/>
      <c r="AF51" s="267"/>
      <c r="AG51" s="268"/>
      <c r="AH51" s="269">
        <f>IF(AE51&lt;=33,0,IF(AE51&gt;81,2,1))</f>
        <v>0</v>
      </c>
      <c r="AI51" s="271" t="e">
        <f>IF(OR(AF51="Probabilidad",AF51="Ambos"),U51-AH51,U51)</f>
        <v>#N/A</v>
      </c>
      <c r="AJ51" s="272" t="e">
        <f>IF(AI51&lt;=1,"Remota",VLOOKUP(AI51,[71]Listas!$C$6:$D$10,2,0))</f>
        <v>#N/A</v>
      </c>
      <c r="AK51" s="271" t="e">
        <f>IF(OR(AF51="Impacto",AF51="Ambos"),V51-AH51,V51)</f>
        <v>#N/A</v>
      </c>
      <c r="AL51" s="272" t="e">
        <f>IF(AK51&lt;=1,"Insignificante",HLOOKUP(AK51,[71]Listas!$F$3:$J$4,2,0))</f>
        <v>#N/A</v>
      </c>
      <c r="AM51" s="273" t="e">
        <f>AI51*AK51</f>
        <v>#N/A</v>
      </c>
      <c r="AN51" s="270" t="e">
        <f>INDEX([71]Listas!$F$6:$J$10,MATCH(AJ51,[71]Listas!$D$6:$D$10,0),MATCH(AL51,[71]Listas!$F$4:$J$4,0))</f>
        <v>#N/A</v>
      </c>
      <c r="AO51" s="259"/>
      <c r="AP51" s="259"/>
      <c r="AQ51" s="610"/>
      <c r="AR51" s="259"/>
      <c r="AS51" s="259" t="s">
        <v>2343</v>
      </c>
      <c r="AT51" s="608"/>
      <c r="AV51" s="259"/>
      <c r="AW51" s="261"/>
      <c r="AX51" s="261"/>
      <c r="AY51" s="608"/>
      <c r="AZ51" s="262"/>
    </row>
    <row r="52" spans="2:52" s="260" customFormat="1" ht="103.5" hidden="1" customHeight="1">
      <c r="B52" s="608"/>
      <c r="C52" s="266"/>
      <c r="D52" s="1399"/>
      <c r="E52" s="1408"/>
      <c r="F52" s="1400"/>
      <c r="G52" s="267"/>
      <c r="H52" s="1399"/>
      <c r="I52" s="1408"/>
      <c r="J52" s="1400"/>
      <c r="K52" s="1380"/>
      <c r="L52" s="1380"/>
      <c r="M52" s="1380"/>
      <c r="N52" s="608"/>
      <c r="O52" s="608"/>
      <c r="P52" s="608"/>
      <c r="Q52" s="608"/>
      <c r="R52" s="266"/>
      <c r="S52" s="266"/>
      <c r="T52" s="268"/>
      <c r="U52" s="269" t="e">
        <f>VLOOKUP(R52,[71]Listas!$D$6:$E$10,2,0)</f>
        <v>#N/A</v>
      </c>
      <c r="V52" s="269" t="e">
        <f>HLOOKUP(S52,[71]Listas!$F$4:$J$5,2,0)</f>
        <v>#N/A</v>
      </c>
      <c r="W52" s="270" t="e">
        <f>INDEX([71]Listas!$F$6:$J$10,MATCH(R52,[71]Listas!$D$6:$D$10,0),MATCH(S52,[71]Listas!$F$4:$J$4,0))</f>
        <v>#N/A</v>
      </c>
      <c r="X52" s="268"/>
      <c r="Y52" s="1399"/>
      <c r="Z52" s="1408"/>
      <c r="AA52" s="1400"/>
      <c r="AB52" s="1063"/>
      <c r="AC52" s="267"/>
      <c r="AD52" s="259"/>
      <c r="AE52" s="608"/>
      <c r="AF52" s="267"/>
      <c r="AG52" s="268"/>
      <c r="AH52" s="269">
        <f t="shared" ref="AH52:AH72" si="8">IF(AE52&lt;=33,0,IF(AE52&gt;81,2,1))</f>
        <v>0</v>
      </c>
      <c r="AI52" s="271" t="e">
        <f t="shared" ref="AI52:AI72" si="9">IF(OR(AF52="Probabilidad",AF52="Ambos"),U52-AH52,U52)</f>
        <v>#N/A</v>
      </c>
      <c r="AJ52" s="272" t="e">
        <f>IF(AI52&lt;=1,"Remota",VLOOKUP(AI52,[71]Listas!$C$6:$D$10,2,0))</f>
        <v>#N/A</v>
      </c>
      <c r="AK52" s="271" t="e">
        <f t="shared" ref="AK52:AK72" si="10">IF(OR(AF52="Impacto",AF52="Ambos"),V52-AH52,V52)</f>
        <v>#N/A</v>
      </c>
      <c r="AL52" s="272" t="e">
        <f>IF(AK52&lt;=1,"Insignificante",HLOOKUP(AK52,[71]Listas!$F$3:$J$4,2,0))</f>
        <v>#N/A</v>
      </c>
      <c r="AM52" s="273" t="e">
        <f t="shared" ref="AM52:AM72" si="11">AI52*AK52</f>
        <v>#N/A</v>
      </c>
      <c r="AN52" s="270" t="e">
        <f>INDEX([71]Listas!$F$6:$J$10,MATCH(AJ52,[71]Listas!$D$6:$D$10,0),MATCH(AL52,[71]Listas!$F$4:$J$4,0))</f>
        <v>#N/A</v>
      </c>
      <c r="AO52" s="259"/>
      <c r="AP52" s="259"/>
      <c r="AQ52" s="610"/>
      <c r="AR52" s="259"/>
      <c r="AS52" s="259" t="s">
        <v>2343</v>
      </c>
      <c r="AT52" s="608"/>
      <c r="AU52" s="259"/>
      <c r="AV52" s="259"/>
      <c r="AW52" s="261"/>
      <c r="AX52" s="261"/>
      <c r="AY52" s="608"/>
      <c r="AZ52" s="262"/>
    </row>
    <row r="53" spans="2:52" s="260" customFormat="1" ht="103.5" hidden="1" customHeight="1">
      <c r="B53" s="608"/>
      <c r="C53" s="266"/>
      <c r="D53" s="1399"/>
      <c r="E53" s="1408"/>
      <c r="F53" s="1400"/>
      <c r="G53" s="267"/>
      <c r="H53" s="1399"/>
      <c r="I53" s="1408"/>
      <c r="J53" s="1400"/>
      <c r="K53" s="1380"/>
      <c r="L53" s="1380"/>
      <c r="M53" s="1380"/>
      <c r="N53" s="608"/>
      <c r="O53" s="608"/>
      <c r="P53" s="608"/>
      <c r="Q53" s="608"/>
      <c r="R53" s="266"/>
      <c r="S53" s="266"/>
      <c r="T53" s="268"/>
      <c r="U53" s="269" t="e">
        <f>VLOOKUP(R53,[71]Listas!$D$6:$E$10,2,0)</f>
        <v>#N/A</v>
      </c>
      <c r="V53" s="269" t="e">
        <f>HLOOKUP(S53,[71]Listas!$F$4:$J$5,2,0)</f>
        <v>#N/A</v>
      </c>
      <c r="W53" s="270" t="e">
        <f>INDEX([71]Listas!$F$6:$J$10,MATCH(R53,[71]Listas!$D$6:$D$10,0),MATCH(S53,[71]Listas!$F$4:$J$4,0))</f>
        <v>#N/A</v>
      </c>
      <c r="X53" s="268"/>
      <c r="Y53" s="1399"/>
      <c r="Z53" s="1408"/>
      <c r="AA53" s="1400"/>
      <c r="AB53" s="1063"/>
      <c r="AC53" s="267"/>
      <c r="AD53" s="259"/>
      <c r="AE53" s="608"/>
      <c r="AF53" s="267"/>
      <c r="AG53" s="268"/>
      <c r="AH53" s="269">
        <f t="shared" si="8"/>
        <v>0</v>
      </c>
      <c r="AI53" s="271" t="e">
        <f t="shared" si="9"/>
        <v>#N/A</v>
      </c>
      <c r="AJ53" s="272" t="e">
        <f>IF(AI53&lt;=1,"Remota",VLOOKUP(AI53,[71]Listas!$C$6:$D$10,2,0))</f>
        <v>#N/A</v>
      </c>
      <c r="AK53" s="271" t="e">
        <f t="shared" si="10"/>
        <v>#N/A</v>
      </c>
      <c r="AL53" s="272" t="e">
        <f>IF(AK53&lt;=1,"Insignificante",HLOOKUP(AK53,[71]Listas!$F$3:$J$4,2,0))</f>
        <v>#N/A</v>
      </c>
      <c r="AM53" s="273" t="e">
        <f t="shared" si="11"/>
        <v>#N/A</v>
      </c>
      <c r="AN53" s="270" t="e">
        <f>INDEX([71]Listas!$F$6:$J$10,MATCH(AJ53,[71]Listas!$D$6:$D$10,0),MATCH(AL53,[71]Listas!$F$4:$J$4,0))</f>
        <v>#N/A</v>
      </c>
      <c r="AO53" s="259"/>
      <c r="AP53" s="259"/>
      <c r="AQ53" s="610"/>
      <c r="AR53" s="259"/>
      <c r="AS53" s="259" t="s">
        <v>2343</v>
      </c>
      <c r="AT53" s="608"/>
      <c r="AU53" s="259"/>
      <c r="AV53" s="259"/>
      <c r="AW53" s="261"/>
      <c r="AX53" s="261"/>
      <c r="AY53" s="608"/>
      <c r="AZ53" s="262"/>
    </row>
    <row r="54" spans="2:52" s="260" customFormat="1" ht="103.5" hidden="1" customHeight="1">
      <c r="B54" s="608"/>
      <c r="C54" s="266"/>
      <c r="D54" s="1399"/>
      <c r="E54" s="1408"/>
      <c r="F54" s="1400"/>
      <c r="G54" s="267"/>
      <c r="H54" s="1399"/>
      <c r="I54" s="1408"/>
      <c r="J54" s="1400"/>
      <c r="K54" s="1380"/>
      <c r="L54" s="1380"/>
      <c r="M54" s="1380"/>
      <c r="N54" s="608"/>
      <c r="O54" s="608"/>
      <c r="P54" s="608"/>
      <c r="Q54" s="608"/>
      <c r="R54" s="266"/>
      <c r="S54" s="266"/>
      <c r="T54" s="268"/>
      <c r="U54" s="269" t="e">
        <f>VLOOKUP(R54,[71]Listas!$D$6:$E$10,2,0)</f>
        <v>#N/A</v>
      </c>
      <c r="V54" s="269" t="e">
        <f>HLOOKUP(S54,[71]Listas!$F$4:$J$5,2,0)</f>
        <v>#N/A</v>
      </c>
      <c r="W54" s="270" t="e">
        <f>INDEX([71]Listas!$F$6:$J$10,MATCH(R54,[71]Listas!$D$6:$D$10,0),MATCH(S54,[71]Listas!$F$4:$J$4,0))</f>
        <v>#N/A</v>
      </c>
      <c r="X54" s="268"/>
      <c r="Y54" s="1399"/>
      <c r="Z54" s="1408"/>
      <c r="AA54" s="1400"/>
      <c r="AB54" s="1063"/>
      <c r="AC54" s="267"/>
      <c r="AD54" s="259"/>
      <c r="AE54" s="608"/>
      <c r="AF54" s="267"/>
      <c r="AG54" s="268"/>
      <c r="AH54" s="269">
        <f t="shared" si="8"/>
        <v>0</v>
      </c>
      <c r="AI54" s="271" t="e">
        <f t="shared" si="9"/>
        <v>#N/A</v>
      </c>
      <c r="AJ54" s="272" t="e">
        <f>IF(AI54&lt;=1,"Remota",VLOOKUP(AI54,[71]Listas!$C$6:$D$10,2,0))</f>
        <v>#N/A</v>
      </c>
      <c r="AK54" s="271" t="e">
        <f t="shared" si="10"/>
        <v>#N/A</v>
      </c>
      <c r="AL54" s="272" t="e">
        <f>IF(AK54&lt;=1,"Insignificante",HLOOKUP(AK54,[71]Listas!$F$3:$J$4,2,0))</f>
        <v>#N/A</v>
      </c>
      <c r="AM54" s="273" t="e">
        <f t="shared" si="11"/>
        <v>#N/A</v>
      </c>
      <c r="AN54" s="270" t="e">
        <f>INDEX([71]Listas!$F$6:$J$10,MATCH(AJ54,[71]Listas!$D$6:$D$10,0),MATCH(AL54,[71]Listas!$F$4:$J$4,0))</f>
        <v>#N/A</v>
      </c>
      <c r="AO54" s="259"/>
      <c r="AP54" s="259"/>
      <c r="AQ54" s="610"/>
      <c r="AR54" s="259"/>
      <c r="AS54" s="259" t="s">
        <v>2343</v>
      </c>
      <c r="AT54" s="608"/>
      <c r="AU54" s="259"/>
      <c r="AV54" s="259"/>
      <c r="AW54" s="261"/>
      <c r="AX54" s="261"/>
      <c r="AY54" s="608"/>
      <c r="AZ54" s="262"/>
    </row>
    <row r="55" spans="2:52" s="260" customFormat="1" ht="103.5" hidden="1" customHeight="1">
      <c r="B55" s="608"/>
      <c r="C55" s="266"/>
      <c r="D55" s="1399"/>
      <c r="E55" s="1408"/>
      <c r="F55" s="1400"/>
      <c r="G55" s="267"/>
      <c r="H55" s="1399"/>
      <c r="I55" s="1408"/>
      <c r="J55" s="1400"/>
      <c r="K55" s="1380"/>
      <c r="L55" s="1380"/>
      <c r="M55" s="1380"/>
      <c r="N55" s="608"/>
      <c r="O55" s="608"/>
      <c r="P55" s="608"/>
      <c r="Q55" s="608"/>
      <c r="R55" s="266"/>
      <c r="S55" s="266"/>
      <c r="T55" s="268"/>
      <c r="U55" s="269" t="e">
        <f>VLOOKUP(R55,[71]Listas!$D$6:$E$10,2,0)</f>
        <v>#N/A</v>
      </c>
      <c r="V55" s="269" t="e">
        <f>HLOOKUP(S55,[71]Listas!$F$4:$J$5,2,0)</f>
        <v>#N/A</v>
      </c>
      <c r="W55" s="270" t="e">
        <f>INDEX([71]Listas!$F$6:$J$10,MATCH(R55,[71]Listas!$D$6:$D$10,0),MATCH(S55,[71]Listas!$F$4:$J$4,0))</f>
        <v>#N/A</v>
      </c>
      <c r="X55" s="268"/>
      <c r="Y55" s="1399"/>
      <c r="Z55" s="1408"/>
      <c r="AA55" s="1400"/>
      <c r="AB55" s="1063"/>
      <c r="AC55" s="267"/>
      <c r="AD55" s="259"/>
      <c r="AE55" s="608"/>
      <c r="AF55" s="267"/>
      <c r="AG55" s="268"/>
      <c r="AH55" s="269">
        <f t="shared" si="8"/>
        <v>0</v>
      </c>
      <c r="AI55" s="271" t="e">
        <f t="shared" si="9"/>
        <v>#N/A</v>
      </c>
      <c r="AJ55" s="272" t="e">
        <f>IF(AI55&lt;=1,"Remota",VLOOKUP(AI55,[71]Listas!$C$6:$D$10,2,0))</f>
        <v>#N/A</v>
      </c>
      <c r="AK55" s="271" t="e">
        <f t="shared" si="10"/>
        <v>#N/A</v>
      </c>
      <c r="AL55" s="272" t="e">
        <f>IF(AK55&lt;=1,"Insignificante",HLOOKUP(AK55,[71]Listas!$F$3:$J$4,2,0))</f>
        <v>#N/A</v>
      </c>
      <c r="AM55" s="273" t="e">
        <f t="shared" si="11"/>
        <v>#N/A</v>
      </c>
      <c r="AN55" s="270" t="e">
        <f>INDEX([71]Listas!$F$6:$J$10,MATCH(AJ55,[71]Listas!$D$6:$D$10,0),MATCH(AL55,[71]Listas!$F$4:$J$4,0))</f>
        <v>#N/A</v>
      </c>
      <c r="AO55" s="259"/>
      <c r="AP55" s="259"/>
      <c r="AQ55" s="610"/>
      <c r="AR55" s="259"/>
      <c r="AS55" s="259" t="s">
        <v>2343</v>
      </c>
      <c r="AT55" s="608"/>
      <c r="AU55" s="259"/>
      <c r="AV55" s="259"/>
      <c r="AW55" s="261"/>
      <c r="AX55" s="261"/>
      <c r="AY55" s="608"/>
      <c r="AZ55" s="262"/>
    </row>
    <row r="56" spans="2:52" s="260" customFormat="1" ht="103.5" hidden="1" customHeight="1">
      <c r="B56" s="608"/>
      <c r="C56" s="266"/>
      <c r="D56" s="1399"/>
      <c r="E56" s="1408"/>
      <c r="F56" s="1400"/>
      <c r="G56" s="267"/>
      <c r="H56" s="1399"/>
      <c r="I56" s="1408"/>
      <c r="J56" s="1400"/>
      <c r="K56" s="1380"/>
      <c r="L56" s="1380"/>
      <c r="M56" s="1380"/>
      <c r="N56" s="608"/>
      <c r="O56" s="608"/>
      <c r="P56" s="608"/>
      <c r="Q56" s="608"/>
      <c r="R56" s="266"/>
      <c r="S56" s="266"/>
      <c r="T56" s="268"/>
      <c r="U56" s="269" t="e">
        <f>VLOOKUP(R56,[71]Listas!$D$6:$E$10,2,0)</f>
        <v>#N/A</v>
      </c>
      <c r="V56" s="269" t="e">
        <f>HLOOKUP(S56,[71]Listas!$F$4:$J$5,2,0)</f>
        <v>#N/A</v>
      </c>
      <c r="W56" s="270" t="e">
        <f>INDEX([71]Listas!$F$6:$J$10,MATCH(R56,[71]Listas!$D$6:$D$10,0),MATCH(S56,[71]Listas!$F$4:$J$4,0))</f>
        <v>#N/A</v>
      </c>
      <c r="X56" s="268"/>
      <c r="Y56" s="1399"/>
      <c r="Z56" s="1408"/>
      <c r="AA56" s="1400"/>
      <c r="AB56" s="1063"/>
      <c r="AC56" s="267"/>
      <c r="AD56" s="259"/>
      <c r="AE56" s="608"/>
      <c r="AF56" s="267"/>
      <c r="AG56" s="268"/>
      <c r="AH56" s="269">
        <f t="shared" si="8"/>
        <v>0</v>
      </c>
      <c r="AI56" s="271" t="e">
        <f t="shared" si="9"/>
        <v>#N/A</v>
      </c>
      <c r="AJ56" s="272" t="e">
        <f>IF(AI56&lt;=1,"Remota",VLOOKUP(AI56,[71]Listas!$C$6:$D$10,2,0))</f>
        <v>#N/A</v>
      </c>
      <c r="AK56" s="271" t="e">
        <f t="shared" si="10"/>
        <v>#N/A</v>
      </c>
      <c r="AL56" s="272" t="e">
        <f>IF(AK56&lt;=1,"Insignificante",HLOOKUP(AK56,[71]Listas!$F$3:$J$4,2,0))</f>
        <v>#N/A</v>
      </c>
      <c r="AM56" s="273" t="e">
        <f t="shared" si="11"/>
        <v>#N/A</v>
      </c>
      <c r="AN56" s="270" t="e">
        <f>INDEX([71]Listas!$F$6:$J$10,MATCH(AJ56,[71]Listas!$D$6:$D$10,0),MATCH(AL56,[71]Listas!$F$4:$J$4,0))</f>
        <v>#N/A</v>
      </c>
      <c r="AO56" s="259"/>
      <c r="AP56" s="259"/>
      <c r="AQ56" s="610"/>
      <c r="AR56" s="259"/>
      <c r="AS56" s="259" t="s">
        <v>2343</v>
      </c>
      <c r="AT56" s="608"/>
      <c r="AU56" s="259"/>
      <c r="AV56" s="259"/>
      <c r="AW56" s="261"/>
      <c r="AX56" s="261"/>
      <c r="AY56" s="608"/>
      <c r="AZ56" s="262"/>
    </row>
    <row r="57" spans="2:52" s="260" customFormat="1" ht="103.5" hidden="1" customHeight="1">
      <c r="B57" s="608"/>
      <c r="C57" s="266"/>
      <c r="D57" s="1399"/>
      <c r="E57" s="1408"/>
      <c r="F57" s="1400"/>
      <c r="G57" s="267"/>
      <c r="H57" s="1399"/>
      <c r="I57" s="1408"/>
      <c r="J57" s="1400"/>
      <c r="K57" s="1380"/>
      <c r="L57" s="1380"/>
      <c r="M57" s="1380"/>
      <c r="N57" s="608"/>
      <c r="O57" s="608"/>
      <c r="P57" s="608"/>
      <c r="Q57" s="608"/>
      <c r="R57" s="266"/>
      <c r="S57" s="266"/>
      <c r="T57" s="268"/>
      <c r="U57" s="269" t="e">
        <f>VLOOKUP(R57,[71]Listas!$D$6:$E$10,2,0)</f>
        <v>#N/A</v>
      </c>
      <c r="V57" s="269" t="e">
        <f>HLOOKUP(S57,[71]Listas!$F$4:$J$5,2,0)</f>
        <v>#N/A</v>
      </c>
      <c r="W57" s="270" t="e">
        <f>INDEX([71]Listas!$F$6:$J$10,MATCH(R57,[71]Listas!$D$6:$D$10,0),MATCH(S57,[71]Listas!$F$4:$J$4,0))</f>
        <v>#N/A</v>
      </c>
      <c r="X57" s="268"/>
      <c r="Y57" s="1399"/>
      <c r="Z57" s="1408"/>
      <c r="AA57" s="1400"/>
      <c r="AB57" s="1063"/>
      <c r="AC57" s="267"/>
      <c r="AD57" s="259"/>
      <c r="AE57" s="608"/>
      <c r="AF57" s="267"/>
      <c r="AG57" s="268"/>
      <c r="AH57" s="269">
        <f t="shared" si="8"/>
        <v>0</v>
      </c>
      <c r="AI57" s="271" t="e">
        <f t="shared" si="9"/>
        <v>#N/A</v>
      </c>
      <c r="AJ57" s="272" t="e">
        <f>IF(AI57&lt;=1,"Remota",VLOOKUP(AI57,[71]Listas!$C$6:$D$10,2,0))</f>
        <v>#N/A</v>
      </c>
      <c r="AK57" s="271" t="e">
        <f t="shared" si="10"/>
        <v>#N/A</v>
      </c>
      <c r="AL57" s="272" t="e">
        <f>IF(AK57&lt;=1,"Insignificante",HLOOKUP(AK57,[71]Listas!$F$3:$J$4,2,0))</f>
        <v>#N/A</v>
      </c>
      <c r="AM57" s="273" t="e">
        <f t="shared" si="11"/>
        <v>#N/A</v>
      </c>
      <c r="AN57" s="270" t="e">
        <f>INDEX([71]Listas!$F$6:$J$10,MATCH(AJ57,[71]Listas!$D$6:$D$10,0),MATCH(AL57,[71]Listas!$F$4:$J$4,0))</f>
        <v>#N/A</v>
      </c>
      <c r="AO57" s="259"/>
      <c r="AP57" s="259"/>
      <c r="AQ57" s="610"/>
      <c r="AR57" s="259"/>
      <c r="AS57" s="259" t="s">
        <v>2343</v>
      </c>
      <c r="AT57" s="608"/>
      <c r="AU57" s="259"/>
      <c r="AV57" s="259"/>
      <c r="AW57" s="261"/>
      <c r="AX57" s="261"/>
      <c r="AY57" s="608"/>
      <c r="AZ57" s="262"/>
    </row>
    <row r="58" spans="2:52" s="260" customFormat="1" ht="103.5" hidden="1" customHeight="1">
      <c r="B58" s="608"/>
      <c r="C58" s="266"/>
      <c r="D58" s="1399"/>
      <c r="E58" s="1408"/>
      <c r="F58" s="1400"/>
      <c r="G58" s="267"/>
      <c r="H58" s="1399"/>
      <c r="I58" s="1408"/>
      <c r="J58" s="1400"/>
      <c r="K58" s="1380"/>
      <c r="L58" s="1380"/>
      <c r="M58" s="1380"/>
      <c r="N58" s="608"/>
      <c r="O58" s="608"/>
      <c r="P58" s="608"/>
      <c r="Q58" s="608"/>
      <c r="R58" s="266"/>
      <c r="S58" s="266"/>
      <c r="T58" s="268"/>
      <c r="U58" s="269" t="e">
        <f>VLOOKUP(R58,[71]Listas!$D$6:$E$10,2,0)</f>
        <v>#N/A</v>
      </c>
      <c r="V58" s="269" t="e">
        <f>HLOOKUP(S58,[71]Listas!$F$4:$J$5,2,0)</f>
        <v>#N/A</v>
      </c>
      <c r="W58" s="270" t="e">
        <f>INDEX([71]Listas!$F$6:$J$10,MATCH(R58,[71]Listas!$D$6:$D$10,0),MATCH(S58,[71]Listas!$F$4:$J$4,0))</f>
        <v>#N/A</v>
      </c>
      <c r="X58" s="268"/>
      <c r="Y58" s="1399"/>
      <c r="Z58" s="1408"/>
      <c r="AA58" s="1400"/>
      <c r="AB58" s="1063"/>
      <c r="AC58" s="267"/>
      <c r="AD58" s="259"/>
      <c r="AE58" s="608"/>
      <c r="AF58" s="267"/>
      <c r="AG58" s="268"/>
      <c r="AH58" s="269">
        <f t="shared" si="8"/>
        <v>0</v>
      </c>
      <c r="AI58" s="271" t="e">
        <f t="shared" si="9"/>
        <v>#N/A</v>
      </c>
      <c r="AJ58" s="272" t="e">
        <f>IF(AI58&lt;=1,"Remota",VLOOKUP(AI58,[71]Listas!$C$6:$D$10,2,0))</f>
        <v>#N/A</v>
      </c>
      <c r="AK58" s="271" t="e">
        <f t="shared" si="10"/>
        <v>#N/A</v>
      </c>
      <c r="AL58" s="272" t="e">
        <f>IF(AK58&lt;=1,"Insignificante",HLOOKUP(AK58,[71]Listas!$F$3:$J$4,2,0))</f>
        <v>#N/A</v>
      </c>
      <c r="AM58" s="273" t="e">
        <f t="shared" si="11"/>
        <v>#N/A</v>
      </c>
      <c r="AN58" s="270" t="e">
        <f>INDEX([71]Listas!$F$6:$J$10,MATCH(AJ58,[71]Listas!$D$6:$D$10,0),MATCH(AL58,[71]Listas!$F$4:$J$4,0))</f>
        <v>#N/A</v>
      </c>
      <c r="AO58" s="259"/>
      <c r="AP58" s="259"/>
      <c r="AQ58" s="610"/>
      <c r="AR58" s="259"/>
      <c r="AS58" s="259" t="s">
        <v>2343</v>
      </c>
      <c r="AT58" s="608"/>
      <c r="AU58" s="259"/>
      <c r="AV58" s="259"/>
      <c r="AW58" s="261"/>
      <c r="AX58" s="261"/>
      <c r="AY58" s="608"/>
      <c r="AZ58" s="262"/>
    </row>
    <row r="59" spans="2:52" s="260" customFormat="1" ht="103.5" hidden="1" customHeight="1">
      <c r="B59" s="608"/>
      <c r="C59" s="266"/>
      <c r="D59" s="1399"/>
      <c r="E59" s="1408"/>
      <c r="F59" s="1400"/>
      <c r="G59" s="267"/>
      <c r="H59" s="1399"/>
      <c r="I59" s="1408"/>
      <c r="J59" s="1400"/>
      <c r="K59" s="1380"/>
      <c r="L59" s="1380"/>
      <c r="M59" s="1380"/>
      <c r="N59" s="608"/>
      <c r="O59" s="608"/>
      <c r="P59" s="608"/>
      <c r="Q59" s="608"/>
      <c r="R59" s="266"/>
      <c r="S59" s="266"/>
      <c r="T59" s="268"/>
      <c r="U59" s="269" t="e">
        <f>VLOOKUP(R59,[71]Listas!$D$6:$E$10,2,0)</f>
        <v>#N/A</v>
      </c>
      <c r="V59" s="269" t="e">
        <f>HLOOKUP(S59,[71]Listas!$F$4:$J$5,2,0)</f>
        <v>#N/A</v>
      </c>
      <c r="W59" s="270" t="e">
        <f>INDEX([71]Listas!$F$6:$J$10,MATCH(R59,[71]Listas!$D$6:$D$10,0),MATCH(S59,[71]Listas!$F$4:$J$4,0))</f>
        <v>#N/A</v>
      </c>
      <c r="X59" s="268"/>
      <c r="Y59" s="1399"/>
      <c r="Z59" s="1408"/>
      <c r="AA59" s="1400"/>
      <c r="AB59" s="1063"/>
      <c r="AC59" s="267"/>
      <c r="AD59" s="259"/>
      <c r="AE59" s="608"/>
      <c r="AF59" s="267"/>
      <c r="AG59" s="268"/>
      <c r="AH59" s="269">
        <f t="shared" si="8"/>
        <v>0</v>
      </c>
      <c r="AI59" s="271" t="e">
        <f t="shared" si="9"/>
        <v>#N/A</v>
      </c>
      <c r="AJ59" s="272" t="e">
        <f>IF(AI59&lt;=1,"Remota",VLOOKUP(AI59,[71]Listas!$C$6:$D$10,2,0))</f>
        <v>#N/A</v>
      </c>
      <c r="AK59" s="271" t="e">
        <f t="shared" si="10"/>
        <v>#N/A</v>
      </c>
      <c r="AL59" s="272" t="e">
        <f>IF(AK59&lt;=1,"Insignificante",HLOOKUP(AK59,[71]Listas!$F$3:$J$4,2,0))</f>
        <v>#N/A</v>
      </c>
      <c r="AM59" s="273" t="e">
        <f t="shared" si="11"/>
        <v>#N/A</v>
      </c>
      <c r="AN59" s="270" t="e">
        <f>INDEX([71]Listas!$F$6:$J$10,MATCH(AJ59,[71]Listas!$D$6:$D$10,0),MATCH(AL59,[71]Listas!$F$4:$J$4,0))</f>
        <v>#N/A</v>
      </c>
      <c r="AO59" s="259"/>
      <c r="AP59" s="259"/>
      <c r="AQ59" s="610"/>
      <c r="AR59" s="259"/>
      <c r="AS59" s="259" t="s">
        <v>2343</v>
      </c>
      <c r="AT59" s="608"/>
      <c r="AU59" s="259"/>
      <c r="AV59" s="259"/>
      <c r="AW59" s="261"/>
      <c r="AX59" s="261"/>
      <c r="AY59" s="608"/>
      <c r="AZ59" s="262"/>
    </row>
    <row r="60" spans="2:52" s="260" customFormat="1" ht="103.5" hidden="1" customHeight="1">
      <c r="B60" s="608"/>
      <c r="C60" s="266"/>
      <c r="D60" s="1399"/>
      <c r="E60" s="1408"/>
      <c r="F60" s="1400"/>
      <c r="G60" s="267"/>
      <c r="H60" s="1399"/>
      <c r="I60" s="1408"/>
      <c r="J60" s="1400"/>
      <c r="K60" s="1380"/>
      <c r="L60" s="1380"/>
      <c r="M60" s="1380"/>
      <c r="N60" s="608"/>
      <c r="O60" s="608"/>
      <c r="P60" s="608"/>
      <c r="Q60" s="608"/>
      <c r="R60" s="266"/>
      <c r="S60" s="266"/>
      <c r="T60" s="268"/>
      <c r="U60" s="269" t="e">
        <f>VLOOKUP(R60,[71]Listas!$D$6:$E$10,2,0)</f>
        <v>#N/A</v>
      </c>
      <c r="V60" s="269" t="e">
        <f>HLOOKUP(S60,[71]Listas!$F$4:$J$5,2,0)</f>
        <v>#N/A</v>
      </c>
      <c r="W60" s="270" t="e">
        <f>INDEX([71]Listas!$F$6:$J$10,MATCH(R60,[71]Listas!$D$6:$D$10,0),MATCH(S60,[71]Listas!$F$4:$J$4,0))</f>
        <v>#N/A</v>
      </c>
      <c r="X60" s="268"/>
      <c r="Y60" s="1399"/>
      <c r="Z60" s="1408"/>
      <c r="AA60" s="1400"/>
      <c r="AB60" s="1063"/>
      <c r="AC60" s="267"/>
      <c r="AD60" s="259"/>
      <c r="AE60" s="608"/>
      <c r="AF60" s="267"/>
      <c r="AG60" s="268"/>
      <c r="AH60" s="269">
        <f t="shared" si="8"/>
        <v>0</v>
      </c>
      <c r="AI60" s="271" t="e">
        <f t="shared" si="9"/>
        <v>#N/A</v>
      </c>
      <c r="AJ60" s="272" t="e">
        <f>IF(AI60&lt;=1,"Remota",VLOOKUP(AI60,[71]Listas!$C$6:$D$10,2,0))</f>
        <v>#N/A</v>
      </c>
      <c r="AK60" s="271" t="e">
        <f t="shared" si="10"/>
        <v>#N/A</v>
      </c>
      <c r="AL60" s="272" t="e">
        <f>IF(AK60&lt;=1,"Insignificante",HLOOKUP(AK60,[71]Listas!$F$3:$J$4,2,0))</f>
        <v>#N/A</v>
      </c>
      <c r="AM60" s="273" t="e">
        <f t="shared" si="11"/>
        <v>#N/A</v>
      </c>
      <c r="AN60" s="270" t="e">
        <f>INDEX([71]Listas!$F$6:$J$10,MATCH(AJ60,[71]Listas!$D$6:$D$10,0),MATCH(AL60,[71]Listas!$F$4:$J$4,0))</f>
        <v>#N/A</v>
      </c>
      <c r="AO60" s="259"/>
      <c r="AP60" s="259"/>
      <c r="AQ60" s="610"/>
      <c r="AR60" s="259"/>
      <c r="AS60" s="259" t="s">
        <v>2343</v>
      </c>
      <c r="AT60" s="608"/>
      <c r="AU60" s="259"/>
      <c r="AV60" s="259"/>
      <c r="AW60" s="261"/>
      <c r="AX60" s="261"/>
      <c r="AY60" s="608"/>
      <c r="AZ60" s="262"/>
    </row>
    <row r="61" spans="2:52" s="260" customFormat="1" ht="103.5" hidden="1" customHeight="1">
      <c r="B61" s="608"/>
      <c r="C61" s="266"/>
      <c r="D61" s="1399"/>
      <c r="E61" s="1408"/>
      <c r="F61" s="1400"/>
      <c r="G61" s="267"/>
      <c r="H61" s="1399"/>
      <c r="I61" s="1408"/>
      <c r="J61" s="1400"/>
      <c r="K61" s="1380"/>
      <c r="L61" s="1380"/>
      <c r="M61" s="1380"/>
      <c r="N61" s="608"/>
      <c r="O61" s="608"/>
      <c r="P61" s="608"/>
      <c r="Q61" s="608"/>
      <c r="R61" s="266"/>
      <c r="S61" s="266"/>
      <c r="T61" s="268"/>
      <c r="U61" s="269" t="e">
        <f>VLOOKUP(R61,[71]Listas!$D$6:$E$10,2,0)</f>
        <v>#N/A</v>
      </c>
      <c r="V61" s="269" t="e">
        <f>HLOOKUP(S61,[71]Listas!$F$4:$J$5,2,0)</f>
        <v>#N/A</v>
      </c>
      <c r="W61" s="270" t="e">
        <f>INDEX([71]Listas!$F$6:$J$10,MATCH(R61,[71]Listas!$D$6:$D$10,0),MATCH(S61,[71]Listas!$F$4:$J$4,0))</f>
        <v>#N/A</v>
      </c>
      <c r="X61" s="268"/>
      <c r="Y61" s="1399"/>
      <c r="Z61" s="1408"/>
      <c r="AA61" s="1400"/>
      <c r="AB61" s="1063"/>
      <c r="AC61" s="267"/>
      <c r="AD61" s="259"/>
      <c r="AE61" s="608"/>
      <c r="AF61" s="267"/>
      <c r="AG61" s="268"/>
      <c r="AH61" s="269">
        <f t="shared" si="8"/>
        <v>0</v>
      </c>
      <c r="AI61" s="271" t="e">
        <f t="shared" si="9"/>
        <v>#N/A</v>
      </c>
      <c r="AJ61" s="272" t="e">
        <f>IF(AI61&lt;=1,"Remota",VLOOKUP(AI61,[71]Listas!$C$6:$D$10,2,0))</f>
        <v>#N/A</v>
      </c>
      <c r="AK61" s="271" t="e">
        <f t="shared" si="10"/>
        <v>#N/A</v>
      </c>
      <c r="AL61" s="272" t="e">
        <f>IF(AK61&lt;=1,"Insignificante",HLOOKUP(AK61,[71]Listas!$F$3:$J$4,2,0))</f>
        <v>#N/A</v>
      </c>
      <c r="AM61" s="273" t="e">
        <f t="shared" si="11"/>
        <v>#N/A</v>
      </c>
      <c r="AN61" s="270" t="e">
        <f>INDEX([71]Listas!$F$6:$J$10,MATCH(AJ61,[71]Listas!$D$6:$D$10,0),MATCH(AL61,[71]Listas!$F$4:$J$4,0))</f>
        <v>#N/A</v>
      </c>
      <c r="AO61" s="259"/>
      <c r="AP61" s="259"/>
      <c r="AQ61" s="610"/>
      <c r="AR61" s="259"/>
      <c r="AS61" s="259" t="s">
        <v>2343</v>
      </c>
      <c r="AT61" s="608"/>
      <c r="AU61" s="259"/>
      <c r="AV61" s="259"/>
      <c r="AW61" s="261"/>
      <c r="AX61" s="261"/>
      <c r="AY61" s="608"/>
      <c r="AZ61" s="262"/>
    </row>
    <row r="62" spans="2:52" s="260" customFormat="1" ht="103.5" hidden="1" customHeight="1">
      <c r="B62" s="608"/>
      <c r="C62" s="266"/>
      <c r="D62" s="1399"/>
      <c r="E62" s="1408"/>
      <c r="F62" s="1400"/>
      <c r="G62" s="267"/>
      <c r="H62" s="1399"/>
      <c r="I62" s="1408"/>
      <c r="J62" s="1400"/>
      <c r="K62" s="1380"/>
      <c r="L62" s="1380"/>
      <c r="M62" s="1380"/>
      <c r="N62" s="608"/>
      <c r="O62" s="608"/>
      <c r="P62" s="608"/>
      <c r="Q62" s="608"/>
      <c r="R62" s="266"/>
      <c r="S62" s="266"/>
      <c r="T62" s="268"/>
      <c r="U62" s="269" t="e">
        <f>VLOOKUP(R62,[71]Listas!$D$6:$E$10,2,0)</f>
        <v>#N/A</v>
      </c>
      <c r="V62" s="269" t="e">
        <f>HLOOKUP(S62,[71]Listas!$F$4:$J$5,2,0)</f>
        <v>#N/A</v>
      </c>
      <c r="W62" s="270" t="e">
        <f>INDEX([71]Listas!$F$6:$J$10,MATCH(R62,[71]Listas!$D$6:$D$10,0),MATCH(S62,[71]Listas!$F$4:$J$4,0))</f>
        <v>#N/A</v>
      </c>
      <c r="X62" s="268"/>
      <c r="Y62" s="1399"/>
      <c r="Z62" s="1408"/>
      <c r="AA62" s="1400"/>
      <c r="AB62" s="1063"/>
      <c r="AC62" s="267"/>
      <c r="AD62" s="259"/>
      <c r="AE62" s="608"/>
      <c r="AF62" s="267"/>
      <c r="AG62" s="268"/>
      <c r="AH62" s="269">
        <f t="shared" si="8"/>
        <v>0</v>
      </c>
      <c r="AI62" s="271" t="e">
        <f t="shared" si="9"/>
        <v>#N/A</v>
      </c>
      <c r="AJ62" s="272" t="e">
        <f>IF(AI62&lt;=1,"Remota",VLOOKUP(AI62,[71]Listas!$C$6:$D$10,2,0))</f>
        <v>#N/A</v>
      </c>
      <c r="AK62" s="271" t="e">
        <f t="shared" si="10"/>
        <v>#N/A</v>
      </c>
      <c r="AL62" s="272" t="e">
        <f>IF(AK62&lt;=1,"Insignificante",HLOOKUP(AK62,[71]Listas!$F$3:$J$4,2,0))</f>
        <v>#N/A</v>
      </c>
      <c r="AM62" s="273" t="e">
        <f t="shared" si="11"/>
        <v>#N/A</v>
      </c>
      <c r="AN62" s="270" t="e">
        <f>INDEX([71]Listas!$F$6:$J$10,MATCH(AJ62,[71]Listas!$D$6:$D$10,0),MATCH(AL62,[71]Listas!$F$4:$J$4,0))</f>
        <v>#N/A</v>
      </c>
      <c r="AO62" s="259"/>
      <c r="AP62" s="259"/>
      <c r="AQ62" s="610"/>
      <c r="AR62" s="259"/>
      <c r="AS62" s="259" t="s">
        <v>2343</v>
      </c>
      <c r="AT62" s="608"/>
      <c r="AU62" s="259"/>
      <c r="AV62" s="259"/>
      <c r="AW62" s="261"/>
      <c r="AX62" s="261"/>
      <c r="AY62" s="608"/>
      <c r="AZ62" s="262"/>
    </row>
    <row r="63" spans="2:52" s="260" customFormat="1" ht="103.5" hidden="1" customHeight="1">
      <c r="B63" s="608"/>
      <c r="C63" s="266"/>
      <c r="D63" s="1399"/>
      <c r="E63" s="1408"/>
      <c r="F63" s="1400"/>
      <c r="G63" s="267"/>
      <c r="H63" s="1399"/>
      <c r="I63" s="1408"/>
      <c r="J63" s="1400"/>
      <c r="K63" s="1380"/>
      <c r="L63" s="1380"/>
      <c r="M63" s="1380"/>
      <c r="N63" s="608"/>
      <c r="O63" s="608"/>
      <c r="P63" s="608"/>
      <c r="Q63" s="608"/>
      <c r="R63" s="266"/>
      <c r="S63" s="266"/>
      <c r="T63" s="268"/>
      <c r="U63" s="269" t="e">
        <f>VLOOKUP(R63,[71]Listas!$D$6:$E$10,2,0)</f>
        <v>#N/A</v>
      </c>
      <c r="V63" s="269" t="e">
        <f>HLOOKUP(S63,[71]Listas!$F$4:$J$5,2,0)</f>
        <v>#N/A</v>
      </c>
      <c r="W63" s="270" t="e">
        <f>INDEX([71]Listas!$F$6:$J$10,MATCH(R63,[71]Listas!$D$6:$D$10,0),MATCH(S63,[71]Listas!$F$4:$J$4,0))</f>
        <v>#N/A</v>
      </c>
      <c r="X63" s="268"/>
      <c r="Y63" s="1399"/>
      <c r="Z63" s="1408"/>
      <c r="AA63" s="1400"/>
      <c r="AB63" s="1063"/>
      <c r="AC63" s="267"/>
      <c r="AD63" s="259"/>
      <c r="AE63" s="608"/>
      <c r="AF63" s="267"/>
      <c r="AG63" s="268"/>
      <c r="AH63" s="269">
        <f t="shared" si="8"/>
        <v>0</v>
      </c>
      <c r="AI63" s="271" t="e">
        <f t="shared" si="9"/>
        <v>#N/A</v>
      </c>
      <c r="AJ63" s="272" t="e">
        <f>IF(AI63&lt;=1,"Remota",VLOOKUP(AI63,[71]Listas!$C$6:$D$10,2,0))</f>
        <v>#N/A</v>
      </c>
      <c r="AK63" s="271" t="e">
        <f t="shared" si="10"/>
        <v>#N/A</v>
      </c>
      <c r="AL63" s="272" t="e">
        <f>IF(AK63&lt;=1,"Insignificante",HLOOKUP(AK63,[71]Listas!$F$3:$J$4,2,0))</f>
        <v>#N/A</v>
      </c>
      <c r="AM63" s="273" t="e">
        <f t="shared" si="11"/>
        <v>#N/A</v>
      </c>
      <c r="AN63" s="270" t="e">
        <f>INDEX([71]Listas!$F$6:$J$10,MATCH(AJ63,[71]Listas!$D$6:$D$10,0),MATCH(AL63,[71]Listas!$F$4:$J$4,0))</f>
        <v>#N/A</v>
      </c>
      <c r="AO63" s="259"/>
      <c r="AP63" s="259"/>
      <c r="AQ63" s="610"/>
      <c r="AR63" s="259"/>
      <c r="AS63" s="259" t="s">
        <v>2343</v>
      </c>
      <c r="AT63" s="608"/>
      <c r="AU63" s="259"/>
      <c r="AV63" s="259"/>
      <c r="AW63" s="261"/>
      <c r="AX63" s="261"/>
      <c r="AY63" s="608"/>
      <c r="AZ63" s="262"/>
    </row>
    <row r="64" spans="2:52" s="260" customFormat="1" ht="103.5" hidden="1" customHeight="1">
      <c r="B64" s="608"/>
      <c r="C64" s="266"/>
      <c r="D64" s="1399"/>
      <c r="E64" s="1408"/>
      <c r="F64" s="1400"/>
      <c r="G64" s="267"/>
      <c r="H64" s="1399"/>
      <c r="I64" s="1408"/>
      <c r="J64" s="1400"/>
      <c r="K64" s="1380"/>
      <c r="L64" s="1380"/>
      <c r="M64" s="1380"/>
      <c r="N64" s="608"/>
      <c r="O64" s="608"/>
      <c r="P64" s="608"/>
      <c r="Q64" s="608"/>
      <c r="R64" s="266"/>
      <c r="S64" s="266"/>
      <c r="T64" s="268"/>
      <c r="U64" s="269" t="e">
        <f>VLOOKUP(R64,[71]Listas!$D$6:$E$10,2,0)</f>
        <v>#N/A</v>
      </c>
      <c r="V64" s="269" t="e">
        <f>HLOOKUP(S64,[71]Listas!$F$4:$J$5,2,0)</f>
        <v>#N/A</v>
      </c>
      <c r="W64" s="270" t="e">
        <f>INDEX([71]Listas!$F$6:$J$10,MATCH(R64,[71]Listas!$D$6:$D$10,0),MATCH(S64,[71]Listas!$F$4:$J$4,0))</f>
        <v>#N/A</v>
      </c>
      <c r="X64" s="268"/>
      <c r="Y64" s="1399"/>
      <c r="Z64" s="1408"/>
      <c r="AA64" s="1400"/>
      <c r="AB64" s="1063"/>
      <c r="AC64" s="267"/>
      <c r="AD64" s="259"/>
      <c r="AE64" s="608"/>
      <c r="AF64" s="267"/>
      <c r="AG64" s="268"/>
      <c r="AH64" s="269">
        <f t="shared" si="8"/>
        <v>0</v>
      </c>
      <c r="AI64" s="271" t="e">
        <f t="shared" si="9"/>
        <v>#N/A</v>
      </c>
      <c r="AJ64" s="272" t="e">
        <f>IF(AI64&lt;=1,"Remota",VLOOKUP(AI64,[71]Listas!$C$6:$D$10,2,0))</f>
        <v>#N/A</v>
      </c>
      <c r="AK64" s="271" t="e">
        <f t="shared" si="10"/>
        <v>#N/A</v>
      </c>
      <c r="AL64" s="272" t="e">
        <f>IF(AK64&lt;=1,"Insignificante",HLOOKUP(AK64,[71]Listas!$F$3:$J$4,2,0))</f>
        <v>#N/A</v>
      </c>
      <c r="AM64" s="273" t="e">
        <f t="shared" si="11"/>
        <v>#N/A</v>
      </c>
      <c r="AN64" s="270" t="e">
        <f>INDEX([71]Listas!$F$6:$J$10,MATCH(AJ64,[71]Listas!$D$6:$D$10,0),MATCH(AL64,[71]Listas!$F$4:$J$4,0))</f>
        <v>#N/A</v>
      </c>
      <c r="AO64" s="259"/>
      <c r="AP64" s="259"/>
      <c r="AQ64" s="610"/>
      <c r="AR64" s="259"/>
      <c r="AS64" s="259" t="s">
        <v>2343</v>
      </c>
      <c r="AT64" s="608"/>
      <c r="AU64" s="259"/>
      <c r="AV64" s="259"/>
      <c r="AW64" s="261"/>
      <c r="AX64" s="261"/>
      <c r="AY64" s="608"/>
      <c r="AZ64" s="262"/>
    </row>
    <row r="65" spans="2:52" s="260" customFormat="1" ht="103.5" hidden="1" customHeight="1">
      <c r="B65" s="608"/>
      <c r="C65" s="266"/>
      <c r="D65" s="1399"/>
      <c r="E65" s="1408"/>
      <c r="F65" s="1400"/>
      <c r="G65" s="267"/>
      <c r="H65" s="1399"/>
      <c r="I65" s="1408"/>
      <c r="J65" s="1400"/>
      <c r="K65" s="1380"/>
      <c r="L65" s="1380"/>
      <c r="M65" s="1380"/>
      <c r="N65" s="608"/>
      <c r="O65" s="608"/>
      <c r="P65" s="608"/>
      <c r="Q65" s="608"/>
      <c r="R65" s="266"/>
      <c r="S65" s="266"/>
      <c r="T65" s="268"/>
      <c r="U65" s="269" t="e">
        <f>VLOOKUP(R65,[71]Listas!$D$6:$E$10,2,0)</f>
        <v>#N/A</v>
      </c>
      <c r="V65" s="269" t="e">
        <f>HLOOKUP(S65,[71]Listas!$F$4:$J$5,2,0)</f>
        <v>#N/A</v>
      </c>
      <c r="W65" s="270" t="e">
        <f>INDEX([71]Listas!$F$6:$J$10,MATCH(R65,[71]Listas!$D$6:$D$10,0),MATCH(S65,[71]Listas!$F$4:$J$4,0))</f>
        <v>#N/A</v>
      </c>
      <c r="X65" s="268"/>
      <c r="Y65" s="1399"/>
      <c r="Z65" s="1408"/>
      <c r="AA65" s="1400"/>
      <c r="AB65" s="1063"/>
      <c r="AC65" s="267"/>
      <c r="AD65" s="259"/>
      <c r="AE65" s="608"/>
      <c r="AF65" s="267"/>
      <c r="AG65" s="268"/>
      <c r="AH65" s="269">
        <f t="shared" si="8"/>
        <v>0</v>
      </c>
      <c r="AI65" s="271" t="e">
        <f t="shared" si="9"/>
        <v>#N/A</v>
      </c>
      <c r="AJ65" s="272" t="e">
        <f>IF(AI65&lt;=1,"Remota",VLOOKUP(AI65,[71]Listas!$C$6:$D$10,2,0))</f>
        <v>#N/A</v>
      </c>
      <c r="AK65" s="271" t="e">
        <f t="shared" si="10"/>
        <v>#N/A</v>
      </c>
      <c r="AL65" s="272" t="e">
        <f>IF(AK65&lt;=1,"Insignificante",HLOOKUP(AK65,[71]Listas!$F$3:$J$4,2,0))</f>
        <v>#N/A</v>
      </c>
      <c r="AM65" s="273" t="e">
        <f t="shared" si="11"/>
        <v>#N/A</v>
      </c>
      <c r="AN65" s="270" t="e">
        <f>INDEX([71]Listas!$F$6:$J$10,MATCH(AJ65,[71]Listas!$D$6:$D$10,0),MATCH(AL65,[71]Listas!$F$4:$J$4,0))</f>
        <v>#N/A</v>
      </c>
      <c r="AO65" s="259"/>
      <c r="AP65" s="259"/>
      <c r="AQ65" s="610"/>
      <c r="AR65" s="259"/>
      <c r="AS65" s="259" t="s">
        <v>2343</v>
      </c>
      <c r="AT65" s="608"/>
      <c r="AU65" s="259"/>
      <c r="AV65" s="259"/>
      <c r="AW65" s="261"/>
      <c r="AX65" s="261"/>
      <c r="AY65" s="608"/>
      <c r="AZ65" s="262"/>
    </row>
    <row r="66" spans="2:52" s="260" customFormat="1" ht="103.5" hidden="1" customHeight="1">
      <c r="B66" s="608"/>
      <c r="C66" s="266"/>
      <c r="D66" s="1399"/>
      <c r="E66" s="1408"/>
      <c r="F66" s="1400"/>
      <c r="G66" s="267"/>
      <c r="H66" s="1399"/>
      <c r="I66" s="1408"/>
      <c r="J66" s="1400"/>
      <c r="K66" s="1380"/>
      <c r="L66" s="1380"/>
      <c r="M66" s="1380"/>
      <c r="N66" s="608"/>
      <c r="O66" s="608"/>
      <c r="P66" s="608"/>
      <c r="Q66" s="608"/>
      <c r="R66" s="266"/>
      <c r="S66" s="266"/>
      <c r="T66" s="268"/>
      <c r="U66" s="269" t="e">
        <f>VLOOKUP(R66,[71]Listas!$D$6:$E$10,2,0)</f>
        <v>#N/A</v>
      </c>
      <c r="V66" s="269" t="e">
        <f>HLOOKUP(S66,[71]Listas!$F$4:$J$5,2,0)</f>
        <v>#N/A</v>
      </c>
      <c r="W66" s="270" t="e">
        <f>INDEX([71]Listas!$F$6:$J$10,MATCH(R66,[71]Listas!$D$6:$D$10,0),MATCH(S66,[71]Listas!$F$4:$J$4,0))</f>
        <v>#N/A</v>
      </c>
      <c r="X66" s="268"/>
      <c r="Y66" s="1399"/>
      <c r="Z66" s="1408"/>
      <c r="AA66" s="1400"/>
      <c r="AB66" s="1063"/>
      <c r="AC66" s="267"/>
      <c r="AD66" s="259"/>
      <c r="AE66" s="608"/>
      <c r="AF66" s="267"/>
      <c r="AG66" s="268"/>
      <c r="AH66" s="269">
        <f t="shared" si="8"/>
        <v>0</v>
      </c>
      <c r="AI66" s="271" t="e">
        <f t="shared" si="9"/>
        <v>#N/A</v>
      </c>
      <c r="AJ66" s="272" t="e">
        <f>IF(AI66&lt;=1,"Remota",VLOOKUP(AI66,[71]Listas!$C$6:$D$10,2,0))</f>
        <v>#N/A</v>
      </c>
      <c r="AK66" s="271" t="e">
        <f t="shared" si="10"/>
        <v>#N/A</v>
      </c>
      <c r="AL66" s="272" t="e">
        <f>IF(AK66&lt;=1,"Insignificante",HLOOKUP(AK66,[71]Listas!$F$3:$J$4,2,0))</f>
        <v>#N/A</v>
      </c>
      <c r="AM66" s="273" t="e">
        <f t="shared" si="11"/>
        <v>#N/A</v>
      </c>
      <c r="AN66" s="270" t="e">
        <f>INDEX([71]Listas!$F$6:$J$10,MATCH(AJ66,[71]Listas!$D$6:$D$10,0),MATCH(AL66,[71]Listas!$F$4:$J$4,0))</f>
        <v>#N/A</v>
      </c>
      <c r="AO66" s="259"/>
      <c r="AP66" s="259"/>
      <c r="AQ66" s="610"/>
      <c r="AR66" s="259"/>
      <c r="AS66" s="259" t="s">
        <v>2343</v>
      </c>
      <c r="AT66" s="608"/>
      <c r="AU66" s="259"/>
      <c r="AV66" s="259"/>
      <c r="AW66" s="261"/>
      <c r="AX66" s="261"/>
      <c r="AY66" s="608"/>
      <c r="AZ66" s="262"/>
    </row>
    <row r="67" spans="2:52" s="260" customFormat="1" ht="103.5" hidden="1" customHeight="1">
      <c r="B67" s="608"/>
      <c r="C67" s="266"/>
      <c r="D67" s="1399"/>
      <c r="E67" s="1408"/>
      <c r="F67" s="1400"/>
      <c r="G67" s="267"/>
      <c r="H67" s="1399"/>
      <c r="I67" s="1408"/>
      <c r="J67" s="1400"/>
      <c r="K67" s="1380"/>
      <c r="L67" s="1380"/>
      <c r="M67" s="1380"/>
      <c r="N67" s="608"/>
      <c r="O67" s="608"/>
      <c r="P67" s="608"/>
      <c r="Q67" s="608"/>
      <c r="R67" s="266"/>
      <c r="S67" s="266"/>
      <c r="T67" s="268"/>
      <c r="U67" s="269" t="e">
        <f>VLOOKUP(R67,[71]Listas!$D$6:$E$10,2,0)</f>
        <v>#N/A</v>
      </c>
      <c r="V67" s="269" t="e">
        <f>HLOOKUP(S67,[71]Listas!$F$4:$J$5,2,0)</f>
        <v>#N/A</v>
      </c>
      <c r="W67" s="270" t="e">
        <f>INDEX([71]Listas!$F$6:$J$10,MATCH(R67,[71]Listas!$D$6:$D$10,0),MATCH(S67,[71]Listas!$F$4:$J$4,0))</f>
        <v>#N/A</v>
      </c>
      <c r="X67" s="268"/>
      <c r="Y67" s="1399"/>
      <c r="Z67" s="1408"/>
      <c r="AA67" s="1400"/>
      <c r="AB67" s="1063"/>
      <c r="AC67" s="267"/>
      <c r="AD67" s="259"/>
      <c r="AE67" s="608"/>
      <c r="AF67" s="267"/>
      <c r="AG67" s="268"/>
      <c r="AH67" s="269">
        <f t="shared" si="8"/>
        <v>0</v>
      </c>
      <c r="AI67" s="271" t="e">
        <f t="shared" si="9"/>
        <v>#N/A</v>
      </c>
      <c r="AJ67" s="272" t="e">
        <f>IF(AI67&lt;=1,"Remota",VLOOKUP(AI67,[71]Listas!$C$6:$D$10,2,0))</f>
        <v>#N/A</v>
      </c>
      <c r="AK67" s="271" t="e">
        <f t="shared" si="10"/>
        <v>#N/A</v>
      </c>
      <c r="AL67" s="272" t="e">
        <f>IF(AK67&lt;=1,"Insignificante",HLOOKUP(AK67,[71]Listas!$F$3:$J$4,2,0))</f>
        <v>#N/A</v>
      </c>
      <c r="AM67" s="273" t="e">
        <f t="shared" si="11"/>
        <v>#N/A</v>
      </c>
      <c r="AN67" s="270" t="e">
        <f>INDEX([71]Listas!$F$6:$J$10,MATCH(AJ67,[71]Listas!$D$6:$D$10,0),MATCH(AL67,[71]Listas!$F$4:$J$4,0))</f>
        <v>#N/A</v>
      </c>
      <c r="AO67" s="259"/>
      <c r="AP67" s="259"/>
      <c r="AQ67" s="610"/>
      <c r="AR67" s="259"/>
      <c r="AS67" s="259" t="s">
        <v>2343</v>
      </c>
      <c r="AT67" s="608"/>
      <c r="AU67" s="259"/>
      <c r="AV67" s="259"/>
      <c r="AW67" s="261"/>
      <c r="AX67" s="261"/>
      <c r="AY67" s="608"/>
      <c r="AZ67" s="262"/>
    </row>
    <row r="68" spans="2:52" s="260" customFormat="1" ht="103.5" hidden="1" customHeight="1">
      <c r="B68" s="608"/>
      <c r="C68" s="266"/>
      <c r="D68" s="1399"/>
      <c r="E68" s="1408"/>
      <c r="F68" s="1400"/>
      <c r="G68" s="267"/>
      <c r="H68" s="1399"/>
      <c r="I68" s="1408"/>
      <c r="J68" s="1400"/>
      <c r="K68" s="1380"/>
      <c r="L68" s="1380"/>
      <c r="M68" s="1380"/>
      <c r="N68" s="608"/>
      <c r="O68" s="608"/>
      <c r="P68" s="608"/>
      <c r="Q68" s="608"/>
      <c r="R68" s="266"/>
      <c r="S68" s="266"/>
      <c r="T68" s="268"/>
      <c r="U68" s="269" t="e">
        <f>VLOOKUP(R68,[71]Listas!$D$6:$E$10,2,0)</f>
        <v>#N/A</v>
      </c>
      <c r="V68" s="269" t="e">
        <f>HLOOKUP(S68,[71]Listas!$F$4:$J$5,2,0)</f>
        <v>#N/A</v>
      </c>
      <c r="W68" s="270" t="e">
        <f>INDEX([71]Listas!$F$6:$J$10,MATCH(R68,[71]Listas!$D$6:$D$10,0),MATCH(S68,[71]Listas!$F$4:$J$4,0))</f>
        <v>#N/A</v>
      </c>
      <c r="X68" s="268"/>
      <c r="Y68" s="1399"/>
      <c r="Z68" s="1408"/>
      <c r="AA68" s="1400"/>
      <c r="AB68" s="1063"/>
      <c r="AC68" s="267"/>
      <c r="AD68" s="259"/>
      <c r="AE68" s="608"/>
      <c r="AF68" s="267"/>
      <c r="AG68" s="268"/>
      <c r="AH68" s="269">
        <f t="shared" si="8"/>
        <v>0</v>
      </c>
      <c r="AI68" s="271" t="e">
        <f t="shared" si="9"/>
        <v>#N/A</v>
      </c>
      <c r="AJ68" s="272" t="e">
        <f>IF(AI68&lt;=1,"Remota",VLOOKUP(AI68,[71]Listas!$C$6:$D$10,2,0))</f>
        <v>#N/A</v>
      </c>
      <c r="AK68" s="271" t="e">
        <f t="shared" si="10"/>
        <v>#N/A</v>
      </c>
      <c r="AL68" s="272" t="e">
        <f>IF(AK68&lt;=1,"Insignificante",HLOOKUP(AK68,[71]Listas!$F$3:$J$4,2,0))</f>
        <v>#N/A</v>
      </c>
      <c r="AM68" s="273" t="e">
        <f t="shared" si="11"/>
        <v>#N/A</v>
      </c>
      <c r="AN68" s="270" t="e">
        <f>INDEX([71]Listas!$F$6:$J$10,MATCH(AJ68,[71]Listas!$D$6:$D$10,0),MATCH(AL68,[71]Listas!$F$4:$J$4,0))</f>
        <v>#N/A</v>
      </c>
      <c r="AO68" s="259"/>
      <c r="AP68" s="259"/>
      <c r="AQ68" s="610"/>
      <c r="AR68" s="259"/>
      <c r="AS68" s="259" t="s">
        <v>2343</v>
      </c>
      <c r="AT68" s="608"/>
      <c r="AU68" s="259"/>
      <c r="AV68" s="259"/>
      <c r="AW68" s="261"/>
      <c r="AX68" s="261"/>
      <c r="AY68" s="608"/>
      <c r="AZ68" s="262"/>
    </row>
    <row r="69" spans="2:52" s="260" customFormat="1" ht="103.5" hidden="1" customHeight="1">
      <c r="B69" s="608"/>
      <c r="C69" s="266"/>
      <c r="D69" s="1399"/>
      <c r="E69" s="1408"/>
      <c r="F69" s="1400"/>
      <c r="G69" s="267"/>
      <c r="H69" s="1399"/>
      <c r="I69" s="1408"/>
      <c r="J69" s="1400"/>
      <c r="K69" s="1380"/>
      <c r="L69" s="1380"/>
      <c r="M69" s="1380"/>
      <c r="N69" s="608"/>
      <c r="O69" s="608"/>
      <c r="P69" s="608"/>
      <c r="Q69" s="608"/>
      <c r="R69" s="266"/>
      <c r="S69" s="266"/>
      <c r="T69" s="268"/>
      <c r="U69" s="269" t="e">
        <f>VLOOKUP(R69,[71]Listas!$D$6:$E$10,2,0)</f>
        <v>#N/A</v>
      </c>
      <c r="V69" s="269" t="e">
        <f>HLOOKUP(S69,[71]Listas!$F$4:$J$5,2,0)</f>
        <v>#N/A</v>
      </c>
      <c r="W69" s="270" t="e">
        <f>INDEX([71]Listas!$F$6:$J$10,MATCH(R69,[71]Listas!$D$6:$D$10,0),MATCH(S69,[71]Listas!$F$4:$J$4,0))</f>
        <v>#N/A</v>
      </c>
      <c r="X69" s="268"/>
      <c r="Y69" s="1399"/>
      <c r="Z69" s="1408"/>
      <c r="AA69" s="1400"/>
      <c r="AB69" s="1063"/>
      <c r="AC69" s="267"/>
      <c r="AD69" s="259"/>
      <c r="AE69" s="608"/>
      <c r="AF69" s="267"/>
      <c r="AG69" s="268"/>
      <c r="AH69" s="269">
        <f t="shared" si="8"/>
        <v>0</v>
      </c>
      <c r="AI69" s="271" t="e">
        <f t="shared" si="9"/>
        <v>#N/A</v>
      </c>
      <c r="AJ69" s="272" t="e">
        <f>IF(AI69&lt;=1,"Remota",VLOOKUP(AI69,[71]Listas!$C$6:$D$10,2,0))</f>
        <v>#N/A</v>
      </c>
      <c r="AK69" s="271" t="e">
        <f t="shared" si="10"/>
        <v>#N/A</v>
      </c>
      <c r="AL69" s="272" t="e">
        <f>IF(AK69&lt;=1,"Insignificante",HLOOKUP(AK69,[71]Listas!$F$3:$J$4,2,0))</f>
        <v>#N/A</v>
      </c>
      <c r="AM69" s="273" t="e">
        <f t="shared" si="11"/>
        <v>#N/A</v>
      </c>
      <c r="AN69" s="270" t="e">
        <f>INDEX([71]Listas!$F$6:$J$10,MATCH(AJ69,[71]Listas!$D$6:$D$10,0),MATCH(AL69,[71]Listas!$F$4:$J$4,0))</f>
        <v>#N/A</v>
      </c>
      <c r="AO69" s="259"/>
      <c r="AP69" s="259"/>
      <c r="AQ69" s="610"/>
      <c r="AR69" s="259"/>
      <c r="AS69" s="259" t="s">
        <v>2343</v>
      </c>
      <c r="AT69" s="608"/>
      <c r="AU69" s="259"/>
      <c r="AV69" s="259"/>
      <c r="AW69" s="261"/>
      <c r="AX69" s="261"/>
      <c r="AY69" s="608"/>
      <c r="AZ69" s="262"/>
    </row>
    <row r="70" spans="2:52" s="260" customFormat="1" ht="103.5" hidden="1" customHeight="1">
      <c r="B70" s="608"/>
      <c r="C70" s="266"/>
      <c r="D70" s="1399"/>
      <c r="E70" s="1408"/>
      <c r="F70" s="1400"/>
      <c r="G70" s="267"/>
      <c r="H70" s="1399"/>
      <c r="I70" s="1408"/>
      <c r="J70" s="1400"/>
      <c r="K70" s="1380"/>
      <c r="L70" s="1380"/>
      <c r="M70" s="1380"/>
      <c r="N70" s="608"/>
      <c r="O70" s="608"/>
      <c r="P70" s="608"/>
      <c r="Q70" s="608"/>
      <c r="R70" s="266"/>
      <c r="S70" s="266"/>
      <c r="T70" s="268"/>
      <c r="U70" s="269" t="e">
        <f>VLOOKUP(R70,[71]Listas!$D$6:$E$10,2,0)</f>
        <v>#N/A</v>
      </c>
      <c r="V70" s="269" t="e">
        <f>HLOOKUP(S70,[71]Listas!$F$4:$J$5,2,0)</f>
        <v>#N/A</v>
      </c>
      <c r="W70" s="270" t="e">
        <f>INDEX([71]Listas!$F$6:$J$10,MATCH(R70,[71]Listas!$D$6:$D$10,0),MATCH(S70,[71]Listas!$F$4:$J$4,0))</f>
        <v>#N/A</v>
      </c>
      <c r="X70" s="268"/>
      <c r="Y70" s="1399"/>
      <c r="Z70" s="1408"/>
      <c r="AA70" s="1400"/>
      <c r="AB70" s="1063"/>
      <c r="AC70" s="267"/>
      <c r="AD70" s="259"/>
      <c r="AE70" s="608"/>
      <c r="AF70" s="267"/>
      <c r="AG70" s="268"/>
      <c r="AH70" s="269">
        <f t="shared" si="8"/>
        <v>0</v>
      </c>
      <c r="AI70" s="271" t="e">
        <f t="shared" si="9"/>
        <v>#N/A</v>
      </c>
      <c r="AJ70" s="272" t="e">
        <f>IF(AI70&lt;=1,"Remota",VLOOKUP(AI70,[71]Listas!$C$6:$D$10,2,0))</f>
        <v>#N/A</v>
      </c>
      <c r="AK70" s="271" t="e">
        <f t="shared" si="10"/>
        <v>#N/A</v>
      </c>
      <c r="AL70" s="272" t="e">
        <f>IF(AK70&lt;=1,"Insignificante",HLOOKUP(AK70,[71]Listas!$F$3:$J$4,2,0))</f>
        <v>#N/A</v>
      </c>
      <c r="AM70" s="273" t="e">
        <f t="shared" si="11"/>
        <v>#N/A</v>
      </c>
      <c r="AN70" s="270" t="e">
        <f>INDEX([71]Listas!$F$6:$J$10,MATCH(AJ70,[71]Listas!$D$6:$D$10,0),MATCH(AL70,[71]Listas!$F$4:$J$4,0))</f>
        <v>#N/A</v>
      </c>
      <c r="AO70" s="259"/>
      <c r="AP70" s="259"/>
      <c r="AQ70" s="610"/>
      <c r="AR70" s="259"/>
      <c r="AS70" s="259" t="s">
        <v>2343</v>
      </c>
      <c r="AT70" s="608"/>
      <c r="AU70" s="259"/>
      <c r="AV70" s="259"/>
      <c r="AW70" s="261"/>
      <c r="AX70" s="261"/>
      <c r="AY70" s="608"/>
      <c r="AZ70" s="262"/>
    </row>
    <row r="71" spans="2:52" s="260" customFormat="1" ht="103.5" hidden="1" customHeight="1">
      <c r="B71" s="608"/>
      <c r="C71" s="266"/>
      <c r="D71" s="1399"/>
      <c r="E71" s="1408"/>
      <c r="F71" s="1400"/>
      <c r="G71" s="267"/>
      <c r="H71" s="1399"/>
      <c r="I71" s="1408"/>
      <c r="J71" s="1400"/>
      <c r="K71" s="1380"/>
      <c r="L71" s="1380"/>
      <c r="M71" s="1380"/>
      <c r="N71" s="608"/>
      <c r="O71" s="608"/>
      <c r="P71" s="608"/>
      <c r="Q71" s="608"/>
      <c r="R71" s="266"/>
      <c r="S71" s="266"/>
      <c r="T71" s="268"/>
      <c r="U71" s="269" t="e">
        <f>VLOOKUP(R71,[71]Listas!$D$6:$E$10,2,0)</f>
        <v>#N/A</v>
      </c>
      <c r="V71" s="269" t="e">
        <f>HLOOKUP(S71,[71]Listas!$F$4:$J$5,2,0)</f>
        <v>#N/A</v>
      </c>
      <c r="W71" s="270" t="e">
        <f>INDEX([71]Listas!$F$6:$J$10,MATCH(R71,[71]Listas!$D$6:$D$10,0),MATCH(S71,[71]Listas!$F$4:$J$4,0))</f>
        <v>#N/A</v>
      </c>
      <c r="X71" s="268"/>
      <c r="Y71" s="1399"/>
      <c r="Z71" s="1408"/>
      <c r="AA71" s="1400"/>
      <c r="AB71" s="1063"/>
      <c r="AC71" s="267"/>
      <c r="AD71" s="259"/>
      <c r="AE71" s="608"/>
      <c r="AF71" s="267"/>
      <c r="AG71" s="268"/>
      <c r="AH71" s="269">
        <f t="shared" si="8"/>
        <v>0</v>
      </c>
      <c r="AI71" s="271" t="e">
        <f t="shared" si="9"/>
        <v>#N/A</v>
      </c>
      <c r="AJ71" s="272" t="e">
        <f>IF(AI71&lt;=1,"Remota",VLOOKUP(AI71,[71]Listas!$C$6:$D$10,2,0))</f>
        <v>#N/A</v>
      </c>
      <c r="AK71" s="271" t="e">
        <f t="shared" si="10"/>
        <v>#N/A</v>
      </c>
      <c r="AL71" s="272" t="e">
        <f>IF(AK71&lt;=1,"Insignificante",HLOOKUP(AK71,[71]Listas!$F$3:$J$4,2,0))</f>
        <v>#N/A</v>
      </c>
      <c r="AM71" s="273" t="e">
        <f t="shared" si="11"/>
        <v>#N/A</v>
      </c>
      <c r="AN71" s="270" t="e">
        <f>INDEX([71]Listas!$F$6:$J$10,MATCH(AJ71,[71]Listas!$D$6:$D$10,0),MATCH(AL71,[71]Listas!$F$4:$J$4,0))</f>
        <v>#N/A</v>
      </c>
      <c r="AO71" s="259"/>
      <c r="AP71" s="259"/>
      <c r="AQ71" s="610"/>
      <c r="AR71" s="259"/>
      <c r="AS71" s="259" t="s">
        <v>2343</v>
      </c>
      <c r="AT71" s="608"/>
      <c r="AU71" s="259"/>
      <c r="AV71" s="259"/>
      <c r="AW71" s="261"/>
      <c r="AX71" s="261"/>
      <c r="AY71" s="608"/>
      <c r="AZ71" s="262"/>
    </row>
    <row r="72" spans="2:52" s="260" customFormat="1" ht="103.5" hidden="1" customHeight="1">
      <c r="B72" s="608"/>
      <c r="C72" s="266"/>
      <c r="D72" s="1399"/>
      <c r="E72" s="1408"/>
      <c r="F72" s="1400"/>
      <c r="G72" s="267"/>
      <c r="H72" s="1399"/>
      <c r="I72" s="1408"/>
      <c r="J72" s="1400"/>
      <c r="K72" s="1380"/>
      <c r="L72" s="1380"/>
      <c r="M72" s="1380"/>
      <c r="N72" s="608"/>
      <c r="O72" s="608"/>
      <c r="P72" s="608"/>
      <c r="Q72" s="608"/>
      <c r="R72" s="266"/>
      <c r="S72" s="266"/>
      <c r="T72" s="268"/>
      <c r="U72" s="269" t="e">
        <f>VLOOKUP(R72,[71]Listas!$D$6:$E$10,2,0)</f>
        <v>#N/A</v>
      </c>
      <c r="V72" s="269" t="e">
        <f>HLOOKUP(S72,[71]Listas!$F$4:$J$5,2,0)</f>
        <v>#N/A</v>
      </c>
      <c r="W72" s="270" t="e">
        <f>INDEX([71]Listas!$F$6:$J$10,MATCH(R72,[71]Listas!$D$6:$D$10,0),MATCH(S72,[71]Listas!$F$4:$J$4,0))</f>
        <v>#N/A</v>
      </c>
      <c r="X72" s="268"/>
      <c r="Y72" s="1399"/>
      <c r="Z72" s="1408"/>
      <c r="AA72" s="1400"/>
      <c r="AB72" s="1063"/>
      <c r="AC72" s="267"/>
      <c r="AD72" s="259"/>
      <c r="AE72" s="608"/>
      <c r="AF72" s="267"/>
      <c r="AG72" s="268"/>
      <c r="AH72" s="269">
        <f t="shared" si="8"/>
        <v>0</v>
      </c>
      <c r="AI72" s="271" t="e">
        <f t="shared" si="9"/>
        <v>#N/A</v>
      </c>
      <c r="AJ72" s="272" t="e">
        <f>IF(AI72&lt;=1,"Remota",VLOOKUP(AI72,[71]Listas!$C$6:$D$10,2,0))</f>
        <v>#N/A</v>
      </c>
      <c r="AK72" s="271" t="e">
        <f t="shared" si="10"/>
        <v>#N/A</v>
      </c>
      <c r="AL72" s="272" t="e">
        <f>IF(AK72&lt;=1,"Insignificante",HLOOKUP(AK72,[71]Listas!$F$3:$J$4,2,0))</f>
        <v>#N/A</v>
      </c>
      <c r="AM72" s="273" t="e">
        <f t="shared" si="11"/>
        <v>#N/A</v>
      </c>
      <c r="AN72" s="270" t="e">
        <f>INDEX([71]Listas!$F$6:$J$10,MATCH(AJ72,[71]Listas!$D$6:$D$10,0),MATCH(AL72,[71]Listas!$F$4:$J$4,0))</f>
        <v>#N/A</v>
      </c>
      <c r="AO72" s="259"/>
      <c r="AP72" s="259"/>
      <c r="AQ72" s="610"/>
      <c r="AR72" s="259"/>
      <c r="AS72" s="259" t="s">
        <v>2343</v>
      </c>
      <c r="AT72" s="608"/>
      <c r="AU72" s="259"/>
      <c r="AV72" s="259"/>
      <c r="AW72" s="261"/>
      <c r="AX72" s="261"/>
      <c r="AY72" s="608"/>
      <c r="AZ72" s="262"/>
    </row>
    <row r="73" spans="2:52" s="260" customFormat="1" ht="103.5" hidden="1" customHeight="1">
      <c r="B73" s="608"/>
      <c r="C73" s="266"/>
      <c r="D73" s="1399"/>
      <c r="E73" s="1408"/>
      <c r="F73" s="1400"/>
      <c r="G73" s="266"/>
      <c r="H73" s="1399"/>
      <c r="I73" s="1408"/>
      <c r="J73" s="1400"/>
      <c r="K73" s="1380"/>
      <c r="L73" s="1380"/>
      <c r="M73" s="1380"/>
      <c r="N73" s="608"/>
      <c r="O73" s="608"/>
      <c r="P73" s="608"/>
      <c r="Q73" s="608"/>
      <c r="R73" s="266"/>
      <c r="S73" s="266"/>
      <c r="T73" s="268"/>
      <c r="U73" s="269" t="e">
        <f>VLOOKUP(R73,[71]Listas!$D$6:$E$10,2,0)</f>
        <v>#N/A</v>
      </c>
      <c r="V73" s="269" t="e">
        <f>HLOOKUP(S73,[71]Listas!$F$4:$J$5,2,0)</f>
        <v>#N/A</v>
      </c>
      <c r="W73" s="270" t="e">
        <f>INDEX([71]Listas!$F$6:$J$10,MATCH(R73,[71]Listas!$D$6:$D$10,0),MATCH(S73,[71]Listas!$F$4:$J$4,0))</f>
        <v>#N/A</v>
      </c>
      <c r="X73" s="268"/>
      <c r="Y73" s="1399"/>
      <c r="Z73" s="1408"/>
      <c r="AA73" s="1400"/>
      <c r="AB73" s="1063"/>
      <c r="AC73" s="267"/>
      <c r="AD73" s="259"/>
      <c r="AE73" s="608"/>
      <c r="AF73" s="267"/>
      <c r="AG73" s="268"/>
      <c r="AH73" s="269">
        <f>IF(AE73&lt;=33,0,IF(AE73&gt;81,2,1))</f>
        <v>0</v>
      </c>
      <c r="AI73" s="271" t="e">
        <f>IF(OR(AF73="Probabilidad",AF73="Ambos"),U73-AH73,U73)</f>
        <v>#N/A</v>
      </c>
      <c r="AJ73" s="272" t="e">
        <f>IF(AI73&lt;=1,"Remota",VLOOKUP(AI73,[71]Listas!$C$6:$D$10,2,0))</f>
        <v>#N/A</v>
      </c>
      <c r="AK73" s="271" t="e">
        <f>IF(OR(AF73="Impacto",AF73="Ambos"),V73-AH73,V73)</f>
        <v>#N/A</v>
      </c>
      <c r="AL73" s="272" t="e">
        <f>IF(AK73&lt;=1,"Insignificante",HLOOKUP(AK73,[71]Listas!$F$3:$J$4,2,0))</f>
        <v>#N/A</v>
      </c>
      <c r="AM73" s="273" t="e">
        <f>AI73*AK73</f>
        <v>#N/A</v>
      </c>
      <c r="AN73" s="270" t="e">
        <f>INDEX([71]Listas!$F$6:$J$10,MATCH(AJ73,[71]Listas!$D$6:$D$10,0),MATCH(AL73,[71]Listas!$F$4:$J$4,0))</f>
        <v>#N/A</v>
      </c>
      <c r="AO73" s="259"/>
      <c r="AP73" s="259"/>
      <c r="AQ73" s="610"/>
      <c r="AR73" s="259"/>
      <c r="AS73" s="259" t="s">
        <v>2343</v>
      </c>
      <c r="AT73" s="608"/>
      <c r="AV73" s="259"/>
      <c r="AW73" s="261"/>
      <c r="AX73" s="261"/>
      <c r="AY73" s="608"/>
      <c r="AZ73" s="262"/>
    </row>
    <row r="74" spans="2:52" s="260" customFormat="1" ht="103.5" hidden="1" customHeight="1">
      <c r="B74" s="608"/>
      <c r="C74" s="266"/>
      <c r="D74" s="1399"/>
      <c r="E74" s="1408"/>
      <c r="F74" s="1400"/>
      <c r="G74" s="267"/>
      <c r="H74" s="1399"/>
      <c r="I74" s="1408"/>
      <c r="J74" s="1400"/>
      <c r="K74" s="1380"/>
      <c r="L74" s="1380"/>
      <c r="M74" s="1380"/>
      <c r="N74" s="608"/>
      <c r="O74" s="608"/>
      <c r="P74" s="608"/>
      <c r="Q74" s="608"/>
      <c r="R74" s="266"/>
      <c r="S74" s="266"/>
      <c r="T74" s="268"/>
      <c r="U74" s="269" t="e">
        <f>VLOOKUP(R74,[71]Listas!$D$6:$E$10,2,0)</f>
        <v>#N/A</v>
      </c>
      <c r="V74" s="269" t="e">
        <f>HLOOKUP(S74,[71]Listas!$F$4:$J$5,2,0)</f>
        <v>#N/A</v>
      </c>
      <c r="W74" s="270" t="e">
        <f>INDEX([71]Listas!$F$6:$J$10,MATCH(R74,[71]Listas!$D$6:$D$10,0),MATCH(S74,[71]Listas!$F$4:$J$4,0))</f>
        <v>#N/A</v>
      </c>
      <c r="X74" s="268"/>
      <c r="Y74" s="1399"/>
      <c r="Z74" s="1408"/>
      <c r="AA74" s="1400"/>
      <c r="AB74" s="1063"/>
      <c r="AC74" s="267"/>
      <c r="AD74" s="259"/>
      <c r="AE74" s="608"/>
      <c r="AF74" s="267"/>
      <c r="AG74" s="268"/>
      <c r="AH74" s="269">
        <f t="shared" ref="AH74:AH137" si="12">IF(AE74&lt;=33,0,IF(AE74&gt;81,2,1))</f>
        <v>0</v>
      </c>
      <c r="AI74" s="271" t="e">
        <f t="shared" ref="AI74:AI137" si="13">IF(OR(AF74="Probabilidad",AF74="Ambos"),U74-AH74,U74)</f>
        <v>#N/A</v>
      </c>
      <c r="AJ74" s="272" t="e">
        <f>IF(AI74&lt;=1,"Remota",VLOOKUP(AI74,[71]Listas!$C$6:$D$10,2,0))</f>
        <v>#N/A</v>
      </c>
      <c r="AK74" s="271" t="e">
        <f t="shared" ref="AK74:AK137" si="14">IF(OR(AF74="Impacto",AF74="Ambos"),V74-AH74,V74)</f>
        <v>#N/A</v>
      </c>
      <c r="AL74" s="272" t="e">
        <f>IF(AK74&lt;=1,"Insignificante",HLOOKUP(AK74,[71]Listas!$F$3:$J$4,2,0))</f>
        <v>#N/A</v>
      </c>
      <c r="AM74" s="273" t="e">
        <f t="shared" ref="AM74:AM137" si="15">AI74*AK74</f>
        <v>#N/A</v>
      </c>
      <c r="AN74" s="270" t="e">
        <f>INDEX([71]Listas!$F$6:$J$10,MATCH(AJ74,[71]Listas!$D$6:$D$10,0),MATCH(AL74,[71]Listas!$F$4:$J$4,0))</f>
        <v>#N/A</v>
      </c>
      <c r="AO74" s="259"/>
      <c r="AP74" s="259"/>
      <c r="AQ74" s="610"/>
      <c r="AR74" s="259"/>
      <c r="AS74" s="259" t="s">
        <v>2343</v>
      </c>
      <c r="AT74" s="608"/>
      <c r="AU74" s="259"/>
      <c r="AV74" s="259"/>
      <c r="AW74" s="261"/>
      <c r="AX74" s="261"/>
      <c r="AY74" s="608"/>
      <c r="AZ74" s="262"/>
    </row>
    <row r="75" spans="2:52" s="260" customFormat="1" ht="103.5" hidden="1" customHeight="1">
      <c r="B75" s="608"/>
      <c r="C75" s="266"/>
      <c r="D75" s="1399"/>
      <c r="E75" s="1408"/>
      <c r="F75" s="1400"/>
      <c r="G75" s="267"/>
      <c r="H75" s="1399"/>
      <c r="I75" s="1408"/>
      <c r="J75" s="1400"/>
      <c r="K75" s="1380"/>
      <c r="L75" s="1380"/>
      <c r="M75" s="1380"/>
      <c r="N75" s="608"/>
      <c r="O75" s="608"/>
      <c r="P75" s="608"/>
      <c r="Q75" s="608"/>
      <c r="R75" s="266"/>
      <c r="S75" s="266"/>
      <c r="T75" s="268"/>
      <c r="U75" s="269" t="e">
        <f>VLOOKUP(R75,[71]Listas!$D$6:$E$10,2,0)</f>
        <v>#N/A</v>
      </c>
      <c r="V75" s="269" t="e">
        <f>HLOOKUP(S75,[71]Listas!$F$4:$J$5,2,0)</f>
        <v>#N/A</v>
      </c>
      <c r="W75" s="270" t="e">
        <f>INDEX([71]Listas!$F$6:$J$10,MATCH(R75,[71]Listas!$D$6:$D$10,0),MATCH(S75,[71]Listas!$F$4:$J$4,0))</f>
        <v>#N/A</v>
      </c>
      <c r="X75" s="268"/>
      <c r="Y75" s="1399"/>
      <c r="Z75" s="1408"/>
      <c r="AA75" s="1400"/>
      <c r="AB75" s="1063"/>
      <c r="AC75" s="267"/>
      <c r="AD75" s="259"/>
      <c r="AE75" s="608"/>
      <c r="AF75" s="267"/>
      <c r="AG75" s="268"/>
      <c r="AH75" s="269">
        <f t="shared" si="12"/>
        <v>0</v>
      </c>
      <c r="AI75" s="271" t="e">
        <f t="shared" si="13"/>
        <v>#N/A</v>
      </c>
      <c r="AJ75" s="272" t="e">
        <f>IF(AI75&lt;=1,"Remota",VLOOKUP(AI75,[71]Listas!$C$6:$D$10,2,0))</f>
        <v>#N/A</v>
      </c>
      <c r="AK75" s="271" t="e">
        <f t="shared" si="14"/>
        <v>#N/A</v>
      </c>
      <c r="AL75" s="272" t="e">
        <f>IF(AK75&lt;=1,"Insignificante",HLOOKUP(AK75,[71]Listas!$F$3:$J$4,2,0))</f>
        <v>#N/A</v>
      </c>
      <c r="AM75" s="273" t="e">
        <f t="shared" si="15"/>
        <v>#N/A</v>
      </c>
      <c r="AN75" s="270" t="e">
        <f>INDEX([71]Listas!$F$6:$J$10,MATCH(AJ75,[71]Listas!$D$6:$D$10,0),MATCH(AL75,[71]Listas!$F$4:$J$4,0))</f>
        <v>#N/A</v>
      </c>
      <c r="AO75" s="259"/>
      <c r="AP75" s="259"/>
      <c r="AQ75" s="610"/>
      <c r="AR75" s="259"/>
      <c r="AS75" s="259" t="s">
        <v>2343</v>
      </c>
      <c r="AT75" s="608"/>
      <c r="AU75" s="259"/>
      <c r="AV75" s="259"/>
      <c r="AW75" s="261"/>
      <c r="AX75" s="261"/>
      <c r="AY75" s="608"/>
      <c r="AZ75" s="262"/>
    </row>
    <row r="76" spans="2:52" s="260" customFormat="1" ht="103.5" hidden="1" customHeight="1">
      <c r="B76" s="608"/>
      <c r="C76" s="266"/>
      <c r="D76" s="1399"/>
      <c r="E76" s="1408"/>
      <c r="F76" s="1400"/>
      <c r="G76" s="267"/>
      <c r="H76" s="1399"/>
      <c r="I76" s="1408"/>
      <c r="J76" s="1400"/>
      <c r="K76" s="1380"/>
      <c r="L76" s="1380"/>
      <c r="M76" s="1380"/>
      <c r="N76" s="608"/>
      <c r="O76" s="608"/>
      <c r="P76" s="608"/>
      <c r="Q76" s="608"/>
      <c r="R76" s="266"/>
      <c r="S76" s="266"/>
      <c r="T76" s="268"/>
      <c r="U76" s="269" t="e">
        <f>VLOOKUP(R76,[71]Listas!$D$6:$E$10,2,0)</f>
        <v>#N/A</v>
      </c>
      <c r="V76" s="269" t="e">
        <f>HLOOKUP(S76,[71]Listas!$F$4:$J$5,2,0)</f>
        <v>#N/A</v>
      </c>
      <c r="W76" s="270" t="e">
        <f>INDEX([71]Listas!$F$6:$J$10,MATCH(R76,[71]Listas!$D$6:$D$10,0),MATCH(S76,[71]Listas!$F$4:$J$4,0))</f>
        <v>#N/A</v>
      </c>
      <c r="X76" s="268"/>
      <c r="Y76" s="1399"/>
      <c r="Z76" s="1408"/>
      <c r="AA76" s="1400"/>
      <c r="AB76" s="1063"/>
      <c r="AC76" s="267"/>
      <c r="AD76" s="259"/>
      <c r="AE76" s="608"/>
      <c r="AF76" s="267"/>
      <c r="AG76" s="268"/>
      <c r="AH76" s="269">
        <f t="shared" si="12"/>
        <v>0</v>
      </c>
      <c r="AI76" s="271" t="e">
        <f t="shared" si="13"/>
        <v>#N/A</v>
      </c>
      <c r="AJ76" s="272" t="e">
        <f>IF(AI76&lt;=1,"Remota",VLOOKUP(AI76,[71]Listas!$C$6:$D$10,2,0))</f>
        <v>#N/A</v>
      </c>
      <c r="AK76" s="271" t="e">
        <f t="shared" si="14"/>
        <v>#N/A</v>
      </c>
      <c r="AL76" s="272" t="e">
        <f>IF(AK76&lt;=1,"Insignificante",HLOOKUP(AK76,[71]Listas!$F$3:$J$4,2,0))</f>
        <v>#N/A</v>
      </c>
      <c r="AM76" s="273" t="e">
        <f t="shared" si="15"/>
        <v>#N/A</v>
      </c>
      <c r="AN76" s="270" t="e">
        <f>INDEX([71]Listas!$F$6:$J$10,MATCH(AJ76,[71]Listas!$D$6:$D$10,0),MATCH(AL76,[71]Listas!$F$4:$J$4,0))</f>
        <v>#N/A</v>
      </c>
      <c r="AO76" s="259"/>
      <c r="AP76" s="259"/>
      <c r="AQ76" s="610"/>
      <c r="AR76" s="259"/>
      <c r="AS76" s="259" t="s">
        <v>2343</v>
      </c>
      <c r="AT76" s="608"/>
      <c r="AU76" s="259"/>
      <c r="AV76" s="259"/>
      <c r="AW76" s="261"/>
      <c r="AX76" s="261"/>
      <c r="AY76" s="608"/>
      <c r="AZ76" s="262"/>
    </row>
    <row r="77" spans="2:52" s="260" customFormat="1" ht="103.5" hidden="1" customHeight="1">
      <c r="B77" s="608"/>
      <c r="C77" s="266"/>
      <c r="D77" s="1399"/>
      <c r="E77" s="1408"/>
      <c r="F77" s="1400"/>
      <c r="G77" s="267"/>
      <c r="H77" s="1399"/>
      <c r="I77" s="1408"/>
      <c r="J77" s="1400"/>
      <c r="K77" s="1380"/>
      <c r="L77" s="1380"/>
      <c r="M77" s="1380"/>
      <c r="N77" s="608"/>
      <c r="O77" s="608"/>
      <c r="P77" s="608"/>
      <c r="Q77" s="608"/>
      <c r="R77" s="266"/>
      <c r="S77" s="266"/>
      <c r="T77" s="268"/>
      <c r="U77" s="269" t="e">
        <f>VLOOKUP(R77,[71]Listas!$D$6:$E$10,2,0)</f>
        <v>#N/A</v>
      </c>
      <c r="V77" s="269" t="e">
        <f>HLOOKUP(S77,[71]Listas!$F$4:$J$5,2,0)</f>
        <v>#N/A</v>
      </c>
      <c r="W77" s="270" t="e">
        <f>INDEX([71]Listas!$F$6:$J$10,MATCH(R77,[71]Listas!$D$6:$D$10,0),MATCH(S77,[71]Listas!$F$4:$J$4,0))</f>
        <v>#N/A</v>
      </c>
      <c r="X77" s="268"/>
      <c r="Y77" s="1399"/>
      <c r="Z77" s="1408"/>
      <c r="AA77" s="1400"/>
      <c r="AB77" s="1063"/>
      <c r="AC77" s="267"/>
      <c r="AD77" s="259"/>
      <c r="AE77" s="608"/>
      <c r="AF77" s="267"/>
      <c r="AG77" s="268"/>
      <c r="AH77" s="269">
        <f t="shared" si="12"/>
        <v>0</v>
      </c>
      <c r="AI77" s="271" t="e">
        <f t="shared" si="13"/>
        <v>#N/A</v>
      </c>
      <c r="AJ77" s="272" t="e">
        <f>IF(AI77&lt;=1,"Remota",VLOOKUP(AI77,[71]Listas!$C$6:$D$10,2,0))</f>
        <v>#N/A</v>
      </c>
      <c r="AK77" s="271" t="e">
        <f t="shared" si="14"/>
        <v>#N/A</v>
      </c>
      <c r="AL77" s="272" t="e">
        <f>IF(AK77&lt;=1,"Insignificante",HLOOKUP(AK77,[71]Listas!$F$3:$J$4,2,0))</f>
        <v>#N/A</v>
      </c>
      <c r="AM77" s="273" t="e">
        <f t="shared" si="15"/>
        <v>#N/A</v>
      </c>
      <c r="AN77" s="270" t="e">
        <f>INDEX([71]Listas!$F$6:$J$10,MATCH(AJ77,[71]Listas!$D$6:$D$10,0),MATCH(AL77,[71]Listas!$F$4:$J$4,0))</f>
        <v>#N/A</v>
      </c>
      <c r="AO77" s="259"/>
      <c r="AP77" s="259"/>
      <c r="AQ77" s="610"/>
      <c r="AR77" s="259"/>
      <c r="AS77" s="259" t="s">
        <v>2343</v>
      </c>
      <c r="AT77" s="608"/>
      <c r="AU77" s="259"/>
      <c r="AV77" s="259"/>
      <c r="AW77" s="261"/>
      <c r="AX77" s="261"/>
      <c r="AY77" s="608"/>
      <c r="AZ77" s="262"/>
    </row>
    <row r="78" spans="2:52" s="260" customFormat="1" ht="103.5" hidden="1" customHeight="1">
      <c r="B78" s="608"/>
      <c r="C78" s="266"/>
      <c r="D78" s="1399"/>
      <c r="E78" s="1408"/>
      <c r="F78" s="1400"/>
      <c r="G78" s="267"/>
      <c r="H78" s="1399"/>
      <c r="I78" s="1408"/>
      <c r="J78" s="1400"/>
      <c r="K78" s="1380"/>
      <c r="L78" s="1380"/>
      <c r="M78" s="1380"/>
      <c r="N78" s="608"/>
      <c r="O78" s="608"/>
      <c r="P78" s="608"/>
      <c r="Q78" s="608"/>
      <c r="R78" s="266"/>
      <c r="S78" s="266"/>
      <c r="T78" s="268"/>
      <c r="U78" s="269" t="e">
        <f>VLOOKUP(R78,[71]Listas!$D$6:$E$10,2,0)</f>
        <v>#N/A</v>
      </c>
      <c r="V78" s="269" t="e">
        <f>HLOOKUP(S78,[71]Listas!$F$4:$J$5,2,0)</f>
        <v>#N/A</v>
      </c>
      <c r="W78" s="270" t="e">
        <f>INDEX([71]Listas!$F$6:$J$10,MATCH(R78,[71]Listas!$D$6:$D$10,0),MATCH(S78,[71]Listas!$F$4:$J$4,0))</f>
        <v>#N/A</v>
      </c>
      <c r="X78" s="268"/>
      <c r="Y78" s="1399"/>
      <c r="Z78" s="1408"/>
      <c r="AA78" s="1400"/>
      <c r="AB78" s="1063"/>
      <c r="AC78" s="267"/>
      <c r="AD78" s="259"/>
      <c r="AE78" s="608"/>
      <c r="AF78" s="267"/>
      <c r="AG78" s="268"/>
      <c r="AH78" s="269">
        <f t="shared" si="12"/>
        <v>0</v>
      </c>
      <c r="AI78" s="271" t="e">
        <f t="shared" si="13"/>
        <v>#N/A</v>
      </c>
      <c r="AJ78" s="272" t="e">
        <f>IF(AI78&lt;=1,"Remota",VLOOKUP(AI78,[71]Listas!$C$6:$D$10,2,0))</f>
        <v>#N/A</v>
      </c>
      <c r="AK78" s="271" t="e">
        <f t="shared" si="14"/>
        <v>#N/A</v>
      </c>
      <c r="AL78" s="272" t="e">
        <f>IF(AK78&lt;=1,"Insignificante",HLOOKUP(AK78,[71]Listas!$F$3:$J$4,2,0))</f>
        <v>#N/A</v>
      </c>
      <c r="AM78" s="273" t="e">
        <f t="shared" si="15"/>
        <v>#N/A</v>
      </c>
      <c r="AN78" s="270" t="e">
        <f>INDEX([71]Listas!$F$6:$J$10,MATCH(AJ78,[71]Listas!$D$6:$D$10,0),MATCH(AL78,[71]Listas!$F$4:$J$4,0))</f>
        <v>#N/A</v>
      </c>
      <c r="AO78" s="259"/>
      <c r="AP78" s="259"/>
      <c r="AQ78" s="610"/>
      <c r="AR78" s="259"/>
      <c r="AS78" s="259" t="s">
        <v>2343</v>
      </c>
      <c r="AT78" s="608"/>
      <c r="AU78" s="259"/>
      <c r="AV78" s="259"/>
      <c r="AW78" s="261"/>
      <c r="AX78" s="261"/>
      <c r="AY78" s="608"/>
      <c r="AZ78" s="262"/>
    </row>
    <row r="79" spans="2:52" s="260" customFormat="1" ht="103.5" hidden="1" customHeight="1">
      <c r="B79" s="608"/>
      <c r="C79" s="266"/>
      <c r="D79" s="1399"/>
      <c r="E79" s="1408"/>
      <c r="F79" s="1400"/>
      <c r="G79" s="267"/>
      <c r="H79" s="1399"/>
      <c r="I79" s="1408"/>
      <c r="J79" s="1400"/>
      <c r="K79" s="1380"/>
      <c r="L79" s="1380"/>
      <c r="M79" s="1380"/>
      <c r="N79" s="608"/>
      <c r="O79" s="608"/>
      <c r="P79" s="608"/>
      <c r="Q79" s="608"/>
      <c r="R79" s="266"/>
      <c r="S79" s="266"/>
      <c r="T79" s="268"/>
      <c r="U79" s="269" t="e">
        <f>VLOOKUP(R79,[71]Listas!$D$6:$E$10,2,0)</f>
        <v>#N/A</v>
      </c>
      <c r="V79" s="269" t="e">
        <f>HLOOKUP(S79,[71]Listas!$F$4:$J$5,2,0)</f>
        <v>#N/A</v>
      </c>
      <c r="W79" s="270" t="e">
        <f>INDEX([71]Listas!$F$6:$J$10,MATCH(R79,[71]Listas!$D$6:$D$10,0),MATCH(S79,[71]Listas!$F$4:$J$4,0))</f>
        <v>#N/A</v>
      </c>
      <c r="X79" s="268"/>
      <c r="Y79" s="1399"/>
      <c r="Z79" s="1408"/>
      <c r="AA79" s="1400"/>
      <c r="AB79" s="1063"/>
      <c r="AC79" s="267"/>
      <c r="AD79" s="259"/>
      <c r="AE79" s="608"/>
      <c r="AF79" s="267"/>
      <c r="AG79" s="268"/>
      <c r="AH79" s="269">
        <f t="shared" si="12"/>
        <v>0</v>
      </c>
      <c r="AI79" s="271" t="e">
        <f t="shared" si="13"/>
        <v>#N/A</v>
      </c>
      <c r="AJ79" s="272" t="e">
        <f>IF(AI79&lt;=1,"Remota",VLOOKUP(AI79,[71]Listas!$C$6:$D$10,2,0))</f>
        <v>#N/A</v>
      </c>
      <c r="AK79" s="271" t="e">
        <f t="shared" si="14"/>
        <v>#N/A</v>
      </c>
      <c r="AL79" s="272" t="e">
        <f>IF(AK79&lt;=1,"Insignificante",HLOOKUP(AK79,[71]Listas!$F$3:$J$4,2,0))</f>
        <v>#N/A</v>
      </c>
      <c r="AM79" s="273" t="e">
        <f t="shared" si="15"/>
        <v>#N/A</v>
      </c>
      <c r="AN79" s="270" t="e">
        <f>INDEX([71]Listas!$F$6:$J$10,MATCH(AJ79,[71]Listas!$D$6:$D$10,0),MATCH(AL79,[71]Listas!$F$4:$J$4,0))</f>
        <v>#N/A</v>
      </c>
      <c r="AO79" s="259"/>
      <c r="AP79" s="259"/>
      <c r="AQ79" s="610"/>
      <c r="AR79" s="259"/>
      <c r="AS79" s="259" t="s">
        <v>2343</v>
      </c>
      <c r="AT79" s="608"/>
      <c r="AU79" s="259"/>
      <c r="AV79" s="259"/>
      <c r="AW79" s="261"/>
      <c r="AX79" s="261"/>
      <c r="AY79" s="608"/>
      <c r="AZ79" s="262"/>
    </row>
    <row r="80" spans="2:52" s="260" customFormat="1" ht="103.5" hidden="1" customHeight="1">
      <c r="B80" s="608"/>
      <c r="C80" s="266"/>
      <c r="D80" s="1399"/>
      <c r="E80" s="1408"/>
      <c r="F80" s="1400"/>
      <c r="G80" s="267"/>
      <c r="H80" s="1399"/>
      <c r="I80" s="1408"/>
      <c r="J80" s="1400"/>
      <c r="K80" s="1380"/>
      <c r="L80" s="1380"/>
      <c r="M80" s="1380"/>
      <c r="N80" s="608"/>
      <c r="O80" s="608"/>
      <c r="P80" s="608"/>
      <c r="Q80" s="608"/>
      <c r="R80" s="266"/>
      <c r="S80" s="266"/>
      <c r="T80" s="268"/>
      <c r="U80" s="269" t="e">
        <f>VLOOKUP(R80,[71]Listas!$D$6:$E$10,2,0)</f>
        <v>#N/A</v>
      </c>
      <c r="V80" s="269" t="e">
        <f>HLOOKUP(S80,[71]Listas!$F$4:$J$5,2,0)</f>
        <v>#N/A</v>
      </c>
      <c r="W80" s="270" t="e">
        <f>INDEX([71]Listas!$F$6:$J$10,MATCH(R80,[71]Listas!$D$6:$D$10,0),MATCH(S80,[71]Listas!$F$4:$J$4,0))</f>
        <v>#N/A</v>
      </c>
      <c r="X80" s="268"/>
      <c r="Y80" s="1399"/>
      <c r="Z80" s="1408"/>
      <c r="AA80" s="1400"/>
      <c r="AB80" s="1063"/>
      <c r="AC80" s="267"/>
      <c r="AD80" s="259"/>
      <c r="AE80" s="608"/>
      <c r="AF80" s="267"/>
      <c r="AG80" s="268"/>
      <c r="AH80" s="269">
        <f t="shared" si="12"/>
        <v>0</v>
      </c>
      <c r="AI80" s="271" t="e">
        <f t="shared" si="13"/>
        <v>#N/A</v>
      </c>
      <c r="AJ80" s="272" t="e">
        <f>IF(AI80&lt;=1,"Remota",VLOOKUP(AI80,[71]Listas!$C$6:$D$10,2,0))</f>
        <v>#N/A</v>
      </c>
      <c r="AK80" s="271" t="e">
        <f t="shared" si="14"/>
        <v>#N/A</v>
      </c>
      <c r="AL80" s="272" t="e">
        <f>IF(AK80&lt;=1,"Insignificante",HLOOKUP(AK80,[71]Listas!$F$3:$J$4,2,0))</f>
        <v>#N/A</v>
      </c>
      <c r="AM80" s="273" t="e">
        <f t="shared" si="15"/>
        <v>#N/A</v>
      </c>
      <c r="AN80" s="270" t="e">
        <f>INDEX([71]Listas!$F$6:$J$10,MATCH(AJ80,[71]Listas!$D$6:$D$10,0),MATCH(AL80,[71]Listas!$F$4:$J$4,0))</f>
        <v>#N/A</v>
      </c>
      <c r="AO80" s="259"/>
      <c r="AP80" s="259"/>
      <c r="AQ80" s="610"/>
      <c r="AR80" s="259"/>
      <c r="AS80" s="259" t="s">
        <v>2343</v>
      </c>
      <c r="AT80" s="608"/>
      <c r="AU80" s="259"/>
      <c r="AV80" s="259"/>
      <c r="AW80" s="261"/>
      <c r="AX80" s="261"/>
      <c r="AY80" s="608"/>
      <c r="AZ80" s="262"/>
    </row>
    <row r="81" spans="2:52" s="260" customFormat="1" ht="103.5" hidden="1" customHeight="1">
      <c r="B81" s="608"/>
      <c r="C81" s="266"/>
      <c r="D81" s="1399"/>
      <c r="E81" s="1408"/>
      <c r="F81" s="1400"/>
      <c r="G81" s="267"/>
      <c r="H81" s="1399"/>
      <c r="I81" s="1408"/>
      <c r="J81" s="1400"/>
      <c r="K81" s="1380"/>
      <c r="L81" s="1380"/>
      <c r="M81" s="1380"/>
      <c r="N81" s="608"/>
      <c r="O81" s="608"/>
      <c r="P81" s="608"/>
      <c r="Q81" s="608"/>
      <c r="R81" s="266"/>
      <c r="S81" s="266"/>
      <c r="T81" s="268"/>
      <c r="U81" s="269" t="e">
        <f>VLOOKUP(R81,[71]Listas!$D$6:$E$10,2,0)</f>
        <v>#N/A</v>
      </c>
      <c r="V81" s="269" t="e">
        <f>HLOOKUP(S81,[71]Listas!$F$4:$J$5,2,0)</f>
        <v>#N/A</v>
      </c>
      <c r="W81" s="270" t="e">
        <f>INDEX([71]Listas!$F$6:$J$10,MATCH(R81,[71]Listas!$D$6:$D$10,0),MATCH(S81,[71]Listas!$F$4:$J$4,0))</f>
        <v>#N/A</v>
      </c>
      <c r="X81" s="268"/>
      <c r="Y81" s="1399"/>
      <c r="Z81" s="1408"/>
      <c r="AA81" s="1400"/>
      <c r="AB81" s="1063"/>
      <c r="AC81" s="267"/>
      <c r="AD81" s="259"/>
      <c r="AE81" s="608"/>
      <c r="AF81" s="267"/>
      <c r="AG81" s="268"/>
      <c r="AH81" s="269">
        <f t="shared" si="12"/>
        <v>0</v>
      </c>
      <c r="AI81" s="271" t="e">
        <f t="shared" si="13"/>
        <v>#N/A</v>
      </c>
      <c r="AJ81" s="272" t="e">
        <f>IF(AI81&lt;=1,"Remota",VLOOKUP(AI81,[71]Listas!$C$6:$D$10,2,0))</f>
        <v>#N/A</v>
      </c>
      <c r="AK81" s="271" t="e">
        <f t="shared" si="14"/>
        <v>#N/A</v>
      </c>
      <c r="AL81" s="272" t="e">
        <f>IF(AK81&lt;=1,"Insignificante",HLOOKUP(AK81,[71]Listas!$F$3:$J$4,2,0))</f>
        <v>#N/A</v>
      </c>
      <c r="AM81" s="273" t="e">
        <f t="shared" si="15"/>
        <v>#N/A</v>
      </c>
      <c r="AN81" s="270" t="e">
        <f>INDEX([71]Listas!$F$6:$J$10,MATCH(AJ81,[71]Listas!$D$6:$D$10,0),MATCH(AL81,[71]Listas!$F$4:$J$4,0))</f>
        <v>#N/A</v>
      </c>
      <c r="AO81" s="259"/>
      <c r="AP81" s="259"/>
      <c r="AQ81" s="610"/>
      <c r="AR81" s="259"/>
      <c r="AS81" s="259" t="s">
        <v>2343</v>
      </c>
      <c r="AT81" s="608"/>
      <c r="AU81" s="259"/>
      <c r="AV81" s="259"/>
      <c r="AW81" s="261"/>
      <c r="AX81" s="261"/>
      <c r="AY81" s="608"/>
      <c r="AZ81" s="262"/>
    </row>
    <row r="82" spans="2:52" s="260" customFormat="1" ht="103.5" hidden="1" customHeight="1">
      <c r="B82" s="608"/>
      <c r="C82" s="266"/>
      <c r="D82" s="1399"/>
      <c r="E82" s="1408"/>
      <c r="F82" s="1400"/>
      <c r="G82" s="267"/>
      <c r="H82" s="1399"/>
      <c r="I82" s="1408"/>
      <c r="J82" s="1400"/>
      <c r="K82" s="1380"/>
      <c r="L82" s="1380"/>
      <c r="M82" s="1380"/>
      <c r="N82" s="608"/>
      <c r="O82" s="608"/>
      <c r="P82" s="608"/>
      <c r="Q82" s="608"/>
      <c r="R82" s="266"/>
      <c r="S82" s="266"/>
      <c r="T82" s="268"/>
      <c r="U82" s="269" t="e">
        <f>VLOOKUP(R82,[71]Listas!$D$6:$E$10,2,0)</f>
        <v>#N/A</v>
      </c>
      <c r="V82" s="269" t="e">
        <f>HLOOKUP(S82,[71]Listas!$F$4:$J$5,2,0)</f>
        <v>#N/A</v>
      </c>
      <c r="W82" s="270" t="e">
        <f>INDEX([71]Listas!$F$6:$J$10,MATCH(R82,[71]Listas!$D$6:$D$10,0),MATCH(S82,[71]Listas!$F$4:$J$4,0))</f>
        <v>#N/A</v>
      </c>
      <c r="X82" s="268"/>
      <c r="Y82" s="1399"/>
      <c r="Z82" s="1408"/>
      <c r="AA82" s="1400"/>
      <c r="AB82" s="1063"/>
      <c r="AC82" s="267"/>
      <c r="AD82" s="259"/>
      <c r="AE82" s="608"/>
      <c r="AF82" s="267"/>
      <c r="AG82" s="268"/>
      <c r="AH82" s="269">
        <f t="shared" si="12"/>
        <v>0</v>
      </c>
      <c r="AI82" s="271" t="e">
        <f t="shared" si="13"/>
        <v>#N/A</v>
      </c>
      <c r="AJ82" s="272" t="e">
        <f>IF(AI82&lt;=1,"Remota",VLOOKUP(AI82,[71]Listas!$C$6:$D$10,2,0))</f>
        <v>#N/A</v>
      </c>
      <c r="AK82" s="271" t="e">
        <f t="shared" si="14"/>
        <v>#N/A</v>
      </c>
      <c r="AL82" s="272" t="e">
        <f>IF(AK82&lt;=1,"Insignificante",HLOOKUP(AK82,[71]Listas!$F$3:$J$4,2,0))</f>
        <v>#N/A</v>
      </c>
      <c r="AM82" s="273" t="e">
        <f t="shared" si="15"/>
        <v>#N/A</v>
      </c>
      <c r="AN82" s="270" t="e">
        <f>INDEX([71]Listas!$F$6:$J$10,MATCH(AJ82,[71]Listas!$D$6:$D$10,0),MATCH(AL82,[71]Listas!$F$4:$J$4,0))</f>
        <v>#N/A</v>
      </c>
      <c r="AO82" s="259"/>
      <c r="AP82" s="259"/>
      <c r="AQ82" s="610"/>
      <c r="AR82" s="259"/>
      <c r="AS82" s="259" t="s">
        <v>2343</v>
      </c>
      <c r="AT82" s="608"/>
      <c r="AU82" s="259"/>
      <c r="AV82" s="259"/>
      <c r="AW82" s="261"/>
      <c r="AX82" s="261"/>
      <c r="AY82" s="608"/>
      <c r="AZ82" s="262"/>
    </row>
    <row r="83" spans="2:52" s="260" customFormat="1" ht="103.5" hidden="1" customHeight="1">
      <c r="B83" s="608"/>
      <c r="C83" s="266"/>
      <c r="D83" s="1399"/>
      <c r="E83" s="1408"/>
      <c r="F83" s="1400"/>
      <c r="G83" s="267"/>
      <c r="H83" s="1399"/>
      <c r="I83" s="1408"/>
      <c r="J83" s="1400"/>
      <c r="K83" s="1380"/>
      <c r="L83" s="1380"/>
      <c r="M83" s="1380"/>
      <c r="N83" s="608"/>
      <c r="O83" s="608"/>
      <c r="P83" s="608"/>
      <c r="Q83" s="608"/>
      <c r="R83" s="266"/>
      <c r="S83" s="266"/>
      <c r="T83" s="268"/>
      <c r="U83" s="269" t="e">
        <f>VLOOKUP(R83,[71]Listas!$D$6:$E$10,2,0)</f>
        <v>#N/A</v>
      </c>
      <c r="V83" s="269" t="e">
        <f>HLOOKUP(S83,[71]Listas!$F$4:$J$5,2,0)</f>
        <v>#N/A</v>
      </c>
      <c r="W83" s="270" t="e">
        <f>INDEX([71]Listas!$F$6:$J$10,MATCH(R83,[71]Listas!$D$6:$D$10,0),MATCH(S83,[71]Listas!$F$4:$J$4,0))</f>
        <v>#N/A</v>
      </c>
      <c r="X83" s="268"/>
      <c r="Y83" s="1399"/>
      <c r="Z83" s="1408"/>
      <c r="AA83" s="1400"/>
      <c r="AB83" s="1063"/>
      <c r="AC83" s="267"/>
      <c r="AD83" s="259"/>
      <c r="AE83" s="608"/>
      <c r="AF83" s="267"/>
      <c r="AG83" s="268"/>
      <c r="AH83" s="269">
        <f t="shared" si="12"/>
        <v>0</v>
      </c>
      <c r="AI83" s="271" t="e">
        <f t="shared" si="13"/>
        <v>#N/A</v>
      </c>
      <c r="AJ83" s="272" t="e">
        <f>IF(AI83&lt;=1,"Remota",VLOOKUP(AI83,[71]Listas!$C$6:$D$10,2,0))</f>
        <v>#N/A</v>
      </c>
      <c r="AK83" s="271" t="e">
        <f t="shared" si="14"/>
        <v>#N/A</v>
      </c>
      <c r="AL83" s="272" t="e">
        <f>IF(AK83&lt;=1,"Insignificante",HLOOKUP(AK83,[71]Listas!$F$3:$J$4,2,0))</f>
        <v>#N/A</v>
      </c>
      <c r="AM83" s="273" t="e">
        <f t="shared" si="15"/>
        <v>#N/A</v>
      </c>
      <c r="AN83" s="270" t="e">
        <f>INDEX([71]Listas!$F$6:$J$10,MATCH(AJ83,[71]Listas!$D$6:$D$10,0),MATCH(AL83,[71]Listas!$F$4:$J$4,0))</f>
        <v>#N/A</v>
      </c>
      <c r="AO83" s="259"/>
      <c r="AP83" s="259"/>
      <c r="AQ83" s="610"/>
      <c r="AR83" s="259"/>
      <c r="AS83" s="259" t="s">
        <v>2343</v>
      </c>
      <c r="AT83" s="608"/>
      <c r="AU83" s="259"/>
      <c r="AV83" s="259"/>
      <c r="AW83" s="261"/>
      <c r="AX83" s="261"/>
      <c r="AY83" s="608"/>
      <c r="AZ83" s="262"/>
    </row>
    <row r="84" spans="2:52" s="260" customFormat="1" ht="103.5" hidden="1" customHeight="1">
      <c r="B84" s="608"/>
      <c r="C84" s="266"/>
      <c r="D84" s="1399"/>
      <c r="E84" s="1408"/>
      <c r="F84" s="1400"/>
      <c r="G84" s="267"/>
      <c r="H84" s="1399"/>
      <c r="I84" s="1408"/>
      <c r="J84" s="1400"/>
      <c r="K84" s="1380"/>
      <c r="L84" s="1380"/>
      <c r="M84" s="1380"/>
      <c r="N84" s="608"/>
      <c r="O84" s="608"/>
      <c r="P84" s="608"/>
      <c r="Q84" s="608"/>
      <c r="R84" s="266"/>
      <c r="S84" s="266"/>
      <c r="T84" s="268"/>
      <c r="U84" s="269" t="e">
        <f>VLOOKUP(R84,[71]Listas!$D$6:$E$10,2,0)</f>
        <v>#N/A</v>
      </c>
      <c r="V84" s="269" t="e">
        <f>HLOOKUP(S84,[71]Listas!$F$4:$J$5,2,0)</f>
        <v>#N/A</v>
      </c>
      <c r="W84" s="270" t="e">
        <f>INDEX([71]Listas!$F$6:$J$10,MATCH(R84,[71]Listas!$D$6:$D$10,0),MATCH(S84,[71]Listas!$F$4:$J$4,0))</f>
        <v>#N/A</v>
      </c>
      <c r="X84" s="268"/>
      <c r="Y84" s="1399"/>
      <c r="Z84" s="1408"/>
      <c r="AA84" s="1400"/>
      <c r="AB84" s="1063"/>
      <c r="AC84" s="267"/>
      <c r="AD84" s="259"/>
      <c r="AE84" s="608"/>
      <c r="AF84" s="267"/>
      <c r="AG84" s="268"/>
      <c r="AH84" s="269">
        <f t="shared" si="12"/>
        <v>0</v>
      </c>
      <c r="AI84" s="271" t="e">
        <f t="shared" si="13"/>
        <v>#N/A</v>
      </c>
      <c r="AJ84" s="272" t="e">
        <f>IF(AI84&lt;=1,"Remota",VLOOKUP(AI84,[71]Listas!$C$6:$D$10,2,0))</f>
        <v>#N/A</v>
      </c>
      <c r="AK84" s="271" t="e">
        <f t="shared" si="14"/>
        <v>#N/A</v>
      </c>
      <c r="AL84" s="272" t="e">
        <f>IF(AK84&lt;=1,"Insignificante",HLOOKUP(AK84,[71]Listas!$F$3:$J$4,2,0))</f>
        <v>#N/A</v>
      </c>
      <c r="AM84" s="273" t="e">
        <f t="shared" si="15"/>
        <v>#N/A</v>
      </c>
      <c r="AN84" s="270" t="e">
        <f>INDEX([71]Listas!$F$6:$J$10,MATCH(AJ84,[71]Listas!$D$6:$D$10,0),MATCH(AL84,[71]Listas!$F$4:$J$4,0))</f>
        <v>#N/A</v>
      </c>
      <c r="AO84" s="259"/>
      <c r="AP84" s="259"/>
      <c r="AQ84" s="610"/>
      <c r="AR84" s="259"/>
      <c r="AS84" s="259" t="s">
        <v>2343</v>
      </c>
      <c r="AT84" s="608"/>
      <c r="AU84" s="259"/>
      <c r="AV84" s="259"/>
      <c r="AW84" s="261"/>
      <c r="AX84" s="261"/>
      <c r="AY84" s="608"/>
      <c r="AZ84" s="262"/>
    </row>
    <row r="85" spans="2:52" s="260" customFormat="1" ht="103.5" hidden="1" customHeight="1">
      <c r="B85" s="608"/>
      <c r="C85" s="266"/>
      <c r="D85" s="1399"/>
      <c r="E85" s="1408"/>
      <c r="F85" s="1400"/>
      <c r="G85" s="267"/>
      <c r="H85" s="1399"/>
      <c r="I85" s="1408"/>
      <c r="J85" s="1400"/>
      <c r="K85" s="1380"/>
      <c r="L85" s="1380"/>
      <c r="M85" s="1380"/>
      <c r="N85" s="608"/>
      <c r="O85" s="608"/>
      <c r="P85" s="608"/>
      <c r="Q85" s="608"/>
      <c r="R85" s="266"/>
      <c r="S85" s="266"/>
      <c r="T85" s="268"/>
      <c r="U85" s="269" t="e">
        <f>VLOOKUP(R85,[71]Listas!$D$6:$E$10,2,0)</f>
        <v>#N/A</v>
      </c>
      <c r="V85" s="269" t="e">
        <f>HLOOKUP(S85,[71]Listas!$F$4:$J$5,2,0)</f>
        <v>#N/A</v>
      </c>
      <c r="W85" s="270" t="e">
        <f>INDEX([71]Listas!$F$6:$J$10,MATCH(R85,[71]Listas!$D$6:$D$10,0),MATCH(S85,[71]Listas!$F$4:$J$4,0))</f>
        <v>#N/A</v>
      </c>
      <c r="X85" s="268"/>
      <c r="Y85" s="1399"/>
      <c r="Z85" s="1408"/>
      <c r="AA85" s="1400"/>
      <c r="AB85" s="1063"/>
      <c r="AC85" s="267"/>
      <c r="AD85" s="259"/>
      <c r="AE85" s="608"/>
      <c r="AF85" s="267"/>
      <c r="AG85" s="268"/>
      <c r="AH85" s="269">
        <f t="shared" si="12"/>
        <v>0</v>
      </c>
      <c r="AI85" s="271" t="e">
        <f t="shared" si="13"/>
        <v>#N/A</v>
      </c>
      <c r="AJ85" s="272" t="e">
        <f>IF(AI85&lt;=1,"Remota",VLOOKUP(AI85,[71]Listas!$C$6:$D$10,2,0))</f>
        <v>#N/A</v>
      </c>
      <c r="AK85" s="271" t="e">
        <f t="shared" si="14"/>
        <v>#N/A</v>
      </c>
      <c r="AL85" s="272" t="e">
        <f>IF(AK85&lt;=1,"Insignificante",HLOOKUP(AK85,[71]Listas!$F$3:$J$4,2,0))</f>
        <v>#N/A</v>
      </c>
      <c r="AM85" s="273" t="e">
        <f t="shared" si="15"/>
        <v>#N/A</v>
      </c>
      <c r="AN85" s="270" t="e">
        <f>INDEX([71]Listas!$F$6:$J$10,MATCH(AJ85,[71]Listas!$D$6:$D$10,0),MATCH(AL85,[71]Listas!$F$4:$J$4,0))</f>
        <v>#N/A</v>
      </c>
      <c r="AO85" s="259"/>
      <c r="AP85" s="259"/>
      <c r="AQ85" s="610"/>
      <c r="AR85" s="259"/>
      <c r="AS85" s="259" t="s">
        <v>2343</v>
      </c>
      <c r="AT85" s="608"/>
      <c r="AU85" s="259"/>
      <c r="AV85" s="259"/>
      <c r="AW85" s="261"/>
      <c r="AX85" s="261"/>
      <c r="AY85" s="608"/>
      <c r="AZ85" s="262"/>
    </row>
    <row r="86" spans="2:52" s="260" customFormat="1" ht="103.5" hidden="1" customHeight="1">
      <c r="B86" s="608"/>
      <c r="C86" s="266"/>
      <c r="D86" s="1399"/>
      <c r="E86" s="1408"/>
      <c r="F86" s="1400"/>
      <c r="G86" s="267"/>
      <c r="H86" s="1399"/>
      <c r="I86" s="1408"/>
      <c r="J86" s="1400"/>
      <c r="K86" s="1380"/>
      <c r="L86" s="1380"/>
      <c r="M86" s="1380"/>
      <c r="N86" s="608"/>
      <c r="O86" s="608"/>
      <c r="P86" s="608"/>
      <c r="Q86" s="608"/>
      <c r="R86" s="266"/>
      <c r="S86" s="266"/>
      <c r="T86" s="268"/>
      <c r="U86" s="269" t="e">
        <f>VLOOKUP(R86,[71]Listas!$D$6:$E$10,2,0)</f>
        <v>#N/A</v>
      </c>
      <c r="V86" s="269" t="e">
        <f>HLOOKUP(S86,[71]Listas!$F$4:$J$5,2,0)</f>
        <v>#N/A</v>
      </c>
      <c r="W86" s="270" t="e">
        <f>INDEX([71]Listas!$F$6:$J$10,MATCH(R86,[71]Listas!$D$6:$D$10,0),MATCH(S86,[71]Listas!$F$4:$J$4,0))</f>
        <v>#N/A</v>
      </c>
      <c r="X86" s="268"/>
      <c r="Y86" s="1399"/>
      <c r="Z86" s="1408"/>
      <c r="AA86" s="1400"/>
      <c r="AB86" s="1063"/>
      <c r="AC86" s="267"/>
      <c r="AD86" s="259"/>
      <c r="AE86" s="608"/>
      <c r="AF86" s="267"/>
      <c r="AG86" s="268"/>
      <c r="AH86" s="269">
        <f t="shared" si="12"/>
        <v>0</v>
      </c>
      <c r="AI86" s="271" t="e">
        <f t="shared" si="13"/>
        <v>#N/A</v>
      </c>
      <c r="AJ86" s="272" t="e">
        <f>IF(AI86&lt;=1,"Remota",VLOOKUP(AI86,[71]Listas!$C$6:$D$10,2,0))</f>
        <v>#N/A</v>
      </c>
      <c r="AK86" s="271" t="e">
        <f t="shared" si="14"/>
        <v>#N/A</v>
      </c>
      <c r="AL86" s="272" t="e">
        <f>IF(AK86&lt;=1,"Insignificante",HLOOKUP(AK86,[71]Listas!$F$3:$J$4,2,0))</f>
        <v>#N/A</v>
      </c>
      <c r="AM86" s="273" t="e">
        <f t="shared" si="15"/>
        <v>#N/A</v>
      </c>
      <c r="AN86" s="270" t="e">
        <f>INDEX([71]Listas!$F$6:$J$10,MATCH(AJ86,[71]Listas!$D$6:$D$10,0),MATCH(AL86,[71]Listas!$F$4:$J$4,0))</f>
        <v>#N/A</v>
      </c>
      <c r="AO86" s="259"/>
      <c r="AP86" s="259"/>
      <c r="AQ86" s="610"/>
      <c r="AR86" s="259"/>
      <c r="AS86" s="259" t="s">
        <v>2343</v>
      </c>
      <c r="AT86" s="608"/>
      <c r="AU86" s="259"/>
      <c r="AV86" s="259"/>
      <c r="AW86" s="261"/>
      <c r="AX86" s="261"/>
      <c r="AY86" s="608"/>
      <c r="AZ86" s="262"/>
    </row>
    <row r="87" spans="2:52" s="260" customFormat="1" ht="103.5" hidden="1" customHeight="1">
      <c r="B87" s="620"/>
      <c r="C87" s="274"/>
      <c r="D87" s="1399"/>
      <c r="E87" s="1408"/>
      <c r="F87" s="1400"/>
      <c r="G87" s="267"/>
      <c r="H87" s="1399"/>
      <c r="I87" s="1408"/>
      <c r="J87" s="1400"/>
      <c r="K87" s="1380"/>
      <c r="L87" s="1380"/>
      <c r="M87" s="1380"/>
      <c r="N87" s="608"/>
      <c r="O87" s="608"/>
      <c r="P87" s="608"/>
      <c r="Q87" s="608"/>
      <c r="R87" s="266"/>
      <c r="S87" s="266"/>
      <c r="T87" s="268"/>
      <c r="U87" s="269" t="e">
        <f>VLOOKUP(R87,[71]Listas!$D$6:$E$10,2,0)</f>
        <v>#N/A</v>
      </c>
      <c r="V87" s="269" t="e">
        <f>HLOOKUP(S87,[71]Listas!$F$4:$J$5,2,0)</f>
        <v>#N/A</v>
      </c>
      <c r="W87" s="270" t="e">
        <f>INDEX([71]Listas!$F$6:$J$10,MATCH(R87,[71]Listas!$D$6:$D$10,0),MATCH(S87,[71]Listas!$F$4:$J$4,0))</f>
        <v>#N/A</v>
      </c>
      <c r="X87" s="268"/>
      <c r="Y87" s="1399"/>
      <c r="Z87" s="1408"/>
      <c r="AA87" s="1400"/>
      <c r="AB87" s="1063"/>
      <c r="AC87" s="267"/>
      <c r="AD87" s="259"/>
      <c r="AE87" s="608"/>
      <c r="AF87" s="267"/>
      <c r="AG87" s="268"/>
      <c r="AH87" s="269">
        <f t="shared" si="12"/>
        <v>0</v>
      </c>
      <c r="AI87" s="271" t="e">
        <f t="shared" si="13"/>
        <v>#N/A</v>
      </c>
      <c r="AJ87" s="272" t="e">
        <f>IF(AI87&lt;=1,"Remota",VLOOKUP(AI87,[71]Listas!$C$6:$D$10,2,0))</f>
        <v>#N/A</v>
      </c>
      <c r="AK87" s="271" t="e">
        <f t="shared" si="14"/>
        <v>#N/A</v>
      </c>
      <c r="AL87" s="272" t="e">
        <f>IF(AK87&lt;=1,"Insignificante",HLOOKUP(AK87,[71]Listas!$F$3:$J$4,2,0))</f>
        <v>#N/A</v>
      </c>
      <c r="AM87" s="273" t="e">
        <f t="shared" si="15"/>
        <v>#N/A</v>
      </c>
      <c r="AN87" s="270" t="e">
        <f>INDEX([71]Listas!$F$6:$J$10,MATCH(AJ87,[71]Listas!$D$6:$D$10,0),MATCH(AL87,[71]Listas!$F$4:$J$4,0))</f>
        <v>#N/A</v>
      </c>
      <c r="AO87" s="259"/>
      <c r="AP87" s="259"/>
      <c r="AQ87" s="610"/>
      <c r="AR87" s="259"/>
      <c r="AS87" s="259" t="s">
        <v>2343</v>
      </c>
      <c r="AT87" s="608"/>
      <c r="AU87" s="259"/>
      <c r="AV87" s="259"/>
      <c r="AW87" s="261"/>
      <c r="AX87" s="261"/>
      <c r="AY87" s="608"/>
      <c r="AZ87" s="262"/>
    </row>
    <row r="88" spans="2:52" s="260" customFormat="1" ht="103.5" hidden="1" customHeight="1">
      <c r="B88" s="608"/>
      <c r="C88" s="266"/>
      <c r="D88" s="1399"/>
      <c r="E88" s="1408"/>
      <c r="F88" s="1400"/>
      <c r="G88" s="267"/>
      <c r="H88" s="1399"/>
      <c r="I88" s="1408"/>
      <c r="J88" s="1400"/>
      <c r="K88" s="1380"/>
      <c r="L88" s="1380"/>
      <c r="M88" s="1380"/>
      <c r="N88" s="608"/>
      <c r="O88" s="608"/>
      <c r="P88" s="608"/>
      <c r="Q88" s="608"/>
      <c r="R88" s="266"/>
      <c r="S88" s="266"/>
      <c r="T88" s="268"/>
      <c r="U88" s="269" t="e">
        <f>VLOOKUP(R88,[71]Listas!$D$6:$E$10,2,0)</f>
        <v>#N/A</v>
      </c>
      <c r="V88" s="269" t="e">
        <f>HLOOKUP(S88,[71]Listas!$F$4:$J$5,2,0)</f>
        <v>#N/A</v>
      </c>
      <c r="W88" s="270" t="e">
        <f>INDEX([71]Listas!$F$6:$J$10,MATCH(R88,[71]Listas!$D$6:$D$10,0),MATCH(S88,[71]Listas!$F$4:$J$4,0))</f>
        <v>#N/A</v>
      </c>
      <c r="X88" s="268"/>
      <c r="Y88" s="1399"/>
      <c r="Z88" s="1408"/>
      <c r="AA88" s="1400"/>
      <c r="AB88" s="1063"/>
      <c r="AC88" s="267"/>
      <c r="AD88" s="259"/>
      <c r="AE88" s="608"/>
      <c r="AF88" s="267"/>
      <c r="AG88" s="268"/>
      <c r="AH88" s="269">
        <f t="shared" si="12"/>
        <v>0</v>
      </c>
      <c r="AI88" s="271" t="e">
        <f t="shared" si="13"/>
        <v>#N/A</v>
      </c>
      <c r="AJ88" s="272" t="e">
        <f>IF(AI88&lt;=1,"Remota",VLOOKUP(AI88,[71]Listas!$C$6:$D$10,2,0))</f>
        <v>#N/A</v>
      </c>
      <c r="AK88" s="271" t="e">
        <f t="shared" si="14"/>
        <v>#N/A</v>
      </c>
      <c r="AL88" s="272" t="e">
        <f>IF(AK88&lt;=1,"Insignificante",HLOOKUP(AK88,[71]Listas!$F$3:$J$4,2,0))</f>
        <v>#N/A</v>
      </c>
      <c r="AM88" s="273" t="e">
        <f t="shared" si="15"/>
        <v>#N/A</v>
      </c>
      <c r="AN88" s="270" t="e">
        <f>INDEX([71]Listas!$F$6:$J$10,MATCH(AJ88,[71]Listas!$D$6:$D$10,0),MATCH(AL88,[71]Listas!$F$4:$J$4,0))</f>
        <v>#N/A</v>
      </c>
      <c r="AO88" s="259"/>
      <c r="AP88" s="259"/>
      <c r="AQ88" s="610"/>
      <c r="AR88" s="259"/>
      <c r="AS88" s="259" t="s">
        <v>2343</v>
      </c>
      <c r="AT88" s="608"/>
      <c r="AU88" s="259"/>
      <c r="AV88" s="259"/>
      <c r="AW88" s="261"/>
      <c r="AX88" s="261"/>
      <c r="AY88" s="608"/>
      <c r="AZ88" s="262"/>
    </row>
    <row r="89" spans="2:52" s="260" customFormat="1" ht="103.5" hidden="1" customHeight="1">
      <c r="B89" s="608"/>
      <c r="C89" s="266"/>
      <c r="D89" s="1399"/>
      <c r="E89" s="1408"/>
      <c r="F89" s="1400"/>
      <c r="G89" s="267"/>
      <c r="H89" s="1399"/>
      <c r="I89" s="1408"/>
      <c r="J89" s="1400"/>
      <c r="K89" s="1380"/>
      <c r="L89" s="1380"/>
      <c r="M89" s="1380"/>
      <c r="N89" s="608"/>
      <c r="O89" s="608"/>
      <c r="P89" s="608"/>
      <c r="Q89" s="608"/>
      <c r="R89" s="266"/>
      <c r="S89" s="266"/>
      <c r="T89" s="268"/>
      <c r="U89" s="269" t="e">
        <f>VLOOKUP(R89,[71]Listas!$D$6:$E$10,2,0)</f>
        <v>#N/A</v>
      </c>
      <c r="V89" s="269" t="e">
        <f>HLOOKUP(S89,[71]Listas!$F$4:$J$5,2,0)</f>
        <v>#N/A</v>
      </c>
      <c r="W89" s="270" t="e">
        <f>INDEX([71]Listas!$F$6:$J$10,MATCH(R89,[71]Listas!$D$6:$D$10,0),MATCH(S89,[71]Listas!$F$4:$J$4,0))</f>
        <v>#N/A</v>
      </c>
      <c r="X89" s="268"/>
      <c r="Y89" s="1399"/>
      <c r="Z89" s="1408"/>
      <c r="AA89" s="1400"/>
      <c r="AB89" s="1063"/>
      <c r="AC89" s="267"/>
      <c r="AD89" s="259"/>
      <c r="AE89" s="608"/>
      <c r="AF89" s="267"/>
      <c r="AG89" s="268"/>
      <c r="AH89" s="269">
        <f t="shared" si="12"/>
        <v>0</v>
      </c>
      <c r="AI89" s="271" t="e">
        <f t="shared" si="13"/>
        <v>#N/A</v>
      </c>
      <c r="AJ89" s="272" t="e">
        <f>IF(AI89&lt;=1,"Remota",VLOOKUP(AI89,[71]Listas!$C$6:$D$10,2,0))</f>
        <v>#N/A</v>
      </c>
      <c r="AK89" s="271" t="e">
        <f t="shared" si="14"/>
        <v>#N/A</v>
      </c>
      <c r="AL89" s="272" t="e">
        <f>IF(AK89&lt;=1,"Insignificante",HLOOKUP(AK89,[71]Listas!$F$3:$J$4,2,0))</f>
        <v>#N/A</v>
      </c>
      <c r="AM89" s="273" t="e">
        <f t="shared" si="15"/>
        <v>#N/A</v>
      </c>
      <c r="AN89" s="270" t="e">
        <f>INDEX([71]Listas!$F$6:$J$10,MATCH(AJ89,[71]Listas!$D$6:$D$10,0),MATCH(AL89,[71]Listas!$F$4:$J$4,0))</f>
        <v>#N/A</v>
      </c>
      <c r="AO89" s="259"/>
      <c r="AP89" s="259"/>
      <c r="AQ89" s="610"/>
      <c r="AR89" s="259"/>
      <c r="AS89" s="259" t="s">
        <v>2343</v>
      </c>
      <c r="AT89" s="608"/>
      <c r="AU89" s="259"/>
      <c r="AV89" s="259"/>
      <c r="AW89" s="261"/>
      <c r="AX89" s="261"/>
      <c r="AY89" s="608"/>
      <c r="AZ89" s="262"/>
    </row>
    <row r="90" spans="2:52" s="260" customFormat="1" ht="103.5" hidden="1" customHeight="1">
      <c r="B90" s="608"/>
      <c r="C90" s="266"/>
      <c r="D90" s="1399"/>
      <c r="E90" s="1408"/>
      <c r="F90" s="1400"/>
      <c r="G90" s="267"/>
      <c r="H90" s="1399"/>
      <c r="I90" s="1408"/>
      <c r="J90" s="1400"/>
      <c r="K90" s="1380"/>
      <c r="L90" s="1380"/>
      <c r="M90" s="1380"/>
      <c r="N90" s="608"/>
      <c r="O90" s="608"/>
      <c r="P90" s="608"/>
      <c r="Q90" s="608"/>
      <c r="R90" s="266"/>
      <c r="S90" s="266"/>
      <c r="T90" s="268"/>
      <c r="U90" s="269" t="e">
        <f>VLOOKUP(R90,[71]Listas!$D$6:$E$10,2,0)</f>
        <v>#N/A</v>
      </c>
      <c r="V90" s="269" t="e">
        <f>HLOOKUP(S90,[71]Listas!$F$4:$J$5,2,0)</f>
        <v>#N/A</v>
      </c>
      <c r="W90" s="270" t="e">
        <f>INDEX([71]Listas!$F$6:$J$10,MATCH(R90,[71]Listas!$D$6:$D$10,0),MATCH(S90,[71]Listas!$F$4:$J$4,0))</f>
        <v>#N/A</v>
      </c>
      <c r="X90" s="268"/>
      <c r="Y90" s="1399"/>
      <c r="Z90" s="1408"/>
      <c r="AA90" s="1400"/>
      <c r="AB90" s="1063"/>
      <c r="AC90" s="267"/>
      <c r="AD90" s="259"/>
      <c r="AE90" s="608"/>
      <c r="AF90" s="267"/>
      <c r="AG90" s="268"/>
      <c r="AH90" s="269">
        <f t="shared" si="12"/>
        <v>0</v>
      </c>
      <c r="AI90" s="271" t="e">
        <f t="shared" si="13"/>
        <v>#N/A</v>
      </c>
      <c r="AJ90" s="272" t="e">
        <f>IF(AI90&lt;=1,"Remota",VLOOKUP(AI90,[71]Listas!$C$6:$D$10,2,0))</f>
        <v>#N/A</v>
      </c>
      <c r="AK90" s="271" t="e">
        <f t="shared" si="14"/>
        <v>#N/A</v>
      </c>
      <c r="AL90" s="272" t="e">
        <f>IF(AK90&lt;=1,"Insignificante",HLOOKUP(AK90,[71]Listas!$F$3:$J$4,2,0))</f>
        <v>#N/A</v>
      </c>
      <c r="AM90" s="273" t="e">
        <f t="shared" si="15"/>
        <v>#N/A</v>
      </c>
      <c r="AN90" s="270" t="e">
        <f>INDEX([71]Listas!$F$6:$J$10,MATCH(AJ90,[71]Listas!$D$6:$D$10,0),MATCH(AL90,[71]Listas!$F$4:$J$4,0))</f>
        <v>#N/A</v>
      </c>
      <c r="AO90" s="259"/>
      <c r="AP90" s="259"/>
      <c r="AQ90" s="610"/>
      <c r="AR90" s="259"/>
      <c r="AS90" s="259" t="s">
        <v>2343</v>
      </c>
      <c r="AT90" s="608"/>
      <c r="AU90" s="259"/>
      <c r="AV90" s="259"/>
      <c r="AW90" s="261"/>
      <c r="AX90" s="261"/>
      <c r="AY90" s="608"/>
      <c r="AZ90" s="262"/>
    </row>
    <row r="91" spans="2:52" s="260" customFormat="1" ht="103.5" hidden="1" customHeight="1">
      <c r="B91" s="608"/>
      <c r="C91" s="266"/>
      <c r="D91" s="1399"/>
      <c r="E91" s="1408"/>
      <c r="F91" s="1400"/>
      <c r="G91" s="267"/>
      <c r="H91" s="1399"/>
      <c r="I91" s="1408"/>
      <c r="J91" s="1400"/>
      <c r="K91" s="1380"/>
      <c r="L91" s="1380"/>
      <c r="M91" s="1380"/>
      <c r="N91" s="608"/>
      <c r="O91" s="608"/>
      <c r="P91" s="608"/>
      <c r="Q91" s="608"/>
      <c r="R91" s="266"/>
      <c r="S91" s="266"/>
      <c r="T91" s="268"/>
      <c r="U91" s="269" t="e">
        <f>VLOOKUP(R91,[71]Listas!$D$6:$E$10,2,0)</f>
        <v>#N/A</v>
      </c>
      <c r="V91" s="269" t="e">
        <f>HLOOKUP(S91,[71]Listas!$F$4:$J$5,2,0)</f>
        <v>#N/A</v>
      </c>
      <c r="W91" s="270" t="e">
        <f>INDEX([71]Listas!$F$6:$J$10,MATCH(R91,[71]Listas!$D$6:$D$10,0),MATCH(S91,[71]Listas!$F$4:$J$4,0))</f>
        <v>#N/A</v>
      </c>
      <c r="X91" s="268"/>
      <c r="Y91" s="1399"/>
      <c r="Z91" s="1408"/>
      <c r="AA91" s="1400"/>
      <c r="AB91" s="1063"/>
      <c r="AC91" s="267"/>
      <c r="AD91" s="259"/>
      <c r="AE91" s="608"/>
      <c r="AF91" s="267"/>
      <c r="AG91" s="268"/>
      <c r="AH91" s="269">
        <f t="shared" si="12"/>
        <v>0</v>
      </c>
      <c r="AI91" s="271" t="e">
        <f t="shared" si="13"/>
        <v>#N/A</v>
      </c>
      <c r="AJ91" s="272" t="e">
        <f>IF(AI91&lt;=1,"Remota",VLOOKUP(AI91,[71]Listas!$C$6:$D$10,2,0))</f>
        <v>#N/A</v>
      </c>
      <c r="AK91" s="271" t="e">
        <f t="shared" si="14"/>
        <v>#N/A</v>
      </c>
      <c r="AL91" s="272" t="e">
        <f>IF(AK91&lt;=1,"Insignificante",HLOOKUP(AK91,[71]Listas!$F$3:$J$4,2,0))</f>
        <v>#N/A</v>
      </c>
      <c r="AM91" s="273" t="e">
        <f t="shared" si="15"/>
        <v>#N/A</v>
      </c>
      <c r="AN91" s="270" t="e">
        <f>INDEX([71]Listas!$F$6:$J$10,MATCH(AJ91,[71]Listas!$D$6:$D$10,0),MATCH(AL91,[71]Listas!$F$4:$J$4,0))</f>
        <v>#N/A</v>
      </c>
      <c r="AO91" s="259"/>
      <c r="AP91" s="259"/>
      <c r="AQ91" s="610"/>
      <c r="AR91" s="259"/>
      <c r="AS91" s="259" t="s">
        <v>2343</v>
      </c>
      <c r="AT91" s="608"/>
      <c r="AU91" s="259"/>
      <c r="AV91" s="259"/>
      <c r="AW91" s="261"/>
      <c r="AX91" s="261"/>
      <c r="AY91" s="608"/>
      <c r="AZ91" s="262"/>
    </row>
    <row r="92" spans="2:52" s="260" customFormat="1" ht="103.5" hidden="1" customHeight="1">
      <c r="B92" s="608"/>
      <c r="C92" s="266"/>
      <c r="D92" s="1399"/>
      <c r="E92" s="1408"/>
      <c r="F92" s="1400"/>
      <c r="G92" s="267"/>
      <c r="H92" s="1399"/>
      <c r="I92" s="1408"/>
      <c r="J92" s="1400"/>
      <c r="K92" s="1380"/>
      <c r="L92" s="1380"/>
      <c r="M92" s="1380"/>
      <c r="N92" s="608"/>
      <c r="O92" s="608"/>
      <c r="P92" s="608"/>
      <c r="Q92" s="608"/>
      <c r="R92" s="266"/>
      <c r="S92" s="266"/>
      <c r="T92" s="268"/>
      <c r="U92" s="269" t="e">
        <f>VLOOKUP(R92,[71]Listas!$D$6:$E$10,2,0)</f>
        <v>#N/A</v>
      </c>
      <c r="V92" s="269" t="e">
        <f>HLOOKUP(S92,[71]Listas!$F$4:$J$5,2,0)</f>
        <v>#N/A</v>
      </c>
      <c r="W92" s="270" t="e">
        <f>INDEX([71]Listas!$F$6:$J$10,MATCH(R92,[71]Listas!$D$6:$D$10,0),MATCH(S92,[71]Listas!$F$4:$J$4,0))</f>
        <v>#N/A</v>
      </c>
      <c r="X92" s="268"/>
      <c r="Y92" s="1399"/>
      <c r="Z92" s="1408"/>
      <c r="AA92" s="1400"/>
      <c r="AB92" s="1063"/>
      <c r="AC92" s="267"/>
      <c r="AD92" s="259"/>
      <c r="AE92" s="608"/>
      <c r="AF92" s="267"/>
      <c r="AG92" s="268"/>
      <c r="AH92" s="269">
        <f t="shared" si="12"/>
        <v>0</v>
      </c>
      <c r="AI92" s="271" t="e">
        <f t="shared" si="13"/>
        <v>#N/A</v>
      </c>
      <c r="AJ92" s="272" t="e">
        <f>IF(AI92&lt;=1,"Remota",VLOOKUP(AI92,[71]Listas!$C$6:$D$10,2,0))</f>
        <v>#N/A</v>
      </c>
      <c r="AK92" s="271" t="e">
        <f t="shared" si="14"/>
        <v>#N/A</v>
      </c>
      <c r="AL92" s="272" t="e">
        <f>IF(AK92&lt;=1,"Insignificante",HLOOKUP(AK92,[71]Listas!$F$3:$J$4,2,0))</f>
        <v>#N/A</v>
      </c>
      <c r="AM92" s="273" t="e">
        <f t="shared" si="15"/>
        <v>#N/A</v>
      </c>
      <c r="AN92" s="270" t="e">
        <f>INDEX([71]Listas!$F$6:$J$10,MATCH(AJ92,[71]Listas!$D$6:$D$10,0),MATCH(AL92,[71]Listas!$F$4:$J$4,0))</f>
        <v>#N/A</v>
      </c>
      <c r="AO92" s="259"/>
      <c r="AP92" s="259"/>
      <c r="AQ92" s="610"/>
      <c r="AR92" s="259"/>
      <c r="AS92" s="259" t="s">
        <v>2343</v>
      </c>
      <c r="AT92" s="608"/>
      <c r="AU92" s="259"/>
      <c r="AV92" s="259"/>
      <c r="AW92" s="261"/>
      <c r="AX92" s="261"/>
      <c r="AY92" s="608"/>
      <c r="AZ92" s="262"/>
    </row>
    <row r="93" spans="2:52" s="260" customFormat="1" ht="103.5" hidden="1" customHeight="1">
      <c r="B93" s="608"/>
      <c r="C93" s="266"/>
      <c r="D93" s="1399"/>
      <c r="E93" s="1408"/>
      <c r="F93" s="1400"/>
      <c r="G93" s="267"/>
      <c r="H93" s="1399"/>
      <c r="I93" s="1408"/>
      <c r="J93" s="1400"/>
      <c r="K93" s="1380"/>
      <c r="L93" s="1380"/>
      <c r="M93" s="1380"/>
      <c r="N93" s="608"/>
      <c r="O93" s="608"/>
      <c r="P93" s="608"/>
      <c r="Q93" s="608"/>
      <c r="R93" s="266"/>
      <c r="S93" s="266"/>
      <c r="T93" s="268"/>
      <c r="U93" s="269" t="e">
        <f>VLOOKUP(R93,[71]Listas!$D$6:$E$10,2,0)</f>
        <v>#N/A</v>
      </c>
      <c r="V93" s="269" t="e">
        <f>HLOOKUP(S93,[71]Listas!$F$4:$J$5,2,0)</f>
        <v>#N/A</v>
      </c>
      <c r="W93" s="270" t="e">
        <f>INDEX([71]Listas!$F$6:$J$10,MATCH(R93,[71]Listas!$D$6:$D$10,0),MATCH(S93,[71]Listas!$F$4:$J$4,0))</f>
        <v>#N/A</v>
      </c>
      <c r="X93" s="268"/>
      <c r="Y93" s="1399"/>
      <c r="Z93" s="1408"/>
      <c r="AA93" s="1400"/>
      <c r="AB93" s="1063"/>
      <c r="AC93" s="267"/>
      <c r="AD93" s="259"/>
      <c r="AE93" s="608"/>
      <c r="AF93" s="267"/>
      <c r="AG93" s="268"/>
      <c r="AH93" s="269">
        <f t="shared" si="12"/>
        <v>0</v>
      </c>
      <c r="AI93" s="271" t="e">
        <f t="shared" si="13"/>
        <v>#N/A</v>
      </c>
      <c r="AJ93" s="272" t="e">
        <f>IF(AI93&lt;=1,"Remota",VLOOKUP(AI93,[71]Listas!$C$6:$D$10,2,0))</f>
        <v>#N/A</v>
      </c>
      <c r="AK93" s="271" t="e">
        <f t="shared" si="14"/>
        <v>#N/A</v>
      </c>
      <c r="AL93" s="272" t="e">
        <f>IF(AK93&lt;=1,"Insignificante",HLOOKUP(AK93,[71]Listas!$F$3:$J$4,2,0))</f>
        <v>#N/A</v>
      </c>
      <c r="AM93" s="273" t="e">
        <f t="shared" si="15"/>
        <v>#N/A</v>
      </c>
      <c r="AN93" s="270" t="e">
        <f>INDEX([71]Listas!$F$6:$J$10,MATCH(AJ93,[71]Listas!$D$6:$D$10,0),MATCH(AL93,[71]Listas!$F$4:$J$4,0))</f>
        <v>#N/A</v>
      </c>
      <c r="AO93" s="259"/>
      <c r="AP93" s="259"/>
      <c r="AQ93" s="610"/>
      <c r="AR93" s="259"/>
      <c r="AS93" s="259" t="s">
        <v>2343</v>
      </c>
      <c r="AT93" s="608"/>
      <c r="AU93" s="259"/>
      <c r="AV93" s="259"/>
      <c r="AW93" s="261"/>
      <c r="AX93" s="261"/>
      <c r="AY93" s="608"/>
      <c r="AZ93" s="262"/>
    </row>
    <row r="94" spans="2:52" s="260" customFormat="1" ht="103.5" hidden="1" customHeight="1">
      <c r="B94" s="608"/>
      <c r="C94" s="266"/>
      <c r="D94" s="1399"/>
      <c r="E94" s="1408"/>
      <c r="F94" s="1400"/>
      <c r="G94" s="267"/>
      <c r="H94" s="1399"/>
      <c r="I94" s="1408"/>
      <c r="J94" s="1400"/>
      <c r="K94" s="1380"/>
      <c r="L94" s="1380"/>
      <c r="M94" s="1380"/>
      <c r="N94" s="608"/>
      <c r="O94" s="608"/>
      <c r="P94" s="608"/>
      <c r="Q94" s="608"/>
      <c r="R94" s="266"/>
      <c r="S94" s="266"/>
      <c r="T94" s="268"/>
      <c r="U94" s="269" t="e">
        <f>VLOOKUP(R94,[71]Listas!$D$6:$E$10,2,0)</f>
        <v>#N/A</v>
      </c>
      <c r="V94" s="269" t="e">
        <f>HLOOKUP(S94,[71]Listas!$F$4:$J$5,2,0)</f>
        <v>#N/A</v>
      </c>
      <c r="W94" s="270" t="e">
        <f>INDEX([71]Listas!$F$6:$J$10,MATCH(R94,[71]Listas!$D$6:$D$10,0),MATCH(S94,[71]Listas!$F$4:$J$4,0))</f>
        <v>#N/A</v>
      </c>
      <c r="X94" s="268"/>
      <c r="Y94" s="1399"/>
      <c r="Z94" s="1408"/>
      <c r="AA94" s="1400"/>
      <c r="AB94" s="1063"/>
      <c r="AC94" s="267"/>
      <c r="AD94" s="259"/>
      <c r="AE94" s="608"/>
      <c r="AF94" s="267"/>
      <c r="AG94" s="268"/>
      <c r="AH94" s="269">
        <f t="shared" si="12"/>
        <v>0</v>
      </c>
      <c r="AI94" s="271" t="e">
        <f t="shared" si="13"/>
        <v>#N/A</v>
      </c>
      <c r="AJ94" s="272" t="e">
        <f>IF(AI94&lt;=1,"Remota",VLOOKUP(AI94,[71]Listas!$C$6:$D$10,2,0))</f>
        <v>#N/A</v>
      </c>
      <c r="AK94" s="271" t="e">
        <f t="shared" si="14"/>
        <v>#N/A</v>
      </c>
      <c r="AL94" s="272" t="e">
        <f>IF(AK94&lt;=1,"Insignificante",HLOOKUP(AK94,[71]Listas!$F$3:$J$4,2,0))</f>
        <v>#N/A</v>
      </c>
      <c r="AM94" s="273" t="e">
        <f t="shared" si="15"/>
        <v>#N/A</v>
      </c>
      <c r="AN94" s="270" t="e">
        <f>INDEX([71]Listas!$F$6:$J$10,MATCH(AJ94,[71]Listas!$D$6:$D$10,0),MATCH(AL94,[71]Listas!$F$4:$J$4,0))</f>
        <v>#N/A</v>
      </c>
      <c r="AO94" s="259"/>
      <c r="AP94" s="259"/>
      <c r="AQ94" s="610"/>
      <c r="AR94" s="259"/>
      <c r="AS94" s="259" t="s">
        <v>2343</v>
      </c>
      <c r="AT94" s="608"/>
      <c r="AU94" s="259"/>
      <c r="AV94" s="259"/>
      <c r="AW94" s="261"/>
      <c r="AX94" s="261"/>
      <c r="AY94" s="608"/>
      <c r="AZ94" s="262"/>
    </row>
    <row r="95" spans="2:52" s="260" customFormat="1" ht="103.5" hidden="1" customHeight="1">
      <c r="B95" s="608"/>
      <c r="C95" s="266"/>
      <c r="D95" s="1399"/>
      <c r="E95" s="1408"/>
      <c r="F95" s="1400"/>
      <c r="G95" s="267"/>
      <c r="H95" s="1399"/>
      <c r="I95" s="1408"/>
      <c r="J95" s="1400"/>
      <c r="K95" s="1380"/>
      <c r="L95" s="1380"/>
      <c r="M95" s="1380"/>
      <c r="N95" s="608"/>
      <c r="O95" s="608"/>
      <c r="P95" s="608"/>
      <c r="Q95" s="608"/>
      <c r="R95" s="266"/>
      <c r="S95" s="266"/>
      <c r="T95" s="268"/>
      <c r="U95" s="269" t="e">
        <f>VLOOKUP(R95,[71]Listas!$D$6:$E$10,2,0)</f>
        <v>#N/A</v>
      </c>
      <c r="V95" s="269" t="e">
        <f>HLOOKUP(S95,[71]Listas!$F$4:$J$5,2,0)</f>
        <v>#N/A</v>
      </c>
      <c r="W95" s="270" t="e">
        <f>INDEX([71]Listas!$F$6:$J$10,MATCH(R95,[71]Listas!$D$6:$D$10,0),MATCH(S95,[71]Listas!$F$4:$J$4,0))</f>
        <v>#N/A</v>
      </c>
      <c r="X95" s="268"/>
      <c r="Y95" s="1399"/>
      <c r="Z95" s="1408"/>
      <c r="AA95" s="1400"/>
      <c r="AB95" s="1063"/>
      <c r="AC95" s="267"/>
      <c r="AD95" s="259"/>
      <c r="AE95" s="608"/>
      <c r="AF95" s="267"/>
      <c r="AG95" s="268"/>
      <c r="AH95" s="269">
        <f t="shared" si="12"/>
        <v>0</v>
      </c>
      <c r="AI95" s="271" t="e">
        <f t="shared" si="13"/>
        <v>#N/A</v>
      </c>
      <c r="AJ95" s="272" t="e">
        <f>IF(AI95&lt;=1,"Remota",VLOOKUP(AI95,[71]Listas!$C$6:$D$10,2,0))</f>
        <v>#N/A</v>
      </c>
      <c r="AK95" s="271" t="e">
        <f t="shared" si="14"/>
        <v>#N/A</v>
      </c>
      <c r="AL95" s="272" t="e">
        <f>IF(AK95&lt;=1,"Insignificante",HLOOKUP(AK95,[71]Listas!$F$3:$J$4,2,0))</f>
        <v>#N/A</v>
      </c>
      <c r="AM95" s="273" t="e">
        <f t="shared" si="15"/>
        <v>#N/A</v>
      </c>
      <c r="AN95" s="270" t="e">
        <f>INDEX([71]Listas!$F$6:$J$10,MATCH(AJ95,[71]Listas!$D$6:$D$10,0),MATCH(AL95,[71]Listas!$F$4:$J$4,0))</f>
        <v>#N/A</v>
      </c>
      <c r="AO95" s="259"/>
      <c r="AP95" s="259"/>
      <c r="AQ95" s="610"/>
      <c r="AR95" s="259"/>
      <c r="AS95" s="259" t="s">
        <v>2343</v>
      </c>
      <c r="AT95" s="608"/>
      <c r="AU95" s="259"/>
      <c r="AV95" s="259"/>
      <c r="AW95" s="261"/>
      <c r="AX95" s="261"/>
      <c r="AY95" s="608"/>
      <c r="AZ95" s="262"/>
    </row>
    <row r="96" spans="2:52" s="260" customFormat="1" ht="103.5" hidden="1" customHeight="1">
      <c r="B96" s="608"/>
      <c r="C96" s="266"/>
      <c r="D96" s="1399"/>
      <c r="E96" s="1408"/>
      <c r="F96" s="1400"/>
      <c r="G96" s="267"/>
      <c r="H96" s="1399"/>
      <c r="I96" s="1408"/>
      <c r="J96" s="1400"/>
      <c r="K96" s="1380"/>
      <c r="L96" s="1380"/>
      <c r="M96" s="1380"/>
      <c r="N96" s="608"/>
      <c r="O96" s="608"/>
      <c r="P96" s="608"/>
      <c r="Q96" s="608"/>
      <c r="R96" s="266"/>
      <c r="S96" s="266"/>
      <c r="T96" s="268"/>
      <c r="U96" s="269" t="e">
        <f>VLOOKUP(R96,[71]Listas!$D$6:$E$10,2,0)</f>
        <v>#N/A</v>
      </c>
      <c r="V96" s="269" t="e">
        <f>HLOOKUP(S96,[71]Listas!$F$4:$J$5,2,0)</f>
        <v>#N/A</v>
      </c>
      <c r="W96" s="270" t="e">
        <f>INDEX([71]Listas!$F$6:$J$10,MATCH(R96,[71]Listas!$D$6:$D$10,0),MATCH(S96,[71]Listas!$F$4:$J$4,0))</f>
        <v>#N/A</v>
      </c>
      <c r="X96" s="268"/>
      <c r="Y96" s="1399"/>
      <c r="Z96" s="1408"/>
      <c r="AA96" s="1400"/>
      <c r="AB96" s="1063"/>
      <c r="AC96" s="267"/>
      <c r="AD96" s="259"/>
      <c r="AE96" s="608"/>
      <c r="AF96" s="267"/>
      <c r="AG96" s="268"/>
      <c r="AH96" s="269">
        <f t="shared" si="12"/>
        <v>0</v>
      </c>
      <c r="AI96" s="271" t="e">
        <f t="shared" si="13"/>
        <v>#N/A</v>
      </c>
      <c r="AJ96" s="272" t="e">
        <f>IF(AI96&lt;=1,"Remota",VLOOKUP(AI96,[71]Listas!$C$6:$D$10,2,0))</f>
        <v>#N/A</v>
      </c>
      <c r="AK96" s="271" t="e">
        <f t="shared" si="14"/>
        <v>#N/A</v>
      </c>
      <c r="AL96" s="272" t="e">
        <f>IF(AK96&lt;=1,"Insignificante",HLOOKUP(AK96,[71]Listas!$F$3:$J$4,2,0))</f>
        <v>#N/A</v>
      </c>
      <c r="AM96" s="273" t="e">
        <f t="shared" si="15"/>
        <v>#N/A</v>
      </c>
      <c r="AN96" s="270" t="e">
        <f>INDEX([71]Listas!$F$6:$J$10,MATCH(AJ96,[71]Listas!$D$6:$D$10,0),MATCH(AL96,[71]Listas!$F$4:$J$4,0))</f>
        <v>#N/A</v>
      </c>
      <c r="AO96" s="259"/>
      <c r="AP96" s="259"/>
      <c r="AQ96" s="610"/>
      <c r="AR96" s="259"/>
      <c r="AS96" s="259" t="s">
        <v>2343</v>
      </c>
      <c r="AT96" s="608"/>
      <c r="AU96" s="259"/>
      <c r="AV96" s="259"/>
      <c r="AW96" s="261"/>
      <c r="AX96" s="261"/>
      <c r="AY96" s="608"/>
      <c r="AZ96" s="262"/>
    </row>
    <row r="97" spans="2:52" s="260" customFormat="1" ht="103.5" hidden="1" customHeight="1">
      <c r="B97" s="608"/>
      <c r="C97" s="266"/>
      <c r="D97" s="1399"/>
      <c r="E97" s="1408"/>
      <c r="F97" s="1400"/>
      <c r="G97" s="267"/>
      <c r="H97" s="1399"/>
      <c r="I97" s="1408"/>
      <c r="J97" s="1400"/>
      <c r="K97" s="1380"/>
      <c r="L97" s="1380"/>
      <c r="M97" s="1380"/>
      <c r="N97" s="608"/>
      <c r="O97" s="608"/>
      <c r="P97" s="608"/>
      <c r="Q97" s="608"/>
      <c r="R97" s="266"/>
      <c r="S97" s="266"/>
      <c r="T97" s="268"/>
      <c r="U97" s="269" t="e">
        <f>VLOOKUP(R97,[71]Listas!$D$6:$E$10,2,0)</f>
        <v>#N/A</v>
      </c>
      <c r="V97" s="269" t="e">
        <f>HLOOKUP(S97,[71]Listas!$F$4:$J$5,2,0)</f>
        <v>#N/A</v>
      </c>
      <c r="W97" s="270" t="e">
        <f>INDEX([71]Listas!$F$6:$J$10,MATCH(R97,[71]Listas!$D$6:$D$10,0),MATCH(S97,[71]Listas!$F$4:$J$4,0))</f>
        <v>#N/A</v>
      </c>
      <c r="X97" s="268"/>
      <c r="Y97" s="1399"/>
      <c r="Z97" s="1408"/>
      <c r="AA97" s="1400"/>
      <c r="AB97" s="1063"/>
      <c r="AC97" s="267"/>
      <c r="AD97" s="259"/>
      <c r="AE97" s="608"/>
      <c r="AF97" s="267"/>
      <c r="AG97" s="268"/>
      <c r="AH97" s="269">
        <f t="shared" si="12"/>
        <v>0</v>
      </c>
      <c r="AI97" s="271" t="e">
        <f t="shared" si="13"/>
        <v>#N/A</v>
      </c>
      <c r="AJ97" s="272" t="e">
        <f>IF(AI97&lt;=1,"Remota",VLOOKUP(AI97,[71]Listas!$C$6:$D$10,2,0))</f>
        <v>#N/A</v>
      </c>
      <c r="AK97" s="271" t="e">
        <f t="shared" si="14"/>
        <v>#N/A</v>
      </c>
      <c r="AL97" s="272" t="e">
        <f>IF(AK97&lt;=1,"Insignificante",HLOOKUP(AK97,[71]Listas!$F$3:$J$4,2,0))</f>
        <v>#N/A</v>
      </c>
      <c r="AM97" s="273" t="e">
        <f t="shared" si="15"/>
        <v>#N/A</v>
      </c>
      <c r="AN97" s="270" t="e">
        <f>INDEX([71]Listas!$F$6:$J$10,MATCH(AJ97,[71]Listas!$D$6:$D$10,0),MATCH(AL97,[71]Listas!$F$4:$J$4,0))</f>
        <v>#N/A</v>
      </c>
      <c r="AO97" s="259"/>
      <c r="AP97" s="259"/>
      <c r="AQ97" s="610"/>
      <c r="AR97" s="259"/>
      <c r="AS97" s="259" t="s">
        <v>2343</v>
      </c>
      <c r="AT97" s="608"/>
      <c r="AU97" s="259"/>
      <c r="AV97" s="259"/>
      <c r="AW97" s="261"/>
      <c r="AX97" s="261"/>
      <c r="AY97" s="608"/>
      <c r="AZ97" s="262"/>
    </row>
    <row r="98" spans="2:52" s="260" customFormat="1" ht="103.5" hidden="1" customHeight="1">
      <c r="B98" s="608"/>
      <c r="C98" s="266"/>
      <c r="D98" s="1399"/>
      <c r="E98" s="1408"/>
      <c r="F98" s="1400"/>
      <c r="G98" s="267"/>
      <c r="H98" s="1399"/>
      <c r="I98" s="1408"/>
      <c r="J98" s="1400"/>
      <c r="K98" s="1380"/>
      <c r="L98" s="1380"/>
      <c r="M98" s="1380"/>
      <c r="N98" s="608"/>
      <c r="O98" s="608"/>
      <c r="P98" s="608"/>
      <c r="Q98" s="608"/>
      <c r="R98" s="266"/>
      <c r="S98" s="266"/>
      <c r="T98" s="268"/>
      <c r="U98" s="269" t="e">
        <f>VLOOKUP(R98,[71]Listas!$D$6:$E$10,2,0)</f>
        <v>#N/A</v>
      </c>
      <c r="V98" s="269" t="e">
        <f>HLOOKUP(S98,[71]Listas!$F$4:$J$5,2,0)</f>
        <v>#N/A</v>
      </c>
      <c r="W98" s="270" t="e">
        <f>INDEX([71]Listas!$F$6:$J$10,MATCH(R98,[71]Listas!$D$6:$D$10,0),MATCH(S98,[71]Listas!$F$4:$J$4,0))</f>
        <v>#N/A</v>
      </c>
      <c r="X98" s="268"/>
      <c r="Y98" s="1399"/>
      <c r="Z98" s="1408"/>
      <c r="AA98" s="1400"/>
      <c r="AB98" s="1063"/>
      <c r="AC98" s="267"/>
      <c r="AD98" s="259"/>
      <c r="AE98" s="608"/>
      <c r="AF98" s="267"/>
      <c r="AG98" s="268"/>
      <c r="AH98" s="269">
        <f t="shared" si="12"/>
        <v>0</v>
      </c>
      <c r="AI98" s="271" t="e">
        <f t="shared" si="13"/>
        <v>#N/A</v>
      </c>
      <c r="AJ98" s="272" t="e">
        <f>IF(AI98&lt;=1,"Remota",VLOOKUP(AI98,[71]Listas!$C$6:$D$10,2,0))</f>
        <v>#N/A</v>
      </c>
      <c r="AK98" s="271" t="e">
        <f t="shared" si="14"/>
        <v>#N/A</v>
      </c>
      <c r="AL98" s="272" t="e">
        <f>IF(AK98&lt;=1,"Insignificante",HLOOKUP(AK98,[71]Listas!$F$3:$J$4,2,0))</f>
        <v>#N/A</v>
      </c>
      <c r="AM98" s="273" t="e">
        <f t="shared" si="15"/>
        <v>#N/A</v>
      </c>
      <c r="AN98" s="270" t="e">
        <f>INDEX([71]Listas!$F$6:$J$10,MATCH(AJ98,[71]Listas!$D$6:$D$10,0),MATCH(AL98,[71]Listas!$F$4:$J$4,0))</f>
        <v>#N/A</v>
      </c>
      <c r="AO98" s="259"/>
      <c r="AP98" s="259"/>
      <c r="AQ98" s="610"/>
      <c r="AR98" s="259"/>
      <c r="AS98" s="259" t="s">
        <v>2343</v>
      </c>
      <c r="AT98" s="608"/>
      <c r="AU98" s="259"/>
      <c r="AV98" s="259"/>
      <c r="AW98" s="261"/>
      <c r="AX98" s="261"/>
      <c r="AY98" s="608"/>
      <c r="AZ98" s="262"/>
    </row>
    <row r="99" spans="2:52" s="260" customFormat="1" ht="103.5" hidden="1" customHeight="1">
      <c r="B99" s="608"/>
      <c r="C99" s="266"/>
      <c r="D99" s="1399"/>
      <c r="E99" s="1408"/>
      <c r="F99" s="1400"/>
      <c r="G99" s="267"/>
      <c r="H99" s="1399"/>
      <c r="I99" s="1408"/>
      <c r="J99" s="1400"/>
      <c r="K99" s="1380"/>
      <c r="L99" s="1380"/>
      <c r="M99" s="1380"/>
      <c r="N99" s="608"/>
      <c r="O99" s="608"/>
      <c r="P99" s="608"/>
      <c r="Q99" s="608"/>
      <c r="R99" s="266"/>
      <c r="S99" s="266"/>
      <c r="T99" s="268"/>
      <c r="U99" s="269" t="e">
        <f>VLOOKUP(R99,[71]Listas!$D$6:$E$10,2,0)</f>
        <v>#N/A</v>
      </c>
      <c r="V99" s="269" t="e">
        <f>HLOOKUP(S99,[71]Listas!$F$4:$J$5,2,0)</f>
        <v>#N/A</v>
      </c>
      <c r="W99" s="270" t="e">
        <f>INDEX([71]Listas!$F$6:$J$10,MATCH(R99,[71]Listas!$D$6:$D$10,0),MATCH(S99,[71]Listas!$F$4:$J$4,0))</f>
        <v>#N/A</v>
      </c>
      <c r="X99" s="268"/>
      <c r="Y99" s="1399"/>
      <c r="Z99" s="1408"/>
      <c r="AA99" s="1400"/>
      <c r="AB99" s="1063"/>
      <c r="AC99" s="267"/>
      <c r="AD99" s="259"/>
      <c r="AE99" s="608"/>
      <c r="AF99" s="267"/>
      <c r="AG99" s="268"/>
      <c r="AH99" s="269">
        <f t="shared" si="12"/>
        <v>0</v>
      </c>
      <c r="AI99" s="271" t="e">
        <f t="shared" si="13"/>
        <v>#N/A</v>
      </c>
      <c r="AJ99" s="272" t="e">
        <f>IF(AI99&lt;=1,"Remota",VLOOKUP(AI99,[71]Listas!$C$6:$D$10,2,0))</f>
        <v>#N/A</v>
      </c>
      <c r="AK99" s="271" t="e">
        <f t="shared" si="14"/>
        <v>#N/A</v>
      </c>
      <c r="AL99" s="272" t="e">
        <f>IF(AK99&lt;=1,"Insignificante",HLOOKUP(AK99,[71]Listas!$F$3:$J$4,2,0))</f>
        <v>#N/A</v>
      </c>
      <c r="AM99" s="273" t="e">
        <f t="shared" si="15"/>
        <v>#N/A</v>
      </c>
      <c r="AN99" s="270" t="e">
        <f>INDEX([71]Listas!$F$6:$J$10,MATCH(AJ99,[71]Listas!$D$6:$D$10,0),MATCH(AL99,[71]Listas!$F$4:$J$4,0))</f>
        <v>#N/A</v>
      </c>
      <c r="AO99" s="259"/>
      <c r="AP99" s="259"/>
      <c r="AQ99" s="610"/>
      <c r="AR99" s="259"/>
      <c r="AS99" s="259" t="s">
        <v>2343</v>
      </c>
      <c r="AT99" s="608"/>
      <c r="AU99" s="259"/>
      <c r="AV99" s="259"/>
      <c r="AW99" s="261"/>
      <c r="AX99" s="261"/>
      <c r="AY99" s="608"/>
      <c r="AZ99" s="262"/>
    </row>
    <row r="100" spans="2:52" s="260" customFormat="1" ht="103.5" hidden="1" customHeight="1">
      <c r="B100" s="608"/>
      <c r="C100" s="266"/>
      <c r="D100" s="1399"/>
      <c r="E100" s="1408"/>
      <c r="F100" s="1400"/>
      <c r="G100" s="267"/>
      <c r="H100" s="1399"/>
      <c r="I100" s="1408"/>
      <c r="J100" s="1400"/>
      <c r="K100" s="1380"/>
      <c r="L100" s="1380"/>
      <c r="M100" s="1380"/>
      <c r="N100" s="608"/>
      <c r="O100" s="608"/>
      <c r="P100" s="608"/>
      <c r="Q100" s="608"/>
      <c r="R100" s="266"/>
      <c r="S100" s="266"/>
      <c r="T100" s="268"/>
      <c r="U100" s="269" t="e">
        <f>VLOOKUP(R100,[71]Listas!$D$6:$E$10,2,0)</f>
        <v>#N/A</v>
      </c>
      <c r="V100" s="269" t="e">
        <f>HLOOKUP(S100,[71]Listas!$F$4:$J$5,2,0)</f>
        <v>#N/A</v>
      </c>
      <c r="W100" s="270" t="e">
        <f>INDEX([71]Listas!$F$6:$J$10,MATCH(R100,[71]Listas!$D$6:$D$10,0),MATCH(S100,[71]Listas!$F$4:$J$4,0))</f>
        <v>#N/A</v>
      </c>
      <c r="X100" s="268"/>
      <c r="Y100" s="1399"/>
      <c r="Z100" s="1408"/>
      <c r="AA100" s="1400"/>
      <c r="AB100" s="1063"/>
      <c r="AC100" s="267"/>
      <c r="AD100" s="259"/>
      <c r="AE100" s="608"/>
      <c r="AF100" s="267"/>
      <c r="AG100" s="268"/>
      <c r="AH100" s="269">
        <f t="shared" si="12"/>
        <v>0</v>
      </c>
      <c r="AI100" s="271" t="e">
        <f t="shared" si="13"/>
        <v>#N/A</v>
      </c>
      <c r="AJ100" s="272" t="e">
        <f>IF(AI100&lt;=1,"Remota",VLOOKUP(AI100,[71]Listas!$C$6:$D$10,2,0))</f>
        <v>#N/A</v>
      </c>
      <c r="AK100" s="271" t="e">
        <f t="shared" si="14"/>
        <v>#N/A</v>
      </c>
      <c r="AL100" s="272" t="e">
        <f>IF(AK100&lt;=1,"Insignificante",HLOOKUP(AK100,[71]Listas!$F$3:$J$4,2,0))</f>
        <v>#N/A</v>
      </c>
      <c r="AM100" s="273" t="e">
        <f t="shared" si="15"/>
        <v>#N/A</v>
      </c>
      <c r="AN100" s="270" t="e">
        <f>INDEX([71]Listas!$F$6:$J$10,MATCH(AJ100,[71]Listas!$D$6:$D$10,0),MATCH(AL100,[71]Listas!$F$4:$J$4,0))</f>
        <v>#N/A</v>
      </c>
      <c r="AO100" s="259"/>
      <c r="AP100" s="259"/>
      <c r="AQ100" s="610"/>
      <c r="AR100" s="259"/>
      <c r="AS100" s="259" t="s">
        <v>2343</v>
      </c>
      <c r="AT100" s="608"/>
      <c r="AU100" s="259"/>
      <c r="AV100" s="259"/>
      <c r="AW100" s="261"/>
      <c r="AX100" s="261"/>
      <c r="AY100" s="608"/>
      <c r="AZ100" s="262"/>
    </row>
    <row r="101" spans="2:52" s="260" customFormat="1" ht="103.5" hidden="1" customHeight="1">
      <c r="B101" s="608"/>
      <c r="C101" s="266"/>
      <c r="D101" s="1399"/>
      <c r="E101" s="1408"/>
      <c r="F101" s="1400"/>
      <c r="G101" s="267"/>
      <c r="H101" s="1399"/>
      <c r="I101" s="1408"/>
      <c r="J101" s="1400"/>
      <c r="K101" s="1380"/>
      <c r="L101" s="1380"/>
      <c r="M101" s="1380"/>
      <c r="N101" s="608"/>
      <c r="O101" s="608"/>
      <c r="P101" s="608"/>
      <c r="Q101" s="608"/>
      <c r="R101" s="266"/>
      <c r="S101" s="266"/>
      <c r="T101" s="268"/>
      <c r="U101" s="269" t="e">
        <f>VLOOKUP(R101,[71]Listas!$D$6:$E$10,2,0)</f>
        <v>#N/A</v>
      </c>
      <c r="V101" s="269" t="e">
        <f>HLOOKUP(S101,[71]Listas!$F$4:$J$5,2,0)</f>
        <v>#N/A</v>
      </c>
      <c r="W101" s="270" t="e">
        <f>INDEX([71]Listas!$F$6:$J$10,MATCH(R101,[71]Listas!$D$6:$D$10,0),MATCH(S101,[71]Listas!$F$4:$J$4,0))</f>
        <v>#N/A</v>
      </c>
      <c r="X101" s="268"/>
      <c r="Y101" s="1399"/>
      <c r="Z101" s="1408"/>
      <c r="AA101" s="1400"/>
      <c r="AB101" s="1063"/>
      <c r="AC101" s="267"/>
      <c r="AD101" s="259"/>
      <c r="AE101" s="608"/>
      <c r="AF101" s="267"/>
      <c r="AG101" s="268"/>
      <c r="AH101" s="269">
        <f t="shared" si="12"/>
        <v>0</v>
      </c>
      <c r="AI101" s="271" t="e">
        <f t="shared" si="13"/>
        <v>#N/A</v>
      </c>
      <c r="AJ101" s="272" t="e">
        <f>IF(AI101&lt;=1,"Remota",VLOOKUP(AI101,[71]Listas!$C$6:$D$10,2,0))</f>
        <v>#N/A</v>
      </c>
      <c r="AK101" s="271" t="e">
        <f t="shared" si="14"/>
        <v>#N/A</v>
      </c>
      <c r="AL101" s="272" t="e">
        <f>IF(AK101&lt;=1,"Insignificante",HLOOKUP(AK101,[71]Listas!$F$3:$J$4,2,0))</f>
        <v>#N/A</v>
      </c>
      <c r="AM101" s="273" t="e">
        <f t="shared" si="15"/>
        <v>#N/A</v>
      </c>
      <c r="AN101" s="270" t="e">
        <f>INDEX([71]Listas!$F$6:$J$10,MATCH(AJ101,[71]Listas!$D$6:$D$10,0),MATCH(AL101,[71]Listas!$F$4:$J$4,0))</f>
        <v>#N/A</v>
      </c>
      <c r="AO101" s="259"/>
      <c r="AP101" s="259"/>
      <c r="AQ101" s="610"/>
      <c r="AR101" s="259"/>
      <c r="AS101" s="259" t="s">
        <v>2343</v>
      </c>
      <c r="AT101" s="608"/>
      <c r="AU101" s="259"/>
      <c r="AV101" s="259"/>
      <c r="AW101" s="261"/>
      <c r="AX101" s="261"/>
      <c r="AY101" s="608"/>
      <c r="AZ101" s="262"/>
    </row>
    <row r="102" spans="2:52" s="260" customFormat="1" ht="103.5" hidden="1" customHeight="1">
      <c r="B102" s="608"/>
      <c r="C102" s="266"/>
      <c r="D102" s="1399"/>
      <c r="E102" s="1408"/>
      <c r="F102" s="1400"/>
      <c r="G102" s="267"/>
      <c r="H102" s="1399"/>
      <c r="I102" s="1408"/>
      <c r="J102" s="1400"/>
      <c r="K102" s="1380"/>
      <c r="L102" s="1380"/>
      <c r="M102" s="1380"/>
      <c r="N102" s="608"/>
      <c r="O102" s="608"/>
      <c r="P102" s="608"/>
      <c r="Q102" s="608"/>
      <c r="R102" s="266"/>
      <c r="S102" s="266"/>
      <c r="T102" s="268"/>
      <c r="U102" s="269" t="e">
        <f>VLOOKUP(R102,[71]Listas!$D$6:$E$10,2,0)</f>
        <v>#N/A</v>
      </c>
      <c r="V102" s="269" t="e">
        <f>HLOOKUP(S102,[71]Listas!$F$4:$J$5,2,0)</f>
        <v>#N/A</v>
      </c>
      <c r="W102" s="270" t="e">
        <f>INDEX([71]Listas!$F$6:$J$10,MATCH(R102,[71]Listas!$D$6:$D$10,0),MATCH(S102,[71]Listas!$F$4:$J$4,0))</f>
        <v>#N/A</v>
      </c>
      <c r="X102" s="268"/>
      <c r="Y102" s="1399"/>
      <c r="Z102" s="1408"/>
      <c r="AA102" s="1400"/>
      <c r="AB102" s="1063"/>
      <c r="AC102" s="267"/>
      <c r="AD102" s="259"/>
      <c r="AE102" s="608"/>
      <c r="AF102" s="267"/>
      <c r="AG102" s="268"/>
      <c r="AH102" s="269">
        <f t="shared" si="12"/>
        <v>0</v>
      </c>
      <c r="AI102" s="271" t="e">
        <f t="shared" si="13"/>
        <v>#N/A</v>
      </c>
      <c r="AJ102" s="272" t="e">
        <f>IF(AI102&lt;=1,"Remota",VLOOKUP(AI102,[71]Listas!$C$6:$D$10,2,0))</f>
        <v>#N/A</v>
      </c>
      <c r="AK102" s="271" t="e">
        <f t="shared" si="14"/>
        <v>#N/A</v>
      </c>
      <c r="AL102" s="272" t="e">
        <f>IF(AK102&lt;=1,"Insignificante",HLOOKUP(AK102,[71]Listas!$F$3:$J$4,2,0))</f>
        <v>#N/A</v>
      </c>
      <c r="AM102" s="273" t="e">
        <f t="shared" si="15"/>
        <v>#N/A</v>
      </c>
      <c r="AN102" s="270" t="e">
        <f>INDEX([71]Listas!$F$6:$J$10,MATCH(AJ102,[71]Listas!$D$6:$D$10,0),MATCH(AL102,[71]Listas!$F$4:$J$4,0))</f>
        <v>#N/A</v>
      </c>
      <c r="AO102" s="259"/>
      <c r="AP102" s="259"/>
      <c r="AQ102" s="610"/>
      <c r="AR102" s="259"/>
      <c r="AS102" s="259" t="s">
        <v>2343</v>
      </c>
      <c r="AT102" s="608"/>
      <c r="AU102" s="259"/>
      <c r="AV102" s="259"/>
      <c r="AW102" s="261"/>
      <c r="AX102" s="261"/>
      <c r="AY102" s="608"/>
      <c r="AZ102" s="262"/>
    </row>
    <row r="103" spans="2:52" s="260" customFormat="1" ht="103.5" hidden="1" customHeight="1">
      <c r="B103" s="608"/>
      <c r="C103" s="266"/>
      <c r="D103" s="1399"/>
      <c r="E103" s="1408"/>
      <c r="F103" s="1400"/>
      <c r="G103" s="267"/>
      <c r="H103" s="1399"/>
      <c r="I103" s="1408"/>
      <c r="J103" s="1400"/>
      <c r="K103" s="1380"/>
      <c r="L103" s="1380"/>
      <c r="M103" s="1380"/>
      <c r="N103" s="608"/>
      <c r="O103" s="608"/>
      <c r="P103" s="608"/>
      <c r="Q103" s="608"/>
      <c r="R103" s="266"/>
      <c r="S103" s="266"/>
      <c r="T103" s="268"/>
      <c r="U103" s="269" t="e">
        <f>VLOOKUP(R103,[71]Listas!$D$6:$E$10,2,0)</f>
        <v>#N/A</v>
      </c>
      <c r="V103" s="269" t="e">
        <f>HLOOKUP(S103,[71]Listas!$F$4:$J$5,2,0)</f>
        <v>#N/A</v>
      </c>
      <c r="W103" s="270" t="e">
        <f>INDEX([71]Listas!$F$6:$J$10,MATCH(R103,[71]Listas!$D$6:$D$10,0),MATCH(S103,[71]Listas!$F$4:$J$4,0))</f>
        <v>#N/A</v>
      </c>
      <c r="X103" s="268"/>
      <c r="Y103" s="1399"/>
      <c r="Z103" s="1408"/>
      <c r="AA103" s="1400"/>
      <c r="AB103" s="1063"/>
      <c r="AC103" s="267"/>
      <c r="AD103" s="259"/>
      <c r="AE103" s="608"/>
      <c r="AF103" s="267"/>
      <c r="AG103" s="268"/>
      <c r="AH103" s="269">
        <f t="shared" si="12"/>
        <v>0</v>
      </c>
      <c r="AI103" s="271" t="e">
        <f t="shared" si="13"/>
        <v>#N/A</v>
      </c>
      <c r="AJ103" s="272" t="e">
        <f>IF(AI103&lt;=1,"Remota",VLOOKUP(AI103,[71]Listas!$C$6:$D$10,2,0))</f>
        <v>#N/A</v>
      </c>
      <c r="AK103" s="271" t="e">
        <f t="shared" si="14"/>
        <v>#N/A</v>
      </c>
      <c r="AL103" s="272" t="e">
        <f>IF(AK103&lt;=1,"Insignificante",HLOOKUP(AK103,[71]Listas!$F$3:$J$4,2,0))</f>
        <v>#N/A</v>
      </c>
      <c r="AM103" s="273" t="e">
        <f t="shared" si="15"/>
        <v>#N/A</v>
      </c>
      <c r="AN103" s="270" t="e">
        <f>INDEX([71]Listas!$F$6:$J$10,MATCH(AJ103,[71]Listas!$D$6:$D$10,0),MATCH(AL103,[71]Listas!$F$4:$J$4,0))</f>
        <v>#N/A</v>
      </c>
      <c r="AO103" s="259"/>
      <c r="AP103" s="259"/>
      <c r="AQ103" s="610"/>
      <c r="AR103" s="259"/>
      <c r="AS103" s="259" t="s">
        <v>2343</v>
      </c>
      <c r="AT103" s="608"/>
      <c r="AU103" s="259"/>
      <c r="AV103" s="259"/>
      <c r="AW103" s="261"/>
      <c r="AX103" s="261"/>
      <c r="AY103" s="608"/>
      <c r="AZ103" s="262"/>
    </row>
    <row r="104" spans="2:52" s="260" customFormat="1" ht="103.5" hidden="1" customHeight="1">
      <c r="B104" s="608"/>
      <c r="C104" s="266"/>
      <c r="D104" s="1399"/>
      <c r="E104" s="1408"/>
      <c r="F104" s="1400"/>
      <c r="G104" s="267"/>
      <c r="H104" s="1399"/>
      <c r="I104" s="1408"/>
      <c r="J104" s="1400"/>
      <c r="K104" s="1380"/>
      <c r="L104" s="1380"/>
      <c r="M104" s="1380"/>
      <c r="N104" s="608"/>
      <c r="O104" s="608"/>
      <c r="P104" s="608"/>
      <c r="Q104" s="608"/>
      <c r="R104" s="266"/>
      <c r="S104" s="266"/>
      <c r="T104" s="268"/>
      <c r="U104" s="269" t="e">
        <f>VLOOKUP(R104,[71]Listas!$D$6:$E$10,2,0)</f>
        <v>#N/A</v>
      </c>
      <c r="V104" s="269" t="e">
        <f>HLOOKUP(S104,[71]Listas!$F$4:$J$5,2,0)</f>
        <v>#N/A</v>
      </c>
      <c r="W104" s="270" t="e">
        <f>INDEX([71]Listas!$F$6:$J$10,MATCH(R104,[71]Listas!$D$6:$D$10,0),MATCH(S104,[71]Listas!$F$4:$J$4,0))</f>
        <v>#N/A</v>
      </c>
      <c r="X104" s="268"/>
      <c r="Y104" s="1399"/>
      <c r="Z104" s="1408"/>
      <c r="AA104" s="1400"/>
      <c r="AB104" s="1063"/>
      <c r="AC104" s="267"/>
      <c r="AD104" s="259"/>
      <c r="AE104" s="608"/>
      <c r="AF104" s="267"/>
      <c r="AG104" s="268"/>
      <c r="AH104" s="269">
        <f t="shared" si="12"/>
        <v>0</v>
      </c>
      <c r="AI104" s="271" t="e">
        <f t="shared" si="13"/>
        <v>#N/A</v>
      </c>
      <c r="AJ104" s="272" t="e">
        <f>IF(AI104&lt;=1,"Remota",VLOOKUP(AI104,[71]Listas!$C$6:$D$10,2,0))</f>
        <v>#N/A</v>
      </c>
      <c r="AK104" s="271" t="e">
        <f t="shared" si="14"/>
        <v>#N/A</v>
      </c>
      <c r="AL104" s="272" t="e">
        <f>IF(AK104&lt;=1,"Insignificante",HLOOKUP(AK104,[71]Listas!$F$3:$J$4,2,0))</f>
        <v>#N/A</v>
      </c>
      <c r="AM104" s="273" t="e">
        <f t="shared" si="15"/>
        <v>#N/A</v>
      </c>
      <c r="AN104" s="270" t="e">
        <f>INDEX([71]Listas!$F$6:$J$10,MATCH(AJ104,[71]Listas!$D$6:$D$10,0),MATCH(AL104,[71]Listas!$F$4:$J$4,0))</f>
        <v>#N/A</v>
      </c>
      <c r="AO104" s="259"/>
      <c r="AP104" s="259"/>
      <c r="AQ104" s="610"/>
      <c r="AR104" s="259"/>
      <c r="AS104" s="259" t="s">
        <v>2343</v>
      </c>
      <c r="AT104" s="608"/>
      <c r="AU104" s="259"/>
      <c r="AV104" s="259"/>
      <c r="AW104" s="261"/>
      <c r="AX104" s="261"/>
      <c r="AY104" s="608"/>
      <c r="AZ104" s="262"/>
    </row>
    <row r="105" spans="2:52" s="260" customFormat="1" ht="103.5" hidden="1" customHeight="1">
      <c r="B105" s="608"/>
      <c r="C105" s="266"/>
      <c r="D105" s="1399"/>
      <c r="E105" s="1408"/>
      <c r="F105" s="1400"/>
      <c r="G105" s="267"/>
      <c r="H105" s="1399"/>
      <c r="I105" s="1408"/>
      <c r="J105" s="1400"/>
      <c r="K105" s="1380"/>
      <c r="L105" s="1380"/>
      <c r="M105" s="1380"/>
      <c r="N105" s="608"/>
      <c r="O105" s="608"/>
      <c r="P105" s="608"/>
      <c r="Q105" s="608"/>
      <c r="R105" s="266"/>
      <c r="S105" s="266"/>
      <c r="T105" s="268"/>
      <c r="U105" s="269" t="e">
        <f>VLOOKUP(R105,[71]Listas!$D$6:$E$10,2,0)</f>
        <v>#N/A</v>
      </c>
      <c r="V105" s="269" t="e">
        <f>HLOOKUP(S105,[71]Listas!$F$4:$J$5,2,0)</f>
        <v>#N/A</v>
      </c>
      <c r="W105" s="270" t="e">
        <f>INDEX([71]Listas!$F$6:$J$10,MATCH(R105,[71]Listas!$D$6:$D$10,0),MATCH(S105,[71]Listas!$F$4:$J$4,0))</f>
        <v>#N/A</v>
      </c>
      <c r="X105" s="268"/>
      <c r="Y105" s="1399"/>
      <c r="Z105" s="1408"/>
      <c r="AA105" s="1400"/>
      <c r="AB105" s="1063"/>
      <c r="AC105" s="267"/>
      <c r="AD105" s="259"/>
      <c r="AE105" s="608"/>
      <c r="AF105" s="267"/>
      <c r="AG105" s="268"/>
      <c r="AH105" s="269">
        <f t="shared" si="12"/>
        <v>0</v>
      </c>
      <c r="AI105" s="271" t="e">
        <f t="shared" si="13"/>
        <v>#N/A</v>
      </c>
      <c r="AJ105" s="272" t="e">
        <f>IF(AI105&lt;=1,"Remota",VLOOKUP(AI105,[71]Listas!$C$6:$D$10,2,0))</f>
        <v>#N/A</v>
      </c>
      <c r="AK105" s="271" t="e">
        <f t="shared" si="14"/>
        <v>#N/A</v>
      </c>
      <c r="AL105" s="272" t="e">
        <f>IF(AK105&lt;=1,"Insignificante",HLOOKUP(AK105,[71]Listas!$F$3:$J$4,2,0))</f>
        <v>#N/A</v>
      </c>
      <c r="AM105" s="273" t="e">
        <f t="shared" si="15"/>
        <v>#N/A</v>
      </c>
      <c r="AN105" s="270" t="e">
        <f>INDEX([71]Listas!$F$6:$J$10,MATCH(AJ105,[71]Listas!$D$6:$D$10,0),MATCH(AL105,[71]Listas!$F$4:$J$4,0))</f>
        <v>#N/A</v>
      </c>
      <c r="AO105" s="259"/>
      <c r="AP105" s="259"/>
      <c r="AQ105" s="610"/>
      <c r="AR105" s="259"/>
      <c r="AS105" s="259" t="s">
        <v>2343</v>
      </c>
      <c r="AT105" s="608"/>
      <c r="AU105" s="259"/>
      <c r="AV105" s="259"/>
      <c r="AW105" s="261"/>
      <c r="AX105" s="261"/>
      <c r="AY105" s="608"/>
      <c r="AZ105" s="262"/>
    </row>
    <row r="106" spans="2:52" s="260" customFormat="1" ht="103.5" hidden="1" customHeight="1">
      <c r="B106" s="608"/>
      <c r="C106" s="266"/>
      <c r="D106" s="1399"/>
      <c r="E106" s="1408"/>
      <c r="F106" s="1400"/>
      <c r="G106" s="267"/>
      <c r="H106" s="1399"/>
      <c r="I106" s="1408"/>
      <c r="J106" s="1400"/>
      <c r="K106" s="1380"/>
      <c r="L106" s="1380"/>
      <c r="M106" s="1380"/>
      <c r="N106" s="608"/>
      <c r="O106" s="608"/>
      <c r="P106" s="608"/>
      <c r="Q106" s="608"/>
      <c r="R106" s="266"/>
      <c r="S106" s="266"/>
      <c r="T106" s="268"/>
      <c r="U106" s="269" t="e">
        <f>VLOOKUP(R106,[71]Listas!$D$6:$E$10,2,0)</f>
        <v>#N/A</v>
      </c>
      <c r="V106" s="269" t="e">
        <f>HLOOKUP(S106,[71]Listas!$F$4:$J$5,2,0)</f>
        <v>#N/A</v>
      </c>
      <c r="W106" s="270" t="e">
        <f>INDEX([71]Listas!$F$6:$J$10,MATCH(R106,[71]Listas!$D$6:$D$10,0),MATCH(S106,[71]Listas!$F$4:$J$4,0))</f>
        <v>#N/A</v>
      </c>
      <c r="X106" s="268"/>
      <c r="Y106" s="1399"/>
      <c r="Z106" s="1408"/>
      <c r="AA106" s="1400"/>
      <c r="AB106" s="1063"/>
      <c r="AC106" s="267"/>
      <c r="AD106" s="259"/>
      <c r="AE106" s="608"/>
      <c r="AF106" s="267"/>
      <c r="AG106" s="268"/>
      <c r="AH106" s="269">
        <f t="shared" si="12"/>
        <v>0</v>
      </c>
      <c r="AI106" s="271" t="e">
        <f t="shared" si="13"/>
        <v>#N/A</v>
      </c>
      <c r="AJ106" s="272" t="e">
        <f>IF(AI106&lt;=1,"Remota",VLOOKUP(AI106,[71]Listas!$C$6:$D$10,2,0))</f>
        <v>#N/A</v>
      </c>
      <c r="AK106" s="271" t="e">
        <f t="shared" si="14"/>
        <v>#N/A</v>
      </c>
      <c r="AL106" s="272" t="e">
        <f>IF(AK106&lt;=1,"Insignificante",HLOOKUP(AK106,[71]Listas!$F$3:$J$4,2,0))</f>
        <v>#N/A</v>
      </c>
      <c r="AM106" s="273" t="e">
        <f t="shared" si="15"/>
        <v>#N/A</v>
      </c>
      <c r="AN106" s="270" t="e">
        <f>INDEX([71]Listas!$F$6:$J$10,MATCH(AJ106,[71]Listas!$D$6:$D$10,0),MATCH(AL106,[71]Listas!$F$4:$J$4,0))</f>
        <v>#N/A</v>
      </c>
      <c r="AO106" s="259"/>
      <c r="AP106" s="259"/>
      <c r="AQ106" s="610"/>
      <c r="AR106" s="259"/>
      <c r="AS106" s="259" t="s">
        <v>2343</v>
      </c>
      <c r="AT106" s="608"/>
      <c r="AU106" s="259"/>
      <c r="AV106" s="259"/>
      <c r="AW106" s="261"/>
      <c r="AX106" s="261"/>
      <c r="AY106" s="608"/>
      <c r="AZ106" s="262"/>
    </row>
    <row r="107" spans="2:52" s="260" customFormat="1" ht="103.5" hidden="1" customHeight="1">
      <c r="B107" s="608"/>
      <c r="C107" s="266"/>
      <c r="D107" s="1399"/>
      <c r="E107" s="1408"/>
      <c r="F107" s="1400"/>
      <c r="G107" s="267"/>
      <c r="H107" s="1399"/>
      <c r="I107" s="1408"/>
      <c r="J107" s="1400"/>
      <c r="K107" s="1380"/>
      <c r="L107" s="1380"/>
      <c r="M107" s="1380"/>
      <c r="N107" s="608"/>
      <c r="O107" s="608"/>
      <c r="P107" s="608"/>
      <c r="Q107" s="608"/>
      <c r="R107" s="266"/>
      <c r="S107" s="266"/>
      <c r="T107" s="268"/>
      <c r="U107" s="269" t="e">
        <f>VLOOKUP(R107,[71]Listas!$D$6:$E$10,2,0)</f>
        <v>#N/A</v>
      </c>
      <c r="V107" s="269" t="e">
        <f>HLOOKUP(S107,[71]Listas!$F$4:$J$5,2,0)</f>
        <v>#N/A</v>
      </c>
      <c r="W107" s="270" t="e">
        <f>INDEX([71]Listas!$F$6:$J$10,MATCH(R107,[71]Listas!$D$6:$D$10,0),MATCH(S107,[71]Listas!$F$4:$J$4,0))</f>
        <v>#N/A</v>
      </c>
      <c r="X107" s="268"/>
      <c r="Y107" s="1399"/>
      <c r="Z107" s="1408"/>
      <c r="AA107" s="1400"/>
      <c r="AB107" s="1063"/>
      <c r="AC107" s="267"/>
      <c r="AD107" s="259"/>
      <c r="AE107" s="608"/>
      <c r="AF107" s="267"/>
      <c r="AG107" s="268"/>
      <c r="AH107" s="269">
        <f t="shared" si="12"/>
        <v>0</v>
      </c>
      <c r="AI107" s="271" t="e">
        <f t="shared" si="13"/>
        <v>#N/A</v>
      </c>
      <c r="AJ107" s="272" t="e">
        <f>IF(AI107&lt;=1,"Remota",VLOOKUP(AI107,[71]Listas!$C$6:$D$10,2,0))</f>
        <v>#N/A</v>
      </c>
      <c r="AK107" s="271" t="e">
        <f t="shared" si="14"/>
        <v>#N/A</v>
      </c>
      <c r="AL107" s="272" t="e">
        <f>IF(AK107&lt;=1,"Insignificante",HLOOKUP(AK107,[71]Listas!$F$3:$J$4,2,0))</f>
        <v>#N/A</v>
      </c>
      <c r="AM107" s="273" t="e">
        <f t="shared" si="15"/>
        <v>#N/A</v>
      </c>
      <c r="AN107" s="270" t="e">
        <f>INDEX([71]Listas!$F$6:$J$10,MATCH(AJ107,[71]Listas!$D$6:$D$10,0),MATCH(AL107,[71]Listas!$F$4:$J$4,0))</f>
        <v>#N/A</v>
      </c>
      <c r="AO107" s="259"/>
      <c r="AP107" s="259"/>
      <c r="AQ107" s="610"/>
      <c r="AR107" s="259"/>
      <c r="AS107" s="259" t="s">
        <v>2343</v>
      </c>
      <c r="AT107" s="608"/>
      <c r="AU107" s="259"/>
      <c r="AV107" s="259"/>
      <c r="AW107" s="261"/>
      <c r="AX107" s="261"/>
      <c r="AY107" s="608"/>
      <c r="AZ107" s="262"/>
    </row>
    <row r="108" spans="2:52" s="260" customFormat="1" ht="103.5" hidden="1" customHeight="1">
      <c r="B108" s="608"/>
      <c r="C108" s="266"/>
      <c r="D108" s="1399"/>
      <c r="E108" s="1408"/>
      <c r="F108" s="1400"/>
      <c r="G108" s="267"/>
      <c r="H108" s="1399"/>
      <c r="I108" s="1408"/>
      <c r="J108" s="1400"/>
      <c r="K108" s="1380"/>
      <c r="L108" s="1380"/>
      <c r="M108" s="1380"/>
      <c r="N108" s="608"/>
      <c r="O108" s="608"/>
      <c r="P108" s="608"/>
      <c r="Q108" s="608"/>
      <c r="R108" s="266"/>
      <c r="S108" s="266"/>
      <c r="T108" s="268"/>
      <c r="U108" s="269" t="e">
        <f>VLOOKUP(R108,[71]Listas!$D$6:$E$10,2,0)</f>
        <v>#N/A</v>
      </c>
      <c r="V108" s="269" t="e">
        <f>HLOOKUP(S108,[71]Listas!$F$4:$J$5,2,0)</f>
        <v>#N/A</v>
      </c>
      <c r="W108" s="270" t="e">
        <f>INDEX([71]Listas!$F$6:$J$10,MATCH(R108,[71]Listas!$D$6:$D$10,0),MATCH(S108,[71]Listas!$F$4:$J$4,0))</f>
        <v>#N/A</v>
      </c>
      <c r="X108" s="268"/>
      <c r="Y108" s="1399"/>
      <c r="Z108" s="1408"/>
      <c r="AA108" s="1400"/>
      <c r="AB108" s="1063"/>
      <c r="AC108" s="267"/>
      <c r="AD108" s="259"/>
      <c r="AE108" s="608"/>
      <c r="AF108" s="267"/>
      <c r="AG108" s="268"/>
      <c r="AH108" s="269">
        <f t="shared" si="12"/>
        <v>0</v>
      </c>
      <c r="AI108" s="271" t="e">
        <f t="shared" si="13"/>
        <v>#N/A</v>
      </c>
      <c r="AJ108" s="272" t="e">
        <f>IF(AI108&lt;=1,"Remota",VLOOKUP(AI108,[71]Listas!$C$6:$D$10,2,0))</f>
        <v>#N/A</v>
      </c>
      <c r="AK108" s="271" t="e">
        <f t="shared" si="14"/>
        <v>#N/A</v>
      </c>
      <c r="AL108" s="272" t="e">
        <f>IF(AK108&lt;=1,"Insignificante",HLOOKUP(AK108,[71]Listas!$F$3:$J$4,2,0))</f>
        <v>#N/A</v>
      </c>
      <c r="AM108" s="273" t="e">
        <f t="shared" si="15"/>
        <v>#N/A</v>
      </c>
      <c r="AN108" s="270" t="e">
        <f>INDEX([71]Listas!$F$6:$J$10,MATCH(AJ108,[71]Listas!$D$6:$D$10,0),MATCH(AL108,[71]Listas!$F$4:$J$4,0))</f>
        <v>#N/A</v>
      </c>
      <c r="AO108" s="259"/>
      <c r="AP108" s="259"/>
      <c r="AQ108" s="610"/>
      <c r="AR108" s="259"/>
      <c r="AS108" s="259" t="s">
        <v>2343</v>
      </c>
      <c r="AT108" s="608"/>
      <c r="AU108" s="259"/>
      <c r="AV108" s="259"/>
      <c r="AW108" s="261"/>
      <c r="AX108" s="261"/>
      <c r="AY108" s="608"/>
      <c r="AZ108" s="262"/>
    </row>
    <row r="109" spans="2:52" s="260" customFormat="1" ht="103.5" hidden="1" customHeight="1">
      <c r="B109" s="608"/>
      <c r="C109" s="266"/>
      <c r="D109" s="1399"/>
      <c r="E109" s="1408"/>
      <c r="F109" s="1400"/>
      <c r="G109" s="267"/>
      <c r="H109" s="1399"/>
      <c r="I109" s="1408"/>
      <c r="J109" s="1400"/>
      <c r="K109" s="1380"/>
      <c r="L109" s="1380"/>
      <c r="M109" s="1380"/>
      <c r="N109" s="608"/>
      <c r="O109" s="608"/>
      <c r="P109" s="608"/>
      <c r="Q109" s="608"/>
      <c r="R109" s="266"/>
      <c r="S109" s="266"/>
      <c r="T109" s="268"/>
      <c r="U109" s="269" t="e">
        <f>VLOOKUP(R109,[71]Listas!$D$6:$E$10,2,0)</f>
        <v>#N/A</v>
      </c>
      <c r="V109" s="269" t="e">
        <f>HLOOKUP(S109,[71]Listas!$F$4:$J$5,2,0)</f>
        <v>#N/A</v>
      </c>
      <c r="W109" s="270" t="e">
        <f>INDEX([71]Listas!$F$6:$J$10,MATCH(R109,[71]Listas!$D$6:$D$10,0),MATCH(S109,[71]Listas!$F$4:$J$4,0))</f>
        <v>#N/A</v>
      </c>
      <c r="X109" s="268"/>
      <c r="Y109" s="1399"/>
      <c r="Z109" s="1408"/>
      <c r="AA109" s="1400"/>
      <c r="AB109" s="1063"/>
      <c r="AC109" s="267"/>
      <c r="AD109" s="259"/>
      <c r="AE109" s="608"/>
      <c r="AF109" s="267"/>
      <c r="AG109" s="268"/>
      <c r="AH109" s="269">
        <f t="shared" si="12"/>
        <v>0</v>
      </c>
      <c r="AI109" s="271" t="e">
        <f t="shared" si="13"/>
        <v>#N/A</v>
      </c>
      <c r="AJ109" s="272" t="e">
        <f>IF(AI109&lt;=1,"Remota",VLOOKUP(AI109,[71]Listas!$C$6:$D$10,2,0))</f>
        <v>#N/A</v>
      </c>
      <c r="AK109" s="271" t="e">
        <f t="shared" si="14"/>
        <v>#N/A</v>
      </c>
      <c r="AL109" s="272" t="e">
        <f>IF(AK109&lt;=1,"Insignificante",HLOOKUP(AK109,[71]Listas!$F$3:$J$4,2,0))</f>
        <v>#N/A</v>
      </c>
      <c r="AM109" s="273" t="e">
        <f t="shared" si="15"/>
        <v>#N/A</v>
      </c>
      <c r="AN109" s="270" t="e">
        <f>INDEX([71]Listas!$F$6:$J$10,MATCH(AJ109,[71]Listas!$D$6:$D$10,0),MATCH(AL109,[71]Listas!$F$4:$J$4,0))</f>
        <v>#N/A</v>
      </c>
      <c r="AO109" s="259"/>
      <c r="AP109" s="259"/>
      <c r="AQ109" s="610"/>
      <c r="AR109" s="259"/>
      <c r="AS109" s="259" t="s">
        <v>2343</v>
      </c>
      <c r="AT109" s="608"/>
      <c r="AU109" s="259"/>
      <c r="AV109" s="259"/>
      <c r="AW109" s="261"/>
      <c r="AX109" s="261"/>
      <c r="AY109" s="608"/>
      <c r="AZ109" s="262"/>
    </row>
    <row r="110" spans="2:52" s="260" customFormat="1" ht="103.5" hidden="1" customHeight="1">
      <c r="B110" s="608"/>
      <c r="C110" s="266"/>
      <c r="D110" s="1399"/>
      <c r="E110" s="1408"/>
      <c r="F110" s="1400"/>
      <c r="G110" s="267"/>
      <c r="H110" s="1399"/>
      <c r="I110" s="1408"/>
      <c r="J110" s="1400"/>
      <c r="K110" s="1380"/>
      <c r="L110" s="1380"/>
      <c r="M110" s="1380"/>
      <c r="N110" s="608"/>
      <c r="O110" s="608"/>
      <c r="P110" s="608"/>
      <c r="Q110" s="608"/>
      <c r="R110" s="266"/>
      <c r="S110" s="266"/>
      <c r="T110" s="268"/>
      <c r="U110" s="269" t="e">
        <f>VLOOKUP(R110,[71]Listas!$D$6:$E$10,2,0)</f>
        <v>#N/A</v>
      </c>
      <c r="V110" s="269" t="e">
        <f>HLOOKUP(S110,[71]Listas!$F$4:$J$5,2,0)</f>
        <v>#N/A</v>
      </c>
      <c r="W110" s="270" t="e">
        <f>INDEX([71]Listas!$F$6:$J$10,MATCH(R110,[71]Listas!$D$6:$D$10,0),MATCH(S110,[71]Listas!$F$4:$J$4,0))</f>
        <v>#N/A</v>
      </c>
      <c r="X110" s="268"/>
      <c r="Y110" s="1399"/>
      <c r="Z110" s="1408"/>
      <c r="AA110" s="1400"/>
      <c r="AB110" s="1063"/>
      <c r="AC110" s="267"/>
      <c r="AD110" s="259"/>
      <c r="AE110" s="608"/>
      <c r="AF110" s="267"/>
      <c r="AG110" s="268"/>
      <c r="AH110" s="269">
        <f t="shared" si="12"/>
        <v>0</v>
      </c>
      <c r="AI110" s="271" t="e">
        <f t="shared" si="13"/>
        <v>#N/A</v>
      </c>
      <c r="AJ110" s="272" t="e">
        <f>IF(AI110&lt;=1,"Remota",VLOOKUP(AI110,[71]Listas!$C$6:$D$10,2,0))</f>
        <v>#N/A</v>
      </c>
      <c r="AK110" s="271" t="e">
        <f t="shared" si="14"/>
        <v>#N/A</v>
      </c>
      <c r="AL110" s="272" t="e">
        <f>IF(AK110&lt;=1,"Insignificante",HLOOKUP(AK110,[71]Listas!$F$3:$J$4,2,0))</f>
        <v>#N/A</v>
      </c>
      <c r="AM110" s="273" t="e">
        <f t="shared" si="15"/>
        <v>#N/A</v>
      </c>
      <c r="AN110" s="270" t="e">
        <f>INDEX([71]Listas!$F$6:$J$10,MATCH(AJ110,[71]Listas!$D$6:$D$10,0),MATCH(AL110,[71]Listas!$F$4:$J$4,0))</f>
        <v>#N/A</v>
      </c>
      <c r="AO110" s="259"/>
      <c r="AP110" s="259"/>
      <c r="AQ110" s="610"/>
      <c r="AR110" s="259"/>
      <c r="AS110" s="259" t="s">
        <v>2343</v>
      </c>
      <c r="AT110" s="608"/>
      <c r="AU110" s="259"/>
      <c r="AV110" s="259"/>
      <c r="AW110" s="261"/>
      <c r="AX110" s="261"/>
      <c r="AY110" s="608"/>
      <c r="AZ110" s="262"/>
    </row>
    <row r="111" spans="2:52" s="260" customFormat="1" ht="103.5" hidden="1" customHeight="1">
      <c r="B111" s="608"/>
      <c r="C111" s="266"/>
      <c r="D111" s="1399"/>
      <c r="E111" s="1408"/>
      <c r="F111" s="1400"/>
      <c r="G111" s="267"/>
      <c r="H111" s="1399"/>
      <c r="I111" s="1408"/>
      <c r="J111" s="1400"/>
      <c r="K111" s="1380"/>
      <c r="L111" s="1380"/>
      <c r="M111" s="1380"/>
      <c r="N111" s="608"/>
      <c r="O111" s="608"/>
      <c r="P111" s="608"/>
      <c r="Q111" s="608"/>
      <c r="R111" s="266"/>
      <c r="S111" s="266"/>
      <c r="T111" s="268"/>
      <c r="U111" s="269" t="e">
        <f>VLOOKUP(R111,[71]Listas!$D$6:$E$10,2,0)</f>
        <v>#N/A</v>
      </c>
      <c r="V111" s="269" t="e">
        <f>HLOOKUP(S111,[71]Listas!$F$4:$J$5,2,0)</f>
        <v>#N/A</v>
      </c>
      <c r="W111" s="270" t="e">
        <f>INDEX([71]Listas!$F$6:$J$10,MATCH(R111,[71]Listas!$D$6:$D$10,0),MATCH(S111,[71]Listas!$F$4:$J$4,0))</f>
        <v>#N/A</v>
      </c>
      <c r="X111" s="268"/>
      <c r="Y111" s="1399"/>
      <c r="Z111" s="1408"/>
      <c r="AA111" s="1400"/>
      <c r="AB111" s="1063"/>
      <c r="AC111" s="267"/>
      <c r="AD111" s="259"/>
      <c r="AE111" s="608"/>
      <c r="AF111" s="267"/>
      <c r="AG111" s="268"/>
      <c r="AH111" s="269">
        <f t="shared" si="12"/>
        <v>0</v>
      </c>
      <c r="AI111" s="271" t="e">
        <f t="shared" si="13"/>
        <v>#N/A</v>
      </c>
      <c r="AJ111" s="272" t="e">
        <f>IF(AI111&lt;=1,"Remota",VLOOKUP(AI111,[71]Listas!$C$6:$D$10,2,0))</f>
        <v>#N/A</v>
      </c>
      <c r="AK111" s="271" t="e">
        <f t="shared" si="14"/>
        <v>#N/A</v>
      </c>
      <c r="AL111" s="272" t="e">
        <f>IF(AK111&lt;=1,"Insignificante",HLOOKUP(AK111,[71]Listas!$F$3:$J$4,2,0))</f>
        <v>#N/A</v>
      </c>
      <c r="AM111" s="273" t="e">
        <f t="shared" si="15"/>
        <v>#N/A</v>
      </c>
      <c r="AN111" s="270" t="e">
        <f>INDEX([71]Listas!$F$6:$J$10,MATCH(AJ111,[71]Listas!$D$6:$D$10,0),MATCH(AL111,[71]Listas!$F$4:$J$4,0))</f>
        <v>#N/A</v>
      </c>
      <c r="AO111" s="259"/>
      <c r="AP111" s="259"/>
      <c r="AQ111" s="610"/>
      <c r="AR111" s="259"/>
      <c r="AS111" s="259" t="s">
        <v>2343</v>
      </c>
      <c r="AT111" s="608"/>
      <c r="AU111" s="259"/>
      <c r="AV111" s="259"/>
      <c r="AW111" s="261"/>
      <c r="AX111" s="261"/>
      <c r="AY111" s="608"/>
      <c r="AZ111" s="262"/>
    </row>
    <row r="112" spans="2:52" s="260" customFormat="1" ht="103.5" hidden="1" customHeight="1">
      <c r="B112" s="608"/>
      <c r="C112" s="266"/>
      <c r="D112" s="1399"/>
      <c r="E112" s="1408"/>
      <c r="F112" s="1400"/>
      <c r="G112" s="267"/>
      <c r="H112" s="1399"/>
      <c r="I112" s="1408"/>
      <c r="J112" s="1400"/>
      <c r="K112" s="1380"/>
      <c r="L112" s="1380"/>
      <c r="M112" s="1380"/>
      <c r="N112" s="608"/>
      <c r="O112" s="608"/>
      <c r="P112" s="608"/>
      <c r="Q112" s="608"/>
      <c r="R112" s="266"/>
      <c r="S112" s="266"/>
      <c r="T112" s="268"/>
      <c r="U112" s="269" t="e">
        <f>VLOOKUP(R112,[71]Listas!$D$6:$E$10,2,0)</f>
        <v>#N/A</v>
      </c>
      <c r="V112" s="269" t="e">
        <f>HLOOKUP(S112,[71]Listas!$F$4:$J$5,2,0)</f>
        <v>#N/A</v>
      </c>
      <c r="W112" s="270" t="e">
        <f>INDEX([71]Listas!$F$6:$J$10,MATCH(R112,[71]Listas!$D$6:$D$10,0),MATCH(S112,[71]Listas!$F$4:$J$4,0))</f>
        <v>#N/A</v>
      </c>
      <c r="X112" s="268"/>
      <c r="Y112" s="1399"/>
      <c r="Z112" s="1408"/>
      <c r="AA112" s="1400"/>
      <c r="AB112" s="1063"/>
      <c r="AC112" s="267"/>
      <c r="AD112" s="259"/>
      <c r="AE112" s="608"/>
      <c r="AF112" s="267"/>
      <c r="AG112" s="268"/>
      <c r="AH112" s="269">
        <f t="shared" si="12"/>
        <v>0</v>
      </c>
      <c r="AI112" s="271" t="e">
        <f t="shared" si="13"/>
        <v>#N/A</v>
      </c>
      <c r="AJ112" s="272" t="e">
        <f>IF(AI112&lt;=1,"Remota",VLOOKUP(AI112,[71]Listas!$C$6:$D$10,2,0))</f>
        <v>#N/A</v>
      </c>
      <c r="AK112" s="271" t="e">
        <f t="shared" si="14"/>
        <v>#N/A</v>
      </c>
      <c r="AL112" s="272" t="e">
        <f>IF(AK112&lt;=1,"Insignificante",HLOOKUP(AK112,[71]Listas!$F$3:$J$4,2,0))</f>
        <v>#N/A</v>
      </c>
      <c r="AM112" s="273" t="e">
        <f t="shared" si="15"/>
        <v>#N/A</v>
      </c>
      <c r="AN112" s="270" t="e">
        <f>INDEX([71]Listas!$F$6:$J$10,MATCH(AJ112,[71]Listas!$D$6:$D$10,0),MATCH(AL112,[71]Listas!$F$4:$J$4,0))</f>
        <v>#N/A</v>
      </c>
      <c r="AO112" s="259"/>
      <c r="AP112" s="259"/>
      <c r="AQ112" s="610"/>
      <c r="AR112" s="259"/>
      <c r="AS112" s="259" t="s">
        <v>2343</v>
      </c>
      <c r="AT112" s="608"/>
      <c r="AU112" s="259"/>
      <c r="AV112" s="259"/>
      <c r="AW112" s="261"/>
      <c r="AX112" s="261"/>
      <c r="AY112" s="608"/>
      <c r="AZ112" s="262"/>
    </row>
    <row r="113" spans="2:52" s="260" customFormat="1" ht="103.5" hidden="1" customHeight="1">
      <c r="B113" s="608"/>
      <c r="C113" s="266"/>
      <c r="D113" s="1399"/>
      <c r="E113" s="1408"/>
      <c r="F113" s="1400"/>
      <c r="G113" s="267"/>
      <c r="H113" s="1399"/>
      <c r="I113" s="1408"/>
      <c r="J113" s="1400"/>
      <c r="K113" s="1380"/>
      <c r="L113" s="1380"/>
      <c r="M113" s="1380"/>
      <c r="N113" s="608"/>
      <c r="O113" s="608"/>
      <c r="P113" s="608"/>
      <c r="Q113" s="608"/>
      <c r="R113" s="266"/>
      <c r="S113" s="266"/>
      <c r="T113" s="268"/>
      <c r="U113" s="269" t="e">
        <f>VLOOKUP(R113,[71]Listas!$D$6:$E$10,2,0)</f>
        <v>#N/A</v>
      </c>
      <c r="V113" s="269" t="e">
        <f>HLOOKUP(S113,[71]Listas!$F$4:$J$5,2,0)</f>
        <v>#N/A</v>
      </c>
      <c r="W113" s="270" t="e">
        <f>INDEX([71]Listas!$F$6:$J$10,MATCH(R113,[71]Listas!$D$6:$D$10,0),MATCH(S113,[71]Listas!$F$4:$J$4,0))</f>
        <v>#N/A</v>
      </c>
      <c r="X113" s="268"/>
      <c r="Y113" s="1399"/>
      <c r="Z113" s="1408"/>
      <c r="AA113" s="1400"/>
      <c r="AB113" s="1063"/>
      <c r="AC113" s="267"/>
      <c r="AD113" s="259"/>
      <c r="AE113" s="608"/>
      <c r="AF113" s="267"/>
      <c r="AG113" s="268"/>
      <c r="AH113" s="269">
        <f t="shared" si="12"/>
        <v>0</v>
      </c>
      <c r="AI113" s="271" t="e">
        <f t="shared" si="13"/>
        <v>#N/A</v>
      </c>
      <c r="AJ113" s="272" t="e">
        <f>IF(AI113&lt;=1,"Remota",VLOOKUP(AI113,[71]Listas!$C$6:$D$10,2,0))</f>
        <v>#N/A</v>
      </c>
      <c r="AK113" s="271" t="e">
        <f t="shared" si="14"/>
        <v>#N/A</v>
      </c>
      <c r="AL113" s="272" t="e">
        <f>IF(AK113&lt;=1,"Insignificante",HLOOKUP(AK113,[71]Listas!$F$3:$J$4,2,0))</f>
        <v>#N/A</v>
      </c>
      <c r="AM113" s="273" t="e">
        <f t="shared" si="15"/>
        <v>#N/A</v>
      </c>
      <c r="AN113" s="270" t="e">
        <f>INDEX([71]Listas!$F$6:$J$10,MATCH(AJ113,[71]Listas!$D$6:$D$10,0),MATCH(AL113,[71]Listas!$F$4:$J$4,0))</f>
        <v>#N/A</v>
      </c>
      <c r="AO113" s="259"/>
      <c r="AP113" s="259"/>
      <c r="AQ113" s="610"/>
      <c r="AR113" s="259"/>
      <c r="AS113" s="259" t="s">
        <v>2343</v>
      </c>
      <c r="AT113" s="608"/>
      <c r="AU113" s="259"/>
      <c r="AV113" s="259"/>
      <c r="AW113" s="261"/>
      <c r="AX113" s="261"/>
      <c r="AY113" s="608"/>
      <c r="AZ113" s="262"/>
    </row>
    <row r="114" spans="2:52" s="260" customFormat="1" ht="103.5" hidden="1" customHeight="1">
      <c r="B114" s="608"/>
      <c r="C114" s="266"/>
      <c r="D114" s="1399"/>
      <c r="E114" s="1408"/>
      <c r="F114" s="1400"/>
      <c r="G114" s="267"/>
      <c r="H114" s="1399"/>
      <c r="I114" s="1408"/>
      <c r="J114" s="1400"/>
      <c r="K114" s="1380"/>
      <c r="L114" s="1380"/>
      <c r="M114" s="1380"/>
      <c r="N114" s="608"/>
      <c r="O114" s="608"/>
      <c r="P114" s="608"/>
      <c r="Q114" s="608"/>
      <c r="R114" s="266"/>
      <c r="S114" s="266"/>
      <c r="T114" s="268"/>
      <c r="U114" s="269" t="e">
        <f>VLOOKUP(R114,[71]Listas!$D$6:$E$10,2,0)</f>
        <v>#N/A</v>
      </c>
      <c r="V114" s="269" t="e">
        <f>HLOOKUP(S114,[71]Listas!$F$4:$J$5,2,0)</f>
        <v>#N/A</v>
      </c>
      <c r="W114" s="270" t="e">
        <f>INDEX([71]Listas!$F$6:$J$10,MATCH(R114,[71]Listas!$D$6:$D$10,0),MATCH(S114,[71]Listas!$F$4:$J$4,0))</f>
        <v>#N/A</v>
      </c>
      <c r="X114" s="268"/>
      <c r="Y114" s="1399"/>
      <c r="Z114" s="1408"/>
      <c r="AA114" s="1400"/>
      <c r="AB114" s="1063"/>
      <c r="AC114" s="267"/>
      <c r="AD114" s="259"/>
      <c r="AE114" s="608"/>
      <c r="AF114" s="267"/>
      <c r="AG114" s="268"/>
      <c r="AH114" s="269">
        <f t="shared" si="12"/>
        <v>0</v>
      </c>
      <c r="AI114" s="271" t="e">
        <f t="shared" si="13"/>
        <v>#N/A</v>
      </c>
      <c r="AJ114" s="272" t="e">
        <f>IF(AI114&lt;=1,"Remota",VLOOKUP(AI114,[71]Listas!$C$6:$D$10,2,0))</f>
        <v>#N/A</v>
      </c>
      <c r="AK114" s="271" t="e">
        <f t="shared" si="14"/>
        <v>#N/A</v>
      </c>
      <c r="AL114" s="272" t="e">
        <f>IF(AK114&lt;=1,"Insignificante",HLOOKUP(AK114,[71]Listas!$F$3:$J$4,2,0))</f>
        <v>#N/A</v>
      </c>
      <c r="AM114" s="273" t="e">
        <f t="shared" si="15"/>
        <v>#N/A</v>
      </c>
      <c r="AN114" s="270" t="e">
        <f>INDEX([71]Listas!$F$6:$J$10,MATCH(AJ114,[71]Listas!$D$6:$D$10,0),MATCH(AL114,[71]Listas!$F$4:$J$4,0))</f>
        <v>#N/A</v>
      </c>
      <c r="AO114" s="259"/>
      <c r="AP114" s="259"/>
      <c r="AQ114" s="610"/>
      <c r="AR114" s="259"/>
      <c r="AS114" s="259" t="s">
        <v>2343</v>
      </c>
      <c r="AT114" s="608"/>
      <c r="AU114" s="259"/>
      <c r="AV114" s="259"/>
      <c r="AW114" s="261"/>
      <c r="AX114" s="261"/>
      <c r="AY114" s="608"/>
      <c r="AZ114" s="262"/>
    </row>
    <row r="115" spans="2:52" s="260" customFormat="1" ht="103.5" hidden="1" customHeight="1">
      <c r="B115" s="608"/>
      <c r="C115" s="266"/>
      <c r="D115" s="1399"/>
      <c r="E115" s="1408"/>
      <c r="F115" s="1400"/>
      <c r="G115" s="267"/>
      <c r="H115" s="1399"/>
      <c r="I115" s="1408"/>
      <c r="J115" s="1400"/>
      <c r="K115" s="1380"/>
      <c r="L115" s="1380"/>
      <c r="M115" s="1380"/>
      <c r="N115" s="608"/>
      <c r="O115" s="608"/>
      <c r="P115" s="608"/>
      <c r="Q115" s="608"/>
      <c r="R115" s="266"/>
      <c r="S115" s="266"/>
      <c r="T115" s="268"/>
      <c r="U115" s="269" t="e">
        <f>VLOOKUP(R115,[71]Listas!$D$6:$E$10,2,0)</f>
        <v>#N/A</v>
      </c>
      <c r="V115" s="269" t="e">
        <f>HLOOKUP(S115,[71]Listas!$F$4:$J$5,2,0)</f>
        <v>#N/A</v>
      </c>
      <c r="W115" s="270" t="e">
        <f>INDEX([71]Listas!$F$6:$J$10,MATCH(R115,[71]Listas!$D$6:$D$10,0),MATCH(S115,[71]Listas!$F$4:$J$4,0))</f>
        <v>#N/A</v>
      </c>
      <c r="X115" s="268"/>
      <c r="Y115" s="1399"/>
      <c r="Z115" s="1408"/>
      <c r="AA115" s="1400"/>
      <c r="AB115" s="1063"/>
      <c r="AC115" s="267"/>
      <c r="AD115" s="259"/>
      <c r="AE115" s="608"/>
      <c r="AF115" s="267"/>
      <c r="AG115" s="268"/>
      <c r="AH115" s="269">
        <f t="shared" si="12"/>
        <v>0</v>
      </c>
      <c r="AI115" s="271" t="e">
        <f t="shared" si="13"/>
        <v>#N/A</v>
      </c>
      <c r="AJ115" s="272" t="e">
        <f>IF(AI115&lt;=1,"Remota",VLOOKUP(AI115,[71]Listas!$C$6:$D$10,2,0))</f>
        <v>#N/A</v>
      </c>
      <c r="AK115" s="271" t="e">
        <f t="shared" si="14"/>
        <v>#N/A</v>
      </c>
      <c r="AL115" s="272" t="e">
        <f>IF(AK115&lt;=1,"Insignificante",HLOOKUP(AK115,[71]Listas!$F$3:$J$4,2,0))</f>
        <v>#N/A</v>
      </c>
      <c r="AM115" s="273" t="e">
        <f t="shared" si="15"/>
        <v>#N/A</v>
      </c>
      <c r="AN115" s="270" t="e">
        <f>INDEX([71]Listas!$F$6:$J$10,MATCH(AJ115,[71]Listas!$D$6:$D$10,0),MATCH(AL115,[71]Listas!$F$4:$J$4,0))</f>
        <v>#N/A</v>
      </c>
      <c r="AO115" s="259"/>
      <c r="AP115" s="259"/>
      <c r="AQ115" s="610"/>
      <c r="AR115" s="259"/>
      <c r="AS115" s="259" t="s">
        <v>2343</v>
      </c>
      <c r="AT115" s="608"/>
      <c r="AU115" s="259"/>
      <c r="AV115" s="259"/>
      <c r="AW115" s="261"/>
      <c r="AX115" s="261"/>
      <c r="AY115" s="608"/>
      <c r="AZ115" s="262"/>
    </row>
    <row r="116" spans="2:52" s="260" customFormat="1" ht="103.5" hidden="1" customHeight="1">
      <c r="B116" s="608"/>
      <c r="C116" s="266"/>
      <c r="D116" s="1399"/>
      <c r="E116" s="1408"/>
      <c r="F116" s="1400"/>
      <c r="G116" s="267"/>
      <c r="H116" s="1399"/>
      <c r="I116" s="1408"/>
      <c r="J116" s="1400"/>
      <c r="K116" s="1380"/>
      <c r="L116" s="1380"/>
      <c r="M116" s="1380"/>
      <c r="N116" s="608"/>
      <c r="O116" s="608"/>
      <c r="P116" s="608"/>
      <c r="Q116" s="608"/>
      <c r="R116" s="266"/>
      <c r="S116" s="266"/>
      <c r="T116" s="268"/>
      <c r="U116" s="269" t="e">
        <f>VLOOKUP(R116,[71]Listas!$D$6:$E$10,2,0)</f>
        <v>#N/A</v>
      </c>
      <c r="V116" s="269" t="e">
        <f>HLOOKUP(S116,[71]Listas!$F$4:$J$5,2,0)</f>
        <v>#N/A</v>
      </c>
      <c r="W116" s="270" t="e">
        <f>INDEX([71]Listas!$F$6:$J$10,MATCH(R116,[71]Listas!$D$6:$D$10,0),MATCH(S116,[71]Listas!$F$4:$J$4,0))</f>
        <v>#N/A</v>
      </c>
      <c r="X116" s="268"/>
      <c r="Y116" s="1399"/>
      <c r="Z116" s="1408"/>
      <c r="AA116" s="1400"/>
      <c r="AB116" s="1063"/>
      <c r="AC116" s="267"/>
      <c r="AD116" s="259"/>
      <c r="AE116" s="608"/>
      <c r="AF116" s="267"/>
      <c r="AG116" s="268"/>
      <c r="AH116" s="269">
        <f t="shared" si="12"/>
        <v>0</v>
      </c>
      <c r="AI116" s="271" t="e">
        <f t="shared" si="13"/>
        <v>#N/A</v>
      </c>
      <c r="AJ116" s="272" t="e">
        <f>IF(AI116&lt;=1,"Remota",VLOOKUP(AI116,[71]Listas!$C$6:$D$10,2,0))</f>
        <v>#N/A</v>
      </c>
      <c r="AK116" s="271" t="e">
        <f t="shared" si="14"/>
        <v>#N/A</v>
      </c>
      <c r="AL116" s="272" t="e">
        <f>IF(AK116&lt;=1,"Insignificante",HLOOKUP(AK116,[71]Listas!$F$3:$J$4,2,0))</f>
        <v>#N/A</v>
      </c>
      <c r="AM116" s="273" t="e">
        <f t="shared" si="15"/>
        <v>#N/A</v>
      </c>
      <c r="AN116" s="270" t="e">
        <f>INDEX([71]Listas!$F$6:$J$10,MATCH(AJ116,[71]Listas!$D$6:$D$10,0),MATCH(AL116,[71]Listas!$F$4:$J$4,0))</f>
        <v>#N/A</v>
      </c>
      <c r="AO116" s="259"/>
      <c r="AP116" s="259"/>
      <c r="AQ116" s="610"/>
      <c r="AR116" s="259"/>
      <c r="AS116" s="259" t="s">
        <v>2343</v>
      </c>
      <c r="AT116" s="608"/>
      <c r="AU116" s="259"/>
      <c r="AV116" s="259"/>
      <c r="AW116" s="261"/>
      <c r="AX116" s="261"/>
      <c r="AY116" s="608"/>
      <c r="AZ116" s="262"/>
    </row>
    <row r="117" spans="2:52" s="260" customFormat="1" ht="103.5" hidden="1" customHeight="1">
      <c r="B117" s="608"/>
      <c r="C117" s="266"/>
      <c r="D117" s="1399"/>
      <c r="E117" s="1408"/>
      <c r="F117" s="1400"/>
      <c r="G117" s="267"/>
      <c r="H117" s="1399"/>
      <c r="I117" s="1408"/>
      <c r="J117" s="1400"/>
      <c r="K117" s="1380"/>
      <c r="L117" s="1380"/>
      <c r="M117" s="1380"/>
      <c r="N117" s="608"/>
      <c r="O117" s="608"/>
      <c r="P117" s="608"/>
      <c r="Q117" s="608"/>
      <c r="R117" s="266"/>
      <c r="S117" s="266"/>
      <c r="T117" s="268"/>
      <c r="U117" s="269" t="e">
        <f>VLOOKUP(R117,[71]Listas!$D$6:$E$10,2,0)</f>
        <v>#N/A</v>
      </c>
      <c r="V117" s="269" t="e">
        <f>HLOOKUP(S117,[71]Listas!$F$4:$J$5,2,0)</f>
        <v>#N/A</v>
      </c>
      <c r="W117" s="270" t="e">
        <f>INDEX([71]Listas!$F$6:$J$10,MATCH(R117,[71]Listas!$D$6:$D$10,0),MATCH(S117,[71]Listas!$F$4:$J$4,0))</f>
        <v>#N/A</v>
      </c>
      <c r="X117" s="268"/>
      <c r="Y117" s="1399"/>
      <c r="Z117" s="1408"/>
      <c r="AA117" s="1400"/>
      <c r="AB117" s="1063"/>
      <c r="AC117" s="267"/>
      <c r="AD117" s="259"/>
      <c r="AE117" s="608"/>
      <c r="AF117" s="267"/>
      <c r="AG117" s="268"/>
      <c r="AH117" s="269">
        <f t="shared" si="12"/>
        <v>0</v>
      </c>
      <c r="AI117" s="271" t="e">
        <f t="shared" si="13"/>
        <v>#N/A</v>
      </c>
      <c r="AJ117" s="272" t="e">
        <f>IF(AI117&lt;=1,"Remota",VLOOKUP(AI117,[71]Listas!$C$6:$D$10,2,0))</f>
        <v>#N/A</v>
      </c>
      <c r="AK117" s="271" t="e">
        <f t="shared" si="14"/>
        <v>#N/A</v>
      </c>
      <c r="AL117" s="272" t="e">
        <f>IF(AK117&lt;=1,"Insignificante",HLOOKUP(AK117,[71]Listas!$F$3:$J$4,2,0))</f>
        <v>#N/A</v>
      </c>
      <c r="AM117" s="273" t="e">
        <f t="shared" si="15"/>
        <v>#N/A</v>
      </c>
      <c r="AN117" s="270" t="e">
        <f>INDEX([71]Listas!$F$6:$J$10,MATCH(AJ117,[71]Listas!$D$6:$D$10,0),MATCH(AL117,[71]Listas!$F$4:$J$4,0))</f>
        <v>#N/A</v>
      </c>
      <c r="AO117" s="259"/>
      <c r="AP117" s="259"/>
      <c r="AQ117" s="610"/>
      <c r="AR117" s="259"/>
      <c r="AS117" s="259" t="s">
        <v>2343</v>
      </c>
      <c r="AT117" s="608"/>
      <c r="AU117" s="259"/>
      <c r="AV117" s="259"/>
      <c r="AW117" s="261"/>
      <c r="AX117" s="261"/>
      <c r="AY117" s="608"/>
      <c r="AZ117" s="262"/>
    </row>
    <row r="118" spans="2:52" s="260" customFormat="1" ht="103.5" hidden="1" customHeight="1">
      <c r="B118" s="608"/>
      <c r="C118" s="266"/>
      <c r="D118" s="1399"/>
      <c r="E118" s="1408"/>
      <c r="F118" s="1400"/>
      <c r="G118" s="267"/>
      <c r="H118" s="1399"/>
      <c r="I118" s="1408"/>
      <c r="J118" s="1400"/>
      <c r="K118" s="1380"/>
      <c r="L118" s="1380"/>
      <c r="M118" s="1380"/>
      <c r="N118" s="608"/>
      <c r="O118" s="608"/>
      <c r="P118" s="608"/>
      <c r="Q118" s="608"/>
      <c r="R118" s="266"/>
      <c r="S118" s="266"/>
      <c r="T118" s="268"/>
      <c r="U118" s="269" t="e">
        <f>VLOOKUP(R118,[71]Listas!$D$6:$E$10,2,0)</f>
        <v>#N/A</v>
      </c>
      <c r="V118" s="269" t="e">
        <f>HLOOKUP(S118,[71]Listas!$F$4:$J$5,2,0)</f>
        <v>#N/A</v>
      </c>
      <c r="W118" s="270" t="e">
        <f>INDEX([71]Listas!$F$6:$J$10,MATCH(R118,[71]Listas!$D$6:$D$10,0),MATCH(S118,[71]Listas!$F$4:$J$4,0))</f>
        <v>#N/A</v>
      </c>
      <c r="X118" s="268"/>
      <c r="Y118" s="1399"/>
      <c r="Z118" s="1408"/>
      <c r="AA118" s="1400"/>
      <c r="AB118" s="1063"/>
      <c r="AC118" s="267"/>
      <c r="AD118" s="259"/>
      <c r="AE118" s="608"/>
      <c r="AF118" s="267"/>
      <c r="AG118" s="268"/>
      <c r="AH118" s="269">
        <f t="shared" si="12"/>
        <v>0</v>
      </c>
      <c r="AI118" s="271" t="e">
        <f t="shared" si="13"/>
        <v>#N/A</v>
      </c>
      <c r="AJ118" s="272" t="e">
        <f>IF(AI118&lt;=1,"Remota",VLOOKUP(AI118,[71]Listas!$C$6:$D$10,2,0))</f>
        <v>#N/A</v>
      </c>
      <c r="AK118" s="271" t="e">
        <f t="shared" si="14"/>
        <v>#N/A</v>
      </c>
      <c r="AL118" s="272" t="e">
        <f>IF(AK118&lt;=1,"Insignificante",HLOOKUP(AK118,[71]Listas!$F$3:$J$4,2,0))</f>
        <v>#N/A</v>
      </c>
      <c r="AM118" s="273" t="e">
        <f t="shared" si="15"/>
        <v>#N/A</v>
      </c>
      <c r="AN118" s="270" t="e">
        <f>INDEX([71]Listas!$F$6:$J$10,MATCH(AJ118,[71]Listas!$D$6:$D$10,0),MATCH(AL118,[71]Listas!$F$4:$J$4,0))</f>
        <v>#N/A</v>
      </c>
      <c r="AO118" s="259"/>
      <c r="AP118" s="259"/>
      <c r="AQ118" s="610"/>
      <c r="AR118" s="259"/>
      <c r="AS118" s="259" t="s">
        <v>2343</v>
      </c>
      <c r="AT118" s="608"/>
      <c r="AU118" s="259"/>
      <c r="AV118" s="259"/>
      <c r="AW118" s="261"/>
      <c r="AX118" s="261"/>
      <c r="AY118" s="608"/>
      <c r="AZ118" s="262"/>
    </row>
    <row r="119" spans="2:52" s="260" customFormat="1" ht="103.5" hidden="1" customHeight="1">
      <c r="B119" s="608"/>
      <c r="C119" s="266"/>
      <c r="D119" s="1399"/>
      <c r="E119" s="1408"/>
      <c r="F119" s="1400"/>
      <c r="G119" s="267"/>
      <c r="H119" s="1399"/>
      <c r="I119" s="1408"/>
      <c r="J119" s="1400"/>
      <c r="K119" s="1380"/>
      <c r="L119" s="1380"/>
      <c r="M119" s="1380"/>
      <c r="N119" s="608"/>
      <c r="O119" s="608"/>
      <c r="P119" s="608"/>
      <c r="Q119" s="608"/>
      <c r="R119" s="266"/>
      <c r="S119" s="266"/>
      <c r="T119" s="268"/>
      <c r="U119" s="269" t="e">
        <f>VLOOKUP(R119,[71]Listas!$D$6:$E$10,2,0)</f>
        <v>#N/A</v>
      </c>
      <c r="V119" s="269" t="e">
        <f>HLOOKUP(S119,[71]Listas!$F$4:$J$5,2,0)</f>
        <v>#N/A</v>
      </c>
      <c r="W119" s="270" t="e">
        <f>INDEX([71]Listas!$F$6:$J$10,MATCH(R119,[71]Listas!$D$6:$D$10,0),MATCH(S119,[71]Listas!$F$4:$J$4,0))</f>
        <v>#N/A</v>
      </c>
      <c r="X119" s="268"/>
      <c r="Y119" s="1399"/>
      <c r="Z119" s="1408"/>
      <c r="AA119" s="1400"/>
      <c r="AB119" s="1063"/>
      <c r="AC119" s="267"/>
      <c r="AD119" s="259"/>
      <c r="AE119" s="608"/>
      <c r="AF119" s="267"/>
      <c r="AG119" s="268"/>
      <c r="AH119" s="269">
        <f t="shared" si="12"/>
        <v>0</v>
      </c>
      <c r="AI119" s="271" t="e">
        <f t="shared" si="13"/>
        <v>#N/A</v>
      </c>
      <c r="AJ119" s="272" t="e">
        <f>IF(AI119&lt;=1,"Remota",VLOOKUP(AI119,[71]Listas!$C$6:$D$10,2,0))</f>
        <v>#N/A</v>
      </c>
      <c r="AK119" s="271" t="e">
        <f t="shared" si="14"/>
        <v>#N/A</v>
      </c>
      <c r="AL119" s="272" t="e">
        <f>IF(AK119&lt;=1,"Insignificante",HLOOKUP(AK119,[71]Listas!$F$3:$J$4,2,0))</f>
        <v>#N/A</v>
      </c>
      <c r="AM119" s="273" t="e">
        <f t="shared" si="15"/>
        <v>#N/A</v>
      </c>
      <c r="AN119" s="270" t="e">
        <f>INDEX([71]Listas!$F$6:$J$10,MATCH(AJ119,[71]Listas!$D$6:$D$10,0),MATCH(AL119,[71]Listas!$F$4:$J$4,0))</f>
        <v>#N/A</v>
      </c>
      <c r="AO119" s="259"/>
      <c r="AP119" s="259"/>
      <c r="AQ119" s="610"/>
      <c r="AR119" s="259"/>
      <c r="AS119" s="259" t="s">
        <v>2343</v>
      </c>
      <c r="AT119" s="608"/>
      <c r="AU119" s="259"/>
      <c r="AV119" s="259"/>
      <c r="AW119" s="261"/>
      <c r="AX119" s="261"/>
      <c r="AY119" s="608"/>
      <c r="AZ119" s="262"/>
    </row>
    <row r="120" spans="2:52" s="260" customFormat="1" ht="103.5" hidden="1" customHeight="1">
      <c r="B120" s="608"/>
      <c r="C120" s="266"/>
      <c r="D120" s="1399"/>
      <c r="E120" s="1408"/>
      <c r="F120" s="1400"/>
      <c r="G120" s="267"/>
      <c r="H120" s="1399"/>
      <c r="I120" s="1408"/>
      <c r="J120" s="1400"/>
      <c r="K120" s="1380"/>
      <c r="L120" s="1380"/>
      <c r="M120" s="1380"/>
      <c r="N120" s="608"/>
      <c r="O120" s="608"/>
      <c r="P120" s="608"/>
      <c r="Q120" s="608"/>
      <c r="R120" s="266"/>
      <c r="S120" s="266"/>
      <c r="T120" s="268"/>
      <c r="U120" s="269" t="e">
        <f>VLOOKUP(R120,[71]Listas!$D$6:$E$10,2,0)</f>
        <v>#N/A</v>
      </c>
      <c r="V120" s="269" t="e">
        <f>HLOOKUP(S120,[71]Listas!$F$4:$J$5,2,0)</f>
        <v>#N/A</v>
      </c>
      <c r="W120" s="270" t="e">
        <f>INDEX([71]Listas!$F$6:$J$10,MATCH(R120,[71]Listas!$D$6:$D$10,0),MATCH(S120,[71]Listas!$F$4:$J$4,0))</f>
        <v>#N/A</v>
      </c>
      <c r="X120" s="268"/>
      <c r="Y120" s="1399"/>
      <c r="Z120" s="1408"/>
      <c r="AA120" s="1400"/>
      <c r="AB120" s="1063"/>
      <c r="AC120" s="267"/>
      <c r="AD120" s="259"/>
      <c r="AE120" s="608"/>
      <c r="AF120" s="267"/>
      <c r="AG120" s="268"/>
      <c r="AH120" s="269">
        <f t="shared" si="12"/>
        <v>0</v>
      </c>
      <c r="AI120" s="271" t="e">
        <f t="shared" si="13"/>
        <v>#N/A</v>
      </c>
      <c r="AJ120" s="272" t="e">
        <f>IF(AI120&lt;=1,"Remota",VLOOKUP(AI120,[71]Listas!$C$6:$D$10,2,0))</f>
        <v>#N/A</v>
      </c>
      <c r="AK120" s="271" t="e">
        <f t="shared" si="14"/>
        <v>#N/A</v>
      </c>
      <c r="AL120" s="272" t="e">
        <f>IF(AK120&lt;=1,"Insignificante",HLOOKUP(AK120,[71]Listas!$F$3:$J$4,2,0))</f>
        <v>#N/A</v>
      </c>
      <c r="AM120" s="273" t="e">
        <f t="shared" si="15"/>
        <v>#N/A</v>
      </c>
      <c r="AN120" s="270" t="e">
        <f>INDEX([71]Listas!$F$6:$J$10,MATCH(AJ120,[71]Listas!$D$6:$D$10,0),MATCH(AL120,[71]Listas!$F$4:$J$4,0))</f>
        <v>#N/A</v>
      </c>
      <c r="AO120" s="259"/>
      <c r="AP120" s="259"/>
      <c r="AQ120" s="610"/>
      <c r="AR120" s="259"/>
      <c r="AS120" s="259" t="s">
        <v>2343</v>
      </c>
      <c r="AT120" s="608"/>
      <c r="AU120" s="259"/>
      <c r="AV120" s="259"/>
      <c r="AW120" s="261"/>
      <c r="AX120" s="261"/>
      <c r="AY120" s="608"/>
      <c r="AZ120" s="262"/>
    </row>
    <row r="121" spans="2:52" s="260" customFormat="1" ht="103.5" hidden="1" customHeight="1">
      <c r="B121" s="608"/>
      <c r="C121" s="266"/>
      <c r="D121" s="1399"/>
      <c r="E121" s="1408"/>
      <c r="F121" s="1400"/>
      <c r="G121" s="267"/>
      <c r="H121" s="1399"/>
      <c r="I121" s="1408"/>
      <c r="J121" s="1400"/>
      <c r="K121" s="1380"/>
      <c r="L121" s="1380"/>
      <c r="M121" s="1380"/>
      <c r="N121" s="608"/>
      <c r="O121" s="608"/>
      <c r="P121" s="608"/>
      <c r="Q121" s="608"/>
      <c r="R121" s="266"/>
      <c r="S121" s="266"/>
      <c r="T121" s="268"/>
      <c r="U121" s="269" t="e">
        <f>VLOOKUP(R121,[71]Listas!$D$6:$E$10,2,0)</f>
        <v>#N/A</v>
      </c>
      <c r="V121" s="269" t="e">
        <f>HLOOKUP(S121,[71]Listas!$F$4:$J$5,2,0)</f>
        <v>#N/A</v>
      </c>
      <c r="W121" s="270" t="e">
        <f>INDEX([71]Listas!$F$6:$J$10,MATCH(R121,[71]Listas!$D$6:$D$10,0),MATCH(S121,[71]Listas!$F$4:$J$4,0))</f>
        <v>#N/A</v>
      </c>
      <c r="X121" s="268"/>
      <c r="Y121" s="1399"/>
      <c r="Z121" s="1408"/>
      <c r="AA121" s="1400"/>
      <c r="AB121" s="1063"/>
      <c r="AC121" s="267"/>
      <c r="AD121" s="259"/>
      <c r="AE121" s="608"/>
      <c r="AF121" s="267"/>
      <c r="AG121" s="268"/>
      <c r="AH121" s="269">
        <f t="shared" si="12"/>
        <v>0</v>
      </c>
      <c r="AI121" s="271" t="e">
        <f t="shared" si="13"/>
        <v>#N/A</v>
      </c>
      <c r="AJ121" s="272" t="e">
        <f>IF(AI121&lt;=1,"Remota",VLOOKUP(AI121,[71]Listas!$C$6:$D$10,2,0))</f>
        <v>#N/A</v>
      </c>
      <c r="AK121" s="271" t="e">
        <f t="shared" si="14"/>
        <v>#N/A</v>
      </c>
      <c r="AL121" s="272" t="e">
        <f>IF(AK121&lt;=1,"Insignificante",HLOOKUP(AK121,[71]Listas!$F$3:$J$4,2,0))</f>
        <v>#N/A</v>
      </c>
      <c r="AM121" s="273" t="e">
        <f t="shared" si="15"/>
        <v>#N/A</v>
      </c>
      <c r="AN121" s="270" t="e">
        <f>INDEX([71]Listas!$F$6:$J$10,MATCH(AJ121,[71]Listas!$D$6:$D$10,0),MATCH(AL121,[71]Listas!$F$4:$J$4,0))</f>
        <v>#N/A</v>
      </c>
      <c r="AO121" s="259"/>
      <c r="AP121" s="259"/>
      <c r="AQ121" s="610"/>
      <c r="AR121" s="259"/>
      <c r="AS121" s="259" t="s">
        <v>2343</v>
      </c>
      <c r="AT121" s="608"/>
      <c r="AU121" s="259"/>
      <c r="AV121" s="259"/>
      <c r="AW121" s="261"/>
      <c r="AX121" s="261"/>
      <c r="AY121" s="608"/>
      <c r="AZ121" s="262"/>
    </row>
    <row r="122" spans="2:52" s="260" customFormat="1" ht="103.5" hidden="1" customHeight="1">
      <c r="B122" s="608"/>
      <c r="C122" s="266"/>
      <c r="D122" s="1399"/>
      <c r="E122" s="1408"/>
      <c r="F122" s="1400"/>
      <c r="G122" s="267"/>
      <c r="H122" s="1399"/>
      <c r="I122" s="1408"/>
      <c r="J122" s="1400"/>
      <c r="K122" s="1380"/>
      <c r="L122" s="1380"/>
      <c r="M122" s="1380"/>
      <c r="N122" s="608"/>
      <c r="O122" s="608"/>
      <c r="P122" s="608"/>
      <c r="Q122" s="608"/>
      <c r="R122" s="266"/>
      <c r="S122" s="266"/>
      <c r="T122" s="268"/>
      <c r="U122" s="269" t="e">
        <f>VLOOKUP(R122,[71]Listas!$D$6:$E$10,2,0)</f>
        <v>#N/A</v>
      </c>
      <c r="V122" s="269" t="e">
        <f>HLOOKUP(S122,[71]Listas!$F$4:$J$5,2,0)</f>
        <v>#N/A</v>
      </c>
      <c r="W122" s="270" t="e">
        <f>INDEX([71]Listas!$F$6:$J$10,MATCH(R122,[71]Listas!$D$6:$D$10,0),MATCH(S122,[71]Listas!$F$4:$J$4,0))</f>
        <v>#N/A</v>
      </c>
      <c r="X122" s="268"/>
      <c r="Y122" s="1399"/>
      <c r="Z122" s="1408"/>
      <c r="AA122" s="1400"/>
      <c r="AB122" s="1063"/>
      <c r="AC122" s="267"/>
      <c r="AD122" s="259"/>
      <c r="AE122" s="608"/>
      <c r="AF122" s="267"/>
      <c r="AG122" s="268"/>
      <c r="AH122" s="269">
        <f t="shared" si="12"/>
        <v>0</v>
      </c>
      <c r="AI122" s="271" t="e">
        <f t="shared" si="13"/>
        <v>#N/A</v>
      </c>
      <c r="AJ122" s="272" t="e">
        <f>IF(AI122&lt;=1,"Remota",VLOOKUP(AI122,[71]Listas!$C$6:$D$10,2,0))</f>
        <v>#N/A</v>
      </c>
      <c r="AK122" s="271" t="e">
        <f t="shared" si="14"/>
        <v>#N/A</v>
      </c>
      <c r="AL122" s="272" t="e">
        <f>IF(AK122&lt;=1,"Insignificante",HLOOKUP(AK122,[71]Listas!$F$3:$J$4,2,0))</f>
        <v>#N/A</v>
      </c>
      <c r="AM122" s="273" t="e">
        <f t="shared" si="15"/>
        <v>#N/A</v>
      </c>
      <c r="AN122" s="270" t="e">
        <f>INDEX([71]Listas!$F$6:$J$10,MATCH(AJ122,[71]Listas!$D$6:$D$10,0),MATCH(AL122,[71]Listas!$F$4:$J$4,0))</f>
        <v>#N/A</v>
      </c>
      <c r="AO122" s="259"/>
      <c r="AP122" s="259"/>
      <c r="AQ122" s="610"/>
      <c r="AR122" s="259"/>
      <c r="AS122" s="259" t="s">
        <v>2343</v>
      </c>
      <c r="AT122" s="608"/>
      <c r="AU122" s="259"/>
      <c r="AV122" s="259"/>
      <c r="AW122" s="261"/>
      <c r="AX122" s="261"/>
      <c r="AY122" s="608"/>
      <c r="AZ122" s="262"/>
    </row>
    <row r="123" spans="2:52" s="260" customFormat="1" ht="103.5" hidden="1" customHeight="1">
      <c r="B123" s="608"/>
      <c r="C123" s="266"/>
      <c r="D123" s="1399"/>
      <c r="E123" s="1408"/>
      <c r="F123" s="1400"/>
      <c r="G123" s="267"/>
      <c r="H123" s="1399"/>
      <c r="I123" s="1408"/>
      <c r="J123" s="1400"/>
      <c r="K123" s="1380"/>
      <c r="L123" s="1380"/>
      <c r="M123" s="1380"/>
      <c r="N123" s="608"/>
      <c r="O123" s="608"/>
      <c r="P123" s="608"/>
      <c r="Q123" s="608"/>
      <c r="R123" s="266"/>
      <c r="S123" s="266"/>
      <c r="T123" s="268"/>
      <c r="U123" s="269" t="e">
        <f>VLOOKUP(R123,[71]Listas!$D$6:$E$10,2,0)</f>
        <v>#N/A</v>
      </c>
      <c r="V123" s="269" t="e">
        <f>HLOOKUP(S123,[71]Listas!$F$4:$J$5,2,0)</f>
        <v>#N/A</v>
      </c>
      <c r="W123" s="270" t="e">
        <f>INDEX([71]Listas!$F$6:$J$10,MATCH(R123,[71]Listas!$D$6:$D$10,0),MATCH(S123,[71]Listas!$F$4:$J$4,0))</f>
        <v>#N/A</v>
      </c>
      <c r="X123" s="268"/>
      <c r="Y123" s="1399"/>
      <c r="Z123" s="1408"/>
      <c r="AA123" s="1400"/>
      <c r="AB123" s="1063"/>
      <c r="AC123" s="267"/>
      <c r="AD123" s="259"/>
      <c r="AE123" s="608"/>
      <c r="AF123" s="267"/>
      <c r="AG123" s="268"/>
      <c r="AH123" s="269">
        <f t="shared" si="12"/>
        <v>0</v>
      </c>
      <c r="AI123" s="271" t="e">
        <f t="shared" si="13"/>
        <v>#N/A</v>
      </c>
      <c r="AJ123" s="272" t="e">
        <f>IF(AI123&lt;=1,"Remota",VLOOKUP(AI123,[71]Listas!$C$6:$D$10,2,0))</f>
        <v>#N/A</v>
      </c>
      <c r="AK123" s="271" t="e">
        <f t="shared" si="14"/>
        <v>#N/A</v>
      </c>
      <c r="AL123" s="272" t="e">
        <f>IF(AK123&lt;=1,"Insignificante",HLOOKUP(AK123,[71]Listas!$F$3:$J$4,2,0))</f>
        <v>#N/A</v>
      </c>
      <c r="AM123" s="273" t="e">
        <f t="shared" si="15"/>
        <v>#N/A</v>
      </c>
      <c r="AN123" s="270" t="e">
        <f>INDEX([71]Listas!$F$6:$J$10,MATCH(AJ123,[71]Listas!$D$6:$D$10,0),MATCH(AL123,[71]Listas!$F$4:$J$4,0))</f>
        <v>#N/A</v>
      </c>
      <c r="AO123" s="259"/>
      <c r="AP123" s="259"/>
      <c r="AQ123" s="610"/>
      <c r="AR123" s="259"/>
      <c r="AS123" s="259" t="s">
        <v>2343</v>
      </c>
      <c r="AT123" s="608"/>
      <c r="AU123" s="259"/>
      <c r="AV123" s="259"/>
      <c r="AW123" s="261"/>
      <c r="AX123" s="261"/>
      <c r="AY123" s="608"/>
      <c r="AZ123" s="262"/>
    </row>
    <row r="124" spans="2:52" s="260" customFormat="1" ht="103.5" hidden="1" customHeight="1">
      <c r="B124" s="608"/>
      <c r="C124" s="266"/>
      <c r="D124" s="1399"/>
      <c r="E124" s="1408"/>
      <c r="F124" s="1400"/>
      <c r="G124" s="267"/>
      <c r="H124" s="1399"/>
      <c r="I124" s="1408"/>
      <c r="J124" s="1400"/>
      <c r="K124" s="1380"/>
      <c r="L124" s="1380"/>
      <c r="M124" s="1380"/>
      <c r="N124" s="608"/>
      <c r="O124" s="608"/>
      <c r="P124" s="608"/>
      <c r="Q124" s="608"/>
      <c r="R124" s="266"/>
      <c r="S124" s="266"/>
      <c r="T124" s="268"/>
      <c r="U124" s="269" t="e">
        <f>VLOOKUP(R124,[71]Listas!$D$6:$E$10,2,0)</f>
        <v>#N/A</v>
      </c>
      <c r="V124" s="269" t="e">
        <f>HLOOKUP(S124,[71]Listas!$F$4:$J$5,2,0)</f>
        <v>#N/A</v>
      </c>
      <c r="W124" s="270" t="e">
        <f>INDEX([71]Listas!$F$6:$J$10,MATCH(R124,[71]Listas!$D$6:$D$10,0),MATCH(S124,[71]Listas!$F$4:$J$4,0))</f>
        <v>#N/A</v>
      </c>
      <c r="X124" s="268"/>
      <c r="Y124" s="1399"/>
      <c r="Z124" s="1408"/>
      <c r="AA124" s="1400"/>
      <c r="AB124" s="1063"/>
      <c r="AC124" s="267"/>
      <c r="AD124" s="259"/>
      <c r="AE124" s="608"/>
      <c r="AF124" s="267"/>
      <c r="AG124" s="268"/>
      <c r="AH124" s="269">
        <f t="shared" si="12"/>
        <v>0</v>
      </c>
      <c r="AI124" s="271" t="e">
        <f t="shared" si="13"/>
        <v>#N/A</v>
      </c>
      <c r="AJ124" s="272" t="e">
        <f>IF(AI124&lt;=1,"Remota",VLOOKUP(AI124,[71]Listas!$C$6:$D$10,2,0))</f>
        <v>#N/A</v>
      </c>
      <c r="AK124" s="271" t="e">
        <f t="shared" si="14"/>
        <v>#N/A</v>
      </c>
      <c r="AL124" s="272" t="e">
        <f>IF(AK124&lt;=1,"Insignificante",HLOOKUP(AK124,[71]Listas!$F$3:$J$4,2,0))</f>
        <v>#N/A</v>
      </c>
      <c r="AM124" s="273" t="e">
        <f t="shared" si="15"/>
        <v>#N/A</v>
      </c>
      <c r="AN124" s="270" t="e">
        <f>INDEX([71]Listas!$F$6:$J$10,MATCH(AJ124,[71]Listas!$D$6:$D$10,0),MATCH(AL124,[71]Listas!$F$4:$J$4,0))</f>
        <v>#N/A</v>
      </c>
      <c r="AO124" s="259"/>
      <c r="AP124" s="259"/>
      <c r="AQ124" s="610"/>
      <c r="AR124" s="259"/>
      <c r="AS124" s="259" t="s">
        <v>2343</v>
      </c>
      <c r="AT124" s="608"/>
      <c r="AU124" s="259"/>
      <c r="AV124" s="259"/>
      <c r="AW124" s="261"/>
      <c r="AX124" s="261"/>
      <c r="AY124" s="608"/>
      <c r="AZ124" s="262"/>
    </row>
    <row r="125" spans="2:52" s="260" customFormat="1" ht="103.5" hidden="1" customHeight="1">
      <c r="B125" s="608"/>
      <c r="C125" s="266"/>
      <c r="D125" s="1399"/>
      <c r="E125" s="1408"/>
      <c r="F125" s="1400"/>
      <c r="G125" s="267"/>
      <c r="H125" s="1399"/>
      <c r="I125" s="1408"/>
      <c r="J125" s="1400"/>
      <c r="K125" s="1380"/>
      <c r="L125" s="1380"/>
      <c r="M125" s="1380"/>
      <c r="N125" s="608"/>
      <c r="O125" s="608"/>
      <c r="P125" s="608"/>
      <c r="Q125" s="608"/>
      <c r="R125" s="266"/>
      <c r="S125" s="266"/>
      <c r="T125" s="268"/>
      <c r="U125" s="269" t="e">
        <f>VLOOKUP(R125,[71]Listas!$D$6:$E$10,2,0)</f>
        <v>#N/A</v>
      </c>
      <c r="V125" s="269" t="e">
        <f>HLOOKUP(S125,[71]Listas!$F$4:$J$5,2,0)</f>
        <v>#N/A</v>
      </c>
      <c r="W125" s="270" t="e">
        <f>INDEX([71]Listas!$F$6:$J$10,MATCH(R125,[71]Listas!$D$6:$D$10,0),MATCH(S125,[71]Listas!$F$4:$J$4,0))</f>
        <v>#N/A</v>
      </c>
      <c r="X125" s="268"/>
      <c r="Y125" s="1399"/>
      <c r="Z125" s="1408"/>
      <c r="AA125" s="1400"/>
      <c r="AB125" s="1063"/>
      <c r="AC125" s="267"/>
      <c r="AD125" s="259"/>
      <c r="AE125" s="608"/>
      <c r="AF125" s="267"/>
      <c r="AG125" s="268"/>
      <c r="AH125" s="269">
        <f t="shared" si="12"/>
        <v>0</v>
      </c>
      <c r="AI125" s="271" t="e">
        <f t="shared" si="13"/>
        <v>#N/A</v>
      </c>
      <c r="AJ125" s="272" t="e">
        <f>IF(AI125&lt;=1,"Remota",VLOOKUP(AI125,[71]Listas!$C$6:$D$10,2,0))</f>
        <v>#N/A</v>
      </c>
      <c r="AK125" s="271" t="e">
        <f t="shared" si="14"/>
        <v>#N/A</v>
      </c>
      <c r="AL125" s="272" t="e">
        <f>IF(AK125&lt;=1,"Insignificante",HLOOKUP(AK125,[71]Listas!$F$3:$J$4,2,0))</f>
        <v>#N/A</v>
      </c>
      <c r="AM125" s="273" t="e">
        <f t="shared" si="15"/>
        <v>#N/A</v>
      </c>
      <c r="AN125" s="270" t="e">
        <f>INDEX([71]Listas!$F$6:$J$10,MATCH(AJ125,[71]Listas!$D$6:$D$10,0),MATCH(AL125,[71]Listas!$F$4:$J$4,0))</f>
        <v>#N/A</v>
      </c>
      <c r="AO125" s="259"/>
      <c r="AP125" s="259"/>
      <c r="AQ125" s="610"/>
      <c r="AR125" s="259"/>
      <c r="AS125" s="259" t="s">
        <v>2343</v>
      </c>
      <c r="AT125" s="608"/>
      <c r="AU125" s="259"/>
      <c r="AV125" s="259"/>
      <c r="AW125" s="261"/>
      <c r="AX125" s="261"/>
      <c r="AY125" s="608"/>
      <c r="AZ125" s="262"/>
    </row>
    <row r="126" spans="2:52" s="260" customFormat="1" ht="103.5" hidden="1" customHeight="1">
      <c r="B126" s="608"/>
      <c r="C126" s="266"/>
      <c r="D126" s="1399"/>
      <c r="E126" s="1408"/>
      <c r="F126" s="1400"/>
      <c r="G126" s="267"/>
      <c r="H126" s="1399"/>
      <c r="I126" s="1408"/>
      <c r="J126" s="1400"/>
      <c r="K126" s="1380"/>
      <c r="L126" s="1380"/>
      <c r="M126" s="1380"/>
      <c r="N126" s="608"/>
      <c r="O126" s="608"/>
      <c r="P126" s="608"/>
      <c r="Q126" s="608"/>
      <c r="R126" s="266"/>
      <c r="S126" s="266"/>
      <c r="T126" s="268"/>
      <c r="U126" s="269" t="e">
        <f>VLOOKUP(R126,[71]Listas!$D$6:$E$10,2,0)</f>
        <v>#N/A</v>
      </c>
      <c r="V126" s="269" t="e">
        <f>HLOOKUP(S126,[71]Listas!$F$4:$J$5,2,0)</f>
        <v>#N/A</v>
      </c>
      <c r="W126" s="270" t="e">
        <f>INDEX([71]Listas!$F$6:$J$10,MATCH(R126,[71]Listas!$D$6:$D$10,0),MATCH(S126,[71]Listas!$F$4:$J$4,0))</f>
        <v>#N/A</v>
      </c>
      <c r="X126" s="268"/>
      <c r="Y126" s="1399"/>
      <c r="Z126" s="1408"/>
      <c r="AA126" s="1400"/>
      <c r="AB126" s="1063"/>
      <c r="AC126" s="267"/>
      <c r="AD126" s="259"/>
      <c r="AE126" s="608"/>
      <c r="AF126" s="267"/>
      <c r="AG126" s="268"/>
      <c r="AH126" s="269">
        <f t="shared" si="12"/>
        <v>0</v>
      </c>
      <c r="AI126" s="271" t="e">
        <f t="shared" si="13"/>
        <v>#N/A</v>
      </c>
      <c r="AJ126" s="272" t="e">
        <f>IF(AI126&lt;=1,"Remota",VLOOKUP(AI126,[71]Listas!$C$6:$D$10,2,0))</f>
        <v>#N/A</v>
      </c>
      <c r="AK126" s="271" t="e">
        <f t="shared" si="14"/>
        <v>#N/A</v>
      </c>
      <c r="AL126" s="272" t="e">
        <f>IF(AK126&lt;=1,"Insignificante",HLOOKUP(AK126,[71]Listas!$F$3:$J$4,2,0))</f>
        <v>#N/A</v>
      </c>
      <c r="AM126" s="273" t="e">
        <f t="shared" si="15"/>
        <v>#N/A</v>
      </c>
      <c r="AN126" s="270" t="e">
        <f>INDEX([71]Listas!$F$6:$J$10,MATCH(AJ126,[71]Listas!$D$6:$D$10,0),MATCH(AL126,[71]Listas!$F$4:$J$4,0))</f>
        <v>#N/A</v>
      </c>
      <c r="AO126" s="259"/>
      <c r="AP126" s="259"/>
      <c r="AQ126" s="610"/>
      <c r="AR126" s="259"/>
      <c r="AS126" s="259" t="s">
        <v>2343</v>
      </c>
      <c r="AT126" s="608"/>
      <c r="AU126" s="259"/>
      <c r="AV126" s="259"/>
      <c r="AW126" s="261"/>
      <c r="AX126" s="261"/>
      <c r="AY126" s="608"/>
      <c r="AZ126" s="262"/>
    </row>
    <row r="127" spans="2:52" s="260" customFormat="1" ht="103.5" hidden="1" customHeight="1">
      <c r="B127" s="608"/>
      <c r="C127" s="266"/>
      <c r="D127" s="1399"/>
      <c r="E127" s="1408"/>
      <c r="F127" s="1400"/>
      <c r="G127" s="267"/>
      <c r="H127" s="1399"/>
      <c r="I127" s="1408"/>
      <c r="J127" s="1400"/>
      <c r="K127" s="1380"/>
      <c r="L127" s="1380"/>
      <c r="M127" s="1380"/>
      <c r="N127" s="608"/>
      <c r="O127" s="608"/>
      <c r="P127" s="608"/>
      <c r="Q127" s="608"/>
      <c r="R127" s="266"/>
      <c r="S127" s="266"/>
      <c r="T127" s="268"/>
      <c r="U127" s="269" t="e">
        <f>VLOOKUP(R127,[71]Listas!$D$6:$E$10,2,0)</f>
        <v>#N/A</v>
      </c>
      <c r="V127" s="269" t="e">
        <f>HLOOKUP(S127,[71]Listas!$F$4:$J$5,2,0)</f>
        <v>#N/A</v>
      </c>
      <c r="W127" s="270" t="e">
        <f>INDEX([71]Listas!$F$6:$J$10,MATCH(R127,[71]Listas!$D$6:$D$10,0),MATCH(S127,[71]Listas!$F$4:$J$4,0))</f>
        <v>#N/A</v>
      </c>
      <c r="X127" s="268"/>
      <c r="Y127" s="1399"/>
      <c r="Z127" s="1408"/>
      <c r="AA127" s="1400"/>
      <c r="AB127" s="1063"/>
      <c r="AC127" s="267"/>
      <c r="AD127" s="259"/>
      <c r="AE127" s="608"/>
      <c r="AF127" s="267"/>
      <c r="AG127" s="268"/>
      <c r="AH127" s="269">
        <f t="shared" si="12"/>
        <v>0</v>
      </c>
      <c r="AI127" s="271" t="e">
        <f t="shared" si="13"/>
        <v>#N/A</v>
      </c>
      <c r="AJ127" s="272" t="e">
        <f>IF(AI127&lt;=1,"Remota",VLOOKUP(AI127,[71]Listas!$C$6:$D$10,2,0))</f>
        <v>#N/A</v>
      </c>
      <c r="AK127" s="271" t="e">
        <f t="shared" si="14"/>
        <v>#N/A</v>
      </c>
      <c r="AL127" s="272" t="e">
        <f>IF(AK127&lt;=1,"Insignificante",HLOOKUP(AK127,[71]Listas!$F$3:$J$4,2,0))</f>
        <v>#N/A</v>
      </c>
      <c r="AM127" s="273" t="e">
        <f t="shared" si="15"/>
        <v>#N/A</v>
      </c>
      <c r="AN127" s="270" t="e">
        <f>INDEX([71]Listas!$F$6:$J$10,MATCH(AJ127,[71]Listas!$D$6:$D$10,0),MATCH(AL127,[71]Listas!$F$4:$J$4,0))</f>
        <v>#N/A</v>
      </c>
      <c r="AO127" s="259"/>
      <c r="AP127" s="259"/>
      <c r="AQ127" s="610"/>
      <c r="AR127" s="259"/>
      <c r="AS127" s="259" t="s">
        <v>2343</v>
      </c>
      <c r="AT127" s="608"/>
      <c r="AU127" s="259"/>
      <c r="AV127" s="259"/>
      <c r="AW127" s="261"/>
      <c r="AX127" s="261"/>
      <c r="AY127" s="608"/>
      <c r="AZ127" s="262"/>
    </row>
    <row r="128" spans="2:52" s="260" customFormat="1" ht="103.5" hidden="1" customHeight="1">
      <c r="B128" s="608"/>
      <c r="C128" s="266"/>
      <c r="D128" s="1399"/>
      <c r="E128" s="1408"/>
      <c r="F128" s="1400"/>
      <c r="G128" s="267"/>
      <c r="H128" s="1399"/>
      <c r="I128" s="1408"/>
      <c r="J128" s="1400"/>
      <c r="K128" s="1380"/>
      <c r="L128" s="1380"/>
      <c r="M128" s="1380"/>
      <c r="N128" s="608"/>
      <c r="O128" s="608"/>
      <c r="P128" s="608"/>
      <c r="Q128" s="608"/>
      <c r="R128" s="266"/>
      <c r="S128" s="266"/>
      <c r="T128" s="268"/>
      <c r="U128" s="269" t="e">
        <f>VLOOKUP(R128,[71]Listas!$D$6:$E$10,2,0)</f>
        <v>#N/A</v>
      </c>
      <c r="V128" s="269" t="e">
        <f>HLOOKUP(S128,[71]Listas!$F$4:$J$5,2,0)</f>
        <v>#N/A</v>
      </c>
      <c r="W128" s="270" t="e">
        <f>INDEX([71]Listas!$F$6:$J$10,MATCH(R128,[71]Listas!$D$6:$D$10,0),MATCH(S128,[71]Listas!$F$4:$J$4,0))</f>
        <v>#N/A</v>
      </c>
      <c r="X128" s="268"/>
      <c r="Y128" s="1399"/>
      <c r="Z128" s="1408"/>
      <c r="AA128" s="1400"/>
      <c r="AB128" s="1063"/>
      <c r="AC128" s="267"/>
      <c r="AD128" s="259"/>
      <c r="AE128" s="608"/>
      <c r="AF128" s="267"/>
      <c r="AG128" s="268"/>
      <c r="AH128" s="269">
        <f t="shared" si="12"/>
        <v>0</v>
      </c>
      <c r="AI128" s="271" t="e">
        <f t="shared" si="13"/>
        <v>#N/A</v>
      </c>
      <c r="AJ128" s="272" t="e">
        <f>IF(AI128&lt;=1,"Remota",VLOOKUP(AI128,[71]Listas!$C$6:$D$10,2,0))</f>
        <v>#N/A</v>
      </c>
      <c r="AK128" s="271" t="e">
        <f t="shared" si="14"/>
        <v>#N/A</v>
      </c>
      <c r="AL128" s="272" t="e">
        <f>IF(AK128&lt;=1,"Insignificante",HLOOKUP(AK128,[71]Listas!$F$3:$J$4,2,0))</f>
        <v>#N/A</v>
      </c>
      <c r="AM128" s="273" t="e">
        <f t="shared" si="15"/>
        <v>#N/A</v>
      </c>
      <c r="AN128" s="270" t="e">
        <f>INDEX([71]Listas!$F$6:$J$10,MATCH(AJ128,[71]Listas!$D$6:$D$10,0),MATCH(AL128,[71]Listas!$F$4:$J$4,0))</f>
        <v>#N/A</v>
      </c>
      <c r="AO128" s="259"/>
      <c r="AP128" s="259"/>
      <c r="AQ128" s="610"/>
      <c r="AR128" s="259"/>
      <c r="AS128" s="259" t="s">
        <v>2343</v>
      </c>
      <c r="AT128" s="608"/>
      <c r="AU128" s="259"/>
      <c r="AV128" s="259"/>
      <c r="AW128" s="261"/>
      <c r="AX128" s="261"/>
      <c r="AY128" s="608"/>
      <c r="AZ128" s="262"/>
    </row>
    <row r="129" spans="2:52" s="260" customFormat="1" ht="103.5" hidden="1" customHeight="1">
      <c r="B129" s="608"/>
      <c r="C129" s="266"/>
      <c r="D129" s="1399"/>
      <c r="E129" s="1408"/>
      <c r="F129" s="1400"/>
      <c r="G129" s="267"/>
      <c r="H129" s="1399"/>
      <c r="I129" s="1408"/>
      <c r="J129" s="1400"/>
      <c r="K129" s="1380"/>
      <c r="L129" s="1380"/>
      <c r="M129" s="1380"/>
      <c r="N129" s="608"/>
      <c r="O129" s="608"/>
      <c r="P129" s="608"/>
      <c r="Q129" s="608"/>
      <c r="R129" s="266"/>
      <c r="S129" s="266"/>
      <c r="T129" s="268"/>
      <c r="U129" s="269" t="e">
        <f>VLOOKUP(R129,[71]Listas!$D$6:$E$10,2,0)</f>
        <v>#N/A</v>
      </c>
      <c r="V129" s="269" t="e">
        <f>HLOOKUP(S129,[71]Listas!$F$4:$J$5,2,0)</f>
        <v>#N/A</v>
      </c>
      <c r="W129" s="270" t="e">
        <f>INDEX([71]Listas!$F$6:$J$10,MATCH(R129,[71]Listas!$D$6:$D$10,0),MATCH(S129,[71]Listas!$F$4:$J$4,0))</f>
        <v>#N/A</v>
      </c>
      <c r="X129" s="268"/>
      <c r="Y129" s="1399"/>
      <c r="Z129" s="1408"/>
      <c r="AA129" s="1400"/>
      <c r="AB129" s="1063"/>
      <c r="AC129" s="267"/>
      <c r="AD129" s="259"/>
      <c r="AE129" s="608"/>
      <c r="AF129" s="267"/>
      <c r="AG129" s="268"/>
      <c r="AH129" s="269">
        <f t="shared" si="12"/>
        <v>0</v>
      </c>
      <c r="AI129" s="271" t="e">
        <f t="shared" si="13"/>
        <v>#N/A</v>
      </c>
      <c r="AJ129" s="272" t="e">
        <f>IF(AI129&lt;=1,"Remota",VLOOKUP(AI129,[71]Listas!$C$6:$D$10,2,0))</f>
        <v>#N/A</v>
      </c>
      <c r="AK129" s="271" t="e">
        <f t="shared" si="14"/>
        <v>#N/A</v>
      </c>
      <c r="AL129" s="272" t="e">
        <f>IF(AK129&lt;=1,"Insignificante",HLOOKUP(AK129,[71]Listas!$F$3:$J$4,2,0))</f>
        <v>#N/A</v>
      </c>
      <c r="AM129" s="273" t="e">
        <f t="shared" si="15"/>
        <v>#N/A</v>
      </c>
      <c r="AN129" s="270" t="e">
        <f>INDEX([71]Listas!$F$6:$J$10,MATCH(AJ129,[71]Listas!$D$6:$D$10,0),MATCH(AL129,[71]Listas!$F$4:$J$4,0))</f>
        <v>#N/A</v>
      </c>
      <c r="AO129" s="259"/>
      <c r="AP129" s="259"/>
      <c r="AQ129" s="610"/>
      <c r="AR129" s="259"/>
      <c r="AS129" s="259" t="s">
        <v>2343</v>
      </c>
      <c r="AT129" s="608"/>
      <c r="AU129" s="259"/>
      <c r="AV129" s="259"/>
      <c r="AW129" s="261"/>
      <c r="AX129" s="261"/>
      <c r="AY129" s="608"/>
      <c r="AZ129" s="262"/>
    </row>
    <row r="130" spans="2:52" s="260" customFormat="1" ht="103.5" hidden="1" customHeight="1">
      <c r="B130" s="608"/>
      <c r="C130" s="266"/>
      <c r="D130" s="1399"/>
      <c r="E130" s="1408"/>
      <c r="F130" s="1400"/>
      <c r="G130" s="267"/>
      <c r="H130" s="1399"/>
      <c r="I130" s="1408"/>
      <c r="J130" s="1400"/>
      <c r="K130" s="1380"/>
      <c r="L130" s="1380"/>
      <c r="M130" s="1380"/>
      <c r="N130" s="608"/>
      <c r="O130" s="608"/>
      <c r="P130" s="608"/>
      <c r="Q130" s="608"/>
      <c r="R130" s="266"/>
      <c r="S130" s="266"/>
      <c r="T130" s="268"/>
      <c r="U130" s="269" t="e">
        <f>VLOOKUP(R130,[71]Listas!$D$6:$E$10,2,0)</f>
        <v>#N/A</v>
      </c>
      <c r="V130" s="269" t="e">
        <f>HLOOKUP(S130,[71]Listas!$F$4:$J$5,2,0)</f>
        <v>#N/A</v>
      </c>
      <c r="W130" s="270" t="e">
        <f>INDEX([71]Listas!$F$6:$J$10,MATCH(R130,[71]Listas!$D$6:$D$10,0),MATCH(S130,[71]Listas!$F$4:$J$4,0))</f>
        <v>#N/A</v>
      </c>
      <c r="X130" s="268"/>
      <c r="Y130" s="1399"/>
      <c r="Z130" s="1408"/>
      <c r="AA130" s="1400"/>
      <c r="AB130" s="1063"/>
      <c r="AC130" s="267"/>
      <c r="AD130" s="259"/>
      <c r="AE130" s="608"/>
      <c r="AF130" s="267"/>
      <c r="AG130" s="268"/>
      <c r="AH130" s="269">
        <f t="shared" si="12"/>
        <v>0</v>
      </c>
      <c r="AI130" s="271" t="e">
        <f t="shared" si="13"/>
        <v>#N/A</v>
      </c>
      <c r="AJ130" s="272" t="e">
        <f>IF(AI130&lt;=1,"Remota",VLOOKUP(AI130,[71]Listas!$C$6:$D$10,2,0))</f>
        <v>#N/A</v>
      </c>
      <c r="AK130" s="271" t="e">
        <f t="shared" si="14"/>
        <v>#N/A</v>
      </c>
      <c r="AL130" s="272" t="e">
        <f>IF(AK130&lt;=1,"Insignificante",HLOOKUP(AK130,[71]Listas!$F$3:$J$4,2,0))</f>
        <v>#N/A</v>
      </c>
      <c r="AM130" s="273" t="e">
        <f t="shared" si="15"/>
        <v>#N/A</v>
      </c>
      <c r="AN130" s="270" t="e">
        <f>INDEX([71]Listas!$F$6:$J$10,MATCH(AJ130,[71]Listas!$D$6:$D$10,0),MATCH(AL130,[71]Listas!$F$4:$J$4,0))</f>
        <v>#N/A</v>
      </c>
      <c r="AO130" s="259"/>
      <c r="AP130" s="259"/>
      <c r="AQ130" s="610"/>
      <c r="AR130" s="259"/>
      <c r="AS130" s="259" t="s">
        <v>2343</v>
      </c>
      <c r="AT130" s="608"/>
      <c r="AU130" s="259"/>
      <c r="AV130" s="259"/>
      <c r="AW130" s="261"/>
      <c r="AX130" s="261"/>
      <c r="AY130" s="608"/>
      <c r="AZ130" s="262"/>
    </row>
    <row r="131" spans="2:52" s="260" customFormat="1" ht="103.5" hidden="1" customHeight="1">
      <c r="B131" s="608"/>
      <c r="C131" s="266"/>
      <c r="D131" s="1399"/>
      <c r="E131" s="1408"/>
      <c r="F131" s="1400"/>
      <c r="G131" s="267"/>
      <c r="H131" s="1399"/>
      <c r="I131" s="1408"/>
      <c r="J131" s="1400"/>
      <c r="K131" s="1380"/>
      <c r="L131" s="1380"/>
      <c r="M131" s="1380"/>
      <c r="N131" s="608"/>
      <c r="O131" s="608"/>
      <c r="P131" s="608"/>
      <c r="Q131" s="608"/>
      <c r="R131" s="266"/>
      <c r="S131" s="266"/>
      <c r="T131" s="268"/>
      <c r="U131" s="269" t="e">
        <f>VLOOKUP(R131,[71]Listas!$D$6:$E$10,2,0)</f>
        <v>#N/A</v>
      </c>
      <c r="V131" s="269" t="e">
        <f>HLOOKUP(S131,[71]Listas!$F$4:$J$5,2,0)</f>
        <v>#N/A</v>
      </c>
      <c r="W131" s="270" t="e">
        <f>INDEX([71]Listas!$F$6:$J$10,MATCH(R131,[71]Listas!$D$6:$D$10,0),MATCH(S131,[71]Listas!$F$4:$J$4,0))</f>
        <v>#N/A</v>
      </c>
      <c r="X131" s="268"/>
      <c r="Y131" s="1399"/>
      <c r="Z131" s="1408"/>
      <c r="AA131" s="1400"/>
      <c r="AB131" s="1063"/>
      <c r="AC131" s="267"/>
      <c r="AD131" s="259"/>
      <c r="AE131" s="608"/>
      <c r="AF131" s="267"/>
      <c r="AG131" s="268"/>
      <c r="AH131" s="269">
        <f t="shared" si="12"/>
        <v>0</v>
      </c>
      <c r="AI131" s="271" t="e">
        <f t="shared" si="13"/>
        <v>#N/A</v>
      </c>
      <c r="AJ131" s="272" t="e">
        <f>IF(AI131&lt;=1,"Remota",VLOOKUP(AI131,[71]Listas!$C$6:$D$10,2,0))</f>
        <v>#N/A</v>
      </c>
      <c r="AK131" s="271" t="e">
        <f t="shared" si="14"/>
        <v>#N/A</v>
      </c>
      <c r="AL131" s="272" t="e">
        <f>IF(AK131&lt;=1,"Insignificante",HLOOKUP(AK131,[71]Listas!$F$3:$J$4,2,0))</f>
        <v>#N/A</v>
      </c>
      <c r="AM131" s="273" t="e">
        <f t="shared" si="15"/>
        <v>#N/A</v>
      </c>
      <c r="AN131" s="270" t="e">
        <f>INDEX([71]Listas!$F$6:$J$10,MATCH(AJ131,[71]Listas!$D$6:$D$10,0),MATCH(AL131,[71]Listas!$F$4:$J$4,0))</f>
        <v>#N/A</v>
      </c>
      <c r="AO131" s="259"/>
      <c r="AP131" s="259"/>
      <c r="AQ131" s="610"/>
      <c r="AR131" s="259"/>
      <c r="AS131" s="259" t="s">
        <v>2343</v>
      </c>
      <c r="AT131" s="608"/>
      <c r="AU131" s="259"/>
      <c r="AV131" s="259"/>
      <c r="AW131" s="261"/>
      <c r="AX131" s="261"/>
      <c r="AY131" s="608"/>
      <c r="AZ131" s="262"/>
    </row>
    <row r="132" spans="2:52" s="260" customFormat="1" ht="103.5" hidden="1" customHeight="1">
      <c r="B132" s="608"/>
      <c r="C132" s="266"/>
      <c r="D132" s="1399"/>
      <c r="E132" s="1408"/>
      <c r="F132" s="1400"/>
      <c r="G132" s="267"/>
      <c r="H132" s="1399"/>
      <c r="I132" s="1408"/>
      <c r="J132" s="1400"/>
      <c r="K132" s="1380"/>
      <c r="L132" s="1380"/>
      <c r="M132" s="1380"/>
      <c r="N132" s="608"/>
      <c r="O132" s="608"/>
      <c r="P132" s="608"/>
      <c r="Q132" s="608"/>
      <c r="R132" s="266"/>
      <c r="S132" s="266"/>
      <c r="T132" s="268"/>
      <c r="U132" s="269" t="e">
        <f>VLOOKUP(R132,[71]Listas!$D$6:$E$10,2,0)</f>
        <v>#N/A</v>
      </c>
      <c r="V132" s="269" t="e">
        <f>HLOOKUP(S132,[71]Listas!$F$4:$J$5,2,0)</f>
        <v>#N/A</v>
      </c>
      <c r="W132" s="270" t="e">
        <f>INDEX([71]Listas!$F$6:$J$10,MATCH(R132,[71]Listas!$D$6:$D$10,0),MATCH(S132,[71]Listas!$F$4:$J$4,0))</f>
        <v>#N/A</v>
      </c>
      <c r="X132" s="268"/>
      <c r="Y132" s="1399"/>
      <c r="Z132" s="1408"/>
      <c r="AA132" s="1400"/>
      <c r="AB132" s="1063"/>
      <c r="AC132" s="267"/>
      <c r="AD132" s="259"/>
      <c r="AE132" s="608"/>
      <c r="AF132" s="267"/>
      <c r="AG132" s="268"/>
      <c r="AH132" s="269">
        <f t="shared" si="12"/>
        <v>0</v>
      </c>
      <c r="AI132" s="271" t="e">
        <f t="shared" si="13"/>
        <v>#N/A</v>
      </c>
      <c r="AJ132" s="272" t="e">
        <f>IF(AI132&lt;=1,"Remota",VLOOKUP(AI132,[71]Listas!$C$6:$D$10,2,0))</f>
        <v>#N/A</v>
      </c>
      <c r="AK132" s="271" t="e">
        <f t="shared" si="14"/>
        <v>#N/A</v>
      </c>
      <c r="AL132" s="272" t="e">
        <f>IF(AK132&lt;=1,"Insignificante",HLOOKUP(AK132,[71]Listas!$F$3:$J$4,2,0))</f>
        <v>#N/A</v>
      </c>
      <c r="AM132" s="273" t="e">
        <f t="shared" si="15"/>
        <v>#N/A</v>
      </c>
      <c r="AN132" s="270" t="e">
        <f>INDEX([71]Listas!$F$6:$J$10,MATCH(AJ132,[71]Listas!$D$6:$D$10,0),MATCH(AL132,[71]Listas!$F$4:$J$4,0))</f>
        <v>#N/A</v>
      </c>
      <c r="AO132" s="259"/>
      <c r="AP132" s="259"/>
      <c r="AQ132" s="610"/>
      <c r="AR132" s="259"/>
      <c r="AS132" s="259" t="s">
        <v>2343</v>
      </c>
      <c r="AT132" s="608"/>
      <c r="AU132" s="259"/>
      <c r="AV132" s="259"/>
      <c r="AW132" s="261"/>
      <c r="AX132" s="261"/>
      <c r="AY132" s="608"/>
      <c r="AZ132" s="262"/>
    </row>
    <row r="133" spans="2:52" s="260" customFormat="1" ht="103.5" hidden="1" customHeight="1">
      <c r="B133" s="608"/>
      <c r="C133" s="266"/>
      <c r="D133" s="1399"/>
      <c r="E133" s="1408"/>
      <c r="F133" s="1400"/>
      <c r="G133" s="267"/>
      <c r="H133" s="1399"/>
      <c r="I133" s="1408"/>
      <c r="J133" s="1400"/>
      <c r="K133" s="1380"/>
      <c r="L133" s="1380"/>
      <c r="M133" s="1380"/>
      <c r="N133" s="608"/>
      <c r="O133" s="608"/>
      <c r="P133" s="608"/>
      <c r="Q133" s="608"/>
      <c r="R133" s="266"/>
      <c r="S133" s="266"/>
      <c r="T133" s="268"/>
      <c r="U133" s="269" t="e">
        <f>VLOOKUP(R133,[71]Listas!$D$6:$E$10,2,0)</f>
        <v>#N/A</v>
      </c>
      <c r="V133" s="269" t="e">
        <f>HLOOKUP(S133,[71]Listas!$F$4:$J$5,2,0)</f>
        <v>#N/A</v>
      </c>
      <c r="W133" s="270" t="e">
        <f>INDEX([71]Listas!$F$6:$J$10,MATCH(R133,[71]Listas!$D$6:$D$10,0),MATCH(S133,[71]Listas!$F$4:$J$4,0))</f>
        <v>#N/A</v>
      </c>
      <c r="X133" s="268"/>
      <c r="Y133" s="1399"/>
      <c r="Z133" s="1408"/>
      <c r="AA133" s="1400"/>
      <c r="AB133" s="1063"/>
      <c r="AC133" s="267"/>
      <c r="AD133" s="259"/>
      <c r="AE133" s="608"/>
      <c r="AF133" s="267"/>
      <c r="AG133" s="268"/>
      <c r="AH133" s="269">
        <f t="shared" si="12"/>
        <v>0</v>
      </c>
      <c r="AI133" s="271" t="e">
        <f t="shared" si="13"/>
        <v>#N/A</v>
      </c>
      <c r="AJ133" s="272" t="e">
        <f>IF(AI133&lt;=1,"Remota",VLOOKUP(AI133,[71]Listas!$C$6:$D$10,2,0))</f>
        <v>#N/A</v>
      </c>
      <c r="AK133" s="271" t="e">
        <f t="shared" si="14"/>
        <v>#N/A</v>
      </c>
      <c r="AL133" s="272" t="e">
        <f>IF(AK133&lt;=1,"Insignificante",HLOOKUP(AK133,[71]Listas!$F$3:$J$4,2,0))</f>
        <v>#N/A</v>
      </c>
      <c r="AM133" s="273" t="e">
        <f t="shared" si="15"/>
        <v>#N/A</v>
      </c>
      <c r="AN133" s="270" t="e">
        <f>INDEX([71]Listas!$F$6:$J$10,MATCH(AJ133,[71]Listas!$D$6:$D$10,0),MATCH(AL133,[71]Listas!$F$4:$J$4,0))</f>
        <v>#N/A</v>
      </c>
      <c r="AO133" s="259"/>
      <c r="AP133" s="259"/>
      <c r="AQ133" s="610"/>
      <c r="AR133" s="259"/>
      <c r="AS133" s="259" t="s">
        <v>2343</v>
      </c>
      <c r="AT133" s="608"/>
      <c r="AU133" s="259"/>
      <c r="AV133" s="259"/>
      <c r="AW133" s="261"/>
      <c r="AX133" s="261"/>
      <c r="AY133" s="608"/>
      <c r="AZ133" s="262"/>
    </row>
    <row r="134" spans="2:52" s="260" customFormat="1" ht="103.5" hidden="1" customHeight="1">
      <c r="B134" s="608"/>
      <c r="C134" s="266"/>
      <c r="D134" s="1399"/>
      <c r="E134" s="1408"/>
      <c r="F134" s="1400"/>
      <c r="G134" s="267"/>
      <c r="H134" s="1399"/>
      <c r="I134" s="1408"/>
      <c r="J134" s="1400"/>
      <c r="K134" s="1380"/>
      <c r="L134" s="1380"/>
      <c r="M134" s="1380"/>
      <c r="N134" s="608"/>
      <c r="O134" s="608"/>
      <c r="P134" s="608"/>
      <c r="Q134" s="608"/>
      <c r="R134" s="266"/>
      <c r="S134" s="266"/>
      <c r="T134" s="268"/>
      <c r="U134" s="269" t="e">
        <f>VLOOKUP(R134,[71]Listas!$D$6:$E$10,2,0)</f>
        <v>#N/A</v>
      </c>
      <c r="V134" s="269" t="e">
        <f>HLOOKUP(S134,[71]Listas!$F$4:$J$5,2,0)</f>
        <v>#N/A</v>
      </c>
      <c r="W134" s="270" t="e">
        <f>INDEX([71]Listas!$F$6:$J$10,MATCH(R134,[71]Listas!$D$6:$D$10,0),MATCH(S134,[71]Listas!$F$4:$J$4,0))</f>
        <v>#N/A</v>
      </c>
      <c r="X134" s="268"/>
      <c r="Y134" s="1399"/>
      <c r="Z134" s="1408"/>
      <c r="AA134" s="1400"/>
      <c r="AB134" s="1063"/>
      <c r="AC134" s="267"/>
      <c r="AD134" s="259"/>
      <c r="AE134" s="608"/>
      <c r="AF134" s="267"/>
      <c r="AG134" s="268"/>
      <c r="AH134" s="269">
        <f t="shared" si="12"/>
        <v>0</v>
      </c>
      <c r="AI134" s="271" t="e">
        <f t="shared" si="13"/>
        <v>#N/A</v>
      </c>
      <c r="AJ134" s="272" t="e">
        <f>IF(AI134&lt;=1,"Remota",VLOOKUP(AI134,[71]Listas!$C$6:$D$10,2,0))</f>
        <v>#N/A</v>
      </c>
      <c r="AK134" s="271" t="e">
        <f t="shared" si="14"/>
        <v>#N/A</v>
      </c>
      <c r="AL134" s="272" t="e">
        <f>IF(AK134&lt;=1,"Insignificante",HLOOKUP(AK134,[71]Listas!$F$3:$J$4,2,0))</f>
        <v>#N/A</v>
      </c>
      <c r="AM134" s="273" t="e">
        <f t="shared" si="15"/>
        <v>#N/A</v>
      </c>
      <c r="AN134" s="270" t="e">
        <f>INDEX([71]Listas!$F$6:$J$10,MATCH(AJ134,[71]Listas!$D$6:$D$10,0),MATCH(AL134,[71]Listas!$F$4:$J$4,0))</f>
        <v>#N/A</v>
      </c>
      <c r="AO134" s="259"/>
      <c r="AP134" s="259"/>
      <c r="AQ134" s="610"/>
      <c r="AR134" s="259"/>
      <c r="AS134" s="259" t="s">
        <v>2343</v>
      </c>
      <c r="AT134" s="608"/>
      <c r="AU134" s="259"/>
      <c r="AV134" s="259"/>
      <c r="AW134" s="261"/>
      <c r="AX134" s="261"/>
      <c r="AY134" s="608"/>
      <c r="AZ134" s="262"/>
    </row>
    <row r="135" spans="2:52" s="260" customFormat="1" ht="103.5" hidden="1" customHeight="1">
      <c r="B135" s="608"/>
      <c r="C135" s="266"/>
      <c r="D135" s="1399"/>
      <c r="E135" s="1408"/>
      <c r="F135" s="1400"/>
      <c r="G135" s="267"/>
      <c r="H135" s="1399"/>
      <c r="I135" s="1408"/>
      <c r="J135" s="1400"/>
      <c r="K135" s="1380"/>
      <c r="L135" s="1380"/>
      <c r="M135" s="1380"/>
      <c r="N135" s="608"/>
      <c r="O135" s="608"/>
      <c r="P135" s="608"/>
      <c r="Q135" s="608"/>
      <c r="R135" s="266"/>
      <c r="S135" s="266"/>
      <c r="T135" s="268"/>
      <c r="U135" s="269" t="e">
        <f>VLOOKUP(R135,[71]Listas!$D$6:$E$10,2,0)</f>
        <v>#N/A</v>
      </c>
      <c r="V135" s="269" t="e">
        <f>HLOOKUP(S135,[71]Listas!$F$4:$J$5,2,0)</f>
        <v>#N/A</v>
      </c>
      <c r="W135" s="270" t="e">
        <f>INDEX([71]Listas!$F$6:$J$10,MATCH(R135,[71]Listas!$D$6:$D$10,0),MATCH(S135,[71]Listas!$F$4:$J$4,0))</f>
        <v>#N/A</v>
      </c>
      <c r="X135" s="268"/>
      <c r="Y135" s="1399"/>
      <c r="Z135" s="1408"/>
      <c r="AA135" s="1400"/>
      <c r="AB135" s="1063"/>
      <c r="AC135" s="267"/>
      <c r="AD135" s="259"/>
      <c r="AE135" s="608"/>
      <c r="AF135" s="267"/>
      <c r="AG135" s="268"/>
      <c r="AH135" s="269">
        <f t="shared" si="12"/>
        <v>0</v>
      </c>
      <c r="AI135" s="271" t="e">
        <f t="shared" si="13"/>
        <v>#N/A</v>
      </c>
      <c r="AJ135" s="272" t="e">
        <f>IF(AI135&lt;=1,"Remota",VLOOKUP(AI135,[71]Listas!$C$6:$D$10,2,0))</f>
        <v>#N/A</v>
      </c>
      <c r="AK135" s="271" t="e">
        <f t="shared" si="14"/>
        <v>#N/A</v>
      </c>
      <c r="AL135" s="272" t="e">
        <f>IF(AK135&lt;=1,"Insignificante",HLOOKUP(AK135,[71]Listas!$F$3:$J$4,2,0))</f>
        <v>#N/A</v>
      </c>
      <c r="AM135" s="273" t="e">
        <f t="shared" si="15"/>
        <v>#N/A</v>
      </c>
      <c r="AN135" s="270" t="e">
        <f>INDEX([71]Listas!$F$6:$J$10,MATCH(AJ135,[71]Listas!$D$6:$D$10,0),MATCH(AL135,[71]Listas!$F$4:$J$4,0))</f>
        <v>#N/A</v>
      </c>
      <c r="AO135" s="259"/>
      <c r="AP135" s="259"/>
      <c r="AQ135" s="610"/>
      <c r="AR135" s="259"/>
      <c r="AS135" s="259" t="s">
        <v>2343</v>
      </c>
      <c r="AT135" s="608"/>
      <c r="AU135" s="259"/>
      <c r="AV135" s="259"/>
      <c r="AW135" s="261"/>
      <c r="AX135" s="261"/>
      <c r="AY135" s="608"/>
      <c r="AZ135" s="262"/>
    </row>
    <row r="136" spans="2:52" s="260" customFormat="1" ht="103.5" hidden="1" customHeight="1">
      <c r="B136" s="608"/>
      <c r="C136" s="266"/>
      <c r="D136" s="1399"/>
      <c r="E136" s="1408"/>
      <c r="F136" s="1400"/>
      <c r="G136" s="267"/>
      <c r="H136" s="1399"/>
      <c r="I136" s="1408"/>
      <c r="J136" s="1400"/>
      <c r="K136" s="1380"/>
      <c r="L136" s="1380"/>
      <c r="M136" s="1380"/>
      <c r="N136" s="608"/>
      <c r="O136" s="608"/>
      <c r="P136" s="608"/>
      <c r="Q136" s="608"/>
      <c r="R136" s="266"/>
      <c r="S136" s="266"/>
      <c r="T136" s="268"/>
      <c r="U136" s="269" t="e">
        <f>VLOOKUP(R136,[71]Listas!$D$6:$E$10,2,0)</f>
        <v>#N/A</v>
      </c>
      <c r="V136" s="269" t="e">
        <f>HLOOKUP(S136,[71]Listas!$F$4:$J$5,2,0)</f>
        <v>#N/A</v>
      </c>
      <c r="W136" s="270" t="e">
        <f>INDEX([71]Listas!$F$6:$J$10,MATCH(R136,[71]Listas!$D$6:$D$10,0),MATCH(S136,[71]Listas!$F$4:$J$4,0))</f>
        <v>#N/A</v>
      </c>
      <c r="X136" s="268"/>
      <c r="Y136" s="1399"/>
      <c r="Z136" s="1408"/>
      <c r="AA136" s="1400"/>
      <c r="AB136" s="1063"/>
      <c r="AC136" s="267"/>
      <c r="AD136" s="259"/>
      <c r="AE136" s="608"/>
      <c r="AF136" s="267"/>
      <c r="AG136" s="268"/>
      <c r="AH136" s="269">
        <f t="shared" si="12"/>
        <v>0</v>
      </c>
      <c r="AI136" s="271" t="e">
        <f t="shared" si="13"/>
        <v>#N/A</v>
      </c>
      <c r="AJ136" s="272" t="e">
        <f>IF(AI136&lt;=1,"Remota",VLOOKUP(AI136,[71]Listas!$C$6:$D$10,2,0))</f>
        <v>#N/A</v>
      </c>
      <c r="AK136" s="271" t="e">
        <f t="shared" si="14"/>
        <v>#N/A</v>
      </c>
      <c r="AL136" s="272" t="e">
        <f>IF(AK136&lt;=1,"Insignificante",HLOOKUP(AK136,[71]Listas!$F$3:$J$4,2,0))</f>
        <v>#N/A</v>
      </c>
      <c r="AM136" s="273" t="e">
        <f t="shared" si="15"/>
        <v>#N/A</v>
      </c>
      <c r="AN136" s="270" t="e">
        <f>INDEX([71]Listas!$F$6:$J$10,MATCH(AJ136,[71]Listas!$D$6:$D$10,0),MATCH(AL136,[71]Listas!$F$4:$J$4,0))</f>
        <v>#N/A</v>
      </c>
      <c r="AO136" s="259"/>
      <c r="AP136" s="259"/>
      <c r="AQ136" s="610"/>
      <c r="AR136" s="259"/>
      <c r="AS136" s="259" t="s">
        <v>2343</v>
      </c>
      <c r="AT136" s="608"/>
      <c r="AU136" s="259"/>
      <c r="AV136" s="259"/>
      <c r="AW136" s="261"/>
      <c r="AX136" s="261"/>
      <c r="AY136" s="608"/>
      <c r="AZ136" s="262"/>
    </row>
    <row r="137" spans="2:52" s="260" customFormat="1" ht="103.5" hidden="1" customHeight="1">
      <c r="B137" s="608"/>
      <c r="C137" s="266"/>
      <c r="D137" s="1399"/>
      <c r="E137" s="1408"/>
      <c r="F137" s="1400"/>
      <c r="G137" s="267"/>
      <c r="H137" s="1399"/>
      <c r="I137" s="1408"/>
      <c r="J137" s="1400"/>
      <c r="K137" s="1380"/>
      <c r="L137" s="1380"/>
      <c r="M137" s="1380"/>
      <c r="N137" s="608"/>
      <c r="O137" s="608"/>
      <c r="P137" s="608"/>
      <c r="Q137" s="608"/>
      <c r="R137" s="266"/>
      <c r="S137" s="266"/>
      <c r="T137" s="268"/>
      <c r="U137" s="269" t="e">
        <f>VLOOKUP(R137,[71]Listas!$D$6:$E$10,2,0)</f>
        <v>#N/A</v>
      </c>
      <c r="V137" s="269" t="e">
        <f>HLOOKUP(S137,[71]Listas!$F$4:$J$5,2,0)</f>
        <v>#N/A</v>
      </c>
      <c r="W137" s="270" t="e">
        <f>INDEX([71]Listas!$F$6:$J$10,MATCH(R137,[71]Listas!$D$6:$D$10,0),MATCH(S137,[71]Listas!$F$4:$J$4,0))</f>
        <v>#N/A</v>
      </c>
      <c r="X137" s="268"/>
      <c r="Y137" s="1399"/>
      <c r="Z137" s="1408"/>
      <c r="AA137" s="1400"/>
      <c r="AB137" s="1063"/>
      <c r="AC137" s="267"/>
      <c r="AD137" s="259"/>
      <c r="AE137" s="608"/>
      <c r="AF137" s="267"/>
      <c r="AG137" s="268"/>
      <c r="AH137" s="269">
        <f t="shared" si="12"/>
        <v>0</v>
      </c>
      <c r="AI137" s="271" t="e">
        <f t="shared" si="13"/>
        <v>#N/A</v>
      </c>
      <c r="AJ137" s="272" t="e">
        <f>IF(AI137&lt;=1,"Remota",VLOOKUP(AI137,[71]Listas!$C$6:$D$10,2,0))</f>
        <v>#N/A</v>
      </c>
      <c r="AK137" s="271" t="e">
        <f t="shared" si="14"/>
        <v>#N/A</v>
      </c>
      <c r="AL137" s="272" t="e">
        <f>IF(AK137&lt;=1,"Insignificante",HLOOKUP(AK137,[71]Listas!$F$3:$J$4,2,0))</f>
        <v>#N/A</v>
      </c>
      <c r="AM137" s="273" t="e">
        <f t="shared" si="15"/>
        <v>#N/A</v>
      </c>
      <c r="AN137" s="270" t="e">
        <f>INDEX([71]Listas!$F$6:$J$10,MATCH(AJ137,[71]Listas!$D$6:$D$10,0),MATCH(AL137,[71]Listas!$F$4:$J$4,0))</f>
        <v>#N/A</v>
      </c>
      <c r="AO137" s="259"/>
      <c r="AP137" s="259"/>
      <c r="AQ137" s="610"/>
      <c r="AR137" s="259"/>
      <c r="AS137" s="259" t="s">
        <v>2343</v>
      </c>
      <c r="AT137" s="608"/>
      <c r="AU137" s="259"/>
      <c r="AV137" s="259"/>
      <c r="AW137" s="261"/>
      <c r="AX137" s="261"/>
      <c r="AY137" s="608"/>
      <c r="AZ137" s="262"/>
    </row>
    <row r="138" spans="2:52" s="260" customFormat="1" ht="103.5" hidden="1" customHeight="1">
      <c r="B138" s="608"/>
      <c r="C138" s="266"/>
      <c r="D138" s="1399"/>
      <c r="E138" s="1408"/>
      <c r="F138" s="1400"/>
      <c r="G138" s="267"/>
      <c r="H138" s="1399"/>
      <c r="I138" s="1408"/>
      <c r="J138" s="1400"/>
      <c r="K138" s="1380"/>
      <c r="L138" s="1380"/>
      <c r="M138" s="1380"/>
      <c r="N138" s="608"/>
      <c r="O138" s="608"/>
      <c r="P138" s="608"/>
      <c r="Q138" s="608"/>
      <c r="R138" s="266"/>
      <c r="S138" s="266"/>
      <c r="T138" s="268"/>
      <c r="U138" s="269" t="e">
        <f>VLOOKUP(R138,[71]Listas!$D$6:$E$10,2,0)</f>
        <v>#N/A</v>
      </c>
      <c r="V138" s="269" t="e">
        <f>HLOOKUP(S138,[71]Listas!$F$4:$J$5,2,0)</f>
        <v>#N/A</v>
      </c>
      <c r="W138" s="270" t="e">
        <f>INDEX([71]Listas!$F$6:$J$10,MATCH(R138,[71]Listas!$D$6:$D$10,0),MATCH(S138,[71]Listas!$F$4:$J$4,0))</f>
        <v>#N/A</v>
      </c>
      <c r="X138" s="268"/>
      <c r="Y138" s="1399"/>
      <c r="Z138" s="1408"/>
      <c r="AA138" s="1400"/>
      <c r="AB138" s="1063"/>
      <c r="AC138" s="267"/>
      <c r="AD138" s="259"/>
      <c r="AE138" s="608"/>
      <c r="AF138" s="267"/>
      <c r="AG138" s="268"/>
      <c r="AH138" s="269">
        <f t="shared" ref="AH138:AH155" si="16">IF(AE138&lt;=33,0,IF(AE138&gt;81,2,1))</f>
        <v>0</v>
      </c>
      <c r="AI138" s="271" t="e">
        <f t="shared" ref="AI138:AI155" si="17">IF(OR(AF138="Probabilidad",AF138="Ambos"),U138-AH138,U138)</f>
        <v>#N/A</v>
      </c>
      <c r="AJ138" s="272" t="e">
        <f>IF(AI138&lt;=1,"Remota",VLOOKUP(AI138,[71]Listas!$C$6:$D$10,2,0))</f>
        <v>#N/A</v>
      </c>
      <c r="AK138" s="271" t="e">
        <f t="shared" ref="AK138:AK155" si="18">IF(OR(AF138="Impacto",AF138="Ambos"),V138-AH138,V138)</f>
        <v>#N/A</v>
      </c>
      <c r="AL138" s="272" t="e">
        <f>IF(AK138&lt;=1,"Insignificante",HLOOKUP(AK138,[71]Listas!$F$3:$J$4,2,0))</f>
        <v>#N/A</v>
      </c>
      <c r="AM138" s="273" t="e">
        <f t="shared" ref="AM138:AM155" si="19">AI138*AK138</f>
        <v>#N/A</v>
      </c>
      <c r="AN138" s="270" t="e">
        <f>INDEX([71]Listas!$F$6:$J$10,MATCH(AJ138,[71]Listas!$D$6:$D$10,0),MATCH(AL138,[71]Listas!$F$4:$J$4,0))</f>
        <v>#N/A</v>
      </c>
      <c r="AO138" s="259"/>
      <c r="AP138" s="259"/>
      <c r="AQ138" s="610"/>
      <c r="AR138" s="259"/>
      <c r="AS138" s="259" t="s">
        <v>2343</v>
      </c>
      <c r="AT138" s="608"/>
      <c r="AU138" s="259"/>
      <c r="AV138" s="259"/>
      <c r="AW138" s="261"/>
      <c r="AX138" s="261"/>
      <c r="AY138" s="608"/>
      <c r="AZ138" s="262"/>
    </row>
    <row r="139" spans="2:52" s="260" customFormat="1" ht="103.5" hidden="1" customHeight="1">
      <c r="B139" s="608"/>
      <c r="C139" s="266"/>
      <c r="D139" s="1399"/>
      <c r="E139" s="1408"/>
      <c r="F139" s="1400"/>
      <c r="G139" s="267"/>
      <c r="H139" s="1399"/>
      <c r="I139" s="1408"/>
      <c r="J139" s="1400"/>
      <c r="K139" s="1380"/>
      <c r="L139" s="1380"/>
      <c r="M139" s="1380"/>
      <c r="N139" s="608"/>
      <c r="O139" s="608"/>
      <c r="P139" s="608"/>
      <c r="Q139" s="608"/>
      <c r="R139" s="266"/>
      <c r="S139" s="266"/>
      <c r="T139" s="268"/>
      <c r="U139" s="269" t="e">
        <f>VLOOKUP(R139,[71]Listas!$D$6:$E$10,2,0)</f>
        <v>#N/A</v>
      </c>
      <c r="V139" s="269" t="e">
        <f>HLOOKUP(S139,[71]Listas!$F$4:$J$5,2,0)</f>
        <v>#N/A</v>
      </c>
      <c r="W139" s="270" t="e">
        <f>INDEX([71]Listas!$F$6:$J$10,MATCH(R139,[71]Listas!$D$6:$D$10,0),MATCH(S139,[71]Listas!$F$4:$J$4,0))</f>
        <v>#N/A</v>
      </c>
      <c r="X139" s="268"/>
      <c r="Y139" s="1399"/>
      <c r="Z139" s="1408"/>
      <c r="AA139" s="1400"/>
      <c r="AB139" s="1063"/>
      <c r="AC139" s="267"/>
      <c r="AD139" s="259"/>
      <c r="AE139" s="608"/>
      <c r="AF139" s="267"/>
      <c r="AG139" s="268"/>
      <c r="AH139" s="269">
        <f t="shared" si="16"/>
        <v>0</v>
      </c>
      <c r="AI139" s="271" t="e">
        <f t="shared" si="17"/>
        <v>#N/A</v>
      </c>
      <c r="AJ139" s="272" t="e">
        <f>IF(AI139&lt;=1,"Remota",VLOOKUP(AI139,[71]Listas!$C$6:$D$10,2,0))</f>
        <v>#N/A</v>
      </c>
      <c r="AK139" s="271" t="e">
        <f t="shared" si="18"/>
        <v>#N/A</v>
      </c>
      <c r="AL139" s="272" t="e">
        <f>IF(AK139&lt;=1,"Insignificante",HLOOKUP(AK139,[71]Listas!$F$3:$J$4,2,0))</f>
        <v>#N/A</v>
      </c>
      <c r="AM139" s="273" t="e">
        <f t="shared" si="19"/>
        <v>#N/A</v>
      </c>
      <c r="AN139" s="270" t="e">
        <f>INDEX([71]Listas!$F$6:$J$10,MATCH(AJ139,[71]Listas!$D$6:$D$10,0),MATCH(AL139,[71]Listas!$F$4:$J$4,0))</f>
        <v>#N/A</v>
      </c>
      <c r="AO139" s="259"/>
      <c r="AP139" s="259"/>
      <c r="AQ139" s="610"/>
      <c r="AR139" s="259"/>
      <c r="AS139" s="259" t="s">
        <v>2343</v>
      </c>
      <c r="AT139" s="608"/>
      <c r="AU139" s="259"/>
      <c r="AV139" s="259"/>
      <c r="AW139" s="261"/>
      <c r="AX139" s="261"/>
      <c r="AY139" s="608"/>
      <c r="AZ139" s="262"/>
    </row>
    <row r="140" spans="2:52" s="260" customFormat="1" ht="103.5" hidden="1" customHeight="1">
      <c r="B140" s="608"/>
      <c r="C140" s="266"/>
      <c r="D140" s="1399"/>
      <c r="E140" s="1408"/>
      <c r="F140" s="1400"/>
      <c r="G140" s="267"/>
      <c r="H140" s="1399"/>
      <c r="I140" s="1408"/>
      <c r="J140" s="1400"/>
      <c r="K140" s="1380"/>
      <c r="L140" s="1380"/>
      <c r="M140" s="1380"/>
      <c r="N140" s="608"/>
      <c r="O140" s="608"/>
      <c r="P140" s="608"/>
      <c r="Q140" s="608"/>
      <c r="R140" s="266"/>
      <c r="S140" s="266"/>
      <c r="T140" s="268"/>
      <c r="U140" s="269" t="e">
        <f>VLOOKUP(R140,[71]Listas!$D$6:$E$10,2,0)</f>
        <v>#N/A</v>
      </c>
      <c r="V140" s="269" t="e">
        <f>HLOOKUP(S140,[71]Listas!$F$4:$J$5,2,0)</f>
        <v>#N/A</v>
      </c>
      <c r="W140" s="270" t="e">
        <f>INDEX([71]Listas!$F$6:$J$10,MATCH(R140,[71]Listas!$D$6:$D$10,0),MATCH(S140,[71]Listas!$F$4:$J$4,0))</f>
        <v>#N/A</v>
      </c>
      <c r="X140" s="268"/>
      <c r="Y140" s="1399"/>
      <c r="Z140" s="1408"/>
      <c r="AA140" s="1400"/>
      <c r="AB140" s="1063"/>
      <c r="AC140" s="267"/>
      <c r="AD140" s="259"/>
      <c r="AE140" s="608"/>
      <c r="AF140" s="267"/>
      <c r="AG140" s="268"/>
      <c r="AH140" s="269">
        <f t="shared" si="16"/>
        <v>0</v>
      </c>
      <c r="AI140" s="271" t="e">
        <f t="shared" si="17"/>
        <v>#N/A</v>
      </c>
      <c r="AJ140" s="272" t="e">
        <f>IF(AI140&lt;=1,"Remota",VLOOKUP(AI140,[71]Listas!$C$6:$D$10,2,0))</f>
        <v>#N/A</v>
      </c>
      <c r="AK140" s="271" t="e">
        <f t="shared" si="18"/>
        <v>#N/A</v>
      </c>
      <c r="AL140" s="272" t="e">
        <f>IF(AK140&lt;=1,"Insignificante",HLOOKUP(AK140,[71]Listas!$F$3:$J$4,2,0))</f>
        <v>#N/A</v>
      </c>
      <c r="AM140" s="273" t="e">
        <f t="shared" si="19"/>
        <v>#N/A</v>
      </c>
      <c r="AN140" s="270" t="e">
        <f>INDEX([71]Listas!$F$6:$J$10,MATCH(AJ140,[71]Listas!$D$6:$D$10,0),MATCH(AL140,[71]Listas!$F$4:$J$4,0))</f>
        <v>#N/A</v>
      </c>
      <c r="AO140" s="259"/>
      <c r="AP140" s="259"/>
      <c r="AQ140" s="610"/>
      <c r="AR140" s="259"/>
      <c r="AS140" s="259" t="s">
        <v>2343</v>
      </c>
      <c r="AT140" s="608"/>
      <c r="AU140" s="259"/>
      <c r="AV140" s="259"/>
      <c r="AW140" s="261"/>
      <c r="AX140" s="261"/>
      <c r="AY140" s="608"/>
      <c r="AZ140" s="262"/>
    </row>
    <row r="141" spans="2:52" s="260" customFormat="1" ht="103.5" hidden="1" customHeight="1">
      <c r="B141" s="608"/>
      <c r="C141" s="266"/>
      <c r="D141" s="1399"/>
      <c r="E141" s="1408"/>
      <c r="F141" s="1400"/>
      <c r="G141" s="267"/>
      <c r="H141" s="1399"/>
      <c r="I141" s="1408"/>
      <c r="J141" s="1400"/>
      <c r="K141" s="1380"/>
      <c r="L141" s="1380"/>
      <c r="M141" s="1380"/>
      <c r="N141" s="608"/>
      <c r="O141" s="608"/>
      <c r="P141" s="608"/>
      <c r="Q141" s="608"/>
      <c r="R141" s="266"/>
      <c r="S141" s="266"/>
      <c r="T141" s="268"/>
      <c r="U141" s="269" t="e">
        <f>VLOOKUP(R141,[71]Listas!$D$6:$E$10,2,0)</f>
        <v>#N/A</v>
      </c>
      <c r="V141" s="269" t="e">
        <f>HLOOKUP(S141,[71]Listas!$F$4:$J$5,2,0)</f>
        <v>#N/A</v>
      </c>
      <c r="W141" s="270" t="e">
        <f>INDEX([71]Listas!$F$6:$J$10,MATCH(R141,[71]Listas!$D$6:$D$10,0),MATCH(S141,[71]Listas!$F$4:$J$4,0))</f>
        <v>#N/A</v>
      </c>
      <c r="X141" s="268"/>
      <c r="Y141" s="1399"/>
      <c r="Z141" s="1408"/>
      <c r="AA141" s="1400"/>
      <c r="AB141" s="1063"/>
      <c r="AC141" s="267"/>
      <c r="AD141" s="259"/>
      <c r="AE141" s="608"/>
      <c r="AF141" s="267"/>
      <c r="AG141" s="268"/>
      <c r="AH141" s="269">
        <f t="shared" si="16"/>
        <v>0</v>
      </c>
      <c r="AI141" s="271" t="e">
        <f t="shared" si="17"/>
        <v>#N/A</v>
      </c>
      <c r="AJ141" s="272" t="e">
        <f>IF(AI141&lt;=1,"Remota",VLOOKUP(AI141,[71]Listas!$C$6:$D$10,2,0))</f>
        <v>#N/A</v>
      </c>
      <c r="AK141" s="271" t="e">
        <f t="shared" si="18"/>
        <v>#N/A</v>
      </c>
      <c r="AL141" s="272" t="e">
        <f>IF(AK141&lt;=1,"Insignificante",HLOOKUP(AK141,[71]Listas!$F$3:$J$4,2,0))</f>
        <v>#N/A</v>
      </c>
      <c r="AM141" s="273" t="e">
        <f t="shared" si="19"/>
        <v>#N/A</v>
      </c>
      <c r="AN141" s="270" t="e">
        <f>INDEX([71]Listas!$F$6:$J$10,MATCH(AJ141,[71]Listas!$D$6:$D$10,0),MATCH(AL141,[71]Listas!$F$4:$J$4,0))</f>
        <v>#N/A</v>
      </c>
      <c r="AO141" s="259"/>
      <c r="AP141" s="259"/>
      <c r="AQ141" s="610"/>
      <c r="AR141" s="259"/>
      <c r="AS141" s="259" t="s">
        <v>2343</v>
      </c>
      <c r="AT141" s="608"/>
      <c r="AU141" s="259"/>
      <c r="AV141" s="259"/>
      <c r="AW141" s="261"/>
      <c r="AX141" s="261"/>
      <c r="AY141" s="608"/>
      <c r="AZ141" s="262"/>
    </row>
    <row r="142" spans="2:52" s="260" customFormat="1" ht="103.5" hidden="1" customHeight="1">
      <c r="B142" s="608"/>
      <c r="C142" s="266"/>
      <c r="D142" s="1399"/>
      <c r="E142" s="1408"/>
      <c r="F142" s="1400"/>
      <c r="G142" s="267"/>
      <c r="H142" s="1399"/>
      <c r="I142" s="1408"/>
      <c r="J142" s="1400"/>
      <c r="K142" s="1380"/>
      <c r="L142" s="1380"/>
      <c r="M142" s="1380"/>
      <c r="N142" s="608"/>
      <c r="O142" s="608"/>
      <c r="P142" s="608"/>
      <c r="Q142" s="608"/>
      <c r="R142" s="266"/>
      <c r="S142" s="266"/>
      <c r="T142" s="268"/>
      <c r="U142" s="269" t="e">
        <f>VLOOKUP(R142,[71]Listas!$D$6:$E$10,2,0)</f>
        <v>#N/A</v>
      </c>
      <c r="V142" s="269" t="e">
        <f>HLOOKUP(S142,[71]Listas!$F$4:$J$5,2,0)</f>
        <v>#N/A</v>
      </c>
      <c r="W142" s="270" t="e">
        <f>INDEX([71]Listas!$F$6:$J$10,MATCH(R142,[71]Listas!$D$6:$D$10,0),MATCH(S142,[71]Listas!$F$4:$J$4,0))</f>
        <v>#N/A</v>
      </c>
      <c r="X142" s="268"/>
      <c r="Y142" s="1399"/>
      <c r="Z142" s="1408"/>
      <c r="AA142" s="1400"/>
      <c r="AB142" s="1063"/>
      <c r="AC142" s="267"/>
      <c r="AD142" s="259"/>
      <c r="AE142" s="608"/>
      <c r="AF142" s="267"/>
      <c r="AG142" s="268"/>
      <c r="AH142" s="269">
        <f t="shared" si="16"/>
        <v>0</v>
      </c>
      <c r="AI142" s="271" t="e">
        <f t="shared" si="17"/>
        <v>#N/A</v>
      </c>
      <c r="AJ142" s="272" t="e">
        <f>IF(AI142&lt;=1,"Remota",VLOOKUP(AI142,[71]Listas!$C$6:$D$10,2,0))</f>
        <v>#N/A</v>
      </c>
      <c r="AK142" s="271" t="e">
        <f t="shared" si="18"/>
        <v>#N/A</v>
      </c>
      <c r="AL142" s="272" t="e">
        <f>IF(AK142&lt;=1,"Insignificante",HLOOKUP(AK142,[71]Listas!$F$3:$J$4,2,0))</f>
        <v>#N/A</v>
      </c>
      <c r="AM142" s="273" t="e">
        <f t="shared" si="19"/>
        <v>#N/A</v>
      </c>
      <c r="AN142" s="270" t="e">
        <f>INDEX([71]Listas!$F$6:$J$10,MATCH(AJ142,[71]Listas!$D$6:$D$10,0),MATCH(AL142,[71]Listas!$F$4:$J$4,0))</f>
        <v>#N/A</v>
      </c>
      <c r="AO142" s="259"/>
      <c r="AP142" s="259"/>
      <c r="AQ142" s="610"/>
      <c r="AR142" s="259"/>
      <c r="AS142" s="259" t="s">
        <v>2343</v>
      </c>
      <c r="AT142" s="608"/>
      <c r="AU142" s="259"/>
      <c r="AV142" s="259"/>
      <c r="AW142" s="261"/>
      <c r="AX142" s="261"/>
      <c r="AY142" s="608"/>
      <c r="AZ142" s="262"/>
    </row>
    <row r="143" spans="2:52" s="260" customFormat="1" ht="103.5" hidden="1" customHeight="1">
      <c r="B143" s="608"/>
      <c r="C143" s="266"/>
      <c r="D143" s="1399"/>
      <c r="E143" s="1408"/>
      <c r="F143" s="1400"/>
      <c r="G143" s="267"/>
      <c r="H143" s="1399"/>
      <c r="I143" s="1408"/>
      <c r="J143" s="1400"/>
      <c r="K143" s="1380"/>
      <c r="L143" s="1380"/>
      <c r="M143" s="1380"/>
      <c r="N143" s="608"/>
      <c r="O143" s="608"/>
      <c r="P143" s="608"/>
      <c r="Q143" s="608"/>
      <c r="R143" s="266"/>
      <c r="S143" s="266"/>
      <c r="T143" s="268"/>
      <c r="U143" s="269" t="e">
        <f>VLOOKUP(R143,[71]Listas!$D$6:$E$10,2,0)</f>
        <v>#N/A</v>
      </c>
      <c r="V143" s="269" t="e">
        <f>HLOOKUP(S143,[71]Listas!$F$4:$J$5,2,0)</f>
        <v>#N/A</v>
      </c>
      <c r="W143" s="270" t="e">
        <f>INDEX([71]Listas!$F$6:$J$10,MATCH(R143,[71]Listas!$D$6:$D$10,0),MATCH(S143,[71]Listas!$F$4:$J$4,0))</f>
        <v>#N/A</v>
      </c>
      <c r="X143" s="268"/>
      <c r="Y143" s="1399"/>
      <c r="Z143" s="1408"/>
      <c r="AA143" s="1400"/>
      <c r="AB143" s="1063"/>
      <c r="AC143" s="267"/>
      <c r="AD143" s="259"/>
      <c r="AE143" s="608"/>
      <c r="AF143" s="267"/>
      <c r="AG143" s="268"/>
      <c r="AH143" s="269">
        <f t="shared" si="16"/>
        <v>0</v>
      </c>
      <c r="AI143" s="271" t="e">
        <f t="shared" si="17"/>
        <v>#N/A</v>
      </c>
      <c r="AJ143" s="272" t="e">
        <f>IF(AI143&lt;=1,"Remota",VLOOKUP(AI143,[71]Listas!$C$6:$D$10,2,0))</f>
        <v>#N/A</v>
      </c>
      <c r="AK143" s="271" t="e">
        <f t="shared" si="18"/>
        <v>#N/A</v>
      </c>
      <c r="AL143" s="272" t="e">
        <f>IF(AK143&lt;=1,"Insignificante",HLOOKUP(AK143,[71]Listas!$F$3:$J$4,2,0))</f>
        <v>#N/A</v>
      </c>
      <c r="AM143" s="273" t="e">
        <f t="shared" si="19"/>
        <v>#N/A</v>
      </c>
      <c r="AN143" s="270" t="e">
        <f>INDEX([71]Listas!$F$6:$J$10,MATCH(AJ143,[71]Listas!$D$6:$D$10,0),MATCH(AL143,[71]Listas!$F$4:$J$4,0))</f>
        <v>#N/A</v>
      </c>
      <c r="AO143" s="259"/>
      <c r="AP143" s="259"/>
      <c r="AQ143" s="610"/>
      <c r="AR143" s="259"/>
      <c r="AS143" s="259" t="s">
        <v>2343</v>
      </c>
      <c r="AT143" s="608"/>
      <c r="AU143" s="259"/>
      <c r="AV143" s="259"/>
      <c r="AW143" s="261"/>
      <c r="AX143" s="261"/>
      <c r="AY143" s="608"/>
      <c r="AZ143" s="262"/>
    </row>
    <row r="144" spans="2:52" s="260" customFormat="1" ht="103.5" hidden="1" customHeight="1">
      <c r="B144" s="608"/>
      <c r="C144" s="266"/>
      <c r="D144" s="1399"/>
      <c r="E144" s="1408"/>
      <c r="F144" s="1400"/>
      <c r="G144" s="267"/>
      <c r="H144" s="1399"/>
      <c r="I144" s="1408"/>
      <c r="J144" s="1400"/>
      <c r="K144" s="1380"/>
      <c r="L144" s="1380"/>
      <c r="M144" s="1380"/>
      <c r="N144" s="608"/>
      <c r="O144" s="608"/>
      <c r="P144" s="608"/>
      <c r="Q144" s="608"/>
      <c r="R144" s="266"/>
      <c r="S144" s="266"/>
      <c r="T144" s="268"/>
      <c r="U144" s="269" t="e">
        <f>VLOOKUP(R144,[71]Listas!$D$6:$E$10,2,0)</f>
        <v>#N/A</v>
      </c>
      <c r="V144" s="269" t="e">
        <f>HLOOKUP(S144,[71]Listas!$F$4:$J$5,2,0)</f>
        <v>#N/A</v>
      </c>
      <c r="W144" s="270" t="e">
        <f>INDEX([71]Listas!$F$6:$J$10,MATCH(R144,[71]Listas!$D$6:$D$10,0),MATCH(S144,[71]Listas!$F$4:$J$4,0))</f>
        <v>#N/A</v>
      </c>
      <c r="X144" s="268"/>
      <c r="Y144" s="1399"/>
      <c r="Z144" s="1408"/>
      <c r="AA144" s="1400"/>
      <c r="AB144" s="1063"/>
      <c r="AC144" s="267"/>
      <c r="AD144" s="259"/>
      <c r="AE144" s="608"/>
      <c r="AF144" s="267"/>
      <c r="AG144" s="268"/>
      <c r="AH144" s="269">
        <f t="shared" si="16"/>
        <v>0</v>
      </c>
      <c r="AI144" s="271" t="e">
        <f t="shared" si="17"/>
        <v>#N/A</v>
      </c>
      <c r="AJ144" s="272" t="e">
        <f>IF(AI144&lt;=1,"Remota",VLOOKUP(AI144,[71]Listas!$C$6:$D$10,2,0))</f>
        <v>#N/A</v>
      </c>
      <c r="AK144" s="271" t="e">
        <f t="shared" si="18"/>
        <v>#N/A</v>
      </c>
      <c r="AL144" s="272" t="e">
        <f>IF(AK144&lt;=1,"Insignificante",HLOOKUP(AK144,[71]Listas!$F$3:$J$4,2,0))</f>
        <v>#N/A</v>
      </c>
      <c r="AM144" s="273" t="e">
        <f t="shared" si="19"/>
        <v>#N/A</v>
      </c>
      <c r="AN144" s="270" t="e">
        <f>INDEX([71]Listas!$F$6:$J$10,MATCH(AJ144,[71]Listas!$D$6:$D$10,0),MATCH(AL144,[71]Listas!$F$4:$J$4,0))</f>
        <v>#N/A</v>
      </c>
      <c r="AO144" s="259"/>
      <c r="AP144" s="259"/>
      <c r="AQ144" s="610"/>
      <c r="AR144" s="259"/>
      <c r="AS144" s="259" t="s">
        <v>2343</v>
      </c>
      <c r="AT144" s="608"/>
      <c r="AU144" s="259"/>
      <c r="AV144" s="259"/>
      <c r="AW144" s="261"/>
      <c r="AX144" s="261"/>
      <c r="AY144" s="608"/>
      <c r="AZ144" s="262"/>
    </row>
    <row r="145" spans="2:1028" s="260" customFormat="1" ht="103.5" hidden="1" customHeight="1">
      <c r="B145" s="608"/>
      <c r="C145" s="266"/>
      <c r="D145" s="1399"/>
      <c r="E145" s="1408"/>
      <c r="F145" s="1400"/>
      <c r="G145" s="267"/>
      <c r="H145" s="1399"/>
      <c r="I145" s="1408"/>
      <c r="J145" s="1400"/>
      <c r="K145" s="1380"/>
      <c r="L145" s="1380"/>
      <c r="M145" s="1380"/>
      <c r="N145" s="608"/>
      <c r="O145" s="608"/>
      <c r="P145" s="608"/>
      <c r="Q145" s="608"/>
      <c r="R145" s="266"/>
      <c r="S145" s="266"/>
      <c r="T145" s="268"/>
      <c r="U145" s="269" t="e">
        <f>VLOOKUP(R145,[71]Listas!$D$6:$E$10,2,0)</f>
        <v>#N/A</v>
      </c>
      <c r="V145" s="269" t="e">
        <f>HLOOKUP(S145,[71]Listas!$F$4:$J$5,2,0)</f>
        <v>#N/A</v>
      </c>
      <c r="W145" s="270" t="e">
        <f>INDEX([71]Listas!$F$6:$J$10,MATCH(R145,[71]Listas!$D$6:$D$10,0),MATCH(S145,[71]Listas!$F$4:$J$4,0))</f>
        <v>#N/A</v>
      </c>
      <c r="X145" s="268"/>
      <c r="Y145" s="1399"/>
      <c r="Z145" s="1408"/>
      <c r="AA145" s="1400"/>
      <c r="AB145" s="1063"/>
      <c r="AC145" s="267"/>
      <c r="AD145" s="259"/>
      <c r="AE145" s="608"/>
      <c r="AF145" s="267"/>
      <c r="AG145" s="268"/>
      <c r="AH145" s="269">
        <f t="shared" si="16"/>
        <v>0</v>
      </c>
      <c r="AI145" s="271" t="e">
        <f t="shared" si="17"/>
        <v>#N/A</v>
      </c>
      <c r="AJ145" s="272" t="e">
        <f>IF(AI145&lt;=1,"Remota",VLOOKUP(AI145,[71]Listas!$C$6:$D$10,2,0))</f>
        <v>#N/A</v>
      </c>
      <c r="AK145" s="271" t="e">
        <f t="shared" si="18"/>
        <v>#N/A</v>
      </c>
      <c r="AL145" s="272" t="e">
        <f>IF(AK145&lt;=1,"Insignificante",HLOOKUP(AK145,[71]Listas!$F$3:$J$4,2,0))</f>
        <v>#N/A</v>
      </c>
      <c r="AM145" s="273" t="e">
        <f t="shared" si="19"/>
        <v>#N/A</v>
      </c>
      <c r="AN145" s="270" t="e">
        <f>INDEX([71]Listas!$F$6:$J$10,MATCH(AJ145,[71]Listas!$D$6:$D$10,0),MATCH(AL145,[71]Listas!$F$4:$J$4,0))</f>
        <v>#N/A</v>
      </c>
      <c r="AO145" s="259"/>
      <c r="AP145" s="259"/>
      <c r="AQ145" s="610"/>
      <c r="AR145" s="259"/>
      <c r="AS145" s="259" t="s">
        <v>2343</v>
      </c>
      <c r="AT145" s="608"/>
      <c r="AU145" s="259"/>
      <c r="AV145" s="259"/>
      <c r="AW145" s="261"/>
      <c r="AX145" s="261"/>
      <c r="AY145" s="608"/>
      <c r="AZ145" s="262"/>
    </row>
    <row r="146" spans="2:1028" s="260" customFormat="1" ht="103.5" hidden="1" customHeight="1">
      <c r="B146" s="608"/>
      <c r="C146" s="266"/>
      <c r="D146" s="1399"/>
      <c r="E146" s="1408"/>
      <c r="F146" s="1400"/>
      <c r="G146" s="267"/>
      <c r="H146" s="1399"/>
      <c r="I146" s="1408"/>
      <c r="J146" s="1400"/>
      <c r="K146" s="1380"/>
      <c r="L146" s="1380"/>
      <c r="M146" s="1380"/>
      <c r="N146" s="608"/>
      <c r="O146" s="608"/>
      <c r="P146" s="608"/>
      <c r="Q146" s="608"/>
      <c r="R146" s="266"/>
      <c r="S146" s="266"/>
      <c r="T146" s="268"/>
      <c r="U146" s="269" t="e">
        <f>VLOOKUP(R146,[71]Listas!$D$6:$E$10,2,0)</f>
        <v>#N/A</v>
      </c>
      <c r="V146" s="269" t="e">
        <f>HLOOKUP(S146,[71]Listas!$F$4:$J$5,2,0)</f>
        <v>#N/A</v>
      </c>
      <c r="W146" s="270" t="e">
        <f>INDEX([71]Listas!$F$6:$J$10,MATCH(R146,[71]Listas!$D$6:$D$10,0),MATCH(S146,[71]Listas!$F$4:$J$4,0))</f>
        <v>#N/A</v>
      </c>
      <c r="X146" s="268"/>
      <c r="Y146" s="1399"/>
      <c r="Z146" s="1408"/>
      <c r="AA146" s="1400"/>
      <c r="AB146" s="1063"/>
      <c r="AC146" s="267"/>
      <c r="AD146" s="259"/>
      <c r="AE146" s="608"/>
      <c r="AF146" s="267"/>
      <c r="AG146" s="268"/>
      <c r="AH146" s="269">
        <f t="shared" si="16"/>
        <v>0</v>
      </c>
      <c r="AI146" s="271" t="e">
        <f t="shared" si="17"/>
        <v>#N/A</v>
      </c>
      <c r="AJ146" s="272" t="e">
        <f>IF(AI146&lt;=1,"Remota",VLOOKUP(AI146,[71]Listas!$C$6:$D$10,2,0))</f>
        <v>#N/A</v>
      </c>
      <c r="AK146" s="271" t="e">
        <f t="shared" si="18"/>
        <v>#N/A</v>
      </c>
      <c r="AL146" s="272" t="e">
        <f>IF(AK146&lt;=1,"Insignificante",HLOOKUP(AK146,[71]Listas!$F$3:$J$4,2,0))</f>
        <v>#N/A</v>
      </c>
      <c r="AM146" s="273" t="e">
        <f t="shared" si="19"/>
        <v>#N/A</v>
      </c>
      <c r="AN146" s="270" t="e">
        <f>INDEX([71]Listas!$F$6:$J$10,MATCH(AJ146,[71]Listas!$D$6:$D$10,0),MATCH(AL146,[71]Listas!$F$4:$J$4,0))</f>
        <v>#N/A</v>
      </c>
      <c r="AO146" s="259"/>
      <c r="AP146" s="259"/>
      <c r="AQ146" s="610"/>
      <c r="AR146" s="259"/>
      <c r="AS146" s="259" t="s">
        <v>2343</v>
      </c>
      <c r="AT146" s="608"/>
      <c r="AU146" s="259"/>
      <c r="AV146" s="259"/>
      <c r="AW146" s="261"/>
      <c r="AX146" s="261"/>
      <c r="AY146" s="608"/>
      <c r="AZ146" s="262"/>
    </row>
    <row r="147" spans="2:1028" s="260" customFormat="1" ht="103.5" hidden="1" customHeight="1">
      <c r="B147" s="608"/>
      <c r="C147" s="266"/>
      <c r="D147" s="1399"/>
      <c r="E147" s="1408"/>
      <c r="F147" s="1400"/>
      <c r="G147" s="267"/>
      <c r="H147" s="1399"/>
      <c r="I147" s="1408"/>
      <c r="J147" s="1400"/>
      <c r="K147" s="1380"/>
      <c r="L147" s="1380"/>
      <c r="M147" s="1380"/>
      <c r="N147" s="608"/>
      <c r="O147" s="608"/>
      <c r="P147" s="608"/>
      <c r="Q147" s="608"/>
      <c r="R147" s="266"/>
      <c r="S147" s="266"/>
      <c r="T147" s="268"/>
      <c r="U147" s="269" t="e">
        <f>VLOOKUP(R147,[71]Listas!$D$6:$E$10,2,0)</f>
        <v>#N/A</v>
      </c>
      <c r="V147" s="269" t="e">
        <f>HLOOKUP(S147,[71]Listas!$F$4:$J$5,2,0)</f>
        <v>#N/A</v>
      </c>
      <c r="W147" s="270" t="e">
        <f>INDEX([71]Listas!$F$6:$J$10,MATCH(R147,[71]Listas!$D$6:$D$10,0),MATCH(S147,[71]Listas!$F$4:$J$4,0))</f>
        <v>#N/A</v>
      </c>
      <c r="X147" s="268"/>
      <c r="Y147" s="1399"/>
      <c r="Z147" s="1408"/>
      <c r="AA147" s="1400"/>
      <c r="AB147" s="1063"/>
      <c r="AC147" s="267"/>
      <c r="AD147" s="259"/>
      <c r="AE147" s="608"/>
      <c r="AF147" s="267"/>
      <c r="AG147" s="268"/>
      <c r="AH147" s="269">
        <f t="shared" si="16"/>
        <v>0</v>
      </c>
      <c r="AI147" s="271" t="e">
        <f t="shared" si="17"/>
        <v>#N/A</v>
      </c>
      <c r="AJ147" s="272" t="e">
        <f>IF(AI147&lt;=1,"Remota",VLOOKUP(AI147,[71]Listas!$C$6:$D$10,2,0))</f>
        <v>#N/A</v>
      </c>
      <c r="AK147" s="271" t="e">
        <f t="shared" si="18"/>
        <v>#N/A</v>
      </c>
      <c r="AL147" s="272" t="e">
        <f>IF(AK147&lt;=1,"Insignificante",HLOOKUP(AK147,[71]Listas!$F$3:$J$4,2,0))</f>
        <v>#N/A</v>
      </c>
      <c r="AM147" s="273" t="e">
        <f t="shared" si="19"/>
        <v>#N/A</v>
      </c>
      <c r="AN147" s="270" t="e">
        <f>INDEX([71]Listas!$F$6:$J$10,MATCH(AJ147,[71]Listas!$D$6:$D$10,0),MATCH(AL147,[71]Listas!$F$4:$J$4,0))</f>
        <v>#N/A</v>
      </c>
      <c r="AO147" s="259"/>
      <c r="AP147" s="259"/>
      <c r="AQ147" s="610"/>
      <c r="AR147" s="259"/>
      <c r="AS147" s="259" t="s">
        <v>2343</v>
      </c>
      <c r="AT147" s="608"/>
      <c r="AU147" s="259"/>
      <c r="AV147" s="259"/>
      <c r="AW147" s="261"/>
      <c r="AX147" s="261"/>
      <c r="AY147" s="608"/>
      <c r="AZ147" s="262"/>
    </row>
    <row r="148" spans="2:1028" s="260" customFormat="1" ht="103.5" hidden="1" customHeight="1">
      <c r="B148" s="608"/>
      <c r="C148" s="266"/>
      <c r="D148" s="1399"/>
      <c r="E148" s="1408"/>
      <c r="F148" s="1400"/>
      <c r="G148" s="267"/>
      <c r="H148" s="1399"/>
      <c r="I148" s="1408"/>
      <c r="J148" s="1400"/>
      <c r="K148" s="1380"/>
      <c r="L148" s="1380"/>
      <c r="M148" s="1380"/>
      <c r="N148" s="608"/>
      <c r="O148" s="608"/>
      <c r="P148" s="608"/>
      <c r="Q148" s="608"/>
      <c r="R148" s="266"/>
      <c r="S148" s="266"/>
      <c r="T148" s="268"/>
      <c r="U148" s="269" t="e">
        <f>VLOOKUP(R148,[71]Listas!$D$6:$E$10,2,0)</f>
        <v>#N/A</v>
      </c>
      <c r="V148" s="269" t="e">
        <f>HLOOKUP(S148,[71]Listas!$F$4:$J$5,2,0)</f>
        <v>#N/A</v>
      </c>
      <c r="W148" s="270" t="e">
        <f>INDEX([71]Listas!$F$6:$J$10,MATCH(R148,[71]Listas!$D$6:$D$10,0),MATCH(S148,[71]Listas!$F$4:$J$4,0))</f>
        <v>#N/A</v>
      </c>
      <c r="X148" s="268"/>
      <c r="Y148" s="1399"/>
      <c r="Z148" s="1408"/>
      <c r="AA148" s="1400"/>
      <c r="AB148" s="1063"/>
      <c r="AC148" s="267"/>
      <c r="AD148" s="259"/>
      <c r="AE148" s="608"/>
      <c r="AF148" s="267"/>
      <c r="AG148" s="268"/>
      <c r="AH148" s="269">
        <f t="shared" si="16"/>
        <v>0</v>
      </c>
      <c r="AI148" s="271" t="e">
        <f t="shared" si="17"/>
        <v>#N/A</v>
      </c>
      <c r="AJ148" s="272" t="e">
        <f>IF(AI148&lt;=1,"Remota",VLOOKUP(AI148,[71]Listas!$C$6:$D$10,2,0))</f>
        <v>#N/A</v>
      </c>
      <c r="AK148" s="271" t="e">
        <f t="shared" si="18"/>
        <v>#N/A</v>
      </c>
      <c r="AL148" s="272" t="e">
        <f>IF(AK148&lt;=1,"Insignificante",HLOOKUP(AK148,[71]Listas!$F$3:$J$4,2,0))</f>
        <v>#N/A</v>
      </c>
      <c r="AM148" s="273" t="e">
        <f t="shared" si="19"/>
        <v>#N/A</v>
      </c>
      <c r="AN148" s="270" t="e">
        <f>INDEX([71]Listas!$F$6:$J$10,MATCH(AJ148,[71]Listas!$D$6:$D$10,0),MATCH(AL148,[71]Listas!$F$4:$J$4,0))</f>
        <v>#N/A</v>
      </c>
      <c r="AO148" s="259"/>
      <c r="AP148" s="259"/>
      <c r="AQ148" s="610"/>
      <c r="AR148" s="259"/>
      <c r="AS148" s="259" t="s">
        <v>2343</v>
      </c>
      <c r="AT148" s="608"/>
      <c r="AU148" s="259"/>
      <c r="AV148" s="259"/>
      <c r="AW148" s="261"/>
      <c r="AX148" s="261"/>
      <c r="AY148" s="608"/>
      <c r="AZ148" s="262"/>
    </row>
    <row r="149" spans="2:1028" s="260" customFormat="1" ht="103.5" hidden="1" customHeight="1">
      <c r="B149" s="608"/>
      <c r="C149" s="266"/>
      <c r="D149" s="1399"/>
      <c r="E149" s="1408"/>
      <c r="F149" s="1400"/>
      <c r="G149" s="267"/>
      <c r="H149" s="1399"/>
      <c r="I149" s="1408"/>
      <c r="J149" s="1400"/>
      <c r="K149" s="1380"/>
      <c r="L149" s="1380"/>
      <c r="M149" s="1380"/>
      <c r="N149" s="608"/>
      <c r="O149" s="608"/>
      <c r="P149" s="608"/>
      <c r="Q149" s="608"/>
      <c r="R149" s="266"/>
      <c r="S149" s="266"/>
      <c r="T149" s="268"/>
      <c r="U149" s="269" t="e">
        <f>VLOOKUP(R149,[71]Listas!$D$6:$E$10,2,0)</f>
        <v>#N/A</v>
      </c>
      <c r="V149" s="269" t="e">
        <f>HLOOKUP(S149,[71]Listas!$F$4:$J$5,2,0)</f>
        <v>#N/A</v>
      </c>
      <c r="W149" s="270" t="e">
        <f>INDEX([71]Listas!$F$6:$J$10,MATCH(R149,[71]Listas!$D$6:$D$10,0),MATCH(S149,[71]Listas!$F$4:$J$4,0))</f>
        <v>#N/A</v>
      </c>
      <c r="X149" s="268"/>
      <c r="Y149" s="1399"/>
      <c r="Z149" s="1408"/>
      <c r="AA149" s="1400"/>
      <c r="AB149" s="1063"/>
      <c r="AC149" s="267"/>
      <c r="AD149" s="259"/>
      <c r="AE149" s="608"/>
      <c r="AF149" s="267"/>
      <c r="AG149" s="268"/>
      <c r="AH149" s="269">
        <f t="shared" si="16"/>
        <v>0</v>
      </c>
      <c r="AI149" s="271" t="e">
        <f t="shared" si="17"/>
        <v>#N/A</v>
      </c>
      <c r="AJ149" s="272" t="e">
        <f>IF(AI149&lt;=1,"Remota",VLOOKUP(AI149,[71]Listas!$C$6:$D$10,2,0))</f>
        <v>#N/A</v>
      </c>
      <c r="AK149" s="271" t="e">
        <f t="shared" si="18"/>
        <v>#N/A</v>
      </c>
      <c r="AL149" s="272" t="e">
        <f>IF(AK149&lt;=1,"Insignificante",HLOOKUP(AK149,[71]Listas!$F$3:$J$4,2,0))</f>
        <v>#N/A</v>
      </c>
      <c r="AM149" s="273" t="e">
        <f t="shared" si="19"/>
        <v>#N/A</v>
      </c>
      <c r="AN149" s="270" t="e">
        <f>INDEX([71]Listas!$F$6:$J$10,MATCH(AJ149,[71]Listas!$D$6:$D$10,0),MATCH(AL149,[71]Listas!$F$4:$J$4,0))</f>
        <v>#N/A</v>
      </c>
      <c r="AO149" s="259"/>
      <c r="AP149" s="259"/>
      <c r="AQ149" s="610"/>
      <c r="AR149" s="259"/>
      <c r="AS149" s="259" t="s">
        <v>2343</v>
      </c>
      <c r="AT149" s="608"/>
      <c r="AU149" s="259"/>
      <c r="AV149" s="259"/>
      <c r="AW149" s="261"/>
      <c r="AX149" s="261"/>
      <c r="AY149" s="608"/>
      <c r="AZ149" s="262"/>
    </row>
    <row r="150" spans="2:1028" s="260" customFormat="1" ht="103.5" hidden="1" customHeight="1">
      <c r="B150" s="608"/>
      <c r="C150" s="266"/>
      <c r="D150" s="1399"/>
      <c r="E150" s="1408"/>
      <c r="F150" s="1400"/>
      <c r="G150" s="267"/>
      <c r="H150" s="1399"/>
      <c r="I150" s="1408"/>
      <c r="J150" s="1400"/>
      <c r="K150" s="1380"/>
      <c r="L150" s="1380"/>
      <c r="M150" s="1380"/>
      <c r="N150" s="608"/>
      <c r="O150" s="608"/>
      <c r="P150" s="608"/>
      <c r="Q150" s="608"/>
      <c r="R150" s="266"/>
      <c r="S150" s="266"/>
      <c r="T150" s="268"/>
      <c r="U150" s="269" t="e">
        <f>VLOOKUP(R150,[71]Listas!$D$6:$E$10,2,0)</f>
        <v>#N/A</v>
      </c>
      <c r="V150" s="269" t="e">
        <f>HLOOKUP(S150,[71]Listas!$F$4:$J$5,2,0)</f>
        <v>#N/A</v>
      </c>
      <c r="W150" s="270" t="e">
        <f>INDEX([71]Listas!$F$6:$J$10,MATCH(R150,[71]Listas!$D$6:$D$10,0),MATCH(S150,[71]Listas!$F$4:$J$4,0))</f>
        <v>#N/A</v>
      </c>
      <c r="X150" s="268"/>
      <c r="Y150" s="1399"/>
      <c r="Z150" s="1408"/>
      <c r="AA150" s="1400"/>
      <c r="AB150" s="1063"/>
      <c r="AC150" s="267"/>
      <c r="AD150" s="259"/>
      <c r="AE150" s="608"/>
      <c r="AF150" s="267"/>
      <c r="AG150" s="268"/>
      <c r="AH150" s="269">
        <f t="shared" si="16"/>
        <v>0</v>
      </c>
      <c r="AI150" s="271" t="e">
        <f t="shared" si="17"/>
        <v>#N/A</v>
      </c>
      <c r="AJ150" s="272" t="e">
        <f>IF(AI150&lt;=1,"Remota",VLOOKUP(AI150,[71]Listas!$C$6:$D$10,2,0))</f>
        <v>#N/A</v>
      </c>
      <c r="AK150" s="271" t="e">
        <f t="shared" si="18"/>
        <v>#N/A</v>
      </c>
      <c r="AL150" s="272" t="e">
        <f>IF(AK150&lt;=1,"Insignificante",HLOOKUP(AK150,[71]Listas!$F$3:$J$4,2,0))</f>
        <v>#N/A</v>
      </c>
      <c r="AM150" s="273" t="e">
        <f t="shared" si="19"/>
        <v>#N/A</v>
      </c>
      <c r="AN150" s="270" t="e">
        <f>INDEX([71]Listas!$F$6:$J$10,MATCH(AJ150,[71]Listas!$D$6:$D$10,0),MATCH(AL150,[71]Listas!$F$4:$J$4,0))</f>
        <v>#N/A</v>
      </c>
      <c r="AO150" s="259"/>
      <c r="AP150" s="259"/>
      <c r="AQ150" s="610"/>
      <c r="AR150" s="259"/>
      <c r="AS150" s="259" t="s">
        <v>2343</v>
      </c>
      <c r="AT150" s="608"/>
      <c r="AU150" s="259"/>
      <c r="AV150" s="259"/>
      <c r="AW150" s="261"/>
      <c r="AX150" s="261"/>
      <c r="AY150" s="608"/>
      <c r="AZ150" s="262"/>
    </row>
    <row r="151" spans="2:1028" s="260" customFormat="1" ht="103.5" hidden="1" customHeight="1">
      <c r="B151" s="608"/>
      <c r="C151" s="266"/>
      <c r="D151" s="1399"/>
      <c r="E151" s="1408"/>
      <c r="F151" s="1400"/>
      <c r="G151" s="267"/>
      <c r="H151" s="1399"/>
      <c r="I151" s="1408"/>
      <c r="J151" s="1400"/>
      <c r="K151" s="1380"/>
      <c r="L151" s="1380"/>
      <c r="M151" s="1380"/>
      <c r="N151" s="608"/>
      <c r="O151" s="608"/>
      <c r="P151" s="608"/>
      <c r="Q151" s="608"/>
      <c r="R151" s="266"/>
      <c r="S151" s="266"/>
      <c r="T151" s="268"/>
      <c r="U151" s="269" t="e">
        <f>VLOOKUP(R151,[71]Listas!$D$6:$E$10,2,0)</f>
        <v>#N/A</v>
      </c>
      <c r="V151" s="269" t="e">
        <f>HLOOKUP(S151,[71]Listas!$F$4:$J$5,2,0)</f>
        <v>#N/A</v>
      </c>
      <c r="W151" s="270" t="e">
        <f>INDEX([71]Listas!$F$6:$J$10,MATCH(R151,[71]Listas!$D$6:$D$10,0),MATCH(S151,[71]Listas!$F$4:$J$4,0))</f>
        <v>#N/A</v>
      </c>
      <c r="X151" s="268"/>
      <c r="Y151" s="1399"/>
      <c r="Z151" s="1408"/>
      <c r="AA151" s="1400"/>
      <c r="AB151" s="1063"/>
      <c r="AC151" s="267"/>
      <c r="AD151" s="259"/>
      <c r="AE151" s="608"/>
      <c r="AF151" s="267"/>
      <c r="AG151" s="268"/>
      <c r="AH151" s="269">
        <f t="shared" si="16"/>
        <v>0</v>
      </c>
      <c r="AI151" s="271" t="e">
        <f t="shared" si="17"/>
        <v>#N/A</v>
      </c>
      <c r="AJ151" s="272" t="e">
        <f>IF(AI151&lt;=1,"Remota",VLOOKUP(AI151,[71]Listas!$C$6:$D$10,2,0))</f>
        <v>#N/A</v>
      </c>
      <c r="AK151" s="271" t="e">
        <f t="shared" si="18"/>
        <v>#N/A</v>
      </c>
      <c r="AL151" s="272" t="e">
        <f>IF(AK151&lt;=1,"Insignificante",HLOOKUP(AK151,[71]Listas!$F$3:$J$4,2,0))</f>
        <v>#N/A</v>
      </c>
      <c r="AM151" s="273" t="e">
        <f t="shared" si="19"/>
        <v>#N/A</v>
      </c>
      <c r="AN151" s="270" t="e">
        <f>INDEX([71]Listas!$F$6:$J$10,MATCH(AJ151,[71]Listas!$D$6:$D$10,0),MATCH(AL151,[71]Listas!$F$4:$J$4,0))</f>
        <v>#N/A</v>
      </c>
      <c r="AO151" s="259"/>
      <c r="AP151" s="259"/>
      <c r="AQ151" s="610"/>
      <c r="AR151" s="259"/>
      <c r="AS151" s="259" t="s">
        <v>2343</v>
      </c>
      <c r="AT151" s="608"/>
      <c r="AU151" s="259"/>
      <c r="AV151" s="259"/>
      <c r="AW151" s="261"/>
      <c r="AX151" s="261"/>
      <c r="AY151" s="608"/>
      <c r="AZ151" s="262"/>
    </row>
    <row r="152" spans="2:1028" s="260" customFormat="1" ht="103.5" hidden="1" customHeight="1">
      <c r="B152" s="608"/>
      <c r="C152" s="266"/>
      <c r="D152" s="1399"/>
      <c r="E152" s="1408"/>
      <c r="F152" s="1400"/>
      <c r="G152" s="267"/>
      <c r="H152" s="1399"/>
      <c r="I152" s="1408"/>
      <c r="J152" s="1400"/>
      <c r="K152" s="1380"/>
      <c r="L152" s="1380"/>
      <c r="M152" s="1380"/>
      <c r="N152" s="608"/>
      <c r="O152" s="608"/>
      <c r="P152" s="608"/>
      <c r="Q152" s="608"/>
      <c r="R152" s="266"/>
      <c r="S152" s="266"/>
      <c r="T152" s="268"/>
      <c r="U152" s="269" t="e">
        <f>VLOOKUP(R152,[71]Listas!$D$6:$E$10,2,0)</f>
        <v>#N/A</v>
      </c>
      <c r="V152" s="269" t="e">
        <f>HLOOKUP(S152,[71]Listas!$F$4:$J$5,2,0)</f>
        <v>#N/A</v>
      </c>
      <c r="W152" s="270" t="e">
        <f>INDEX([71]Listas!$F$6:$J$10,MATCH(R152,[71]Listas!$D$6:$D$10,0),MATCH(S152,[71]Listas!$F$4:$J$4,0))</f>
        <v>#N/A</v>
      </c>
      <c r="X152" s="268"/>
      <c r="Y152" s="1399"/>
      <c r="Z152" s="1408"/>
      <c r="AA152" s="1400"/>
      <c r="AB152" s="1063"/>
      <c r="AC152" s="267"/>
      <c r="AD152" s="259"/>
      <c r="AE152" s="608"/>
      <c r="AF152" s="267"/>
      <c r="AG152" s="268"/>
      <c r="AH152" s="269">
        <f t="shared" si="16"/>
        <v>0</v>
      </c>
      <c r="AI152" s="271" t="e">
        <f t="shared" si="17"/>
        <v>#N/A</v>
      </c>
      <c r="AJ152" s="272" t="e">
        <f>IF(AI152&lt;=1,"Remota",VLOOKUP(AI152,[71]Listas!$C$6:$D$10,2,0))</f>
        <v>#N/A</v>
      </c>
      <c r="AK152" s="271" t="e">
        <f t="shared" si="18"/>
        <v>#N/A</v>
      </c>
      <c r="AL152" s="272" t="e">
        <f>IF(AK152&lt;=1,"Insignificante",HLOOKUP(AK152,[71]Listas!$F$3:$J$4,2,0))</f>
        <v>#N/A</v>
      </c>
      <c r="AM152" s="273" t="e">
        <f t="shared" si="19"/>
        <v>#N/A</v>
      </c>
      <c r="AN152" s="270" t="e">
        <f>INDEX([71]Listas!$F$6:$J$10,MATCH(AJ152,[71]Listas!$D$6:$D$10,0),MATCH(AL152,[71]Listas!$F$4:$J$4,0))</f>
        <v>#N/A</v>
      </c>
      <c r="AO152" s="259"/>
      <c r="AP152" s="259"/>
      <c r="AQ152" s="610"/>
      <c r="AR152" s="259"/>
      <c r="AS152" s="259" t="s">
        <v>2343</v>
      </c>
      <c r="AT152" s="608"/>
      <c r="AU152" s="259"/>
      <c r="AV152" s="259"/>
      <c r="AW152" s="261"/>
      <c r="AX152" s="261"/>
      <c r="AY152" s="608"/>
      <c r="AZ152" s="262"/>
    </row>
    <row r="153" spans="2:1028" s="260" customFormat="1" ht="103.5" hidden="1" customHeight="1">
      <c r="B153" s="608"/>
      <c r="C153" s="266"/>
      <c r="D153" s="1399"/>
      <c r="E153" s="1408"/>
      <c r="F153" s="1400"/>
      <c r="G153" s="267"/>
      <c r="H153" s="1399"/>
      <c r="I153" s="1408"/>
      <c r="J153" s="1400"/>
      <c r="K153" s="1380"/>
      <c r="L153" s="1380"/>
      <c r="M153" s="1380"/>
      <c r="N153" s="608"/>
      <c r="O153" s="608"/>
      <c r="P153" s="608"/>
      <c r="Q153" s="608"/>
      <c r="R153" s="266"/>
      <c r="S153" s="266"/>
      <c r="T153" s="268"/>
      <c r="U153" s="269" t="e">
        <f>VLOOKUP(R153,[71]Listas!$D$6:$E$10,2,0)</f>
        <v>#N/A</v>
      </c>
      <c r="V153" s="269" t="e">
        <f>HLOOKUP(S153,[71]Listas!$F$4:$J$5,2,0)</f>
        <v>#N/A</v>
      </c>
      <c r="W153" s="270" t="e">
        <f>INDEX([71]Listas!$F$6:$J$10,MATCH(R153,[71]Listas!$D$6:$D$10,0),MATCH(S153,[71]Listas!$F$4:$J$4,0))</f>
        <v>#N/A</v>
      </c>
      <c r="X153" s="268"/>
      <c r="Y153" s="1399"/>
      <c r="Z153" s="1408"/>
      <c r="AA153" s="1400"/>
      <c r="AB153" s="1063"/>
      <c r="AC153" s="267"/>
      <c r="AD153" s="259"/>
      <c r="AE153" s="608"/>
      <c r="AF153" s="267"/>
      <c r="AG153" s="268"/>
      <c r="AH153" s="269">
        <f t="shared" si="16"/>
        <v>0</v>
      </c>
      <c r="AI153" s="271" t="e">
        <f t="shared" si="17"/>
        <v>#N/A</v>
      </c>
      <c r="AJ153" s="272" t="e">
        <f>IF(AI153&lt;=1,"Remota",VLOOKUP(AI153,[71]Listas!$C$6:$D$10,2,0))</f>
        <v>#N/A</v>
      </c>
      <c r="AK153" s="271" t="e">
        <f t="shared" si="18"/>
        <v>#N/A</v>
      </c>
      <c r="AL153" s="272" t="e">
        <f>IF(AK153&lt;=1,"Insignificante",HLOOKUP(AK153,[71]Listas!$F$3:$J$4,2,0))</f>
        <v>#N/A</v>
      </c>
      <c r="AM153" s="273" t="e">
        <f t="shared" si="19"/>
        <v>#N/A</v>
      </c>
      <c r="AN153" s="270" t="e">
        <f>INDEX([71]Listas!$F$6:$J$10,MATCH(AJ153,[71]Listas!$D$6:$D$10,0),MATCH(AL153,[71]Listas!$F$4:$J$4,0))</f>
        <v>#N/A</v>
      </c>
      <c r="AO153" s="259"/>
      <c r="AP153" s="259"/>
      <c r="AQ153" s="610"/>
      <c r="AR153" s="259"/>
      <c r="AS153" s="259" t="s">
        <v>2343</v>
      </c>
      <c r="AT153" s="608"/>
      <c r="AU153" s="259"/>
      <c r="AV153" s="259"/>
      <c r="AW153" s="261"/>
      <c r="AX153" s="261"/>
      <c r="AY153" s="608"/>
      <c r="AZ153" s="262"/>
    </row>
    <row r="154" spans="2:1028" s="260" customFormat="1" ht="103.5" hidden="1" customHeight="1">
      <c r="B154" s="608"/>
      <c r="C154" s="266"/>
      <c r="D154" s="1399"/>
      <c r="E154" s="1408"/>
      <c r="F154" s="1400"/>
      <c r="G154" s="267"/>
      <c r="H154" s="1399"/>
      <c r="I154" s="1408"/>
      <c r="J154" s="1400"/>
      <c r="K154" s="1380"/>
      <c r="L154" s="1380"/>
      <c r="M154" s="1380"/>
      <c r="N154" s="608"/>
      <c r="O154" s="608"/>
      <c r="P154" s="608"/>
      <c r="Q154" s="608"/>
      <c r="R154" s="266"/>
      <c r="S154" s="266"/>
      <c r="T154" s="268"/>
      <c r="U154" s="269" t="e">
        <f>VLOOKUP(R154,[71]Listas!$D$6:$E$10,2,0)</f>
        <v>#N/A</v>
      </c>
      <c r="V154" s="269" t="e">
        <f>HLOOKUP(S154,[71]Listas!$F$4:$J$5,2,0)</f>
        <v>#N/A</v>
      </c>
      <c r="W154" s="270" t="e">
        <f>INDEX([71]Listas!$F$6:$J$10,MATCH(R154,[71]Listas!$D$6:$D$10,0),MATCH(S154,[71]Listas!$F$4:$J$4,0))</f>
        <v>#N/A</v>
      </c>
      <c r="X154" s="268"/>
      <c r="Y154" s="1399"/>
      <c r="Z154" s="1408"/>
      <c r="AA154" s="1400"/>
      <c r="AB154" s="1063"/>
      <c r="AC154" s="267"/>
      <c r="AD154" s="259"/>
      <c r="AE154" s="608"/>
      <c r="AF154" s="267"/>
      <c r="AG154" s="268"/>
      <c r="AH154" s="269">
        <f t="shared" si="16"/>
        <v>0</v>
      </c>
      <c r="AI154" s="271" t="e">
        <f t="shared" si="17"/>
        <v>#N/A</v>
      </c>
      <c r="AJ154" s="272" t="e">
        <f>IF(AI154&lt;=1,"Remota",VLOOKUP(AI154,[71]Listas!$C$6:$D$10,2,0))</f>
        <v>#N/A</v>
      </c>
      <c r="AK154" s="271" t="e">
        <f t="shared" si="18"/>
        <v>#N/A</v>
      </c>
      <c r="AL154" s="272" t="e">
        <f>IF(AK154&lt;=1,"Insignificante",HLOOKUP(AK154,[71]Listas!$F$3:$J$4,2,0))</f>
        <v>#N/A</v>
      </c>
      <c r="AM154" s="273" t="e">
        <f t="shared" si="19"/>
        <v>#N/A</v>
      </c>
      <c r="AN154" s="270" t="e">
        <f>INDEX([71]Listas!$F$6:$J$10,MATCH(AJ154,[71]Listas!$D$6:$D$10,0),MATCH(AL154,[71]Listas!$F$4:$J$4,0))</f>
        <v>#N/A</v>
      </c>
      <c r="AO154" s="259"/>
      <c r="AP154" s="259"/>
      <c r="AQ154" s="610"/>
      <c r="AR154" s="259"/>
      <c r="AS154" s="259" t="s">
        <v>2343</v>
      </c>
      <c r="AT154" s="608"/>
      <c r="AU154" s="259"/>
      <c r="AV154" s="259"/>
      <c r="AW154" s="261"/>
      <c r="AX154" s="261"/>
      <c r="AY154" s="608"/>
      <c r="AZ154" s="262"/>
    </row>
    <row r="155" spans="2:1028" s="260" customFormat="1" ht="103.5" hidden="1" customHeight="1">
      <c r="B155" s="608"/>
      <c r="C155" s="266"/>
      <c r="D155" s="1399"/>
      <c r="E155" s="1408"/>
      <c r="F155" s="1400"/>
      <c r="G155" s="267"/>
      <c r="H155" s="1399"/>
      <c r="I155" s="1408"/>
      <c r="J155" s="1400"/>
      <c r="K155" s="1380"/>
      <c r="L155" s="1380"/>
      <c r="M155" s="1380"/>
      <c r="N155" s="608"/>
      <c r="O155" s="608"/>
      <c r="P155" s="608"/>
      <c r="Q155" s="608"/>
      <c r="R155" s="266"/>
      <c r="S155" s="266"/>
      <c r="T155" s="268"/>
      <c r="U155" s="269" t="e">
        <f>VLOOKUP(R155,[71]Listas!$D$6:$E$10,2,0)</f>
        <v>#N/A</v>
      </c>
      <c r="V155" s="269" t="e">
        <f>HLOOKUP(S155,[71]Listas!$F$4:$J$5,2,0)</f>
        <v>#N/A</v>
      </c>
      <c r="W155" s="270" t="e">
        <f>INDEX([71]Listas!$F$6:$J$10,MATCH(R155,[71]Listas!$D$6:$D$10,0),MATCH(S155,[71]Listas!$F$4:$J$4,0))</f>
        <v>#N/A</v>
      </c>
      <c r="X155" s="268"/>
      <c r="Y155" s="1399"/>
      <c r="Z155" s="1408"/>
      <c r="AA155" s="1400"/>
      <c r="AB155" s="1063"/>
      <c r="AC155" s="267"/>
      <c r="AD155" s="259"/>
      <c r="AE155" s="608"/>
      <c r="AF155" s="267"/>
      <c r="AG155" s="268"/>
      <c r="AH155" s="269">
        <f t="shared" si="16"/>
        <v>0</v>
      </c>
      <c r="AI155" s="271" t="e">
        <f t="shared" si="17"/>
        <v>#N/A</v>
      </c>
      <c r="AJ155" s="272" t="e">
        <f>IF(AI155&lt;=1,"Remota",VLOOKUP(AI155,[71]Listas!$C$6:$D$10,2,0))</f>
        <v>#N/A</v>
      </c>
      <c r="AK155" s="271" t="e">
        <f t="shared" si="18"/>
        <v>#N/A</v>
      </c>
      <c r="AL155" s="272" t="e">
        <f>IF(AK155&lt;=1,"Insignificante",HLOOKUP(AK155,[71]Listas!$F$3:$J$4,2,0))</f>
        <v>#N/A</v>
      </c>
      <c r="AM155" s="273" t="e">
        <f t="shared" si="19"/>
        <v>#N/A</v>
      </c>
      <c r="AN155" s="270" t="e">
        <f>INDEX([71]Listas!$F$6:$J$10,MATCH(AJ155,[71]Listas!$D$6:$D$10,0),MATCH(AL155,[71]Listas!$F$4:$J$4,0))</f>
        <v>#N/A</v>
      </c>
      <c r="AO155" s="259"/>
      <c r="AP155" s="259"/>
      <c r="AQ155" s="610"/>
      <c r="AR155" s="259"/>
      <c r="AS155" s="259" t="s">
        <v>2343</v>
      </c>
      <c r="AT155" s="608"/>
      <c r="AU155" s="259"/>
      <c r="AV155" s="259"/>
      <c r="AW155" s="261"/>
      <c r="AX155" s="261"/>
      <c r="AY155" s="608"/>
      <c r="AZ155" s="262"/>
    </row>
    <row r="156" spans="2:1028" ht="5.25" customHeight="1">
      <c r="B156" s="275"/>
      <c r="C156" s="276"/>
      <c r="D156" s="276"/>
      <c r="E156" s="276"/>
      <c r="F156" s="275"/>
      <c r="G156" s="275"/>
      <c r="H156" s="277"/>
      <c r="I156" s="277"/>
      <c r="J156" s="277"/>
      <c r="K156" s="275"/>
      <c r="L156" s="275"/>
      <c r="M156" s="278"/>
      <c r="N156" s="278"/>
      <c r="O156" s="278"/>
      <c r="P156" s="278"/>
      <c r="Q156" s="278"/>
      <c r="R156" s="278"/>
      <c r="S156" s="278"/>
      <c r="T156" s="278"/>
      <c r="U156" s="278"/>
      <c r="V156" s="278"/>
      <c r="W156" s="275"/>
      <c r="X156" s="275"/>
      <c r="Y156" s="277"/>
      <c r="Z156" s="277"/>
      <c r="AA156" s="277"/>
      <c r="AB156" s="275"/>
      <c r="AC156" s="277"/>
      <c r="AD156" s="277"/>
      <c r="AE156" s="275"/>
      <c r="AF156" s="275"/>
      <c r="AG156" s="275"/>
      <c r="AH156" s="275"/>
      <c r="AI156" s="275"/>
      <c r="AJ156" s="275"/>
      <c r="AK156" s="275"/>
      <c r="AL156" s="275"/>
      <c r="AM156" s="275"/>
      <c r="AN156" s="279"/>
      <c r="AO156" s="262"/>
      <c r="AP156" s="262"/>
      <c r="AQ156" s="262"/>
      <c r="AR156" s="262"/>
      <c r="AS156" s="262"/>
      <c r="AT156" s="262"/>
      <c r="AU156" s="262"/>
      <c r="AV156" s="262"/>
      <c r="AW156" s="262"/>
      <c r="AX156" s="262"/>
      <c r="AY156" s="262"/>
      <c r="AZ156" s="262"/>
      <c r="BA156" s="236"/>
      <c r="BB156" s="236"/>
      <c r="BC156" s="236"/>
      <c r="BD156" s="236"/>
      <c r="BE156" s="236"/>
      <c r="BF156" s="236"/>
      <c r="BG156" s="236"/>
      <c r="BH156" s="236"/>
      <c r="BI156" s="236"/>
      <c r="BJ156" s="236"/>
      <c r="BK156" s="236"/>
      <c r="BL156" s="236"/>
      <c r="BM156" s="236"/>
      <c r="BN156" s="236"/>
      <c r="BO156" s="236"/>
      <c r="BP156" s="236"/>
      <c r="BQ156" s="236"/>
      <c r="BR156" s="236"/>
      <c r="BS156" s="236"/>
      <c r="BT156" s="236"/>
      <c r="BU156" s="236"/>
      <c r="BV156" s="236"/>
      <c r="BW156" s="236"/>
      <c r="BX156" s="236"/>
      <c r="BY156" s="236"/>
      <c r="BZ156" s="236"/>
      <c r="CA156" s="236"/>
      <c r="CB156" s="236"/>
      <c r="CC156" s="236"/>
      <c r="CD156" s="236"/>
      <c r="CE156" s="236"/>
      <c r="CF156" s="236"/>
      <c r="CG156" s="236"/>
      <c r="CH156" s="236"/>
      <c r="CI156" s="236"/>
      <c r="CJ156" s="236"/>
      <c r="CK156" s="236"/>
      <c r="CL156" s="236"/>
      <c r="CM156" s="236"/>
      <c r="CN156" s="236"/>
      <c r="CO156" s="236"/>
      <c r="CP156" s="236"/>
      <c r="CQ156" s="236"/>
      <c r="CR156" s="236"/>
      <c r="CS156" s="236"/>
      <c r="CT156" s="236"/>
      <c r="CU156" s="236"/>
      <c r="CV156" s="236"/>
      <c r="CW156" s="236"/>
      <c r="CX156" s="236"/>
      <c r="CY156" s="236"/>
      <c r="CZ156" s="236"/>
      <c r="DA156" s="236"/>
      <c r="DB156" s="236"/>
      <c r="DC156" s="236"/>
      <c r="DD156" s="236"/>
      <c r="DE156" s="236"/>
      <c r="DF156" s="236"/>
      <c r="DG156" s="236"/>
      <c r="DH156" s="236"/>
      <c r="DI156" s="236"/>
      <c r="DJ156" s="236"/>
      <c r="DK156" s="236"/>
      <c r="DL156" s="236"/>
      <c r="DM156" s="236"/>
      <c r="DN156" s="236"/>
      <c r="DO156" s="236"/>
      <c r="DP156" s="236"/>
      <c r="DQ156" s="236"/>
      <c r="DR156" s="236"/>
      <c r="DS156" s="236"/>
      <c r="DT156" s="236"/>
      <c r="DU156" s="236"/>
      <c r="DV156" s="236"/>
      <c r="DW156" s="236"/>
      <c r="DX156" s="236"/>
      <c r="DY156" s="236"/>
      <c r="DZ156" s="236"/>
      <c r="EA156" s="236"/>
      <c r="EB156" s="236"/>
      <c r="EC156" s="236"/>
      <c r="ED156" s="236"/>
      <c r="EE156" s="236"/>
      <c r="EF156" s="236"/>
      <c r="EG156" s="236"/>
      <c r="EH156" s="236"/>
      <c r="EI156" s="236"/>
      <c r="EJ156" s="236"/>
      <c r="EK156" s="236"/>
      <c r="EL156" s="236"/>
      <c r="EM156" s="236"/>
      <c r="EN156" s="236"/>
      <c r="EO156" s="236"/>
      <c r="EP156" s="236"/>
      <c r="EQ156" s="236"/>
      <c r="ER156" s="236"/>
      <c r="ES156" s="236"/>
      <c r="ET156" s="236"/>
      <c r="EU156" s="236"/>
      <c r="EV156" s="236"/>
      <c r="EW156" s="236"/>
      <c r="EX156" s="236"/>
      <c r="EY156" s="236"/>
      <c r="EZ156" s="236"/>
      <c r="FA156" s="236"/>
      <c r="FB156" s="236"/>
      <c r="FC156" s="236"/>
      <c r="FD156" s="236"/>
      <c r="FE156" s="236"/>
      <c r="FF156" s="236"/>
      <c r="FG156" s="236"/>
      <c r="FH156" s="236"/>
      <c r="FI156" s="236"/>
      <c r="FJ156" s="236"/>
      <c r="FK156" s="236"/>
      <c r="FL156" s="236"/>
      <c r="FM156" s="236"/>
      <c r="FN156" s="236"/>
      <c r="FO156" s="236"/>
      <c r="FP156" s="236"/>
      <c r="FQ156" s="236"/>
      <c r="FR156" s="236"/>
      <c r="FS156" s="236"/>
      <c r="FT156" s="236"/>
      <c r="FU156" s="236"/>
      <c r="FV156" s="236"/>
      <c r="FW156" s="236"/>
      <c r="FX156" s="236"/>
      <c r="FY156" s="236"/>
      <c r="FZ156" s="236"/>
      <c r="GA156" s="236"/>
      <c r="GB156" s="236"/>
      <c r="GC156" s="236"/>
      <c r="GD156" s="236"/>
      <c r="GE156" s="236"/>
      <c r="GF156" s="236"/>
      <c r="GG156" s="236"/>
      <c r="GH156" s="236"/>
      <c r="GI156" s="236"/>
      <c r="GJ156" s="236"/>
      <c r="GK156" s="236"/>
      <c r="GL156" s="236"/>
      <c r="GM156" s="236"/>
      <c r="GN156" s="236"/>
      <c r="GO156" s="236"/>
      <c r="GP156" s="236"/>
      <c r="GQ156" s="236"/>
      <c r="GR156" s="236"/>
      <c r="GS156" s="236"/>
      <c r="GT156" s="236"/>
      <c r="GU156" s="236"/>
      <c r="GV156" s="236"/>
      <c r="GW156" s="236"/>
      <c r="GX156" s="236"/>
      <c r="GY156" s="236"/>
      <c r="GZ156" s="236"/>
      <c r="HA156" s="236"/>
      <c r="HB156" s="236"/>
      <c r="HC156" s="236"/>
      <c r="HD156" s="236"/>
      <c r="HE156" s="236"/>
      <c r="HF156" s="236"/>
      <c r="HG156" s="236"/>
      <c r="HH156" s="236"/>
      <c r="HI156" s="236"/>
      <c r="HJ156" s="236"/>
      <c r="HK156" s="236"/>
      <c r="HL156" s="236"/>
      <c r="HM156" s="236"/>
      <c r="HN156" s="236"/>
      <c r="HO156" s="236"/>
      <c r="HP156" s="236"/>
      <c r="HQ156" s="236"/>
      <c r="HR156" s="236"/>
      <c r="HS156" s="236"/>
      <c r="HT156" s="236"/>
      <c r="HU156" s="236"/>
      <c r="HV156" s="236"/>
      <c r="HW156" s="236"/>
      <c r="HX156" s="236"/>
      <c r="HY156" s="236"/>
      <c r="HZ156" s="236"/>
      <c r="IA156" s="236"/>
      <c r="IB156" s="236"/>
      <c r="IC156" s="236"/>
      <c r="ID156" s="236"/>
      <c r="IE156" s="236"/>
      <c r="IF156" s="236"/>
      <c r="IG156" s="236"/>
      <c r="IH156" s="236"/>
      <c r="II156" s="236"/>
      <c r="IJ156" s="236"/>
      <c r="IK156" s="236"/>
      <c r="IL156" s="236"/>
      <c r="IM156" s="236"/>
      <c r="IN156" s="236"/>
      <c r="IO156" s="236"/>
      <c r="IP156" s="236"/>
      <c r="IQ156" s="236"/>
      <c r="IR156" s="236"/>
      <c r="IS156" s="236"/>
      <c r="IT156" s="236"/>
      <c r="IU156" s="236"/>
      <c r="IV156" s="236"/>
      <c r="IW156" s="236"/>
      <c r="IX156" s="236"/>
      <c r="IY156" s="236"/>
      <c r="IZ156" s="236"/>
      <c r="JA156" s="236"/>
      <c r="JB156" s="236"/>
      <c r="JC156" s="236"/>
      <c r="JD156" s="236"/>
      <c r="JE156" s="236"/>
      <c r="JF156" s="236"/>
      <c r="JG156" s="236"/>
      <c r="JH156" s="236"/>
      <c r="JI156" s="236"/>
      <c r="JJ156" s="236"/>
      <c r="JK156" s="236"/>
      <c r="JL156" s="236"/>
      <c r="JM156" s="236"/>
      <c r="JN156" s="236"/>
      <c r="JO156" s="236"/>
      <c r="JP156" s="236"/>
      <c r="JQ156" s="236"/>
      <c r="JR156" s="236"/>
      <c r="JS156" s="236"/>
      <c r="JT156" s="236"/>
      <c r="JU156" s="236"/>
      <c r="JV156" s="236"/>
      <c r="JW156" s="236"/>
      <c r="JX156" s="236"/>
      <c r="JY156" s="236"/>
      <c r="JZ156" s="236"/>
      <c r="KA156" s="236"/>
      <c r="KB156" s="236"/>
      <c r="KC156" s="236"/>
      <c r="KD156" s="236"/>
      <c r="KE156" s="236"/>
      <c r="KF156" s="236"/>
      <c r="KG156" s="236"/>
      <c r="KH156" s="236"/>
      <c r="KI156" s="236"/>
      <c r="KJ156" s="236"/>
      <c r="KK156" s="236"/>
      <c r="KL156" s="236"/>
      <c r="KM156" s="236"/>
      <c r="KN156" s="236"/>
      <c r="KO156" s="236"/>
      <c r="KP156" s="236"/>
      <c r="KQ156" s="236"/>
      <c r="KR156" s="236"/>
      <c r="KS156" s="236"/>
      <c r="KT156" s="236"/>
      <c r="KU156" s="236"/>
      <c r="KV156" s="236"/>
      <c r="KW156" s="236"/>
      <c r="KX156" s="236"/>
      <c r="KY156" s="236"/>
      <c r="KZ156" s="236"/>
      <c r="LA156" s="236"/>
      <c r="LB156" s="236"/>
      <c r="LC156" s="236"/>
      <c r="LD156" s="236"/>
      <c r="LE156" s="236"/>
      <c r="LF156" s="236"/>
      <c r="LG156" s="236"/>
      <c r="LH156" s="236"/>
      <c r="LI156" s="236"/>
      <c r="LJ156" s="236"/>
      <c r="LK156" s="236"/>
      <c r="LL156" s="236"/>
      <c r="LM156" s="236"/>
      <c r="LN156" s="236"/>
      <c r="LO156" s="236"/>
      <c r="LP156" s="236"/>
      <c r="LQ156" s="236"/>
      <c r="LR156" s="236"/>
      <c r="LS156" s="236"/>
      <c r="LT156" s="236"/>
      <c r="LU156" s="236"/>
      <c r="LV156" s="236"/>
      <c r="LW156" s="236"/>
      <c r="LX156" s="236"/>
      <c r="LY156" s="236"/>
      <c r="LZ156" s="236"/>
      <c r="MA156" s="236"/>
      <c r="MB156" s="236"/>
      <c r="MC156" s="236"/>
      <c r="MD156" s="236"/>
      <c r="ME156" s="236"/>
      <c r="MF156" s="236"/>
      <c r="MG156" s="236"/>
      <c r="MH156" s="236"/>
      <c r="MI156" s="236"/>
      <c r="MJ156" s="236"/>
      <c r="MK156" s="236"/>
      <c r="ML156" s="236"/>
      <c r="MM156" s="236"/>
      <c r="MN156" s="236"/>
      <c r="MO156" s="236"/>
      <c r="MP156" s="236"/>
      <c r="MQ156" s="236"/>
      <c r="MR156" s="236"/>
      <c r="MS156" s="236"/>
      <c r="MT156" s="236"/>
      <c r="MU156" s="236"/>
      <c r="MV156" s="236"/>
      <c r="MW156" s="236"/>
      <c r="MX156" s="236"/>
      <c r="MY156" s="236"/>
      <c r="MZ156" s="236"/>
      <c r="NA156" s="236"/>
      <c r="NB156" s="236"/>
      <c r="NC156" s="236"/>
      <c r="ND156" s="236"/>
      <c r="NE156" s="236"/>
      <c r="NF156" s="236"/>
      <c r="NG156" s="236"/>
      <c r="NH156" s="236"/>
      <c r="NI156" s="236"/>
      <c r="NJ156" s="236"/>
      <c r="NK156" s="236"/>
      <c r="NL156" s="236"/>
      <c r="NM156" s="236"/>
      <c r="NN156" s="236"/>
      <c r="NO156" s="236"/>
      <c r="NP156" s="236"/>
      <c r="NQ156" s="236"/>
      <c r="NR156" s="236"/>
      <c r="NS156" s="236"/>
      <c r="NT156" s="236"/>
      <c r="NU156" s="236"/>
      <c r="NV156" s="236"/>
      <c r="NW156" s="236"/>
      <c r="NX156" s="236"/>
      <c r="NY156" s="236"/>
      <c r="NZ156" s="236"/>
      <c r="OA156" s="236"/>
      <c r="OB156" s="236"/>
      <c r="OC156" s="236"/>
      <c r="OD156" s="236"/>
      <c r="OE156" s="236"/>
      <c r="OF156" s="236"/>
      <c r="OG156" s="236"/>
      <c r="OH156" s="236"/>
      <c r="OI156" s="236"/>
      <c r="OJ156" s="236"/>
      <c r="OK156" s="236"/>
      <c r="OL156" s="236"/>
      <c r="OM156" s="236"/>
      <c r="ON156" s="236"/>
      <c r="OO156" s="236"/>
      <c r="OP156" s="236"/>
      <c r="OQ156" s="236"/>
      <c r="OR156" s="236"/>
      <c r="OS156" s="236"/>
      <c r="OT156" s="236"/>
      <c r="OU156" s="236"/>
      <c r="OV156" s="236"/>
      <c r="OW156" s="236"/>
      <c r="OX156" s="236"/>
      <c r="OY156" s="236"/>
      <c r="OZ156" s="236"/>
      <c r="PA156" s="236"/>
      <c r="PB156" s="236"/>
      <c r="PC156" s="236"/>
      <c r="PD156" s="236"/>
      <c r="PE156" s="236"/>
      <c r="PF156" s="236"/>
      <c r="PG156" s="236"/>
      <c r="PH156" s="236"/>
      <c r="PI156" s="236"/>
      <c r="PJ156" s="236"/>
      <c r="PK156" s="236"/>
      <c r="PL156" s="236"/>
      <c r="PM156" s="236"/>
      <c r="PN156" s="236"/>
      <c r="PO156" s="236"/>
      <c r="PP156" s="236"/>
      <c r="PQ156" s="236"/>
      <c r="PR156" s="236"/>
      <c r="PS156" s="236"/>
      <c r="PT156" s="236"/>
      <c r="PU156" s="236"/>
      <c r="PV156" s="236"/>
      <c r="PW156" s="236"/>
      <c r="PX156" s="236"/>
      <c r="PY156" s="236"/>
      <c r="PZ156" s="236"/>
      <c r="QA156" s="236"/>
      <c r="QB156" s="236"/>
      <c r="QC156" s="236"/>
      <c r="QD156" s="236"/>
      <c r="QE156" s="236"/>
      <c r="QF156" s="236"/>
      <c r="QG156" s="236"/>
      <c r="QH156" s="236"/>
      <c r="QI156" s="236"/>
      <c r="QJ156" s="236"/>
      <c r="QK156" s="236"/>
      <c r="QL156" s="236"/>
      <c r="QM156" s="236"/>
      <c r="QN156" s="236"/>
      <c r="QO156" s="236"/>
      <c r="QP156" s="236"/>
      <c r="QQ156" s="236"/>
      <c r="QR156" s="236"/>
      <c r="QS156" s="236"/>
      <c r="QT156" s="236"/>
      <c r="QU156" s="236"/>
      <c r="QV156" s="236"/>
      <c r="QW156" s="236"/>
      <c r="QX156" s="236"/>
      <c r="QY156" s="236"/>
      <c r="QZ156" s="236"/>
      <c r="RA156" s="236"/>
      <c r="RB156" s="236"/>
      <c r="RC156" s="236"/>
      <c r="RD156" s="236"/>
      <c r="RE156" s="236"/>
      <c r="RF156" s="236"/>
      <c r="RG156" s="236"/>
      <c r="RH156" s="236"/>
      <c r="RI156" s="236"/>
      <c r="RJ156" s="236"/>
      <c r="RK156" s="236"/>
      <c r="RL156" s="236"/>
      <c r="RM156" s="236"/>
      <c r="RN156" s="236"/>
      <c r="RO156" s="236"/>
      <c r="RP156" s="236"/>
      <c r="RQ156" s="236"/>
      <c r="RR156" s="236"/>
      <c r="RS156" s="236"/>
      <c r="RT156" s="236"/>
      <c r="RU156" s="236"/>
      <c r="RV156" s="236"/>
      <c r="RW156" s="236"/>
      <c r="RX156" s="236"/>
      <c r="RY156" s="236"/>
      <c r="RZ156" s="236"/>
      <c r="SA156" s="236"/>
      <c r="SB156" s="236"/>
      <c r="SC156" s="236"/>
      <c r="SD156" s="236"/>
      <c r="SE156" s="236"/>
      <c r="SF156" s="236"/>
      <c r="SG156" s="236"/>
      <c r="SH156" s="236"/>
      <c r="SI156" s="236"/>
      <c r="SJ156" s="236"/>
      <c r="SK156" s="236"/>
      <c r="SL156" s="236"/>
      <c r="SM156" s="236"/>
      <c r="SN156" s="236"/>
      <c r="SO156" s="236"/>
      <c r="SP156" s="236"/>
      <c r="SQ156" s="236"/>
      <c r="SR156" s="236"/>
      <c r="SS156" s="236"/>
      <c r="ST156" s="236"/>
      <c r="SU156" s="236"/>
      <c r="SV156" s="236"/>
      <c r="SW156" s="236"/>
      <c r="SX156" s="236"/>
      <c r="SY156" s="236"/>
      <c r="SZ156" s="236"/>
      <c r="TA156" s="236"/>
      <c r="TB156" s="236"/>
      <c r="TC156" s="236"/>
      <c r="TD156" s="236"/>
      <c r="TE156" s="236"/>
      <c r="TF156" s="236"/>
      <c r="TG156" s="236"/>
      <c r="TH156" s="236"/>
      <c r="TI156" s="236"/>
      <c r="TJ156" s="236"/>
      <c r="TK156" s="236"/>
      <c r="TL156" s="236"/>
      <c r="TM156" s="236"/>
      <c r="TN156" s="236"/>
      <c r="TO156" s="236"/>
      <c r="TP156" s="236"/>
      <c r="TQ156" s="236"/>
      <c r="TR156" s="236"/>
      <c r="TS156" s="236"/>
      <c r="TT156" s="236"/>
      <c r="TU156" s="236"/>
      <c r="TV156" s="236"/>
      <c r="TW156" s="236"/>
      <c r="TX156" s="236"/>
      <c r="TY156" s="236"/>
      <c r="TZ156" s="236"/>
      <c r="UA156" s="236"/>
      <c r="UB156" s="236"/>
      <c r="UC156" s="236"/>
      <c r="UD156" s="236"/>
      <c r="UE156" s="236"/>
      <c r="UF156" s="236"/>
      <c r="UG156" s="236"/>
      <c r="UH156" s="236"/>
      <c r="UI156" s="236"/>
      <c r="UJ156" s="236"/>
      <c r="UK156" s="236"/>
      <c r="UL156" s="236"/>
      <c r="UM156" s="236"/>
      <c r="UN156" s="236"/>
      <c r="UO156" s="236"/>
      <c r="UP156" s="236"/>
      <c r="UQ156" s="236"/>
      <c r="UR156" s="236"/>
      <c r="US156" s="236"/>
      <c r="UT156" s="236"/>
      <c r="UU156" s="236"/>
      <c r="UV156" s="236"/>
      <c r="UW156" s="236"/>
      <c r="UX156" s="236"/>
      <c r="UY156" s="236"/>
      <c r="UZ156" s="236"/>
      <c r="VA156" s="236"/>
      <c r="VB156" s="236"/>
      <c r="VC156" s="236"/>
      <c r="VD156" s="236"/>
      <c r="VE156" s="236"/>
      <c r="VF156" s="236"/>
      <c r="VG156" s="236"/>
      <c r="VH156" s="236"/>
      <c r="VI156" s="236"/>
      <c r="VJ156" s="236"/>
      <c r="VK156" s="236"/>
      <c r="VL156" s="236"/>
      <c r="VM156" s="236"/>
      <c r="VN156" s="236"/>
      <c r="VO156" s="236"/>
      <c r="VP156" s="236"/>
      <c r="VQ156" s="236"/>
      <c r="VR156" s="236"/>
      <c r="VS156" s="236"/>
      <c r="VT156" s="236"/>
      <c r="VU156" s="236"/>
      <c r="VV156" s="236"/>
      <c r="VW156" s="236"/>
      <c r="VX156" s="236"/>
      <c r="VY156" s="236"/>
      <c r="VZ156" s="236"/>
      <c r="WA156" s="236"/>
      <c r="WB156" s="236"/>
      <c r="WC156" s="236"/>
      <c r="WD156" s="236"/>
      <c r="WE156" s="236"/>
      <c r="WF156" s="236"/>
      <c r="WG156" s="236"/>
      <c r="WH156" s="236"/>
      <c r="WI156" s="236"/>
      <c r="WJ156" s="236"/>
      <c r="WK156" s="236"/>
      <c r="WL156" s="236"/>
      <c r="WM156" s="236"/>
      <c r="WN156" s="236"/>
      <c r="WO156" s="236"/>
      <c r="WP156" s="236"/>
      <c r="WQ156" s="236"/>
      <c r="WR156" s="236"/>
      <c r="WS156" s="236"/>
      <c r="WT156" s="236"/>
      <c r="WU156" s="236"/>
      <c r="WV156" s="236"/>
      <c r="WW156" s="236"/>
      <c r="WX156" s="236"/>
      <c r="WY156" s="236"/>
      <c r="WZ156" s="236"/>
      <c r="XA156" s="236"/>
      <c r="XB156" s="236"/>
      <c r="XC156" s="236"/>
      <c r="XD156" s="236"/>
      <c r="XE156" s="236"/>
      <c r="XF156" s="236"/>
      <c r="XG156" s="236"/>
      <c r="XH156" s="236"/>
      <c r="XI156" s="236"/>
      <c r="XJ156" s="236"/>
      <c r="XK156" s="236"/>
      <c r="XL156" s="236"/>
      <c r="XM156" s="236"/>
      <c r="XN156" s="236"/>
      <c r="XO156" s="236"/>
      <c r="XP156" s="236"/>
      <c r="XQ156" s="236"/>
      <c r="XR156" s="236"/>
      <c r="XS156" s="236"/>
      <c r="XT156" s="236"/>
      <c r="XU156" s="236"/>
      <c r="XV156" s="236"/>
      <c r="XW156" s="236"/>
      <c r="XX156" s="236"/>
      <c r="XY156" s="236"/>
      <c r="XZ156" s="236"/>
      <c r="YA156" s="236"/>
      <c r="YB156" s="236"/>
      <c r="YC156" s="236"/>
      <c r="YD156" s="236"/>
      <c r="YE156" s="236"/>
      <c r="YF156" s="236"/>
      <c r="YG156" s="236"/>
      <c r="YH156" s="236"/>
      <c r="YI156" s="236"/>
      <c r="YJ156" s="236"/>
      <c r="YK156" s="236"/>
      <c r="YL156" s="236"/>
      <c r="YM156" s="236"/>
      <c r="YN156" s="236"/>
      <c r="YO156" s="236"/>
      <c r="YP156" s="236"/>
      <c r="YQ156" s="236"/>
      <c r="YR156" s="236"/>
      <c r="YS156" s="236"/>
      <c r="YT156" s="236"/>
      <c r="YU156" s="236"/>
      <c r="YV156" s="236"/>
      <c r="YW156" s="236"/>
      <c r="YX156" s="236"/>
      <c r="YY156" s="236"/>
      <c r="YZ156" s="236"/>
      <c r="ZA156" s="236"/>
      <c r="ZB156" s="236"/>
      <c r="ZC156" s="236"/>
      <c r="ZD156" s="236"/>
      <c r="ZE156" s="236"/>
      <c r="ZF156" s="236"/>
      <c r="ZG156" s="236"/>
      <c r="ZH156" s="236"/>
      <c r="ZI156" s="236"/>
      <c r="ZJ156" s="236"/>
      <c r="ZK156" s="236"/>
      <c r="ZL156" s="236"/>
      <c r="ZM156" s="236"/>
      <c r="ZN156" s="236"/>
      <c r="ZO156" s="236"/>
      <c r="ZP156" s="236"/>
      <c r="ZQ156" s="236"/>
      <c r="ZR156" s="236"/>
      <c r="ZS156" s="236"/>
      <c r="ZT156" s="236"/>
      <c r="ZU156" s="236"/>
      <c r="ZV156" s="236"/>
      <c r="ZW156" s="236"/>
      <c r="ZX156" s="236"/>
      <c r="ZY156" s="236"/>
      <c r="ZZ156" s="236"/>
      <c r="AAA156" s="236"/>
      <c r="AAB156" s="236"/>
      <c r="AAC156" s="236"/>
      <c r="AAD156" s="236"/>
      <c r="AAE156" s="236"/>
      <c r="AAF156" s="236"/>
      <c r="AAG156" s="236"/>
      <c r="AAH156" s="236"/>
      <c r="AAI156" s="236"/>
      <c r="AAJ156" s="236"/>
      <c r="AAK156" s="236"/>
      <c r="AAL156" s="236"/>
      <c r="AAM156" s="236"/>
      <c r="AAN156" s="236"/>
      <c r="AAO156" s="236"/>
      <c r="AAP156" s="236"/>
      <c r="AAQ156" s="236"/>
      <c r="AAR156" s="236"/>
      <c r="AAS156" s="236"/>
      <c r="AAT156" s="236"/>
      <c r="AAU156" s="236"/>
      <c r="AAV156" s="236"/>
      <c r="AAW156" s="236"/>
      <c r="AAX156" s="236"/>
      <c r="AAY156" s="236"/>
      <c r="AAZ156" s="236"/>
      <c r="ABA156" s="236"/>
      <c r="ABB156" s="236"/>
      <c r="ABC156" s="236"/>
      <c r="ABD156" s="236"/>
      <c r="ABE156" s="236"/>
      <c r="ABF156" s="236"/>
      <c r="ABG156" s="236"/>
      <c r="ABH156" s="236"/>
      <c r="ABI156" s="236"/>
      <c r="ABJ156" s="236"/>
      <c r="ABK156" s="236"/>
      <c r="ABL156" s="236"/>
      <c r="ABM156" s="236"/>
      <c r="ABN156" s="236"/>
      <c r="ABO156" s="236"/>
      <c r="ABP156" s="236"/>
      <c r="ABQ156" s="236"/>
      <c r="ABR156" s="236"/>
      <c r="ABS156" s="236"/>
      <c r="ABT156" s="236"/>
      <c r="ABU156" s="236"/>
      <c r="ABV156" s="236"/>
      <c r="ABW156" s="236"/>
      <c r="ABX156" s="236"/>
      <c r="ABY156" s="236"/>
      <c r="ABZ156" s="236"/>
      <c r="ACA156" s="236"/>
      <c r="ACB156" s="236"/>
      <c r="ACC156" s="236"/>
      <c r="ACD156" s="236"/>
      <c r="ACE156" s="236"/>
      <c r="ACF156" s="236"/>
      <c r="ACG156" s="236"/>
      <c r="ACH156" s="236"/>
      <c r="ACI156" s="236"/>
      <c r="ACJ156" s="236"/>
      <c r="ACK156" s="236"/>
      <c r="ACL156" s="236"/>
      <c r="ACM156" s="236"/>
      <c r="ACN156" s="236"/>
      <c r="ACO156" s="236"/>
      <c r="ACP156" s="236"/>
      <c r="ACQ156" s="236"/>
      <c r="ACR156" s="236"/>
      <c r="ACS156" s="236"/>
      <c r="ACT156" s="236"/>
      <c r="ACU156" s="236"/>
      <c r="ACV156" s="236"/>
      <c r="ACW156" s="236"/>
      <c r="ACX156" s="236"/>
      <c r="ACY156" s="236"/>
      <c r="ACZ156" s="236"/>
      <c r="ADA156" s="236"/>
      <c r="ADB156" s="236"/>
      <c r="ADC156" s="236"/>
      <c r="ADD156" s="236"/>
      <c r="ADE156" s="236"/>
      <c r="ADF156" s="236"/>
      <c r="ADG156" s="236"/>
      <c r="ADH156" s="236"/>
      <c r="ADI156" s="236"/>
      <c r="ADJ156" s="236"/>
      <c r="ADK156" s="236"/>
      <c r="ADL156" s="236"/>
      <c r="ADM156" s="236"/>
      <c r="ADN156" s="236"/>
      <c r="ADO156" s="236"/>
      <c r="ADP156" s="236"/>
      <c r="ADQ156" s="236"/>
      <c r="ADR156" s="236"/>
      <c r="ADS156" s="236"/>
      <c r="ADT156" s="236"/>
      <c r="ADU156" s="236"/>
      <c r="ADV156" s="236"/>
      <c r="ADW156" s="236"/>
      <c r="ADX156" s="236"/>
      <c r="ADY156" s="236"/>
      <c r="ADZ156" s="236"/>
      <c r="AEA156" s="236"/>
      <c r="AEB156" s="236"/>
      <c r="AEC156" s="236"/>
      <c r="AED156" s="236"/>
      <c r="AEE156" s="236"/>
      <c r="AEF156" s="236"/>
      <c r="AEG156" s="236"/>
      <c r="AEH156" s="236"/>
      <c r="AEI156" s="236"/>
      <c r="AEJ156" s="236"/>
      <c r="AEK156" s="236"/>
      <c r="AEL156" s="236"/>
      <c r="AEM156" s="236"/>
      <c r="AEN156" s="236"/>
      <c r="AEO156" s="236"/>
      <c r="AEP156" s="236"/>
      <c r="AEQ156" s="236"/>
      <c r="AER156" s="236"/>
      <c r="AES156" s="236"/>
      <c r="AET156" s="236"/>
      <c r="AEU156" s="236"/>
      <c r="AEV156" s="236"/>
      <c r="AEW156" s="236"/>
      <c r="AEX156" s="236"/>
      <c r="AEY156" s="236"/>
      <c r="AEZ156" s="236"/>
      <c r="AFA156" s="236"/>
      <c r="AFB156" s="236"/>
      <c r="AFC156" s="236"/>
      <c r="AFD156" s="236"/>
      <c r="AFE156" s="236"/>
      <c r="AFF156" s="236"/>
      <c r="AFG156" s="236"/>
      <c r="AFH156" s="236"/>
      <c r="AFI156" s="236"/>
      <c r="AFJ156" s="236"/>
      <c r="AFK156" s="236"/>
      <c r="AFL156" s="236"/>
      <c r="AFM156" s="236"/>
      <c r="AFN156" s="236"/>
      <c r="AFO156" s="236"/>
      <c r="AFP156" s="236"/>
      <c r="AFQ156" s="236"/>
      <c r="AFR156" s="236"/>
      <c r="AFS156" s="236"/>
      <c r="AFT156" s="236"/>
      <c r="AFU156" s="236"/>
      <c r="AFV156" s="236"/>
      <c r="AFW156" s="236"/>
      <c r="AFX156" s="236"/>
      <c r="AFY156" s="236"/>
      <c r="AFZ156" s="236"/>
      <c r="AGA156" s="236"/>
      <c r="AGB156" s="236"/>
      <c r="AGC156" s="236"/>
      <c r="AGD156" s="236"/>
      <c r="AGE156" s="236"/>
      <c r="AGF156" s="236"/>
      <c r="AGG156" s="236"/>
      <c r="AGH156" s="236"/>
      <c r="AGI156" s="236"/>
      <c r="AGJ156" s="236"/>
      <c r="AGK156" s="236"/>
      <c r="AGL156" s="236"/>
      <c r="AGM156" s="236"/>
      <c r="AGN156" s="236"/>
      <c r="AGO156" s="236"/>
      <c r="AGP156" s="236"/>
      <c r="AGQ156" s="236"/>
      <c r="AGR156" s="236"/>
      <c r="AGS156" s="236"/>
      <c r="AGT156" s="236"/>
      <c r="AGU156" s="236"/>
      <c r="AGV156" s="236"/>
      <c r="AGW156" s="236"/>
      <c r="AGX156" s="236"/>
      <c r="AGY156" s="236"/>
      <c r="AGZ156" s="236"/>
      <c r="AHA156" s="236"/>
      <c r="AHB156" s="236"/>
      <c r="AHC156" s="236"/>
      <c r="AHD156" s="236"/>
      <c r="AHE156" s="236"/>
      <c r="AHF156" s="236"/>
      <c r="AHG156" s="236"/>
      <c r="AHH156" s="236"/>
      <c r="AHI156" s="236"/>
      <c r="AHJ156" s="236"/>
      <c r="AHK156" s="236"/>
      <c r="AHL156" s="236"/>
      <c r="AHM156" s="236"/>
      <c r="AHN156" s="236"/>
      <c r="AHO156" s="236"/>
      <c r="AHP156" s="236"/>
      <c r="AHQ156" s="236"/>
      <c r="AHR156" s="236"/>
      <c r="AHS156" s="236"/>
      <c r="AHT156" s="236"/>
      <c r="AHU156" s="236"/>
      <c r="AHV156" s="236"/>
      <c r="AHW156" s="236"/>
      <c r="AHX156" s="236"/>
      <c r="AHY156" s="236"/>
      <c r="AHZ156" s="236"/>
      <c r="AIA156" s="236"/>
      <c r="AIB156" s="236"/>
      <c r="AIC156" s="236"/>
      <c r="AID156" s="236"/>
      <c r="AIE156" s="236"/>
      <c r="AIF156" s="236"/>
      <c r="AIG156" s="236"/>
      <c r="AIH156" s="236"/>
      <c r="AII156" s="236"/>
      <c r="AIJ156" s="236"/>
      <c r="AIK156" s="236"/>
      <c r="AIL156" s="236"/>
      <c r="AIM156" s="236"/>
      <c r="AIN156" s="236"/>
      <c r="AIO156" s="236"/>
      <c r="AIP156" s="236"/>
      <c r="AIQ156" s="236"/>
      <c r="AIR156" s="236"/>
      <c r="AIS156" s="236"/>
      <c r="AIT156" s="236"/>
      <c r="AIU156" s="236"/>
      <c r="AIV156" s="236"/>
      <c r="AIW156" s="236"/>
      <c r="AIX156" s="236"/>
      <c r="AIY156" s="236"/>
      <c r="AIZ156" s="236"/>
      <c r="AJA156" s="236"/>
      <c r="AJB156" s="236"/>
      <c r="AJC156" s="236"/>
      <c r="AJD156" s="236"/>
      <c r="AJE156" s="236"/>
      <c r="AJF156" s="236"/>
      <c r="AJG156" s="236"/>
      <c r="AJH156" s="236"/>
      <c r="AJI156" s="236"/>
      <c r="AJJ156" s="236"/>
      <c r="AJK156" s="236"/>
      <c r="AJL156" s="236"/>
      <c r="AJM156" s="236"/>
      <c r="AJN156" s="236"/>
      <c r="AJO156" s="236"/>
      <c r="AJP156" s="236"/>
      <c r="AJQ156" s="236"/>
      <c r="AJR156" s="236"/>
      <c r="AJS156" s="236"/>
      <c r="AJT156" s="236"/>
      <c r="AJU156" s="236"/>
      <c r="AJV156" s="236"/>
      <c r="AJW156" s="236"/>
      <c r="AJX156" s="236"/>
      <c r="AJY156" s="236"/>
      <c r="AJZ156" s="236"/>
      <c r="AKA156" s="236"/>
      <c r="AKB156" s="236"/>
      <c r="AKC156" s="236"/>
      <c r="AKD156" s="236"/>
      <c r="AKE156" s="236"/>
      <c r="AKF156" s="236"/>
      <c r="AKG156" s="236"/>
      <c r="AKH156" s="236"/>
      <c r="AKI156" s="236"/>
      <c r="AKJ156" s="236"/>
      <c r="AKK156" s="236"/>
      <c r="AKL156" s="236"/>
      <c r="AKM156" s="236"/>
      <c r="AKN156" s="236"/>
      <c r="AKO156" s="236"/>
      <c r="AKP156" s="236"/>
      <c r="AKQ156" s="236"/>
      <c r="AKR156" s="236"/>
      <c r="AKS156" s="236"/>
      <c r="AKT156" s="236"/>
      <c r="AKU156" s="236"/>
      <c r="AKV156" s="236"/>
      <c r="AKW156" s="236"/>
      <c r="AKX156" s="236"/>
      <c r="AKY156" s="236"/>
      <c r="AKZ156" s="236"/>
      <c r="ALA156" s="236"/>
      <c r="ALB156" s="236"/>
      <c r="ALC156" s="236"/>
      <c r="ALD156" s="236"/>
      <c r="ALE156" s="236"/>
      <c r="ALF156" s="236"/>
      <c r="ALG156" s="236"/>
      <c r="ALH156" s="236"/>
      <c r="ALI156" s="236"/>
      <c r="ALJ156" s="236"/>
      <c r="ALK156" s="236"/>
      <c r="ALL156" s="236"/>
      <c r="ALM156" s="236"/>
      <c r="ALN156" s="236"/>
      <c r="ALO156" s="236"/>
      <c r="ALP156" s="236"/>
      <c r="ALQ156" s="236"/>
      <c r="ALR156" s="236"/>
      <c r="ALS156" s="236"/>
      <c r="ALT156" s="236"/>
      <c r="ALU156" s="236"/>
      <c r="ALV156" s="236"/>
      <c r="ALW156" s="236"/>
      <c r="ALX156" s="236"/>
      <c r="ALY156" s="236"/>
      <c r="ALZ156" s="236"/>
      <c r="AMA156" s="236"/>
      <c r="AMB156" s="236"/>
      <c r="AMC156" s="236"/>
      <c r="AMD156" s="236"/>
      <c r="AME156" s="236"/>
      <c r="AMF156" s="236"/>
      <c r="AMG156" s="236"/>
      <c r="AMH156" s="236"/>
      <c r="AMI156" s="236"/>
      <c r="AMJ156" s="236"/>
      <c r="AMK156" s="236"/>
      <c r="AML156" s="236"/>
      <c r="AMM156" s="236"/>
      <c r="AMN156" s="236"/>
    </row>
    <row r="157" spans="2:1028" ht="11.25" customHeight="1">
      <c r="B157" s="1386" t="s">
        <v>649</v>
      </c>
      <c r="C157" s="1387"/>
      <c r="D157" s="1387"/>
      <c r="E157" s="1387"/>
      <c r="F157" s="1387"/>
      <c r="G157" s="1387"/>
      <c r="H157" s="1387"/>
      <c r="I157" s="1387"/>
      <c r="J157" s="1387"/>
      <c r="K157" s="1387"/>
      <c r="L157" s="1387"/>
      <c r="M157" s="1388"/>
      <c r="N157" s="275"/>
      <c r="O157" s="280" t="s">
        <v>650</v>
      </c>
      <c r="P157" s="280"/>
      <c r="Q157" s="281"/>
      <c r="R157" s="281"/>
      <c r="S157" s="281"/>
      <c r="T157" s="281"/>
      <c r="U157" s="281"/>
      <c r="V157" s="281"/>
      <c r="W157" s="281"/>
      <c r="X157" s="281"/>
      <c r="Y157" s="282"/>
      <c r="Z157" s="282"/>
      <c r="AA157" s="282"/>
      <c r="AB157" s="281"/>
      <c r="AC157" s="282"/>
      <c r="AD157" s="282"/>
      <c r="AE157" s="281"/>
      <c r="AF157" s="281"/>
      <c r="AG157" s="281"/>
      <c r="AH157" s="281"/>
      <c r="AI157" s="281"/>
      <c r="AJ157" s="281"/>
      <c r="AK157" s="275"/>
      <c r="AL157" s="275"/>
      <c r="AM157" s="275"/>
      <c r="AN157" s="279"/>
      <c r="AO157" s="262"/>
      <c r="AP157" s="262"/>
      <c r="AQ157" s="262"/>
      <c r="AR157" s="262"/>
      <c r="AS157" s="262"/>
      <c r="AT157" s="262"/>
      <c r="AU157" s="262"/>
      <c r="AV157" s="262"/>
      <c r="AW157" s="262"/>
      <c r="AX157" s="262"/>
      <c r="AY157" s="262"/>
      <c r="AZ157" s="236"/>
      <c r="BA157" s="236"/>
      <c r="BB157" s="236"/>
      <c r="BC157" s="236"/>
      <c r="BD157" s="236"/>
      <c r="BE157" s="236"/>
      <c r="BF157" s="236"/>
      <c r="BG157" s="236"/>
      <c r="BH157" s="236"/>
      <c r="BI157" s="236"/>
      <c r="BJ157" s="236"/>
      <c r="BK157" s="236"/>
      <c r="BL157" s="236"/>
      <c r="BM157" s="236"/>
      <c r="BN157" s="236"/>
      <c r="BO157" s="236"/>
      <c r="BP157" s="236"/>
      <c r="BQ157" s="236"/>
      <c r="BR157" s="236"/>
      <c r="BS157" s="236"/>
      <c r="BT157" s="236"/>
      <c r="BU157" s="236"/>
      <c r="BV157" s="236"/>
      <c r="BW157" s="236"/>
      <c r="BX157" s="236"/>
      <c r="BY157" s="236"/>
      <c r="BZ157" s="236"/>
      <c r="CA157" s="236"/>
      <c r="CB157" s="236"/>
      <c r="CC157" s="236"/>
      <c r="CD157" s="236"/>
      <c r="CE157" s="236"/>
      <c r="CF157" s="236"/>
      <c r="CG157" s="236"/>
      <c r="CH157" s="236"/>
      <c r="CI157" s="236"/>
      <c r="CJ157" s="236"/>
      <c r="CK157" s="236"/>
      <c r="CL157" s="236"/>
      <c r="CM157" s="236"/>
      <c r="CN157" s="236"/>
      <c r="CO157" s="236"/>
      <c r="CP157" s="236"/>
      <c r="CQ157" s="236"/>
      <c r="CR157" s="236"/>
      <c r="CS157" s="236"/>
      <c r="CT157" s="236"/>
      <c r="CU157" s="236"/>
      <c r="CV157" s="236"/>
      <c r="CW157" s="236"/>
      <c r="CX157" s="236"/>
      <c r="CY157" s="236"/>
      <c r="CZ157" s="236"/>
      <c r="DA157" s="236"/>
      <c r="DB157" s="236"/>
      <c r="DC157" s="236"/>
      <c r="DD157" s="236"/>
      <c r="DE157" s="236"/>
      <c r="DF157" s="236"/>
      <c r="DG157" s="236"/>
      <c r="DH157" s="236"/>
      <c r="DI157" s="236"/>
      <c r="DJ157" s="236"/>
      <c r="DK157" s="236"/>
      <c r="DL157" s="236"/>
      <c r="DM157" s="236"/>
      <c r="DN157" s="236"/>
      <c r="DO157" s="236"/>
      <c r="DP157" s="236"/>
      <c r="DQ157" s="236"/>
      <c r="DR157" s="236"/>
      <c r="DS157" s="236"/>
      <c r="DT157" s="236"/>
      <c r="DU157" s="236"/>
      <c r="DV157" s="236"/>
      <c r="DW157" s="236"/>
      <c r="DX157" s="236"/>
      <c r="DY157" s="236"/>
      <c r="DZ157" s="236"/>
      <c r="EA157" s="236"/>
      <c r="EB157" s="236"/>
      <c r="EC157" s="236"/>
      <c r="ED157" s="236"/>
      <c r="EE157" s="236"/>
      <c r="EF157" s="236"/>
      <c r="EG157" s="236"/>
      <c r="EH157" s="236"/>
      <c r="EI157" s="236"/>
      <c r="EJ157" s="236"/>
      <c r="EK157" s="236"/>
      <c r="EL157" s="236"/>
      <c r="EM157" s="236"/>
      <c r="EN157" s="236"/>
      <c r="EO157" s="236"/>
      <c r="EP157" s="236"/>
      <c r="EQ157" s="236"/>
      <c r="ER157" s="236"/>
      <c r="ES157" s="236"/>
      <c r="ET157" s="236"/>
      <c r="EU157" s="236"/>
      <c r="EV157" s="236"/>
      <c r="EW157" s="236"/>
      <c r="EX157" s="236"/>
      <c r="EY157" s="236"/>
      <c r="EZ157" s="236"/>
      <c r="FA157" s="236"/>
      <c r="FB157" s="236"/>
      <c r="FC157" s="236"/>
      <c r="FD157" s="236"/>
      <c r="FE157" s="236"/>
      <c r="FF157" s="236"/>
      <c r="FG157" s="236"/>
      <c r="FH157" s="236"/>
      <c r="FI157" s="236"/>
      <c r="FJ157" s="236"/>
      <c r="FK157" s="236"/>
      <c r="FL157" s="236"/>
      <c r="FM157" s="236"/>
      <c r="FN157" s="236"/>
      <c r="FO157" s="236"/>
      <c r="FP157" s="236"/>
      <c r="FQ157" s="236"/>
      <c r="FR157" s="236"/>
      <c r="FS157" s="236"/>
      <c r="FT157" s="236"/>
      <c r="FU157" s="236"/>
      <c r="FV157" s="236"/>
      <c r="FW157" s="236"/>
      <c r="FX157" s="236"/>
      <c r="FY157" s="236"/>
      <c r="FZ157" s="236"/>
      <c r="GA157" s="236"/>
      <c r="GB157" s="236"/>
      <c r="GC157" s="236"/>
      <c r="GD157" s="236"/>
      <c r="GE157" s="236"/>
      <c r="GF157" s="236"/>
      <c r="GG157" s="236"/>
      <c r="GH157" s="236"/>
      <c r="GI157" s="236"/>
      <c r="GJ157" s="236"/>
      <c r="GK157" s="236"/>
      <c r="GL157" s="236"/>
      <c r="GM157" s="236"/>
      <c r="GN157" s="236"/>
      <c r="GO157" s="236"/>
      <c r="GP157" s="236"/>
      <c r="GQ157" s="236"/>
      <c r="GR157" s="236"/>
      <c r="GS157" s="236"/>
      <c r="GT157" s="236"/>
      <c r="GU157" s="236"/>
      <c r="GV157" s="236"/>
      <c r="GW157" s="236"/>
      <c r="GX157" s="236"/>
      <c r="GY157" s="236"/>
      <c r="GZ157" s="236"/>
      <c r="HA157" s="236"/>
      <c r="HB157" s="236"/>
      <c r="HC157" s="236"/>
      <c r="HD157" s="236"/>
      <c r="HE157" s="236"/>
      <c r="HF157" s="236"/>
      <c r="HG157" s="236"/>
      <c r="HH157" s="236"/>
      <c r="HI157" s="236"/>
      <c r="HJ157" s="236"/>
      <c r="HK157" s="236"/>
      <c r="HL157" s="236"/>
      <c r="HM157" s="236"/>
      <c r="HN157" s="236"/>
      <c r="HO157" s="236"/>
      <c r="HP157" s="236"/>
      <c r="HQ157" s="236"/>
      <c r="HR157" s="236"/>
      <c r="HS157" s="236"/>
      <c r="HT157" s="236"/>
      <c r="HU157" s="236"/>
      <c r="HV157" s="236"/>
      <c r="HW157" s="236"/>
      <c r="HX157" s="236"/>
      <c r="HY157" s="236"/>
      <c r="HZ157" s="236"/>
      <c r="IA157" s="236"/>
      <c r="IB157" s="236"/>
      <c r="IC157" s="236"/>
      <c r="ID157" s="236"/>
      <c r="IE157" s="236"/>
      <c r="IF157" s="236"/>
      <c r="IG157" s="236"/>
      <c r="IH157" s="236"/>
      <c r="II157" s="236"/>
      <c r="IJ157" s="236"/>
      <c r="IK157" s="236"/>
      <c r="IL157" s="236"/>
      <c r="IM157" s="236"/>
      <c r="IN157" s="236"/>
      <c r="IO157" s="236"/>
      <c r="IP157" s="236"/>
      <c r="IQ157" s="236"/>
      <c r="IR157" s="236"/>
      <c r="IS157" s="236"/>
      <c r="IT157" s="236"/>
      <c r="IU157" s="236"/>
      <c r="IV157" s="236"/>
      <c r="IW157" s="236"/>
      <c r="IX157" s="236"/>
      <c r="IY157" s="236"/>
      <c r="IZ157" s="236"/>
      <c r="JA157" s="236"/>
      <c r="JB157" s="236"/>
      <c r="JC157" s="236"/>
      <c r="JD157" s="236"/>
      <c r="JE157" s="236"/>
      <c r="JF157" s="236"/>
      <c r="JG157" s="236"/>
      <c r="JH157" s="236"/>
      <c r="JI157" s="236"/>
      <c r="JJ157" s="236"/>
      <c r="JK157" s="236"/>
      <c r="JL157" s="236"/>
      <c r="JM157" s="236"/>
      <c r="JN157" s="236"/>
      <c r="JO157" s="236"/>
      <c r="JP157" s="236"/>
      <c r="JQ157" s="236"/>
      <c r="JR157" s="236"/>
      <c r="JS157" s="236"/>
      <c r="JT157" s="236"/>
      <c r="JU157" s="236"/>
      <c r="JV157" s="236"/>
      <c r="JW157" s="236"/>
      <c r="JX157" s="236"/>
      <c r="JY157" s="236"/>
      <c r="JZ157" s="236"/>
      <c r="KA157" s="236"/>
      <c r="KB157" s="236"/>
      <c r="KC157" s="236"/>
      <c r="KD157" s="236"/>
      <c r="KE157" s="236"/>
      <c r="KF157" s="236"/>
      <c r="KG157" s="236"/>
      <c r="KH157" s="236"/>
      <c r="KI157" s="236"/>
      <c r="KJ157" s="236"/>
      <c r="KK157" s="236"/>
      <c r="KL157" s="236"/>
      <c r="KM157" s="236"/>
      <c r="KN157" s="236"/>
      <c r="KO157" s="236"/>
      <c r="KP157" s="236"/>
      <c r="KQ157" s="236"/>
      <c r="KR157" s="236"/>
      <c r="KS157" s="236"/>
      <c r="KT157" s="236"/>
      <c r="KU157" s="236"/>
      <c r="KV157" s="236"/>
      <c r="KW157" s="236"/>
      <c r="KX157" s="236"/>
      <c r="KY157" s="236"/>
      <c r="KZ157" s="236"/>
      <c r="LA157" s="236"/>
      <c r="LB157" s="236"/>
      <c r="LC157" s="236"/>
      <c r="LD157" s="236"/>
      <c r="LE157" s="236"/>
      <c r="LF157" s="236"/>
      <c r="LG157" s="236"/>
      <c r="LH157" s="236"/>
      <c r="LI157" s="236"/>
      <c r="LJ157" s="236"/>
      <c r="LK157" s="236"/>
      <c r="LL157" s="236"/>
      <c r="LM157" s="236"/>
      <c r="LN157" s="236"/>
      <c r="LO157" s="236"/>
      <c r="LP157" s="236"/>
      <c r="LQ157" s="236"/>
      <c r="LR157" s="236"/>
      <c r="LS157" s="236"/>
      <c r="LT157" s="236"/>
      <c r="LU157" s="236"/>
      <c r="LV157" s="236"/>
      <c r="LW157" s="236"/>
      <c r="LX157" s="236"/>
      <c r="LY157" s="236"/>
      <c r="LZ157" s="236"/>
      <c r="MA157" s="236"/>
      <c r="MB157" s="236"/>
      <c r="MC157" s="236"/>
      <c r="MD157" s="236"/>
      <c r="ME157" s="236"/>
      <c r="MF157" s="236"/>
      <c r="MG157" s="236"/>
      <c r="MH157" s="236"/>
      <c r="MI157" s="236"/>
      <c r="MJ157" s="236"/>
      <c r="MK157" s="236"/>
      <c r="ML157" s="236"/>
      <c r="MM157" s="236"/>
      <c r="MN157" s="236"/>
      <c r="MO157" s="236"/>
      <c r="MP157" s="236"/>
      <c r="MQ157" s="236"/>
      <c r="MR157" s="236"/>
      <c r="MS157" s="236"/>
      <c r="MT157" s="236"/>
      <c r="MU157" s="236"/>
      <c r="MV157" s="236"/>
      <c r="MW157" s="236"/>
      <c r="MX157" s="236"/>
      <c r="MY157" s="236"/>
      <c r="MZ157" s="236"/>
      <c r="NA157" s="236"/>
      <c r="NB157" s="236"/>
      <c r="NC157" s="236"/>
      <c r="ND157" s="236"/>
      <c r="NE157" s="236"/>
      <c r="NF157" s="236"/>
      <c r="NG157" s="236"/>
      <c r="NH157" s="236"/>
      <c r="NI157" s="236"/>
      <c r="NJ157" s="236"/>
      <c r="NK157" s="236"/>
      <c r="NL157" s="236"/>
      <c r="NM157" s="236"/>
      <c r="NN157" s="236"/>
      <c r="NO157" s="236"/>
      <c r="NP157" s="236"/>
      <c r="NQ157" s="236"/>
      <c r="NR157" s="236"/>
      <c r="NS157" s="236"/>
      <c r="NT157" s="236"/>
      <c r="NU157" s="236"/>
      <c r="NV157" s="236"/>
      <c r="NW157" s="236"/>
      <c r="NX157" s="236"/>
      <c r="NY157" s="236"/>
      <c r="NZ157" s="236"/>
      <c r="OA157" s="236"/>
      <c r="OB157" s="236"/>
      <c r="OC157" s="236"/>
      <c r="OD157" s="236"/>
      <c r="OE157" s="236"/>
      <c r="OF157" s="236"/>
      <c r="OG157" s="236"/>
      <c r="OH157" s="236"/>
      <c r="OI157" s="236"/>
      <c r="OJ157" s="236"/>
      <c r="OK157" s="236"/>
      <c r="OL157" s="236"/>
      <c r="OM157" s="236"/>
      <c r="ON157" s="236"/>
      <c r="OO157" s="236"/>
      <c r="OP157" s="236"/>
      <c r="OQ157" s="236"/>
      <c r="OR157" s="236"/>
      <c r="OS157" s="236"/>
      <c r="OT157" s="236"/>
      <c r="OU157" s="236"/>
      <c r="OV157" s="236"/>
      <c r="OW157" s="236"/>
      <c r="OX157" s="236"/>
      <c r="OY157" s="236"/>
      <c r="OZ157" s="236"/>
      <c r="PA157" s="236"/>
      <c r="PB157" s="236"/>
      <c r="PC157" s="236"/>
      <c r="PD157" s="236"/>
      <c r="PE157" s="236"/>
      <c r="PF157" s="236"/>
      <c r="PG157" s="236"/>
      <c r="PH157" s="236"/>
      <c r="PI157" s="236"/>
      <c r="PJ157" s="236"/>
      <c r="PK157" s="236"/>
      <c r="PL157" s="236"/>
      <c r="PM157" s="236"/>
      <c r="PN157" s="236"/>
      <c r="PO157" s="236"/>
      <c r="PP157" s="236"/>
      <c r="PQ157" s="236"/>
      <c r="PR157" s="236"/>
      <c r="PS157" s="236"/>
      <c r="PT157" s="236"/>
      <c r="PU157" s="236"/>
      <c r="PV157" s="236"/>
      <c r="PW157" s="236"/>
      <c r="PX157" s="236"/>
      <c r="PY157" s="236"/>
      <c r="PZ157" s="236"/>
      <c r="QA157" s="236"/>
      <c r="QB157" s="236"/>
      <c r="QC157" s="236"/>
      <c r="QD157" s="236"/>
      <c r="QE157" s="236"/>
      <c r="QF157" s="236"/>
      <c r="QG157" s="236"/>
      <c r="QH157" s="236"/>
      <c r="QI157" s="236"/>
      <c r="QJ157" s="236"/>
      <c r="QK157" s="236"/>
      <c r="QL157" s="236"/>
      <c r="QM157" s="236"/>
      <c r="QN157" s="236"/>
      <c r="QO157" s="236"/>
      <c r="QP157" s="236"/>
      <c r="QQ157" s="236"/>
      <c r="QR157" s="236"/>
      <c r="QS157" s="236"/>
      <c r="QT157" s="236"/>
      <c r="QU157" s="236"/>
      <c r="QV157" s="236"/>
      <c r="QW157" s="236"/>
      <c r="QX157" s="236"/>
      <c r="QY157" s="236"/>
      <c r="QZ157" s="236"/>
      <c r="RA157" s="236"/>
      <c r="RB157" s="236"/>
      <c r="RC157" s="236"/>
      <c r="RD157" s="236"/>
      <c r="RE157" s="236"/>
      <c r="RF157" s="236"/>
      <c r="RG157" s="236"/>
      <c r="RH157" s="236"/>
      <c r="RI157" s="236"/>
      <c r="RJ157" s="236"/>
      <c r="RK157" s="236"/>
      <c r="RL157" s="236"/>
      <c r="RM157" s="236"/>
      <c r="RN157" s="236"/>
      <c r="RO157" s="236"/>
      <c r="RP157" s="236"/>
      <c r="RQ157" s="236"/>
      <c r="RR157" s="236"/>
      <c r="RS157" s="236"/>
      <c r="RT157" s="236"/>
      <c r="RU157" s="236"/>
      <c r="RV157" s="236"/>
      <c r="RW157" s="236"/>
      <c r="RX157" s="236"/>
      <c r="RY157" s="236"/>
      <c r="RZ157" s="236"/>
      <c r="SA157" s="236"/>
      <c r="SB157" s="236"/>
      <c r="SC157" s="236"/>
      <c r="SD157" s="236"/>
      <c r="SE157" s="236"/>
      <c r="SF157" s="236"/>
      <c r="SG157" s="236"/>
      <c r="SH157" s="236"/>
      <c r="SI157" s="236"/>
      <c r="SJ157" s="236"/>
      <c r="SK157" s="236"/>
      <c r="SL157" s="236"/>
      <c r="SM157" s="236"/>
      <c r="SN157" s="236"/>
      <c r="SO157" s="236"/>
      <c r="SP157" s="236"/>
      <c r="SQ157" s="236"/>
      <c r="SR157" s="236"/>
      <c r="SS157" s="236"/>
      <c r="ST157" s="236"/>
      <c r="SU157" s="236"/>
      <c r="SV157" s="236"/>
      <c r="SW157" s="236"/>
      <c r="SX157" s="236"/>
      <c r="SY157" s="236"/>
      <c r="SZ157" s="236"/>
      <c r="TA157" s="236"/>
      <c r="TB157" s="236"/>
      <c r="TC157" s="236"/>
      <c r="TD157" s="236"/>
      <c r="TE157" s="236"/>
      <c r="TF157" s="236"/>
      <c r="TG157" s="236"/>
      <c r="TH157" s="236"/>
      <c r="TI157" s="236"/>
      <c r="TJ157" s="236"/>
      <c r="TK157" s="236"/>
      <c r="TL157" s="236"/>
      <c r="TM157" s="236"/>
      <c r="TN157" s="236"/>
      <c r="TO157" s="236"/>
      <c r="TP157" s="236"/>
      <c r="TQ157" s="236"/>
      <c r="TR157" s="236"/>
      <c r="TS157" s="236"/>
      <c r="TT157" s="236"/>
      <c r="TU157" s="236"/>
      <c r="TV157" s="236"/>
      <c r="TW157" s="236"/>
      <c r="TX157" s="236"/>
      <c r="TY157" s="236"/>
      <c r="TZ157" s="236"/>
      <c r="UA157" s="236"/>
      <c r="UB157" s="236"/>
      <c r="UC157" s="236"/>
      <c r="UD157" s="236"/>
      <c r="UE157" s="236"/>
      <c r="UF157" s="236"/>
      <c r="UG157" s="236"/>
      <c r="UH157" s="236"/>
      <c r="UI157" s="236"/>
      <c r="UJ157" s="236"/>
      <c r="UK157" s="236"/>
      <c r="UL157" s="236"/>
      <c r="UM157" s="236"/>
      <c r="UN157" s="236"/>
      <c r="UO157" s="236"/>
      <c r="UP157" s="236"/>
      <c r="UQ157" s="236"/>
      <c r="UR157" s="236"/>
      <c r="US157" s="236"/>
      <c r="UT157" s="236"/>
      <c r="UU157" s="236"/>
      <c r="UV157" s="236"/>
      <c r="UW157" s="236"/>
      <c r="UX157" s="236"/>
      <c r="UY157" s="236"/>
      <c r="UZ157" s="236"/>
      <c r="VA157" s="236"/>
      <c r="VB157" s="236"/>
      <c r="VC157" s="236"/>
      <c r="VD157" s="236"/>
      <c r="VE157" s="236"/>
      <c r="VF157" s="236"/>
      <c r="VG157" s="236"/>
      <c r="VH157" s="236"/>
      <c r="VI157" s="236"/>
      <c r="VJ157" s="236"/>
      <c r="VK157" s="236"/>
      <c r="VL157" s="236"/>
      <c r="VM157" s="236"/>
      <c r="VN157" s="236"/>
      <c r="VO157" s="236"/>
      <c r="VP157" s="236"/>
      <c r="VQ157" s="236"/>
      <c r="VR157" s="236"/>
      <c r="VS157" s="236"/>
      <c r="VT157" s="236"/>
      <c r="VU157" s="236"/>
      <c r="VV157" s="236"/>
      <c r="VW157" s="236"/>
      <c r="VX157" s="236"/>
      <c r="VY157" s="236"/>
      <c r="VZ157" s="236"/>
      <c r="WA157" s="236"/>
      <c r="WB157" s="236"/>
      <c r="WC157" s="236"/>
      <c r="WD157" s="236"/>
      <c r="WE157" s="236"/>
      <c r="WF157" s="236"/>
      <c r="WG157" s="236"/>
      <c r="WH157" s="236"/>
      <c r="WI157" s="236"/>
      <c r="WJ157" s="236"/>
      <c r="WK157" s="236"/>
      <c r="WL157" s="236"/>
      <c r="WM157" s="236"/>
      <c r="WN157" s="236"/>
      <c r="WO157" s="236"/>
      <c r="WP157" s="236"/>
      <c r="WQ157" s="236"/>
      <c r="WR157" s="236"/>
      <c r="WS157" s="236"/>
      <c r="WT157" s="236"/>
      <c r="WU157" s="236"/>
      <c r="WV157" s="236"/>
      <c r="WW157" s="236"/>
      <c r="WX157" s="236"/>
      <c r="WY157" s="236"/>
      <c r="WZ157" s="236"/>
      <c r="XA157" s="236"/>
      <c r="XB157" s="236"/>
      <c r="XC157" s="236"/>
      <c r="XD157" s="236"/>
      <c r="XE157" s="236"/>
      <c r="XF157" s="236"/>
      <c r="XG157" s="236"/>
      <c r="XH157" s="236"/>
      <c r="XI157" s="236"/>
      <c r="XJ157" s="236"/>
      <c r="XK157" s="236"/>
      <c r="XL157" s="236"/>
      <c r="XM157" s="236"/>
      <c r="XN157" s="236"/>
      <c r="XO157" s="236"/>
      <c r="XP157" s="236"/>
      <c r="XQ157" s="236"/>
      <c r="XR157" s="236"/>
      <c r="XS157" s="236"/>
      <c r="XT157" s="236"/>
      <c r="XU157" s="236"/>
      <c r="XV157" s="236"/>
      <c r="XW157" s="236"/>
      <c r="XX157" s="236"/>
      <c r="XY157" s="236"/>
      <c r="XZ157" s="236"/>
      <c r="YA157" s="236"/>
      <c r="YB157" s="236"/>
      <c r="YC157" s="236"/>
      <c r="YD157" s="236"/>
      <c r="YE157" s="236"/>
      <c r="YF157" s="236"/>
      <c r="YG157" s="236"/>
      <c r="YH157" s="236"/>
      <c r="YI157" s="236"/>
      <c r="YJ157" s="236"/>
      <c r="YK157" s="236"/>
      <c r="YL157" s="236"/>
      <c r="YM157" s="236"/>
      <c r="YN157" s="236"/>
      <c r="YO157" s="236"/>
      <c r="YP157" s="236"/>
      <c r="YQ157" s="236"/>
      <c r="YR157" s="236"/>
      <c r="YS157" s="236"/>
      <c r="YT157" s="236"/>
      <c r="YU157" s="236"/>
      <c r="YV157" s="236"/>
      <c r="YW157" s="236"/>
      <c r="YX157" s="236"/>
      <c r="YY157" s="236"/>
      <c r="YZ157" s="236"/>
      <c r="ZA157" s="236"/>
      <c r="ZB157" s="236"/>
      <c r="ZC157" s="236"/>
      <c r="ZD157" s="236"/>
      <c r="ZE157" s="236"/>
      <c r="ZF157" s="236"/>
      <c r="ZG157" s="236"/>
      <c r="ZH157" s="236"/>
      <c r="ZI157" s="236"/>
      <c r="ZJ157" s="236"/>
      <c r="ZK157" s="236"/>
      <c r="ZL157" s="236"/>
      <c r="ZM157" s="236"/>
      <c r="ZN157" s="236"/>
      <c r="ZO157" s="236"/>
      <c r="ZP157" s="236"/>
      <c r="ZQ157" s="236"/>
      <c r="ZR157" s="236"/>
      <c r="ZS157" s="236"/>
      <c r="ZT157" s="236"/>
      <c r="ZU157" s="236"/>
      <c r="ZV157" s="236"/>
      <c r="ZW157" s="236"/>
      <c r="ZX157" s="236"/>
      <c r="ZY157" s="236"/>
      <c r="ZZ157" s="236"/>
      <c r="AAA157" s="236"/>
      <c r="AAB157" s="236"/>
      <c r="AAC157" s="236"/>
      <c r="AAD157" s="236"/>
      <c r="AAE157" s="236"/>
      <c r="AAF157" s="236"/>
      <c r="AAG157" s="236"/>
      <c r="AAH157" s="236"/>
      <c r="AAI157" s="236"/>
      <c r="AAJ157" s="236"/>
      <c r="AAK157" s="236"/>
      <c r="AAL157" s="236"/>
      <c r="AAM157" s="236"/>
      <c r="AAN157" s="236"/>
      <c r="AAO157" s="236"/>
      <c r="AAP157" s="236"/>
      <c r="AAQ157" s="236"/>
      <c r="AAR157" s="236"/>
      <c r="AAS157" s="236"/>
      <c r="AAT157" s="236"/>
      <c r="AAU157" s="236"/>
      <c r="AAV157" s="236"/>
      <c r="AAW157" s="236"/>
      <c r="AAX157" s="236"/>
      <c r="AAY157" s="236"/>
      <c r="AAZ157" s="236"/>
      <c r="ABA157" s="236"/>
      <c r="ABB157" s="236"/>
      <c r="ABC157" s="236"/>
      <c r="ABD157" s="236"/>
      <c r="ABE157" s="236"/>
      <c r="ABF157" s="236"/>
      <c r="ABG157" s="236"/>
      <c r="ABH157" s="236"/>
      <c r="ABI157" s="236"/>
      <c r="ABJ157" s="236"/>
      <c r="ABK157" s="236"/>
      <c r="ABL157" s="236"/>
      <c r="ABM157" s="236"/>
      <c r="ABN157" s="236"/>
      <c r="ABO157" s="236"/>
      <c r="ABP157" s="236"/>
      <c r="ABQ157" s="236"/>
      <c r="ABR157" s="236"/>
      <c r="ABS157" s="236"/>
      <c r="ABT157" s="236"/>
      <c r="ABU157" s="236"/>
      <c r="ABV157" s="236"/>
      <c r="ABW157" s="236"/>
      <c r="ABX157" s="236"/>
      <c r="ABY157" s="236"/>
      <c r="ABZ157" s="236"/>
      <c r="ACA157" s="236"/>
      <c r="ACB157" s="236"/>
      <c r="ACC157" s="236"/>
      <c r="ACD157" s="236"/>
      <c r="ACE157" s="236"/>
      <c r="ACF157" s="236"/>
      <c r="ACG157" s="236"/>
      <c r="ACH157" s="236"/>
      <c r="ACI157" s="236"/>
      <c r="ACJ157" s="236"/>
      <c r="ACK157" s="236"/>
      <c r="ACL157" s="236"/>
      <c r="ACM157" s="236"/>
      <c r="ACN157" s="236"/>
      <c r="ACO157" s="236"/>
      <c r="ACP157" s="236"/>
      <c r="ACQ157" s="236"/>
      <c r="ACR157" s="236"/>
      <c r="ACS157" s="236"/>
      <c r="ACT157" s="236"/>
      <c r="ACU157" s="236"/>
      <c r="ACV157" s="236"/>
      <c r="ACW157" s="236"/>
      <c r="ACX157" s="236"/>
      <c r="ACY157" s="236"/>
      <c r="ACZ157" s="236"/>
      <c r="ADA157" s="236"/>
      <c r="ADB157" s="236"/>
      <c r="ADC157" s="236"/>
      <c r="ADD157" s="236"/>
      <c r="ADE157" s="236"/>
      <c r="ADF157" s="236"/>
      <c r="ADG157" s="236"/>
      <c r="ADH157" s="236"/>
      <c r="ADI157" s="236"/>
      <c r="ADJ157" s="236"/>
      <c r="ADK157" s="236"/>
      <c r="ADL157" s="236"/>
      <c r="ADM157" s="236"/>
      <c r="ADN157" s="236"/>
      <c r="ADO157" s="236"/>
      <c r="ADP157" s="236"/>
      <c r="ADQ157" s="236"/>
      <c r="ADR157" s="236"/>
      <c r="ADS157" s="236"/>
      <c r="ADT157" s="236"/>
      <c r="ADU157" s="236"/>
      <c r="ADV157" s="236"/>
      <c r="ADW157" s="236"/>
      <c r="ADX157" s="236"/>
      <c r="ADY157" s="236"/>
      <c r="ADZ157" s="236"/>
      <c r="AEA157" s="236"/>
      <c r="AEB157" s="236"/>
      <c r="AEC157" s="236"/>
      <c r="AED157" s="236"/>
      <c r="AEE157" s="236"/>
      <c r="AEF157" s="236"/>
      <c r="AEG157" s="236"/>
      <c r="AEH157" s="236"/>
      <c r="AEI157" s="236"/>
      <c r="AEJ157" s="236"/>
      <c r="AEK157" s="236"/>
      <c r="AEL157" s="236"/>
      <c r="AEM157" s="236"/>
      <c r="AEN157" s="236"/>
      <c r="AEO157" s="236"/>
      <c r="AEP157" s="236"/>
      <c r="AEQ157" s="236"/>
      <c r="AER157" s="236"/>
      <c r="AES157" s="236"/>
      <c r="AET157" s="236"/>
      <c r="AEU157" s="236"/>
      <c r="AEV157" s="236"/>
      <c r="AEW157" s="236"/>
      <c r="AEX157" s="236"/>
      <c r="AEY157" s="236"/>
      <c r="AEZ157" s="236"/>
      <c r="AFA157" s="236"/>
      <c r="AFB157" s="236"/>
      <c r="AFC157" s="236"/>
      <c r="AFD157" s="236"/>
      <c r="AFE157" s="236"/>
      <c r="AFF157" s="236"/>
      <c r="AFG157" s="236"/>
      <c r="AFH157" s="236"/>
      <c r="AFI157" s="236"/>
      <c r="AFJ157" s="236"/>
      <c r="AFK157" s="236"/>
      <c r="AFL157" s="236"/>
      <c r="AFM157" s="236"/>
      <c r="AFN157" s="236"/>
      <c r="AFO157" s="236"/>
      <c r="AFP157" s="236"/>
      <c r="AFQ157" s="236"/>
      <c r="AFR157" s="236"/>
      <c r="AFS157" s="236"/>
      <c r="AFT157" s="236"/>
      <c r="AFU157" s="236"/>
      <c r="AFV157" s="236"/>
      <c r="AFW157" s="236"/>
      <c r="AFX157" s="236"/>
      <c r="AFY157" s="236"/>
      <c r="AFZ157" s="236"/>
      <c r="AGA157" s="236"/>
      <c r="AGB157" s="236"/>
      <c r="AGC157" s="236"/>
      <c r="AGD157" s="236"/>
      <c r="AGE157" s="236"/>
      <c r="AGF157" s="236"/>
      <c r="AGG157" s="236"/>
      <c r="AGH157" s="236"/>
      <c r="AGI157" s="236"/>
      <c r="AGJ157" s="236"/>
      <c r="AGK157" s="236"/>
      <c r="AGL157" s="236"/>
      <c r="AGM157" s="236"/>
      <c r="AGN157" s="236"/>
      <c r="AGO157" s="236"/>
      <c r="AGP157" s="236"/>
      <c r="AGQ157" s="236"/>
      <c r="AGR157" s="236"/>
      <c r="AGS157" s="236"/>
      <c r="AGT157" s="236"/>
      <c r="AGU157" s="236"/>
      <c r="AGV157" s="236"/>
      <c r="AGW157" s="236"/>
      <c r="AGX157" s="236"/>
      <c r="AGY157" s="236"/>
      <c r="AGZ157" s="236"/>
      <c r="AHA157" s="236"/>
      <c r="AHB157" s="236"/>
      <c r="AHC157" s="236"/>
      <c r="AHD157" s="236"/>
      <c r="AHE157" s="236"/>
      <c r="AHF157" s="236"/>
      <c r="AHG157" s="236"/>
      <c r="AHH157" s="236"/>
      <c r="AHI157" s="236"/>
      <c r="AHJ157" s="236"/>
      <c r="AHK157" s="236"/>
      <c r="AHL157" s="236"/>
      <c r="AHM157" s="236"/>
      <c r="AHN157" s="236"/>
      <c r="AHO157" s="236"/>
      <c r="AHP157" s="236"/>
      <c r="AHQ157" s="236"/>
      <c r="AHR157" s="236"/>
      <c r="AHS157" s="236"/>
      <c r="AHT157" s="236"/>
      <c r="AHU157" s="236"/>
      <c r="AHV157" s="236"/>
      <c r="AHW157" s="236"/>
      <c r="AHX157" s="236"/>
      <c r="AHY157" s="236"/>
      <c r="AHZ157" s="236"/>
      <c r="AIA157" s="236"/>
      <c r="AIB157" s="236"/>
      <c r="AIC157" s="236"/>
      <c r="AID157" s="236"/>
      <c r="AIE157" s="236"/>
      <c r="AIF157" s="236"/>
      <c r="AIG157" s="236"/>
      <c r="AIH157" s="236"/>
      <c r="AII157" s="236"/>
      <c r="AIJ157" s="236"/>
      <c r="AIK157" s="236"/>
      <c r="AIL157" s="236"/>
      <c r="AIM157" s="236"/>
      <c r="AIN157" s="236"/>
      <c r="AIO157" s="236"/>
      <c r="AIP157" s="236"/>
      <c r="AIQ157" s="236"/>
      <c r="AIR157" s="236"/>
      <c r="AIS157" s="236"/>
      <c r="AIT157" s="236"/>
      <c r="AIU157" s="236"/>
      <c r="AIV157" s="236"/>
      <c r="AIW157" s="236"/>
      <c r="AIX157" s="236"/>
      <c r="AIY157" s="236"/>
      <c r="AIZ157" s="236"/>
      <c r="AJA157" s="236"/>
      <c r="AJB157" s="236"/>
      <c r="AJC157" s="236"/>
      <c r="AJD157" s="236"/>
      <c r="AJE157" s="236"/>
      <c r="AJF157" s="236"/>
      <c r="AJG157" s="236"/>
      <c r="AJH157" s="236"/>
      <c r="AJI157" s="236"/>
      <c r="AJJ157" s="236"/>
      <c r="AJK157" s="236"/>
      <c r="AJL157" s="236"/>
      <c r="AJM157" s="236"/>
      <c r="AJN157" s="236"/>
      <c r="AJO157" s="236"/>
      <c r="AJP157" s="236"/>
      <c r="AJQ157" s="236"/>
      <c r="AJR157" s="236"/>
      <c r="AJS157" s="236"/>
      <c r="AJT157" s="236"/>
      <c r="AJU157" s="236"/>
      <c r="AJV157" s="236"/>
      <c r="AJW157" s="236"/>
      <c r="AJX157" s="236"/>
      <c r="AJY157" s="236"/>
      <c r="AJZ157" s="236"/>
      <c r="AKA157" s="236"/>
      <c r="AKB157" s="236"/>
      <c r="AKC157" s="236"/>
      <c r="AKD157" s="236"/>
      <c r="AKE157" s="236"/>
      <c r="AKF157" s="236"/>
      <c r="AKG157" s="236"/>
      <c r="AKH157" s="236"/>
      <c r="AKI157" s="236"/>
      <c r="AKJ157" s="236"/>
      <c r="AKK157" s="236"/>
      <c r="AKL157" s="236"/>
      <c r="AKM157" s="236"/>
      <c r="AKN157" s="236"/>
      <c r="AKO157" s="236"/>
      <c r="AKP157" s="236"/>
      <c r="AKQ157" s="236"/>
      <c r="AKR157" s="236"/>
      <c r="AKS157" s="236"/>
      <c r="AKT157" s="236"/>
      <c r="AKU157" s="236"/>
      <c r="AKV157" s="236"/>
      <c r="AKW157" s="236"/>
      <c r="AKX157" s="236"/>
      <c r="AKY157" s="236"/>
      <c r="AKZ157" s="236"/>
      <c r="ALA157" s="236"/>
      <c r="ALB157" s="236"/>
      <c r="ALC157" s="236"/>
      <c r="ALD157" s="236"/>
      <c r="ALE157" s="236"/>
      <c r="ALF157" s="236"/>
      <c r="ALG157" s="236"/>
      <c r="ALH157" s="236"/>
      <c r="ALI157" s="236"/>
      <c r="ALJ157" s="236"/>
      <c r="ALK157" s="236"/>
      <c r="ALL157" s="236"/>
      <c r="ALM157" s="236"/>
      <c r="ALN157" s="236"/>
      <c r="ALO157" s="236"/>
      <c r="ALP157" s="236"/>
      <c r="ALQ157" s="236"/>
      <c r="ALR157" s="236"/>
      <c r="ALS157" s="236"/>
      <c r="ALT157" s="236"/>
      <c r="ALU157" s="236"/>
      <c r="ALV157" s="236"/>
      <c r="ALW157" s="236"/>
      <c r="ALX157" s="236"/>
      <c r="ALY157" s="236"/>
      <c r="ALZ157" s="236"/>
      <c r="AMA157" s="236"/>
      <c r="AMB157" s="236"/>
      <c r="AMC157" s="236"/>
      <c r="AMD157" s="236"/>
      <c r="AME157" s="236"/>
      <c r="AMF157" s="236"/>
      <c r="AMG157" s="236"/>
      <c r="AMH157" s="236"/>
      <c r="AMI157" s="236"/>
      <c r="AMJ157" s="236"/>
      <c r="AMK157" s="236"/>
      <c r="AML157" s="236"/>
      <c r="AMM157" s="236"/>
      <c r="AMN157" s="236"/>
    </row>
    <row r="158" spans="2:1028">
      <c r="B158" s="1418"/>
      <c r="C158" s="1419"/>
      <c r="D158" s="1419"/>
      <c r="E158" s="1419"/>
      <c r="F158" s="1419"/>
      <c r="G158" s="1419"/>
      <c r="H158" s="1419"/>
      <c r="I158" s="1419"/>
      <c r="J158" s="1419"/>
      <c r="K158" s="1419"/>
      <c r="L158" s="1419"/>
      <c r="M158" s="1420"/>
      <c r="N158" s="283"/>
      <c r="O158" s="1392" t="s">
        <v>278</v>
      </c>
      <c r="P158" s="1393"/>
      <c r="Q158" s="1393"/>
      <c r="R158" s="1393"/>
      <c r="S158" s="1394"/>
      <c r="T158" s="284"/>
      <c r="U158" s="284"/>
      <c r="V158" s="284"/>
      <c r="W158" s="1392" t="s">
        <v>170</v>
      </c>
      <c r="X158" s="1393"/>
      <c r="Y158" s="1393"/>
      <c r="Z158" s="1393"/>
      <c r="AA158" s="1394"/>
      <c r="AB158" s="1065"/>
      <c r="AC158" s="1392" t="s">
        <v>171</v>
      </c>
      <c r="AD158" s="1394"/>
      <c r="AE158" s="1392" t="s">
        <v>172</v>
      </c>
      <c r="AF158" s="1393"/>
      <c r="AG158" s="1393"/>
      <c r="AH158" s="1393"/>
      <c r="AI158" s="1393"/>
      <c r="AJ158" s="1393"/>
      <c r="AK158" s="1393"/>
      <c r="AL158" s="1393"/>
      <c r="AM158" s="1393"/>
      <c r="AN158" s="1393"/>
      <c r="AO158" s="1394"/>
      <c r="AP158" s="262"/>
      <c r="AQ158" s="262"/>
      <c r="AR158" s="262"/>
      <c r="AS158" s="262"/>
      <c r="AT158" s="262"/>
      <c r="AU158" s="262"/>
      <c r="AV158" s="262"/>
      <c r="AW158" s="262"/>
      <c r="AX158" s="262"/>
      <c r="AY158" s="262"/>
      <c r="AZ158" s="236"/>
      <c r="BA158" s="236"/>
      <c r="BB158" s="236"/>
      <c r="BC158" s="236"/>
      <c r="BD158" s="236"/>
      <c r="BE158" s="236"/>
      <c r="BF158" s="236"/>
      <c r="BG158" s="236"/>
      <c r="BH158" s="236"/>
      <c r="BI158" s="236"/>
      <c r="BJ158" s="236"/>
      <c r="BK158" s="236"/>
      <c r="BL158" s="236"/>
      <c r="BM158" s="236"/>
      <c r="BN158" s="236"/>
      <c r="BO158" s="236"/>
      <c r="BP158" s="236"/>
      <c r="BQ158" s="236"/>
      <c r="BR158" s="236"/>
      <c r="BS158" s="236"/>
      <c r="BT158" s="236"/>
      <c r="BU158" s="236"/>
      <c r="BV158" s="236"/>
      <c r="BW158" s="236"/>
      <c r="BX158" s="236"/>
      <c r="BY158" s="236"/>
      <c r="BZ158" s="236"/>
      <c r="CA158" s="236"/>
      <c r="CB158" s="236"/>
      <c r="CC158" s="236"/>
      <c r="CD158" s="236"/>
      <c r="CE158" s="236"/>
      <c r="CF158" s="236"/>
      <c r="CG158" s="236"/>
      <c r="CH158" s="236"/>
      <c r="CI158" s="236"/>
      <c r="CJ158" s="236"/>
      <c r="CK158" s="236"/>
      <c r="CL158" s="236"/>
      <c r="CM158" s="236"/>
      <c r="CN158" s="236"/>
      <c r="CO158" s="236"/>
      <c r="CP158" s="236"/>
      <c r="CQ158" s="236"/>
      <c r="CR158" s="236"/>
      <c r="CS158" s="236"/>
      <c r="CT158" s="236"/>
      <c r="CU158" s="236"/>
      <c r="CV158" s="236"/>
      <c r="CW158" s="236"/>
      <c r="CX158" s="236"/>
      <c r="CY158" s="236"/>
      <c r="CZ158" s="236"/>
      <c r="DA158" s="236"/>
      <c r="DB158" s="236"/>
      <c r="DC158" s="236"/>
      <c r="DD158" s="236"/>
      <c r="DE158" s="236"/>
      <c r="DF158" s="236"/>
      <c r="DG158" s="236"/>
      <c r="DH158" s="236"/>
      <c r="DI158" s="236"/>
      <c r="DJ158" s="236"/>
      <c r="DK158" s="236"/>
      <c r="DL158" s="236"/>
      <c r="DM158" s="236"/>
      <c r="DN158" s="236"/>
      <c r="DO158" s="236"/>
      <c r="DP158" s="236"/>
      <c r="DQ158" s="236"/>
      <c r="DR158" s="236"/>
      <c r="DS158" s="236"/>
      <c r="DT158" s="236"/>
      <c r="DU158" s="236"/>
      <c r="DV158" s="236"/>
      <c r="DW158" s="236"/>
      <c r="DX158" s="236"/>
      <c r="DY158" s="236"/>
      <c r="DZ158" s="236"/>
      <c r="EA158" s="236"/>
      <c r="EB158" s="236"/>
      <c r="EC158" s="236"/>
      <c r="ED158" s="236"/>
      <c r="EE158" s="236"/>
      <c r="EF158" s="236"/>
      <c r="EG158" s="236"/>
      <c r="EH158" s="236"/>
      <c r="EI158" s="236"/>
      <c r="EJ158" s="236"/>
      <c r="EK158" s="236"/>
      <c r="EL158" s="236"/>
      <c r="EM158" s="236"/>
      <c r="EN158" s="236"/>
      <c r="EO158" s="236"/>
      <c r="EP158" s="236"/>
      <c r="EQ158" s="236"/>
      <c r="ER158" s="236"/>
      <c r="ES158" s="236"/>
      <c r="ET158" s="236"/>
      <c r="EU158" s="236"/>
      <c r="EV158" s="236"/>
      <c r="EW158" s="236"/>
      <c r="EX158" s="236"/>
      <c r="EY158" s="236"/>
      <c r="EZ158" s="236"/>
      <c r="FA158" s="236"/>
      <c r="FB158" s="236"/>
      <c r="FC158" s="236"/>
      <c r="FD158" s="236"/>
      <c r="FE158" s="236"/>
      <c r="FF158" s="236"/>
      <c r="FG158" s="236"/>
      <c r="FH158" s="236"/>
      <c r="FI158" s="236"/>
      <c r="FJ158" s="236"/>
      <c r="FK158" s="236"/>
      <c r="FL158" s="236"/>
      <c r="FM158" s="236"/>
      <c r="FN158" s="236"/>
      <c r="FO158" s="236"/>
      <c r="FP158" s="236"/>
      <c r="FQ158" s="236"/>
      <c r="FR158" s="236"/>
      <c r="FS158" s="236"/>
      <c r="FT158" s="236"/>
      <c r="FU158" s="236"/>
      <c r="FV158" s="236"/>
      <c r="FW158" s="236"/>
      <c r="FX158" s="236"/>
      <c r="FY158" s="236"/>
      <c r="FZ158" s="236"/>
      <c r="GA158" s="236"/>
      <c r="GB158" s="236"/>
      <c r="GC158" s="236"/>
      <c r="GD158" s="236"/>
      <c r="GE158" s="236"/>
      <c r="GF158" s="236"/>
      <c r="GG158" s="236"/>
      <c r="GH158" s="236"/>
      <c r="GI158" s="236"/>
      <c r="GJ158" s="236"/>
      <c r="GK158" s="236"/>
      <c r="GL158" s="236"/>
      <c r="GM158" s="236"/>
      <c r="GN158" s="236"/>
      <c r="GO158" s="236"/>
      <c r="GP158" s="236"/>
      <c r="GQ158" s="236"/>
      <c r="GR158" s="236"/>
      <c r="GS158" s="236"/>
      <c r="GT158" s="236"/>
      <c r="GU158" s="236"/>
      <c r="GV158" s="236"/>
      <c r="GW158" s="236"/>
      <c r="GX158" s="236"/>
      <c r="GY158" s="236"/>
      <c r="GZ158" s="236"/>
      <c r="HA158" s="236"/>
      <c r="HB158" s="236"/>
      <c r="HC158" s="236"/>
      <c r="HD158" s="236"/>
      <c r="HE158" s="236"/>
      <c r="HF158" s="236"/>
      <c r="HG158" s="236"/>
      <c r="HH158" s="236"/>
      <c r="HI158" s="236"/>
      <c r="HJ158" s="236"/>
      <c r="HK158" s="236"/>
      <c r="HL158" s="236"/>
      <c r="HM158" s="236"/>
      <c r="HN158" s="236"/>
      <c r="HO158" s="236"/>
      <c r="HP158" s="236"/>
      <c r="HQ158" s="236"/>
      <c r="HR158" s="236"/>
      <c r="HS158" s="236"/>
      <c r="HT158" s="236"/>
      <c r="HU158" s="236"/>
      <c r="HV158" s="236"/>
      <c r="HW158" s="236"/>
      <c r="HX158" s="236"/>
      <c r="HY158" s="236"/>
      <c r="HZ158" s="236"/>
      <c r="IA158" s="236"/>
      <c r="IB158" s="236"/>
      <c r="IC158" s="236"/>
      <c r="ID158" s="236"/>
      <c r="IE158" s="236"/>
      <c r="IF158" s="236"/>
      <c r="IG158" s="236"/>
      <c r="IH158" s="236"/>
      <c r="II158" s="236"/>
      <c r="IJ158" s="236"/>
      <c r="IK158" s="236"/>
      <c r="IL158" s="236"/>
      <c r="IM158" s="236"/>
      <c r="IN158" s="236"/>
      <c r="IO158" s="236"/>
      <c r="IP158" s="236"/>
      <c r="IQ158" s="236"/>
      <c r="IR158" s="236"/>
      <c r="IS158" s="236"/>
      <c r="IT158" s="236"/>
      <c r="IU158" s="236"/>
      <c r="IV158" s="236"/>
      <c r="IW158" s="236"/>
      <c r="IX158" s="236"/>
      <c r="IY158" s="236"/>
      <c r="IZ158" s="236"/>
      <c r="JA158" s="236"/>
      <c r="JB158" s="236"/>
      <c r="JC158" s="236"/>
      <c r="JD158" s="236"/>
      <c r="JE158" s="236"/>
      <c r="JF158" s="236"/>
      <c r="JG158" s="236"/>
      <c r="JH158" s="236"/>
      <c r="JI158" s="236"/>
      <c r="JJ158" s="236"/>
      <c r="JK158" s="236"/>
      <c r="JL158" s="236"/>
      <c r="JM158" s="236"/>
      <c r="JN158" s="236"/>
      <c r="JO158" s="236"/>
      <c r="JP158" s="236"/>
      <c r="JQ158" s="236"/>
      <c r="JR158" s="236"/>
      <c r="JS158" s="236"/>
      <c r="JT158" s="236"/>
      <c r="JU158" s="236"/>
      <c r="JV158" s="236"/>
      <c r="JW158" s="236"/>
      <c r="JX158" s="236"/>
      <c r="JY158" s="236"/>
      <c r="JZ158" s="236"/>
      <c r="KA158" s="236"/>
      <c r="KB158" s="236"/>
      <c r="KC158" s="236"/>
      <c r="KD158" s="236"/>
      <c r="KE158" s="236"/>
      <c r="KF158" s="236"/>
      <c r="KG158" s="236"/>
      <c r="KH158" s="236"/>
      <c r="KI158" s="236"/>
      <c r="KJ158" s="236"/>
      <c r="KK158" s="236"/>
      <c r="KL158" s="236"/>
      <c r="KM158" s="236"/>
      <c r="KN158" s="236"/>
      <c r="KO158" s="236"/>
      <c r="KP158" s="236"/>
      <c r="KQ158" s="236"/>
      <c r="KR158" s="236"/>
      <c r="KS158" s="236"/>
      <c r="KT158" s="236"/>
      <c r="KU158" s="236"/>
      <c r="KV158" s="236"/>
      <c r="KW158" s="236"/>
      <c r="KX158" s="236"/>
      <c r="KY158" s="236"/>
      <c r="KZ158" s="236"/>
      <c r="LA158" s="236"/>
      <c r="LB158" s="236"/>
      <c r="LC158" s="236"/>
      <c r="LD158" s="236"/>
      <c r="LE158" s="236"/>
      <c r="LF158" s="236"/>
      <c r="LG158" s="236"/>
      <c r="LH158" s="236"/>
      <c r="LI158" s="236"/>
      <c r="LJ158" s="236"/>
      <c r="LK158" s="236"/>
      <c r="LL158" s="236"/>
      <c r="LM158" s="236"/>
      <c r="LN158" s="236"/>
      <c r="LO158" s="236"/>
      <c r="LP158" s="236"/>
      <c r="LQ158" s="236"/>
      <c r="LR158" s="236"/>
      <c r="LS158" s="236"/>
      <c r="LT158" s="236"/>
      <c r="LU158" s="236"/>
      <c r="LV158" s="236"/>
      <c r="LW158" s="236"/>
      <c r="LX158" s="236"/>
      <c r="LY158" s="236"/>
      <c r="LZ158" s="236"/>
      <c r="MA158" s="236"/>
      <c r="MB158" s="236"/>
      <c r="MC158" s="236"/>
      <c r="MD158" s="236"/>
      <c r="ME158" s="236"/>
      <c r="MF158" s="236"/>
      <c r="MG158" s="236"/>
      <c r="MH158" s="236"/>
      <c r="MI158" s="236"/>
      <c r="MJ158" s="236"/>
      <c r="MK158" s="236"/>
      <c r="ML158" s="236"/>
      <c r="MM158" s="236"/>
      <c r="MN158" s="236"/>
      <c r="MO158" s="236"/>
      <c r="MP158" s="236"/>
      <c r="MQ158" s="236"/>
      <c r="MR158" s="236"/>
      <c r="MS158" s="236"/>
      <c r="MT158" s="236"/>
      <c r="MU158" s="236"/>
      <c r="MV158" s="236"/>
      <c r="MW158" s="236"/>
      <c r="MX158" s="236"/>
      <c r="MY158" s="236"/>
      <c r="MZ158" s="236"/>
      <c r="NA158" s="236"/>
      <c r="NB158" s="236"/>
      <c r="NC158" s="236"/>
      <c r="ND158" s="236"/>
      <c r="NE158" s="236"/>
      <c r="NF158" s="236"/>
      <c r="NG158" s="236"/>
      <c r="NH158" s="236"/>
      <c r="NI158" s="236"/>
      <c r="NJ158" s="236"/>
      <c r="NK158" s="236"/>
      <c r="NL158" s="236"/>
      <c r="NM158" s="236"/>
      <c r="NN158" s="236"/>
      <c r="NO158" s="236"/>
      <c r="NP158" s="236"/>
      <c r="NQ158" s="236"/>
      <c r="NR158" s="236"/>
      <c r="NS158" s="236"/>
      <c r="NT158" s="236"/>
      <c r="NU158" s="236"/>
      <c r="NV158" s="236"/>
      <c r="NW158" s="236"/>
      <c r="NX158" s="236"/>
      <c r="NY158" s="236"/>
      <c r="NZ158" s="236"/>
      <c r="OA158" s="236"/>
      <c r="OB158" s="236"/>
      <c r="OC158" s="236"/>
      <c r="OD158" s="236"/>
      <c r="OE158" s="236"/>
      <c r="OF158" s="236"/>
      <c r="OG158" s="236"/>
      <c r="OH158" s="236"/>
      <c r="OI158" s="236"/>
      <c r="OJ158" s="236"/>
      <c r="OK158" s="236"/>
      <c r="OL158" s="236"/>
      <c r="OM158" s="236"/>
      <c r="ON158" s="236"/>
      <c r="OO158" s="236"/>
      <c r="OP158" s="236"/>
      <c r="OQ158" s="236"/>
      <c r="OR158" s="236"/>
      <c r="OS158" s="236"/>
      <c r="OT158" s="236"/>
      <c r="OU158" s="236"/>
      <c r="OV158" s="236"/>
      <c r="OW158" s="236"/>
      <c r="OX158" s="236"/>
      <c r="OY158" s="236"/>
      <c r="OZ158" s="236"/>
      <c r="PA158" s="236"/>
      <c r="PB158" s="236"/>
      <c r="PC158" s="236"/>
      <c r="PD158" s="236"/>
      <c r="PE158" s="236"/>
      <c r="PF158" s="236"/>
      <c r="PG158" s="236"/>
      <c r="PH158" s="236"/>
      <c r="PI158" s="236"/>
      <c r="PJ158" s="236"/>
      <c r="PK158" s="236"/>
      <c r="PL158" s="236"/>
      <c r="PM158" s="236"/>
      <c r="PN158" s="236"/>
      <c r="PO158" s="236"/>
      <c r="PP158" s="236"/>
      <c r="PQ158" s="236"/>
      <c r="PR158" s="236"/>
      <c r="PS158" s="236"/>
      <c r="PT158" s="236"/>
      <c r="PU158" s="236"/>
      <c r="PV158" s="236"/>
      <c r="PW158" s="236"/>
      <c r="PX158" s="236"/>
      <c r="PY158" s="236"/>
      <c r="PZ158" s="236"/>
      <c r="QA158" s="236"/>
      <c r="QB158" s="236"/>
      <c r="QC158" s="236"/>
      <c r="QD158" s="236"/>
      <c r="QE158" s="236"/>
      <c r="QF158" s="236"/>
      <c r="QG158" s="236"/>
      <c r="QH158" s="236"/>
      <c r="QI158" s="236"/>
      <c r="QJ158" s="236"/>
      <c r="QK158" s="236"/>
      <c r="QL158" s="236"/>
      <c r="QM158" s="236"/>
      <c r="QN158" s="236"/>
      <c r="QO158" s="236"/>
      <c r="QP158" s="236"/>
      <c r="QQ158" s="236"/>
      <c r="QR158" s="236"/>
      <c r="QS158" s="236"/>
      <c r="QT158" s="236"/>
      <c r="QU158" s="236"/>
      <c r="QV158" s="236"/>
      <c r="QW158" s="236"/>
      <c r="QX158" s="236"/>
      <c r="QY158" s="236"/>
      <c r="QZ158" s="236"/>
      <c r="RA158" s="236"/>
      <c r="RB158" s="236"/>
      <c r="RC158" s="236"/>
      <c r="RD158" s="236"/>
      <c r="RE158" s="236"/>
      <c r="RF158" s="236"/>
      <c r="RG158" s="236"/>
      <c r="RH158" s="236"/>
      <c r="RI158" s="236"/>
      <c r="RJ158" s="236"/>
      <c r="RK158" s="236"/>
      <c r="RL158" s="236"/>
      <c r="RM158" s="236"/>
      <c r="RN158" s="236"/>
      <c r="RO158" s="236"/>
      <c r="RP158" s="236"/>
      <c r="RQ158" s="236"/>
      <c r="RR158" s="236"/>
      <c r="RS158" s="236"/>
      <c r="RT158" s="236"/>
      <c r="RU158" s="236"/>
      <c r="RV158" s="236"/>
      <c r="RW158" s="236"/>
      <c r="RX158" s="236"/>
      <c r="RY158" s="236"/>
      <c r="RZ158" s="236"/>
      <c r="SA158" s="236"/>
      <c r="SB158" s="236"/>
      <c r="SC158" s="236"/>
      <c r="SD158" s="236"/>
      <c r="SE158" s="236"/>
      <c r="SF158" s="236"/>
      <c r="SG158" s="236"/>
      <c r="SH158" s="236"/>
      <c r="SI158" s="236"/>
      <c r="SJ158" s="236"/>
      <c r="SK158" s="236"/>
      <c r="SL158" s="236"/>
      <c r="SM158" s="236"/>
      <c r="SN158" s="236"/>
      <c r="SO158" s="236"/>
      <c r="SP158" s="236"/>
      <c r="SQ158" s="236"/>
      <c r="SR158" s="236"/>
      <c r="SS158" s="236"/>
      <c r="ST158" s="236"/>
      <c r="SU158" s="236"/>
      <c r="SV158" s="236"/>
      <c r="SW158" s="236"/>
      <c r="SX158" s="236"/>
      <c r="SY158" s="236"/>
      <c r="SZ158" s="236"/>
      <c r="TA158" s="236"/>
      <c r="TB158" s="236"/>
      <c r="TC158" s="236"/>
      <c r="TD158" s="236"/>
      <c r="TE158" s="236"/>
      <c r="TF158" s="236"/>
      <c r="TG158" s="236"/>
      <c r="TH158" s="236"/>
      <c r="TI158" s="236"/>
      <c r="TJ158" s="236"/>
      <c r="TK158" s="236"/>
      <c r="TL158" s="236"/>
      <c r="TM158" s="236"/>
      <c r="TN158" s="236"/>
      <c r="TO158" s="236"/>
      <c r="TP158" s="236"/>
      <c r="TQ158" s="236"/>
      <c r="TR158" s="236"/>
      <c r="TS158" s="236"/>
      <c r="TT158" s="236"/>
      <c r="TU158" s="236"/>
      <c r="TV158" s="236"/>
      <c r="TW158" s="236"/>
      <c r="TX158" s="236"/>
      <c r="TY158" s="236"/>
      <c r="TZ158" s="236"/>
      <c r="UA158" s="236"/>
      <c r="UB158" s="236"/>
      <c r="UC158" s="236"/>
      <c r="UD158" s="236"/>
      <c r="UE158" s="236"/>
      <c r="UF158" s="236"/>
      <c r="UG158" s="236"/>
      <c r="UH158" s="236"/>
      <c r="UI158" s="236"/>
      <c r="UJ158" s="236"/>
      <c r="UK158" s="236"/>
      <c r="UL158" s="236"/>
      <c r="UM158" s="236"/>
      <c r="UN158" s="236"/>
      <c r="UO158" s="236"/>
      <c r="UP158" s="236"/>
      <c r="UQ158" s="236"/>
      <c r="UR158" s="236"/>
      <c r="US158" s="236"/>
      <c r="UT158" s="236"/>
      <c r="UU158" s="236"/>
      <c r="UV158" s="236"/>
      <c r="UW158" s="236"/>
      <c r="UX158" s="236"/>
      <c r="UY158" s="236"/>
      <c r="UZ158" s="236"/>
      <c r="VA158" s="236"/>
      <c r="VB158" s="236"/>
      <c r="VC158" s="236"/>
      <c r="VD158" s="236"/>
      <c r="VE158" s="236"/>
      <c r="VF158" s="236"/>
      <c r="VG158" s="236"/>
      <c r="VH158" s="236"/>
      <c r="VI158" s="236"/>
      <c r="VJ158" s="236"/>
      <c r="VK158" s="236"/>
      <c r="VL158" s="236"/>
      <c r="VM158" s="236"/>
      <c r="VN158" s="236"/>
      <c r="VO158" s="236"/>
      <c r="VP158" s="236"/>
      <c r="VQ158" s="236"/>
      <c r="VR158" s="236"/>
      <c r="VS158" s="236"/>
      <c r="VT158" s="236"/>
      <c r="VU158" s="236"/>
      <c r="VV158" s="236"/>
      <c r="VW158" s="236"/>
      <c r="VX158" s="236"/>
      <c r="VY158" s="236"/>
      <c r="VZ158" s="236"/>
      <c r="WA158" s="236"/>
      <c r="WB158" s="236"/>
      <c r="WC158" s="236"/>
      <c r="WD158" s="236"/>
      <c r="WE158" s="236"/>
      <c r="WF158" s="236"/>
      <c r="WG158" s="236"/>
      <c r="WH158" s="236"/>
      <c r="WI158" s="236"/>
      <c r="WJ158" s="236"/>
      <c r="WK158" s="236"/>
      <c r="WL158" s="236"/>
      <c r="WM158" s="236"/>
      <c r="WN158" s="236"/>
      <c r="WO158" s="236"/>
      <c r="WP158" s="236"/>
      <c r="WQ158" s="236"/>
      <c r="WR158" s="236"/>
      <c r="WS158" s="236"/>
      <c r="WT158" s="236"/>
      <c r="WU158" s="236"/>
      <c r="WV158" s="236"/>
      <c r="WW158" s="236"/>
      <c r="WX158" s="236"/>
      <c r="WY158" s="236"/>
      <c r="WZ158" s="236"/>
      <c r="XA158" s="236"/>
      <c r="XB158" s="236"/>
      <c r="XC158" s="236"/>
      <c r="XD158" s="236"/>
      <c r="XE158" s="236"/>
      <c r="XF158" s="236"/>
      <c r="XG158" s="236"/>
      <c r="XH158" s="236"/>
      <c r="XI158" s="236"/>
      <c r="XJ158" s="236"/>
      <c r="XK158" s="236"/>
      <c r="XL158" s="236"/>
      <c r="XM158" s="236"/>
      <c r="XN158" s="236"/>
      <c r="XO158" s="236"/>
      <c r="XP158" s="236"/>
      <c r="XQ158" s="236"/>
      <c r="XR158" s="236"/>
      <c r="XS158" s="236"/>
      <c r="XT158" s="236"/>
      <c r="XU158" s="236"/>
      <c r="XV158" s="236"/>
      <c r="XW158" s="236"/>
      <c r="XX158" s="236"/>
      <c r="XY158" s="236"/>
      <c r="XZ158" s="236"/>
      <c r="YA158" s="236"/>
      <c r="YB158" s="236"/>
      <c r="YC158" s="236"/>
      <c r="YD158" s="236"/>
      <c r="YE158" s="236"/>
      <c r="YF158" s="236"/>
      <c r="YG158" s="236"/>
      <c r="YH158" s="236"/>
      <c r="YI158" s="236"/>
      <c r="YJ158" s="236"/>
      <c r="YK158" s="236"/>
      <c r="YL158" s="236"/>
      <c r="YM158" s="236"/>
      <c r="YN158" s="236"/>
      <c r="YO158" s="236"/>
      <c r="YP158" s="236"/>
      <c r="YQ158" s="236"/>
      <c r="YR158" s="236"/>
      <c r="YS158" s="236"/>
      <c r="YT158" s="236"/>
      <c r="YU158" s="236"/>
      <c r="YV158" s="236"/>
      <c r="YW158" s="236"/>
      <c r="YX158" s="236"/>
      <c r="YY158" s="236"/>
      <c r="YZ158" s="236"/>
      <c r="ZA158" s="236"/>
      <c r="ZB158" s="236"/>
      <c r="ZC158" s="236"/>
      <c r="ZD158" s="236"/>
      <c r="ZE158" s="236"/>
      <c r="ZF158" s="236"/>
      <c r="ZG158" s="236"/>
      <c r="ZH158" s="236"/>
      <c r="ZI158" s="236"/>
      <c r="ZJ158" s="236"/>
      <c r="ZK158" s="236"/>
      <c r="ZL158" s="236"/>
      <c r="ZM158" s="236"/>
      <c r="ZN158" s="236"/>
      <c r="ZO158" s="236"/>
      <c r="ZP158" s="236"/>
      <c r="ZQ158" s="236"/>
      <c r="ZR158" s="236"/>
      <c r="ZS158" s="236"/>
      <c r="ZT158" s="236"/>
      <c r="ZU158" s="236"/>
      <c r="ZV158" s="236"/>
      <c r="ZW158" s="236"/>
      <c r="ZX158" s="236"/>
      <c r="ZY158" s="236"/>
      <c r="ZZ158" s="236"/>
      <c r="AAA158" s="236"/>
      <c r="AAB158" s="236"/>
      <c r="AAC158" s="236"/>
      <c r="AAD158" s="236"/>
      <c r="AAE158" s="236"/>
      <c r="AAF158" s="236"/>
      <c r="AAG158" s="236"/>
      <c r="AAH158" s="236"/>
      <c r="AAI158" s="236"/>
      <c r="AAJ158" s="236"/>
      <c r="AAK158" s="236"/>
      <c r="AAL158" s="236"/>
      <c r="AAM158" s="236"/>
      <c r="AAN158" s="236"/>
      <c r="AAO158" s="236"/>
      <c r="AAP158" s="236"/>
      <c r="AAQ158" s="236"/>
      <c r="AAR158" s="236"/>
      <c r="AAS158" s="236"/>
      <c r="AAT158" s="236"/>
      <c r="AAU158" s="236"/>
      <c r="AAV158" s="236"/>
      <c r="AAW158" s="236"/>
      <c r="AAX158" s="236"/>
      <c r="AAY158" s="236"/>
      <c r="AAZ158" s="236"/>
      <c r="ABA158" s="236"/>
      <c r="ABB158" s="236"/>
      <c r="ABC158" s="236"/>
      <c r="ABD158" s="236"/>
      <c r="ABE158" s="236"/>
      <c r="ABF158" s="236"/>
      <c r="ABG158" s="236"/>
      <c r="ABH158" s="236"/>
      <c r="ABI158" s="236"/>
      <c r="ABJ158" s="236"/>
      <c r="ABK158" s="236"/>
      <c r="ABL158" s="236"/>
      <c r="ABM158" s="236"/>
      <c r="ABN158" s="236"/>
      <c r="ABO158" s="236"/>
      <c r="ABP158" s="236"/>
      <c r="ABQ158" s="236"/>
      <c r="ABR158" s="236"/>
      <c r="ABS158" s="236"/>
      <c r="ABT158" s="236"/>
      <c r="ABU158" s="236"/>
      <c r="ABV158" s="236"/>
      <c r="ABW158" s="236"/>
      <c r="ABX158" s="236"/>
      <c r="ABY158" s="236"/>
      <c r="ABZ158" s="236"/>
      <c r="ACA158" s="236"/>
      <c r="ACB158" s="236"/>
      <c r="ACC158" s="236"/>
      <c r="ACD158" s="236"/>
      <c r="ACE158" s="236"/>
      <c r="ACF158" s="236"/>
      <c r="ACG158" s="236"/>
      <c r="ACH158" s="236"/>
      <c r="ACI158" s="236"/>
      <c r="ACJ158" s="236"/>
      <c r="ACK158" s="236"/>
      <c r="ACL158" s="236"/>
      <c r="ACM158" s="236"/>
      <c r="ACN158" s="236"/>
      <c r="ACO158" s="236"/>
      <c r="ACP158" s="236"/>
      <c r="ACQ158" s="236"/>
      <c r="ACR158" s="236"/>
      <c r="ACS158" s="236"/>
      <c r="ACT158" s="236"/>
      <c r="ACU158" s="236"/>
      <c r="ACV158" s="236"/>
      <c r="ACW158" s="236"/>
      <c r="ACX158" s="236"/>
      <c r="ACY158" s="236"/>
      <c r="ACZ158" s="236"/>
      <c r="ADA158" s="236"/>
      <c r="ADB158" s="236"/>
      <c r="ADC158" s="236"/>
      <c r="ADD158" s="236"/>
      <c r="ADE158" s="236"/>
      <c r="ADF158" s="236"/>
      <c r="ADG158" s="236"/>
      <c r="ADH158" s="236"/>
      <c r="ADI158" s="236"/>
      <c r="ADJ158" s="236"/>
      <c r="ADK158" s="236"/>
      <c r="ADL158" s="236"/>
      <c r="ADM158" s="236"/>
      <c r="ADN158" s="236"/>
      <c r="ADO158" s="236"/>
      <c r="ADP158" s="236"/>
      <c r="ADQ158" s="236"/>
      <c r="ADR158" s="236"/>
      <c r="ADS158" s="236"/>
      <c r="ADT158" s="236"/>
      <c r="ADU158" s="236"/>
      <c r="ADV158" s="236"/>
      <c r="ADW158" s="236"/>
      <c r="ADX158" s="236"/>
      <c r="ADY158" s="236"/>
      <c r="ADZ158" s="236"/>
      <c r="AEA158" s="236"/>
      <c r="AEB158" s="236"/>
      <c r="AEC158" s="236"/>
      <c r="AED158" s="236"/>
      <c r="AEE158" s="236"/>
      <c r="AEF158" s="236"/>
      <c r="AEG158" s="236"/>
      <c r="AEH158" s="236"/>
      <c r="AEI158" s="236"/>
      <c r="AEJ158" s="236"/>
      <c r="AEK158" s="236"/>
      <c r="AEL158" s="236"/>
      <c r="AEM158" s="236"/>
      <c r="AEN158" s="236"/>
      <c r="AEO158" s="236"/>
      <c r="AEP158" s="236"/>
      <c r="AEQ158" s="236"/>
      <c r="AER158" s="236"/>
      <c r="AES158" s="236"/>
      <c r="AET158" s="236"/>
      <c r="AEU158" s="236"/>
      <c r="AEV158" s="236"/>
      <c r="AEW158" s="236"/>
      <c r="AEX158" s="236"/>
      <c r="AEY158" s="236"/>
      <c r="AEZ158" s="236"/>
      <c r="AFA158" s="236"/>
      <c r="AFB158" s="236"/>
      <c r="AFC158" s="236"/>
      <c r="AFD158" s="236"/>
      <c r="AFE158" s="236"/>
      <c r="AFF158" s="236"/>
      <c r="AFG158" s="236"/>
      <c r="AFH158" s="236"/>
      <c r="AFI158" s="236"/>
      <c r="AFJ158" s="236"/>
      <c r="AFK158" s="236"/>
      <c r="AFL158" s="236"/>
      <c r="AFM158" s="236"/>
      <c r="AFN158" s="236"/>
      <c r="AFO158" s="236"/>
      <c r="AFP158" s="236"/>
      <c r="AFQ158" s="236"/>
      <c r="AFR158" s="236"/>
      <c r="AFS158" s="236"/>
      <c r="AFT158" s="236"/>
      <c r="AFU158" s="236"/>
      <c r="AFV158" s="236"/>
      <c r="AFW158" s="236"/>
      <c r="AFX158" s="236"/>
      <c r="AFY158" s="236"/>
      <c r="AFZ158" s="236"/>
      <c r="AGA158" s="236"/>
      <c r="AGB158" s="236"/>
      <c r="AGC158" s="236"/>
      <c r="AGD158" s="236"/>
      <c r="AGE158" s="236"/>
      <c r="AGF158" s="236"/>
      <c r="AGG158" s="236"/>
      <c r="AGH158" s="236"/>
      <c r="AGI158" s="236"/>
      <c r="AGJ158" s="236"/>
      <c r="AGK158" s="236"/>
      <c r="AGL158" s="236"/>
      <c r="AGM158" s="236"/>
      <c r="AGN158" s="236"/>
      <c r="AGO158" s="236"/>
      <c r="AGP158" s="236"/>
      <c r="AGQ158" s="236"/>
      <c r="AGR158" s="236"/>
      <c r="AGS158" s="236"/>
      <c r="AGT158" s="236"/>
      <c r="AGU158" s="236"/>
      <c r="AGV158" s="236"/>
      <c r="AGW158" s="236"/>
      <c r="AGX158" s="236"/>
      <c r="AGY158" s="236"/>
      <c r="AGZ158" s="236"/>
      <c r="AHA158" s="236"/>
      <c r="AHB158" s="236"/>
      <c r="AHC158" s="236"/>
      <c r="AHD158" s="236"/>
      <c r="AHE158" s="236"/>
      <c r="AHF158" s="236"/>
      <c r="AHG158" s="236"/>
      <c r="AHH158" s="236"/>
      <c r="AHI158" s="236"/>
      <c r="AHJ158" s="236"/>
      <c r="AHK158" s="236"/>
      <c r="AHL158" s="236"/>
      <c r="AHM158" s="236"/>
      <c r="AHN158" s="236"/>
      <c r="AHO158" s="236"/>
      <c r="AHP158" s="236"/>
      <c r="AHQ158" s="236"/>
      <c r="AHR158" s="236"/>
      <c r="AHS158" s="236"/>
      <c r="AHT158" s="236"/>
      <c r="AHU158" s="236"/>
      <c r="AHV158" s="236"/>
      <c r="AHW158" s="236"/>
      <c r="AHX158" s="236"/>
      <c r="AHY158" s="236"/>
      <c r="AHZ158" s="236"/>
      <c r="AIA158" s="236"/>
      <c r="AIB158" s="236"/>
      <c r="AIC158" s="236"/>
      <c r="AID158" s="236"/>
      <c r="AIE158" s="236"/>
      <c r="AIF158" s="236"/>
      <c r="AIG158" s="236"/>
      <c r="AIH158" s="236"/>
      <c r="AII158" s="236"/>
      <c r="AIJ158" s="236"/>
      <c r="AIK158" s="236"/>
      <c r="AIL158" s="236"/>
      <c r="AIM158" s="236"/>
      <c r="AIN158" s="236"/>
      <c r="AIO158" s="236"/>
      <c r="AIP158" s="236"/>
      <c r="AIQ158" s="236"/>
      <c r="AIR158" s="236"/>
      <c r="AIS158" s="236"/>
      <c r="AIT158" s="236"/>
      <c r="AIU158" s="236"/>
      <c r="AIV158" s="236"/>
      <c r="AIW158" s="236"/>
      <c r="AIX158" s="236"/>
      <c r="AIY158" s="236"/>
      <c r="AIZ158" s="236"/>
      <c r="AJA158" s="236"/>
      <c r="AJB158" s="236"/>
      <c r="AJC158" s="236"/>
      <c r="AJD158" s="236"/>
      <c r="AJE158" s="236"/>
      <c r="AJF158" s="236"/>
      <c r="AJG158" s="236"/>
      <c r="AJH158" s="236"/>
      <c r="AJI158" s="236"/>
      <c r="AJJ158" s="236"/>
      <c r="AJK158" s="236"/>
      <c r="AJL158" s="236"/>
      <c r="AJM158" s="236"/>
      <c r="AJN158" s="236"/>
      <c r="AJO158" s="236"/>
      <c r="AJP158" s="236"/>
      <c r="AJQ158" s="236"/>
      <c r="AJR158" s="236"/>
      <c r="AJS158" s="236"/>
      <c r="AJT158" s="236"/>
      <c r="AJU158" s="236"/>
      <c r="AJV158" s="236"/>
      <c r="AJW158" s="236"/>
      <c r="AJX158" s="236"/>
      <c r="AJY158" s="236"/>
      <c r="AJZ158" s="236"/>
      <c r="AKA158" s="236"/>
      <c r="AKB158" s="236"/>
      <c r="AKC158" s="236"/>
      <c r="AKD158" s="236"/>
      <c r="AKE158" s="236"/>
      <c r="AKF158" s="236"/>
      <c r="AKG158" s="236"/>
      <c r="AKH158" s="236"/>
      <c r="AKI158" s="236"/>
      <c r="AKJ158" s="236"/>
      <c r="AKK158" s="236"/>
      <c r="AKL158" s="236"/>
      <c r="AKM158" s="236"/>
      <c r="AKN158" s="236"/>
      <c r="AKO158" s="236"/>
      <c r="AKP158" s="236"/>
      <c r="AKQ158" s="236"/>
      <c r="AKR158" s="236"/>
      <c r="AKS158" s="236"/>
      <c r="AKT158" s="236"/>
      <c r="AKU158" s="236"/>
      <c r="AKV158" s="236"/>
      <c r="AKW158" s="236"/>
      <c r="AKX158" s="236"/>
      <c r="AKY158" s="236"/>
      <c r="AKZ158" s="236"/>
      <c r="ALA158" s="236"/>
      <c r="ALB158" s="236"/>
      <c r="ALC158" s="236"/>
      <c r="ALD158" s="236"/>
      <c r="ALE158" s="236"/>
      <c r="ALF158" s="236"/>
      <c r="ALG158" s="236"/>
      <c r="ALH158" s="236"/>
      <c r="ALI158" s="236"/>
      <c r="ALJ158" s="236"/>
      <c r="ALK158" s="236"/>
      <c r="ALL158" s="236"/>
      <c r="ALM158" s="236"/>
      <c r="ALN158" s="236"/>
      <c r="ALO158" s="236"/>
      <c r="ALP158" s="236"/>
      <c r="ALQ158" s="236"/>
      <c r="ALR158" s="236"/>
      <c r="ALS158" s="236"/>
      <c r="ALT158" s="236"/>
      <c r="ALU158" s="236"/>
      <c r="ALV158" s="236"/>
      <c r="ALW158" s="236"/>
      <c r="ALX158" s="236"/>
      <c r="ALY158" s="236"/>
      <c r="ALZ158" s="236"/>
      <c r="AMA158" s="236"/>
      <c r="AMB158" s="236"/>
      <c r="AMC158" s="236"/>
      <c r="AMD158" s="236"/>
      <c r="AME158" s="236"/>
      <c r="AMF158" s="236"/>
      <c r="AMG158" s="236"/>
      <c r="AMH158" s="236"/>
      <c r="AMI158" s="236"/>
      <c r="AMJ158" s="236"/>
      <c r="AMK158" s="236"/>
      <c r="AML158" s="236"/>
      <c r="AMM158" s="236"/>
      <c r="AMN158" s="236"/>
    </row>
    <row r="159" spans="2:1028" s="243" customFormat="1" ht="42" customHeight="1">
      <c r="B159" s="1984" t="s">
        <v>2375</v>
      </c>
      <c r="C159" s="1985"/>
      <c r="D159" s="1985"/>
      <c r="E159" s="1985"/>
      <c r="F159" s="1985"/>
      <c r="G159" s="1985"/>
      <c r="H159" s="1985"/>
      <c r="I159" s="1985"/>
      <c r="J159" s="1985"/>
      <c r="K159" s="1985"/>
      <c r="L159" s="1985"/>
      <c r="M159" s="1986"/>
      <c r="N159" s="285"/>
      <c r="O159" s="1396" t="s">
        <v>99</v>
      </c>
      <c r="P159" s="1397"/>
      <c r="Q159" s="1397"/>
      <c r="R159" s="1397"/>
      <c r="S159" s="1398"/>
      <c r="T159" s="286"/>
      <c r="U159" s="286"/>
      <c r="V159" s="286"/>
      <c r="W159" s="1396" t="s">
        <v>281</v>
      </c>
      <c r="X159" s="1397"/>
      <c r="Y159" s="1397"/>
      <c r="Z159" s="1397"/>
      <c r="AA159" s="1398"/>
      <c r="AB159" s="1062"/>
      <c r="AC159" s="1396" t="s">
        <v>282</v>
      </c>
      <c r="AD159" s="1398"/>
      <c r="AE159" s="1981"/>
      <c r="AF159" s="1982"/>
      <c r="AG159" s="1982"/>
      <c r="AH159" s="1982"/>
      <c r="AI159" s="1982"/>
      <c r="AJ159" s="1982"/>
      <c r="AK159" s="1982"/>
      <c r="AL159" s="1982"/>
      <c r="AM159" s="1982"/>
      <c r="AN159" s="1982"/>
      <c r="AO159" s="1983"/>
      <c r="AP159" s="245"/>
      <c r="AQ159" s="245"/>
      <c r="AR159" s="245"/>
      <c r="AS159" s="245"/>
      <c r="AT159" s="245"/>
      <c r="AU159" s="245"/>
      <c r="AV159" s="245"/>
      <c r="AW159" s="245"/>
      <c r="AX159" s="245"/>
      <c r="AY159" s="245"/>
    </row>
    <row r="160" spans="2:1028" s="243" customFormat="1" ht="30" hidden="1" customHeight="1">
      <c r="B160" s="1984"/>
      <c r="C160" s="1985"/>
      <c r="D160" s="1985"/>
      <c r="E160" s="1985"/>
      <c r="F160" s="1985"/>
      <c r="G160" s="1985"/>
      <c r="H160" s="1985"/>
      <c r="I160" s="1985"/>
      <c r="J160" s="1985"/>
      <c r="K160" s="1985"/>
      <c r="L160" s="1985"/>
      <c r="M160" s="1986"/>
      <c r="N160" s="285"/>
      <c r="O160" s="1396"/>
      <c r="P160" s="1397"/>
      <c r="Q160" s="1397"/>
      <c r="R160" s="1397"/>
      <c r="S160" s="1398"/>
      <c r="T160" s="286"/>
      <c r="U160" s="286"/>
      <c r="V160" s="286"/>
      <c r="W160" s="1396"/>
      <c r="X160" s="1397"/>
      <c r="Y160" s="1397"/>
      <c r="Z160" s="1397"/>
      <c r="AA160" s="1398"/>
      <c r="AB160" s="1062"/>
      <c r="AC160" s="1396"/>
      <c r="AD160" s="1398"/>
      <c r="AE160" s="1981"/>
      <c r="AF160" s="1982"/>
      <c r="AG160" s="1982"/>
      <c r="AH160" s="1982"/>
      <c r="AI160" s="1982"/>
      <c r="AJ160" s="1982"/>
      <c r="AK160" s="1982"/>
      <c r="AL160" s="1982"/>
      <c r="AM160" s="1982"/>
      <c r="AN160" s="1983"/>
      <c r="AO160" s="245"/>
      <c r="AP160" s="245"/>
      <c r="AQ160" s="245"/>
      <c r="AR160" s="245"/>
      <c r="AS160" s="245"/>
      <c r="AT160" s="245"/>
      <c r="AU160" s="245"/>
      <c r="AV160" s="245"/>
      <c r="AW160" s="245"/>
      <c r="AX160" s="245"/>
      <c r="AY160" s="245"/>
    </row>
    <row r="161" spans="2:51" s="243" customFormat="1" ht="30" hidden="1" customHeight="1">
      <c r="B161" s="1984"/>
      <c r="C161" s="1985"/>
      <c r="D161" s="1985"/>
      <c r="E161" s="1985"/>
      <c r="F161" s="1985"/>
      <c r="G161" s="1985"/>
      <c r="H161" s="1985"/>
      <c r="I161" s="1985"/>
      <c r="J161" s="1985"/>
      <c r="K161" s="1985"/>
      <c r="L161" s="1985"/>
      <c r="M161" s="1986"/>
      <c r="N161" s="285"/>
      <c r="O161" s="1396"/>
      <c r="P161" s="1397"/>
      <c r="Q161" s="1397"/>
      <c r="R161" s="1397"/>
      <c r="S161" s="1398"/>
      <c r="T161" s="286"/>
      <c r="U161" s="286"/>
      <c r="V161" s="286"/>
      <c r="W161" s="1396"/>
      <c r="X161" s="1397"/>
      <c r="Y161" s="1397"/>
      <c r="Z161" s="1397"/>
      <c r="AA161" s="1398"/>
      <c r="AB161" s="1062"/>
      <c r="AC161" s="1396"/>
      <c r="AD161" s="1398"/>
      <c r="AE161" s="1396"/>
      <c r="AF161" s="1397"/>
      <c r="AG161" s="1397"/>
      <c r="AH161" s="1397"/>
      <c r="AI161" s="1397"/>
      <c r="AJ161" s="1397"/>
      <c r="AK161" s="1397"/>
      <c r="AL161" s="1397"/>
      <c r="AM161" s="1397"/>
      <c r="AN161" s="1398"/>
      <c r="AO161" s="245"/>
      <c r="AP161" s="245"/>
      <c r="AQ161" s="245"/>
      <c r="AR161" s="245"/>
      <c r="AS161" s="245"/>
      <c r="AT161" s="245"/>
      <c r="AU161" s="245"/>
      <c r="AV161" s="245"/>
      <c r="AW161" s="245"/>
      <c r="AX161" s="245"/>
      <c r="AY161" s="245"/>
    </row>
    <row r="162" spans="2:51" s="243" customFormat="1" ht="30" hidden="1" customHeight="1">
      <c r="B162" s="1987"/>
      <c r="C162" s="1988"/>
      <c r="D162" s="1988"/>
      <c r="E162" s="1988"/>
      <c r="F162" s="1988"/>
      <c r="G162" s="1988"/>
      <c r="H162" s="1988"/>
      <c r="I162" s="1988"/>
      <c r="J162" s="1988"/>
      <c r="K162" s="1988"/>
      <c r="L162" s="1988"/>
      <c r="M162" s="1989"/>
      <c r="N162" s="285"/>
      <c r="O162" s="1396"/>
      <c r="P162" s="1397"/>
      <c r="Q162" s="1397"/>
      <c r="R162" s="1397"/>
      <c r="S162" s="1398"/>
      <c r="T162" s="286"/>
      <c r="U162" s="286"/>
      <c r="V162" s="286"/>
      <c r="W162" s="1396"/>
      <c r="X162" s="1397"/>
      <c r="Y162" s="1397"/>
      <c r="Z162" s="1397"/>
      <c r="AA162" s="1398"/>
      <c r="AB162" s="1062"/>
      <c r="AC162" s="1396"/>
      <c r="AD162" s="1398"/>
      <c r="AE162" s="1396"/>
      <c r="AF162" s="1397"/>
      <c r="AG162" s="1397"/>
      <c r="AH162" s="1397"/>
      <c r="AI162" s="1397"/>
      <c r="AJ162" s="1397"/>
      <c r="AK162" s="1397"/>
      <c r="AL162" s="1397"/>
      <c r="AM162" s="1397"/>
      <c r="AN162" s="1398"/>
      <c r="AO162" s="245"/>
      <c r="AP162" s="245"/>
      <c r="AQ162" s="245"/>
      <c r="AR162" s="245"/>
      <c r="AS162" s="245"/>
      <c r="AT162" s="245"/>
      <c r="AU162" s="245"/>
      <c r="AV162" s="245"/>
      <c r="AW162" s="245"/>
      <c r="AX162" s="245"/>
      <c r="AY162" s="245"/>
    </row>
    <row r="163" spans="2:51" s="243" customFormat="1" ht="30" customHeight="1">
      <c r="B163" s="287"/>
      <c r="C163" s="287"/>
      <c r="D163" s="287"/>
      <c r="E163" s="287"/>
      <c r="F163" s="287"/>
      <c r="G163" s="287"/>
      <c r="H163" s="287"/>
      <c r="I163" s="287"/>
      <c r="J163" s="287"/>
      <c r="K163" s="287"/>
      <c r="L163" s="287"/>
      <c r="M163" s="287"/>
      <c r="N163" s="285"/>
      <c r="O163" s="1403"/>
      <c r="P163" s="1403"/>
      <c r="Q163" s="1403"/>
      <c r="R163" s="1403"/>
      <c r="S163" s="1403"/>
      <c r="T163" s="288"/>
      <c r="U163" s="288"/>
      <c r="V163" s="288"/>
      <c r="W163" s="1403"/>
      <c r="X163" s="1403"/>
      <c r="Y163" s="1403"/>
      <c r="Z163" s="1403"/>
      <c r="AA163" s="1403"/>
      <c r="AB163" s="1064"/>
      <c r="AC163" s="611"/>
      <c r="AD163" s="611"/>
      <c r="AE163" s="288"/>
      <c r="AF163" s="288"/>
      <c r="AG163" s="288"/>
      <c r="AH163" s="288"/>
      <c r="AI163" s="288"/>
      <c r="AJ163" s="288"/>
      <c r="AK163" s="288"/>
      <c r="AL163" s="288"/>
      <c r="AM163" s="288"/>
      <c r="AN163" s="288"/>
      <c r="AO163" s="245"/>
      <c r="AP163" s="245"/>
      <c r="AQ163" s="245"/>
      <c r="AR163" s="245"/>
      <c r="AS163" s="245"/>
      <c r="AT163" s="245"/>
      <c r="AU163" s="245"/>
      <c r="AV163" s="245"/>
      <c r="AW163" s="245"/>
      <c r="AX163" s="245"/>
      <c r="AY163" s="245"/>
    </row>
    <row r="164" spans="2:51">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1076"/>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c r="AW164" s="233"/>
      <c r="AX164" s="233"/>
      <c r="AY164" s="233"/>
    </row>
    <row r="165" spans="2:51">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1076"/>
      <c r="AC165" s="233"/>
      <c r="AD165" s="233"/>
      <c r="AE165" s="233"/>
      <c r="AF165" s="233"/>
      <c r="AG165" s="233"/>
      <c r="AH165" s="233"/>
      <c r="AI165" s="233"/>
      <c r="AJ165" s="233"/>
      <c r="AK165" s="233"/>
      <c r="AL165" s="233"/>
      <c r="AM165" s="233"/>
      <c r="AN165" s="233"/>
    </row>
  </sheetData>
  <sheetProtection formatCells="0" formatColumns="0" formatRows="0" insertRows="0" deleteColumns="0" sort="0" autoFilter="0"/>
  <mergeCells count="693">
    <mergeCell ref="AX1:AY4"/>
    <mergeCell ref="H2:W2"/>
    <mergeCell ref="AQ2:AR2"/>
    <mergeCell ref="AS2:AT2"/>
    <mergeCell ref="B3:B4"/>
    <mergeCell ref="H3:I3"/>
    <mergeCell ref="J3:O3"/>
    <mergeCell ref="P3:W3"/>
    <mergeCell ref="AA3:AC4"/>
    <mergeCell ref="AD3:AD4"/>
    <mergeCell ref="H1:W1"/>
    <mergeCell ref="Y1:Z4"/>
    <mergeCell ref="AA1:AC2"/>
    <mergeCell ref="AD1:AD2"/>
    <mergeCell ref="AE1:AO2"/>
    <mergeCell ref="AQ1:AT1"/>
    <mergeCell ref="AE3:AO4"/>
    <mergeCell ref="AQ3:AR3"/>
    <mergeCell ref="AS3:AT3"/>
    <mergeCell ref="H4:I4"/>
    <mergeCell ref="J4:O4"/>
    <mergeCell ref="P4:W4"/>
    <mergeCell ref="AQ4:AR4"/>
    <mergeCell ref="AS4:AT4"/>
    <mergeCell ref="AO7:AO8"/>
    <mergeCell ref="AU6:AY6"/>
    <mergeCell ref="B7:B8"/>
    <mergeCell ref="C7:C8"/>
    <mergeCell ref="D7:F8"/>
    <mergeCell ref="G7:G8"/>
    <mergeCell ref="H7:J8"/>
    <mergeCell ref="K7:M8"/>
    <mergeCell ref="N7:Q7"/>
    <mergeCell ref="R7:W7"/>
    <mergeCell ref="Y7:AA8"/>
    <mergeCell ref="B6:Q6"/>
    <mergeCell ref="R6:W6"/>
    <mergeCell ref="Y6:AN6"/>
    <mergeCell ref="AO6:AP6"/>
    <mergeCell ref="AB7:AB8"/>
    <mergeCell ref="Y10:AA10"/>
    <mergeCell ref="D11:F11"/>
    <mergeCell ref="H11:J11"/>
    <mergeCell ref="K11:M11"/>
    <mergeCell ref="Y11:AA11"/>
    <mergeCell ref="AV7:AV8"/>
    <mergeCell ref="AW7:AW8"/>
    <mergeCell ref="AX7:AX8"/>
    <mergeCell ref="AY7:AY8"/>
    <mergeCell ref="D9:F9"/>
    <mergeCell ref="H9:J9"/>
    <mergeCell ref="K9:M9"/>
    <mergeCell ref="Y9:AA9"/>
    <mergeCell ref="AP7:AP8"/>
    <mergeCell ref="AQ7:AQ8"/>
    <mergeCell ref="AR7:AR8"/>
    <mergeCell ref="AS7:AS8"/>
    <mergeCell ref="AT7:AT8"/>
    <mergeCell ref="AU7:AU8"/>
    <mergeCell ref="AC7:AC8"/>
    <mergeCell ref="AD7:AD8"/>
    <mergeCell ref="AE7:AE8"/>
    <mergeCell ref="AF7:AF8"/>
    <mergeCell ref="AJ7:AN7"/>
    <mergeCell ref="A12:A14"/>
    <mergeCell ref="B12:B14"/>
    <mergeCell ref="C12:C14"/>
    <mergeCell ref="D12:F14"/>
    <mergeCell ref="G12:G14"/>
    <mergeCell ref="H12:J12"/>
    <mergeCell ref="D10:F10"/>
    <mergeCell ref="H10:J10"/>
    <mergeCell ref="K10:M10"/>
    <mergeCell ref="AX12:AX14"/>
    <mergeCell ref="AY12:AY14"/>
    <mergeCell ref="H13:J13"/>
    <mergeCell ref="Y13:AA13"/>
    <mergeCell ref="H14:J14"/>
    <mergeCell ref="Y14:AA14"/>
    <mergeCell ref="AQ12:AQ14"/>
    <mergeCell ref="AR12:AR14"/>
    <mergeCell ref="AS12:AS14"/>
    <mergeCell ref="AT12:AT14"/>
    <mergeCell ref="AU12:AU14"/>
    <mergeCell ref="AV12:AV14"/>
    <mergeCell ref="AF12:AF14"/>
    <mergeCell ref="AJ12:AJ14"/>
    <mergeCell ref="AL12:AL14"/>
    <mergeCell ref="AN12:AN14"/>
    <mergeCell ref="AO12:AO14"/>
    <mergeCell ref="AP12:AP14"/>
    <mergeCell ref="S12:S14"/>
    <mergeCell ref="W12:W14"/>
    <mergeCell ref="Y12:AA12"/>
    <mergeCell ref="AC12:AC14"/>
    <mergeCell ref="AD12:AD14"/>
    <mergeCell ref="AE12:AE14"/>
    <mergeCell ref="D15:F15"/>
    <mergeCell ref="H15:J15"/>
    <mergeCell ref="K15:M15"/>
    <mergeCell ref="Y15:AA15"/>
    <mergeCell ref="D16:F16"/>
    <mergeCell ref="H16:J16"/>
    <mergeCell ref="K16:M16"/>
    <mergeCell ref="Y16:AA16"/>
    <mergeCell ref="AW12:AW14"/>
    <mergeCell ref="K12:M14"/>
    <mergeCell ref="N12:N14"/>
    <mergeCell ref="O12:O14"/>
    <mergeCell ref="P12:P14"/>
    <mergeCell ref="Q12:Q14"/>
    <mergeCell ref="R12:R14"/>
    <mergeCell ref="AB12:AB14"/>
    <mergeCell ref="D19:F19"/>
    <mergeCell ref="H19:J19"/>
    <mergeCell ref="K19:M19"/>
    <mergeCell ref="Y19:AA19"/>
    <mergeCell ref="D20:F20"/>
    <mergeCell ref="H20:J20"/>
    <mergeCell ref="K20:M20"/>
    <mergeCell ref="Y20:AA20"/>
    <mergeCell ref="D17:F17"/>
    <mergeCell ref="H17:J17"/>
    <mergeCell ref="K17:M17"/>
    <mergeCell ref="Y17:AA17"/>
    <mergeCell ref="D18:F18"/>
    <mergeCell ref="H18:J18"/>
    <mergeCell ref="K18:M18"/>
    <mergeCell ref="Y18:AA18"/>
    <mergeCell ref="D23:F23"/>
    <mergeCell ref="H23:J23"/>
    <mergeCell ref="K23:M23"/>
    <mergeCell ref="Y23:AA23"/>
    <mergeCell ref="D24:F24"/>
    <mergeCell ref="H24:J24"/>
    <mergeCell ref="K24:M24"/>
    <mergeCell ref="Y24:AA24"/>
    <mergeCell ref="D21:F21"/>
    <mergeCell ref="H21:J21"/>
    <mergeCell ref="K21:M21"/>
    <mergeCell ref="Y21:AA21"/>
    <mergeCell ref="D22:F22"/>
    <mergeCell ref="H22:J22"/>
    <mergeCell ref="K22:M22"/>
    <mergeCell ref="Y22:AA22"/>
    <mergeCell ref="D27:F27"/>
    <mergeCell ref="H27:J27"/>
    <mergeCell ref="K27:M27"/>
    <mergeCell ref="Y27:AA27"/>
    <mergeCell ref="D28:F28"/>
    <mergeCell ref="H28:J28"/>
    <mergeCell ref="K28:M28"/>
    <mergeCell ref="Y28:AA28"/>
    <mergeCell ref="D25:F25"/>
    <mergeCell ref="H25:J25"/>
    <mergeCell ref="K25:M25"/>
    <mergeCell ref="Y25:AA25"/>
    <mergeCell ref="D26:F26"/>
    <mergeCell ref="H26:J26"/>
    <mergeCell ref="K26:M26"/>
    <mergeCell ref="Y26:AA26"/>
    <mergeCell ref="D31:F31"/>
    <mergeCell ref="H31:J31"/>
    <mergeCell ref="K31:M31"/>
    <mergeCell ref="Y31:AA31"/>
    <mergeCell ref="D32:F32"/>
    <mergeCell ref="H32:J32"/>
    <mergeCell ref="K32:M32"/>
    <mergeCell ref="Y32:AA32"/>
    <mergeCell ref="D29:F29"/>
    <mergeCell ref="H29:J29"/>
    <mergeCell ref="K29:M29"/>
    <mergeCell ref="Y29:AA29"/>
    <mergeCell ref="D30:F30"/>
    <mergeCell ref="H30:J30"/>
    <mergeCell ref="K30:M30"/>
    <mergeCell ref="Y30:AA30"/>
    <mergeCell ref="D35:F35"/>
    <mergeCell ref="H35:J35"/>
    <mergeCell ref="K35:M35"/>
    <mergeCell ref="Y35:AA35"/>
    <mergeCell ref="D36:F36"/>
    <mergeCell ref="H36:J36"/>
    <mergeCell ref="K36:M36"/>
    <mergeCell ref="Y36:AA36"/>
    <mergeCell ref="D33:F33"/>
    <mergeCell ref="H33:J33"/>
    <mergeCell ref="K33:M33"/>
    <mergeCell ref="Y33:AA33"/>
    <mergeCell ref="D34:F34"/>
    <mergeCell ref="H34:J34"/>
    <mergeCell ref="K34:M34"/>
    <mergeCell ref="Y34:AA34"/>
    <mergeCell ref="D39:F39"/>
    <mergeCell ref="H39:J39"/>
    <mergeCell ref="K39:M39"/>
    <mergeCell ref="Y39:AA39"/>
    <mergeCell ref="D40:F40"/>
    <mergeCell ref="H40:J40"/>
    <mergeCell ref="K40:M40"/>
    <mergeCell ref="Y40:AA40"/>
    <mergeCell ref="D37:F37"/>
    <mergeCell ref="H37:J37"/>
    <mergeCell ref="K37:M37"/>
    <mergeCell ref="Y37:AA37"/>
    <mergeCell ref="D38:F38"/>
    <mergeCell ref="H38:J38"/>
    <mergeCell ref="K38:M38"/>
    <mergeCell ref="Y38:AA38"/>
    <mergeCell ref="D43:F43"/>
    <mergeCell ref="H43:J43"/>
    <mergeCell ref="K43:M43"/>
    <mergeCell ref="Y43:AA43"/>
    <mergeCell ref="D44:F44"/>
    <mergeCell ref="H44:J44"/>
    <mergeCell ref="K44:M44"/>
    <mergeCell ref="Y44:AA44"/>
    <mergeCell ref="D41:F41"/>
    <mergeCell ref="H41:J41"/>
    <mergeCell ref="K41:M41"/>
    <mergeCell ref="Y41:AA41"/>
    <mergeCell ref="D42:F42"/>
    <mergeCell ref="H42:J42"/>
    <mergeCell ref="K42:M42"/>
    <mergeCell ref="Y42:AA42"/>
    <mergeCell ref="D47:F47"/>
    <mergeCell ref="H47:J47"/>
    <mergeCell ref="K47:M47"/>
    <mergeCell ref="Y47:AA47"/>
    <mergeCell ref="D48:F48"/>
    <mergeCell ref="H48:J48"/>
    <mergeCell ref="K48:M48"/>
    <mergeCell ref="Y48:AA48"/>
    <mergeCell ref="D45:F45"/>
    <mergeCell ref="H45:J45"/>
    <mergeCell ref="K45:M45"/>
    <mergeCell ref="Y45:AA45"/>
    <mergeCell ref="D46:F46"/>
    <mergeCell ref="H46:J46"/>
    <mergeCell ref="K46:M46"/>
    <mergeCell ref="Y46:AA46"/>
    <mergeCell ref="D51:F51"/>
    <mergeCell ref="H51:J51"/>
    <mergeCell ref="K51:M51"/>
    <mergeCell ref="Y51:AA51"/>
    <mergeCell ref="D52:F52"/>
    <mergeCell ref="H52:J52"/>
    <mergeCell ref="K52:M52"/>
    <mergeCell ref="Y52:AA52"/>
    <mergeCell ref="D49:F49"/>
    <mergeCell ref="H49:J49"/>
    <mergeCell ref="K49:M49"/>
    <mergeCell ref="Y49:AA49"/>
    <mergeCell ref="D50:F50"/>
    <mergeCell ref="H50:J50"/>
    <mergeCell ref="K50:M50"/>
    <mergeCell ref="Y50:AA50"/>
    <mergeCell ref="D55:F55"/>
    <mergeCell ref="H55:J55"/>
    <mergeCell ref="K55:M55"/>
    <mergeCell ref="Y55:AA55"/>
    <mergeCell ref="D56:F56"/>
    <mergeCell ref="H56:J56"/>
    <mergeCell ref="K56:M56"/>
    <mergeCell ref="Y56:AA56"/>
    <mergeCell ref="D53:F53"/>
    <mergeCell ref="H53:J53"/>
    <mergeCell ref="K53:M53"/>
    <mergeCell ref="Y53:AA53"/>
    <mergeCell ref="D54:F54"/>
    <mergeCell ref="H54:J54"/>
    <mergeCell ref="K54:M54"/>
    <mergeCell ref="Y54:AA54"/>
    <mergeCell ref="D59:F59"/>
    <mergeCell ref="H59:J59"/>
    <mergeCell ref="K59:M59"/>
    <mergeCell ref="Y59:AA59"/>
    <mergeCell ref="D60:F60"/>
    <mergeCell ref="H60:J60"/>
    <mergeCell ref="K60:M60"/>
    <mergeCell ref="Y60:AA60"/>
    <mergeCell ref="D57:F57"/>
    <mergeCell ref="H57:J57"/>
    <mergeCell ref="K57:M57"/>
    <mergeCell ref="Y57:AA57"/>
    <mergeCell ref="D58:F58"/>
    <mergeCell ref="H58:J58"/>
    <mergeCell ref="K58:M58"/>
    <mergeCell ref="Y58:AA58"/>
    <mergeCell ref="D63:F63"/>
    <mergeCell ref="H63:J63"/>
    <mergeCell ref="K63:M63"/>
    <mergeCell ref="Y63:AA63"/>
    <mergeCell ref="D64:F64"/>
    <mergeCell ref="H64:J64"/>
    <mergeCell ref="K64:M64"/>
    <mergeCell ref="Y64:AA64"/>
    <mergeCell ref="D61:F61"/>
    <mergeCell ref="H61:J61"/>
    <mergeCell ref="K61:M61"/>
    <mergeCell ref="Y61:AA61"/>
    <mergeCell ref="D62:F62"/>
    <mergeCell ref="H62:J62"/>
    <mergeCell ref="K62:M62"/>
    <mergeCell ref="Y62:AA62"/>
    <mergeCell ref="D67:F67"/>
    <mergeCell ref="H67:J67"/>
    <mergeCell ref="K67:M67"/>
    <mergeCell ref="Y67:AA67"/>
    <mergeCell ref="D68:F68"/>
    <mergeCell ref="H68:J68"/>
    <mergeCell ref="K68:M68"/>
    <mergeCell ref="Y68:AA68"/>
    <mergeCell ref="D65:F65"/>
    <mergeCell ref="H65:J65"/>
    <mergeCell ref="K65:M65"/>
    <mergeCell ref="Y65:AA65"/>
    <mergeCell ref="D66:F66"/>
    <mergeCell ref="H66:J66"/>
    <mergeCell ref="K66:M66"/>
    <mergeCell ref="Y66:AA66"/>
    <mergeCell ref="D71:F71"/>
    <mergeCell ref="H71:J71"/>
    <mergeCell ref="K71:M71"/>
    <mergeCell ref="Y71:AA71"/>
    <mergeCell ref="D72:F72"/>
    <mergeCell ref="H72:J72"/>
    <mergeCell ref="K72:M72"/>
    <mergeCell ref="Y72:AA72"/>
    <mergeCell ref="D69:F69"/>
    <mergeCell ref="H69:J69"/>
    <mergeCell ref="K69:M69"/>
    <mergeCell ref="Y69:AA69"/>
    <mergeCell ref="D70:F70"/>
    <mergeCell ref="H70:J70"/>
    <mergeCell ref="K70:M70"/>
    <mergeCell ref="Y70:AA70"/>
    <mergeCell ref="D75:F75"/>
    <mergeCell ref="H75:J75"/>
    <mergeCell ref="K75:M75"/>
    <mergeCell ref="Y75:AA75"/>
    <mergeCell ref="D76:F76"/>
    <mergeCell ref="H76:J76"/>
    <mergeCell ref="K76:M76"/>
    <mergeCell ref="Y76:AA76"/>
    <mergeCell ref="D73:F73"/>
    <mergeCell ref="H73:J73"/>
    <mergeCell ref="K73:M73"/>
    <mergeCell ref="Y73:AA73"/>
    <mergeCell ref="D74:F74"/>
    <mergeCell ref="H74:J74"/>
    <mergeCell ref="K74:M74"/>
    <mergeCell ref="Y74:AA74"/>
    <mergeCell ref="D79:F79"/>
    <mergeCell ref="H79:J79"/>
    <mergeCell ref="K79:M79"/>
    <mergeCell ref="Y79:AA79"/>
    <mergeCell ref="D80:F80"/>
    <mergeCell ref="H80:J80"/>
    <mergeCell ref="K80:M80"/>
    <mergeCell ref="Y80:AA80"/>
    <mergeCell ref="D77:F77"/>
    <mergeCell ref="H77:J77"/>
    <mergeCell ref="K77:M77"/>
    <mergeCell ref="Y77:AA77"/>
    <mergeCell ref="D78:F78"/>
    <mergeCell ref="H78:J78"/>
    <mergeCell ref="K78:M78"/>
    <mergeCell ref="Y78:AA78"/>
    <mergeCell ref="D83:F83"/>
    <mergeCell ref="H83:J83"/>
    <mergeCell ref="K83:M83"/>
    <mergeCell ref="Y83:AA83"/>
    <mergeCell ref="D84:F84"/>
    <mergeCell ref="H84:J84"/>
    <mergeCell ref="K84:M84"/>
    <mergeCell ref="Y84:AA84"/>
    <mergeCell ref="D81:F81"/>
    <mergeCell ref="H81:J81"/>
    <mergeCell ref="K81:M81"/>
    <mergeCell ref="Y81:AA81"/>
    <mergeCell ref="D82:F82"/>
    <mergeCell ref="H82:J82"/>
    <mergeCell ref="K82:M82"/>
    <mergeCell ref="Y82:AA82"/>
    <mergeCell ref="D87:F87"/>
    <mergeCell ref="H87:J87"/>
    <mergeCell ref="K87:M87"/>
    <mergeCell ref="Y87:AA87"/>
    <mergeCell ref="D88:F88"/>
    <mergeCell ref="H88:J88"/>
    <mergeCell ref="K88:M88"/>
    <mergeCell ref="Y88:AA88"/>
    <mergeCell ref="D85:F85"/>
    <mergeCell ref="H85:J85"/>
    <mergeCell ref="K85:M85"/>
    <mergeCell ref="Y85:AA85"/>
    <mergeCell ref="D86:F86"/>
    <mergeCell ref="H86:J86"/>
    <mergeCell ref="K86:M86"/>
    <mergeCell ref="Y86:AA86"/>
    <mergeCell ref="D91:F91"/>
    <mergeCell ref="H91:J91"/>
    <mergeCell ref="K91:M91"/>
    <mergeCell ref="Y91:AA91"/>
    <mergeCell ref="D92:F92"/>
    <mergeCell ref="H92:J92"/>
    <mergeCell ref="K92:M92"/>
    <mergeCell ref="Y92:AA92"/>
    <mergeCell ref="D89:F89"/>
    <mergeCell ref="H89:J89"/>
    <mergeCell ref="K89:M89"/>
    <mergeCell ref="Y89:AA89"/>
    <mergeCell ref="D90:F90"/>
    <mergeCell ref="H90:J90"/>
    <mergeCell ref="K90:M90"/>
    <mergeCell ref="Y90:AA90"/>
    <mergeCell ref="D95:F95"/>
    <mergeCell ref="H95:J95"/>
    <mergeCell ref="K95:M95"/>
    <mergeCell ref="Y95:AA95"/>
    <mergeCell ref="D96:F96"/>
    <mergeCell ref="H96:J96"/>
    <mergeCell ref="K96:M96"/>
    <mergeCell ref="Y96:AA96"/>
    <mergeCell ref="D93:F93"/>
    <mergeCell ref="H93:J93"/>
    <mergeCell ref="K93:M93"/>
    <mergeCell ref="Y93:AA93"/>
    <mergeCell ref="D94:F94"/>
    <mergeCell ref="H94:J94"/>
    <mergeCell ref="K94:M94"/>
    <mergeCell ref="Y94:AA94"/>
    <mergeCell ref="D99:F99"/>
    <mergeCell ref="H99:J99"/>
    <mergeCell ref="K99:M99"/>
    <mergeCell ref="Y99:AA99"/>
    <mergeCell ref="D100:F100"/>
    <mergeCell ref="H100:J100"/>
    <mergeCell ref="K100:M100"/>
    <mergeCell ref="Y100:AA100"/>
    <mergeCell ref="D97:F97"/>
    <mergeCell ref="H97:J97"/>
    <mergeCell ref="K97:M97"/>
    <mergeCell ref="Y97:AA97"/>
    <mergeCell ref="D98:F98"/>
    <mergeCell ref="H98:J98"/>
    <mergeCell ref="K98:M98"/>
    <mergeCell ref="Y98:AA98"/>
    <mergeCell ref="D103:F103"/>
    <mergeCell ref="H103:J103"/>
    <mergeCell ref="K103:M103"/>
    <mergeCell ref="Y103:AA103"/>
    <mergeCell ref="D104:F104"/>
    <mergeCell ref="H104:J104"/>
    <mergeCell ref="K104:M104"/>
    <mergeCell ref="Y104:AA104"/>
    <mergeCell ref="D101:F101"/>
    <mergeCell ref="H101:J101"/>
    <mergeCell ref="K101:M101"/>
    <mergeCell ref="Y101:AA101"/>
    <mergeCell ref="D102:F102"/>
    <mergeCell ref="H102:J102"/>
    <mergeCell ref="K102:M102"/>
    <mergeCell ref="Y102:AA102"/>
    <mergeCell ref="D107:F107"/>
    <mergeCell ref="H107:J107"/>
    <mergeCell ref="K107:M107"/>
    <mergeCell ref="Y107:AA107"/>
    <mergeCell ref="D108:F108"/>
    <mergeCell ref="H108:J108"/>
    <mergeCell ref="K108:M108"/>
    <mergeCell ref="Y108:AA108"/>
    <mergeCell ref="D105:F105"/>
    <mergeCell ref="H105:J105"/>
    <mergeCell ref="K105:M105"/>
    <mergeCell ref="Y105:AA105"/>
    <mergeCell ref="D106:F106"/>
    <mergeCell ref="H106:J106"/>
    <mergeCell ref="K106:M106"/>
    <mergeCell ref="Y106:AA106"/>
    <mergeCell ref="D111:F111"/>
    <mergeCell ref="H111:J111"/>
    <mergeCell ref="K111:M111"/>
    <mergeCell ref="Y111:AA111"/>
    <mergeCell ref="D112:F112"/>
    <mergeCell ref="H112:J112"/>
    <mergeCell ref="K112:M112"/>
    <mergeCell ref="Y112:AA112"/>
    <mergeCell ref="D109:F109"/>
    <mergeCell ref="H109:J109"/>
    <mergeCell ref="K109:M109"/>
    <mergeCell ref="Y109:AA109"/>
    <mergeCell ref="D110:F110"/>
    <mergeCell ref="H110:J110"/>
    <mergeCell ref="K110:M110"/>
    <mergeCell ref="Y110:AA110"/>
    <mergeCell ref="D115:F115"/>
    <mergeCell ref="H115:J115"/>
    <mergeCell ref="K115:M115"/>
    <mergeCell ref="Y115:AA115"/>
    <mergeCell ref="D116:F116"/>
    <mergeCell ref="H116:J116"/>
    <mergeCell ref="K116:M116"/>
    <mergeCell ref="Y116:AA116"/>
    <mergeCell ref="D113:F113"/>
    <mergeCell ref="H113:J113"/>
    <mergeCell ref="K113:M113"/>
    <mergeCell ref="Y113:AA113"/>
    <mergeCell ref="D114:F114"/>
    <mergeCell ref="H114:J114"/>
    <mergeCell ref="K114:M114"/>
    <mergeCell ref="Y114:AA114"/>
    <mergeCell ref="D119:F119"/>
    <mergeCell ref="H119:J119"/>
    <mergeCell ref="K119:M119"/>
    <mergeCell ref="Y119:AA119"/>
    <mergeCell ref="D120:F120"/>
    <mergeCell ref="H120:J120"/>
    <mergeCell ref="K120:M120"/>
    <mergeCell ref="Y120:AA120"/>
    <mergeCell ref="D117:F117"/>
    <mergeCell ref="H117:J117"/>
    <mergeCell ref="K117:M117"/>
    <mergeCell ref="Y117:AA117"/>
    <mergeCell ref="D118:F118"/>
    <mergeCell ref="H118:J118"/>
    <mergeCell ref="K118:M118"/>
    <mergeCell ref="Y118:AA118"/>
    <mergeCell ref="D123:F123"/>
    <mergeCell ref="H123:J123"/>
    <mergeCell ref="K123:M123"/>
    <mergeCell ref="Y123:AA123"/>
    <mergeCell ref="D124:F124"/>
    <mergeCell ref="H124:J124"/>
    <mergeCell ref="K124:M124"/>
    <mergeCell ref="Y124:AA124"/>
    <mergeCell ref="D121:F121"/>
    <mergeCell ref="H121:J121"/>
    <mergeCell ref="K121:M121"/>
    <mergeCell ref="Y121:AA121"/>
    <mergeCell ref="D122:F122"/>
    <mergeCell ref="H122:J122"/>
    <mergeCell ref="K122:M122"/>
    <mergeCell ref="Y122:AA122"/>
    <mergeCell ref="D127:F127"/>
    <mergeCell ref="H127:J127"/>
    <mergeCell ref="K127:M127"/>
    <mergeCell ref="Y127:AA127"/>
    <mergeCell ref="D128:F128"/>
    <mergeCell ref="H128:J128"/>
    <mergeCell ref="K128:M128"/>
    <mergeCell ref="Y128:AA128"/>
    <mergeCell ref="D125:F125"/>
    <mergeCell ref="H125:J125"/>
    <mergeCell ref="K125:M125"/>
    <mergeCell ref="Y125:AA125"/>
    <mergeCell ref="D126:F126"/>
    <mergeCell ref="H126:J126"/>
    <mergeCell ref="K126:M126"/>
    <mergeCell ref="Y126:AA126"/>
    <mergeCell ref="D131:F131"/>
    <mergeCell ref="H131:J131"/>
    <mergeCell ref="K131:M131"/>
    <mergeCell ref="Y131:AA131"/>
    <mergeCell ref="D132:F132"/>
    <mergeCell ref="H132:J132"/>
    <mergeCell ref="K132:M132"/>
    <mergeCell ref="Y132:AA132"/>
    <mergeCell ref="D129:F129"/>
    <mergeCell ref="H129:J129"/>
    <mergeCell ref="K129:M129"/>
    <mergeCell ref="Y129:AA129"/>
    <mergeCell ref="D130:F130"/>
    <mergeCell ref="H130:J130"/>
    <mergeCell ref="K130:M130"/>
    <mergeCell ref="Y130:AA130"/>
    <mergeCell ref="D135:F135"/>
    <mergeCell ref="H135:J135"/>
    <mergeCell ref="K135:M135"/>
    <mergeCell ref="Y135:AA135"/>
    <mergeCell ref="D136:F136"/>
    <mergeCell ref="H136:J136"/>
    <mergeCell ref="K136:M136"/>
    <mergeCell ref="Y136:AA136"/>
    <mergeCell ref="D133:F133"/>
    <mergeCell ref="H133:J133"/>
    <mergeCell ref="K133:M133"/>
    <mergeCell ref="Y133:AA133"/>
    <mergeCell ref="D134:F134"/>
    <mergeCell ref="H134:J134"/>
    <mergeCell ref="K134:M134"/>
    <mergeCell ref="Y134:AA134"/>
    <mergeCell ref="D139:F139"/>
    <mergeCell ref="H139:J139"/>
    <mergeCell ref="K139:M139"/>
    <mergeCell ref="Y139:AA139"/>
    <mergeCell ref="D140:F140"/>
    <mergeCell ref="H140:J140"/>
    <mergeCell ref="K140:M140"/>
    <mergeCell ref="Y140:AA140"/>
    <mergeCell ref="D137:F137"/>
    <mergeCell ref="H137:J137"/>
    <mergeCell ref="K137:M137"/>
    <mergeCell ref="Y137:AA137"/>
    <mergeCell ref="D138:F138"/>
    <mergeCell ref="H138:J138"/>
    <mergeCell ref="K138:M138"/>
    <mergeCell ref="Y138:AA138"/>
    <mergeCell ref="D143:F143"/>
    <mergeCell ref="H143:J143"/>
    <mergeCell ref="K143:M143"/>
    <mergeCell ref="Y143:AA143"/>
    <mergeCell ref="D144:F144"/>
    <mergeCell ref="H144:J144"/>
    <mergeCell ref="K144:M144"/>
    <mergeCell ref="Y144:AA144"/>
    <mergeCell ref="D141:F141"/>
    <mergeCell ref="H141:J141"/>
    <mergeCell ref="K141:M141"/>
    <mergeCell ref="Y141:AA141"/>
    <mergeCell ref="D142:F142"/>
    <mergeCell ref="H142:J142"/>
    <mergeCell ref="K142:M142"/>
    <mergeCell ref="Y142:AA142"/>
    <mergeCell ref="D147:F147"/>
    <mergeCell ref="H147:J147"/>
    <mergeCell ref="K147:M147"/>
    <mergeCell ref="Y147:AA147"/>
    <mergeCell ref="D148:F148"/>
    <mergeCell ref="H148:J148"/>
    <mergeCell ref="K148:M148"/>
    <mergeCell ref="Y148:AA148"/>
    <mergeCell ref="D145:F145"/>
    <mergeCell ref="H145:J145"/>
    <mergeCell ref="K145:M145"/>
    <mergeCell ref="Y145:AA145"/>
    <mergeCell ref="D146:F146"/>
    <mergeCell ref="H146:J146"/>
    <mergeCell ref="K146:M146"/>
    <mergeCell ref="Y146:AA146"/>
    <mergeCell ref="D151:F151"/>
    <mergeCell ref="H151:J151"/>
    <mergeCell ref="K151:M151"/>
    <mergeCell ref="Y151:AA151"/>
    <mergeCell ref="D152:F152"/>
    <mergeCell ref="H152:J152"/>
    <mergeCell ref="K152:M152"/>
    <mergeCell ref="Y152:AA152"/>
    <mergeCell ref="D149:F149"/>
    <mergeCell ref="H149:J149"/>
    <mergeCell ref="K149:M149"/>
    <mergeCell ref="Y149:AA149"/>
    <mergeCell ref="D150:F150"/>
    <mergeCell ref="H150:J150"/>
    <mergeCell ref="K150:M150"/>
    <mergeCell ref="Y150:AA150"/>
    <mergeCell ref="D155:F155"/>
    <mergeCell ref="H155:J155"/>
    <mergeCell ref="K155:M155"/>
    <mergeCell ref="Y155:AA155"/>
    <mergeCell ref="B157:M158"/>
    <mergeCell ref="O158:S158"/>
    <mergeCell ref="W158:AA158"/>
    <mergeCell ref="D153:F153"/>
    <mergeCell ref="H153:J153"/>
    <mergeCell ref="K153:M153"/>
    <mergeCell ref="Y153:AA153"/>
    <mergeCell ref="D154:F154"/>
    <mergeCell ref="H154:J154"/>
    <mergeCell ref="K154:M154"/>
    <mergeCell ref="Y154:AA154"/>
    <mergeCell ref="AC158:AD158"/>
    <mergeCell ref="AE158:AO158"/>
    <mergeCell ref="B159:M162"/>
    <mergeCell ref="O159:S159"/>
    <mergeCell ref="W159:AA159"/>
    <mergeCell ref="AC159:AD159"/>
    <mergeCell ref="AE159:AO159"/>
    <mergeCell ref="O160:S160"/>
    <mergeCell ref="W160:AA160"/>
    <mergeCell ref="AC160:AD160"/>
    <mergeCell ref="O163:S163"/>
    <mergeCell ref="W163:AA163"/>
    <mergeCell ref="AE160:AN160"/>
    <mergeCell ref="O161:S161"/>
    <mergeCell ref="W161:AA161"/>
    <mergeCell ref="AC161:AD161"/>
    <mergeCell ref="AE161:AN161"/>
    <mergeCell ref="O162:S162"/>
    <mergeCell ref="W162:AA162"/>
    <mergeCell ref="AC162:AD162"/>
    <mergeCell ref="AE162:AN162"/>
  </mergeCells>
  <dataValidations count="6">
    <dataValidation type="list" allowBlank="1" showInputMessage="1" showErrorMessage="1" sqref="WNF9:WNF155 WDJ9:WDJ155 VTN9:VTN155 VJR9:VJR155 UZV9:UZV155 UPZ9:UPZ155 UGD9:UGD155 TWH9:TWH155 TML9:TML155 TCP9:TCP155 SST9:SST155 SIX9:SIX155 RZB9:RZB155 RPF9:RPF155 RFJ9:RFJ155 QVN9:QVN155 QLR9:QLR155 QBV9:QBV155 PRZ9:PRZ155 PID9:PID155 OYH9:OYH155 OOL9:OOL155 OEP9:OEP155 NUT9:NUT155 NKX9:NKX155 NBB9:NBB155 MRF9:MRF155 MHJ9:MHJ155 LXN9:LXN155 LNR9:LNR155 LDV9:LDV155 KTZ9:KTZ155 KKD9:KKD155 KAH9:KAH155 JQL9:JQL155 JGP9:JGP155 IWT9:IWT155 IMX9:IMX155 IDB9:IDB155 HTF9:HTF155 HJJ9:HJJ155 GZN9:GZN155 GPR9:GPR155 GFV9:GFV155 FVZ9:FVZ155 FMD9:FMD155 FCH9:FCH155 ESL9:ESL155 EIP9:EIP155 DYT9:DYT155 DOX9:DOX155 DFB9:DFB155 CVF9:CVF155 CLJ9:CLJ155 CBN9:CBN155 BRR9:BRR155 BHV9:BHV155 AXZ9:AXZ155 AOD9:AOD155 AEH9:AEH155 UL9:UL155 KP9:KP155 WXB9:WXB155 AT15:AT155 AT9:AT12">
      <formula1>SINO</formula1>
    </dataValidation>
    <dataValidation type="list" allowBlank="1" showInputMessage="1" showErrorMessage="1" sqref="R15:R155 R9:R12 WCI9:WCI155 VSM9:VSM155 VIQ9:VIQ155 UYU9:UYU155 UOY9:UOY155 UFC9:UFC155 TVG9:TVG155 TLK9:TLK155 TBO9:TBO155 SRS9:SRS155 SHW9:SHW155 RYA9:RYA155 ROE9:ROE155 REI9:REI155 QUM9:QUM155 QKQ9:QKQ155 QAU9:QAU155 PQY9:PQY155 PHC9:PHC155 OXG9:OXG155 ONK9:ONK155 ODO9:ODO155 NTS9:NTS155 NJW9:NJW155 NAA9:NAA155 MQE9:MQE155 MGI9:MGI155 LWM9:LWM155 LMQ9:LMQ155 LCU9:LCU155 KSY9:KSY155 KJC9:KJC155 JZG9:JZG155 JPK9:JPK155 JFO9:JFO155 IVS9:IVS155 ILW9:ILW155 ICA9:ICA155 HSE9:HSE155 HII9:HII155 GYM9:GYM155 GOQ9:GOQ155 GEU9:GEU155 FUY9:FUY155 FLC9:FLC155 FBG9:FBG155 ERK9:ERK155 EHO9:EHO155 DXS9:DXS155 DNW9:DNW155 DEA9:DEA155 CUE9:CUE155 CKI9:CKI155 CAM9:CAM155 BQQ9:BQQ155 BGU9:BGU155 AWY9:AWY155 ANC9:ANC155 ADG9:ADG155 TK9:TK155 JO9:JO155 WME9:WME155 WWA9:WWA155">
      <formula1>PROBAB</formula1>
    </dataValidation>
    <dataValidation type="list" allowBlank="1" showInputMessage="1" showErrorMessage="1" sqref="S15:S155 S9:S12 WCJ9:WCJ155 VSN9:VSN155 VIR9:VIR155 UYV9:UYV155 UOZ9:UOZ155 UFD9:UFD155 TVH9:TVH155 TLL9:TLL155 TBP9:TBP155 SRT9:SRT155 SHX9:SHX155 RYB9:RYB155 ROF9:ROF155 REJ9:REJ155 QUN9:QUN155 QKR9:QKR155 QAV9:QAV155 PQZ9:PQZ155 PHD9:PHD155 OXH9:OXH155 ONL9:ONL155 ODP9:ODP155 NTT9:NTT155 NJX9:NJX155 NAB9:NAB155 MQF9:MQF155 MGJ9:MGJ155 LWN9:LWN155 LMR9:LMR155 LCV9:LCV155 KSZ9:KSZ155 KJD9:KJD155 JZH9:JZH155 JPL9:JPL155 JFP9:JFP155 IVT9:IVT155 ILX9:ILX155 ICB9:ICB155 HSF9:HSF155 HIJ9:HIJ155 GYN9:GYN155 GOR9:GOR155 GEV9:GEV155 FUZ9:FUZ155 FLD9:FLD155 FBH9:FBH155 ERL9:ERL155 EHP9:EHP155 DXT9:DXT155 DNX9:DNX155 DEB9:DEB155 CUF9:CUF155 CKJ9:CKJ155 CAN9:CAN155 BQR9:BQR155 BGV9:BGV155 AWZ9:AWZ155 AND9:AND155 ADH9:ADH155 TL9:TL155 JP9:JP155 WMF9:WMF155 WWB9:WWB155">
      <formula1>IMPACTO</formula1>
    </dataValidation>
    <dataValidation type="list" showInputMessage="1" showErrorMessage="1" errorTitle="Rechazado" error="Solo son validadas las opciones de la lista" sqref="AF15:AF155 AF9:AF12 WCV9:WCV155 VSZ9:VSZ155 VJD9:VJD155 UZH9:UZH155 UPL9:UPL155 UFP9:UFP155 TVT9:TVT155 TLX9:TLX155 TCB9:TCB155 SSF9:SSF155 SIJ9:SIJ155 RYN9:RYN155 ROR9:ROR155 REV9:REV155 QUZ9:QUZ155 QLD9:QLD155 QBH9:QBH155 PRL9:PRL155 PHP9:PHP155 OXT9:OXT155 ONX9:ONX155 OEB9:OEB155 NUF9:NUF155 NKJ9:NKJ155 NAN9:NAN155 MQR9:MQR155 MGV9:MGV155 LWZ9:LWZ155 LND9:LND155 LDH9:LDH155 KTL9:KTL155 KJP9:KJP155 JZT9:JZT155 JPX9:JPX155 JGB9:JGB155 IWF9:IWF155 IMJ9:IMJ155 ICN9:ICN155 HSR9:HSR155 HIV9:HIV155 GYZ9:GYZ155 GPD9:GPD155 GFH9:GFH155 FVL9:FVL155 FLP9:FLP155 FBT9:FBT155 ERX9:ERX155 EIB9:EIB155 DYF9:DYF155 DOJ9:DOJ155 DEN9:DEN155 CUR9:CUR155 CKV9:CKV155 CAZ9:CAZ155 BRD9:BRD155 BHH9:BHH155 AXL9:AXL155 ANP9:ANP155 ADT9:ADT155 TX9:TX155 KB9:KB155 WMR9:WMR155 WWN9:WWN155">
      <formula1>Efecto</formula1>
    </dataValidation>
    <dataValidation showInputMessage="1" showErrorMessage="1" sqref="AH15:AL155 AJ9:AJ12 AL9:AL12 AH9:AI14 AK9:AK14 WCX9:WDB155 VTB9:VTF155 VJF9:VJJ155 UZJ9:UZN155 UPN9:UPR155 UFR9:UFV155 TVV9:TVZ155 TLZ9:TMD155 TCD9:TCH155 SSH9:SSL155 SIL9:SIP155 RYP9:RYT155 ROT9:ROX155 REX9:RFB155 QVB9:QVF155 QLF9:QLJ155 QBJ9:QBN155 PRN9:PRR155 PHR9:PHV155 OXV9:OXZ155 ONZ9:OOD155 OED9:OEH155 NUH9:NUL155 NKL9:NKP155 NAP9:NAT155 MQT9:MQX155 MGX9:MHB155 LXB9:LXF155 LNF9:LNJ155 LDJ9:LDN155 KTN9:KTR155 KJR9:KJV155 JZV9:JZZ155 JPZ9:JQD155 JGD9:JGH155 IWH9:IWL155 IML9:IMP155 ICP9:ICT155 HST9:HSX155 HIX9:HJB155 GZB9:GZF155 GPF9:GPJ155 GFJ9:GFN155 FVN9:FVR155 FLR9:FLV155 FBV9:FBZ155 ERZ9:ESD155 EID9:EIH155 DYH9:DYL155 DOL9:DOP155 DEP9:DET155 CUT9:CUX155 CKX9:CLB155 CBB9:CBF155 BRF9:BRJ155 BHJ9:BHN155 AXN9:AXR155 ANR9:ANV155 ADV9:ADZ155 TZ9:UD155 KD9:KH155 WMT9:WMX155 WWP9:WWT155"/>
    <dataValidation type="whole" allowBlank="1" showInputMessage="1" showErrorMessage="1" sqref="AE15:AE155 AE9:AE12 WCU9:WCU155 VSY9:VSY155 VJC9:VJC155 UZG9:UZG155 UPK9:UPK155 UFO9:UFO155 TVS9:TVS155 TLW9:TLW155 TCA9:TCA155 SSE9:SSE155 SII9:SII155 RYM9:RYM155 ROQ9:ROQ155 REU9:REU155 QUY9:QUY155 QLC9:QLC155 QBG9:QBG155 PRK9:PRK155 PHO9:PHO155 OXS9:OXS155 ONW9:ONW155 OEA9:OEA155 NUE9:NUE155 NKI9:NKI155 NAM9:NAM155 MQQ9:MQQ155 MGU9:MGU155 LWY9:LWY155 LNC9:LNC155 LDG9:LDG155 KTK9:KTK155 KJO9:KJO155 JZS9:JZS155 JPW9:JPW155 JGA9:JGA155 IWE9:IWE155 IMI9:IMI155 ICM9:ICM155 HSQ9:HSQ155 HIU9:HIU155 GYY9:GYY155 GPC9:GPC155 GFG9:GFG155 FVK9:FVK155 FLO9:FLO155 FBS9:FBS155 ERW9:ERW155 EIA9:EIA155 DYE9:DYE155 DOI9:DOI155 DEM9:DEM155 CUQ9:CUQ155 CKU9:CKU155 CAY9:CAY155 BRC9:BRC155 BHG9:BHG155 AXK9:AXK155 ANO9:ANO155 ADS9:ADS155 TW9:TW155 KA9:KA155 WMQ9:WMQ155 WWM9:WWM155">
      <formula1>0</formula1>
      <formula2>100</formula2>
    </dataValidation>
  </dataValidations>
  <printOptions horizontalCentered="1" verticalCentered="1"/>
  <pageMargins left="0.39370078740157483" right="0.39370078740157483" top="0.59055118110236227" bottom="0.39370078740157483" header="0.51181102362204722" footer="0.27559055118110237"/>
  <pageSetup scale="55" firstPageNumber="0" orientation="landscape" r:id="rId1"/>
  <headerFooter>
    <oddFooter>&amp;L&amp;9Formato: FO-AC-07 Versión: 3&amp;C&amp;9Página &amp;P</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M25"/>
  <sheetViews>
    <sheetView view="pageBreakPreview" zoomScale="85" zoomScaleNormal="118" zoomScaleSheetLayoutView="85" zoomScalePageLayoutView="95" workbookViewId="0">
      <pane xSplit="5" ySplit="8" topLeftCell="F9" activePane="bottomRight" state="frozen"/>
      <selection pane="topRight" activeCell="F1" sqref="F1"/>
      <selection pane="bottomLeft" activeCell="A9" sqref="A9"/>
      <selection pane="bottomRight"/>
    </sheetView>
  </sheetViews>
  <sheetFormatPr baseColWidth="10" defaultRowHeight="12.75"/>
  <cols>
    <col min="1" max="1" width="12" style="235" customWidth="1"/>
    <col min="2" max="2" width="2.7109375" style="235" customWidth="1"/>
    <col min="3" max="3" width="6.5703125" style="235" customWidth="1"/>
    <col min="4" max="4" width="8.85546875" style="235" customWidth="1"/>
    <col min="5" max="5" width="1.28515625" style="235" customWidth="1"/>
    <col min="6" max="6" width="6.5703125" style="235" customWidth="1"/>
    <col min="7" max="7" width="8.42578125" style="235" customWidth="1"/>
    <col min="8" max="8" width="6.28515625" style="235" customWidth="1"/>
    <col min="9" max="9" width="10.7109375" style="235" customWidth="1"/>
    <col min="10" max="10" width="2.5703125" style="235" customWidth="1"/>
    <col min="11" max="11" width="14.85546875" style="235" customWidth="1"/>
    <col min="12" max="12" width="4.140625" style="235" customWidth="1"/>
    <col min="13" max="13" width="5.5703125" style="235" customWidth="1"/>
    <col min="14" max="14" width="6" style="235" customWidth="1"/>
    <col min="15" max="15" width="3.7109375" style="235" customWidth="1"/>
    <col min="16" max="16" width="3.5703125" style="235" customWidth="1"/>
    <col min="17" max="17" width="2.85546875" style="235" customWidth="1"/>
    <col min="18" max="18" width="3" style="235" customWidth="1"/>
    <col min="19" max="21" width="11.42578125" style="235" hidden="1" customWidth="1"/>
    <col min="22" max="22" width="4.42578125" style="235" customWidth="1"/>
    <col min="23" max="23" width="11.42578125" style="235" hidden="1" customWidth="1"/>
    <col min="24" max="24" width="14.28515625" style="235" customWidth="1"/>
    <col min="25" max="25" width="10" style="235" customWidth="1"/>
    <col min="26" max="27" width="21" style="235" customWidth="1"/>
    <col min="28" max="28" width="6.42578125" style="235" customWidth="1"/>
    <col min="29" max="29" width="24.85546875" style="235" customWidth="1"/>
    <col min="30" max="30" width="4.140625" style="235" customWidth="1"/>
    <col min="31" max="31" width="3" style="235" customWidth="1"/>
    <col min="32" max="34" width="11.42578125" style="235" hidden="1" customWidth="1"/>
    <col min="35" max="35" width="3" style="235" customWidth="1"/>
    <col min="36" max="36" width="11.42578125" style="235" hidden="1" customWidth="1"/>
    <col min="37" max="37" width="3" style="235" customWidth="1"/>
    <col min="38" max="38" width="11.42578125" style="235" hidden="1" customWidth="1"/>
    <col min="39" max="39" width="4.42578125" style="235" customWidth="1"/>
    <col min="40" max="40" width="25.85546875" style="235" customWidth="1"/>
    <col min="41" max="41" width="28.42578125" style="235" customWidth="1"/>
    <col min="42" max="42" width="17.140625" style="235" customWidth="1"/>
    <col min="43" max="43" width="40.5703125" style="235" customWidth="1"/>
    <col min="44" max="44" width="34.7109375" style="235" customWidth="1"/>
    <col min="45" max="45" width="5.85546875" style="235" customWidth="1"/>
    <col min="46" max="46" width="31.5703125" style="235" hidden="1" customWidth="1"/>
    <col min="47" max="47" width="16.140625" style="235" hidden="1" customWidth="1"/>
    <col min="48" max="49" width="9.28515625" style="235" hidden="1" customWidth="1"/>
    <col min="50" max="50" width="11.140625" style="235" hidden="1" customWidth="1"/>
    <col min="51" max="51" width="2.140625" style="235" hidden="1" customWidth="1"/>
    <col min="52" max="52" width="11.42578125" style="235" hidden="1" customWidth="1"/>
    <col min="53" max="64" width="0" style="235" hidden="1" customWidth="1"/>
    <col min="65"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20.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1260" t="s">
        <v>104</v>
      </c>
      <c r="AE1" s="1260"/>
      <c r="AF1" s="1260"/>
      <c r="AG1" s="1260"/>
      <c r="AH1" s="1260"/>
      <c r="AI1" s="1260"/>
      <c r="AJ1" s="1260"/>
      <c r="AK1" s="1260"/>
      <c r="AL1" s="1260"/>
      <c r="AM1" s="1260"/>
      <c r="AN1" s="1260"/>
      <c r="AP1" s="1247" t="s">
        <v>2320</v>
      </c>
      <c r="AQ1" s="1247"/>
      <c r="AR1" s="1247"/>
      <c r="AS1" s="1247"/>
      <c r="AT1" s="233"/>
      <c r="AU1" s="233"/>
      <c r="AV1" s="233"/>
      <c r="AW1" s="1246"/>
      <c r="AX1" s="1246"/>
      <c r="AY1" s="233"/>
    </row>
    <row r="2" spans="1:1027" ht="18.75" customHeight="1">
      <c r="A2" s="237" t="s">
        <v>2348</v>
      </c>
      <c r="B2" s="233"/>
      <c r="C2" s="233"/>
      <c r="D2" s="233"/>
      <c r="E2" s="233"/>
      <c r="F2" s="233"/>
      <c r="G2" s="1214" t="str">
        <f>UPPER([42]Control!A2)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1260"/>
      <c r="AE2" s="1260"/>
      <c r="AF2" s="1260"/>
      <c r="AG2" s="1260"/>
      <c r="AH2" s="1260"/>
      <c r="AI2" s="1260"/>
      <c r="AJ2" s="1260"/>
      <c r="AK2" s="1260"/>
      <c r="AL2" s="1260"/>
      <c r="AM2" s="1260"/>
      <c r="AN2" s="1260"/>
      <c r="AP2" s="1268" t="s">
        <v>138</v>
      </c>
      <c r="AQ2" s="1269"/>
      <c r="AR2" s="2074" t="str">
        <f>AD1</f>
        <v>INNOVACIÓN Y GESTIÓN DEL CONOCIMIENTO</v>
      </c>
      <c r="AS2" s="2075"/>
      <c r="AT2" s="233"/>
      <c r="AU2" s="233"/>
      <c r="AV2" s="233"/>
      <c r="AW2" s="1246"/>
      <c r="AX2" s="1246"/>
      <c r="AY2" s="233"/>
    </row>
    <row r="3" spans="1:1027" ht="16.5" customHeight="1">
      <c r="A3" s="1435">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2076">
        <v>43710</v>
      </c>
      <c r="AA3" s="2077"/>
      <c r="AB3" s="2078"/>
      <c r="AC3" s="1259" t="s">
        <v>2349</v>
      </c>
      <c r="AD3" s="2082" t="s">
        <v>2493</v>
      </c>
      <c r="AE3" s="2082"/>
      <c r="AF3" s="2082"/>
      <c r="AG3" s="2082"/>
      <c r="AH3" s="2082"/>
      <c r="AI3" s="2082"/>
      <c r="AJ3" s="2082"/>
      <c r="AK3" s="2082"/>
      <c r="AL3" s="2082"/>
      <c r="AM3" s="2082"/>
      <c r="AN3" s="2082"/>
      <c r="AP3" s="1395" t="s">
        <v>2322</v>
      </c>
      <c r="AQ3" s="1395"/>
      <c r="AR3" s="1395" t="s">
        <v>2323</v>
      </c>
      <c r="AS3" s="1395"/>
      <c r="AT3" s="233"/>
      <c r="AU3" s="233"/>
      <c r="AV3" s="233"/>
      <c r="AW3" s="1246"/>
      <c r="AX3" s="1246"/>
      <c r="AY3" s="233"/>
    </row>
    <row r="4" spans="1:1027" ht="17.25" customHeight="1" thickBot="1">
      <c r="A4" s="1435"/>
      <c r="B4" s="233"/>
      <c r="C4" s="233"/>
      <c r="D4" s="233"/>
      <c r="E4" s="233"/>
      <c r="F4" s="233"/>
      <c r="G4" s="1236" t="str">
        <f>[42]Control!A4</f>
        <v>FO-PE-06</v>
      </c>
      <c r="H4" s="1237"/>
      <c r="I4" s="1238" t="str">
        <f>[42]Control!C4</f>
        <v>Planeación Estratégica</v>
      </c>
      <c r="J4" s="1237"/>
      <c r="K4" s="1237"/>
      <c r="L4" s="1237"/>
      <c r="M4" s="1237"/>
      <c r="N4" s="1239"/>
      <c r="O4" s="1238">
        <f>[42]Control!H4</f>
        <v>5</v>
      </c>
      <c r="P4" s="1237"/>
      <c r="Q4" s="1237"/>
      <c r="R4" s="1237"/>
      <c r="S4" s="1237"/>
      <c r="T4" s="1237"/>
      <c r="U4" s="1237"/>
      <c r="V4" s="1239"/>
      <c r="W4" s="239"/>
      <c r="X4" s="1255"/>
      <c r="Y4" s="1256"/>
      <c r="Z4" s="2079"/>
      <c r="AA4" s="2080"/>
      <c r="AB4" s="2081"/>
      <c r="AC4" s="1259"/>
      <c r="AD4" s="2082"/>
      <c r="AE4" s="2082"/>
      <c r="AF4" s="2082"/>
      <c r="AG4" s="2082"/>
      <c r="AH4" s="2082"/>
      <c r="AI4" s="2082"/>
      <c r="AJ4" s="2082"/>
      <c r="AK4" s="2082"/>
      <c r="AL4" s="2082"/>
      <c r="AM4" s="2082"/>
      <c r="AN4" s="2082"/>
      <c r="AP4" s="2083">
        <v>43710</v>
      </c>
      <c r="AQ4" s="2084"/>
      <c r="AR4" s="2084" t="s">
        <v>3888</v>
      </c>
      <c r="AS4" s="2084"/>
      <c r="AT4" s="233"/>
      <c r="AU4" s="233"/>
      <c r="AV4" s="233"/>
      <c r="AW4" s="1246"/>
      <c r="AX4" s="1246"/>
      <c r="AY4" s="233"/>
    </row>
    <row r="5" spans="1:1027" s="243" customFormat="1" ht="18"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2"/>
      <c r="AB5" s="242"/>
      <c r="AC5" s="242"/>
      <c r="AD5" s="241"/>
      <c r="AE5" s="241"/>
      <c r="AF5" s="241"/>
      <c r="AG5" s="241"/>
      <c r="AH5" s="241"/>
      <c r="AI5" s="241"/>
      <c r="AJ5" s="241"/>
      <c r="AK5" s="241"/>
      <c r="AL5" s="241"/>
      <c r="AM5" s="240"/>
      <c r="AN5" s="240"/>
      <c r="AO5" s="240"/>
      <c r="AQ5" s="244"/>
      <c r="AY5" s="245"/>
    </row>
    <row r="6" spans="1:1027" s="243" customFormat="1" ht="24" customHeight="1">
      <c r="A6" s="2071" t="s">
        <v>143</v>
      </c>
      <c r="B6" s="2072"/>
      <c r="C6" s="2072"/>
      <c r="D6" s="2072"/>
      <c r="E6" s="2072"/>
      <c r="F6" s="2072"/>
      <c r="G6" s="2072"/>
      <c r="H6" s="2072"/>
      <c r="I6" s="2072"/>
      <c r="J6" s="2072"/>
      <c r="K6" s="2072"/>
      <c r="L6" s="2072"/>
      <c r="M6" s="2072"/>
      <c r="N6" s="2072"/>
      <c r="O6" s="2072"/>
      <c r="P6" s="2073"/>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782" t="s">
        <v>268</v>
      </c>
      <c r="AO6" s="294"/>
      <c r="AP6" s="247" t="s">
        <v>2325</v>
      </c>
      <c r="AQ6" s="248"/>
      <c r="AR6" s="248"/>
      <c r="AS6" s="249"/>
      <c r="AT6" s="1244" t="s">
        <v>2326</v>
      </c>
      <c r="AU6" s="1244"/>
      <c r="AV6" s="1244"/>
      <c r="AW6" s="1244"/>
      <c r="AX6" s="1245"/>
      <c r="AY6" s="245"/>
    </row>
    <row r="7" spans="1:1027" s="243" customFormat="1" ht="25.5" customHeight="1">
      <c r="A7" s="1217" t="s">
        <v>1004</v>
      </c>
      <c r="B7" s="1218" t="s">
        <v>640</v>
      </c>
      <c r="C7" s="1219" t="s">
        <v>1001</v>
      </c>
      <c r="D7" s="1220"/>
      <c r="E7" s="1221"/>
      <c r="F7" s="1217" t="s">
        <v>1000</v>
      </c>
      <c r="G7" s="1219" t="s">
        <v>999</v>
      </c>
      <c r="H7" s="1220"/>
      <c r="I7" s="1221"/>
      <c r="J7" s="1217" t="s">
        <v>145</v>
      </c>
      <c r="K7" s="1217"/>
      <c r="L7" s="1217"/>
      <c r="M7" s="1225" t="s">
        <v>144</v>
      </c>
      <c r="N7" s="1226"/>
      <c r="O7" s="1226"/>
      <c r="P7" s="1226"/>
      <c r="Q7" s="1227" t="s">
        <v>637</v>
      </c>
      <c r="R7" s="1228"/>
      <c r="S7" s="1228"/>
      <c r="T7" s="1228"/>
      <c r="U7" s="1228"/>
      <c r="V7" s="1229"/>
      <c r="W7" s="250"/>
      <c r="X7" s="1217" t="s">
        <v>2351</v>
      </c>
      <c r="Y7" s="1217"/>
      <c r="Z7" s="1217"/>
      <c r="AA7" s="1284" t="s">
        <v>4175</v>
      </c>
      <c r="AB7" s="1221" t="s">
        <v>998</v>
      </c>
      <c r="AC7" s="1284" t="s">
        <v>641</v>
      </c>
      <c r="AD7" s="1286" t="s">
        <v>546</v>
      </c>
      <c r="AE7" s="1286" t="s">
        <v>638</v>
      </c>
      <c r="AF7" s="251"/>
      <c r="AG7" s="252"/>
      <c r="AH7" s="253"/>
      <c r="AI7" s="1288" t="s">
        <v>639</v>
      </c>
      <c r="AJ7" s="1288"/>
      <c r="AK7" s="1288"/>
      <c r="AL7" s="1288"/>
      <c r="AM7" s="1288"/>
      <c r="AN7" s="1288" t="s">
        <v>2327</v>
      </c>
      <c r="AO7" s="1431" t="s">
        <v>2328</v>
      </c>
      <c r="AP7" s="1432" t="s">
        <v>2353</v>
      </c>
      <c r="AQ7" s="1431" t="s">
        <v>2330</v>
      </c>
      <c r="AR7" s="1432" t="s">
        <v>2354</v>
      </c>
      <c r="AS7" s="1432" t="s">
        <v>2332</v>
      </c>
      <c r="AT7" s="1432" t="s">
        <v>2333</v>
      </c>
      <c r="AU7" s="1432" t="s">
        <v>2334</v>
      </c>
      <c r="AV7" s="1432" t="s">
        <v>2335</v>
      </c>
      <c r="AW7" s="1432" t="s">
        <v>2336</v>
      </c>
      <c r="AX7" s="1432" t="s">
        <v>2337</v>
      </c>
      <c r="AY7" s="245"/>
    </row>
    <row r="8" spans="1:1027" ht="14.25" customHeight="1">
      <c r="A8" s="1217"/>
      <c r="B8" s="1218"/>
      <c r="C8" s="1222"/>
      <c r="D8" s="1223"/>
      <c r="E8" s="1224"/>
      <c r="F8" s="1217"/>
      <c r="G8" s="1222"/>
      <c r="H8" s="1223"/>
      <c r="I8" s="1224"/>
      <c r="J8" s="1217"/>
      <c r="K8" s="1217"/>
      <c r="L8" s="1217"/>
      <c r="M8" s="254" t="s">
        <v>146</v>
      </c>
      <c r="N8" s="254" t="s">
        <v>997</v>
      </c>
      <c r="O8" s="254" t="s">
        <v>65</v>
      </c>
      <c r="P8" s="254" t="s">
        <v>996</v>
      </c>
      <c r="Q8" s="781" t="s">
        <v>147</v>
      </c>
      <c r="R8" s="781" t="s">
        <v>148</v>
      </c>
      <c r="S8" s="255"/>
      <c r="T8" s="255" t="s">
        <v>239</v>
      </c>
      <c r="U8" s="255" t="s">
        <v>242</v>
      </c>
      <c r="V8" s="781" t="s">
        <v>149</v>
      </c>
      <c r="W8" s="256"/>
      <c r="X8" s="1217"/>
      <c r="Y8" s="1217"/>
      <c r="Z8" s="1217"/>
      <c r="AA8" s="1285"/>
      <c r="AB8" s="1224"/>
      <c r="AC8" s="1285"/>
      <c r="AD8" s="1287"/>
      <c r="AE8" s="1287"/>
      <c r="AF8" s="256"/>
      <c r="AG8" s="257" t="s">
        <v>642</v>
      </c>
      <c r="AH8" s="257" t="s">
        <v>264</v>
      </c>
      <c r="AI8" s="781" t="s">
        <v>147</v>
      </c>
      <c r="AJ8" s="258" t="s">
        <v>265</v>
      </c>
      <c r="AK8" s="781" t="s">
        <v>148</v>
      </c>
      <c r="AL8" s="255" t="s">
        <v>150</v>
      </c>
      <c r="AM8" s="781" t="s">
        <v>150</v>
      </c>
      <c r="AN8" s="1288"/>
      <c r="AO8" s="1431"/>
      <c r="AP8" s="1432"/>
      <c r="AQ8" s="1432"/>
      <c r="AR8" s="1432"/>
      <c r="AS8" s="1432"/>
      <c r="AT8" s="1432"/>
      <c r="AU8" s="1432"/>
      <c r="AV8" s="1432"/>
      <c r="AW8" s="1432"/>
      <c r="AX8" s="1432"/>
      <c r="AY8" s="245"/>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137.25" customHeight="1">
      <c r="A9" s="2051" t="s">
        <v>104</v>
      </c>
      <c r="B9" s="2052" t="s">
        <v>2028</v>
      </c>
      <c r="C9" s="2021" t="s">
        <v>834</v>
      </c>
      <c r="D9" s="2021"/>
      <c r="E9" s="2021"/>
      <c r="F9" s="2053" t="s">
        <v>67</v>
      </c>
      <c r="G9" s="2025" t="s">
        <v>2494</v>
      </c>
      <c r="H9" s="2025"/>
      <c r="I9" s="2025"/>
      <c r="J9" s="2054" t="s">
        <v>2495</v>
      </c>
      <c r="K9" s="1483"/>
      <c r="L9" s="1484"/>
      <c r="M9" s="1570" t="s">
        <v>684</v>
      </c>
      <c r="N9" s="1570">
        <v>5</v>
      </c>
      <c r="O9" s="1570" t="s">
        <v>684</v>
      </c>
      <c r="P9" s="1570"/>
      <c r="Q9" s="1990" t="s">
        <v>64</v>
      </c>
      <c r="R9" s="1990" t="s">
        <v>643</v>
      </c>
      <c r="S9" s="75"/>
      <c r="T9" s="76">
        <f>VLOOKUP(Q9,[80]Listas!$D$6:$E$10,2,0)</f>
        <v>3</v>
      </c>
      <c r="U9" s="76">
        <f>HLOOKUP(R9,[80]Listas!$F$4:$J$5,2,0)</f>
        <v>2</v>
      </c>
      <c r="V9" s="2057" t="str">
        <f>INDEX([80]Listas!$F$6:$J$10,MATCH(Q9,[80]Listas!$D$6:$D$10,0),MATCH(R9,[80]Listas!$F$4:$J$4,0))</f>
        <v>6
MODERADO</v>
      </c>
      <c r="W9" s="75"/>
      <c r="X9" s="2062" t="s">
        <v>3211</v>
      </c>
      <c r="Y9" s="2063"/>
      <c r="Z9" s="2064"/>
      <c r="AA9" s="2068" t="s">
        <v>4190</v>
      </c>
      <c r="AB9" s="1570" t="s">
        <v>67</v>
      </c>
      <c r="AC9" s="77" t="s">
        <v>2496</v>
      </c>
      <c r="AD9" s="1570">
        <v>87</v>
      </c>
      <c r="AE9" s="1298" t="s">
        <v>153</v>
      </c>
      <c r="AF9" s="75"/>
      <c r="AG9" s="76">
        <f>IF(AD9&lt;=33,0,IF(AD9&gt;81,2,1))</f>
        <v>2</v>
      </c>
      <c r="AH9" s="78">
        <f>IF(OR(AE9="Probabilidad",AE9="Ambos"),T9-AG9,T9)</f>
        <v>1</v>
      </c>
      <c r="AI9" s="2057" t="str">
        <f>IF(AH9&lt;=1,"Remota",VLOOKUP(AH9,[80]Listas!$C$6:$D$10,2,0))</f>
        <v>Remota</v>
      </c>
      <c r="AJ9" s="78">
        <f>IF(OR(AE9="Impacto",AE9="Ambos"),U9-AG9,U9)</f>
        <v>2</v>
      </c>
      <c r="AK9" s="2057" t="str">
        <f>IF(AJ9&lt;=1,"Insignificante",HLOOKUP(AJ9,[80]Listas!$F$3:$J$4,2,0))</f>
        <v>Menor</v>
      </c>
      <c r="AL9" s="79">
        <f>AH9*AJ9</f>
        <v>2</v>
      </c>
      <c r="AM9" s="2057" t="str">
        <f>INDEX([80]Listas!$F$6:$J$10,MATCH(AI9,[80]Listas!$D$6:$D$10,0),MATCH(AK9,[80]Listas!$F$4:$J$4,0))</f>
        <v>2
INFERIOR</v>
      </c>
      <c r="AN9" s="1500" t="s">
        <v>3889</v>
      </c>
      <c r="AO9" s="1325" t="s">
        <v>3890</v>
      </c>
      <c r="AP9" s="1353" t="s">
        <v>3891</v>
      </c>
      <c r="AQ9" s="1500" t="s">
        <v>3892</v>
      </c>
      <c r="AR9" s="1500" t="s">
        <v>3893</v>
      </c>
      <c r="AS9" s="1325" t="s">
        <v>36</v>
      </c>
      <c r="AU9" s="259"/>
      <c r="AV9" s="261"/>
      <c r="AW9" s="261"/>
      <c r="AX9" s="790"/>
    </row>
    <row r="10" spans="1:1027" s="260" customFormat="1" ht="81.75" customHeight="1">
      <c r="A10" s="2051"/>
      <c r="B10" s="2052"/>
      <c r="C10" s="2021"/>
      <c r="D10" s="2021"/>
      <c r="E10" s="2021"/>
      <c r="F10" s="2053"/>
      <c r="G10" s="2025" t="s">
        <v>2497</v>
      </c>
      <c r="H10" s="2025"/>
      <c r="I10" s="2025"/>
      <c r="J10" s="2055"/>
      <c r="K10" s="1485"/>
      <c r="L10" s="1486"/>
      <c r="M10" s="1571"/>
      <c r="N10" s="1571"/>
      <c r="O10" s="1571"/>
      <c r="P10" s="1571"/>
      <c r="Q10" s="1991"/>
      <c r="R10" s="1991"/>
      <c r="S10" s="75"/>
      <c r="T10" s="76" t="e">
        <f>VLOOKUP(Q10,[80]Listas!$D$6:$E$10,2,0)</f>
        <v>#N/A</v>
      </c>
      <c r="U10" s="76" t="e">
        <f>HLOOKUP(R10,[80]Listas!$F$4:$J$5,2,0)</f>
        <v>#N/A</v>
      </c>
      <c r="V10" s="2058"/>
      <c r="W10" s="75"/>
      <c r="X10" s="2062" t="s">
        <v>2498</v>
      </c>
      <c r="Y10" s="2063"/>
      <c r="Z10" s="2064"/>
      <c r="AA10" s="2069"/>
      <c r="AB10" s="1571"/>
      <c r="AC10" s="77" t="s">
        <v>1005</v>
      </c>
      <c r="AD10" s="1571"/>
      <c r="AE10" s="1299"/>
      <c r="AF10" s="75"/>
      <c r="AG10" s="76">
        <f t="shared" ref="AG10:AG13" si="0">IF(AD10&lt;=33,0,IF(AD10&gt;81,2,1))</f>
        <v>0</v>
      </c>
      <c r="AH10" s="78" t="e">
        <f t="shared" ref="AH10:AH13" si="1">IF(OR(AE10="Probabilidad",AE10="Ambos"),T10-AG10,T10)</f>
        <v>#N/A</v>
      </c>
      <c r="AI10" s="2058"/>
      <c r="AJ10" s="78" t="e">
        <f t="shared" ref="AJ10:AJ13" si="2">IF(OR(AE10="Impacto",AE10="Ambos"),U10-AG10,U10)</f>
        <v>#N/A</v>
      </c>
      <c r="AK10" s="2058"/>
      <c r="AL10" s="79" t="e">
        <f t="shared" ref="AL10:AL13" si="3">AH10*AJ10</f>
        <v>#N/A</v>
      </c>
      <c r="AM10" s="2058"/>
      <c r="AN10" s="1501"/>
      <c r="AO10" s="1326"/>
      <c r="AP10" s="1354"/>
      <c r="AQ10" s="1501"/>
      <c r="AR10" s="1501"/>
      <c r="AS10" s="1326"/>
      <c r="AT10" s="259"/>
      <c r="AU10" s="259"/>
      <c r="AV10" s="261"/>
      <c r="AW10" s="261"/>
      <c r="AX10" s="790"/>
    </row>
    <row r="11" spans="1:1027" s="260" customFormat="1" ht="58.5" customHeight="1">
      <c r="A11" s="2051"/>
      <c r="B11" s="2052"/>
      <c r="C11" s="2021"/>
      <c r="D11" s="2021"/>
      <c r="E11" s="2021"/>
      <c r="F11" s="2053"/>
      <c r="G11" s="2025" t="s">
        <v>2499</v>
      </c>
      <c r="H11" s="2025"/>
      <c r="I11" s="2025"/>
      <c r="J11" s="2055"/>
      <c r="K11" s="1485"/>
      <c r="L11" s="1486"/>
      <c r="M11" s="1571"/>
      <c r="N11" s="1571"/>
      <c r="O11" s="1571"/>
      <c r="P11" s="1571"/>
      <c r="Q11" s="1991"/>
      <c r="R11" s="1991"/>
      <c r="S11" s="75"/>
      <c r="T11" s="76" t="e">
        <f>VLOOKUP(Q11,[80]Listas!$D$6:$E$10,2,0)</f>
        <v>#N/A</v>
      </c>
      <c r="U11" s="76" t="e">
        <f>HLOOKUP(R11,[80]Listas!$F$4:$J$5,2,0)</f>
        <v>#N/A</v>
      </c>
      <c r="V11" s="2058"/>
      <c r="W11" s="75"/>
      <c r="X11" s="2065" t="s">
        <v>835</v>
      </c>
      <c r="Y11" s="2065"/>
      <c r="Z11" s="2065"/>
      <c r="AA11" s="2069"/>
      <c r="AB11" s="1571"/>
      <c r="AC11" s="77" t="s">
        <v>1006</v>
      </c>
      <c r="AD11" s="1571"/>
      <c r="AE11" s="1299"/>
      <c r="AF11" s="75"/>
      <c r="AG11" s="76">
        <f t="shared" si="0"/>
        <v>0</v>
      </c>
      <c r="AH11" s="78" t="e">
        <f t="shared" si="1"/>
        <v>#N/A</v>
      </c>
      <c r="AI11" s="2058"/>
      <c r="AJ11" s="78" t="e">
        <f t="shared" si="2"/>
        <v>#N/A</v>
      </c>
      <c r="AK11" s="2058"/>
      <c r="AL11" s="79" t="e">
        <f t="shared" si="3"/>
        <v>#N/A</v>
      </c>
      <c r="AM11" s="2058"/>
      <c r="AN11" s="1501"/>
      <c r="AO11" s="1326"/>
      <c r="AP11" s="1354"/>
      <c r="AQ11" s="1501"/>
      <c r="AR11" s="1501"/>
      <c r="AS11" s="1326"/>
      <c r="AT11" s="259"/>
      <c r="AU11" s="259"/>
      <c r="AV11" s="261"/>
      <c r="AW11" s="261"/>
      <c r="AX11" s="790"/>
    </row>
    <row r="12" spans="1:1027" s="260" customFormat="1" ht="225.75" customHeight="1">
      <c r="A12" s="2051"/>
      <c r="B12" s="2052"/>
      <c r="C12" s="2021"/>
      <c r="D12" s="2021"/>
      <c r="E12" s="2021"/>
      <c r="F12" s="2053"/>
      <c r="G12" s="2025" t="s">
        <v>1007</v>
      </c>
      <c r="H12" s="2025"/>
      <c r="I12" s="2025"/>
      <c r="J12" s="2056"/>
      <c r="K12" s="1487"/>
      <c r="L12" s="1488"/>
      <c r="M12" s="1572"/>
      <c r="N12" s="1572"/>
      <c r="O12" s="1572"/>
      <c r="P12" s="1572"/>
      <c r="Q12" s="1992"/>
      <c r="R12" s="1992"/>
      <c r="S12" s="75"/>
      <c r="T12" s="76" t="e">
        <f>VLOOKUP(Q12,[80]Listas!$D$6:$E$10,2,0)</f>
        <v>#N/A</v>
      </c>
      <c r="U12" s="76" t="e">
        <f>HLOOKUP(R12,[80]Listas!$F$4:$J$5,2,0)</f>
        <v>#N/A</v>
      </c>
      <c r="V12" s="2067"/>
      <c r="W12" s="75"/>
      <c r="X12" s="2066" t="s">
        <v>1008</v>
      </c>
      <c r="Y12" s="2066"/>
      <c r="Z12" s="2066"/>
      <c r="AA12" s="2070"/>
      <c r="AB12" s="1572"/>
      <c r="AC12" s="80" t="s">
        <v>1009</v>
      </c>
      <c r="AD12" s="1572"/>
      <c r="AE12" s="1469"/>
      <c r="AF12" s="75"/>
      <c r="AG12" s="76">
        <f t="shared" si="0"/>
        <v>0</v>
      </c>
      <c r="AH12" s="78" t="e">
        <f t="shared" si="1"/>
        <v>#N/A</v>
      </c>
      <c r="AI12" s="2067"/>
      <c r="AJ12" s="78" t="e">
        <f t="shared" si="2"/>
        <v>#N/A</v>
      </c>
      <c r="AK12" s="2067"/>
      <c r="AL12" s="79" t="e">
        <f t="shared" si="3"/>
        <v>#N/A</v>
      </c>
      <c r="AM12" s="2067"/>
      <c r="AN12" s="1502"/>
      <c r="AO12" s="1327"/>
      <c r="AP12" s="1355"/>
      <c r="AQ12" s="1502"/>
      <c r="AR12" s="1502"/>
      <c r="AS12" s="1327"/>
      <c r="AT12" s="259"/>
      <c r="AU12" s="259"/>
      <c r="AV12" s="261"/>
      <c r="AW12" s="261"/>
      <c r="AX12" s="790"/>
    </row>
    <row r="13" spans="1:1027" s="260" customFormat="1" ht="50.1" customHeight="1">
      <c r="A13" s="2051"/>
      <c r="B13" s="2059" t="s">
        <v>1010</v>
      </c>
      <c r="C13" s="2021" t="s">
        <v>1011</v>
      </c>
      <c r="D13" s="2021"/>
      <c r="E13" s="2021"/>
      <c r="F13" s="2053" t="s">
        <v>67</v>
      </c>
      <c r="G13" s="2025" t="s">
        <v>2500</v>
      </c>
      <c r="H13" s="2025"/>
      <c r="I13" s="2025"/>
      <c r="J13" s="1539" t="s">
        <v>3212</v>
      </c>
      <c r="K13" s="1540"/>
      <c r="L13" s="1541"/>
      <c r="M13" s="1570" t="s">
        <v>684</v>
      </c>
      <c r="N13" s="1570">
        <v>5</v>
      </c>
      <c r="O13" s="1570" t="s">
        <v>684</v>
      </c>
      <c r="P13" s="1570"/>
      <c r="Q13" s="1990" t="s">
        <v>654</v>
      </c>
      <c r="R13" s="1990" t="s">
        <v>661</v>
      </c>
      <c r="S13" s="75"/>
      <c r="T13" s="76">
        <f>VLOOKUP(Q13,[80]Listas!$D$6:$E$10,2,0)</f>
        <v>1</v>
      </c>
      <c r="U13" s="76">
        <f>HLOOKUP(R13,[80]Listas!$F$4:$J$5,2,0)</f>
        <v>1</v>
      </c>
      <c r="V13" s="2057" t="str">
        <f>INDEX([80]Listas!$F$6:$J$10,MATCH(Q13,[80]Listas!$D$6:$D$10,0),MATCH(R13,[80]Listas!$F$4:$J$4,0))</f>
        <v>1
INFERIOR</v>
      </c>
      <c r="W13" s="328"/>
      <c r="X13" s="2040" t="s">
        <v>2501</v>
      </c>
      <c r="Y13" s="2040"/>
      <c r="Z13" s="2040"/>
      <c r="AA13" s="1561" t="s">
        <v>4191</v>
      </c>
      <c r="AB13" s="2053" t="s">
        <v>67</v>
      </c>
      <c r="AC13" s="2040" t="s">
        <v>3213</v>
      </c>
      <c r="AD13" s="2053">
        <v>46</v>
      </c>
      <c r="AE13" s="2051" t="s">
        <v>153</v>
      </c>
      <c r="AF13" s="328"/>
      <c r="AG13" s="76">
        <f t="shared" si="0"/>
        <v>1</v>
      </c>
      <c r="AH13" s="76">
        <f t="shared" si="1"/>
        <v>0</v>
      </c>
      <c r="AI13" s="2060" t="str">
        <f>IF(AH13&lt;=1,"Remota",VLOOKUP(AH13,[80]Listas!$C$6:$D$10,2,0))</f>
        <v>Remota</v>
      </c>
      <c r="AJ13" s="76">
        <f t="shared" si="2"/>
        <v>1</v>
      </c>
      <c r="AK13" s="2060" t="str">
        <f>IF(AJ13&lt;=1,"Insignificante",HLOOKUP(AJ13,[80]Listas!$F$3:$J$4,2,0))</f>
        <v>Insignificante</v>
      </c>
      <c r="AL13" s="79">
        <f t="shared" si="3"/>
        <v>0</v>
      </c>
      <c r="AM13" s="2060" t="str">
        <f>INDEX([80]Listas!$F$6:$J$10,MATCH(AI13,[80]Listas!$D$6:$D$10,0),MATCH(AK13,[80]Listas!$F$4:$J$4,0))</f>
        <v>1
INFERIOR</v>
      </c>
      <c r="AN13" s="2061" t="s">
        <v>2502</v>
      </c>
      <c r="AO13" s="1380" t="s">
        <v>3214</v>
      </c>
      <c r="AP13" s="1353" t="s">
        <v>3894</v>
      </c>
      <c r="AQ13" s="1500" t="s">
        <v>3895</v>
      </c>
      <c r="AR13" s="1329" t="s">
        <v>3896</v>
      </c>
      <c r="AS13" s="1325" t="s">
        <v>36</v>
      </c>
      <c r="AT13" s="259"/>
      <c r="AU13" s="259"/>
      <c r="AV13" s="261"/>
      <c r="AW13" s="261"/>
      <c r="AX13" s="790"/>
    </row>
    <row r="14" spans="1:1027" s="260" customFormat="1" ht="50.1" customHeight="1">
      <c r="A14" s="2051"/>
      <c r="B14" s="2059"/>
      <c r="C14" s="2021"/>
      <c r="D14" s="2021"/>
      <c r="E14" s="2021"/>
      <c r="F14" s="2053"/>
      <c r="G14" s="2025" t="s">
        <v>2503</v>
      </c>
      <c r="H14" s="2025"/>
      <c r="I14" s="2025"/>
      <c r="J14" s="1542"/>
      <c r="K14" s="1543"/>
      <c r="L14" s="1544"/>
      <c r="M14" s="1571"/>
      <c r="N14" s="1571"/>
      <c r="O14" s="1571"/>
      <c r="P14" s="1571"/>
      <c r="Q14" s="1991"/>
      <c r="R14" s="1991"/>
      <c r="S14" s="75"/>
      <c r="T14" s="76"/>
      <c r="U14" s="76"/>
      <c r="V14" s="2058"/>
      <c r="W14" s="328"/>
      <c r="X14" s="2040" t="s">
        <v>1012</v>
      </c>
      <c r="Y14" s="2040"/>
      <c r="Z14" s="2040"/>
      <c r="AA14" s="1562"/>
      <c r="AB14" s="2053"/>
      <c r="AC14" s="2040"/>
      <c r="AD14" s="2053"/>
      <c r="AE14" s="2051"/>
      <c r="AF14" s="328"/>
      <c r="AG14" s="76"/>
      <c r="AH14" s="76"/>
      <c r="AI14" s="2060"/>
      <c r="AJ14" s="76"/>
      <c r="AK14" s="2060"/>
      <c r="AL14" s="79"/>
      <c r="AM14" s="2060"/>
      <c r="AN14" s="2061"/>
      <c r="AO14" s="1380"/>
      <c r="AP14" s="1354"/>
      <c r="AQ14" s="1501"/>
      <c r="AR14" s="1330"/>
      <c r="AS14" s="1326"/>
      <c r="AT14" s="259"/>
      <c r="AU14" s="259"/>
      <c r="AV14" s="261"/>
      <c r="AW14" s="261"/>
      <c r="AX14" s="790"/>
    </row>
    <row r="15" spans="1:1027" s="260" customFormat="1" ht="50.1" customHeight="1">
      <c r="A15" s="2051"/>
      <c r="B15" s="2059"/>
      <c r="C15" s="2021"/>
      <c r="D15" s="2021"/>
      <c r="E15" s="2021"/>
      <c r="F15" s="2053"/>
      <c r="G15" s="2025" t="s">
        <v>2504</v>
      </c>
      <c r="H15" s="2025"/>
      <c r="I15" s="2025"/>
      <c r="J15" s="1542"/>
      <c r="K15" s="1543"/>
      <c r="L15" s="1544"/>
      <c r="M15" s="1571"/>
      <c r="N15" s="1571"/>
      <c r="O15" s="1571"/>
      <c r="P15" s="1571"/>
      <c r="Q15" s="1991"/>
      <c r="R15" s="1991"/>
      <c r="S15" s="75"/>
      <c r="T15" s="76"/>
      <c r="U15" s="76"/>
      <c r="V15" s="2058"/>
      <c r="W15" s="328"/>
      <c r="X15" s="2040" t="s">
        <v>1013</v>
      </c>
      <c r="Y15" s="2040"/>
      <c r="Z15" s="2040"/>
      <c r="AA15" s="1562"/>
      <c r="AB15" s="2053"/>
      <c r="AC15" s="2040"/>
      <c r="AD15" s="2053"/>
      <c r="AE15" s="2051"/>
      <c r="AF15" s="328"/>
      <c r="AG15" s="76"/>
      <c r="AH15" s="76"/>
      <c r="AI15" s="2060"/>
      <c r="AJ15" s="76"/>
      <c r="AK15" s="2060"/>
      <c r="AL15" s="79"/>
      <c r="AM15" s="2060"/>
      <c r="AN15" s="2061"/>
      <c r="AO15" s="1380"/>
      <c r="AP15" s="1354"/>
      <c r="AQ15" s="1501"/>
      <c r="AR15" s="1330"/>
      <c r="AS15" s="1326"/>
      <c r="AT15" s="259"/>
      <c r="AU15" s="259"/>
      <c r="AV15" s="261"/>
      <c r="AW15" s="261"/>
      <c r="AX15" s="790"/>
    </row>
    <row r="16" spans="1:1027" s="260" customFormat="1" ht="50.1" customHeight="1">
      <c r="A16" s="2051"/>
      <c r="B16" s="2059"/>
      <c r="C16" s="2021"/>
      <c r="D16" s="2021"/>
      <c r="E16" s="2021"/>
      <c r="F16" s="2053"/>
      <c r="G16" s="2025" t="s">
        <v>2505</v>
      </c>
      <c r="H16" s="2025"/>
      <c r="I16" s="2025"/>
      <c r="J16" s="1542"/>
      <c r="K16" s="1543"/>
      <c r="L16" s="1544"/>
      <c r="M16" s="1571"/>
      <c r="N16" s="1571"/>
      <c r="O16" s="1571"/>
      <c r="P16" s="1571"/>
      <c r="Q16" s="1991"/>
      <c r="R16" s="1991"/>
      <c r="S16" s="75"/>
      <c r="T16" s="76"/>
      <c r="U16" s="76"/>
      <c r="V16" s="2058"/>
      <c r="W16" s="328"/>
      <c r="X16" s="2040" t="s">
        <v>1014</v>
      </c>
      <c r="Y16" s="2040"/>
      <c r="Z16" s="2040"/>
      <c r="AA16" s="1563"/>
      <c r="AB16" s="2053"/>
      <c r="AC16" s="2040"/>
      <c r="AD16" s="2053"/>
      <c r="AE16" s="2051"/>
      <c r="AF16" s="328"/>
      <c r="AG16" s="76"/>
      <c r="AH16" s="76"/>
      <c r="AI16" s="2060"/>
      <c r="AJ16" s="76"/>
      <c r="AK16" s="2060"/>
      <c r="AL16" s="79"/>
      <c r="AM16" s="2060"/>
      <c r="AN16" s="2061"/>
      <c r="AO16" s="1380"/>
      <c r="AP16" s="1354"/>
      <c r="AQ16" s="1501"/>
      <c r="AR16" s="1330"/>
      <c r="AS16" s="1326"/>
      <c r="AT16" s="259"/>
      <c r="AU16" s="259"/>
      <c r="AV16" s="261"/>
      <c r="AW16" s="261"/>
      <c r="AX16" s="790"/>
    </row>
    <row r="17" spans="1:1027" s="260" customFormat="1" ht="74.25" customHeight="1">
      <c r="A17" s="2051"/>
      <c r="B17" s="1110" t="s">
        <v>1015</v>
      </c>
      <c r="C17" s="2039" t="s">
        <v>1016</v>
      </c>
      <c r="D17" s="2039"/>
      <c r="E17" s="2039"/>
      <c r="F17" s="815" t="s">
        <v>67</v>
      </c>
      <c r="G17" s="2040" t="s">
        <v>2506</v>
      </c>
      <c r="H17" s="2040"/>
      <c r="I17" s="2040"/>
      <c r="J17" s="2040" t="s">
        <v>2507</v>
      </c>
      <c r="K17" s="2040"/>
      <c r="L17" s="2040"/>
      <c r="M17" s="815" t="s">
        <v>684</v>
      </c>
      <c r="N17" s="815">
        <v>5</v>
      </c>
      <c r="O17" s="815" t="s">
        <v>684</v>
      </c>
      <c r="P17" s="815"/>
      <c r="Q17" s="818" t="s">
        <v>654</v>
      </c>
      <c r="R17" s="818" t="s">
        <v>643</v>
      </c>
      <c r="S17" s="328"/>
      <c r="T17" s="76"/>
      <c r="U17" s="76"/>
      <c r="V17" s="819" t="str">
        <f>INDEX([80]Listas!$F$6:$J$10,MATCH(Q17,[80]Listas!$D$6:$D$10,0),MATCH(R17,[80]Listas!$F$4:$J$4,0))</f>
        <v>2
INFERIOR</v>
      </c>
      <c r="W17" s="328"/>
      <c r="X17" s="2041" t="s">
        <v>1017</v>
      </c>
      <c r="Y17" s="2041"/>
      <c r="Z17" s="2041"/>
      <c r="AA17" s="1098" t="s">
        <v>4190</v>
      </c>
      <c r="AB17" s="825" t="s">
        <v>67</v>
      </c>
      <c r="AC17" s="816" t="s">
        <v>2508</v>
      </c>
      <c r="AD17" s="815">
        <v>87</v>
      </c>
      <c r="AE17" s="817" t="s">
        <v>153</v>
      </c>
      <c r="AF17" s="328"/>
      <c r="AG17" s="76">
        <f>IF(AD17&lt;=33,0,IF(AD17&gt;81,2,1))</f>
        <v>2</v>
      </c>
      <c r="AH17" s="76">
        <f>IF(OR(AE17="Probabilidad",AE17="Ambos"),T17-AG17,T17)</f>
        <v>-2</v>
      </c>
      <c r="AI17" s="819" t="str">
        <f>IF(AH17&lt;=1,"Remota",VLOOKUP(AH17,[80]Listas!$C$6:$D$10,2,0))</f>
        <v>Remota</v>
      </c>
      <c r="AJ17" s="76">
        <f>IF(OR(AE17="Impacto",AE17="Ambos"),U17-AG17,U17)</f>
        <v>0</v>
      </c>
      <c r="AK17" s="819" t="s">
        <v>643</v>
      </c>
      <c r="AL17" s="79">
        <f>AH17*AJ17</f>
        <v>0</v>
      </c>
      <c r="AM17" s="819" t="str">
        <f>INDEX([80]Listas!$F$6:$J$10,MATCH(AI17,[80]Listas!$D$6:$D$10,0),MATCH(AK17,[80]Listas!$F$4:$J$4,0))</f>
        <v>2
INFERIOR</v>
      </c>
      <c r="AN17" s="2061"/>
      <c r="AO17" s="1380"/>
      <c r="AP17" s="1355"/>
      <c r="AQ17" s="1502"/>
      <c r="AR17" s="1331"/>
      <c r="AS17" s="1327"/>
      <c r="AU17" s="259"/>
      <c r="AV17" s="261"/>
      <c r="AW17" s="261"/>
      <c r="AX17" s="790"/>
    </row>
    <row r="18" spans="1:1027" ht="24.75" hidden="1" customHeight="1">
      <c r="A18" s="275"/>
      <c r="B18" s="276"/>
      <c r="C18" s="276"/>
      <c r="D18" s="276"/>
      <c r="E18" s="275"/>
      <c r="F18" s="275"/>
      <c r="G18" s="277"/>
      <c r="H18" s="277"/>
      <c r="I18" s="277"/>
      <c r="J18" s="275"/>
      <c r="K18" s="275"/>
      <c r="L18" s="278"/>
      <c r="M18" s="278"/>
      <c r="N18" s="278"/>
      <c r="O18" s="278"/>
      <c r="P18" s="278"/>
      <c r="Q18" s="278"/>
      <c r="R18" s="278"/>
      <c r="S18" s="278"/>
      <c r="T18" s="278"/>
      <c r="U18" s="278"/>
      <c r="V18" s="275"/>
      <c r="W18" s="275"/>
      <c r="X18" s="277"/>
      <c r="Y18" s="277"/>
      <c r="Z18" s="277"/>
      <c r="AA18" s="277"/>
      <c r="AB18" s="277"/>
      <c r="AC18" s="277"/>
      <c r="AD18" s="275"/>
      <c r="AE18" s="275"/>
      <c r="AF18" s="275"/>
      <c r="AG18" s="275"/>
      <c r="AH18" s="275"/>
      <c r="AI18" s="275"/>
      <c r="AJ18" s="275"/>
      <c r="AK18" s="275"/>
      <c r="AL18" s="275"/>
      <c r="AM18" s="279"/>
      <c r="AN18" s="262"/>
      <c r="AO18" s="262"/>
      <c r="AP18" s="262"/>
      <c r="AQ18" s="262"/>
      <c r="AR18" s="262"/>
      <c r="AS18" s="262"/>
      <c r="AT18" s="262"/>
      <c r="AU18" s="262"/>
      <c r="AV18" s="262"/>
      <c r="AW18" s="262"/>
      <c r="AX18" s="262"/>
      <c r="AY18" s="262"/>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c r="HV18" s="236"/>
      <c r="HW18" s="236"/>
      <c r="HX18" s="236"/>
      <c r="HY18" s="236"/>
      <c r="HZ18" s="236"/>
      <c r="IA18" s="236"/>
      <c r="IB18" s="236"/>
      <c r="IC18" s="236"/>
      <c r="ID18" s="236"/>
      <c r="IE18" s="236"/>
      <c r="IF18" s="236"/>
      <c r="IG18" s="236"/>
      <c r="IH18" s="236"/>
      <c r="II18" s="236"/>
      <c r="IJ18" s="236"/>
      <c r="IK18" s="236"/>
      <c r="IL18" s="236"/>
      <c r="IM18" s="236"/>
      <c r="IN18" s="236"/>
      <c r="IO18" s="236"/>
      <c r="IP18" s="236"/>
      <c r="IQ18" s="236"/>
      <c r="IR18" s="236"/>
      <c r="IS18" s="236"/>
      <c r="IT18" s="236"/>
      <c r="IU18" s="236"/>
      <c r="IV18" s="236"/>
      <c r="IW18" s="236"/>
      <c r="IX18" s="236"/>
      <c r="IY18" s="236"/>
      <c r="IZ18" s="236"/>
      <c r="JA18" s="236"/>
      <c r="JB18" s="236"/>
      <c r="JC18" s="236"/>
      <c r="JD18" s="236"/>
      <c r="JE18" s="236"/>
      <c r="JF18" s="236"/>
      <c r="JG18" s="236"/>
      <c r="JH18" s="236"/>
      <c r="JI18" s="236"/>
      <c r="JJ18" s="236"/>
      <c r="JK18" s="236"/>
      <c r="JL18" s="236"/>
      <c r="JM18" s="236"/>
      <c r="JN18" s="236"/>
      <c r="JO18" s="236"/>
      <c r="JP18" s="236"/>
      <c r="JQ18" s="236"/>
      <c r="JR18" s="236"/>
      <c r="JS18" s="236"/>
      <c r="JT18" s="236"/>
      <c r="JU18" s="236"/>
      <c r="JV18" s="236"/>
      <c r="JW18" s="236"/>
      <c r="JX18" s="236"/>
      <c r="JY18" s="236"/>
      <c r="JZ18" s="236"/>
      <c r="KA18" s="236"/>
      <c r="KB18" s="236"/>
      <c r="KC18" s="236"/>
      <c r="KD18" s="236"/>
      <c r="KE18" s="236"/>
      <c r="KF18" s="236"/>
      <c r="KG18" s="236"/>
      <c r="KH18" s="236"/>
      <c r="KI18" s="236"/>
      <c r="KJ18" s="236"/>
      <c r="KK18" s="236"/>
      <c r="KL18" s="236"/>
      <c r="KM18" s="236"/>
      <c r="KN18" s="236"/>
      <c r="KO18" s="236"/>
      <c r="KP18" s="236"/>
      <c r="KQ18" s="236"/>
      <c r="KR18" s="236"/>
      <c r="KS18" s="236"/>
      <c r="KT18" s="236"/>
      <c r="KU18" s="236"/>
      <c r="KV18" s="236"/>
      <c r="KW18" s="236"/>
      <c r="KX18" s="236"/>
      <c r="KY18" s="236"/>
      <c r="KZ18" s="236"/>
      <c r="LA18" s="236"/>
      <c r="LB18" s="236"/>
      <c r="LC18" s="236"/>
      <c r="LD18" s="236"/>
      <c r="LE18" s="236"/>
      <c r="LF18" s="236"/>
      <c r="LG18" s="236"/>
      <c r="LH18" s="236"/>
      <c r="LI18" s="236"/>
      <c r="LJ18" s="236"/>
      <c r="LK18" s="236"/>
      <c r="LL18" s="236"/>
      <c r="LM18" s="236"/>
      <c r="LN18" s="236"/>
      <c r="LO18" s="236"/>
      <c r="LP18" s="236"/>
      <c r="LQ18" s="236"/>
      <c r="LR18" s="236"/>
      <c r="LS18" s="236"/>
      <c r="LT18" s="236"/>
      <c r="LU18" s="236"/>
      <c r="LV18" s="236"/>
      <c r="LW18" s="236"/>
      <c r="LX18" s="236"/>
      <c r="LY18" s="236"/>
      <c r="LZ18" s="236"/>
      <c r="MA18" s="236"/>
      <c r="MB18" s="236"/>
      <c r="MC18" s="236"/>
      <c r="MD18" s="236"/>
      <c r="ME18" s="236"/>
      <c r="MF18" s="236"/>
      <c r="MG18" s="236"/>
      <c r="MH18" s="236"/>
      <c r="MI18" s="236"/>
      <c r="MJ18" s="236"/>
      <c r="MK18" s="236"/>
      <c r="ML18" s="236"/>
      <c r="MM18" s="236"/>
      <c r="MN18" s="236"/>
      <c r="MO18" s="236"/>
      <c r="MP18" s="236"/>
      <c r="MQ18" s="236"/>
      <c r="MR18" s="236"/>
      <c r="MS18" s="236"/>
      <c r="MT18" s="236"/>
      <c r="MU18" s="236"/>
      <c r="MV18" s="236"/>
      <c r="MW18" s="236"/>
      <c r="MX18" s="236"/>
      <c r="MY18" s="236"/>
      <c r="MZ18" s="236"/>
      <c r="NA18" s="236"/>
      <c r="NB18" s="236"/>
      <c r="NC18" s="236"/>
      <c r="ND18" s="236"/>
      <c r="NE18" s="236"/>
      <c r="NF18" s="236"/>
      <c r="NG18" s="236"/>
      <c r="NH18" s="236"/>
      <c r="NI18" s="236"/>
      <c r="NJ18" s="236"/>
      <c r="NK18" s="236"/>
      <c r="NL18" s="236"/>
      <c r="NM18" s="236"/>
      <c r="NN18" s="236"/>
      <c r="NO18" s="236"/>
      <c r="NP18" s="236"/>
      <c r="NQ18" s="236"/>
      <c r="NR18" s="236"/>
      <c r="NS18" s="236"/>
      <c r="NT18" s="236"/>
      <c r="NU18" s="236"/>
      <c r="NV18" s="236"/>
      <c r="NW18" s="236"/>
      <c r="NX18" s="236"/>
      <c r="NY18" s="236"/>
      <c r="NZ18" s="236"/>
      <c r="OA18" s="236"/>
      <c r="OB18" s="236"/>
      <c r="OC18" s="236"/>
      <c r="OD18" s="236"/>
      <c r="OE18" s="236"/>
      <c r="OF18" s="236"/>
      <c r="OG18" s="236"/>
      <c r="OH18" s="236"/>
      <c r="OI18" s="236"/>
      <c r="OJ18" s="236"/>
      <c r="OK18" s="236"/>
      <c r="OL18" s="236"/>
      <c r="OM18" s="236"/>
      <c r="ON18" s="236"/>
      <c r="OO18" s="236"/>
      <c r="OP18" s="236"/>
      <c r="OQ18" s="236"/>
      <c r="OR18" s="236"/>
      <c r="OS18" s="236"/>
      <c r="OT18" s="236"/>
      <c r="OU18" s="236"/>
      <c r="OV18" s="236"/>
      <c r="OW18" s="236"/>
      <c r="OX18" s="236"/>
      <c r="OY18" s="236"/>
      <c r="OZ18" s="236"/>
      <c r="PA18" s="236"/>
      <c r="PB18" s="236"/>
      <c r="PC18" s="236"/>
      <c r="PD18" s="236"/>
      <c r="PE18" s="236"/>
      <c r="PF18" s="236"/>
      <c r="PG18" s="236"/>
      <c r="PH18" s="236"/>
      <c r="PI18" s="236"/>
      <c r="PJ18" s="236"/>
      <c r="PK18" s="236"/>
      <c r="PL18" s="236"/>
      <c r="PM18" s="236"/>
      <c r="PN18" s="236"/>
      <c r="PO18" s="236"/>
      <c r="PP18" s="236"/>
      <c r="PQ18" s="236"/>
      <c r="PR18" s="236"/>
      <c r="PS18" s="236"/>
      <c r="PT18" s="236"/>
      <c r="PU18" s="236"/>
      <c r="PV18" s="236"/>
      <c r="PW18" s="236"/>
      <c r="PX18" s="236"/>
      <c r="PY18" s="236"/>
      <c r="PZ18" s="236"/>
      <c r="QA18" s="236"/>
      <c r="QB18" s="236"/>
      <c r="QC18" s="236"/>
      <c r="QD18" s="236"/>
      <c r="QE18" s="236"/>
      <c r="QF18" s="236"/>
      <c r="QG18" s="236"/>
      <c r="QH18" s="236"/>
      <c r="QI18" s="236"/>
      <c r="QJ18" s="236"/>
      <c r="QK18" s="236"/>
      <c r="QL18" s="236"/>
      <c r="QM18" s="236"/>
      <c r="QN18" s="236"/>
      <c r="QO18" s="236"/>
      <c r="QP18" s="236"/>
      <c r="QQ18" s="236"/>
      <c r="QR18" s="236"/>
      <c r="QS18" s="236"/>
      <c r="QT18" s="236"/>
      <c r="QU18" s="236"/>
      <c r="QV18" s="236"/>
      <c r="QW18" s="236"/>
      <c r="QX18" s="236"/>
      <c r="QY18" s="236"/>
      <c r="QZ18" s="236"/>
      <c r="RA18" s="236"/>
      <c r="RB18" s="236"/>
      <c r="RC18" s="236"/>
      <c r="RD18" s="236"/>
      <c r="RE18" s="236"/>
      <c r="RF18" s="236"/>
      <c r="RG18" s="236"/>
      <c r="RH18" s="236"/>
      <c r="RI18" s="236"/>
      <c r="RJ18" s="236"/>
      <c r="RK18" s="236"/>
      <c r="RL18" s="236"/>
      <c r="RM18" s="236"/>
      <c r="RN18" s="236"/>
      <c r="RO18" s="236"/>
      <c r="RP18" s="236"/>
      <c r="RQ18" s="236"/>
      <c r="RR18" s="236"/>
      <c r="RS18" s="236"/>
      <c r="RT18" s="236"/>
      <c r="RU18" s="236"/>
      <c r="RV18" s="236"/>
      <c r="RW18" s="236"/>
      <c r="RX18" s="236"/>
      <c r="RY18" s="236"/>
      <c r="RZ18" s="236"/>
      <c r="SA18" s="236"/>
      <c r="SB18" s="236"/>
      <c r="SC18" s="236"/>
      <c r="SD18" s="236"/>
      <c r="SE18" s="236"/>
      <c r="SF18" s="236"/>
      <c r="SG18" s="236"/>
      <c r="SH18" s="236"/>
      <c r="SI18" s="236"/>
      <c r="SJ18" s="236"/>
      <c r="SK18" s="236"/>
      <c r="SL18" s="236"/>
      <c r="SM18" s="236"/>
      <c r="SN18" s="236"/>
      <c r="SO18" s="236"/>
      <c r="SP18" s="236"/>
      <c r="SQ18" s="236"/>
      <c r="SR18" s="236"/>
      <c r="SS18" s="236"/>
      <c r="ST18" s="236"/>
      <c r="SU18" s="236"/>
      <c r="SV18" s="236"/>
      <c r="SW18" s="236"/>
      <c r="SX18" s="236"/>
      <c r="SY18" s="236"/>
      <c r="SZ18" s="236"/>
      <c r="TA18" s="236"/>
      <c r="TB18" s="236"/>
      <c r="TC18" s="236"/>
      <c r="TD18" s="236"/>
      <c r="TE18" s="236"/>
      <c r="TF18" s="236"/>
      <c r="TG18" s="236"/>
      <c r="TH18" s="236"/>
      <c r="TI18" s="236"/>
      <c r="TJ18" s="236"/>
      <c r="TK18" s="236"/>
      <c r="TL18" s="236"/>
      <c r="TM18" s="236"/>
      <c r="TN18" s="236"/>
      <c r="TO18" s="236"/>
      <c r="TP18" s="236"/>
      <c r="TQ18" s="236"/>
      <c r="TR18" s="236"/>
      <c r="TS18" s="236"/>
      <c r="TT18" s="236"/>
      <c r="TU18" s="236"/>
      <c r="TV18" s="236"/>
      <c r="TW18" s="236"/>
      <c r="TX18" s="236"/>
      <c r="TY18" s="236"/>
      <c r="TZ18" s="236"/>
      <c r="UA18" s="236"/>
      <c r="UB18" s="236"/>
      <c r="UC18" s="236"/>
      <c r="UD18" s="236"/>
      <c r="UE18" s="236"/>
      <c r="UF18" s="236"/>
      <c r="UG18" s="236"/>
      <c r="UH18" s="236"/>
      <c r="UI18" s="236"/>
      <c r="UJ18" s="236"/>
      <c r="UK18" s="236"/>
      <c r="UL18" s="236"/>
      <c r="UM18" s="236"/>
      <c r="UN18" s="236"/>
      <c r="UO18" s="236"/>
      <c r="UP18" s="236"/>
      <c r="UQ18" s="236"/>
      <c r="UR18" s="236"/>
      <c r="US18" s="236"/>
      <c r="UT18" s="236"/>
      <c r="UU18" s="236"/>
      <c r="UV18" s="236"/>
      <c r="UW18" s="236"/>
      <c r="UX18" s="236"/>
      <c r="UY18" s="236"/>
      <c r="UZ18" s="236"/>
      <c r="VA18" s="236"/>
      <c r="VB18" s="236"/>
      <c r="VC18" s="236"/>
      <c r="VD18" s="236"/>
      <c r="VE18" s="236"/>
      <c r="VF18" s="236"/>
      <c r="VG18" s="236"/>
      <c r="VH18" s="236"/>
      <c r="VI18" s="236"/>
      <c r="VJ18" s="236"/>
      <c r="VK18" s="236"/>
      <c r="VL18" s="236"/>
      <c r="VM18" s="236"/>
      <c r="VN18" s="236"/>
      <c r="VO18" s="236"/>
      <c r="VP18" s="236"/>
      <c r="VQ18" s="236"/>
      <c r="VR18" s="236"/>
      <c r="VS18" s="236"/>
      <c r="VT18" s="236"/>
      <c r="VU18" s="236"/>
      <c r="VV18" s="236"/>
      <c r="VW18" s="236"/>
      <c r="VX18" s="236"/>
      <c r="VY18" s="236"/>
      <c r="VZ18" s="236"/>
      <c r="WA18" s="236"/>
      <c r="WB18" s="236"/>
      <c r="WC18" s="236"/>
      <c r="WD18" s="236"/>
      <c r="WE18" s="236"/>
      <c r="WF18" s="236"/>
      <c r="WG18" s="236"/>
      <c r="WH18" s="236"/>
      <c r="WI18" s="236"/>
      <c r="WJ18" s="236"/>
      <c r="WK18" s="236"/>
      <c r="WL18" s="236"/>
      <c r="WM18" s="236"/>
      <c r="WN18" s="236"/>
      <c r="WO18" s="236"/>
      <c r="WP18" s="236"/>
      <c r="WQ18" s="236"/>
      <c r="WR18" s="236"/>
      <c r="WS18" s="236"/>
      <c r="WT18" s="236"/>
      <c r="WU18" s="236"/>
      <c r="WV18" s="236"/>
      <c r="WW18" s="236"/>
      <c r="WX18" s="236"/>
      <c r="WY18" s="236"/>
      <c r="WZ18" s="236"/>
      <c r="XA18" s="236"/>
      <c r="XB18" s="236"/>
      <c r="XC18" s="236"/>
      <c r="XD18" s="236"/>
      <c r="XE18" s="236"/>
      <c r="XF18" s="236"/>
      <c r="XG18" s="236"/>
      <c r="XH18" s="236"/>
      <c r="XI18" s="236"/>
      <c r="XJ18" s="236"/>
      <c r="XK18" s="236"/>
      <c r="XL18" s="236"/>
      <c r="XM18" s="236"/>
      <c r="XN18" s="236"/>
      <c r="XO18" s="236"/>
      <c r="XP18" s="236"/>
      <c r="XQ18" s="236"/>
      <c r="XR18" s="236"/>
      <c r="XS18" s="236"/>
      <c r="XT18" s="236"/>
      <c r="XU18" s="236"/>
      <c r="XV18" s="236"/>
      <c r="XW18" s="236"/>
      <c r="XX18" s="236"/>
      <c r="XY18" s="236"/>
      <c r="XZ18" s="236"/>
      <c r="YA18" s="236"/>
      <c r="YB18" s="236"/>
      <c r="YC18" s="236"/>
      <c r="YD18" s="236"/>
      <c r="YE18" s="236"/>
      <c r="YF18" s="236"/>
      <c r="YG18" s="236"/>
      <c r="YH18" s="236"/>
      <c r="YI18" s="236"/>
      <c r="YJ18" s="236"/>
      <c r="YK18" s="236"/>
      <c r="YL18" s="236"/>
      <c r="YM18" s="236"/>
      <c r="YN18" s="236"/>
      <c r="YO18" s="236"/>
      <c r="YP18" s="236"/>
      <c r="YQ18" s="236"/>
      <c r="YR18" s="236"/>
      <c r="YS18" s="236"/>
      <c r="YT18" s="236"/>
      <c r="YU18" s="236"/>
      <c r="YV18" s="236"/>
      <c r="YW18" s="236"/>
      <c r="YX18" s="236"/>
      <c r="YY18" s="236"/>
      <c r="YZ18" s="236"/>
      <c r="ZA18" s="236"/>
      <c r="ZB18" s="236"/>
      <c r="ZC18" s="236"/>
      <c r="ZD18" s="236"/>
      <c r="ZE18" s="236"/>
      <c r="ZF18" s="236"/>
      <c r="ZG18" s="236"/>
      <c r="ZH18" s="236"/>
      <c r="ZI18" s="236"/>
      <c r="ZJ18" s="236"/>
      <c r="ZK18" s="236"/>
      <c r="ZL18" s="236"/>
      <c r="ZM18" s="236"/>
      <c r="ZN18" s="236"/>
      <c r="ZO18" s="236"/>
      <c r="ZP18" s="236"/>
      <c r="ZQ18" s="236"/>
      <c r="ZR18" s="236"/>
      <c r="ZS18" s="236"/>
      <c r="ZT18" s="236"/>
      <c r="ZU18" s="236"/>
      <c r="ZV18" s="236"/>
      <c r="ZW18" s="236"/>
      <c r="ZX18" s="236"/>
      <c r="ZY18" s="236"/>
      <c r="ZZ18" s="236"/>
      <c r="AAA18" s="236"/>
      <c r="AAB18" s="236"/>
      <c r="AAC18" s="236"/>
      <c r="AAD18" s="236"/>
      <c r="AAE18" s="236"/>
      <c r="AAF18" s="236"/>
      <c r="AAG18" s="236"/>
      <c r="AAH18" s="236"/>
      <c r="AAI18" s="236"/>
      <c r="AAJ18" s="236"/>
      <c r="AAK18" s="236"/>
      <c r="AAL18" s="236"/>
      <c r="AAM18" s="236"/>
      <c r="AAN18" s="236"/>
      <c r="AAO18" s="236"/>
      <c r="AAP18" s="236"/>
      <c r="AAQ18" s="236"/>
      <c r="AAR18" s="236"/>
      <c r="AAS18" s="236"/>
      <c r="AAT18" s="236"/>
      <c r="AAU18" s="236"/>
      <c r="AAV18" s="236"/>
      <c r="AAW18" s="236"/>
      <c r="AAX18" s="236"/>
      <c r="AAY18" s="236"/>
      <c r="AAZ18" s="236"/>
      <c r="ABA18" s="236"/>
      <c r="ABB18" s="236"/>
      <c r="ABC18" s="236"/>
      <c r="ABD18" s="236"/>
      <c r="ABE18" s="236"/>
      <c r="ABF18" s="236"/>
      <c r="ABG18" s="236"/>
      <c r="ABH18" s="236"/>
      <c r="ABI18" s="236"/>
      <c r="ABJ18" s="236"/>
      <c r="ABK18" s="236"/>
      <c r="ABL18" s="236"/>
      <c r="ABM18" s="236"/>
      <c r="ABN18" s="236"/>
      <c r="ABO18" s="236"/>
      <c r="ABP18" s="236"/>
      <c r="ABQ18" s="236"/>
      <c r="ABR18" s="236"/>
      <c r="ABS18" s="236"/>
      <c r="ABT18" s="236"/>
      <c r="ABU18" s="236"/>
      <c r="ABV18" s="236"/>
      <c r="ABW18" s="236"/>
      <c r="ABX18" s="236"/>
      <c r="ABY18" s="236"/>
      <c r="ABZ18" s="236"/>
      <c r="ACA18" s="236"/>
      <c r="ACB18" s="236"/>
      <c r="ACC18" s="236"/>
      <c r="ACD18" s="236"/>
      <c r="ACE18" s="236"/>
      <c r="ACF18" s="236"/>
      <c r="ACG18" s="236"/>
      <c r="ACH18" s="236"/>
      <c r="ACI18" s="236"/>
      <c r="ACJ18" s="236"/>
      <c r="ACK18" s="236"/>
      <c r="ACL18" s="236"/>
      <c r="ACM18" s="236"/>
      <c r="ACN18" s="236"/>
      <c r="ACO18" s="236"/>
      <c r="ACP18" s="236"/>
      <c r="ACQ18" s="236"/>
      <c r="ACR18" s="236"/>
      <c r="ACS18" s="236"/>
      <c r="ACT18" s="236"/>
      <c r="ACU18" s="236"/>
      <c r="ACV18" s="236"/>
      <c r="ACW18" s="236"/>
      <c r="ACX18" s="236"/>
      <c r="ACY18" s="236"/>
      <c r="ACZ18" s="236"/>
      <c r="ADA18" s="236"/>
      <c r="ADB18" s="236"/>
      <c r="ADC18" s="236"/>
      <c r="ADD18" s="236"/>
      <c r="ADE18" s="236"/>
      <c r="ADF18" s="236"/>
      <c r="ADG18" s="236"/>
      <c r="ADH18" s="236"/>
      <c r="ADI18" s="236"/>
      <c r="ADJ18" s="236"/>
      <c r="ADK18" s="236"/>
      <c r="ADL18" s="236"/>
      <c r="ADM18" s="236"/>
      <c r="ADN18" s="236"/>
      <c r="ADO18" s="236"/>
      <c r="ADP18" s="236"/>
      <c r="ADQ18" s="236"/>
      <c r="ADR18" s="236"/>
      <c r="ADS18" s="236"/>
      <c r="ADT18" s="236"/>
      <c r="ADU18" s="236"/>
      <c r="ADV18" s="236"/>
      <c r="ADW18" s="236"/>
      <c r="ADX18" s="236"/>
      <c r="ADY18" s="236"/>
      <c r="ADZ18" s="236"/>
      <c r="AEA18" s="236"/>
      <c r="AEB18" s="236"/>
      <c r="AEC18" s="236"/>
      <c r="AED18" s="236"/>
      <c r="AEE18" s="236"/>
      <c r="AEF18" s="236"/>
      <c r="AEG18" s="236"/>
      <c r="AEH18" s="236"/>
      <c r="AEI18" s="236"/>
      <c r="AEJ18" s="236"/>
      <c r="AEK18" s="236"/>
      <c r="AEL18" s="236"/>
      <c r="AEM18" s="236"/>
      <c r="AEN18" s="236"/>
      <c r="AEO18" s="236"/>
      <c r="AEP18" s="236"/>
      <c r="AEQ18" s="236"/>
      <c r="AER18" s="236"/>
      <c r="AES18" s="236"/>
      <c r="AET18" s="236"/>
      <c r="AEU18" s="236"/>
      <c r="AEV18" s="236"/>
      <c r="AEW18" s="236"/>
      <c r="AEX18" s="236"/>
      <c r="AEY18" s="236"/>
      <c r="AEZ18" s="236"/>
      <c r="AFA18" s="236"/>
      <c r="AFB18" s="236"/>
      <c r="AFC18" s="236"/>
      <c r="AFD18" s="236"/>
      <c r="AFE18" s="236"/>
      <c r="AFF18" s="236"/>
      <c r="AFG18" s="236"/>
      <c r="AFH18" s="236"/>
      <c r="AFI18" s="236"/>
      <c r="AFJ18" s="236"/>
      <c r="AFK18" s="236"/>
      <c r="AFL18" s="236"/>
      <c r="AFM18" s="236"/>
      <c r="AFN18" s="236"/>
      <c r="AFO18" s="236"/>
      <c r="AFP18" s="236"/>
      <c r="AFQ18" s="236"/>
      <c r="AFR18" s="236"/>
      <c r="AFS18" s="236"/>
      <c r="AFT18" s="236"/>
      <c r="AFU18" s="236"/>
      <c r="AFV18" s="236"/>
      <c r="AFW18" s="236"/>
      <c r="AFX18" s="236"/>
      <c r="AFY18" s="236"/>
      <c r="AFZ18" s="236"/>
      <c r="AGA18" s="236"/>
      <c r="AGB18" s="236"/>
      <c r="AGC18" s="236"/>
      <c r="AGD18" s="236"/>
      <c r="AGE18" s="236"/>
      <c r="AGF18" s="236"/>
      <c r="AGG18" s="236"/>
      <c r="AGH18" s="236"/>
      <c r="AGI18" s="236"/>
      <c r="AGJ18" s="236"/>
      <c r="AGK18" s="236"/>
      <c r="AGL18" s="236"/>
      <c r="AGM18" s="236"/>
      <c r="AGN18" s="236"/>
      <c r="AGO18" s="236"/>
      <c r="AGP18" s="236"/>
      <c r="AGQ18" s="236"/>
      <c r="AGR18" s="236"/>
      <c r="AGS18" s="236"/>
      <c r="AGT18" s="236"/>
      <c r="AGU18" s="236"/>
      <c r="AGV18" s="236"/>
      <c r="AGW18" s="236"/>
      <c r="AGX18" s="236"/>
      <c r="AGY18" s="236"/>
      <c r="AGZ18" s="236"/>
      <c r="AHA18" s="236"/>
      <c r="AHB18" s="236"/>
      <c r="AHC18" s="236"/>
      <c r="AHD18" s="236"/>
      <c r="AHE18" s="236"/>
      <c r="AHF18" s="236"/>
      <c r="AHG18" s="236"/>
      <c r="AHH18" s="236"/>
      <c r="AHI18" s="236"/>
      <c r="AHJ18" s="236"/>
      <c r="AHK18" s="236"/>
      <c r="AHL18" s="236"/>
      <c r="AHM18" s="236"/>
      <c r="AHN18" s="236"/>
      <c r="AHO18" s="236"/>
      <c r="AHP18" s="236"/>
      <c r="AHQ18" s="236"/>
      <c r="AHR18" s="236"/>
      <c r="AHS18" s="236"/>
      <c r="AHT18" s="236"/>
      <c r="AHU18" s="236"/>
      <c r="AHV18" s="236"/>
      <c r="AHW18" s="236"/>
      <c r="AHX18" s="236"/>
      <c r="AHY18" s="236"/>
      <c r="AHZ18" s="236"/>
      <c r="AIA18" s="236"/>
      <c r="AIB18" s="236"/>
      <c r="AIC18" s="236"/>
      <c r="AID18" s="236"/>
      <c r="AIE18" s="236"/>
      <c r="AIF18" s="236"/>
      <c r="AIG18" s="236"/>
      <c r="AIH18" s="236"/>
      <c r="AII18" s="236"/>
      <c r="AIJ18" s="236"/>
      <c r="AIK18" s="236"/>
      <c r="AIL18" s="236"/>
      <c r="AIM18" s="236"/>
      <c r="AIN18" s="236"/>
      <c r="AIO18" s="236"/>
      <c r="AIP18" s="236"/>
      <c r="AIQ18" s="236"/>
      <c r="AIR18" s="236"/>
      <c r="AIS18" s="236"/>
      <c r="AIT18" s="236"/>
      <c r="AIU18" s="236"/>
      <c r="AIV18" s="236"/>
      <c r="AIW18" s="236"/>
      <c r="AIX18" s="236"/>
      <c r="AIY18" s="236"/>
      <c r="AIZ18" s="236"/>
      <c r="AJA18" s="236"/>
      <c r="AJB18" s="236"/>
      <c r="AJC18" s="236"/>
      <c r="AJD18" s="236"/>
      <c r="AJE18" s="236"/>
      <c r="AJF18" s="236"/>
      <c r="AJG18" s="236"/>
      <c r="AJH18" s="236"/>
      <c r="AJI18" s="236"/>
      <c r="AJJ18" s="236"/>
      <c r="AJK18" s="236"/>
      <c r="AJL18" s="236"/>
      <c r="AJM18" s="236"/>
      <c r="AJN18" s="236"/>
      <c r="AJO18" s="236"/>
      <c r="AJP18" s="236"/>
      <c r="AJQ18" s="236"/>
      <c r="AJR18" s="236"/>
      <c r="AJS18" s="236"/>
      <c r="AJT18" s="236"/>
      <c r="AJU18" s="236"/>
      <c r="AJV18" s="236"/>
      <c r="AJW18" s="236"/>
      <c r="AJX18" s="236"/>
      <c r="AJY18" s="236"/>
      <c r="AJZ18" s="236"/>
      <c r="AKA18" s="236"/>
      <c r="AKB18" s="236"/>
      <c r="AKC18" s="236"/>
      <c r="AKD18" s="236"/>
      <c r="AKE18" s="236"/>
      <c r="AKF18" s="236"/>
      <c r="AKG18" s="236"/>
      <c r="AKH18" s="236"/>
      <c r="AKI18" s="236"/>
      <c r="AKJ18" s="236"/>
      <c r="AKK18" s="236"/>
      <c r="AKL18" s="236"/>
      <c r="AKM18" s="236"/>
      <c r="AKN18" s="236"/>
      <c r="AKO18" s="236"/>
      <c r="AKP18" s="236"/>
      <c r="AKQ18" s="236"/>
      <c r="AKR18" s="236"/>
      <c r="AKS18" s="236"/>
      <c r="AKT18" s="236"/>
      <c r="AKU18" s="236"/>
      <c r="AKV18" s="236"/>
      <c r="AKW18" s="236"/>
      <c r="AKX18" s="236"/>
      <c r="AKY18" s="236"/>
      <c r="AKZ18" s="236"/>
      <c r="ALA18" s="236"/>
      <c r="ALB18" s="236"/>
      <c r="ALC18" s="236"/>
      <c r="ALD18" s="236"/>
      <c r="ALE18" s="236"/>
      <c r="ALF18" s="236"/>
      <c r="ALG18" s="236"/>
      <c r="ALH18" s="236"/>
      <c r="ALI18" s="236"/>
      <c r="ALJ18" s="236"/>
      <c r="ALK18" s="236"/>
      <c r="ALL18" s="236"/>
      <c r="ALM18" s="236"/>
      <c r="ALN18" s="236"/>
      <c r="ALO18" s="236"/>
      <c r="ALP18" s="236"/>
      <c r="ALQ18" s="236"/>
      <c r="ALR18" s="236"/>
      <c r="ALS18" s="236"/>
      <c r="ALT18" s="236"/>
      <c r="ALU18" s="236"/>
      <c r="ALV18" s="236"/>
      <c r="ALW18" s="236"/>
      <c r="ALX18" s="236"/>
      <c r="ALY18" s="236"/>
      <c r="ALZ18" s="236"/>
      <c r="AMA18" s="236"/>
      <c r="AMB18" s="236"/>
      <c r="AMC18" s="236"/>
      <c r="AMD18" s="236"/>
      <c r="AME18" s="236"/>
      <c r="AMF18" s="236"/>
      <c r="AMG18" s="236"/>
      <c r="AMH18" s="236"/>
      <c r="AMI18" s="236"/>
      <c r="AMJ18" s="236"/>
      <c r="AMK18" s="236"/>
      <c r="AML18" s="236"/>
      <c r="AMM18" s="236"/>
    </row>
    <row r="19" spans="1:1027" ht="23.25" hidden="1" customHeight="1">
      <c r="A19" s="2042" t="s">
        <v>717</v>
      </c>
      <c r="B19" s="2043"/>
      <c r="C19" s="2043"/>
      <c r="D19" s="2043"/>
      <c r="E19" s="2043"/>
      <c r="F19" s="2043"/>
      <c r="G19" s="2043"/>
      <c r="H19" s="2043"/>
      <c r="I19" s="2043"/>
      <c r="J19" s="2043"/>
      <c r="K19" s="2043"/>
      <c r="L19" s="2044"/>
      <c r="M19" s="275"/>
      <c r="N19" s="280" t="s">
        <v>650</v>
      </c>
      <c r="O19" s="280"/>
      <c r="P19" s="281"/>
      <c r="Q19" s="281"/>
      <c r="R19" s="281"/>
      <c r="S19" s="281"/>
      <c r="T19" s="281"/>
      <c r="U19" s="281"/>
      <c r="V19" s="281"/>
      <c r="W19" s="281"/>
      <c r="X19" s="282"/>
      <c r="Y19" s="282"/>
      <c r="Z19" s="282"/>
      <c r="AA19" s="282"/>
      <c r="AB19" s="282"/>
      <c r="AC19" s="282"/>
      <c r="AD19" s="281"/>
      <c r="AE19" s="281"/>
      <c r="AF19" s="281"/>
      <c r="AG19" s="281"/>
      <c r="AH19" s="281"/>
      <c r="AI19" s="281"/>
      <c r="AJ19" s="275"/>
      <c r="AK19" s="275"/>
      <c r="AL19" s="275"/>
      <c r="AM19" s="279"/>
      <c r="AN19" s="262"/>
      <c r="AO19" s="262"/>
      <c r="AP19" s="262"/>
      <c r="AQ19" s="262"/>
      <c r="AR19" s="262"/>
      <c r="AS19" s="262"/>
      <c r="AT19" s="262"/>
      <c r="AU19" s="262"/>
      <c r="AV19" s="262"/>
      <c r="AW19" s="262"/>
      <c r="AX19" s="262"/>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c r="HV19" s="236"/>
      <c r="HW19" s="236"/>
      <c r="HX19" s="236"/>
      <c r="HY19" s="236"/>
      <c r="HZ19" s="236"/>
      <c r="IA19" s="236"/>
      <c r="IB19" s="236"/>
      <c r="IC19" s="236"/>
      <c r="ID19" s="236"/>
      <c r="IE19" s="236"/>
      <c r="IF19" s="236"/>
      <c r="IG19" s="236"/>
      <c r="IH19" s="236"/>
      <c r="II19" s="236"/>
      <c r="IJ19" s="236"/>
      <c r="IK19" s="236"/>
      <c r="IL19" s="236"/>
      <c r="IM19" s="236"/>
      <c r="IN19" s="236"/>
      <c r="IO19" s="236"/>
      <c r="IP19" s="236"/>
      <c r="IQ19" s="236"/>
      <c r="IR19" s="236"/>
      <c r="IS19" s="236"/>
      <c r="IT19" s="236"/>
      <c r="IU19" s="236"/>
      <c r="IV19" s="236"/>
      <c r="IW19" s="236"/>
      <c r="IX19" s="236"/>
      <c r="IY19" s="236"/>
      <c r="IZ19" s="236"/>
      <c r="JA19" s="236"/>
      <c r="JB19" s="236"/>
      <c r="JC19" s="236"/>
      <c r="JD19" s="236"/>
      <c r="JE19" s="236"/>
      <c r="JF19" s="236"/>
      <c r="JG19" s="236"/>
      <c r="JH19" s="236"/>
      <c r="JI19" s="236"/>
      <c r="JJ19" s="236"/>
      <c r="JK19" s="236"/>
      <c r="JL19" s="236"/>
      <c r="JM19" s="236"/>
      <c r="JN19" s="236"/>
      <c r="JO19" s="236"/>
      <c r="JP19" s="236"/>
      <c r="JQ19" s="236"/>
      <c r="JR19" s="236"/>
      <c r="JS19" s="236"/>
      <c r="JT19" s="236"/>
      <c r="JU19" s="236"/>
      <c r="JV19" s="236"/>
      <c r="JW19" s="236"/>
      <c r="JX19" s="236"/>
      <c r="JY19" s="236"/>
      <c r="JZ19" s="236"/>
      <c r="KA19" s="236"/>
      <c r="KB19" s="236"/>
      <c r="KC19" s="236"/>
      <c r="KD19" s="236"/>
      <c r="KE19" s="236"/>
      <c r="KF19" s="236"/>
      <c r="KG19" s="236"/>
      <c r="KH19" s="236"/>
      <c r="KI19" s="236"/>
      <c r="KJ19" s="236"/>
      <c r="KK19" s="236"/>
      <c r="KL19" s="236"/>
      <c r="KM19" s="236"/>
      <c r="KN19" s="236"/>
      <c r="KO19" s="236"/>
      <c r="KP19" s="236"/>
      <c r="KQ19" s="236"/>
      <c r="KR19" s="236"/>
      <c r="KS19" s="236"/>
      <c r="KT19" s="236"/>
      <c r="KU19" s="236"/>
      <c r="KV19" s="236"/>
      <c r="KW19" s="236"/>
      <c r="KX19" s="236"/>
      <c r="KY19" s="236"/>
      <c r="KZ19" s="236"/>
      <c r="LA19" s="236"/>
      <c r="LB19" s="236"/>
      <c r="LC19" s="236"/>
      <c r="LD19" s="236"/>
      <c r="LE19" s="236"/>
      <c r="LF19" s="236"/>
      <c r="LG19" s="236"/>
      <c r="LH19" s="236"/>
      <c r="LI19" s="236"/>
      <c r="LJ19" s="236"/>
      <c r="LK19" s="236"/>
      <c r="LL19" s="236"/>
      <c r="LM19" s="236"/>
      <c r="LN19" s="236"/>
      <c r="LO19" s="236"/>
      <c r="LP19" s="236"/>
      <c r="LQ19" s="236"/>
      <c r="LR19" s="236"/>
      <c r="LS19" s="236"/>
      <c r="LT19" s="236"/>
      <c r="LU19" s="236"/>
      <c r="LV19" s="236"/>
      <c r="LW19" s="236"/>
      <c r="LX19" s="236"/>
      <c r="LY19" s="236"/>
      <c r="LZ19" s="236"/>
      <c r="MA19" s="236"/>
      <c r="MB19" s="236"/>
      <c r="MC19" s="236"/>
      <c r="MD19" s="236"/>
      <c r="ME19" s="236"/>
      <c r="MF19" s="236"/>
      <c r="MG19" s="236"/>
      <c r="MH19" s="236"/>
      <c r="MI19" s="236"/>
      <c r="MJ19" s="236"/>
      <c r="MK19" s="236"/>
      <c r="ML19" s="236"/>
      <c r="MM19" s="236"/>
      <c r="MN19" s="236"/>
      <c r="MO19" s="236"/>
      <c r="MP19" s="236"/>
      <c r="MQ19" s="236"/>
      <c r="MR19" s="236"/>
      <c r="MS19" s="236"/>
      <c r="MT19" s="236"/>
      <c r="MU19" s="236"/>
      <c r="MV19" s="236"/>
      <c r="MW19" s="236"/>
      <c r="MX19" s="236"/>
      <c r="MY19" s="236"/>
      <c r="MZ19" s="236"/>
      <c r="NA19" s="236"/>
      <c r="NB19" s="236"/>
      <c r="NC19" s="236"/>
      <c r="ND19" s="236"/>
      <c r="NE19" s="236"/>
      <c r="NF19" s="236"/>
      <c r="NG19" s="236"/>
      <c r="NH19" s="236"/>
      <c r="NI19" s="236"/>
      <c r="NJ19" s="236"/>
      <c r="NK19" s="236"/>
      <c r="NL19" s="236"/>
      <c r="NM19" s="236"/>
      <c r="NN19" s="236"/>
      <c r="NO19" s="236"/>
      <c r="NP19" s="236"/>
      <c r="NQ19" s="236"/>
      <c r="NR19" s="236"/>
      <c r="NS19" s="236"/>
      <c r="NT19" s="236"/>
      <c r="NU19" s="236"/>
      <c r="NV19" s="236"/>
      <c r="NW19" s="236"/>
      <c r="NX19" s="236"/>
      <c r="NY19" s="236"/>
      <c r="NZ19" s="236"/>
      <c r="OA19" s="236"/>
      <c r="OB19" s="236"/>
      <c r="OC19" s="236"/>
      <c r="OD19" s="236"/>
      <c r="OE19" s="236"/>
      <c r="OF19" s="236"/>
      <c r="OG19" s="236"/>
      <c r="OH19" s="236"/>
      <c r="OI19" s="236"/>
      <c r="OJ19" s="236"/>
      <c r="OK19" s="236"/>
      <c r="OL19" s="236"/>
      <c r="OM19" s="236"/>
      <c r="ON19" s="236"/>
      <c r="OO19" s="236"/>
      <c r="OP19" s="236"/>
      <c r="OQ19" s="236"/>
      <c r="OR19" s="236"/>
      <c r="OS19" s="236"/>
      <c r="OT19" s="236"/>
      <c r="OU19" s="236"/>
      <c r="OV19" s="236"/>
      <c r="OW19" s="236"/>
      <c r="OX19" s="236"/>
      <c r="OY19" s="236"/>
      <c r="OZ19" s="236"/>
      <c r="PA19" s="236"/>
      <c r="PB19" s="236"/>
      <c r="PC19" s="236"/>
      <c r="PD19" s="236"/>
      <c r="PE19" s="236"/>
      <c r="PF19" s="236"/>
      <c r="PG19" s="236"/>
      <c r="PH19" s="236"/>
      <c r="PI19" s="236"/>
      <c r="PJ19" s="236"/>
      <c r="PK19" s="236"/>
      <c r="PL19" s="236"/>
      <c r="PM19" s="236"/>
      <c r="PN19" s="236"/>
      <c r="PO19" s="236"/>
      <c r="PP19" s="236"/>
      <c r="PQ19" s="236"/>
      <c r="PR19" s="236"/>
      <c r="PS19" s="236"/>
      <c r="PT19" s="236"/>
      <c r="PU19" s="236"/>
      <c r="PV19" s="236"/>
      <c r="PW19" s="236"/>
      <c r="PX19" s="236"/>
      <c r="PY19" s="236"/>
      <c r="PZ19" s="236"/>
      <c r="QA19" s="236"/>
      <c r="QB19" s="236"/>
      <c r="QC19" s="236"/>
      <c r="QD19" s="236"/>
      <c r="QE19" s="236"/>
      <c r="QF19" s="236"/>
      <c r="QG19" s="236"/>
      <c r="QH19" s="236"/>
      <c r="QI19" s="236"/>
      <c r="QJ19" s="236"/>
      <c r="QK19" s="236"/>
      <c r="QL19" s="236"/>
      <c r="QM19" s="236"/>
      <c r="QN19" s="236"/>
      <c r="QO19" s="236"/>
      <c r="QP19" s="236"/>
      <c r="QQ19" s="236"/>
      <c r="QR19" s="236"/>
      <c r="QS19" s="236"/>
      <c r="QT19" s="236"/>
      <c r="QU19" s="236"/>
      <c r="QV19" s="236"/>
      <c r="QW19" s="236"/>
      <c r="QX19" s="236"/>
      <c r="QY19" s="236"/>
      <c r="QZ19" s="236"/>
      <c r="RA19" s="236"/>
      <c r="RB19" s="236"/>
      <c r="RC19" s="236"/>
      <c r="RD19" s="236"/>
      <c r="RE19" s="236"/>
      <c r="RF19" s="236"/>
      <c r="RG19" s="236"/>
      <c r="RH19" s="236"/>
      <c r="RI19" s="236"/>
      <c r="RJ19" s="236"/>
      <c r="RK19" s="236"/>
      <c r="RL19" s="236"/>
      <c r="RM19" s="236"/>
      <c r="RN19" s="236"/>
      <c r="RO19" s="236"/>
      <c r="RP19" s="236"/>
      <c r="RQ19" s="236"/>
      <c r="RR19" s="236"/>
      <c r="RS19" s="236"/>
      <c r="RT19" s="236"/>
      <c r="RU19" s="236"/>
      <c r="RV19" s="236"/>
      <c r="RW19" s="236"/>
      <c r="RX19" s="236"/>
      <c r="RY19" s="236"/>
      <c r="RZ19" s="236"/>
      <c r="SA19" s="236"/>
      <c r="SB19" s="236"/>
      <c r="SC19" s="236"/>
      <c r="SD19" s="236"/>
      <c r="SE19" s="236"/>
      <c r="SF19" s="236"/>
      <c r="SG19" s="236"/>
      <c r="SH19" s="236"/>
      <c r="SI19" s="236"/>
      <c r="SJ19" s="236"/>
      <c r="SK19" s="236"/>
      <c r="SL19" s="236"/>
      <c r="SM19" s="236"/>
      <c r="SN19" s="236"/>
      <c r="SO19" s="236"/>
      <c r="SP19" s="236"/>
      <c r="SQ19" s="236"/>
      <c r="SR19" s="236"/>
      <c r="SS19" s="236"/>
      <c r="ST19" s="236"/>
      <c r="SU19" s="236"/>
      <c r="SV19" s="236"/>
      <c r="SW19" s="236"/>
      <c r="SX19" s="236"/>
      <c r="SY19" s="236"/>
      <c r="SZ19" s="236"/>
      <c r="TA19" s="236"/>
      <c r="TB19" s="236"/>
      <c r="TC19" s="236"/>
      <c r="TD19" s="236"/>
      <c r="TE19" s="236"/>
      <c r="TF19" s="236"/>
      <c r="TG19" s="236"/>
      <c r="TH19" s="236"/>
      <c r="TI19" s="236"/>
      <c r="TJ19" s="236"/>
      <c r="TK19" s="236"/>
      <c r="TL19" s="236"/>
      <c r="TM19" s="236"/>
      <c r="TN19" s="236"/>
      <c r="TO19" s="236"/>
      <c r="TP19" s="236"/>
      <c r="TQ19" s="236"/>
      <c r="TR19" s="236"/>
      <c r="TS19" s="236"/>
      <c r="TT19" s="236"/>
      <c r="TU19" s="236"/>
      <c r="TV19" s="236"/>
      <c r="TW19" s="236"/>
      <c r="TX19" s="236"/>
      <c r="TY19" s="236"/>
      <c r="TZ19" s="236"/>
      <c r="UA19" s="236"/>
      <c r="UB19" s="236"/>
      <c r="UC19" s="236"/>
      <c r="UD19" s="236"/>
      <c r="UE19" s="236"/>
      <c r="UF19" s="236"/>
      <c r="UG19" s="236"/>
      <c r="UH19" s="236"/>
      <c r="UI19" s="236"/>
      <c r="UJ19" s="236"/>
      <c r="UK19" s="236"/>
      <c r="UL19" s="236"/>
      <c r="UM19" s="236"/>
      <c r="UN19" s="236"/>
      <c r="UO19" s="236"/>
      <c r="UP19" s="236"/>
      <c r="UQ19" s="236"/>
      <c r="UR19" s="236"/>
      <c r="US19" s="236"/>
      <c r="UT19" s="236"/>
      <c r="UU19" s="236"/>
      <c r="UV19" s="236"/>
      <c r="UW19" s="236"/>
      <c r="UX19" s="236"/>
      <c r="UY19" s="236"/>
      <c r="UZ19" s="236"/>
      <c r="VA19" s="236"/>
      <c r="VB19" s="236"/>
      <c r="VC19" s="236"/>
      <c r="VD19" s="236"/>
      <c r="VE19" s="236"/>
      <c r="VF19" s="236"/>
      <c r="VG19" s="236"/>
      <c r="VH19" s="236"/>
      <c r="VI19" s="236"/>
      <c r="VJ19" s="236"/>
      <c r="VK19" s="236"/>
      <c r="VL19" s="236"/>
      <c r="VM19" s="236"/>
      <c r="VN19" s="236"/>
      <c r="VO19" s="236"/>
      <c r="VP19" s="236"/>
      <c r="VQ19" s="236"/>
      <c r="VR19" s="236"/>
      <c r="VS19" s="236"/>
      <c r="VT19" s="236"/>
      <c r="VU19" s="236"/>
      <c r="VV19" s="236"/>
      <c r="VW19" s="236"/>
      <c r="VX19" s="236"/>
      <c r="VY19" s="236"/>
      <c r="VZ19" s="236"/>
      <c r="WA19" s="236"/>
      <c r="WB19" s="236"/>
      <c r="WC19" s="236"/>
      <c r="WD19" s="236"/>
      <c r="WE19" s="236"/>
      <c r="WF19" s="236"/>
      <c r="WG19" s="236"/>
      <c r="WH19" s="236"/>
      <c r="WI19" s="236"/>
      <c r="WJ19" s="236"/>
      <c r="WK19" s="236"/>
      <c r="WL19" s="236"/>
      <c r="WM19" s="236"/>
      <c r="WN19" s="236"/>
      <c r="WO19" s="236"/>
      <c r="WP19" s="236"/>
      <c r="WQ19" s="236"/>
      <c r="WR19" s="236"/>
      <c r="WS19" s="236"/>
      <c r="WT19" s="236"/>
      <c r="WU19" s="236"/>
      <c r="WV19" s="236"/>
      <c r="WW19" s="236"/>
      <c r="WX19" s="236"/>
      <c r="WY19" s="236"/>
      <c r="WZ19" s="236"/>
      <c r="XA19" s="236"/>
      <c r="XB19" s="236"/>
      <c r="XC19" s="236"/>
      <c r="XD19" s="236"/>
      <c r="XE19" s="236"/>
      <c r="XF19" s="236"/>
      <c r="XG19" s="236"/>
      <c r="XH19" s="236"/>
      <c r="XI19" s="236"/>
      <c r="XJ19" s="236"/>
      <c r="XK19" s="236"/>
      <c r="XL19" s="236"/>
      <c r="XM19" s="236"/>
      <c r="XN19" s="236"/>
      <c r="XO19" s="236"/>
      <c r="XP19" s="236"/>
      <c r="XQ19" s="236"/>
      <c r="XR19" s="236"/>
      <c r="XS19" s="236"/>
      <c r="XT19" s="236"/>
      <c r="XU19" s="236"/>
      <c r="XV19" s="236"/>
      <c r="XW19" s="236"/>
      <c r="XX19" s="236"/>
      <c r="XY19" s="236"/>
      <c r="XZ19" s="236"/>
      <c r="YA19" s="236"/>
      <c r="YB19" s="236"/>
      <c r="YC19" s="236"/>
      <c r="YD19" s="236"/>
      <c r="YE19" s="236"/>
      <c r="YF19" s="236"/>
      <c r="YG19" s="236"/>
      <c r="YH19" s="236"/>
      <c r="YI19" s="236"/>
      <c r="YJ19" s="236"/>
      <c r="YK19" s="236"/>
      <c r="YL19" s="236"/>
      <c r="YM19" s="236"/>
      <c r="YN19" s="236"/>
      <c r="YO19" s="236"/>
      <c r="YP19" s="236"/>
      <c r="YQ19" s="236"/>
      <c r="YR19" s="236"/>
      <c r="YS19" s="236"/>
      <c r="YT19" s="236"/>
      <c r="YU19" s="236"/>
      <c r="YV19" s="236"/>
      <c r="YW19" s="236"/>
      <c r="YX19" s="236"/>
      <c r="YY19" s="236"/>
      <c r="YZ19" s="236"/>
      <c r="ZA19" s="236"/>
      <c r="ZB19" s="236"/>
      <c r="ZC19" s="236"/>
      <c r="ZD19" s="236"/>
      <c r="ZE19" s="236"/>
      <c r="ZF19" s="236"/>
      <c r="ZG19" s="236"/>
      <c r="ZH19" s="236"/>
      <c r="ZI19" s="236"/>
      <c r="ZJ19" s="236"/>
      <c r="ZK19" s="236"/>
      <c r="ZL19" s="236"/>
      <c r="ZM19" s="236"/>
      <c r="ZN19" s="236"/>
      <c r="ZO19" s="236"/>
      <c r="ZP19" s="236"/>
      <c r="ZQ19" s="236"/>
      <c r="ZR19" s="236"/>
      <c r="ZS19" s="236"/>
      <c r="ZT19" s="236"/>
      <c r="ZU19" s="236"/>
      <c r="ZV19" s="236"/>
      <c r="ZW19" s="236"/>
      <c r="ZX19" s="236"/>
      <c r="ZY19" s="236"/>
      <c r="ZZ19" s="236"/>
      <c r="AAA19" s="236"/>
      <c r="AAB19" s="236"/>
      <c r="AAC19" s="236"/>
      <c r="AAD19" s="236"/>
      <c r="AAE19" s="236"/>
      <c r="AAF19" s="236"/>
      <c r="AAG19" s="236"/>
      <c r="AAH19" s="236"/>
      <c r="AAI19" s="236"/>
      <c r="AAJ19" s="236"/>
      <c r="AAK19" s="236"/>
      <c r="AAL19" s="236"/>
      <c r="AAM19" s="236"/>
      <c r="AAN19" s="236"/>
      <c r="AAO19" s="236"/>
      <c r="AAP19" s="236"/>
      <c r="AAQ19" s="236"/>
      <c r="AAR19" s="236"/>
      <c r="AAS19" s="236"/>
      <c r="AAT19" s="236"/>
      <c r="AAU19" s="236"/>
      <c r="AAV19" s="236"/>
      <c r="AAW19" s="236"/>
      <c r="AAX19" s="236"/>
      <c r="AAY19" s="236"/>
      <c r="AAZ19" s="236"/>
      <c r="ABA19" s="236"/>
      <c r="ABB19" s="236"/>
      <c r="ABC19" s="236"/>
      <c r="ABD19" s="236"/>
      <c r="ABE19" s="236"/>
      <c r="ABF19" s="236"/>
      <c r="ABG19" s="236"/>
      <c r="ABH19" s="236"/>
      <c r="ABI19" s="236"/>
      <c r="ABJ19" s="236"/>
      <c r="ABK19" s="236"/>
      <c r="ABL19" s="236"/>
      <c r="ABM19" s="236"/>
      <c r="ABN19" s="236"/>
      <c r="ABO19" s="236"/>
      <c r="ABP19" s="236"/>
      <c r="ABQ19" s="236"/>
      <c r="ABR19" s="236"/>
      <c r="ABS19" s="236"/>
      <c r="ABT19" s="236"/>
      <c r="ABU19" s="236"/>
      <c r="ABV19" s="236"/>
      <c r="ABW19" s="236"/>
      <c r="ABX19" s="236"/>
      <c r="ABY19" s="236"/>
      <c r="ABZ19" s="236"/>
      <c r="ACA19" s="236"/>
      <c r="ACB19" s="236"/>
      <c r="ACC19" s="236"/>
      <c r="ACD19" s="236"/>
      <c r="ACE19" s="236"/>
      <c r="ACF19" s="236"/>
      <c r="ACG19" s="236"/>
      <c r="ACH19" s="236"/>
      <c r="ACI19" s="236"/>
      <c r="ACJ19" s="236"/>
      <c r="ACK19" s="236"/>
      <c r="ACL19" s="236"/>
      <c r="ACM19" s="236"/>
      <c r="ACN19" s="236"/>
      <c r="ACO19" s="236"/>
      <c r="ACP19" s="236"/>
      <c r="ACQ19" s="236"/>
      <c r="ACR19" s="236"/>
      <c r="ACS19" s="236"/>
      <c r="ACT19" s="236"/>
      <c r="ACU19" s="236"/>
      <c r="ACV19" s="236"/>
      <c r="ACW19" s="236"/>
      <c r="ACX19" s="236"/>
      <c r="ACY19" s="236"/>
      <c r="ACZ19" s="236"/>
      <c r="ADA19" s="236"/>
      <c r="ADB19" s="236"/>
      <c r="ADC19" s="236"/>
      <c r="ADD19" s="236"/>
      <c r="ADE19" s="236"/>
      <c r="ADF19" s="236"/>
      <c r="ADG19" s="236"/>
      <c r="ADH19" s="236"/>
      <c r="ADI19" s="236"/>
      <c r="ADJ19" s="236"/>
      <c r="ADK19" s="236"/>
      <c r="ADL19" s="236"/>
      <c r="ADM19" s="236"/>
      <c r="ADN19" s="236"/>
      <c r="ADO19" s="236"/>
      <c r="ADP19" s="236"/>
      <c r="ADQ19" s="236"/>
      <c r="ADR19" s="236"/>
      <c r="ADS19" s="236"/>
      <c r="ADT19" s="236"/>
      <c r="ADU19" s="236"/>
      <c r="ADV19" s="236"/>
      <c r="ADW19" s="236"/>
      <c r="ADX19" s="236"/>
      <c r="ADY19" s="236"/>
      <c r="ADZ19" s="236"/>
      <c r="AEA19" s="236"/>
      <c r="AEB19" s="236"/>
      <c r="AEC19" s="236"/>
      <c r="AED19" s="236"/>
      <c r="AEE19" s="236"/>
      <c r="AEF19" s="236"/>
      <c r="AEG19" s="236"/>
      <c r="AEH19" s="236"/>
      <c r="AEI19" s="236"/>
      <c r="AEJ19" s="236"/>
      <c r="AEK19" s="236"/>
      <c r="AEL19" s="236"/>
      <c r="AEM19" s="236"/>
      <c r="AEN19" s="236"/>
      <c r="AEO19" s="236"/>
      <c r="AEP19" s="236"/>
      <c r="AEQ19" s="236"/>
      <c r="AER19" s="236"/>
      <c r="AES19" s="236"/>
      <c r="AET19" s="236"/>
      <c r="AEU19" s="236"/>
      <c r="AEV19" s="236"/>
      <c r="AEW19" s="236"/>
      <c r="AEX19" s="236"/>
      <c r="AEY19" s="236"/>
      <c r="AEZ19" s="236"/>
      <c r="AFA19" s="236"/>
      <c r="AFB19" s="236"/>
      <c r="AFC19" s="236"/>
      <c r="AFD19" s="236"/>
      <c r="AFE19" s="236"/>
      <c r="AFF19" s="236"/>
      <c r="AFG19" s="236"/>
      <c r="AFH19" s="236"/>
      <c r="AFI19" s="236"/>
      <c r="AFJ19" s="236"/>
      <c r="AFK19" s="236"/>
      <c r="AFL19" s="236"/>
      <c r="AFM19" s="236"/>
      <c r="AFN19" s="236"/>
      <c r="AFO19" s="236"/>
      <c r="AFP19" s="236"/>
      <c r="AFQ19" s="236"/>
      <c r="AFR19" s="236"/>
      <c r="AFS19" s="236"/>
      <c r="AFT19" s="236"/>
      <c r="AFU19" s="236"/>
      <c r="AFV19" s="236"/>
      <c r="AFW19" s="236"/>
      <c r="AFX19" s="236"/>
      <c r="AFY19" s="236"/>
      <c r="AFZ19" s="236"/>
      <c r="AGA19" s="236"/>
      <c r="AGB19" s="236"/>
      <c r="AGC19" s="236"/>
      <c r="AGD19" s="236"/>
      <c r="AGE19" s="236"/>
      <c r="AGF19" s="236"/>
      <c r="AGG19" s="236"/>
      <c r="AGH19" s="236"/>
      <c r="AGI19" s="236"/>
      <c r="AGJ19" s="236"/>
      <c r="AGK19" s="236"/>
      <c r="AGL19" s="236"/>
      <c r="AGM19" s="236"/>
      <c r="AGN19" s="236"/>
      <c r="AGO19" s="236"/>
      <c r="AGP19" s="236"/>
      <c r="AGQ19" s="236"/>
      <c r="AGR19" s="236"/>
      <c r="AGS19" s="236"/>
      <c r="AGT19" s="236"/>
      <c r="AGU19" s="236"/>
      <c r="AGV19" s="236"/>
      <c r="AGW19" s="236"/>
      <c r="AGX19" s="236"/>
      <c r="AGY19" s="236"/>
      <c r="AGZ19" s="236"/>
      <c r="AHA19" s="236"/>
      <c r="AHB19" s="236"/>
      <c r="AHC19" s="236"/>
      <c r="AHD19" s="236"/>
      <c r="AHE19" s="236"/>
      <c r="AHF19" s="236"/>
      <c r="AHG19" s="236"/>
      <c r="AHH19" s="236"/>
      <c r="AHI19" s="236"/>
      <c r="AHJ19" s="236"/>
      <c r="AHK19" s="236"/>
      <c r="AHL19" s="236"/>
      <c r="AHM19" s="236"/>
      <c r="AHN19" s="236"/>
      <c r="AHO19" s="236"/>
      <c r="AHP19" s="236"/>
      <c r="AHQ19" s="236"/>
      <c r="AHR19" s="236"/>
      <c r="AHS19" s="236"/>
      <c r="AHT19" s="236"/>
      <c r="AHU19" s="236"/>
      <c r="AHV19" s="236"/>
      <c r="AHW19" s="236"/>
      <c r="AHX19" s="236"/>
      <c r="AHY19" s="236"/>
      <c r="AHZ19" s="236"/>
      <c r="AIA19" s="236"/>
      <c r="AIB19" s="236"/>
      <c r="AIC19" s="236"/>
      <c r="AID19" s="236"/>
      <c r="AIE19" s="236"/>
      <c r="AIF19" s="236"/>
      <c r="AIG19" s="236"/>
      <c r="AIH19" s="236"/>
      <c r="AII19" s="236"/>
      <c r="AIJ19" s="236"/>
      <c r="AIK19" s="236"/>
      <c r="AIL19" s="236"/>
      <c r="AIM19" s="236"/>
      <c r="AIN19" s="236"/>
      <c r="AIO19" s="236"/>
      <c r="AIP19" s="236"/>
      <c r="AIQ19" s="236"/>
      <c r="AIR19" s="236"/>
      <c r="AIS19" s="236"/>
      <c r="AIT19" s="236"/>
      <c r="AIU19" s="236"/>
      <c r="AIV19" s="236"/>
      <c r="AIW19" s="236"/>
      <c r="AIX19" s="236"/>
      <c r="AIY19" s="236"/>
      <c r="AIZ19" s="236"/>
      <c r="AJA19" s="236"/>
      <c r="AJB19" s="236"/>
      <c r="AJC19" s="236"/>
      <c r="AJD19" s="236"/>
      <c r="AJE19" s="236"/>
      <c r="AJF19" s="236"/>
      <c r="AJG19" s="236"/>
      <c r="AJH19" s="236"/>
      <c r="AJI19" s="236"/>
      <c r="AJJ19" s="236"/>
      <c r="AJK19" s="236"/>
      <c r="AJL19" s="236"/>
      <c r="AJM19" s="236"/>
      <c r="AJN19" s="236"/>
      <c r="AJO19" s="236"/>
      <c r="AJP19" s="236"/>
      <c r="AJQ19" s="236"/>
      <c r="AJR19" s="236"/>
      <c r="AJS19" s="236"/>
      <c r="AJT19" s="236"/>
      <c r="AJU19" s="236"/>
      <c r="AJV19" s="236"/>
      <c r="AJW19" s="236"/>
      <c r="AJX19" s="236"/>
      <c r="AJY19" s="236"/>
      <c r="AJZ19" s="236"/>
      <c r="AKA19" s="236"/>
      <c r="AKB19" s="236"/>
      <c r="AKC19" s="236"/>
      <c r="AKD19" s="236"/>
      <c r="AKE19" s="236"/>
      <c r="AKF19" s="236"/>
      <c r="AKG19" s="236"/>
      <c r="AKH19" s="236"/>
      <c r="AKI19" s="236"/>
      <c r="AKJ19" s="236"/>
      <c r="AKK19" s="236"/>
      <c r="AKL19" s="236"/>
      <c r="AKM19" s="236"/>
      <c r="AKN19" s="236"/>
      <c r="AKO19" s="236"/>
      <c r="AKP19" s="236"/>
      <c r="AKQ19" s="236"/>
      <c r="AKR19" s="236"/>
      <c r="AKS19" s="236"/>
      <c r="AKT19" s="236"/>
      <c r="AKU19" s="236"/>
      <c r="AKV19" s="236"/>
      <c r="AKW19" s="236"/>
      <c r="AKX19" s="236"/>
      <c r="AKY19" s="236"/>
      <c r="AKZ19" s="236"/>
      <c r="ALA19" s="236"/>
      <c r="ALB19" s="236"/>
      <c r="ALC19" s="236"/>
      <c r="ALD19" s="236"/>
      <c r="ALE19" s="236"/>
      <c r="ALF19" s="236"/>
      <c r="ALG19" s="236"/>
      <c r="ALH19" s="236"/>
      <c r="ALI19" s="236"/>
      <c r="ALJ19" s="236"/>
      <c r="ALK19" s="236"/>
      <c r="ALL19" s="236"/>
      <c r="ALM19" s="236"/>
      <c r="ALN19" s="236"/>
      <c r="ALO19" s="236"/>
      <c r="ALP19" s="236"/>
      <c r="ALQ19" s="236"/>
      <c r="ALR19" s="236"/>
      <c r="ALS19" s="236"/>
      <c r="ALT19" s="236"/>
      <c r="ALU19" s="236"/>
      <c r="ALV19" s="236"/>
      <c r="ALW19" s="236"/>
      <c r="ALX19" s="236"/>
      <c r="ALY19" s="236"/>
      <c r="ALZ19" s="236"/>
      <c r="AMA19" s="236"/>
      <c r="AMB19" s="236"/>
      <c r="AMC19" s="236"/>
      <c r="AMD19" s="236"/>
      <c r="AME19" s="236"/>
      <c r="AMF19" s="236"/>
      <c r="AMG19" s="236"/>
      <c r="AMH19" s="236"/>
      <c r="AMI19" s="236"/>
      <c r="AMJ19" s="236"/>
      <c r="AMK19" s="236"/>
      <c r="AML19" s="236"/>
      <c r="AMM19" s="236"/>
    </row>
    <row r="20" spans="1:1027" ht="45" hidden="1" customHeight="1">
      <c r="A20" s="2045"/>
      <c r="B20" s="2046"/>
      <c r="C20" s="2046"/>
      <c r="D20" s="2046"/>
      <c r="E20" s="2046"/>
      <c r="F20" s="2046"/>
      <c r="G20" s="2046"/>
      <c r="H20" s="2046"/>
      <c r="I20" s="2046"/>
      <c r="J20" s="2046"/>
      <c r="K20" s="2046"/>
      <c r="L20" s="2047"/>
      <c r="M20" s="283"/>
      <c r="N20" s="1392" t="s">
        <v>278</v>
      </c>
      <c r="O20" s="1393"/>
      <c r="P20" s="1393"/>
      <c r="Q20" s="1393"/>
      <c r="R20" s="1394"/>
      <c r="S20" s="284"/>
      <c r="T20" s="284"/>
      <c r="U20" s="284"/>
      <c r="V20" s="1392" t="s">
        <v>170</v>
      </c>
      <c r="W20" s="1393"/>
      <c r="X20" s="1393"/>
      <c r="Y20" s="1393"/>
      <c r="Z20" s="1394"/>
      <c r="AA20" s="1065"/>
      <c r="AB20" s="1392" t="s">
        <v>171</v>
      </c>
      <c r="AC20" s="1394"/>
      <c r="AD20" s="1392" t="s">
        <v>172</v>
      </c>
      <c r="AE20" s="1393"/>
      <c r="AF20" s="1393"/>
      <c r="AG20" s="1393"/>
      <c r="AH20" s="1393"/>
      <c r="AI20" s="1393"/>
      <c r="AJ20" s="1393"/>
      <c r="AK20" s="1393"/>
      <c r="AL20" s="1393"/>
      <c r="AM20" s="1393"/>
      <c r="AN20" s="1394"/>
      <c r="AO20" s="262"/>
      <c r="AP20" s="262"/>
      <c r="AQ20" s="262"/>
      <c r="AR20" s="262"/>
      <c r="AS20" s="262"/>
      <c r="AT20" s="262"/>
      <c r="AU20" s="262"/>
      <c r="AV20" s="262"/>
      <c r="AW20" s="262"/>
      <c r="AX20" s="262"/>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c r="HV20" s="236"/>
      <c r="HW20" s="236"/>
      <c r="HX20" s="236"/>
      <c r="HY20" s="236"/>
      <c r="HZ20" s="236"/>
      <c r="IA20" s="236"/>
      <c r="IB20" s="236"/>
      <c r="IC20" s="236"/>
      <c r="ID20" s="236"/>
      <c r="IE20" s="236"/>
      <c r="IF20" s="236"/>
      <c r="IG20" s="236"/>
      <c r="IH20" s="236"/>
      <c r="II20" s="236"/>
      <c r="IJ20" s="236"/>
      <c r="IK20" s="236"/>
      <c r="IL20" s="236"/>
      <c r="IM20" s="236"/>
      <c r="IN20" s="236"/>
      <c r="IO20" s="236"/>
      <c r="IP20" s="236"/>
      <c r="IQ20" s="236"/>
      <c r="IR20" s="236"/>
      <c r="IS20" s="236"/>
      <c r="IT20" s="236"/>
      <c r="IU20" s="236"/>
      <c r="IV20" s="236"/>
      <c r="IW20" s="236"/>
      <c r="IX20" s="236"/>
      <c r="IY20" s="236"/>
      <c r="IZ20" s="236"/>
      <c r="JA20" s="236"/>
      <c r="JB20" s="236"/>
      <c r="JC20" s="236"/>
      <c r="JD20" s="236"/>
      <c r="JE20" s="236"/>
      <c r="JF20" s="236"/>
      <c r="JG20" s="236"/>
      <c r="JH20" s="236"/>
      <c r="JI20" s="236"/>
      <c r="JJ20" s="236"/>
      <c r="JK20" s="236"/>
      <c r="JL20" s="236"/>
      <c r="JM20" s="236"/>
      <c r="JN20" s="236"/>
      <c r="JO20" s="236"/>
      <c r="JP20" s="236"/>
      <c r="JQ20" s="236"/>
      <c r="JR20" s="236"/>
      <c r="JS20" s="236"/>
      <c r="JT20" s="236"/>
      <c r="JU20" s="236"/>
      <c r="JV20" s="236"/>
      <c r="JW20" s="236"/>
      <c r="JX20" s="236"/>
      <c r="JY20" s="236"/>
      <c r="JZ20" s="236"/>
      <c r="KA20" s="236"/>
      <c r="KB20" s="236"/>
      <c r="KC20" s="236"/>
      <c r="KD20" s="236"/>
      <c r="KE20" s="236"/>
      <c r="KF20" s="236"/>
      <c r="KG20" s="236"/>
      <c r="KH20" s="236"/>
      <c r="KI20" s="236"/>
      <c r="KJ20" s="236"/>
      <c r="KK20" s="236"/>
      <c r="KL20" s="236"/>
      <c r="KM20" s="236"/>
      <c r="KN20" s="236"/>
      <c r="KO20" s="236"/>
      <c r="KP20" s="236"/>
      <c r="KQ20" s="236"/>
      <c r="KR20" s="236"/>
      <c r="KS20" s="236"/>
      <c r="KT20" s="236"/>
      <c r="KU20" s="236"/>
      <c r="KV20" s="236"/>
      <c r="KW20" s="236"/>
      <c r="KX20" s="236"/>
      <c r="KY20" s="236"/>
      <c r="KZ20" s="236"/>
      <c r="LA20" s="236"/>
      <c r="LB20" s="236"/>
      <c r="LC20" s="236"/>
      <c r="LD20" s="236"/>
      <c r="LE20" s="236"/>
      <c r="LF20" s="236"/>
      <c r="LG20" s="236"/>
      <c r="LH20" s="236"/>
      <c r="LI20" s="236"/>
      <c r="LJ20" s="236"/>
      <c r="LK20" s="236"/>
      <c r="LL20" s="236"/>
      <c r="LM20" s="236"/>
      <c r="LN20" s="236"/>
      <c r="LO20" s="236"/>
      <c r="LP20" s="236"/>
      <c r="LQ20" s="236"/>
      <c r="LR20" s="236"/>
      <c r="LS20" s="236"/>
      <c r="LT20" s="236"/>
      <c r="LU20" s="236"/>
      <c r="LV20" s="236"/>
      <c r="LW20" s="236"/>
      <c r="LX20" s="236"/>
      <c r="LY20" s="236"/>
      <c r="LZ20" s="236"/>
      <c r="MA20" s="236"/>
      <c r="MB20" s="236"/>
      <c r="MC20" s="236"/>
      <c r="MD20" s="236"/>
      <c r="ME20" s="236"/>
      <c r="MF20" s="236"/>
      <c r="MG20" s="236"/>
      <c r="MH20" s="236"/>
      <c r="MI20" s="236"/>
      <c r="MJ20" s="236"/>
      <c r="MK20" s="236"/>
      <c r="ML20" s="236"/>
      <c r="MM20" s="236"/>
      <c r="MN20" s="236"/>
      <c r="MO20" s="236"/>
      <c r="MP20" s="236"/>
      <c r="MQ20" s="236"/>
      <c r="MR20" s="236"/>
      <c r="MS20" s="236"/>
      <c r="MT20" s="236"/>
      <c r="MU20" s="236"/>
      <c r="MV20" s="236"/>
      <c r="MW20" s="236"/>
      <c r="MX20" s="236"/>
      <c r="MY20" s="236"/>
      <c r="MZ20" s="236"/>
      <c r="NA20" s="236"/>
      <c r="NB20" s="236"/>
      <c r="NC20" s="236"/>
      <c r="ND20" s="236"/>
      <c r="NE20" s="236"/>
      <c r="NF20" s="236"/>
      <c r="NG20" s="236"/>
      <c r="NH20" s="236"/>
      <c r="NI20" s="236"/>
      <c r="NJ20" s="236"/>
      <c r="NK20" s="236"/>
      <c r="NL20" s="236"/>
      <c r="NM20" s="236"/>
      <c r="NN20" s="236"/>
      <c r="NO20" s="236"/>
      <c r="NP20" s="236"/>
      <c r="NQ20" s="236"/>
      <c r="NR20" s="236"/>
      <c r="NS20" s="236"/>
      <c r="NT20" s="236"/>
      <c r="NU20" s="236"/>
      <c r="NV20" s="236"/>
      <c r="NW20" s="236"/>
      <c r="NX20" s="236"/>
      <c r="NY20" s="236"/>
      <c r="NZ20" s="236"/>
      <c r="OA20" s="236"/>
      <c r="OB20" s="236"/>
      <c r="OC20" s="236"/>
      <c r="OD20" s="236"/>
      <c r="OE20" s="236"/>
      <c r="OF20" s="236"/>
      <c r="OG20" s="236"/>
      <c r="OH20" s="236"/>
      <c r="OI20" s="236"/>
      <c r="OJ20" s="236"/>
      <c r="OK20" s="236"/>
      <c r="OL20" s="236"/>
      <c r="OM20" s="236"/>
      <c r="ON20" s="236"/>
      <c r="OO20" s="236"/>
      <c r="OP20" s="236"/>
      <c r="OQ20" s="236"/>
      <c r="OR20" s="236"/>
      <c r="OS20" s="236"/>
      <c r="OT20" s="236"/>
      <c r="OU20" s="236"/>
      <c r="OV20" s="236"/>
      <c r="OW20" s="236"/>
      <c r="OX20" s="236"/>
      <c r="OY20" s="236"/>
      <c r="OZ20" s="236"/>
      <c r="PA20" s="236"/>
      <c r="PB20" s="236"/>
      <c r="PC20" s="236"/>
      <c r="PD20" s="236"/>
      <c r="PE20" s="236"/>
      <c r="PF20" s="236"/>
      <c r="PG20" s="236"/>
      <c r="PH20" s="236"/>
      <c r="PI20" s="236"/>
      <c r="PJ20" s="236"/>
      <c r="PK20" s="236"/>
      <c r="PL20" s="236"/>
      <c r="PM20" s="236"/>
      <c r="PN20" s="236"/>
      <c r="PO20" s="236"/>
      <c r="PP20" s="236"/>
      <c r="PQ20" s="236"/>
      <c r="PR20" s="236"/>
      <c r="PS20" s="236"/>
      <c r="PT20" s="236"/>
      <c r="PU20" s="236"/>
      <c r="PV20" s="236"/>
      <c r="PW20" s="236"/>
      <c r="PX20" s="236"/>
      <c r="PY20" s="236"/>
      <c r="PZ20" s="236"/>
      <c r="QA20" s="236"/>
      <c r="QB20" s="236"/>
      <c r="QC20" s="236"/>
      <c r="QD20" s="236"/>
      <c r="QE20" s="236"/>
      <c r="QF20" s="236"/>
      <c r="QG20" s="236"/>
      <c r="QH20" s="236"/>
      <c r="QI20" s="236"/>
      <c r="QJ20" s="236"/>
      <c r="QK20" s="236"/>
      <c r="QL20" s="236"/>
      <c r="QM20" s="236"/>
      <c r="QN20" s="236"/>
      <c r="QO20" s="236"/>
      <c r="QP20" s="236"/>
      <c r="QQ20" s="236"/>
      <c r="QR20" s="236"/>
      <c r="QS20" s="236"/>
      <c r="QT20" s="236"/>
      <c r="QU20" s="236"/>
      <c r="QV20" s="236"/>
      <c r="QW20" s="236"/>
      <c r="QX20" s="236"/>
      <c r="QY20" s="236"/>
      <c r="QZ20" s="236"/>
      <c r="RA20" s="236"/>
      <c r="RB20" s="236"/>
      <c r="RC20" s="236"/>
      <c r="RD20" s="236"/>
      <c r="RE20" s="236"/>
      <c r="RF20" s="236"/>
      <c r="RG20" s="236"/>
      <c r="RH20" s="236"/>
      <c r="RI20" s="236"/>
      <c r="RJ20" s="236"/>
      <c r="RK20" s="236"/>
      <c r="RL20" s="236"/>
      <c r="RM20" s="236"/>
      <c r="RN20" s="236"/>
      <c r="RO20" s="236"/>
      <c r="RP20" s="236"/>
      <c r="RQ20" s="236"/>
      <c r="RR20" s="236"/>
      <c r="RS20" s="236"/>
      <c r="RT20" s="236"/>
      <c r="RU20" s="236"/>
      <c r="RV20" s="236"/>
      <c r="RW20" s="236"/>
      <c r="RX20" s="236"/>
      <c r="RY20" s="236"/>
      <c r="RZ20" s="236"/>
      <c r="SA20" s="236"/>
      <c r="SB20" s="236"/>
      <c r="SC20" s="236"/>
      <c r="SD20" s="236"/>
      <c r="SE20" s="236"/>
      <c r="SF20" s="236"/>
      <c r="SG20" s="236"/>
      <c r="SH20" s="236"/>
      <c r="SI20" s="236"/>
      <c r="SJ20" s="236"/>
      <c r="SK20" s="236"/>
      <c r="SL20" s="236"/>
      <c r="SM20" s="236"/>
      <c r="SN20" s="236"/>
      <c r="SO20" s="236"/>
      <c r="SP20" s="236"/>
      <c r="SQ20" s="236"/>
      <c r="SR20" s="236"/>
      <c r="SS20" s="236"/>
      <c r="ST20" s="236"/>
      <c r="SU20" s="236"/>
      <c r="SV20" s="236"/>
      <c r="SW20" s="236"/>
      <c r="SX20" s="236"/>
      <c r="SY20" s="236"/>
      <c r="SZ20" s="236"/>
      <c r="TA20" s="236"/>
      <c r="TB20" s="236"/>
      <c r="TC20" s="236"/>
      <c r="TD20" s="236"/>
      <c r="TE20" s="236"/>
      <c r="TF20" s="236"/>
      <c r="TG20" s="236"/>
      <c r="TH20" s="236"/>
      <c r="TI20" s="236"/>
      <c r="TJ20" s="236"/>
      <c r="TK20" s="236"/>
      <c r="TL20" s="236"/>
      <c r="TM20" s="236"/>
      <c r="TN20" s="236"/>
      <c r="TO20" s="236"/>
      <c r="TP20" s="236"/>
      <c r="TQ20" s="236"/>
      <c r="TR20" s="236"/>
      <c r="TS20" s="236"/>
      <c r="TT20" s="236"/>
      <c r="TU20" s="236"/>
      <c r="TV20" s="236"/>
      <c r="TW20" s="236"/>
      <c r="TX20" s="236"/>
      <c r="TY20" s="236"/>
      <c r="TZ20" s="236"/>
      <c r="UA20" s="236"/>
      <c r="UB20" s="236"/>
      <c r="UC20" s="236"/>
      <c r="UD20" s="236"/>
      <c r="UE20" s="236"/>
      <c r="UF20" s="236"/>
      <c r="UG20" s="236"/>
      <c r="UH20" s="236"/>
      <c r="UI20" s="236"/>
      <c r="UJ20" s="236"/>
      <c r="UK20" s="236"/>
      <c r="UL20" s="236"/>
      <c r="UM20" s="236"/>
      <c r="UN20" s="236"/>
      <c r="UO20" s="236"/>
      <c r="UP20" s="236"/>
      <c r="UQ20" s="236"/>
      <c r="UR20" s="236"/>
      <c r="US20" s="236"/>
      <c r="UT20" s="236"/>
      <c r="UU20" s="236"/>
      <c r="UV20" s="236"/>
      <c r="UW20" s="236"/>
      <c r="UX20" s="236"/>
      <c r="UY20" s="236"/>
      <c r="UZ20" s="236"/>
      <c r="VA20" s="236"/>
      <c r="VB20" s="236"/>
      <c r="VC20" s="236"/>
      <c r="VD20" s="236"/>
      <c r="VE20" s="236"/>
      <c r="VF20" s="236"/>
      <c r="VG20" s="236"/>
      <c r="VH20" s="236"/>
      <c r="VI20" s="236"/>
      <c r="VJ20" s="236"/>
      <c r="VK20" s="236"/>
      <c r="VL20" s="236"/>
      <c r="VM20" s="236"/>
      <c r="VN20" s="236"/>
      <c r="VO20" s="236"/>
      <c r="VP20" s="236"/>
      <c r="VQ20" s="236"/>
      <c r="VR20" s="236"/>
      <c r="VS20" s="236"/>
      <c r="VT20" s="236"/>
      <c r="VU20" s="236"/>
      <c r="VV20" s="236"/>
      <c r="VW20" s="236"/>
      <c r="VX20" s="236"/>
      <c r="VY20" s="236"/>
      <c r="VZ20" s="236"/>
      <c r="WA20" s="236"/>
      <c r="WB20" s="236"/>
      <c r="WC20" s="236"/>
      <c r="WD20" s="236"/>
      <c r="WE20" s="236"/>
      <c r="WF20" s="236"/>
      <c r="WG20" s="236"/>
      <c r="WH20" s="236"/>
      <c r="WI20" s="236"/>
      <c r="WJ20" s="236"/>
      <c r="WK20" s="236"/>
      <c r="WL20" s="236"/>
      <c r="WM20" s="236"/>
      <c r="WN20" s="236"/>
      <c r="WO20" s="236"/>
      <c r="WP20" s="236"/>
      <c r="WQ20" s="236"/>
      <c r="WR20" s="236"/>
      <c r="WS20" s="236"/>
      <c r="WT20" s="236"/>
      <c r="WU20" s="236"/>
      <c r="WV20" s="236"/>
      <c r="WW20" s="236"/>
      <c r="WX20" s="236"/>
      <c r="WY20" s="236"/>
      <c r="WZ20" s="236"/>
      <c r="XA20" s="236"/>
      <c r="XB20" s="236"/>
      <c r="XC20" s="236"/>
      <c r="XD20" s="236"/>
      <c r="XE20" s="236"/>
      <c r="XF20" s="236"/>
      <c r="XG20" s="236"/>
      <c r="XH20" s="236"/>
      <c r="XI20" s="236"/>
      <c r="XJ20" s="236"/>
      <c r="XK20" s="236"/>
      <c r="XL20" s="236"/>
      <c r="XM20" s="236"/>
      <c r="XN20" s="236"/>
      <c r="XO20" s="236"/>
      <c r="XP20" s="236"/>
      <c r="XQ20" s="236"/>
      <c r="XR20" s="236"/>
      <c r="XS20" s="236"/>
      <c r="XT20" s="236"/>
      <c r="XU20" s="236"/>
      <c r="XV20" s="236"/>
      <c r="XW20" s="236"/>
      <c r="XX20" s="236"/>
      <c r="XY20" s="236"/>
      <c r="XZ20" s="236"/>
      <c r="YA20" s="236"/>
      <c r="YB20" s="236"/>
      <c r="YC20" s="236"/>
      <c r="YD20" s="236"/>
      <c r="YE20" s="236"/>
      <c r="YF20" s="236"/>
      <c r="YG20" s="236"/>
      <c r="YH20" s="236"/>
      <c r="YI20" s="236"/>
      <c r="YJ20" s="236"/>
      <c r="YK20" s="236"/>
      <c r="YL20" s="236"/>
      <c r="YM20" s="236"/>
      <c r="YN20" s="236"/>
      <c r="YO20" s="236"/>
      <c r="YP20" s="236"/>
      <c r="YQ20" s="236"/>
      <c r="YR20" s="236"/>
      <c r="YS20" s="236"/>
      <c r="YT20" s="236"/>
      <c r="YU20" s="236"/>
      <c r="YV20" s="236"/>
      <c r="YW20" s="236"/>
      <c r="YX20" s="236"/>
      <c r="YY20" s="236"/>
      <c r="YZ20" s="236"/>
      <c r="ZA20" s="236"/>
      <c r="ZB20" s="236"/>
      <c r="ZC20" s="236"/>
      <c r="ZD20" s="236"/>
      <c r="ZE20" s="236"/>
      <c r="ZF20" s="236"/>
      <c r="ZG20" s="236"/>
      <c r="ZH20" s="236"/>
      <c r="ZI20" s="236"/>
      <c r="ZJ20" s="236"/>
      <c r="ZK20" s="236"/>
      <c r="ZL20" s="236"/>
      <c r="ZM20" s="236"/>
      <c r="ZN20" s="236"/>
      <c r="ZO20" s="236"/>
      <c r="ZP20" s="236"/>
      <c r="ZQ20" s="236"/>
      <c r="ZR20" s="236"/>
      <c r="ZS20" s="236"/>
      <c r="ZT20" s="236"/>
      <c r="ZU20" s="236"/>
      <c r="ZV20" s="236"/>
      <c r="ZW20" s="236"/>
      <c r="ZX20" s="236"/>
      <c r="ZY20" s="236"/>
      <c r="ZZ20" s="236"/>
      <c r="AAA20" s="236"/>
      <c r="AAB20" s="236"/>
      <c r="AAC20" s="236"/>
      <c r="AAD20" s="236"/>
      <c r="AAE20" s="236"/>
      <c r="AAF20" s="236"/>
      <c r="AAG20" s="236"/>
      <c r="AAH20" s="236"/>
      <c r="AAI20" s="236"/>
      <c r="AAJ20" s="236"/>
      <c r="AAK20" s="236"/>
      <c r="AAL20" s="236"/>
      <c r="AAM20" s="236"/>
      <c r="AAN20" s="236"/>
      <c r="AAO20" s="236"/>
      <c r="AAP20" s="236"/>
      <c r="AAQ20" s="236"/>
      <c r="AAR20" s="236"/>
      <c r="AAS20" s="236"/>
      <c r="AAT20" s="236"/>
      <c r="AAU20" s="236"/>
      <c r="AAV20" s="236"/>
      <c r="AAW20" s="236"/>
      <c r="AAX20" s="236"/>
      <c r="AAY20" s="236"/>
      <c r="AAZ20" s="236"/>
      <c r="ABA20" s="236"/>
      <c r="ABB20" s="236"/>
      <c r="ABC20" s="236"/>
      <c r="ABD20" s="236"/>
      <c r="ABE20" s="236"/>
      <c r="ABF20" s="236"/>
      <c r="ABG20" s="236"/>
      <c r="ABH20" s="236"/>
      <c r="ABI20" s="236"/>
      <c r="ABJ20" s="236"/>
      <c r="ABK20" s="236"/>
      <c r="ABL20" s="236"/>
      <c r="ABM20" s="236"/>
      <c r="ABN20" s="236"/>
      <c r="ABO20" s="236"/>
      <c r="ABP20" s="236"/>
      <c r="ABQ20" s="236"/>
      <c r="ABR20" s="236"/>
      <c r="ABS20" s="236"/>
      <c r="ABT20" s="236"/>
      <c r="ABU20" s="236"/>
      <c r="ABV20" s="236"/>
      <c r="ABW20" s="236"/>
      <c r="ABX20" s="236"/>
      <c r="ABY20" s="236"/>
      <c r="ABZ20" s="236"/>
      <c r="ACA20" s="236"/>
      <c r="ACB20" s="236"/>
      <c r="ACC20" s="236"/>
      <c r="ACD20" s="236"/>
      <c r="ACE20" s="236"/>
      <c r="ACF20" s="236"/>
      <c r="ACG20" s="236"/>
      <c r="ACH20" s="236"/>
      <c r="ACI20" s="236"/>
      <c r="ACJ20" s="236"/>
      <c r="ACK20" s="236"/>
      <c r="ACL20" s="236"/>
      <c r="ACM20" s="236"/>
      <c r="ACN20" s="236"/>
      <c r="ACO20" s="236"/>
      <c r="ACP20" s="236"/>
      <c r="ACQ20" s="236"/>
      <c r="ACR20" s="236"/>
      <c r="ACS20" s="236"/>
      <c r="ACT20" s="236"/>
      <c r="ACU20" s="236"/>
      <c r="ACV20" s="236"/>
      <c r="ACW20" s="236"/>
      <c r="ACX20" s="236"/>
      <c r="ACY20" s="236"/>
      <c r="ACZ20" s="236"/>
      <c r="ADA20" s="236"/>
      <c r="ADB20" s="236"/>
      <c r="ADC20" s="236"/>
      <c r="ADD20" s="236"/>
      <c r="ADE20" s="236"/>
      <c r="ADF20" s="236"/>
      <c r="ADG20" s="236"/>
      <c r="ADH20" s="236"/>
      <c r="ADI20" s="236"/>
      <c r="ADJ20" s="236"/>
      <c r="ADK20" s="236"/>
      <c r="ADL20" s="236"/>
      <c r="ADM20" s="236"/>
      <c r="ADN20" s="236"/>
      <c r="ADO20" s="236"/>
      <c r="ADP20" s="236"/>
      <c r="ADQ20" s="236"/>
      <c r="ADR20" s="236"/>
      <c r="ADS20" s="236"/>
      <c r="ADT20" s="236"/>
      <c r="ADU20" s="236"/>
      <c r="ADV20" s="236"/>
      <c r="ADW20" s="236"/>
      <c r="ADX20" s="236"/>
      <c r="ADY20" s="236"/>
      <c r="ADZ20" s="236"/>
      <c r="AEA20" s="236"/>
      <c r="AEB20" s="236"/>
      <c r="AEC20" s="236"/>
      <c r="AED20" s="236"/>
      <c r="AEE20" s="236"/>
      <c r="AEF20" s="236"/>
      <c r="AEG20" s="236"/>
      <c r="AEH20" s="236"/>
      <c r="AEI20" s="236"/>
      <c r="AEJ20" s="236"/>
      <c r="AEK20" s="236"/>
      <c r="AEL20" s="236"/>
      <c r="AEM20" s="236"/>
      <c r="AEN20" s="236"/>
      <c r="AEO20" s="236"/>
      <c r="AEP20" s="236"/>
      <c r="AEQ20" s="236"/>
      <c r="AER20" s="236"/>
      <c r="AES20" s="236"/>
      <c r="AET20" s="236"/>
      <c r="AEU20" s="236"/>
      <c r="AEV20" s="236"/>
      <c r="AEW20" s="236"/>
      <c r="AEX20" s="236"/>
      <c r="AEY20" s="236"/>
      <c r="AEZ20" s="236"/>
      <c r="AFA20" s="236"/>
      <c r="AFB20" s="236"/>
      <c r="AFC20" s="236"/>
      <c r="AFD20" s="236"/>
      <c r="AFE20" s="236"/>
      <c r="AFF20" s="236"/>
      <c r="AFG20" s="236"/>
      <c r="AFH20" s="236"/>
      <c r="AFI20" s="236"/>
      <c r="AFJ20" s="236"/>
      <c r="AFK20" s="236"/>
      <c r="AFL20" s="236"/>
      <c r="AFM20" s="236"/>
      <c r="AFN20" s="236"/>
      <c r="AFO20" s="236"/>
      <c r="AFP20" s="236"/>
      <c r="AFQ20" s="236"/>
      <c r="AFR20" s="236"/>
      <c r="AFS20" s="236"/>
      <c r="AFT20" s="236"/>
      <c r="AFU20" s="236"/>
      <c r="AFV20" s="236"/>
      <c r="AFW20" s="236"/>
      <c r="AFX20" s="236"/>
      <c r="AFY20" s="236"/>
      <c r="AFZ20" s="236"/>
      <c r="AGA20" s="236"/>
      <c r="AGB20" s="236"/>
      <c r="AGC20" s="236"/>
      <c r="AGD20" s="236"/>
      <c r="AGE20" s="236"/>
      <c r="AGF20" s="236"/>
      <c r="AGG20" s="236"/>
      <c r="AGH20" s="236"/>
      <c r="AGI20" s="236"/>
      <c r="AGJ20" s="236"/>
      <c r="AGK20" s="236"/>
      <c r="AGL20" s="236"/>
      <c r="AGM20" s="236"/>
      <c r="AGN20" s="236"/>
      <c r="AGO20" s="236"/>
      <c r="AGP20" s="236"/>
      <c r="AGQ20" s="236"/>
      <c r="AGR20" s="236"/>
      <c r="AGS20" s="236"/>
      <c r="AGT20" s="236"/>
      <c r="AGU20" s="236"/>
      <c r="AGV20" s="236"/>
      <c r="AGW20" s="236"/>
      <c r="AGX20" s="236"/>
      <c r="AGY20" s="236"/>
      <c r="AGZ20" s="236"/>
      <c r="AHA20" s="236"/>
      <c r="AHB20" s="236"/>
      <c r="AHC20" s="236"/>
      <c r="AHD20" s="236"/>
      <c r="AHE20" s="236"/>
      <c r="AHF20" s="236"/>
      <c r="AHG20" s="236"/>
      <c r="AHH20" s="236"/>
      <c r="AHI20" s="236"/>
      <c r="AHJ20" s="236"/>
      <c r="AHK20" s="236"/>
      <c r="AHL20" s="236"/>
      <c r="AHM20" s="236"/>
      <c r="AHN20" s="236"/>
      <c r="AHO20" s="236"/>
      <c r="AHP20" s="236"/>
      <c r="AHQ20" s="236"/>
      <c r="AHR20" s="236"/>
      <c r="AHS20" s="236"/>
      <c r="AHT20" s="236"/>
      <c r="AHU20" s="236"/>
      <c r="AHV20" s="236"/>
      <c r="AHW20" s="236"/>
      <c r="AHX20" s="236"/>
      <c r="AHY20" s="236"/>
      <c r="AHZ20" s="236"/>
      <c r="AIA20" s="236"/>
      <c r="AIB20" s="236"/>
      <c r="AIC20" s="236"/>
      <c r="AID20" s="236"/>
      <c r="AIE20" s="236"/>
      <c r="AIF20" s="236"/>
      <c r="AIG20" s="236"/>
      <c r="AIH20" s="236"/>
      <c r="AII20" s="236"/>
      <c r="AIJ20" s="236"/>
      <c r="AIK20" s="236"/>
      <c r="AIL20" s="236"/>
      <c r="AIM20" s="236"/>
      <c r="AIN20" s="236"/>
      <c r="AIO20" s="236"/>
      <c r="AIP20" s="236"/>
      <c r="AIQ20" s="236"/>
      <c r="AIR20" s="236"/>
      <c r="AIS20" s="236"/>
      <c r="AIT20" s="236"/>
      <c r="AIU20" s="236"/>
      <c r="AIV20" s="236"/>
      <c r="AIW20" s="236"/>
      <c r="AIX20" s="236"/>
      <c r="AIY20" s="236"/>
      <c r="AIZ20" s="236"/>
      <c r="AJA20" s="236"/>
      <c r="AJB20" s="236"/>
      <c r="AJC20" s="236"/>
      <c r="AJD20" s="236"/>
      <c r="AJE20" s="236"/>
      <c r="AJF20" s="236"/>
      <c r="AJG20" s="236"/>
      <c r="AJH20" s="236"/>
      <c r="AJI20" s="236"/>
      <c r="AJJ20" s="236"/>
      <c r="AJK20" s="236"/>
      <c r="AJL20" s="236"/>
      <c r="AJM20" s="236"/>
      <c r="AJN20" s="236"/>
      <c r="AJO20" s="236"/>
      <c r="AJP20" s="236"/>
      <c r="AJQ20" s="236"/>
      <c r="AJR20" s="236"/>
      <c r="AJS20" s="236"/>
      <c r="AJT20" s="236"/>
      <c r="AJU20" s="236"/>
      <c r="AJV20" s="236"/>
      <c r="AJW20" s="236"/>
      <c r="AJX20" s="236"/>
      <c r="AJY20" s="236"/>
      <c r="AJZ20" s="236"/>
      <c r="AKA20" s="236"/>
      <c r="AKB20" s="236"/>
      <c r="AKC20" s="236"/>
      <c r="AKD20" s="236"/>
      <c r="AKE20" s="236"/>
      <c r="AKF20" s="236"/>
      <c r="AKG20" s="236"/>
      <c r="AKH20" s="236"/>
      <c r="AKI20" s="236"/>
      <c r="AKJ20" s="236"/>
      <c r="AKK20" s="236"/>
      <c r="AKL20" s="236"/>
      <c r="AKM20" s="236"/>
      <c r="AKN20" s="236"/>
      <c r="AKO20" s="236"/>
      <c r="AKP20" s="236"/>
      <c r="AKQ20" s="236"/>
      <c r="AKR20" s="236"/>
      <c r="AKS20" s="236"/>
      <c r="AKT20" s="236"/>
      <c r="AKU20" s="236"/>
      <c r="AKV20" s="236"/>
      <c r="AKW20" s="236"/>
      <c r="AKX20" s="236"/>
      <c r="AKY20" s="236"/>
      <c r="AKZ20" s="236"/>
      <c r="ALA20" s="236"/>
      <c r="ALB20" s="236"/>
      <c r="ALC20" s="236"/>
      <c r="ALD20" s="236"/>
      <c r="ALE20" s="236"/>
      <c r="ALF20" s="236"/>
      <c r="ALG20" s="236"/>
      <c r="ALH20" s="236"/>
      <c r="ALI20" s="236"/>
      <c r="ALJ20" s="236"/>
      <c r="ALK20" s="236"/>
      <c r="ALL20" s="236"/>
      <c r="ALM20" s="236"/>
      <c r="ALN20" s="236"/>
      <c r="ALO20" s="236"/>
      <c r="ALP20" s="236"/>
      <c r="ALQ20" s="236"/>
      <c r="ALR20" s="236"/>
      <c r="ALS20" s="236"/>
      <c r="ALT20" s="236"/>
      <c r="ALU20" s="236"/>
      <c r="ALV20" s="236"/>
      <c r="ALW20" s="236"/>
      <c r="ALX20" s="236"/>
      <c r="ALY20" s="236"/>
      <c r="ALZ20" s="236"/>
      <c r="AMA20" s="236"/>
      <c r="AMB20" s="236"/>
      <c r="AMC20" s="236"/>
      <c r="AMD20" s="236"/>
      <c r="AME20" s="236"/>
      <c r="AMF20" s="236"/>
      <c r="AMG20" s="236"/>
      <c r="AMH20" s="236"/>
      <c r="AMI20" s="236"/>
      <c r="AMJ20" s="236"/>
      <c r="AMK20" s="236"/>
      <c r="AML20" s="236"/>
      <c r="AMM20" s="236"/>
    </row>
    <row r="21" spans="1:1027" s="243" customFormat="1" ht="45" hidden="1" customHeight="1">
      <c r="A21" s="2045"/>
      <c r="B21" s="2046"/>
      <c r="C21" s="2046"/>
      <c r="D21" s="2046"/>
      <c r="E21" s="2046"/>
      <c r="F21" s="2046"/>
      <c r="G21" s="2046"/>
      <c r="H21" s="2046"/>
      <c r="I21" s="2046"/>
      <c r="J21" s="2046"/>
      <c r="K21" s="2046"/>
      <c r="L21" s="2047"/>
      <c r="M21" s="285"/>
      <c r="N21" s="1396" t="s">
        <v>173</v>
      </c>
      <c r="O21" s="1397"/>
      <c r="P21" s="1397"/>
      <c r="Q21" s="1397"/>
      <c r="R21" s="1398"/>
      <c r="S21" s="286"/>
      <c r="T21" s="286"/>
      <c r="U21" s="286"/>
      <c r="V21" s="1396" t="s">
        <v>2405</v>
      </c>
      <c r="W21" s="1397"/>
      <c r="X21" s="1397"/>
      <c r="Y21" s="1397"/>
      <c r="Z21" s="1398"/>
      <c r="AA21" s="1062"/>
      <c r="AB21" s="1399" t="s">
        <v>2509</v>
      </c>
      <c r="AC21" s="1400"/>
      <c r="AD21" s="1396"/>
      <c r="AE21" s="1397"/>
      <c r="AF21" s="1397"/>
      <c r="AG21" s="1397"/>
      <c r="AH21" s="1397"/>
      <c r="AI21" s="1397"/>
      <c r="AJ21" s="1397"/>
      <c r="AK21" s="1397"/>
      <c r="AL21" s="1397"/>
      <c r="AM21" s="1397"/>
      <c r="AN21" s="1398"/>
      <c r="AO21" s="245"/>
      <c r="AP21" s="245"/>
      <c r="AQ21" s="245"/>
      <c r="AR21" s="245"/>
      <c r="AS21" s="245"/>
      <c r="AT21" s="245"/>
      <c r="AU21" s="245"/>
      <c r="AV21" s="245"/>
      <c r="AW21" s="245"/>
      <c r="AX21" s="245"/>
    </row>
    <row r="22" spans="1:1027" s="243" customFormat="1" ht="45" hidden="1" customHeight="1">
      <c r="A22" s="2048"/>
      <c r="B22" s="2049"/>
      <c r="C22" s="2049"/>
      <c r="D22" s="2049"/>
      <c r="E22" s="2049"/>
      <c r="F22" s="2049"/>
      <c r="G22" s="2049"/>
      <c r="H22" s="2049"/>
      <c r="I22" s="2049"/>
      <c r="J22" s="2049"/>
      <c r="K22" s="2049"/>
      <c r="L22" s="2050"/>
      <c r="M22" s="285"/>
      <c r="N22" s="1396" t="s">
        <v>67</v>
      </c>
      <c r="O22" s="1397"/>
      <c r="P22" s="1397"/>
      <c r="Q22" s="1397"/>
      <c r="R22" s="1398"/>
      <c r="S22" s="286"/>
      <c r="T22" s="286"/>
      <c r="U22" s="286"/>
      <c r="V22" s="1396" t="s">
        <v>1019</v>
      </c>
      <c r="W22" s="1397"/>
      <c r="X22" s="1397"/>
      <c r="Y22" s="1397"/>
      <c r="Z22" s="1398"/>
      <c r="AA22" s="1062"/>
      <c r="AB22" s="1399" t="s">
        <v>2510</v>
      </c>
      <c r="AC22" s="1400"/>
      <c r="AD22" s="1396"/>
      <c r="AE22" s="1397"/>
      <c r="AF22" s="1397"/>
      <c r="AG22" s="1397"/>
      <c r="AH22" s="1397"/>
      <c r="AI22" s="1397"/>
      <c r="AJ22" s="1397"/>
      <c r="AK22" s="1397"/>
      <c r="AL22" s="1397"/>
      <c r="AM22" s="1397"/>
      <c r="AN22" s="1398"/>
      <c r="AO22" s="245"/>
      <c r="AP22" s="245"/>
      <c r="AQ22" s="245"/>
      <c r="AR22" s="245"/>
      <c r="AS22" s="245"/>
      <c r="AT22" s="245"/>
      <c r="AU22" s="245"/>
      <c r="AV22" s="245"/>
      <c r="AW22" s="245"/>
      <c r="AX22" s="245"/>
    </row>
    <row r="23" spans="1:1027" s="243" customFormat="1" ht="30" customHeight="1">
      <c r="A23" s="300"/>
      <c r="B23" s="300"/>
      <c r="C23" s="300"/>
      <c r="D23" s="300"/>
      <c r="E23" s="300"/>
      <c r="F23" s="300"/>
      <c r="G23" s="300"/>
      <c r="H23" s="300"/>
      <c r="I23" s="300"/>
      <c r="J23" s="300"/>
      <c r="K23" s="300"/>
      <c r="L23" s="300"/>
      <c r="M23" s="285"/>
      <c r="N23" s="1403"/>
      <c r="O23" s="1403"/>
      <c r="P23" s="1403"/>
      <c r="Q23" s="1403"/>
      <c r="R23" s="1403"/>
      <c r="S23" s="288"/>
      <c r="T23" s="288"/>
      <c r="U23" s="288"/>
      <c r="V23" s="1403"/>
      <c r="W23" s="1403"/>
      <c r="X23" s="1403"/>
      <c r="Y23" s="1403"/>
      <c r="Z23" s="1403"/>
      <c r="AA23" s="1064"/>
      <c r="AB23" s="795"/>
      <c r="AC23" s="795"/>
      <c r="AD23" s="285"/>
      <c r="AE23" s="285"/>
      <c r="AF23" s="285"/>
      <c r="AG23" s="285"/>
      <c r="AH23" s="285"/>
      <c r="AI23" s="285"/>
      <c r="AJ23" s="285"/>
      <c r="AK23" s="285"/>
      <c r="AL23" s="285"/>
      <c r="AM23" s="285"/>
      <c r="AN23" s="245"/>
      <c r="AO23" s="245"/>
      <c r="AP23" s="245"/>
      <c r="AQ23" s="245"/>
      <c r="AR23" s="245"/>
      <c r="AS23" s="245"/>
      <c r="AT23" s="245"/>
      <c r="AU23" s="245"/>
      <c r="AV23" s="245"/>
      <c r="AW23" s="245"/>
      <c r="AX23" s="245"/>
    </row>
    <row r="24" spans="1:1027" s="235" customFormat="1" ht="11.25">
      <c r="A24" s="233"/>
      <c r="B24" s="233"/>
      <c r="C24" s="233"/>
      <c r="D24" s="233"/>
      <c r="E24" s="233"/>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row>
    <row r="25" spans="1:1027" s="235" customFormat="1" ht="11.25">
      <c r="A25" s="233"/>
      <c r="B25" s="233"/>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row>
  </sheetData>
  <sheetProtection formatCells="0" formatColumns="0" formatRows="0" insertRows="0" deleteColumns="0" sort="0" autoFilter="0"/>
  <mergeCells count="139">
    <mergeCell ref="AW1:AX4"/>
    <mergeCell ref="G2:V2"/>
    <mergeCell ref="AP2:AQ2"/>
    <mergeCell ref="AR2:AS2"/>
    <mergeCell ref="A3:A4"/>
    <mergeCell ref="G3:H3"/>
    <mergeCell ref="I3:N3"/>
    <mergeCell ref="O3:V3"/>
    <mergeCell ref="Z3:AB4"/>
    <mergeCell ref="AC3:AC4"/>
    <mergeCell ref="G1:V1"/>
    <mergeCell ref="X1:Y4"/>
    <mergeCell ref="Z1:AB2"/>
    <mergeCell ref="AC1:AC2"/>
    <mergeCell ref="AD1:AN2"/>
    <mergeCell ref="AP1:AS1"/>
    <mergeCell ref="AD3:AN4"/>
    <mergeCell ref="AP3:AQ3"/>
    <mergeCell ref="AR3:AS3"/>
    <mergeCell ref="G4:H4"/>
    <mergeCell ref="I4:N4"/>
    <mergeCell ref="O4:V4"/>
    <mergeCell ref="AP4:AQ4"/>
    <mergeCell ref="AR4:AS4"/>
    <mergeCell ref="AT6:AX6"/>
    <mergeCell ref="A7:A8"/>
    <mergeCell ref="B7:B8"/>
    <mergeCell ref="C7:E8"/>
    <mergeCell ref="F7:F8"/>
    <mergeCell ref="G7:I8"/>
    <mergeCell ref="J7:L8"/>
    <mergeCell ref="M7:P7"/>
    <mergeCell ref="Q7:V7"/>
    <mergeCell ref="X7:Z8"/>
    <mergeCell ref="AU7:AU8"/>
    <mergeCell ref="AV7:AV8"/>
    <mergeCell ref="AW7:AW8"/>
    <mergeCell ref="AX7:AX8"/>
    <mergeCell ref="AR7:AR8"/>
    <mergeCell ref="AS7:AS8"/>
    <mergeCell ref="AT7:AT8"/>
    <mergeCell ref="A6:P6"/>
    <mergeCell ref="Q6:V6"/>
    <mergeCell ref="X6:AM6"/>
    <mergeCell ref="AO7:AO8"/>
    <mergeCell ref="AP7:AP8"/>
    <mergeCell ref="AQ7:AQ8"/>
    <mergeCell ref="AB7:AB8"/>
    <mergeCell ref="AS9:AS12"/>
    <mergeCell ref="G10:I10"/>
    <mergeCell ref="X10:Z10"/>
    <mergeCell ref="G11:I11"/>
    <mergeCell ref="X11:Z11"/>
    <mergeCell ref="G12:I12"/>
    <mergeCell ref="X12:Z12"/>
    <mergeCell ref="AK9:AK12"/>
    <mergeCell ref="AM9:AM12"/>
    <mergeCell ref="AN9:AN12"/>
    <mergeCell ref="AO9:AO12"/>
    <mergeCell ref="AP9:AP12"/>
    <mergeCell ref="AQ9:AQ12"/>
    <mergeCell ref="V9:V12"/>
    <mergeCell ref="X9:Z9"/>
    <mergeCell ref="AB9:AB12"/>
    <mergeCell ref="AD9:AD12"/>
    <mergeCell ref="AE9:AE12"/>
    <mergeCell ref="AI9:AI12"/>
    <mergeCell ref="AA9:AA12"/>
    <mergeCell ref="N9:N12"/>
    <mergeCell ref="O9:O12"/>
    <mergeCell ref="P9:P12"/>
    <mergeCell ref="Q9:Q12"/>
    <mergeCell ref="AR9:AR12"/>
    <mergeCell ref="R9:R12"/>
    <mergeCell ref="AR13:AR17"/>
    <mergeCell ref="P13:P16"/>
    <mergeCell ref="AC7:AC8"/>
    <mergeCell ref="AD7:AD8"/>
    <mergeCell ref="AE7:AE8"/>
    <mergeCell ref="AI7:AM7"/>
    <mergeCell ref="AN7:AN8"/>
    <mergeCell ref="AA7:AA8"/>
    <mergeCell ref="AA13:AA16"/>
    <mergeCell ref="AS13:AS17"/>
    <mergeCell ref="G14:I14"/>
    <mergeCell ref="X14:Z14"/>
    <mergeCell ref="G15:I15"/>
    <mergeCell ref="X15:Z15"/>
    <mergeCell ref="G16:I16"/>
    <mergeCell ref="X16:Z16"/>
    <mergeCell ref="AK13:AK16"/>
    <mergeCell ref="AM13:AM16"/>
    <mergeCell ref="AN13:AN17"/>
    <mergeCell ref="AO13:AO17"/>
    <mergeCell ref="AP13:AP17"/>
    <mergeCell ref="AQ13:AQ17"/>
    <mergeCell ref="X13:Z13"/>
    <mergeCell ref="AB13:AB16"/>
    <mergeCell ref="AC13:AC16"/>
    <mergeCell ref="AD13:AD16"/>
    <mergeCell ref="AE13:AE16"/>
    <mergeCell ref="AI13:AI16"/>
    <mergeCell ref="N13:N16"/>
    <mergeCell ref="O13:O16"/>
    <mergeCell ref="Q13:Q16"/>
    <mergeCell ref="C17:E17"/>
    <mergeCell ref="G17:I17"/>
    <mergeCell ref="J17:L17"/>
    <mergeCell ref="X17:Z17"/>
    <mergeCell ref="A19:L22"/>
    <mergeCell ref="N20:R20"/>
    <mergeCell ref="V20:Z20"/>
    <mergeCell ref="N22:R22"/>
    <mergeCell ref="V22:Z22"/>
    <mergeCell ref="A9:A17"/>
    <mergeCell ref="B9:B12"/>
    <mergeCell ref="C9:E12"/>
    <mergeCell ref="F9:F12"/>
    <mergeCell ref="G9:I9"/>
    <mergeCell ref="J9:L12"/>
    <mergeCell ref="R13:R16"/>
    <mergeCell ref="V13:V16"/>
    <mergeCell ref="B13:B16"/>
    <mergeCell ref="C13:E16"/>
    <mergeCell ref="F13:F16"/>
    <mergeCell ref="G13:I13"/>
    <mergeCell ref="J13:L16"/>
    <mergeCell ref="M13:M16"/>
    <mergeCell ref="M9:M12"/>
    <mergeCell ref="AB22:AC22"/>
    <mergeCell ref="AD22:AN22"/>
    <mergeCell ref="N23:R23"/>
    <mergeCell ref="V23:Z23"/>
    <mergeCell ref="AB20:AC20"/>
    <mergeCell ref="AD20:AN20"/>
    <mergeCell ref="N21:R21"/>
    <mergeCell ref="V21:Z21"/>
    <mergeCell ref="AB21:AC21"/>
    <mergeCell ref="AD21:AN21"/>
  </mergeCells>
  <dataValidations count="7">
    <dataValidation type="list" sqref="AR4:AS4">
      <formula1>Monitoreo</formula1>
    </dataValidation>
    <dataValidation type="list" allowBlank="1" showInputMessage="1" showErrorMessage="1" sqref="WNE9:WNE17 WDI9:WDI17 VTM9:VTM17 VJQ9:VJQ17 UZU9:UZU17 UPY9:UPY17 UGC9:UGC17 TWG9:TWG17 TMK9:TMK17 TCO9:TCO17 SSS9:SSS17 SIW9:SIW17 RZA9:RZA17 RPE9:RPE17 RFI9:RFI17 QVM9:QVM17 QLQ9:QLQ17 QBU9:QBU17 PRY9:PRY17 PIC9:PIC17 OYG9:OYG17 OOK9:OOK17 OEO9:OEO17 NUS9:NUS17 NKW9:NKW17 NBA9:NBA17 MRE9:MRE17 MHI9:MHI17 LXM9:LXM17 LNQ9:LNQ17 LDU9:LDU17 KTY9:KTY17 KKC9:KKC17 KAG9:KAG17 JQK9:JQK17 JGO9:JGO17 IWS9:IWS17 IMW9:IMW17 IDA9:IDA17 HTE9:HTE17 HJI9:HJI17 GZM9:GZM17 GPQ9:GPQ17 GFU9:GFU17 FVY9:FVY17 FMC9:FMC17 FCG9:FCG17 ESK9:ESK17 EIO9:EIO17 DYS9:DYS17 DOW9:DOW17 DFA9:DFA17 CVE9:CVE17 CLI9:CLI17 CBM9:CBM17 BRQ9:BRQ17 BHU9:BHU17 AXY9:AXY17 AOC9:AOC17 AEG9:AEG17 UK9:UK17 KO9:KO17 WXA9:WXA17 AS9 AS13">
      <formula1>SINO</formula1>
    </dataValidation>
    <dataValidation type="whole" allowBlank="1" showInputMessage="1" showErrorMessage="1" sqref="AD9 AD13:AD14 WCT9:WCT17 VSX9:VSX17 VJB9:VJB17 UZF9:UZF17 UPJ9:UPJ17 UFN9:UFN17 TVR9:TVR17 TLV9:TLV17 TBZ9:TBZ17 SSD9:SSD17 SIH9:SIH17 RYL9:RYL17 ROP9:ROP17 RET9:RET17 QUX9:QUX17 QLB9:QLB17 QBF9:QBF17 PRJ9:PRJ17 PHN9:PHN17 OXR9:OXR17 ONV9:ONV17 ODZ9:ODZ17 NUD9:NUD17 NKH9:NKH17 NAL9:NAL17 MQP9:MQP17 MGT9:MGT17 LWX9:LWX17 LNB9:LNB17 LDF9:LDF17 KTJ9:KTJ17 KJN9:KJN17 JZR9:JZR17 JPV9:JPV17 JFZ9:JFZ17 IWD9:IWD17 IMH9:IMH17 ICL9:ICL17 HSP9:HSP17 HIT9:HIT17 GYX9:GYX17 GPB9:GPB17 GFF9:GFF17 FVJ9:FVJ17 FLN9:FLN17 FBR9:FBR17 ERV9:ERV17 EHZ9:EHZ17 DYD9:DYD17 DOH9:DOH17 DEL9:DEL17 CUP9:CUP17 CKT9:CKT17 CAX9:CAX17 BRB9:BRB17 BHF9:BHF17 AXJ9:AXJ17 ANN9:ANN17 ADR9:ADR17 TV9:TV17 JZ9:JZ17 WMP9:WMP17 WWL9:WWL17 AD17">
      <formula1>0</formula1>
      <formula2>100</formula2>
    </dataValidation>
    <dataValidation showInputMessage="1" showErrorMessage="1" sqref="AI9 AK9 AI13:AI14 AK13:AK14 WCW9:WDA17 VTA9:VTE17 VJE9:VJI17 UZI9:UZM17 UPM9:UPQ17 UFQ9:UFU17 TVU9:TVY17 TLY9:TMC17 TCC9:TCG17 SSG9:SSK17 SIK9:SIO17 RYO9:RYS17 ROS9:ROW17 REW9:RFA17 QVA9:QVE17 QLE9:QLI17 QBI9:QBM17 PRM9:PRQ17 PHQ9:PHU17 OXU9:OXY17 ONY9:OOC17 OEC9:OEG17 NUG9:NUK17 NKK9:NKO17 NAO9:NAS17 MQS9:MQW17 MGW9:MHA17 LXA9:LXE17 LNE9:LNI17 LDI9:LDM17 KTM9:KTQ17 KJQ9:KJU17 JZU9:JZY17 JPY9:JQC17 JGC9:JGG17 IWG9:IWK17 IMK9:IMO17 ICO9:ICS17 HSS9:HSW17 HIW9:HJA17 GZA9:GZE17 GPE9:GPI17 GFI9:GFM17 FVM9:FVQ17 FLQ9:FLU17 FBU9:FBY17 ERY9:ESC17 EIC9:EIG17 DYG9:DYK17 DOK9:DOO17 DEO9:DES17 CUS9:CUW17 CKW9:CLA17 CBA9:CBE17 BRE9:BRI17 BHI9:BHM17 AXM9:AXQ17 ANQ9:ANU17 ADU9:ADY17 TY9:UC17 KC9:KG17 WMS9:WMW17 WWO9:WWS17 AG9:AH16 AJ9:AJ16 AG17:AK17"/>
    <dataValidation type="list" showInputMessage="1" showErrorMessage="1" errorTitle="Rechazado" error="Solo son validadas las opciones de la lista" sqref="AE9 AE13:AE14 WCU9:WCU17 VSY9:VSY17 VJC9:VJC17 UZG9:UZG17 UPK9:UPK17 UFO9:UFO17 TVS9:TVS17 TLW9:TLW17 TCA9:TCA17 SSE9:SSE17 SII9:SII17 RYM9:RYM17 ROQ9:ROQ17 REU9:REU17 QUY9:QUY17 QLC9:QLC17 QBG9:QBG17 PRK9:PRK17 PHO9:PHO17 OXS9:OXS17 ONW9:ONW17 OEA9:OEA17 NUE9:NUE17 NKI9:NKI17 NAM9:NAM17 MQQ9:MQQ17 MGU9:MGU17 LWY9:LWY17 LNC9:LNC17 LDG9:LDG17 KTK9:KTK17 KJO9:KJO17 JZS9:JZS17 JPW9:JPW17 JGA9:JGA17 IWE9:IWE17 IMI9:IMI17 ICM9:ICM17 HSQ9:HSQ17 HIU9:HIU17 GYY9:GYY17 GPC9:GPC17 GFG9:GFG17 FVK9:FVK17 FLO9:FLO17 FBS9:FBS17 ERW9:ERW17 EIA9:EIA17 DYE9:DYE17 DOI9:DOI17 DEM9:DEM17 CUQ9:CUQ17 CKU9:CKU17 CAY9:CAY17 BRC9:BRC17 BHG9:BHG17 AXK9:AXK17 ANO9:ANO17 ADS9:ADS17 TW9:TW17 KA9:KA17 WMQ9:WMQ17 WWM9:WWM17 AE17">
      <formula1>Efecto</formula1>
    </dataValidation>
    <dataValidation type="list" allowBlank="1" showInputMessage="1" showErrorMessage="1" sqref="R9 R13:R14 WCI9:WCI17 VSM9:VSM17 VIQ9:VIQ17 UYU9:UYU17 UOY9:UOY17 UFC9:UFC17 TVG9:TVG17 TLK9:TLK17 TBO9:TBO17 SRS9:SRS17 SHW9:SHW17 RYA9:RYA17 ROE9:ROE17 REI9:REI17 QUM9:QUM17 QKQ9:QKQ17 QAU9:QAU17 PQY9:PQY17 PHC9:PHC17 OXG9:OXG17 ONK9:ONK17 ODO9:ODO17 NTS9:NTS17 NJW9:NJW17 NAA9:NAA17 MQE9:MQE17 MGI9:MGI17 LWM9:LWM17 LMQ9:LMQ17 LCU9:LCU17 KSY9:KSY17 KJC9:KJC17 JZG9:JZG17 JPK9:JPK17 JFO9:JFO17 IVS9:IVS17 ILW9:ILW17 ICA9:ICA17 HSE9:HSE17 HII9:HII17 GYM9:GYM17 GOQ9:GOQ17 GEU9:GEU17 FUY9:FUY17 FLC9:FLC17 FBG9:FBG17 ERK9:ERK17 EHO9:EHO17 DXS9:DXS17 DNW9:DNW17 DEA9:DEA17 CUE9:CUE17 CKI9:CKI17 CAM9:CAM17 BQQ9:BQQ17 BGU9:BGU17 AWY9:AWY17 ANC9:ANC17 ADG9:ADG17 TK9:TK17 JO9:JO17 WME9:WME17 WWA9:WWA17 R17">
      <formula1>IMPACTO</formula1>
    </dataValidation>
    <dataValidation type="list" allowBlank="1" showInputMessage="1" showErrorMessage="1" sqref="Q9 Q13:Q14 WCH9:WCH17 VSL9:VSL17 VIP9:VIP17 UYT9:UYT17 UOX9:UOX17 UFB9:UFB17 TVF9:TVF17 TLJ9:TLJ17 TBN9:TBN17 SRR9:SRR17 SHV9:SHV17 RXZ9:RXZ17 ROD9:ROD17 REH9:REH17 QUL9:QUL17 QKP9:QKP17 QAT9:QAT17 PQX9:PQX17 PHB9:PHB17 OXF9:OXF17 ONJ9:ONJ17 ODN9:ODN17 NTR9:NTR17 NJV9:NJV17 MZZ9:MZZ17 MQD9:MQD17 MGH9:MGH17 LWL9:LWL17 LMP9:LMP17 LCT9:LCT17 KSX9:KSX17 KJB9:KJB17 JZF9:JZF17 JPJ9:JPJ17 JFN9:JFN17 IVR9:IVR17 ILV9:ILV17 IBZ9:IBZ17 HSD9:HSD17 HIH9:HIH17 GYL9:GYL17 GOP9:GOP17 GET9:GET17 FUX9:FUX17 FLB9:FLB17 FBF9:FBF17 ERJ9:ERJ17 EHN9:EHN17 DXR9:DXR17 DNV9:DNV17 DDZ9:DDZ17 CUD9:CUD17 CKH9:CKH17 CAL9:CAL17 BQP9:BQP17 BGT9:BGT17 AWX9:AWX17 ANB9:ANB17 ADF9:ADF17 TJ9:TJ17 JN9:JN17 WMD9:WMD17 WVZ9:WVZ17 Q17">
      <formula1>PROBAB</formula1>
    </dataValidation>
  </dataValidations>
  <printOptions horizontalCentered="1" verticalCentered="1"/>
  <pageMargins left="0.78740157480314965" right="0.59055118110236227" top="0.59055118110236227" bottom="0.59055118110236227" header="0.51181102362204722" footer="0.27559055118110237"/>
  <pageSetup paperSize="5" scale="43" firstPageNumber="0" orientation="landscape" r:id="rId1"/>
  <headerFooter>
    <oddFooter>&amp;L&amp;9Formato: FO-AC-07 Versión: 3&amp;C&amp;9Página &amp;P</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M166"/>
  <sheetViews>
    <sheetView view="pageBreakPreview" zoomScaleNormal="80" zoomScaleSheetLayoutView="100" zoomScalePageLayoutView="95" workbookViewId="0">
      <pane xSplit="5" ySplit="8" topLeftCell="F17" activePane="bottomRight" state="frozen"/>
      <selection pane="topRight" activeCell="F1" sqref="F1"/>
      <selection pane="bottomLeft" activeCell="A9" sqref="A9"/>
      <selection pane="bottomRight"/>
    </sheetView>
  </sheetViews>
  <sheetFormatPr baseColWidth="10" defaultRowHeight="12.75"/>
  <cols>
    <col min="1" max="1" width="12" style="235" customWidth="1"/>
    <col min="2" max="2" width="2.7109375" style="235" customWidth="1"/>
    <col min="3" max="4" width="6.5703125" style="235" customWidth="1"/>
    <col min="5" max="5" width="5.85546875" style="235" customWidth="1"/>
    <col min="6" max="6" width="6.5703125" style="235" customWidth="1"/>
    <col min="7" max="8" width="8.42578125" style="235" customWidth="1"/>
    <col min="9" max="9" width="18.140625" style="235" customWidth="1"/>
    <col min="10" max="10" width="2.5703125" style="235" customWidth="1"/>
    <col min="11" max="12" width="9.5703125" style="235" customWidth="1"/>
    <col min="13" max="15" width="3.7109375" style="235" customWidth="1"/>
    <col min="16" max="16" width="3.5703125" style="235" customWidth="1"/>
    <col min="17" max="17" width="2.85546875" style="235" customWidth="1"/>
    <col min="18" max="18" width="3" style="235" customWidth="1"/>
    <col min="19" max="21" width="0" style="235" hidden="1" customWidth="1"/>
    <col min="22" max="22" width="4.42578125" style="235" customWidth="1"/>
    <col min="23" max="23" width="0" style="235" hidden="1" customWidth="1"/>
    <col min="24" max="27" width="14.28515625" style="235" customWidth="1"/>
    <col min="28" max="28" width="7.5703125" style="235" customWidth="1"/>
    <col min="29" max="29" width="15.140625" style="235" customWidth="1"/>
    <col min="30" max="30" width="4.140625" style="235" customWidth="1"/>
    <col min="31" max="31" width="3" style="235" customWidth="1"/>
    <col min="32" max="34" width="0" style="235" hidden="1" customWidth="1"/>
    <col min="35" max="35" width="3" style="235" customWidth="1"/>
    <col min="36" max="36" width="0" style="235" hidden="1" customWidth="1"/>
    <col min="37" max="37" width="3" style="235" customWidth="1"/>
    <col min="38" max="38" width="0" style="235" hidden="1" customWidth="1"/>
    <col min="39" max="39" width="4.42578125" style="235" customWidth="1"/>
    <col min="40" max="40" width="29.140625" style="235" customWidth="1"/>
    <col min="41" max="41" width="23.42578125" style="235" customWidth="1"/>
    <col min="42" max="42" width="9.140625" style="235" customWidth="1"/>
    <col min="43" max="43" width="36" style="235" customWidth="1"/>
    <col min="44" max="44" width="42.7109375" style="235" customWidth="1"/>
    <col min="45" max="45" width="5.85546875" style="235" customWidth="1"/>
    <col min="46" max="46" width="31.5703125" style="235" customWidth="1"/>
    <col min="47" max="47" width="16.140625" style="235" customWidth="1"/>
    <col min="48" max="49" width="9.28515625" style="235" customWidth="1"/>
    <col min="50" max="50" width="11.140625" style="235" customWidth="1"/>
    <col min="51" max="51" width="2.140625" style="235" customWidth="1"/>
    <col min="52"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18" customHeight="1" thickTop="1">
      <c r="A1" s="233"/>
      <c r="B1" s="233"/>
      <c r="C1" s="233"/>
      <c r="D1" s="233"/>
      <c r="E1" s="233"/>
      <c r="F1" s="233"/>
      <c r="G1" s="2139" t="s">
        <v>137</v>
      </c>
      <c r="H1" s="2140"/>
      <c r="I1" s="2140"/>
      <c r="J1" s="2140"/>
      <c r="K1" s="2140"/>
      <c r="L1" s="2140"/>
      <c r="M1" s="2140"/>
      <c r="N1" s="2140"/>
      <c r="O1" s="2140"/>
      <c r="P1" s="2140"/>
      <c r="Q1" s="2140"/>
      <c r="R1" s="2140"/>
      <c r="S1" s="2140"/>
      <c r="T1" s="2140"/>
      <c r="U1" s="2140"/>
      <c r="V1" s="2141"/>
      <c r="W1" s="234"/>
      <c r="X1" s="1251"/>
      <c r="Y1" s="1252"/>
      <c r="Z1" s="1257" t="s">
        <v>2347</v>
      </c>
      <c r="AA1" s="1257"/>
      <c r="AB1" s="1257"/>
      <c r="AC1" s="1258" t="s">
        <v>636</v>
      </c>
      <c r="AD1" s="1260" t="s">
        <v>820</v>
      </c>
      <c r="AE1" s="1260"/>
      <c r="AF1" s="1260"/>
      <c r="AG1" s="1260"/>
      <c r="AH1" s="1260"/>
      <c r="AI1" s="1260"/>
      <c r="AJ1" s="1260"/>
      <c r="AK1" s="1260"/>
      <c r="AL1" s="1260"/>
      <c r="AM1" s="1260"/>
      <c r="AN1" s="1260"/>
      <c r="AP1" s="1247" t="s">
        <v>2320</v>
      </c>
      <c r="AQ1" s="1247"/>
      <c r="AR1" s="1247"/>
      <c r="AS1" s="1247"/>
      <c r="AT1" s="233"/>
      <c r="AU1" s="233"/>
      <c r="AV1" s="233"/>
      <c r="AW1" s="1246"/>
      <c r="AX1" s="1246"/>
      <c r="AY1" s="233"/>
    </row>
    <row r="2" spans="1:1027" ht="14.25" customHeight="1">
      <c r="A2" s="237" t="s">
        <v>2348</v>
      </c>
      <c r="B2" s="233"/>
      <c r="C2" s="233"/>
      <c r="D2" s="233"/>
      <c r="E2" s="233"/>
      <c r="F2" s="233"/>
      <c r="G2" s="1214" t="str">
        <f>UPPER([40]Control!A2)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1260"/>
      <c r="AE2" s="1260"/>
      <c r="AF2" s="1260"/>
      <c r="AG2" s="1260"/>
      <c r="AH2" s="1260"/>
      <c r="AI2" s="1260"/>
      <c r="AJ2" s="1260"/>
      <c r="AK2" s="1260"/>
      <c r="AL2" s="1260"/>
      <c r="AM2" s="1260"/>
      <c r="AN2" s="1260"/>
      <c r="AP2" s="1268" t="s">
        <v>138</v>
      </c>
      <c r="AQ2" s="1269"/>
      <c r="AR2" s="1433" t="str">
        <f>AD1</f>
        <v>GESTION SOCIAL Y PARTICIPACION CIUDADANA</v>
      </c>
      <c r="AS2" s="1434"/>
      <c r="AT2" s="233"/>
      <c r="AU2" s="233"/>
      <c r="AV2" s="233"/>
      <c r="AW2" s="1246"/>
      <c r="AX2" s="1246"/>
      <c r="AY2" s="233"/>
    </row>
    <row r="3" spans="1:1027" ht="11.25" customHeight="1">
      <c r="A3" s="2138">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1207">
        <v>43445</v>
      </c>
      <c r="AA3" s="1208"/>
      <c r="AB3" s="1209"/>
      <c r="AC3" s="1259" t="s">
        <v>2349</v>
      </c>
      <c r="AD3" s="1261" t="s">
        <v>46</v>
      </c>
      <c r="AE3" s="1261"/>
      <c r="AF3" s="1261"/>
      <c r="AG3" s="1261"/>
      <c r="AH3" s="1261"/>
      <c r="AI3" s="1261"/>
      <c r="AJ3" s="1261"/>
      <c r="AK3" s="1261"/>
      <c r="AL3" s="1261"/>
      <c r="AM3" s="1261"/>
      <c r="AN3" s="1261"/>
      <c r="AP3" s="1265" t="s">
        <v>2322</v>
      </c>
      <c r="AQ3" s="1266"/>
      <c r="AR3" s="1266" t="s">
        <v>2323</v>
      </c>
      <c r="AS3" s="1267"/>
      <c r="AT3" s="233"/>
      <c r="AU3" s="233"/>
      <c r="AV3" s="233"/>
      <c r="AW3" s="1246"/>
      <c r="AX3" s="1246"/>
      <c r="AY3" s="233"/>
    </row>
    <row r="4" spans="1:1027" ht="14.25" customHeight="1" thickBot="1">
      <c r="A4" s="2138"/>
      <c r="B4" s="233"/>
      <c r="C4" s="233"/>
      <c r="D4" s="233"/>
      <c r="E4" s="233"/>
      <c r="F4" s="233"/>
      <c r="G4" s="1236" t="str">
        <f>[40]Control!A4</f>
        <v>FO-PE-06</v>
      </c>
      <c r="H4" s="1237"/>
      <c r="I4" s="1238" t="str">
        <f>[40]Control!C4</f>
        <v>Planeación Estratégica</v>
      </c>
      <c r="J4" s="1237"/>
      <c r="K4" s="1237"/>
      <c r="L4" s="1237"/>
      <c r="M4" s="1237"/>
      <c r="N4" s="1239"/>
      <c r="O4" s="1238">
        <f>[40]Control!H4</f>
        <v>5</v>
      </c>
      <c r="P4" s="1237"/>
      <c r="Q4" s="1237"/>
      <c r="R4" s="1237"/>
      <c r="S4" s="1237"/>
      <c r="T4" s="1237"/>
      <c r="U4" s="1237"/>
      <c r="V4" s="1239"/>
      <c r="W4" s="239"/>
      <c r="X4" s="1255"/>
      <c r="Y4" s="1256"/>
      <c r="Z4" s="1210"/>
      <c r="AA4" s="1211"/>
      <c r="AB4" s="1212"/>
      <c r="AC4" s="1259"/>
      <c r="AD4" s="1261"/>
      <c r="AE4" s="1261"/>
      <c r="AF4" s="1261"/>
      <c r="AG4" s="1261"/>
      <c r="AH4" s="1261"/>
      <c r="AI4" s="1261"/>
      <c r="AJ4" s="1261"/>
      <c r="AK4" s="1261"/>
      <c r="AL4" s="1261"/>
      <c r="AM4" s="1261"/>
      <c r="AN4" s="1261"/>
      <c r="AP4" s="1240">
        <v>43710</v>
      </c>
      <c r="AQ4" s="1241"/>
      <c r="AR4" s="1242" t="s">
        <v>3796</v>
      </c>
      <c r="AS4" s="1243"/>
      <c r="AT4" s="233"/>
      <c r="AU4" s="233"/>
      <c r="AV4" s="233"/>
      <c r="AW4" s="1246"/>
      <c r="AX4" s="1246"/>
      <c r="AY4" s="233"/>
    </row>
    <row r="5" spans="1:1027"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2"/>
      <c r="AB5" s="242"/>
      <c r="AC5" s="242"/>
      <c r="AD5" s="241"/>
      <c r="AE5" s="241"/>
      <c r="AF5" s="241"/>
      <c r="AG5" s="241"/>
      <c r="AH5" s="241"/>
      <c r="AI5" s="241"/>
      <c r="AJ5" s="241"/>
      <c r="AK5" s="241"/>
      <c r="AL5" s="241"/>
      <c r="AM5" s="240"/>
      <c r="AN5" s="240"/>
      <c r="AO5" s="240"/>
      <c r="AQ5" s="244"/>
      <c r="AY5" s="245"/>
    </row>
    <row r="6" spans="1:1027" s="243" customFormat="1" ht="11.2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602" t="s">
        <v>268</v>
      </c>
      <c r="AO6" s="294"/>
      <c r="AP6" s="247" t="s">
        <v>2325</v>
      </c>
      <c r="AQ6" s="248"/>
      <c r="AR6" s="248"/>
      <c r="AS6" s="249"/>
      <c r="AT6" s="1244" t="s">
        <v>2326</v>
      </c>
      <c r="AU6" s="1244"/>
      <c r="AV6" s="1244"/>
      <c r="AW6" s="1244"/>
      <c r="AX6" s="1245"/>
      <c r="AY6" s="245"/>
    </row>
    <row r="7" spans="1:1027" s="243" customFormat="1" ht="25.5" customHeight="1">
      <c r="A7" s="1217" t="s">
        <v>1002</v>
      </c>
      <c r="B7" s="1218" t="s">
        <v>640</v>
      </c>
      <c r="C7" s="1219" t="s">
        <v>1001</v>
      </c>
      <c r="D7" s="1220"/>
      <c r="E7" s="1221"/>
      <c r="F7" s="1217" t="s">
        <v>1000</v>
      </c>
      <c r="G7" s="1219" t="s">
        <v>999</v>
      </c>
      <c r="H7" s="1220"/>
      <c r="I7" s="1221"/>
      <c r="J7" s="1217" t="s">
        <v>145</v>
      </c>
      <c r="K7" s="1217"/>
      <c r="L7" s="1217"/>
      <c r="M7" s="1225" t="s">
        <v>144</v>
      </c>
      <c r="N7" s="1226"/>
      <c r="O7" s="1226"/>
      <c r="P7" s="1226"/>
      <c r="Q7" s="1227" t="s">
        <v>637</v>
      </c>
      <c r="R7" s="1228"/>
      <c r="S7" s="1228"/>
      <c r="T7" s="1228"/>
      <c r="U7" s="1228"/>
      <c r="V7" s="1229"/>
      <c r="W7" s="250"/>
      <c r="X7" s="1217" t="s">
        <v>2351</v>
      </c>
      <c r="Y7" s="1217"/>
      <c r="Z7" s="1217"/>
      <c r="AA7" s="1284" t="s">
        <v>4175</v>
      </c>
      <c r="AB7" s="1221" t="s">
        <v>998</v>
      </c>
      <c r="AC7" s="1284" t="s">
        <v>641</v>
      </c>
      <c r="AD7" s="1286" t="s">
        <v>546</v>
      </c>
      <c r="AE7" s="1286" t="s">
        <v>638</v>
      </c>
      <c r="AF7" s="251"/>
      <c r="AG7" s="252"/>
      <c r="AH7" s="253"/>
      <c r="AI7" s="1288" t="s">
        <v>639</v>
      </c>
      <c r="AJ7" s="1288"/>
      <c r="AK7" s="1288"/>
      <c r="AL7" s="1288"/>
      <c r="AM7" s="1288"/>
      <c r="AN7" s="1288" t="s">
        <v>2327</v>
      </c>
      <c r="AO7" s="1431" t="s">
        <v>2328</v>
      </c>
      <c r="AP7" s="1432" t="s">
        <v>2353</v>
      </c>
      <c r="AQ7" s="1431" t="s">
        <v>2330</v>
      </c>
      <c r="AR7" s="1432" t="s">
        <v>2354</v>
      </c>
      <c r="AS7" s="1432" t="s">
        <v>2332</v>
      </c>
      <c r="AT7" s="1432" t="s">
        <v>2333</v>
      </c>
      <c r="AU7" s="1432" t="s">
        <v>2334</v>
      </c>
      <c r="AV7" s="1432" t="s">
        <v>2335</v>
      </c>
      <c r="AW7" s="1432" t="s">
        <v>2336</v>
      </c>
      <c r="AX7" s="1432" t="s">
        <v>2337</v>
      </c>
      <c r="AY7" s="245"/>
    </row>
    <row r="8" spans="1:1027" ht="14.25" customHeight="1">
      <c r="A8" s="1217"/>
      <c r="B8" s="1218"/>
      <c r="C8" s="1222"/>
      <c r="D8" s="1223"/>
      <c r="E8" s="1224"/>
      <c r="F8" s="1217"/>
      <c r="G8" s="1222"/>
      <c r="H8" s="1223"/>
      <c r="I8" s="1224"/>
      <c r="J8" s="1217"/>
      <c r="K8" s="1217"/>
      <c r="L8" s="1217"/>
      <c r="M8" s="254" t="s">
        <v>146</v>
      </c>
      <c r="N8" s="254" t="s">
        <v>997</v>
      </c>
      <c r="O8" s="254" t="s">
        <v>65</v>
      </c>
      <c r="P8" s="254" t="s">
        <v>996</v>
      </c>
      <c r="Q8" s="601" t="s">
        <v>147</v>
      </c>
      <c r="R8" s="601" t="s">
        <v>148</v>
      </c>
      <c r="S8" s="255"/>
      <c r="T8" s="255" t="s">
        <v>239</v>
      </c>
      <c r="U8" s="255" t="s">
        <v>242</v>
      </c>
      <c r="V8" s="601" t="s">
        <v>149</v>
      </c>
      <c r="W8" s="256"/>
      <c r="X8" s="1217"/>
      <c r="Y8" s="1217"/>
      <c r="Z8" s="1217"/>
      <c r="AA8" s="1285"/>
      <c r="AB8" s="1224"/>
      <c r="AC8" s="1285"/>
      <c r="AD8" s="1287"/>
      <c r="AE8" s="1287"/>
      <c r="AF8" s="256"/>
      <c r="AG8" s="257" t="s">
        <v>642</v>
      </c>
      <c r="AH8" s="257" t="s">
        <v>264</v>
      </c>
      <c r="AI8" s="601" t="s">
        <v>147</v>
      </c>
      <c r="AJ8" s="258" t="s">
        <v>265</v>
      </c>
      <c r="AK8" s="601" t="s">
        <v>148</v>
      </c>
      <c r="AL8" s="255" t="s">
        <v>150</v>
      </c>
      <c r="AM8" s="601" t="s">
        <v>150</v>
      </c>
      <c r="AN8" s="1288"/>
      <c r="AO8" s="1431"/>
      <c r="AP8" s="1432"/>
      <c r="AQ8" s="1432"/>
      <c r="AR8" s="1432"/>
      <c r="AS8" s="1432"/>
      <c r="AT8" s="1432"/>
      <c r="AU8" s="1432"/>
      <c r="AV8" s="1432"/>
      <c r="AW8" s="1432"/>
      <c r="AX8" s="1432"/>
      <c r="AY8" s="245"/>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56.25">
      <c r="A9" s="1296" t="s">
        <v>106</v>
      </c>
      <c r="B9" s="1321" t="s">
        <v>1958</v>
      </c>
      <c r="C9" s="1275" t="s">
        <v>420</v>
      </c>
      <c r="D9" s="1276"/>
      <c r="E9" s="1277"/>
      <c r="F9" s="1175" t="s">
        <v>1715</v>
      </c>
      <c r="G9" s="1545" t="s">
        <v>177</v>
      </c>
      <c r="H9" s="1545"/>
      <c r="I9" s="1545"/>
      <c r="J9" s="1345" t="s">
        <v>821</v>
      </c>
      <c r="K9" s="1346"/>
      <c r="L9" s="1347"/>
      <c r="M9" s="1296"/>
      <c r="N9" s="1296"/>
      <c r="O9" s="1296"/>
      <c r="P9" s="1296" t="s">
        <v>8</v>
      </c>
      <c r="Q9" s="1175" t="s">
        <v>64</v>
      </c>
      <c r="R9" s="1175" t="s">
        <v>274</v>
      </c>
      <c r="S9" s="301"/>
      <c r="T9" s="638">
        <v>3</v>
      </c>
      <c r="U9" s="638">
        <v>3</v>
      </c>
      <c r="V9" s="2094" t="s">
        <v>1728</v>
      </c>
      <c r="W9" s="301"/>
      <c r="X9" s="2137" t="s">
        <v>178</v>
      </c>
      <c r="Y9" s="2137"/>
      <c r="Z9" s="2137"/>
      <c r="AA9" s="2131" t="s">
        <v>4013</v>
      </c>
      <c r="AB9" s="615" t="s">
        <v>1716</v>
      </c>
      <c r="AC9" s="616" t="s">
        <v>822</v>
      </c>
      <c r="AD9" s="1321">
        <v>72</v>
      </c>
      <c r="AE9" s="1296" t="s">
        <v>153</v>
      </c>
      <c r="AF9" s="301"/>
      <c r="AG9" s="638">
        <v>1</v>
      </c>
      <c r="AH9" s="323">
        <v>2</v>
      </c>
      <c r="AI9" s="2102" t="s">
        <v>655</v>
      </c>
      <c r="AJ9" s="323">
        <v>3</v>
      </c>
      <c r="AK9" s="2102" t="s">
        <v>274</v>
      </c>
      <c r="AL9" s="640">
        <v>6</v>
      </c>
      <c r="AM9" s="2094" t="s">
        <v>1535</v>
      </c>
      <c r="AN9" s="1325" t="s">
        <v>2998</v>
      </c>
      <c r="AO9" s="1325" t="s">
        <v>2999</v>
      </c>
      <c r="AP9" s="2134">
        <v>0</v>
      </c>
      <c r="AQ9" s="1325" t="s">
        <v>3797</v>
      </c>
      <c r="AR9" s="1329" t="s">
        <v>2343</v>
      </c>
      <c r="AS9" s="1325" t="s">
        <v>36</v>
      </c>
      <c r="AT9" s="1325"/>
      <c r="AU9" s="1325"/>
      <c r="AV9" s="1375"/>
      <c r="AW9" s="1375"/>
      <c r="AX9" s="1325"/>
      <c r="AY9" s="262"/>
    </row>
    <row r="10" spans="1:1027" s="260" customFormat="1" ht="56.25">
      <c r="A10" s="1297"/>
      <c r="B10" s="1322"/>
      <c r="C10" s="2125"/>
      <c r="D10" s="2126"/>
      <c r="E10" s="2127"/>
      <c r="F10" s="1176"/>
      <c r="G10" s="1545" t="s">
        <v>111</v>
      </c>
      <c r="H10" s="1545"/>
      <c r="I10" s="1545"/>
      <c r="J10" s="1348"/>
      <c r="K10" s="1349"/>
      <c r="L10" s="1350"/>
      <c r="M10" s="1297"/>
      <c r="N10" s="1297"/>
      <c r="O10" s="1297"/>
      <c r="P10" s="1297"/>
      <c r="Q10" s="1176"/>
      <c r="R10" s="1176"/>
      <c r="S10" s="301"/>
      <c r="T10" s="638" t="e">
        <v>#N/A</v>
      </c>
      <c r="U10" s="638" t="e">
        <v>#N/A</v>
      </c>
      <c r="V10" s="2095"/>
      <c r="W10" s="301"/>
      <c r="X10" s="1768" t="s">
        <v>823</v>
      </c>
      <c r="Y10" s="1768"/>
      <c r="Z10" s="1768"/>
      <c r="AA10" s="2132"/>
      <c r="AB10" s="615" t="s">
        <v>1716</v>
      </c>
      <c r="AC10" s="616" t="s">
        <v>179</v>
      </c>
      <c r="AD10" s="1322"/>
      <c r="AE10" s="1297"/>
      <c r="AF10" s="301"/>
      <c r="AG10" s="638">
        <v>0</v>
      </c>
      <c r="AH10" s="323" t="e">
        <v>#N/A</v>
      </c>
      <c r="AI10" s="2103"/>
      <c r="AJ10" s="323" t="e">
        <v>#N/A</v>
      </c>
      <c r="AK10" s="2103"/>
      <c r="AL10" s="640" t="e">
        <v>#N/A</v>
      </c>
      <c r="AM10" s="2095"/>
      <c r="AN10" s="1326"/>
      <c r="AO10" s="1326"/>
      <c r="AP10" s="2135"/>
      <c r="AQ10" s="1326"/>
      <c r="AR10" s="1330" t="s">
        <v>2343</v>
      </c>
      <c r="AS10" s="1326"/>
      <c r="AT10" s="1326"/>
      <c r="AU10" s="1326"/>
      <c r="AV10" s="1376"/>
      <c r="AW10" s="1376"/>
      <c r="AX10" s="1326"/>
      <c r="AY10" s="262"/>
    </row>
    <row r="11" spans="1:1027" s="260" customFormat="1" ht="56.25">
      <c r="A11" s="1297"/>
      <c r="B11" s="1322"/>
      <c r="C11" s="2125"/>
      <c r="D11" s="2126"/>
      <c r="E11" s="2127"/>
      <c r="F11" s="1176"/>
      <c r="G11" s="1545" t="s">
        <v>112</v>
      </c>
      <c r="H11" s="1545"/>
      <c r="I11" s="1545"/>
      <c r="J11" s="1348"/>
      <c r="K11" s="1349"/>
      <c r="L11" s="1350"/>
      <c r="M11" s="1297"/>
      <c r="N11" s="1297"/>
      <c r="O11" s="1297"/>
      <c r="P11" s="1297"/>
      <c r="Q11" s="1176"/>
      <c r="R11" s="1176"/>
      <c r="S11" s="301"/>
      <c r="T11" s="638" t="e">
        <v>#N/A</v>
      </c>
      <c r="U11" s="638" t="e">
        <v>#N/A</v>
      </c>
      <c r="V11" s="2095"/>
      <c r="W11" s="301"/>
      <c r="X11" s="1768" t="s">
        <v>824</v>
      </c>
      <c r="Y11" s="1768"/>
      <c r="Z11" s="1768"/>
      <c r="AA11" s="2132"/>
      <c r="AB11" s="615" t="s">
        <v>1716</v>
      </c>
      <c r="AC11" s="616" t="s">
        <v>179</v>
      </c>
      <c r="AD11" s="1322"/>
      <c r="AE11" s="1297"/>
      <c r="AF11" s="301"/>
      <c r="AG11" s="638">
        <v>0</v>
      </c>
      <c r="AH11" s="323" t="e">
        <v>#N/A</v>
      </c>
      <c r="AI11" s="2103"/>
      <c r="AJ11" s="323" t="e">
        <v>#N/A</v>
      </c>
      <c r="AK11" s="2103"/>
      <c r="AL11" s="640" t="e">
        <v>#N/A</v>
      </c>
      <c r="AM11" s="2095"/>
      <c r="AN11" s="1326"/>
      <c r="AO11" s="1326"/>
      <c r="AP11" s="2135"/>
      <c r="AQ11" s="1326"/>
      <c r="AR11" s="1330" t="s">
        <v>2343</v>
      </c>
      <c r="AS11" s="1326"/>
      <c r="AT11" s="1326"/>
      <c r="AU11" s="1326"/>
      <c r="AV11" s="1376"/>
      <c r="AW11" s="1376"/>
      <c r="AX11" s="1326"/>
      <c r="AY11" s="262"/>
    </row>
    <row r="12" spans="1:1027" s="260" customFormat="1" ht="103.5" customHeight="1">
      <c r="A12" s="1328"/>
      <c r="B12" s="1515"/>
      <c r="C12" s="2128"/>
      <c r="D12" s="2129"/>
      <c r="E12" s="2130"/>
      <c r="F12" s="1520"/>
      <c r="G12" s="1545" t="s">
        <v>113</v>
      </c>
      <c r="H12" s="1545"/>
      <c r="I12" s="1545"/>
      <c r="J12" s="1883"/>
      <c r="K12" s="1884"/>
      <c r="L12" s="1885"/>
      <c r="M12" s="1328"/>
      <c r="N12" s="1328"/>
      <c r="O12" s="1328"/>
      <c r="P12" s="1328"/>
      <c r="Q12" s="1520"/>
      <c r="R12" s="1520"/>
      <c r="S12" s="301"/>
      <c r="T12" s="638" t="e">
        <v>#N/A</v>
      </c>
      <c r="U12" s="638" t="e">
        <v>#N/A</v>
      </c>
      <c r="V12" s="2096"/>
      <c r="W12" s="301"/>
      <c r="X12" s="1768" t="s">
        <v>180</v>
      </c>
      <c r="Y12" s="1768"/>
      <c r="Z12" s="1768"/>
      <c r="AA12" s="2133"/>
      <c r="AB12" s="615" t="s">
        <v>1717</v>
      </c>
      <c r="AC12" s="616" t="s">
        <v>3000</v>
      </c>
      <c r="AD12" s="1515"/>
      <c r="AE12" s="1328"/>
      <c r="AF12" s="301"/>
      <c r="AG12" s="638">
        <v>0</v>
      </c>
      <c r="AH12" s="323" t="e">
        <v>#N/A</v>
      </c>
      <c r="AI12" s="2104"/>
      <c r="AJ12" s="323" t="e">
        <v>#N/A</v>
      </c>
      <c r="AK12" s="2104"/>
      <c r="AL12" s="640" t="e">
        <v>#N/A</v>
      </c>
      <c r="AM12" s="2096"/>
      <c r="AN12" s="1327"/>
      <c r="AO12" s="1327"/>
      <c r="AP12" s="2136"/>
      <c r="AQ12" s="1327"/>
      <c r="AR12" s="1331" t="s">
        <v>2343</v>
      </c>
      <c r="AS12" s="1327"/>
      <c r="AT12" s="1327"/>
      <c r="AU12" s="1327"/>
      <c r="AV12" s="1377"/>
      <c r="AW12" s="1377"/>
      <c r="AX12" s="1327"/>
      <c r="AY12" s="262"/>
    </row>
    <row r="13" spans="1:1027" s="260" customFormat="1" ht="56.25">
      <c r="A13" s="1296" t="s">
        <v>106</v>
      </c>
      <c r="B13" s="1321" t="s">
        <v>1959</v>
      </c>
      <c r="C13" s="1275" t="s">
        <v>107</v>
      </c>
      <c r="D13" s="1276"/>
      <c r="E13" s="1277"/>
      <c r="F13" s="1175" t="s">
        <v>1715</v>
      </c>
      <c r="G13" s="1768" t="s">
        <v>1020</v>
      </c>
      <c r="H13" s="1768"/>
      <c r="I13" s="1768"/>
      <c r="J13" s="1345" t="s">
        <v>825</v>
      </c>
      <c r="K13" s="1346"/>
      <c r="L13" s="1347"/>
      <c r="M13" s="1296" t="s">
        <v>8</v>
      </c>
      <c r="N13" s="1296"/>
      <c r="O13" s="1296"/>
      <c r="P13" s="1296" t="s">
        <v>8</v>
      </c>
      <c r="Q13" s="1175" t="s">
        <v>64</v>
      </c>
      <c r="R13" s="1175" t="s">
        <v>274</v>
      </c>
      <c r="S13" s="301"/>
      <c r="T13" s="638">
        <v>3</v>
      </c>
      <c r="U13" s="638">
        <v>3</v>
      </c>
      <c r="V13" s="2094" t="s">
        <v>1728</v>
      </c>
      <c r="W13" s="301"/>
      <c r="X13" s="1768" t="s">
        <v>826</v>
      </c>
      <c r="Y13" s="1768"/>
      <c r="Z13" s="1768"/>
      <c r="AA13" s="1332" t="s">
        <v>4013</v>
      </c>
      <c r="AB13" s="615" t="s">
        <v>1716</v>
      </c>
      <c r="AC13" s="616" t="s">
        <v>175</v>
      </c>
      <c r="AD13" s="1321">
        <v>87</v>
      </c>
      <c r="AE13" s="1296" t="s">
        <v>152</v>
      </c>
      <c r="AF13" s="301"/>
      <c r="AG13" s="638">
        <v>2</v>
      </c>
      <c r="AH13" s="323">
        <v>1</v>
      </c>
      <c r="AI13" s="2102" t="s">
        <v>654</v>
      </c>
      <c r="AJ13" s="323">
        <v>1</v>
      </c>
      <c r="AK13" s="2102" t="s">
        <v>661</v>
      </c>
      <c r="AL13" s="640">
        <v>1</v>
      </c>
      <c r="AM13" s="2094" t="s">
        <v>1493</v>
      </c>
      <c r="AN13" s="1325" t="s">
        <v>3001</v>
      </c>
      <c r="AO13" s="1325" t="s">
        <v>3002</v>
      </c>
      <c r="AP13" s="1353" t="s">
        <v>3798</v>
      </c>
      <c r="AQ13" s="1325" t="s">
        <v>3799</v>
      </c>
      <c r="AR13" s="1329" t="s">
        <v>2343</v>
      </c>
      <c r="AS13" s="1325" t="s">
        <v>36</v>
      </c>
      <c r="AT13" s="1325"/>
      <c r="AU13" s="1325"/>
      <c r="AV13" s="1375"/>
      <c r="AW13" s="1375"/>
      <c r="AX13" s="1325"/>
      <c r="AY13" s="262"/>
    </row>
    <row r="14" spans="1:1027" s="260" customFormat="1" ht="33.75">
      <c r="A14" s="1297"/>
      <c r="B14" s="1322"/>
      <c r="C14" s="2125"/>
      <c r="D14" s="2126"/>
      <c r="E14" s="2127"/>
      <c r="F14" s="1176"/>
      <c r="G14" s="1768" t="s">
        <v>108</v>
      </c>
      <c r="H14" s="1768"/>
      <c r="I14" s="1768"/>
      <c r="J14" s="1348"/>
      <c r="K14" s="1349"/>
      <c r="L14" s="1350"/>
      <c r="M14" s="1297"/>
      <c r="N14" s="1297"/>
      <c r="O14" s="1297"/>
      <c r="P14" s="1297"/>
      <c r="Q14" s="1176"/>
      <c r="R14" s="1176"/>
      <c r="S14" s="301"/>
      <c r="T14" s="638" t="e">
        <v>#N/A</v>
      </c>
      <c r="U14" s="638" t="e">
        <v>#N/A</v>
      </c>
      <c r="V14" s="2095"/>
      <c r="W14" s="301"/>
      <c r="X14" s="1768" t="s">
        <v>1729</v>
      </c>
      <c r="Y14" s="1768"/>
      <c r="Z14" s="1768"/>
      <c r="AA14" s="1333"/>
      <c r="AB14" s="615" t="s">
        <v>1718</v>
      </c>
      <c r="AC14" s="616" t="s">
        <v>176</v>
      </c>
      <c r="AD14" s="1322"/>
      <c r="AE14" s="1297"/>
      <c r="AF14" s="301"/>
      <c r="AG14" s="638">
        <v>0</v>
      </c>
      <c r="AH14" s="323" t="e">
        <v>#N/A</v>
      </c>
      <c r="AI14" s="2103"/>
      <c r="AJ14" s="323" t="e">
        <v>#N/A</v>
      </c>
      <c r="AK14" s="2103"/>
      <c r="AL14" s="640" t="e">
        <v>#N/A</v>
      </c>
      <c r="AM14" s="2095"/>
      <c r="AN14" s="1326"/>
      <c r="AO14" s="1326"/>
      <c r="AP14" s="1354"/>
      <c r="AQ14" s="1326"/>
      <c r="AR14" s="1330" t="s">
        <v>2343</v>
      </c>
      <c r="AS14" s="1326"/>
      <c r="AT14" s="1326"/>
      <c r="AU14" s="1326"/>
      <c r="AV14" s="1376"/>
      <c r="AW14" s="1376"/>
      <c r="AX14" s="1326"/>
      <c r="AY14" s="262"/>
    </row>
    <row r="15" spans="1:1027" s="260" customFormat="1" ht="33.75">
      <c r="A15" s="1297"/>
      <c r="B15" s="1322"/>
      <c r="C15" s="2125"/>
      <c r="D15" s="2126"/>
      <c r="E15" s="2127"/>
      <c r="F15" s="1176"/>
      <c r="G15" s="1768" t="s">
        <v>109</v>
      </c>
      <c r="H15" s="1768"/>
      <c r="I15" s="1768"/>
      <c r="J15" s="1348"/>
      <c r="K15" s="1349"/>
      <c r="L15" s="1350"/>
      <c r="M15" s="1297"/>
      <c r="N15" s="1297"/>
      <c r="O15" s="1297"/>
      <c r="P15" s="1297"/>
      <c r="Q15" s="1176"/>
      <c r="R15" s="1176"/>
      <c r="S15" s="301"/>
      <c r="T15" s="638" t="e">
        <v>#N/A</v>
      </c>
      <c r="U15" s="638" t="e">
        <v>#N/A</v>
      </c>
      <c r="V15" s="2095"/>
      <c r="W15" s="301"/>
      <c r="X15" s="1768" t="s">
        <v>827</v>
      </c>
      <c r="Y15" s="1768"/>
      <c r="Z15" s="1768"/>
      <c r="AA15" s="1333"/>
      <c r="AB15" s="615" t="s">
        <v>1718</v>
      </c>
      <c r="AC15" s="616" t="s">
        <v>176</v>
      </c>
      <c r="AD15" s="1322"/>
      <c r="AE15" s="1297"/>
      <c r="AF15" s="301"/>
      <c r="AG15" s="638">
        <v>0</v>
      </c>
      <c r="AH15" s="323" t="e">
        <v>#N/A</v>
      </c>
      <c r="AI15" s="2103"/>
      <c r="AJ15" s="323" t="e">
        <v>#N/A</v>
      </c>
      <c r="AK15" s="2103"/>
      <c r="AL15" s="640" t="e">
        <v>#N/A</v>
      </c>
      <c r="AM15" s="2095"/>
      <c r="AN15" s="1326"/>
      <c r="AO15" s="1326"/>
      <c r="AP15" s="1354"/>
      <c r="AQ15" s="1326"/>
      <c r="AR15" s="1330" t="s">
        <v>2343</v>
      </c>
      <c r="AS15" s="1326"/>
      <c r="AT15" s="1326"/>
      <c r="AU15" s="1326"/>
      <c r="AV15" s="1376"/>
      <c r="AW15" s="1376"/>
      <c r="AX15" s="1326"/>
      <c r="AY15" s="262"/>
    </row>
    <row r="16" spans="1:1027" s="260" customFormat="1" ht="33.75">
      <c r="A16" s="1328"/>
      <c r="B16" s="1515"/>
      <c r="C16" s="2128"/>
      <c r="D16" s="2129"/>
      <c r="E16" s="2130"/>
      <c r="F16" s="1520"/>
      <c r="G16" s="1768" t="s">
        <v>110</v>
      </c>
      <c r="H16" s="1768"/>
      <c r="I16" s="1768"/>
      <c r="J16" s="1883"/>
      <c r="K16" s="1884"/>
      <c r="L16" s="1885"/>
      <c r="M16" s="1328"/>
      <c r="N16" s="1328"/>
      <c r="O16" s="1328"/>
      <c r="P16" s="1328"/>
      <c r="Q16" s="1520"/>
      <c r="R16" s="1520"/>
      <c r="S16" s="301"/>
      <c r="T16" s="638" t="e">
        <v>#N/A</v>
      </c>
      <c r="U16" s="638" t="e">
        <v>#N/A</v>
      </c>
      <c r="V16" s="2096"/>
      <c r="W16" s="301"/>
      <c r="X16" s="1768" t="s">
        <v>828</v>
      </c>
      <c r="Y16" s="1768"/>
      <c r="Z16" s="1768"/>
      <c r="AA16" s="1402"/>
      <c r="AB16" s="615" t="s">
        <v>1718</v>
      </c>
      <c r="AC16" s="616" t="s">
        <v>176</v>
      </c>
      <c r="AD16" s="1515"/>
      <c r="AE16" s="1328"/>
      <c r="AF16" s="301"/>
      <c r="AG16" s="638">
        <v>0</v>
      </c>
      <c r="AH16" s="323" t="e">
        <v>#N/A</v>
      </c>
      <c r="AI16" s="2104"/>
      <c r="AJ16" s="323" t="e">
        <v>#N/A</v>
      </c>
      <c r="AK16" s="2104"/>
      <c r="AL16" s="640" t="e">
        <v>#N/A</v>
      </c>
      <c r="AM16" s="2096"/>
      <c r="AN16" s="1327"/>
      <c r="AO16" s="1327"/>
      <c r="AP16" s="1355"/>
      <c r="AQ16" s="1327"/>
      <c r="AR16" s="1331" t="s">
        <v>2343</v>
      </c>
      <c r="AS16" s="1327"/>
      <c r="AT16" s="1327"/>
      <c r="AU16" s="1327"/>
      <c r="AV16" s="1377"/>
      <c r="AW16" s="1377"/>
      <c r="AX16" s="1327"/>
      <c r="AY16" s="262"/>
    </row>
    <row r="17" spans="1:51" s="260" customFormat="1" ht="56.25">
      <c r="A17" s="1296" t="s">
        <v>105</v>
      </c>
      <c r="B17" s="1321" t="s">
        <v>1960</v>
      </c>
      <c r="C17" s="1275" t="s">
        <v>829</v>
      </c>
      <c r="D17" s="1276"/>
      <c r="E17" s="1277"/>
      <c r="F17" s="1321" t="s">
        <v>1715</v>
      </c>
      <c r="G17" s="1768" t="s">
        <v>830</v>
      </c>
      <c r="H17" s="1768"/>
      <c r="I17" s="1768"/>
      <c r="J17" s="1345" t="s">
        <v>114</v>
      </c>
      <c r="K17" s="1346"/>
      <c r="L17" s="1347"/>
      <c r="M17" s="1296"/>
      <c r="N17" s="1296">
        <v>4</v>
      </c>
      <c r="O17" s="1296"/>
      <c r="P17" s="1296"/>
      <c r="Q17" s="1175" t="s">
        <v>648</v>
      </c>
      <c r="R17" s="1175" t="s">
        <v>274</v>
      </c>
      <c r="S17" s="301"/>
      <c r="T17" s="638">
        <v>4</v>
      </c>
      <c r="U17" s="638">
        <v>3</v>
      </c>
      <c r="V17" s="2094" t="s">
        <v>1728</v>
      </c>
      <c r="W17" s="301"/>
      <c r="X17" s="1768" t="s">
        <v>1719</v>
      </c>
      <c r="Y17" s="1768"/>
      <c r="Z17" s="1768"/>
      <c r="AA17" s="1332" t="s">
        <v>4013</v>
      </c>
      <c r="AB17" s="615" t="s">
        <v>1716</v>
      </c>
      <c r="AC17" s="616" t="s">
        <v>181</v>
      </c>
      <c r="AD17" s="1321">
        <v>84</v>
      </c>
      <c r="AE17" s="1296" t="s">
        <v>153</v>
      </c>
      <c r="AF17" s="301"/>
      <c r="AG17" s="638">
        <f t="shared" ref="AG17:AG32" si="0">IF(AD17&lt;=33,0,IF(AD17&gt;81,2,1))</f>
        <v>2</v>
      </c>
      <c r="AH17" s="323">
        <f t="shared" ref="AH17:AH32" si="1">IF(OR(AE17="Probabilidad",AE17="Ambos"),T17-AG17,T17)</f>
        <v>2</v>
      </c>
      <c r="AI17" s="2102" t="str">
        <f>IF(AH17&lt;=1,"Remota",VLOOKUP(AH17,[81]Listas!$C$6:$D$10,2,0))</f>
        <v>Baja</v>
      </c>
      <c r="AJ17" s="323">
        <f t="shared" ref="AJ17:AJ20" si="2">IF(OR(AE17="Impacto",AE17="Ambos"),U17-AG17,U17)</f>
        <v>3</v>
      </c>
      <c r="AK17" s="2102" t="str">
        <f>IF(AJ17&lt;=1,"Insignificante",HLOOKUP(AJ17,[81]Listas!$F$3:$J$4,2,0))</f>
        <v>Moderado</v>
      </c>
      <c r="AL17" s="2102" t="e">
        <f>IF(AK17&lt;=1,"Insignificante",HLOOKUP(AK17,[81]Listas!$F$3:$J$4,2,0))</f>
        <v>#N/A</v>
      </c>
      <c r="AM17" s="2094" t="s">
        <v>1493</v>
      </c>
      <c r="AN17" s="1325" t="s">
        <v>3003</v>
      </c>
      <c r="AO17" s="1325" t="s">
        <v>3004</v>
      </c>
      <c r="AP17" s="1353">
        <v>0</v>
      </c>
      <c r="AQ17" s="1325" t="s">
        <v>3216</v>
      </c>
      <c r="AR17" s="1329" t="s">
        <v>2343</v>
      </c>
      <c r="AS17" s="1325" t="s">
        <v>36</v>
      </c>
      <c r="AT17" s="1325"/>
      <c r="AU17" s="1325"/>
      <c r="AV17" s="1375"/>
      <c r="AW17" s="1375"/>
      <c r="AX17" s="1325"/>
      <c r="AY17" s="262"/>
    </row>
    <row r="18" spans="1:51" s="260" customFormat="1" ht="56.25">
      <c r="A18" s="1297"/>
      <c r="B18" s="1322"/>
      <c r="C18" s="2125"/>
      <c r="D18" s="2126"/>
      <c r="E18" s="2127"/>
      <c r="F18" s="1322"/>
      <c r="G18" s="1768" t="s">
        <v>831</v>
      </c>
      <c r="H18" s="1768"/>
      <c r="I18" s="1768"/>
      <c r="J18" s="1348"/>
      <c r="K18" s="1349"/>
      <c r="L18" s="1350"/>
      <c r="M18" s="1297"/>
      <c r="N18" s="1297"/>
      <c r="O18" s="1297"/>
      <c r="P18" s="1297"/>
      <c r="Q18" s="1176"/>
      <c r="R18" s="1176"/>
      <c r="S18" s="301"/>
      <c r="T18" s="638" t="e">
        <v>#N/A</v>
      </c>
      <c r="U18" s="638" t="e">
        <v>#N/A</v>
      </c>
      <c r="V18" s="2095"/>
      <c r="W18" s="301"/>
      <c r="X18" s="1768" t="s">
        <v>1730</v>
      </c>
      <c r="Y18" s="1768"/>
      <c r="Z18" s="1768"/>
      <c r="AA18" s="1333"/>
      <c r="AB18" s="606" t="s">
        <v>1672</v>
      </c>
      <c r="AC18" s="616" t="s">
        <v>182</v>
      </c>
      <c r="AD18" s="1322"/>
      <c r="AE18" s="1297"/>
      <c r="AF18" s="301"/>
      <c r="AG18" s="638">
        <f t="shared" si="0"/>
        <v>0</v>
      </c>
      <c r="AH18" s="323" t="e">
        <f t="shared" si="1"/>
        <v>#N/A</v>
      </c>
      <c r="AI18" s="2103"/>
      <c r="AJ18" s="323" t="e">
        <f t="shared" si="2"/>
        <v>#N/A</v>
      </c>
      <c r="AK18" s="2103"/>
      <c r="AL18" s="2103"/>
      <c r="AM18" s="2095"/>
      <c r="AN18" s="1326"/>
      <c r="AO18" s="1326"/>
      <c r="AP18" s="1354"/>
      <c r="AQ18" s="1326"/>
      <c r="AR18" s="1330"/>
      <c r="AS18" s="1326"/>
      <c r="AT18" s="1326"/>
      <c r="AU18" s="1326"/>
      <c r="AV18" s="1376"/>
      <c r="AW18" s="1376"/>
      <c r="AX18" s="1326"/>
      <c r="AY18" s="262"/>
    </row>
    <row r="19" spans="1:51" s="260" customFormat="1" ht="45.75">
      <c r="A19" s="1297"/>
      <c r="B19" s="1322"/>
      <c r="C19" s="2125"/>
      <c r="D19" s="2126"/>
      <c r="E19" s="2127"/>
      <c r="F19" s="1322"/>
      <c r="G19" s="1768" t="s">
        <v>115</v>
      </c>
      <c r="H19" s="1768"/>
      <c r="I19" s="1768"/>
      <c r="J19" s="1348"/>
      <c r="K19" s="1349"/>
      <c r="L19" s="1350"/>
      <c r="M19" s="1297"/>
      <c r="N19" s="1297"/>
      <c r="O19" s="1297"/>
      <c r="P19" s="1297"/>
      <c r="Q19" s="1176"/>
      <c r="R19" s="1176"/>
      <c r="S19" s="301"/>
      <c r="T19" s="638" t="e">
        <v>#N/A</v>
      </c>
      <c r="U19" s="638" t="e">
        <v>#N/A</v>
      </c>
      <c r="V19" s="2095"/>
      <c r="W19" s="301"/>
      <c r="X19" s="1768" t="s">
        <v>832</v>
      </c>
      <c r="Y19" s="1768"/>
      <c r="Z19" s="1768"/>
      <c r="AA19" s="1333"/>
      <c r="AB19" s="606" t="s">
        <v>1672</v>
      </c>
      <c r="AC19" s="616" t="s">
        <v>116</v>
      </c>
      <c r="AD19" s="1322"/>
      <c r="AE19" s="1297"/>
      <c r="AF19" s="301"/>
      <c r="AG19" s="638">
        <f t="shared" si="0"/>
        <v>0</v>
      </c>
      <c r="AH19" s="323" t="e">
        <f t="shared" si="1"/>
        <v>#N/A</v>
      </c>
      <c r="AI19" s="2103"/>
      <c r="AJ19" s="323" t="e">
        <f t="shared" si="2"/>
        <v>#N/A</v>
      </c>
      <c r="AK19" s="2103"/>
      <c r="AL19" s="2103"/>
      <c r="AM19" s="2095"/>
      <c r="AN19" s="1326"/>
      <c r="AO19" s="1326"/>
      <c r="AP19" s="1354"/>
      <c r="AQ19" s="1326"/>
      <c r="AR19" s="1330"/>
      <c r="AS19" s="1326"/>
      <c r="AT19" s="1326"/>
      <c r="AU19" s="1326"/>
      <c r="AV19" s="1376"/>
      <c r="AW19" s="1376"/>
      <c r="AX19" s="1326"/>
      <c r="AY19" s="262"/>
    </row>
    <row r="20" spans="1:51" s="260" customFormat="1" ht="123.75">
      <c r="A20" s="1328"/>
      <c r="B20" s="1515"/>
      <c r="C20" s="2128"/>
      <c r="D20" s="2129"/>
      <c r="E20" s="2130"/>
      <c r="F20" s="1515"/>
      <c r="G20" s="1768" t="s">
        <v>117</v>
      </c>
      <c r="H20" s="1768"/>
      <c r="I20" s="1768"/>
      <c r="J20" s="1883"/>
      <c r="K20" s="1884"/>
      <c r="L20" s="1885"/>
      <c r="M20" s="1328"/>
      <c r="N20" s="1328"/>
      <c r="O20" s="1328"/>
      <c r="P20" s="1328"/>
      <c r="Q20" s="1520"/>
      <c r="R20" s="1520"/>
      <c r="S20" s="301"/>
      <c r="T20" s="638" t="e">
        <v>#N/A</v>
      </c>
      <c r="U20" s="638" t="e">
        <v>#N/A</v>
      </c>
      <c r="V20" s="2096"/>
      <c r="W20" s="301"/>
      <c r="X20" s="1768" t="s">
        <v>1021</v>
      </c>
      <c r="Y20" s="1768"/>
      <c r="Z20" s="1768"/>
      <c r="AA20" s="1402"/>
      <c r="AB20" s="606" t="s">
        <v>1672</v>
      </c>
      <c r="AC20" s="616" t="s">
        <v>183</v>
      </c>
      <c r="AD20" s="1515"/>
      <c r="AE20" s="1328"/>
      <c r="AF20" s="301"/>
      <c r="AG20" s="638">
        <f t="shared" si="0"/>
        <v>0</v>
      </c>
      <c r="AH20" s="323" t="e">
        <f t="shared" si="1"/>
        <v>#N/A</v>
      </c>
      <c r="AI20" s="2104"/>
      <c r="AJ20" s="323" t="e">
        <f t="shared" si="2"/>
        <v>#N/A</v>
      </c>
      <c r="AK20" s="2104"/>
      <c r="AL20" s="2104"/>
      <c r="AM20" s="2096"/>
      <c r="AN20" s="1327"/>
      <c r="AO20" s="1327"/>
      <c r="AP20" s="1355"/>
      <c r="AQ20" s="1327"/>
      <c r="AR20" s="1331"/>
      <c r="AS20" s="1327"/>
      <c r="AT20" s="1327"/>
      <c r="AU20" s="1327"/>
      <c r="AV20" s="1377"/>
      <c r="AW20" s="1377"/>
      <c r="AX20" s="1327"/>
      <c r="AY20" s="262"/>
    </row>
    <row r="21" spans="1:51" s="260" customFormat="1" ht="38.25" customHeight="1">
      <c r="A21" s="1892" t="s">
        <v>1720</v>
      </c>
      <c r="B21" s="2109" t="s">
        <v>3005</v>
      </c>
      <c r="C21" s="2112" t="s">
        <v>729</v>
      </c>
      <c r="D21" s="2113"/>
      <c r="E21" s="2114"/>
      <c r="F21" s="1321" t="s">
        <v>1715</v>
      </c>
      <c r="G21" s="2091" t="s">
        <v>994</v>
      </c>
      <c r="H21" s="2092"/>
      <c r="I21" s="2093"/>
      <c r="J21" s="2107" t="s">
        <v>993</v>
      </c>
      <c r="K21" s="2121"/>
      <c r="L21" s="2122"/>
      <c r="M21" s="1296"/>
      <c r="N21" s="1296"/>
      <c r="O21" s="1296" t="s">
        <v>8</v>
      </c>
      <c r="P21" s="1296"/>
      <c r="Q21" s="2107" t="s">
        <v>655</v>
      </c>
      <c r="R21" s="2107" t="s">
        <v>274</v>
      </c>
      <c r="S21" s="1296"/>
      <c r="T21" s="1296"/>
      <c r="U21" s="1296"/>
      <c r="V21" s="2094" t="s">
        <v>1731</v>
      </c>
      <c r="W21" s="2094" t="s">
        <v>1731</v>
      </c>
      <c r="X21" s="1896" t="s">
        <v>1721</v>
      </c>
      <c r="Y21" s="1896"/>
      <c r="Z21" s="1896"/>
      <c r="AA21" s="1892" t="s">
        <v>4192</v>
      </c>
      <c r="AB21" s="606" t="s">
        <v>28</v>
      </c>
      <c r="AC21" s="2107" t="s">
        <v>1722</v>
      </c>
      <c r="AD21" s="1892">
        <v>87</v>
      </c>
      <c r="AE21" s="1892" t="s">
        <v>153</v>
      </c>
      <c r="AF21" s="2105" t="e">
        <f>IF(AE21&lt;=1,"Insignificante",HLOOKUP(AE21,[82]Listas!$F$3:$J$4,2,0))</f>
        <v>#N/A</v>
      </c>
      <c r="AG21" s="638"/>
      <c r="AH21" s="323"/>
      <c r="AI21" s="2105" t="str">
        <f>IF(AH21&lt;=1,"Remota",VLOOKUP(AH21,[82]Listas!$C$6:$D$10,2,0))</f>
        <v>Remota</v>
      </c>
      <c r="AJ21" s="2105" t="str">
        <f>IF(OR(AD21="Impacto",AD21="Ambos"),V21-AG21,V21)</f>
        <v>12
ALTO</v>
      </c>
      <c r="AK21" s="2102" t="str">
        <f>IF(AJ26&lt;=1,"Insignificante",HLOOKUP(AJ26,[81]Listas!$F$3:$J$4,2,0))</f>
        <v>Insignificante</v>
      </c>
      <c r="AL21" s="2102" t="e">
        <f>IF(#REF!&lt;=1,"Insignificante",HLOOKUP(#REF!,[81]Listas!$F$3:$J$4,2,0))</f>
        <v>#REF!</v>
      </c>
      <c r="AM21" s="2105" t="str">
        <f>INDEX([82]Listas!$F$6:$J$10,MATCH(AI21,[82]Listas!$D$6:$D$10,0),MATCH(AK21,[82]Listas!$F$4:$J$4,0))</f>
        <v>1
INFERIOR</v>
      </c>
      <c r="AN21" s="1325" t="s">
        <v>3006</v>
      </c>
      <c r="AO21" s="1325" t="s">
        <v>3007</v>
      </c>
      <c r="AP21" s="1353">
        <v>0</v>
      </c>
      <c r="AQ21" s="1325" t="s">
        <v>3217</v>
      </c>
      <c r="AR21" s="1329" t="s">
        <v>2343</v>
      </c>
      <c r="AS21" s="1325" t="s">
        <v>36</v>
      </c>
      <c r="AT21" s="1325"/>
      <c r="AU21" s="1325"/>
      <c r="AV21" s="1375"/>
      <c r="AW21" s="1375"/>
      <c r="AX21" s="1325"/>
      <c r="AY21" s="262"/>
    </row>
    <row r="22" spans="1:51" s="260" customFormat="1" ht="43.5" customHeight="1">
      <c r="A22" s="1893"/>
      <c r="B22" s="2110"/>
      <c r="C22" s="2115"/>
      <c r="D22" s="2116"/>
      <c r="E22" s="2117"/>
      <c r="F22" s="1322"/>
      <c r="G22" s="2091" t="s">
        <v>992</v>
      </c>
      <c r="H22" s="2092"/>
      <c r="I22" s="2093"/>
      <c r="J22" s="2108"/>
      <c r="K22" s="2123"/>
      <c r="L22" s="2124"/>
      <c r="M22" s="1297"/>
      <c r="N22" s="1297"/>
      <c r="O22" s="1297"/>
      <c r="P22" s="1297"/>
      <c r="Q22" s="2108"/>
      <c r="R22" s="2108"/>
      <c r="S22" s="1297"/>
      <c r="T22" s="1297"/>
      <c r="U22" s="1297"/>
      <c r="V22" s="2095"/>
      <c r="W22" s="2095"/>
      <c r="X22" s="1896" t="s">
        <v>1723</v>
      </c>
      <c r="Y22" s="1896"/>
      <c r="Z22" s="1896"/>
      <c r="AA22" s="1893"/>
      <c r="AB22" s="606" t="s">
        <v>28</v>
      </c>
      <c r="AC22" s="2108"/>
      <c r="AD22" s="1893"/>
      <c r="AE22" s="1893"/>
      <c r="AF22" s="2106" t="str">
        <f>IF(AE22&lt;=1,"Insignificante",HLOOKUP(AE22,[82]Listas!$F$3:$J$4,2,0))</f>
        <v>Insignificante</v>
      </c>
      <c r="AG22" s="638"/>
      <c r="AH22" s="323"/>
      <c r="AI22" s="2106" t="str">
        <f>IF(AH22&lt;=1,"Remota",VLOOKUP(AH22,[82]Listas!$C$6:$D$10,2,0))</f>
        <v>Remota</v>
      </c>
      <c r="AJ22" s="2106">
        <f>IF(OR(AD22="Impacto",AD22="Ambos"),V22-AG22,V22)</f>
        <v>0</v>
      </c>
      <c r="AK22" s="2103"/>
      <c r="AL22" s="2103"/>
      <c r="AM22" s="2106" t="e">
        <f>INDEX([82]Listas!$F$6:$J$10,MATCH(AI22,[82]Listas!$D$6:$D$10,0),MATCH(AK22,[82]Listas!$F$4:$J$4,0))</f>
        <v>#N/A</v>
      </c>
      <c r="AN22" s="1326"/>
      <c r="AO22" s="1326"/>
      <c r="AP22" s="1354"/>
      <c r="AQ22" s="1326"/>
      <c r="AR22" s="1330"/>
      <c r="AS22" s="1326"/>
      <c r="AT22" s="1326"/>
      <c r="AU22" s="1326"/>
      <c r="AV22" s="1376"/>
      <c r="AW22" s="1376"/>
      <c r="AX22" s="1326"/>
      <c r="AY22" s="262"/>
    </row>
    <row r="23" spans="1:51" s="260" customFormat="1" ht="51" customHeight="1">
      <c r="A23" s="1893"/>
      <c r="B23" s="2110"/>
      <c r="C23" s="2115"/>
      <c r="D23" s="2116"/>
      <c r="E23" s="2117"/>
      <c r="F23" s="1322"/>
      <c r="G23" s="2091" t="s">
        <v>1096</v>
      </c>
      <c r="H23" s="2092"/>
      <c r="I23" s="2093"/>
      <c r="J23" s="2108"/>
      <c r="K23" s="2123"/>
      <c r="L23" s="2124"/>
      <c r="M23" s="1297"/>
      <c r="N23" s="1297"/>
      <c r="O23" s="1297"/>
      <c r="P23" s="1297"/>
      <c r="Q23" s="2108"/>
      <c r="R23" s="2108"/>
      <c r="S23" s="1297"/>
      <c r="T23" s="1297"/>
      <c r="U23" s="1297"/>
      <c r="V23" s="2095"/>
      <c r="W23" s="2095"/>
      <c r="X23" s="1896" t="s">
        <v>1423</v>
      </c>
      <c r="Y23" s="1896"/>
      <c r="Z23" s="1896"/>
      <c r="AA23" s="1893"/>
      <c r="AB23" s="606" t="s">
        <v>28</v>
      </c>
      <c r="AC23" s="2108"/>
      <c r="AD23" s="1893"/>
      <c r="AE23" s="1893"/>
      <c r="AF23" s="2106" t="str">
        <f>IF(AE23&lt;=1,"Insignificante",HLOOKUP(AE23,[82]Listas!$F$3:$J$4,2,0))</f>
        <v>Insignificante</v>
      </c>
      <c r="AG23" s="638"/>
      <c r="AH23" s="323"/>
      <c r="AI23" s="2106" t="str">
        <f>IF(AH23&lt;=1,"Remota",VLOOKUP(AH23,[82]Listas!$C$6:$D$10,2,0))</f>
        <v>Remota</v>
      </c>
      <c r="AJ23" s="2106">
        <f t="shared" ref="AJ23:AJ29" si="3">IF(OR(AD23="Impacto",AD23="Ambos"),V23-AG23,V23)</f>
        <v>0</v>
      </c>
      <c r="AK23" s="2103"/>
      <c r="AL23" s="2103"/>
      <c r="AM23" s="2106" t="e">
        <f>INDEX([82]Listas!$F$6:$J$10,MATCH(AI23,[82]Listas!$D$6:$D$10,0),MATCH(AK23,[82]Listas!$F$4:$J$4,0))</f>
        <v>#N/A</v>
      </c>
      <c r="AN23" s="1326"/>
      <c r="AO23" s="1326"/>
      <c r="AP23" s="1354"/>
      <c r="AQ23" s="1326"/>
      <c r="AR23" s="1330"/>
      <c r="AS23" s="1326"/>
      <c r="AT23" s="1326"/>
      <c r="AU23" s="1326"/>
      <c r="AV23" s="1376"/>
      <c r="AW23" s="1376"/>
      <c r="AX23" s="1326"/>
      <c r="AY23" s="262"/>
    </row>
    <row r="24" spans="1:51" s="260" customFormat="1" ht="34.5" customHeight="1">
      <c r="A24" s="1893"/>
      <c r="B24" s="2110"/>
      <c r="C24" s="2115"/>
      <c r="D24" s="2116"/>
      <c r="E24" s="2117"/>
      <c r="F24" s="1322"/>
      <c r="G24" s="2091" t="s">
        <v>1098</v>
      </c>
      <c r="H24" s="2092"/>
      <c r="I24" s="2093"/>
      <c r="J24" s="2108"/>
      <c r="K24" s="2123"/>
      <c r="L24" s="2124"/>
      <c r="M24" s="1297"/>
      <c r="N24" s="1297"/>
      <c r="O24" s="1297"/>
      <c r="P24" s="1297"/>
      <c r="Q24" s="2108"/>
      <c r="R24" s="2108"/>
      <c r="S24" s="1297"/>
      <c r="T24" s="1297"/>
      <c r="U24" s="1297"/>
      <c r="V24" s="2095"/>
      <c r="W24" s="2095"/>
      <c r="X24" s="1896" t="s">
        <v>1424</v>
      </c>
      <c r="Y24" s="1896"/>
      <c r="Z24" s="1896"/>
      <c r="AA24" s="1893"/>
      <c r="AB24" s="606" t="s">
        <v>28</v>
      </c>
      <c r="AC24" s="2108"/>
      <c r="AD24" s="1893"/>
      <c r="AE24" s="1893"/>
      <c r="AF24" s="2106" t="str">
        <f>IF(AE24&lt;=1,"Insignificante",HLOOKUP(AE24,[82]Listas!$F$3:$J$4,2,0))</f>
        <v>Insignificante</v>
      </c>
      <c r="AG24" s="638"/>
      <c r="AH24" s="323"/>
      <c r="AI24" s="2106" t="str">
        <f>IF(AH24&lt;=1,"Remota",VLOOKUP(AH24,[82]Listas!$C$6:$D$10,2,0))</f>
        <v>Remota</v>
      </c>
      <c r="AJ24" s="2106">
        <f t="shared" si="3"/>
        <v>0</v>
      </c>
      <c r="AK24" s="2103"/>
      <c r="AL24" s="2104"/>
      <c r="AM24" s="2106" t="e">
        <f>INDEX([82]Listas!$F$6:$J$10,MATCH(AI24,[82]Listas!$D$6:$D$10,0),MATCH(AK24,[82]Listas!$F$4:$J$4,0))</f>
        <v>#N/A</v>
      </c>
      <c r="AN24" s="1326"/>
      <c r="AO24" s="1326"/>
      <c r="AP24" s="1354"/>
      <c r="AQ24" s="1326"/>
      <c r="AR24" s="1330"/>
      <c r="AS24" s="1326"/>
      <c r="AT24" s="1326"/>
      <c r="AU24" s="1326"/>
      <c r="AV24" s="1376"/>
      <c r="AW24" s="1376"/>
      <c r="AX24" s="1326"/>
      <c r="AY24" s="262"/>
    </row>
    <row r="25" spans="1:51" s="260" customFormat="1" ht="62.25" customHeight="1">
      <c r="A25" s="1893"/>
      <c r="B25" s="2110"/>
      <c r="C25" s="2115"/>
      <c r="D25" s="2116"/>
      <c r="E25" s="2117"/>
      <c r="F25" s="1322"/>
      <c r="G25" s="2091" t="s">
        <v>1100</v>
      </c>
      <c r="H25" s="2092"/>
      <c r="I25" s="2093"/>
      <c r="J25" s="2108"/>
      <c r="K25" s="2123"/>
      <c r="L25" s="2124"/>
      <c r="M25" s="1297"/>
      <c r="N25" s="1297"/>
      <c r="O25" s="1297"/>
      <c r="P25" s="1297"/>
      <c r="Q25" s="2108"/>
      <c r="R25" s="2108"/>
      <c r="S25" s="1297"/>
      <c r="T25" s="1297"/>
      <c r="U25" s="1297"/>
      <c r="V25" s="2095"/>
      <c r="W25" s="2095"/>
      <c r="X25" s="1896" t="s">
        <v>1527</v>
      </c>
      <c r="Y25" s="1896"/>
      <c r="Z25" s="1896"/>
      <c r="AA25" s="1893"/>
      <c r="AB25" s="606" t="s">
        <v>28</v>
      </c>
      <c r="AC25" s="2108"/>
      <c r="AD25" s="1893"/>
      <c r="AE25" s="1893"/>
      <c r="AF25" s="2106" t="str">
        <f>IF(AE25&lt;=1,"Insignificante",HLOOKUP(AE25,[82]Listas!$F$3:$J$4,2,0))</f>
        <v>Insignificante</v>
      </c>
      <c r="AG25" s="638"/>
      <c r="AH25" s="323"/>
      <c r="AI25" s="2106" t="str">
        <f>IF(AH25&lt;=1,"Remota",VLOOKUP(AH25,[82]Listas!$C$6:$D$10,2,0))</f>
        <v>Remota</v>
      </c>
      <c r="AJ25" s="2106">
        <f t="shared" si="3"/>
        <v>0</v>
      </c>
      <c r="AK25" s="2103"/>
      <c r="AL25" s="640"/>
      <c r="AM25" s="2106" t="e">
        <f>INDEX([82]Listas!$F$6:$J$10,MATCH(AI25,[82]Listas!$D$6:$D$10,0),MATCH(AK25,[82]Listas!$F$4:$J$4,0))</f>
        <v>#N/A</v>
      </c>
      <c r="AN25" s="1326"/>
      <c r="AO25" s="1326"/>
      <c r="AP25" s="1354"/>
      <c r="AQ25" s="1326"/>
      <c r="AR25" s="1330"/>
      <c r="AS25" s="1326"/>
      <c r="AT25" s="1326"/>
      <c r="AU25" s="1326"/>
      <c r="AV25" s="1376"/>
      <c r="AW25" s="1376"/>
      <c r="AX25" s="1326"/>
      <c r="AY25" s="262"/>
    </row>
    <row r="26" spans="1:51" s="260" customFormat="1" ht="58.5" customHeight="1">
      <c r="A26" s="1894"/>
      <c r="B26" s="2111"/>
      <c r="C26" s="2118"/>
      <c r="D26" s="2119"/>
      <c r="E26" s="2120"/>
      <c r="F26" s="1515"/>
      <c r="G26" s="2091" t="s">
        <v>991</v>
      </c>
      <c r="H26" s="2092"/>
      <c r="I26" s="2093"/>
      <c r="J26" s="2108"/>
      <c r="K26" s="2123"/>
      <c r="L26" s="2124"/>
      <c r="M26" s="1328"/>
      <c r="N26" s="1328"/>
      <c r="O26" s="1328"/>
      <c r="P26" s="1328"/>
      <c r="Q26" s="2108"/>
      <c r="R26" s="2108"/>
      <c r="S26" s="1328"/>
      <c r="T26" s="1328"/>
      <c r="U26" s="1328"/>
      <c r="V26" s="2096"/>
      <c r="W26" s="2096"/>
      <c r="X26" s="1896" t="s">
        <v>1426</v>
      </c>
      <c r="Y26" s="1896"/>
      <c r="Z26" s="1896"/>
      <c r="AA26" s="1894"/>
      <c r="AB26" s="606" t="s">
        <v>28</v>
      </c>
      <c r="AC26" s="2108"/>
      <c r="AD26" s="1893"/>
      <c r="AE26" s="1893"/>
      <c r="AF26" s="2106" t="str">
        <f>IF(AE26&lt;=1,"Insignificante",HLOOKUP(AE26,[82]Listas!$F$3:$J$4,2,0))</f>
        <v>Insignificante</v>
      </c>
      <c r="AG26" s="638"/>
      <c r="AH26" s="323"/>
      <c r="AI26" s="2106" t="str">
        <f>IF(AH26&lt;=1,"Remota",VLOOKUP(AH26,[82]Listas!$C$6:$D$10,2,0))</f>
        <v>Remota</v>
      </c>
      <c r="AJ26" s="2106">
        <f t="shared" si="3"/>
        <v>0</v>
      </c>
      <c r="AK26" s="2104"/>
      <c r="AL26" s="640"/>
      <c r="AM26" s="2106" t="e">
        <f>INDEX([82]Listas!$F$6:$J$10,MATCH(AI26,[82]Listas!$D$6:$D$10,0),MATCH(AK26,[82]Listas!$F$4:$J$4,0))</f>
        <v>#N/A</v>
      </c>
      <c r="AN26" s="1327"/>
      <c r="AO26" s="1327"/>
      <c r="AP26" s="1355"/>
      <c r="AQ26" s="1327"/>
      <c r="AR26" s="1331"/>
      <c r="AS26" s="1327"/>
      <c r="AT26" s="1327"/>
      <c r="AU26" s="1327"/>
      <c r="AV26" s="1377"/>
      <c r="AW26" s="1377"/>
      <c r="AX26" s="1327"/>
      <c r="AY26" s="262"/>
    </row>
    <row r="27" spans="1:51" s="260" customFormat="1" ht="58.5">
      <c r="A27" s="1904" t="s">
        <v>1720</v>
      </c>
      <c r="B27" s="2100" t="s">
        <v>3008</v>
      </c>
      <c r="C27" s="2101" t="s">
        <v>1198</v>
      </c>
      <c r="D27" s="2101"/>
      <c r="E27" s="2101"/>
      <c r="F27" s="1321" t="s">
        <v>1715</v>
      </c>
      <c r="G27" s="2091" t="s">
        <v>1199</v>
      </c>
      <c r="H27" s="2092"/>
      <c r="I27" s="2093"/>
      <c r="J27" s="1904" t="s">
        <v>1285</v>
      </c>
      <c r="K27" s="1904"/>
      <c r="L27" s="1904"/>
      <c r="M27" s="1296"/>
      <c r="N27" s="1296"/>
      <c r="O27" s="1296" t="s">
        <v>8</v>
      </c>
      <c r="P27" s="1296"/>
      <c r="Q27" s="1904" t="s">
        <v>64</v>
      </c>
      <c r="R27" s="1904" t="s">
        <v>274</v>
      </c>
      <c r="S27" s="301"/>
      <c r="T27" s="638">
        <f>VLOOKUP(Q27,[81]Listas!$D$6:$E$10,2,0)</f>
        <v>3</v>
      </c>
      <c r="U27" s="638">
        <f>HLOOKUP(R27,[81]Listas!$F$4:$J$5,2,0)</f>
        <v>3</v>
      </c>
      <c r="V27" s="2094" t="str">
        <f>INDEX([81]Listas!$F$6:$J$10,MATCH(Q27,[81]Listas!$D$6:$D$10,0),MATCH(R27,[81]Listas!$F$4:$J$4,0))</f>
        <v>9
MODERADO</v>
      </c>
      <c r="W27" s="301"/>
      <c r="X27" s="1896" t="s">
        <v>1724</v>
      </c>
      <c r="Y27" s="1896"/>
      <c r="Z27" s="1896"/>
      <c r="AA27" s="1892" t="s">
        <v>4193</v>
      </c>
      <c r="AB27" s="606" t="s">
        <v>1482</v>
      </c>
      <c r="AC27" s="1904" t="s">
        <v>1725</v>
      </c>
      <c r="AD27" s="1332">
        <v>84</v>
      </c>
      <c r="AE27" s="1332" t="s">
        <v>152</v>
      </c>
      <c r="AF27" s="2094" t="e">
        <f>IF(AE27&lt;=1,"Insignificante",HLOOKUP(AE27,[82]Listas!$F$3:$J$4,2,0))</f>
        <v>#N/A</v>
      </c>
      <c r="AG27" s="638">
        <f t="shared" si="0"/>
        <v>2</v>
      </c>
      <c r="AH27" s="323">
        <f t="shared" si="1"/>
        <v>1</v>
      </c>
      <c r="AI27" s="2094" t="str">
        <f>IF(AH27&lt;=1,"Remota",VLOOKUP(AH27,[82]Listas!$C$6:$D$10,2,0))</f>
        <v>Remota</v>
      </c>
      <c r="AJ27" s="2097" t="str">
        <f t="shared" si="3"/>
        <v>9
MODERADO</v>
      </c>
      <c r="AK27" s="2094" t="str">
        <f>IF(AJ29&lt;=1,"Insignificante",HLOOKUP(AJ29,[82]Listas!$F$3:$J$4,2,0))</f>
        <v>Insignificante</v>
      </c>
      <c r="AL27" s="640" t="e">
        <f t="shared" ref="AL27:AL32" si="4">AH27*AJ27</f>
        <v>#VALUE!</v>
      </c>
      <c r="AM27" s="2094" t="str">
        <f>INDEX([82]Listas!$F$6:$J$10,MATCH(AI27,[82]Listas!$D$6:$D$10,0),MATCH(AK27,[82]Listas!$F$4:$J$4,0))</f>
        <v>1
INFERIOR</v>
      </c>
      <c r="AN27" s="1325" t="s">
        <v>3009</v>
      </c>
      <c r="AO27" s="1325" t="s">
        <v>3010</v>
      </c>
      <c r="AP27" s="1353">
        <v>0</v>
      </c>
      <c r="AQ27" s="1325" t="s">
        <v>3218</v>
      </c>
      <c r="AR27" s="1329" t="s">
        <v>2343</v>
      </c>
      <c r="AS27" s="1325" t="s">
        <v>36</v>
      </c>
      <c r="AT27" s="1325"/>
      <c r="AU27" s="1325"/>
      <c r="AV27" s="1375"/>
      <c r="AW27" s="1375"/>
      <c r="AX27" s="1325"/>
      <c r="AY27" s="262"/>
    </row>
    <row r="28" spans="1:51" s="260" customFormat="1" ht="60" customHeight="1">
      <c r="A28" s="1904"/>
      <c r="B28" s="2100" t="s">
        <v>473</v>
      </c>
      <c r="C28" s="2101"/>
      <c r="D28" s="2101"/>
      <c r="E28" s="2101"/>
      <c r="F28" s="1322"/>
      <c r="G28" s="2091" t="s">
        <v>1201</v>
      </c>
      <c r="H28" s="2092"/>
      <c r="I28" s="2093"/>
      <c r="J28" s="1904"/>
      <c r="K28" s="1904"/>
      <c r="L28" s="1904"/>
      <c r="M28" s="1297"/>
      <c r="N28" s="1297"/>
      <c r="O28" s="1297"/>
      <c r="P28" s="1297"/>
      <c r="Q28" s="1904"/>
      <c r="R28" s="1904"/>
      <c r="S28" s="301"/>
      <c r="T28" s="638" t="e">
        <f>VLOOKUP(Q28,[81]Listas!$D$6:$E$10,2,0)</f>
        <v>#N/A</v>
      </c>
      <c r="U28" s="638" t="e">
        <f>HLOOKUP(R28,[81]Listas!$F$4:$J$5,2,0)</f>
        <v>#N/A</v>
      </c>
      <c r="V28" s="2095"/>
      <c r="W28" s="301"/>
      <c r="X28" s="1896" t="s">
        <v>1726</v>
      </c>
      <c r="Y28" s="1896"/>
      <c r="Z28" s="1896"/>
      <c r="AA28" s="1893"/>
      <c r="AB28" s="606" t="s">
        <v>28</v>
      </c>
      <c r="AC28" s="1904"/>
      <c r="AD28" s="1333"/>
      <c r="AE28" s="1333"/>
      <c r="AF28" s="2095" t="str">
        <f>IF(AE28&lt;=1,"Insignificante",HLOOKUP(AE28,[82]Listas!$F$3:$J$4,2,0))</f>
        <v>Insignificante</v>
      </c>
      <c r="AG28" s="638">
        <f t="shared" si="0"/>
        <v>0</v>
      </c>
      <c r="AH28" s="323" t="e">
        <f t="shared" si="1"/>
        <v>#N/A</v>
      </c>
      <c r="AI28" s="2095" t="e">
        <f>IF(AH28&lt;=1,"Remota",VLOOKUP(AH28,[82]Listas!$C$6:$D$10,2,0))</f>
        <v>#N/A</v>
      </c>
      <c r="AJ28" s="2098">
        <f t="shared" si="3"/>
        <v>0</v>
      </c>
      <c r="AK28" s="2095"/>
      <c r="AL28" s="640" t="e">
        <f t="shared" si="4"/>
        <v>#N/A</v>
      </c>
      <c r="AM28" s="2095" t="e">
        <f>INDEX([82]Listas!$F$6:$J$10,MATCH(AI28,[82]Listas!$D$6:$D$10,0),MATCH(AK28,[82]Listas!$F$4:$J$4,0))</f>
        <v>#N/A</v>
      </c>
      <c r="AN28" s="1326"/>
      <c r="AO28" s="1326"/>
      <c r="AP28" s="1354"/>
      <c r="AQ28" s="1326"/>
      <c r="AR28" s="1330"/>
      <c r="AS28" s="1326"/>
      <c r="AT28" s="1326"/>
      <c r="AU28" s="1326"/>
      <c r="AV28" s="1376"/>
      <c r="AW28" s="1376"/>
      <c r="AX28" s="1326"/>
      <c r="AY28" s="262"/>
    </row>
    <row r="29" spans="1:51" s="260" customFormat="1" ht="71.25" customHeight="1">
      <c r="A29" s="1904"/>
      <c r="B29" s="2100" t="s">
        <v>473</v>
      </c>
      <c r="C29" s="2101"/>
      <c r="D29" s="2101"/>
      <c r="E29" s="2101"/>
      <c r="F29" s="1515"/>
      <c r="G29" s="2091" t="s">
        <v>1202</v>
      </c>
      <c r="H29" s="2092"/>
      <c r="I29" s="2093"/>
      <c r="J29" s="1904"/>
      <c r="K29" s="1904"/>
      <c r="L29" s="1904"/>
      <c r="M29" s="1328"/>
      <c r="N29" s="1328"/>
      <c r="O29" s="1328"/>
      <c r="P29" s="1328"/>
      <c r="Q29" s="1904"/>
      <c r="R29" s="1904"/>
      <c r="S29" s="301"/>
      <c r="T29" s="638" t="e">
        <f>VLOOKUP(Q29,[81]Listas!$D$6:$E$10,2,0)</f>
        <v>#N/A</v>
      </c>
      <c r="U29" s="638" t="e">
        <f>HLOOKUP(R29,[81]Listas!$F$4:$J$5,2,0)</f>
        <v>#N/A</v>
      </c>
      <c r="V29" s="2096"/>
      <c r="W29" s="301"/>
      <c r="X29" s="1896" t="s">
        <v>1727</v>
      </c>
      <c r="Y29" s="1896"/>
      <c r="Z29" s="1896"/>
      <c r="AA29" s="1894"/>
      <c r="AB29" s="606" t="s">
        <v>28</v>
      </c>
      <c r="AC29" s="1904"/>
      <c r="AD29" s="1402"/>
      <c r="AE29" s="1402"/>
      <c r="AF29" s="2096" t="str">
        <f>IF(AE29&lt;=1,"Insignificante",HLOOKUP(AE29,[82]Listas!$F$3:$J$4,2,0))</f>
        <v>Insignificante</v>
      </c>
      <c r="AG29" s="638">
        <f t="shared" si="0"/>
        <v>0</v>
      </c>
      <c r="AH29" s="323" t="e">
        <f t="shared" si="1"/>
        <v>#N/A</v>
      </c>
      <c r="AI29" s="2096" t="e">
        <f>IF(AH29&lt;=1,"Remota",VLOOKUP(AH29,[82]Listas!$C$6:$D$10,2,0))</f>
        <v>#N/A</v>
      </c>
      <c r="AJ29" s="2099">
        <f t="shared" si="3"/>
        <v>0</v>
      </c>
      <c r="AK29" s="2096"/>
      <c r="AL29" s="640" t="e">
        <f t="shared" si="4"/>
        <v>#N/A</v>
      </c>
      <c r="AM29" s="2096" t="e">
        <f>INDEX([82]Listas!$F$6:$J$10,MATCH(AI29,[82]Listas!$D$6:$D$10,0),MATCH(AK29,[82]Listas!$F$4:$J$4,0))</f>
        <v>#N/A</v>
      </c>
      <c r="AN29" s="1327"/>
      <c r="AO29" s="1327"/>
      <c r="AP29" s="1355"/>
      <c r="AQ29" s="1327"/>
      <c r="AR29" s="1331"/>
      <c r="AS29" s="1327"/>
      <c r="AT29" s="1327"/>
      <c r="AU29" s="1327"/>
      <c r="AV29" s="1377"/>
      <c r="AW29" s="1377"/>
      <c r="AX29" s="1327"/>
      <c r="AY29" s="262"/>
    </row>
    <row r="30" spans="1:51" s="260" customFormat="1" ht="103.5" hidden="1" customHeight="1">
      <c r="A30" s="608"/>
      <c r="B30" s="266"/>
      <c r="C30" s="1399"/>
      <c r="D30" s="1408"/>
      <c r="E30" s="1400"/>
      <c r="F30" s="267"/>
      <c r="G30" s="1399"/>
      <c r="H30" s="1408"/>
      <c r="I30" s="1400"/>
      <c r="J30" s="1380"/>
      <c r="K30" s="1380"/>
      <c r="L30" s="1380"/>
      <c r="M30" s="608"/>
      <c r="N30" s="608"/>
      <c r="O30" s="608"/>
      <c r="P30" s="608"/>
      <c r="Q30" s="266"/>
      <c r="R30" s="266"/>
      <c r="S30" s="268"/>
      <c r="T30" s="269" t="e">
        <f>VLOOKUP(Q30,[71]Listas!$D$6:$E$10,2,0)</f>
        <v>#N/A</v>
      </c>
      <c r="U30" s="269" t="e">
        <f>HLOOKUP(R30,[71]Listas!$F$4:$J$5,2,0)</f>
        <v>#N/A</v>
      </c>
      <c r="V30" s="270" t="e">
        <f>INDEX([71]Listas!$F$6:$J$10,MATCH(Q30,[71]Listas!$D$6:$D$10,0),MATCH(R30,[71]Listas!$F$4:$J$4,0))</f>
        <v>#N/A</v>
      </c>
      <c r="W30" s="268"/>
      <c r="X30" s="1399"/>
      <c r="Y30" s="1408"/>
      <c r="Z30" s="1400"/>
      <c r="AA30" s="1063"/>
      <c r="AB30" s="267"/>
      <c r="AC30" s="259"/>
      <c r="AD30" s="608"/>
      <c r="AE30" s="267"/>
      <c r="AF30" s="268"/>
      <c r="AG30" s="269">
        <f t="shared" si="0"/>
        <v>0</v>
      </c>
      <c r="AH30" s="271" t="e">
        <f t="shared" si="1"/>
        <v>#N/A</v>
      </c>
      <c r="AI30" s="272" t="e">
        <f>IF(AH30&lt;=1,"Remota",VLOOKUP(AH30,[71]Listas!$C$6:$D$10,2,0))</f>
        <v>#N/A</v>
      </c>
      <c r="AJ30" s="271" t="e">
        <f t="shared" ref="AJ30:AJ32" si="5">IF(OR(AE30="Impacto",AE30="Ambos"),U30-AG30,U30)</f>
        <v>#N/A</v>
      </c>
      <c r="AK30" s="272" t="e">
        <f>IF(AJ30&lt;=1,"Insignificante",HLOOKUP(AJ30,[71]Listas!$F$3:$J$4,2,0))</f>
        <v>#N/A</v>
      </c>
      <c r="AL30" s="273" t="e">
        <f t="shared" si="4"/>
        <v>#N/A</v>
      </c>
      <c r="AM30" s="270" t="e">
        <f>INDEX([71]Listas!$F$6:$J$10,MATCH(AI30,[71]Listas!$D$6:$D$10,0),MATCH(AK30,[71]Listas!$F$4:$J$4,0))</f>
        <v>#N/A</v>
      </c>
      <c r="AN30" s="259"/>
      <c r="AO30" s="259"/>
      <c r="AP30" s="610"/>
      <c r="AQ30" s="259"/>
      <c r="AR30" s="259" t="s">
        <v>2343</v>
      </c>
      <c r="AS30" s="608"/>
      <c r="AT30" s="259"/>
      <c r="AU30" s="259"/>
      <c r="AV30" s="261"/>
      <c r="AW30" s="261"/>
      <c r="AX30" s="608"/>
      <c r="AY30" s="262"/>
    </row>
    <row r="31" spans="1:51" s="260" customFormat="1" ht="103.5" hidden="1" customHeight="1">
      <c r="A31" s="608"/>
      <c r="B31" s="266"/>
      <c r="C31" s="1399"/>
      <c r="D31" s="1408"/>
      <c r="E31" s="1400"/>
      <c r="F31" s="267"/>
      <c r="G31" s="1399"/>
      <c r="H31" s="1408"/>
      <c r="I31" s="1400"/>
      <c r="J31" s="1380"/>
      <c r="K31" s="1380"/>
      <c r="L31" s="1380"/>
      <c r="M31" s="608"/>
      <c r="N31" s="608"/>
      <c r="O31" s="608"/>
      <c r="P31" s="608"/>
      <c r="Q31" s="266"/>
      <c r="R31" s="266"/>
      <c r="S31" s="268"/>
      <c r="T31" s="269" t="e">
        <f>VLOOKUP(Q31,[71]Listas!$D$6:$E$10,2,0)</f>
        <v>#N/A</v>
      </c>
      <c r="U31" s="269" t="e">
        <f>HLOOKUP(R31,[71]Listas!$F$4:$J$5,2,0)</f>
        <v>#N/A</v>
      </c>
      <c r="V31" s="270" t="e">
        <f>INDEX([71]Listas!$F$6:$J$10,MATCH(Q31,[71]Listas!$D$6:$D$10,0),MATCH(R31,[71]Listas!$F$4:$J$4,0))</f>
        <v>#N/A</v>
      </c>
      <c r="W31" s="268"/>
      <c r="X31" s="1399"/>
      <c r="Y31" s="1408"/>
      <c r="Z31" s="1400"/>
      <c r="AA31" s="1063"/>
      <c r="AB31" s="267"/>
      <c r="AC31" s="259"/>
      <c r="AD31" s="608"/>
      <c r="AE31" s="267"/>
      <c r="AF31" s="268"/>
      <c r="AG31" s="269">
        <f t="shared" si="0"/>
        <v>0</v>
      </c>
      <c r="AH31" s="271" t="e">
        <f t="shared" si="1"/>
        <v>#N/A</v>
      </c>
      <c r="AI31" s="272" t="e">
        <f>IF(AH31&lt;=1,"Remota",VLOOKUP(AH31,[71]Listas!$C$6:$D$10,2,0))</f>
        <v>#N/A</v>
      </c>
      <c r="AJ31" s="271" t="e">
        <f t="shared" si="5"/>
        <v>#N/A</v>
      </c>
      <c r="AK31" s="272" t="e">
        <f>IF(AJ31&lt;=1,"Insignificante",HLOOKUP(AJ31,[71]Listas!$F$3:$J$4,2,0))</f>
        <v>#N/A</v>
      </c>
      <c r="AL31" s="273" t="e">
        <f t="shared" si="4"/>
        <v>#N/A</v>
      </c>
      <c r="AM31" s="270" t="e">
        <f>INDEX([71]Listas!$F$6:$J$10,MATCH(AI31,[71]Listas!$D$6:$D$10,0),MATCH(AK31,[71]Listas!$F$4:$J$4,0))</f>
        <v>#N/A</v>
      </c>
      <c r="AN31" s="259"/>
      <c r="AO31" s="259"/>
      <c r="AP31" s="610"/>
      <c r="AQ31" s="259"/>
      <c r="AR31" s="259" t="s">
        <v>2343</v>
      </c>
      <c r="AS31" s="608"/>
      <c r="AT31" s="259"/>
      <c r="AU31" s="259"/>
      <c r="AV31" s="261"/>
      <c r="AW31" s="261"/>
      <c r="AX31" s="608"/>
      <c r="AY31" s="262"/>
    </row>
    <row r="32" spans="1:51" s="260" customFormat="1" ht="103.5" hidden="1" customHeight="1">
      <c r="A32" s="608"/>
      <c r="B32" s="266"/>
      <c r="C32" s="1399"/>
      <c r="D32" s="1408"/>
      <c r="E32" s="1400"/>
      <c r="F32" s="267"/>
      <c r="G32" s="1399"/>
      <c r="H32" s="1408"/>
      <c r="I32" s="1400"/>
      <c r="J32" s="1380"/>
      <c r="K32" s="1380"/>
      <c r="L32" s="1380"/>
      <c r="M32" s="608"/>
      <c r="N32" s="608"/>
      <c r="O32" s="608"/>
      <c r="P32" s="608"/>
      <c r="Q32" s="266"/>
      <c r="R32" s="266"/>
      <c r="S32" s="268"/>
      <c r="T32" s="269" t="e">
        <f>VLOOKUP(Q32,[71]Listas!$D$6:$E$10,2,0)</f>
        <v>#N/A</v>
      </c>
      <c r="U32" s="269" t="e">
        <f>HLOOKUP(R32,[71]Listas!$F$4:$J$5,2,0)</f>
        <v>#N/A</v>
      </c>
      <c r="V32" s="270" t="e">
        <f>INDEX([71]Listas!$F$6:$J$10,MATCH(Q32,[71]Listas!$D$6:$D$10,0),MATCH(R32,[71]Listas!$F$4:$J$4,0))</f>
        <v>#N/A</v>
      </c>
      <c r="W32" s="268"/>
      <c r="X32" s="1399"/>
      <c r="Y32" s="1408"/>
      <c r="Z32" s="1400"/>
      <c r="AA32" s="1063"/>
      <c r="AB32" s="267"/>
      <c r="AC32" s="259"/>
      <c r="AD32" s="608"/>
      <c r="AE32" s="267"/>
      <c r="AF32" s="268"/>
      <c r="AG32" s="269">
        <f t="shared" si="0"/>
        <v>0</v>
      </c>
      <c r="AH32" s="271" t="e">
        <f t="shared" si="1"/>
        <v>#N/A</v>
      </c>
      <c r="AI32" s="272" t="e">
        <f>IF(AH32&lt;=1,"Remota",VLOOKUP(AH32,[71]Listas!$C$6:$D$10,2,0))</f>
        <v>#N/A</v>
      </c>
      <c r="AJ32" s="271" t="e">
        <f t="shared" si="5"/>
        <v>#N/A</v>
      </c>
      <c r="AK32" s="272" t="e">
        <f>IF(AJ32&lt;=1,"Insignificante",HLOOKUP(AJ32,[71]Listas!$F$3:$J$4,2,0))</f>
        <v>#N/A</v>
      </c>
      <c r="AL32" s="273" t="e">
        <f t="shared" si="4"/>
        <v>#N/A</v>
      </c>
      <c r="AM32" s="270" t="e">
        <f>INDEX([71]Listas!$F$6:$J$10,MATCH(AI32,[71]Listas!$D$6:$D$10,0),MATCH(AK32,[71]Listas!$F$4:$J$4,0))</f>
        <v>#N/A</v>
      </c>
      <c r="AN32" s="259"/>
      <c r="AO32" s="259"/>
      <c r="AP32" s="610"/>
      <c r="AQ32" s="259"/>
      <c r="AR32" s="259" t="s">
        <v>2343</v>
      </c>
      <c r="AS32" s="608"/>
      <c r="AT32" s="259"/>
      <c r="AU32" s="259"/>
      <c r="AV32" s="261"/>
      <c r="AW32" s="261"/>
      <c r="AX32" s="608"/>
      <c r="AY32" s="262"/>
    </row>
    <row r="33" spans="1:51" s="260" customFormat="1" ht="103.5" hidden="1" customHeight="1">
      <c r="A33" s="608"/>
      <c r="B33" s="266"/>
      <c r="C33" s="1399"/>
      <c r="D33" s="1408"/>
      <c r="E33" s="1400"/>
      <c r="F33" s="266"/>
      <c r="G33" s="1399"/>
      <c r="H33" s="1408"/>
      <c r="I33" s="1400"/>
      <c r="J33" s="1380"/>
      <c r="K33" s="1380"/>
      <c r="L33" s="1380"/>
      <c r="M33" s="608"/>
      <c r="N33" s="608"/>
      <c r="O33" s="608"/>
      <c r="P33" s="608"/>
      <c r="Q33" s="266"/>
      <c r="R33" s="266"/>
      <c r="S33" s="268"/>
      <c r="T33" s="269" t="e">
        <f>VLOOKUP(Q33,[71]Listas!$D$6:$E$10,2,0)</f>
        <v>#N/A</v>
      </c>
      <c r="U33" s="269" t="e">
        <f>HLOOKUP(R33,[71]Listas!$F$4:$J$5,2,0)</f>
        <v>#N/A</v>
      </c>
      <c r="V33" s="270" t="e">
        <f>INDEX([71]Listas!$F$6:$J$10,MATCH(Q33,[71]Listas!$D$6:$D$10,0),MATCH(R33,[71]Listas!$F$4:$J$4,0))</f>
        <v>#N/A</v>
      </c>
      <c r="W33" s="268"/>
      <c r="X33" s="1399"/>
      <c r="Y33" s="1408"/>
      <c r="Z33" s="1400"/>
      <c r="AA33" s="1063"/>
      <c r="AB33" s="267"/>
      <c r="AC33" s="259"/>
      <c r="AD33" s="608"/>
      <c r="AE33" s="267"/>
      <c r="AF33" s="268"/>
      <c r="AG33" s="269">
        <f>IF(AD33&lt;=33,0,IF(AD33&gt;81,2,1))</f>
        <v>0</v>
      </c>
      <c r="AH33" s="271" t="e">
        <f>IF(OR(AE33="Probabilidad",AE33="Ambos"),T33-AG33,T33)</f>
        <v>#N/A</v>
      </c>
      <c r="AI33" s="272" t="e">
        <f>IF(AH33&lt;=1,"Remota",VLOOKUP(AH33,[71]Listas!$C$6:$D$10,2,0))</f>
        <v>#N/A</v>
      </c>
      <c r="AJ33" s="271" t="e">
        <f>IF(OR(AE33="Impacto",AE33="Ambos"),U33-AG33,U33)</f>
        <v>#N/A</v>
      </c>
      <c r="AK33" s="272" t="e">
        <f>IF(AJ33&lt;=1,"Insignificante",HLOOKUP(AJ33,[71]Listas!$F$3:$J$4,2,0))</f>
        <v>#N/A</v>
      </c>
      <c r="AL33" s="273" t="e">
        <f>AH33*AJ33</f>
        <v>#N/A</v>
      </c>
      <c r="AM33" s="270" t="e">
        <f>INDEX([71]Listas!$F$6:$J$10,MATCH(AI33,[71]Listas!$D$6:$D$10,0),MATCH(AK33,[71]Listas!$F$4:$J$4,0))</f>
        <v>#N/A</v>
      </c>
      <c r="AN33" s="259"/>
      <c r="AO33" s="259"/>
      <c r="AP33" s="610"/>
      <c r="AQ33" s="259"/>
      <c r="AR33" s="259" t="s">
        <v>2343</v>
      </c>
      <c r="AS33" s="608"/>
      <c r="AU33" s="259"/>
      <c r="AV33" s="261"/>
      <c r="AW33" s="261"/>
      <c r="AX33" s="608"/>
      <c r="AY33" s="262"/>
    </row>
    <row r="34" spans="1:51" s="260" customFormat="1" ht="103.5" hidden="1" customHeight="1">
      <c r="A34" s="608"/>
      <c r="B34" s="266"/>
      <c r="C34" s="1399"/>
      <c r="D34" s="1408"/>
      <c r="E34" s="1400"/>
      <c r="F34" s="267"/>
      <c r="G34" s="1399"/>
      <c r="H34" s="1408"/>
      <c r="I34" s="1400"/>
      <c r="J34" s="1380"/>
      <c r="K34" s="1380"/>
      <c r="L34" s="1380"/>
      <c r="M34" s="608"/>
      <c r="N34" s="608"/>
      <c r="O34" s="608"/>
      <c r="P34" s="608"/>
      <c r="Q34" s="266"/>
      <c r="R34" s="266"/>
      <c r="S34" s="268"/>
      <c r="T34" s="269" t="e">
        <f>VLOOKUP(Q34,[71]Listas!$D$6:$E$10,2,0)</f>
        <v>#N/A</v>
      </c>
      <c r="U34" s="269" t="e">
        <f>HLOOKUP(R34,[71]Listas!$F$4:$J$5,2,0)</f>
        <v>#N/A</v>
      </c>
      <c r="V34" s="270" t="e">
        <f>INDEX([71]Listas!$F$6:$J$10,MATCH(Q34,[71]Listas!$D$6:$D$10,0),MATCH(R34,[71]Listas!$F$4:$J$4,0))</f>
        <v>#N/A</v>
      </c>
      <c r="W34" s="268"/>
      <c r="X34" s="1399"/>
      <c r="Y34" s="1408"/>
      <c r="Z34" s="1400"/>
      <c r="AA34" s="1063"/>
      <c r="AB34" s="267"/>
      <c r="AC34" s="259"/>
      <c r="AD34" s="608"/>
      <c r="AE34" s="267"/>
      <c r="AF34" s="268"/>
      <c r="AG34" s="269">
        <f t="shared" ref="AG34:AG54" si="6">IF(AD34&lt;=33,0,IF(AD34&gt;81,2,1))</f>
        <v>0</v>
      </c>
      <c r="AH34" s="271" t="e">
        <f t="shared" ref="AH34:AH54" si="7">IF(OR(AE34="Probabilidad",AE34="Ambos"),T34-AG34,T34)</f>
        <v>#N/A</v>
      </c>
      <c r="AI34" s="272" t="e">
        <f>IF(AH34&lt;=1,"Remota",VLOOKUP(AH34,[71]Listas!$C$6:$D$10,2,0))</f>
        <v>#N/A</v>
      </c>
      <c r="AJ34" s="271" t="e">
        <f t="shared" ref="AJ34:AJ54" si="8">IF(OR(AE34="Impacto",AE34="Ambos"),U34-AG34,U34)</f>
        <v>#N/A</v>
      </c>
      <c r="AK34" s="272" t="e">
        <f>IF(AJ34&lt;=1,"Insignificante",HLOOKUP(AJ34,[71]Listas!$F$3:$J$4,2,0))</f>
        <v>#N/A</v>
      </c>
      <c r="AL34" s="273" t="e">
        <f t="shared" ref="AL34:AL54" si="9">AH34*AJ34</f>
        <v>#N/A</v>
      </c>
      <c r="AM34" s="270" t="e">
        <f>INDEX([71]Listas!$F$6:$J$10,MATCH(AI34,[71]Listas!$D$6:$D$10,0),MATCH(AK34,[71]Listas!$F$4:$J$4,0))</f>
        <v>#N/A</v>
      </c>
      <c r="AN34" s="259"/>
      <c r="AO34" s="259"/>
      <c r="AP34" s="610"/>
      <c r="AQ34" s="259"/>
      <c r="AR34" s="259" t="s">
        <v>2343</v>
      </c>
      <c r="AS34" s="608"/>
      <c r="AT34" s="259"/>
      <c r="AU34" s="259"/>
      <c r="AV34" s="261"/>
      <c r="AW34" s="261"/>
      <c r="AX34" s="608"/>
      <c r="AY34" s="262"/>
    </row>
    <row r="35" spans="1:51" s="260" customFormat="1" ht="103.5" hidden="1" customHeight="1">
      <c r="A35" s="608"/>
      <c r="B35" s="266"/>
      <c r="C35" s="1399"/>
      <c r="D35" s="1408"/>
      <c r="E35" s="1400"/>
      <c r="F35" s="267"/>
      <c r="G35" s="1399"/>
      <c r="H35" s="1408"/>
      <c r="I35" s="1400"/>
      <c r="J35" s="1380"/>
      <c r="K35" s="1380"/>
      <c r="L35" s="1380"/>
      <c r="M35" s="608"/>
      <c r="N35" s="608"/>
      <c r="O35" s="608"/>
      <c r="P35" s="608"/>
      <c r="Q35" s="266"/>
      <c r="R35" s="266"/>
      <c r="S35" s="268"/>
      <c r="T35" s="269" t="e">
        <f>VLOOKUP(Q35,[71]Listas!$D$6:$E$10,2,0)</f>
        <v>#N/A</v>
      </c>
      <c r="U35" s="269" t="e">
        <f>HLOOKUP(R35,[71]Listas!$F$4:$J$5,2,0)</f>
        <v>#N/A</v>
      </c>
      <c r="V35" s="270" t="e">
        <f>INDEX([71]Listas!$F$6:$J$10,MATCH(Q35,[71]Listas!$D$6:$D$10,0),MATCH(R35,[71]Listas!$F$4:$J$4,0))</f>
        <v>#N/A</v>
      </c>
      <c r="W35" s="268"/>
      <c r="X35" s="1399"/>
      <c r="Y35" s="1408"/>
      <c r="Z35" s="1400"/>
      <c r="AA35" s="1063"/>
      <c r="AB35" s="267"/>
      <c r="AC35" s="259"/>
      <c r="AD35" s="608"/>
      <c r="AE35" s="267"/>
      <c r="AF35" s="268"/>
      <c r="AG35" s="269">
        <f t="shared" si="6"/>
        <v>0</v>
      </c>
      <c r="AH35" s="271" t="e">
        <f t="shared" si="7"/>
        <v>#N/A</v>
      </c>
      <c r="AI35" s="272" t="e">
        <f>IF(AH35&lt;=1,"Remota",VLOOKUP(AH35,[71]Listas!$C$6:$D$10,2,0))</f>
        <v>#N/A</v>
      </c>
      <c r="AJ35" s="271" t="e">
        <f t="shared" si="8"/>
        <v>#N/A</v>
      </c>
      <c r="AK35" s="272" t="e">
        <f>IF(AJ35&lt;=1,"Insignificante",HLOOKUP(AJ35,[71]Listas!$F$3:$J$4,2,0))</f>
        <v>#N/A</v>
      </c>
      <c r="AL35" s="273" t="e">
        <f t="shared" si="9"/>
        <v>#N/A</v>
      </c>
      <c r="AM35" s="270" t="e">
        <f>INDEX([71]Listas!$F$6:$J$10,MATCH(AI35,[71]Listas!$D$6:$D$10,0),MATCH(AK35,[71]Listas!$F$4:$J$4,0))</f>
        <v>#N/A</v>
      </c>
      <c r="AN35" s="259"/>
      <c r="AO35" s="259"/>
      <c r="AP35" s="610"/>
      <c r="AQ35" s="259"/>
      <c r="AR35" s="259" t="s">
        <v>2343</v>
      </c>
      <c r="AS35" s="608"/>
      <c r="AT35" s="259"/>
      <c r="AU35" s="259"/>
      <c r="AV35" s="261"/>
      <c r="AW35" s="261"/>
      <c r="AX35" s="608"/>
      <c r="AY35" s="262"/>
    </row>
    <row r="36" spans="1:51" s="260" customFormat="1" ht="103.5" hidden="1" customHeight="1">
      <c r="A36" s="608"/>
      <c r="B36" s="266"/>
      <c r="C36" s="1399"/>
      <c r="D36" s="1408"/>
      <c r="E36" s="1400"/>
      <c r="F36" s="267"/>
      <c r="G36" s="1399"/>
      <c r="H36" s="1408"/>
      <c r="I36" s="1400"/>
      <c r="J36" s="1380"/>
      <c r="K36" s="1380"/>
      <c r="L36" s="1380"/>
      <c r="M36" s="608"/>
      <c r="N36" s="608"/>
      <c r="O36" s="608"/>
      <c r="P36" s="608"/>
      <c r="Q36" s="266"/>
      <c r="R36" s="266"/>
      <c r="S36" s="268"/>
      <c r="T36" s="269" t="e">
        <f>VLOOKUP(Q36,[71]Listas!$D$6:$E$10,2,0)</f>
        <v>#N/A</v>
      </c>
      <c r="U36" s="269" t="e">
        <f>HLOOKUP(R36,[71]Listas!$F$4:$J$5,2,0)</f>
        <v>#N/A</v>
      </c>
      <c r="V36" s="270" t="e">
        <f>INDEX([71]Listas!$F$6:$J$10,MATCH(Q36,[71]Listas!$D$6:$D$10,0),MATCH(R36,[71]Listas!$F$4:$J$4,0))</f>
        <v>#N/A</v>
      </c>
      <c r="W36" s="268"/>
      <c r="X36" s="1399"/>
      <c r="Y36" s="1408"/>
      <c r="Z36" s="1400"/>
      <c r="AA36" s="1063"/>
      <c r="AB36" s="267"/>
      <c r="AC36" s="259"/>
      <c r="AD36" s="608"/>
      <c r="AE36" s="267"/>
      <c r="AF36" s="268"/>
      <c r="AG36" s="269">
        <f t="shared" si="6"/>
        <v>0</v>
      </c>
      <c r="AH36" s="271" t="e">
        <f t="shared" si="7"/>
        <v>#N/A</v>
      </c>
      <c r="AI36" s="272" t="e">
        <f>IF(AH36&lt;=1,"Remota",VLOOKUP(AH36,[71]Listas!$C$6:$D$10,2,0))</f>
        <v>#N/A</v>
      </c>
      <c r="AJ36" s="271" t="e">
        <f t="shared" si="8"/>
        <v>#N/A</v>
      </c>
      <c r="AK36" s="272" t="e">
        <f>IF(AJ36&lt;=1,"Insignificante",HLOOKUP(AJ36,[71]Listas!$F$3:$J$4,2,0))</f>
        <v>#N/A</v>
      </c>
      <c r="AL36" s="273" t="e">
        <f t="shared" si="9"/>
        <v>#N/A</v>
      </c>
      <c r="AM36" s="270" t="e">
        <f>INDEX([71]Listas!$F$6:$J$10,MATCH(AI36,[71]Listas!$D$6:$D$10,0),MATCH(AK36,[71]Listas!$F$4:$J$4,0))</f>
        <v>#N/A</v>
      </c>
      <c r="AN36" s="259"/>
      <c r="AO36" s="259"/>
      <c r="AP36" s="610"/>
      <c r="AQ36" s="259"/>
      <c r="AR36" s="259" t="s">
        <v>2343</v>
      </c>
      <c r="AS36" s="608"/>
      <c r="AT36" s="259"/>
      <c r="AU36" s="259"/>
      <c r="AV36" s="261"/>
      <c r="AW36" s="261"/>
      <c r="AX36" s="608"/>
      <c r="AY36" s="262"/>
    </row>
    <row r="37" spans="1:51" s="260" customFormat="1" ht="103.5" hidden="1" customHeight="1">
      <c r="A37" s="608"/>
      <c r="B37" s="266"/>
      <c r="C37" s="1399"/>
      <c r="D37" s="1408"/>
      <c r="E37" s="1400"/>
      <c r="F37" s="267"/>
      <c r="G37" s="1399"/>
      <c r="H37" s="1408"/>
      <c r="I37" s="1400"/>
      <c r="J37" s="1380"/>
      <c r="K37" s="1380"/>
      <c r="L37" s="1380"/>
      <c r="M37" s="608"/>
      <c r="N37" s="608"/>
      <c r="O37" s="608"/>
      <c r="P37" s="608"/>
      <c r="Q37" s="266"/>
      <c r="R37" s="266"/>
      <c r="S37" s="268"/>
      <c r="T37" s="269" t="e">
        <f>VLOOKUP(Q37,[71]Listas!$D$6:$E$10,2,0)</f>
        <v>#N/A</v>
      </c>
      <c r="U37" s="269" t="e">
        <f>HLOOKUP(R37,[71]Listas!$F$4:$J$5,2,0)</f>
        <v>#N/A</v>
      </c>
      <c r="V37" s="270" t="e">
        <f>INDEX([71]Listas!$F$6:$J$10,MATCH(Q37,[71]Listas!$D$6:$D$10,0),MATCH(R37,[71]Listas!$F$4:$J$4,0))</f>
        <v>#N/A</v>
      </c>
      <c r="W37" s="268"/>
      <c r="X37" s="1399"/>
      <c r="Y37" s="1408"/>
      <c r="Z37" s="1400"/>
      <c r="AA37" s="1063"/>
      <c r="AB37" s="267"/>
      <c r="AC37" s="259"/>
      <c r="AD37" s="608"/>
      <c r="AE37" s="267"/>
      <c r="AF37" s="268"/>
      <c r="AG37" s="269">
        <f t="shared" si="6"/>
        <v>0</v>
      </c>
      <c r="AH37" s="271" t="e">
        <f t="shared" si="7"/>
        <v>#N/A</v>
      </c>
      <c r="AI37" s="272" t="e">
        <f>IF(AH37&lt;=1,"Remota",VLOOKUP(AH37,[71]Listas!$C$6:$D$10,2,0))</f>
        <v>#N/A</v>
      </c>
      <c r="AJ37" s="271" t="e">
        <f t="shared" si="8"/>
        <v>#N/A</v>
      </c>
      <c r="AK37" s="272" t="e">
        <f>IF(AJ37&lt;=1,"Insignificante",HLOOKUP(AJ37,[71]Listas!$F$3:$J$4,2,0))</f>
        <v>#N/A</v>
      </c>
      <c r="AL37" s="273" t="e">
        <f t="shared" si="9"/>
        <v>#N/A</v>
      </c>
      <c r="AM37" s="270" t="e">
        <f>INDEX([71]Listas!$F$6:$J$10,MATCH(AI37,[71]Listas!$D$6:$D$10,0),MATCH(AK37,[71]Listas!$F$4:$J$4,0))</f>
        <v>#N/A</v>
      </c>
      <c r="AN37" s="259"/>
      <c r="AO37" s="259"/>
      <c r="AP37" s="610"/>
      <c r="AQ37" s="259"/>
      <c r="AR37" s="259" t="s">
        <v>2343</v>
      </c>
      <c r="AS37" s="608"/>
      <c r="AT37" s="259"/>
      <c r="AU37" s="259"/>
      <c r="AV37" s="261"/>
      <c r="AW37" s="261"/>
      <c r="AX37" s="608"/>
      <c r="AY37" s="262"/>
    </row>
    <row r="38" spans="1:51" s="260" customFormat="1" ht="103.5" hidden="1" customHeight="1">
      <c r="A38" s="608"/>
      <c r="B38" s="266"/>
      <c r="C38" s="1399"/>
      <c r="D38" s="1408"/>
      <c r="E38" s="1400"/>
      <c r="F38" s="267"/>
      <c r="G38" s="1399"/>
      <c r="H38" s="1408"/>
      <c r="I38" s="1400"/>
      <c r="J38" s="1380"/>
      <c r="K38" s="1380"/>
      <c r="L38" s="1380"/>
      <c r="M38" s="608"/>
      <c r="N38" s="608"/>
      <c r="O38" s="608"/>
      <c r="P38" s="608"/>
      <c r="Q38" s="266"/>
      <c r="R38" s="266"/>
      <c r="S38" s="268"/>
      <c r="T38" s="269" t="e">
        <f>VLOOKUP(Q38,[71]Listas!$D$6:$E$10,2,0)</f>
        <v>#N/A</v>
      </c>
      <c r="U38" s="269" t="e">
        <f>HLOOKUP(R38,[71]Listas!$F$4:$J$5,2,0)</f>
        <v>#N/A</v>
      </c>
      <c r="V38" s="270" t="e">
        <f>INDEX([71]Listas!$F$6:$J$10,MATCH(Q38,[71]Listas!$D$6:$D$10,0),MATCH(R38,[71]Listas!$F$4:$J$4,0))</f>
        <v>#N/A</v>
      </c>
      <c r="W38" s="268"/>
      <c r="X38" s="1399"/>
      <c r="Y38" s="1408"/>
      <c r="Z38" s="1400"/>
      <c r="AA38" s="1063"/>
      <c r="AB38" s="267"/>
      <c r="AC38" s="259"/>
      <c r="AD38" s="608"/>
      <c r="AE38" s="267"/>
      <c r="AF38" s="268"/>
      <c r="AG38" s="269">
        <f t="shared" si="6"/>
        <v>0</v>
      </c>
      <c r="AH38" s="271" t="e">
        <f t="shared" si="7"/>
        <v>#N/A</v>
      </c>
      <c r="AI38" s="272" t="e">
        <f>IF(AH38&lt;=1,"Remota",VLOOKUP(AH38,[71]Listas!$C$6:$D$10,2,0))</f>
        <v>#N/A</v>
      </c>
      <c r="AJ38" s="271" t="e">
        <f t="shared" si="8"/>
        <v>#N/A</v>
      </c>
      <c r="AK38" s="272" t="e">
        <f>IF(AJ38&lt;=1,"Insignificante",HLOOKUP(AJ38,[71]Listas!$F$3:$J$4,2,0))</f>
        <v>#N/A</v>
      </c>
      <c r="AL38" s="273" t="e">
        <f t="shared" si="9"/>
        <v>#N/A</v>
      </c>
      <c r="AM38" s="270" t="e">
        <f>INDEX([71]Listas!$F$6:$J$10,MATCH(AI38,[71]Listas!$D$6:$D$10,0),MATCH(AK38,[71]Listas!$F$4:$J$4,0))</f>
        <v>#N/A</v>
      </c>
      <c r="AN38" s="259"/>
      <c r="AO38" s="259"/>
      <c r="AP38" s="610"/>
      <c r="AQ38" s="259"/>
      <c r="AR38" s="259" t="s">
        <v>2343</v>
      </c>
      <c r="AS38" s="608"/>
      <c r="AT38" s="259"/>
      <c r="AU38" s="259"/>
      <c r="AV38" s="261"/>
      <c r="AW38" s="261"/>
      <c r="AX38" s="608"/>
      <c r="AY38" s="262"/>
    </row>
    <row r="39" spans="1:51" s="260" customFormat="1" ht="103.5" hidden="1" customHeight="1">
      <c r="A39" s="608"/>
      <c r="B39" s="266"/>
      <c r="C39" s="1399"/>
      <c r="D39" s="1408"/>
      <c r="E39" s="1400"/>
      <c r="F39" s="267"/>
      <c r="G39" s="1399"/>
      <c r="H39" s="1408"/>
      <c r="I39" s="1400"/>
      <c r="J39" s="1380"/>
      <c r="K39" s="1380"/>
      <c r="L39" s="1380"/>
      <c r="M39" s="608"/>
      <c r="N39" s="608"/>
      <c r="O39" s="608"/>
      <c r="P39" s="608"/>
      <c r="Q39" s="266"/>
      <c r="R39" s="266"/>
      <c r="S39" s="268"/>
      <c r="T39" s="269" t="e">
        <f>VLOOKUP(Q39,[71]Listas!$D$6:$E$10,2,0)</f>
        <v>#N/A</v>
      </c>
      <c r="U39" s="269" t="e">
        <f>HLOOKUP(R39,[71]Listas!$F$4:$J$5,2,0)</f>
        <v>#N/A</v>
      </c>
      <c r="V39" s="270" t="e">
        <f>INDEX([71]Listas!$F$6:$J$10,MATCH(Q39,[71]Listas!$D$6:$D$10,0),MATCH(R39,[71]Listas!$F$4:$J$4,0))</f>
        <v>#N/A</v>
      </c>
      <c r="W39" s="268"/>
      <c r="X39" s="1399"/>
      <c r="Y39" s="1408"/>
      <c r="Z39" s="1400"/>
      <c r="AA39" s="1063"/>
      <c r="AB39" s="267"/>
      <c r="AC39" s="259"/>
      <c r="AD39" s="608"/>
      <c r="AE39" s="267"/>
      <c r="AF39" s="268"/>
      <c r="AG39" s="269">
        <f t="shared" si="6"/>
        <v>0</v>
      </c>
      <c r="AH39" s="271" t="e">
        <f t="shared" si="7"/>
        <v>#N/A</v>
      </c>
      <c r="AI39" s="272" t="e">
        <f>IF(AH39&lt;=1,"Remota",VLOOKUP(AH39,[71]Listas!$C$6:$D$10,2,0))</f>
        <v>#N/A</v>
      </c>
      <c r="AJ39" s="271" t="e">
        <f t="shared" si="8"/>
        <v>#N/A</v>
      </c>
      <c r="AK39" s="272" t="e">
        <f>IF(AJ39&lt;=1,"Insignificante",HLOOKUP(AJ39,[71]Listas!$F$3:$J$4,2,0))</f>
        <v>#N/A</v>
      </c>
      <c r="AL39" s="273" t="e">
        <f t="shared" si="9"/>
        <v>#N/A</v>
      </c>
      <c r="AM39" s="270" t="e">
        <f>INDEX([71]Listas!$F$6:$J$10,MATCH(AI39,[71]Listas!$D$6:$D$10,0),MATCH(AK39,[71]Listas!$F$4:$J$4,0))</f>
        <v>#N/A</v>
      </c>
      <c r="AN39" s="259"/>
      <c r="AO39" s="259"/>
      <c r="AP39" s="610"/>
      <c r="AQ39" s="259"/>
      <c r="AR39" s="259" t="s">
        <v>2343</v>
      </c>
      <c r="AS39" s="608"/>
      <c r="AT39" s="259"/>
      <c r="AU39" s="259"/>
      <c r="AV39" s="261"/>
      <c r="AW39" s="261"/>
      <c r="AX39" s="608"/>
      <c r="AY39" s="262"/>
    </row>
    <row r="40" spans="1:51" s="260" customFormat="1" ht="103.5" hidden="1" customHeight="1">
      <c r="A40" s="608"/>
      <c r="B40" s="266"/>
      <c r="C40" s="1399"/>
      <c r="D40" s="1408"/>
      <c r="E40" s="1400"/>
      <c r="F40" s="267"/>
      <c r="G40" s="1399"/>
      <c r="H40" s="1408"/>
      <c r="I40" s="1400"/>
      <c r="J40" s="1380"/>
      <c r="K40" s="1380"/>
      <c r="L40" s="1380"/>
      <c r="M40" s="608"/>
      <c r="N40" s="608"/>
      <c r="O40" s="608"/>
      <c r="P40" s="608"/>
      <c r="Q40" s="266"/>
      <c r="R40" s="266"/>
      <c r="S40" s="268"/>
      <c r="T40" s="269" t="e">
        <f>VLOOKUP(Q40,[71]Listas!$D$6:$E$10,2,0)</f>
        <v>#N/A</v>
      </c>
      <c r="U40" s="269" t="e">
        <f>HLOOKUP(R40,[71]Listas!$F$4:$J$5,2,0)</f>
        <v>#N/A</v>
      </c>
      <c r="V40" s="270" t="e">
        <f>INDEX([71]Listas!$F$6:$J$10,MATCH(Q40,[71]Listas!$D$6:$D$10,0),MATCH(R40,[71]Listas!$F$4:$J$4,0))</f>
        <v>#N/A</v>
      </c>
      <c r="W40" s="268"/>
      <c r="X40" s="1399"/>
      <c r="Y40" s="1408"/>
      <c r="Z40" s="1400"/>
      <c r="AA40" s="1063"/>
      <c r="AB40" s="267"/>
      <c r="AC40" s="259"/>
      <c r="AD40" s="608"/>
      <c r="AE40" s="267"/>
      <c r="AF40" s="268"/>
      <c r="AG40" s="269">
        <f t="shared" si="6"/>
        <v>0</v>
      </c>
      <c r="AH40" s="271" t="e">
        <f t="shared" si="7"/>
        <v>#N/A</v>
      </c>
      <c r="AI40" s="272" t="e">
        <f>IF(AH40&lt;=1,"Remota",VLOOKUP(AH40,[71]Listas!$C$6:$D$10,2,0))</f>
        <v>#N/A</v>
      </c>
      <c r="AJ40" s="271" t="e">
        <f t="shared" si="8"/>
        <v>#N/A</v>
      </c>
      <c r="AK40" s="272" t="e">
        <f>IF(AJ40&lt;=1,"Insignificante",HLOOKUP(AJ40,[71]Listas!$F$3:$J$4,2,0))</f>
        <v>#N/A</v>
      </c>
      <c r="AL40" s="273" t="e">
        <f t="shared" si="9"/>
        <v>#N/A</v>
      </c>
      <c r="AM40" s="270" t="e">
        <f>INDEX([71]Listas!$F$6:$J$10,MATCH(AI40,[71]Listas!$D$6:$D$10,0),MATCH(AK40,[71]Listas!$F$4:$J$4,0))</f>
        <v>#N/A</v>
      </c>
      <c r="AN40" s="259"/>
      <c r="AO40" s="259"/>
      <c r="AP40" s="610"/>
      <c r="AQ40" s="259"/>
      <c r="AR40" s="259" t="s">
        <v>2343</v>
      </c>
      <c r="AS40" s="608"/>
      <c r="AT40" s="259"/>
      <c r="AU40" s="259"/>
      <c r="AV40" s="261"/>
      <c r="AW40" s="261"/>
      <c r="AX40" s="608"/>
      <c r="AY40" s="262"/>
    </row>
    <row r="41" spans="1:51" s="260" customFormat="1" ht="103.5" hidden="1" customHeight="1">
      <c r="A41" s="608"/>
      <c r="B41" s="266"/>
      <c r="C41" s="1399"/>
      <c r="D41" s="1408"/>
      <c r="E41" s="1400"/>
      <c r="F41" s="267"/>
      <c r="G41" s="1399"/>
      <c r="H41" s="1408"/>
      <c r="I41" s="1400"/>
      <c r="J41" s="1380"/>
      <c r="K41" s="1380"/>
      <c r="L41" s="1380"/>
      <c r="M41" s="608"/>
      <c r="N41" s="608"/>
      <c r="O41" s="608"/>
      <c r="P41" s="608"/>
      <c r="Q41" s="266"/>
      <c r="R41" s="266"/>
      <c r="S41" s="268"/>
      <c r="T41" s="269" t="e">
        <f>VLOOKUP(Q41,[71]Listas!$D$6:$E$10,2,0)</f>
        <v>#N/A</v>
      </c>
      <c r="U41" s="269" t="e">
        <f>HLOOKUP(R41,[71]Listas!$F$4:$J$5,2,0)</f>
        <v>#N/A</v>
      </c>
      <c r="V41" s="270" t="e">
        <f>INDEX([71]Listas!$F$6:$J$10,MATCH(Q41,[71]Listas!$D$6:$D$10,0),MATCH(R41,[71]Listas!$F$4:$J$4,0))</f>
        <v>#N/A</v>
      </c>
      <c r="W41" s="268"/>
      <c r="X41" s="1399"/>
      <c r="Y41" s="1408"/>
      <c r="Z41" s="1400"/>
      <c r="AA41" s="1063"/>
      <c r="AB41" s="267"/>
      <c r="AC41" s="259"/>
      <c r="AD41" s="608"/>
      <c r="AE41" s="267"/>
      <c r="AF41" s="268"/>
      <c r="AG41" s="269">
        <f t="shared" si="6"/>
        <v>0</v>
      </c>
      <c r="AH41" s="271" t="e">
        <f t="shared" si="7"/>
        <v>#N/A</v>
      </c>
      <c r="AI41" s="272" t="e">
        <f>IF(AH41&lt;=1,"Remota",VLOOKUP(AH41,[71]Listas!$C$6:$D$10,2,0))</f>
        <v>#N/A</v>
      </c>
      <c r="AJ41" s="271" t="e">
        <f t="shared" si="8"/>
        <v>#N/A</v>
      </c>
      <c r="AK41" s="272" t="e">
        <f>IF(AJ41&lt;=1,"Insignificante",HLOOKUP(AJ41,[71]Listas!$F$3:$J$4,2,0))</f>
        <v>#N/A</v>
      </c>
      <c r="AL41" s="273" t="e">
        <f t="shared" si="9"/>
        <v>#N/A</v>
      </c>
      <c r="AM41" s="270" t="e">
        <f>INDEX([71]Listas!$F$6:$J$10,MATCH(AI41,[71]Listas!$D$6:$D$10,0),MATCH(AK41,[71]Listas!$F$4:$J$4,0))</f>
        <v>#N/A</v>
      </c>
      <c r="AN41" s="259"/>
      <c r="AO41" s="259"/>
      <c r="AP41" s="610"/>
      <c r="AQ41" s="259"/>
      <c r="AR41" s="259" t="s">
        <v>2343</v>
      </c>
      <c r="AS41" s="608"/>
      <c r="AT41" s="259"/>
      <c r="AU41" s="259"/>
      <c r="AV41" s="261"/>
      <c r="AW41" s="261"/>
      <c r="AX41" s="608"/>
      <c r="AY41" s="262"/>
    </row>
    <row r="42" spans="1:51" s="260" customFormat="1" ht="103.5" hidden="1" customHeight="1">
      <c r="A42" s="608"/>
      <c r="B42" s="266"/>
      <c r="C42" s="1399"/>
      <c r="D42" s="1408"/>
      <c r="E42" s="1400"/>
      <c r="F42" s="267"/>
      <c r="G42" s="1399"/>
      <c r="H42" s="1408"/>
      <c r="I42" s="1400"/>
      <c r="J42" s="1380"/>
      <c r="K42" s="1380"/>
      <c r="L42" s="1380"/>
      <c r="M42" s="608"/>
      <c r="N42" s="608"/>
      <c r="O42" s="608"/>
      <c r="P42" s="608"/>
      <c r="Q42" s="266"/>
      <c r="R42" s="266"/>
      <c r="S42" s="268"/>
      <c r="T42" s="269" t="e">
        <f>VLOOKUP(Q42,[71]Listas!$D$6:$E$10,2,0)</f>
        <v>#N/A</v>
      </c>
      <c r="U42" s="269" t="e">
        <f>HLOOKUP(R42,[71]Listas!$F$4:$J$5,2,0)</f>
        <v>#N/A</v>
      </c>
      <c r="V42" s="270" t="e">
        <f>INDEX([71]Listas!$F$6:$J$10,MATCH(Q42,[71]Listas!$D$6:$D$10,0),MATCH(R42,[71]Listas!$F$4:$J$4,0))</f>
        <v>#N/A</v>
      </c>
      <c r="W42" s="268"/>
      <c r="X42" s="1399"/>
      <c r="Y42" s="1408"/>
      <c r="Z42" s="1400"/>
      <c r="AA42" s="1063"/>
      <c r="AB42" s="267"/>
      <c r="AC42" s="259"/>
      <c r="AD42" s="608"/>
      <c r="AE42" s="267"/>
      <c r="AF42" s="268"/>
      <c r="AG42" s="269">
        <f t="shared" si="6"/>
        <v>0</v>
      </c>
      <c r="AH42" s="271" t="e">
        <f t="shared" si="7"/>
        <v>#N/A</v>
      </c>
      <c r="AI42" s="272" t="e">
        <f>IF(AH42&lt;=1,"Remota",VLOOKUP(AH42,[71]Listas!$C$6:$D$10,2,0))</f>
        <v>#N/A</v>
      </c>
      <c r="AJ42" s="271" t="e">
        <f t="shared" si="8"/>
        <v>#N/A</v>
      </c>
      <c r="AK42" s="272" t="e">
        <f>IF(AJ42&lt;=1,"Insignificante",HLOOKUP(AJ42,[71]Listas!$F$3:$J$4,2,0))</f>
        <v>#N/A</v>
      </c>
      <c r="AL42" s="273" t="e">
        <f t="shared" si="9"/>
        <v>#N/A</v>
      </c>
      <c r="AM42" s="270" t="e">
        <f>INDEX([71]Listas!$F$6:$J$10,MATCH(AI42,[71]Listas!$D$6:$D$10,0),MATCH(AK42,[71]Listas!$F$4:$J$4,0))</f>
        <v>#N/A</v>
      </c>
      <c r="AN42" s="259"/>
      <c r="AO42" s="259"/>
      <c r="AP42" s="610"/>
      <c r="AQ42" s="259"/>
      <c r="AR42" s="259" t="s">
        <v>2343</v>
      </c>
      <c r="AS42" s="608"/>
      <c r="AT42" s="259"/>
      <c r="AU42" s="259"/>
      <c r="AV42" s="261"/>
      <c r="AW42" s="261"/>
      <c r="AX42" s="608"/>
      <c r="AY42" s="262"/>
    </row>
    <row r="43" spans="1:51" s="260" customFormat="1" ht="103.5" hidden="1" customHeight="1">
      <c r="A43" s="608"/>
      <c r="B43" s="266"/>
      <c r="C43" s="1399"/>
      <c r="D43" s="1408"/>
      <c r="E43" s="1400"/>
      <c r="F43" s="267"/>
      <c r="G43" s="1399"/>
      <c r="H43" s="1408"/>
      <c r="I43" s="1400"/>
      <c r="J43" s="1380"/>
      <c r="K43" s="1380"/>
      <c r="L43" s="1380"/>
      <c r="M43" s="608"/>
      <c r="N43" s="608"/>
      <c r="O43" s="608"/>
      <c r="P43" s="608"/>
      <c r="Q43" s="266"/>
      <c r="R43" s="266"/>
      <c r="S43" s="268"/>
      <c r="T43" s="269" t="e">
        <f>VLOOKUP(Q43,[71]Listas!$D$6:$E$10,2,0)</f>
        <v>#N/A</v>
      </c>
      <c r="U43" s="269" t="e">
        <f>HLOOKUP(R43,[71]Listas!$F$4:$J$5,2,0)</f>
        <v>#N/A</v>
      </c>
      <c r="V43" s="270" t="e">
        <f>INDEX([71]Listas!$F$6:$J$10,MATCH(Q43,[71]Listas!$D$6:$D$10,0),MATCH(R43,[71]Listas!$F$4:$J$4,0))</f>
        <v>#N/A</v>
      </c>
      <c r="W43" s="268"/>
      <c r="X43" s="1399"/>
      <c r="Y43" s="1408"/>
      <c r="Z43" s="1400"/>
      <c r="AA43" s="1063"/>
      <c r="AB43" s="267"/>
      <c r="AC43" s="259"/>
      <c r="AD43" s="608"/>
      <c r="AE43" s="267"/>
      <c r="AF43" s="268"/>
      <c r="AG43" s="269">
        <f t="shared" si="6"/>
        <v>0</v>
      </c>
      <c r="AH43" s="271" t="e">
        <f t="shared" si="7"/>
        <v>#N/A</v>
      </c>
      <c r="AI43" s="272" t="e">
        <f>IF(AH43&lt;=1,"Remota",VLOOKUP(AH43,[71]Listas!$C$6:$D$10,2,0))</f>
        <v>#N/A</v>
      </c>
      <c r="AJ43" s="271" t="e">
        <f t="shared" si="8"/>
        <v>#N/A</v>
      </c>
      <c r="AK43" s="272" t="e">
        <f>IF(AJ43&lt;=1,"Insignificante",HLOOKUP(AJ43,[71]Listas!$F$3:$J$4,2,0))</f>
        <v>#N/A</v>
      </c>
      <c r="AL43" s="273" t="e">
        <f t="shared" si="9"/>
        <v>#N/A</v>
      </c>
      <c r="AM43" s="270" t="e">
        <f>INDEX([71]Listas!$F$6:$J$10,MATCH(AI43,[71]Listas!$D$6:$D$10,0),MATCH(AK43,[71]Listas!$F$4:$J$4,0))</f>
        <v>#N/A</v>
      </c>
      <c r="AN43" s="259"/>
      <c r="AO43" s="259"/>
      <c r="AP43" s="610"/>
      <c r="AQ43" s="259"/>
      <c r="AR43" s="259" t="s">
        <v>2343</v>
      </c>
      <c r="AS43" s="608"/>
      <c r="AT43" s="259"/>
      <c r="AU43" s="259"/>
      <c r="AV43" s="261"/>
      <c r="AW43" s="261"/>
      <c r="AX43" s="608"/>
      <c r="AY43" s="262"/>
    </row>
    <row r="44" spans="1:51" s="260" customFormat="1" ht="103.5" hidden="1" customHeight="1">
      <c r="A44" s="608"/>
      <c r="B44" s="266"/>
      <c r="C44" s="1399"/>
      <c r="D44" s="1408"/>
      <c r="E44" s="1400"/>
      <c r="F44" s="267"/>
      <c r="G44" s="1399"/>
      <c r="H44" s="1408"/>
      <c r="I44" s="1400"/>
      <c r="J44" s="1380"/>
      <c r="K44" s="1380"/>
      <c r="L44" s="1380"/>
      <c r="M44" s="608"/>
      <c r="N44" s="608"/>
      <c r="O44" s="608"/>
      <c r="P44" s="608"/>
      <c r="Q44" s="266"/>
      <c r="R44" s="266"/>
      <c r="S44" s="268"/>
      <c r="T44" s="269" t="e">
        <f>VLOOKUP(Q44,[71]Listas!$D$6:$E$10,2,0)</f>
        <v>#N/A</v>
      </c>
      <c r="U44" s="269" t="e">
        <f>HLOOKUP(R44,[71]Listas!$F$4:$J$5,2,0)</f>
        <v>#N/A</v>
      </c>
      <c r="V44" s="270" t="e">
        <f>INDEX([71]Listas!$F$6:$J$10,MATCH(Q44,[71]Listas!$D$6:$D$10,0),MATCH(R44,[71]Listas!$F$4:$J$4,0))</f>
        <v>#N/A</v>
      </c>
      <c r="W44" s="268"/>
      <c r="X44" s="1399"/>
      <c r="Y44" s="1408"/>
      <c r="Z44" s="1400"/>
      <c r="AA44" s="1063"/>
      <c r="AB44" s="267"/>
      <c r="AC44" s="259"/>
      <c r="AD44" s="608"/>
      <c r="AE44" s="267"/>
      <c r="AF44" s="268"/>
      <c r="AG44" s="269">
        <f t="shared" si="6"/>
        <v>0</v>
      </c>
      <c r="AH44" s="271" t="e">
        <f t="shared" si="7"/>
        <v>#N/A</v>
      </c>
      <c r="AI44" s="272" t="e">
        <f>IF(AH44&lt;=1,"Remota",VLOOKUP(AH44,[71]Listas!$C$6:$D$10,2,0))</f>
        <v>#N/A</v>
      </c>
      <c r="AJ44" s="271" t="e">
        <f t="shared" si="8"/>
        <v>#N/A</v>
      </c>
      <c r="AK44" s="272" t="e">
        <f>IF(AJ44&lt;=1,"Insignificante",HLOOKUP(AJ44,[71]Listas!$F$3:$J$4,2,0))</f>
        <v>#N/A</v>
      </c>
      <c r="AL44" s="273" t="e">
        <f t="shared" si="9"/>
        <v>#N/A</v>
      </c>
      <c r="AM44" s="270" t="e">
        <f>INDEX([71]Listas!$F$6:$J$10,MATCH(AI44,[71]Listas!$D$6:$D$10,0),MATCH(AK44,[71]Listas!$F$4:$J$4,0))</f>
        <v>#N/A</v>
      </c>
      <c r="AN44" s="259"/>
      <c r="AO44" s="259"/>
      <c r="AP44" s="610"/>
      <c r="AQ44" s="259"/>
      <c r="AR44" s="259" t="s">
        <v>2343</v>
      </c>
      <c r="AS44" s="608"/>
      <c r="AT44" s="259"/>
      <c r="AU44" s="259"/>
      <c r="AV44" s="261"/>
      <c r="AW44" s="261"/>
      <c r="AX44" s="608"/>
      <c r="AY44" s="262"/>
    </row>
    <row r="45" spans="1:51" s="260" customFormat="1" ht="103.5" hidden="1" customHeight="1">
      <c r="A45" s="608"/>
      <c r="B45" s="266"/>
      <c r="C45" s="1399"/>
      <c r="D45" s="1408"/>
      <c r="E45" s="1400"/>
      <c r="F45" s="267"/>
      <c r="G45" s="1399"/>
      <c r="H45" s="1408"/>
      <c r="I45" s="1400"/>
      <c r="J45" s="1380"/>
      <c r="K45" s="1380"/>
      <c r="L45" s="1380"/>
      <c r="M45" s="608"/>
      <c r="N45" s="608"/>
      <c r="O45" s="608"/>
      <c r="P45" s="608"/>
      <c r="Q45" s="266"/>
      <c r="R45" s="266"/>
      <c r="S45" s="268"/>
      <c r="T45" s="269" t="e">
        <f>VLOOKUP(Q45,[71]Listas!$D$6:$E$10,2,0)</f>
        <v>#N/A</v>
      </c>
      <c r="U45" s="269" t="e">
        <f>HLOOKUP(R45,[71]Listas!$F$4:$J$5,2,0)</f>
        <v>#N/A</v>
      </c>
      <c r="V45" s="270" t="e">
        <f>INDEX([71]Listas!$F$6:$J$10,MATCH(Q45,[71]Listas!$D$6:$D$10,0),MATCH(R45,[71]Listas!$F$4:$J$4,0))</f>
        <v>#N/A</v>
      </c>
      <c r="W45" s="268"/>
      <c r="X45" s="1399"/>
      <c r="Y45" s="1408"/>
      <c r="Z45" s="1400"/>
      <c r="AA45" s="1063"/>
      <c r="AB45" s="267"/>
      <c r="AC45" s="259"/>
      <c r="AD45" s="608"/>
      <c r="AE45" s="267"/>
      <c r="AF45" s="268"/>
      <c r="AG45" s="269">
        <f t="shared" si="6"/>
        <v>0</v>
      </c>
      <c r="AH45" s="271" t="e">
        <f t="shared" si="7"/>
        <v>#N/A</v>
      </c>
      <c r="AI45" s="272" t="e">
        <f>IF(AH45&lt;=1,"Remota",VLOOKUP(AH45,[71]Listas!$C$6:$D$10,2,0))</f>
        <v>#N/A</v>
      </c>
      <c r="AJ45" s="271" t="e">
        <f t="shared" si="8"/>
        <v>#N/A</v>
      </c>
      <c r="AK45" s="272" t="e">
        <f>IF(AJ45&lt;=1,"Insignificante",HLOOKUP(AJ45,[71]Listas!$F$3:$J$4,2,0))</f>
        <v>#N/A</v>
      </c>
      <c r="AL45" s="273" t="e">
        <f t="shared" si="9"/>
        <v>#N/A</v>
      </c>
      <c r="AM45" s="270" t="e">
        <f>INDEX([71]Listas!$F$6:$J$10,MATCH(AI45,[71]Listas!$D$6:$D$10,0),MATCH(AK45,[71]Listas!$F$4:$J$4,0))</f>
        <v>#N/A</v>
      </c>
      <c r="AN45" s="259"/>
      <c r="AO45" s="259"/>
      <c r="AP45" s="610"/>
      <c r="AQ45" s="259"/>
      <c r="AR45" s="259" t="s">
        <v>2343</v>
      </c>
      <c r="AS45" s="608"/>
      <c r="AT45" s="259"/>
      <c r="AU45" s="259"/>
      <c r="AV45" s="261"/>
      <c r="AW45" s="261"/>
      <c r="AX45" s="608"/>
      <c r="AY45" s="262"/>
    </row>
    <row r="46" spans="1:51" s="260" customFormat="1" ht="103.5" hidden="1" customHeight="1">
      <c r="A46" s="608"/>
      <c r="B46" s="266"/>
      <c r="C46" s="1399"/>
      <c r="D46" s="1408"/>
      <c r="E46" s="1400"/>
      <c r="F46" s="267"/>
      <c r="G46" s="1399"/>
      <c r="H46" s="1408"/>
      <c r="I46" s="1400"/>
      <c r="J46" s="1380"/>
      <c r="K46" s="1380"/>
      <c r="L46" s="1380"/>
      <c r="M46" s="608"/>
      <c r="N46" s="608"/>
      <c r="O46" s="608"/>
      <c r="P46" s="608"/>
      <c r="Q46" s="266"/>
      <c r="R46" s="266"/>
      <c r="S46" s="268"/>
      <c r="T46" s="269" t="e">
        <f>VLOOKUP(Q46,[71]Listas!$D$6:$E$10,2,0)</f>
        <v>#N/A</v>
      </c>
      <c r="U46" s="269" t="e">
        <f>HLOOKUP(R46,[71]Listas!$F$4:$J$5,2,0)</f>
        <v>#N/A</v>
      </c>
      <c r="V46" s="270" t="e">
        <f>INDEX([71]Listas!$F$6:$J$10,MATCH(Q46,[71]Listas!$D$6:$D$10,0),MATCH(R46,[71]Listas!$F$4:$J$4,0))</f>
        <v>#N/A</v>
      </c>
      <c r="W46" s="268"/>
      <c r="X46" s="1399"/>
      <c r="Y46" s="1408"/>
      <c r="Z46" s="1400"/>
      <c r="AA46" s="1063"/>
      <c r="AB46" s="267"/>
      <c r="AC46" s="259"/>
      <c r="AD46" s="608"/>
      <c r="AE46" s="267"/>
      <c r="AF46" s="268"/>
      <c r="AG46" s="269">
        <f t="shared" si="6"/>
        <v>0</v>
      </c>
      <c r="AH46" s="271" t="e">
        <f t="shared" si="7"/>
        <v>#N/A</v>
      </c>
      <c r="AI46" s="272" t="e">
        <f>IF(AH46&lt;=1,"Remota",VLOOKUP(AH46,[71]Listas!$C$6:$D$10,2,0))</f>
        <v>#N/A</v>
      </c>
      <c r="AJ46" s="271" t="e">
        <f t="shared" si="8"/>
        <v>#N/A</v>
      </c>
      <c r="AK46" s="272" t="e">
        <f>IF(AJ46&lt;=1,"Insignificante",HLOOKUP(AJ46,[71]Listas!$F$3:$J$4,2,0))</f>
        <v>#N/A</v>
      </c>
      <c r="AL46" s="273" t="e">
        <f t="shared" si="9"/>
        <v>#N/A</v>
      </c>
      <c r="AM46" s="270" t="e">
        <f>INDEX([71]Listas!$F$6:$J$10,MATCH(AI46,[71]Listas!$D$6:$D$10,0),MATCH(AK46,[71]Listas!$F$4:$J$4,0))</f>
        <v>#N/A</v>
      </c>
      <c r="AN46" s="259"/>
      <c r="AO46" s="259"/>
      <c r="AP46" s="610"/>
      <c r="AQ46" s="259"/>
      <c r="AR46" s="259" t="s">
        <v>2343</v>
      </c>
      <c r="AS46" s="608"/>
      <c r="AT46" s="259"/>
      <c r="AU46" s="259"/>
      <c r="AV46" s="261"/>
      <c r="AW46" s="261"/>
      <c r="AX46" s="608"/>
      <c r="AY46" s="262"/>
    </row>
    <row r="47" spans="1:51" s="260" customFormat="1" ht="103.5" hidden="1" customHeight="1">
      <c r="A47" s="608"/>
      <c r="B47" s="266"/>
      <c r="C47" s="1399"/>
      <c r="D47" s="1408"/>
      <c r="E47" s="1400"/>
      <c r="F47" s="267"/>
      <c r="G47" s="1399"/>
      <c r="H47" s="1408"/>
      <c r="I47" s="1400"/>
      <c r="J47" s="1380"/>
      <c r="K47" s="1380"/>
      <c r="L47" s="1380"/>
      <c r="M47" s="608"/>
      <c r="N47" s="608"/>
      <c r="O47" s="608"/>
      <c r="P47" s="608"/>
      <c r="Q47" s="266"/>
      <c r="R47" s="266"/>
      <c r="S47" s="268"/>
      <c r="T47" s="269" t="e">
        <f>VLOOKUP(Q47,[71]Listas!$D$6:$E$10,2,0)</f>
        <v>#N/A</v>
      </c>
      <c r="U47" s="269" t="e">
        <f>HLOOKUP(R47,[71]Listas!$F$4:$J$5,2,0)</f>
        <v>#N/A</v>
      </c>
      <c r="V47" s="270" t="e">
        <f>INDEX([71]Listas!$F$6:$J$10,MATCH(Q47,[71]Listas!$D$6:$D$10,0),MATCH(R47,[71]Listas!$F$4:$J$4,0))</f>
        <v>#N/A</v>
      </c>
      <c r="W47" s="268"/>
      <c r="X47" s="1399"/>
      <c r="Y47" s="1408"/>
      <c r="Z47" s="1400"/>
      <c r="AA47" s="1063"/>
      <c r="AB47" s="267"/>
      <c r="AC47" s="259"/>
      <c r="AD47" s="608"/>
      <c r="AE47" s="267"/>
      <c r="AF47" s="268"/>
      <c r="AG47" s="269">
        <f t="shared" si="6"/>
        <v>0</v>
      </c>
      <c r="AH47" s="271" t="e">
        <f t="shared" si="7"/>
        <v>#N/A</v>
      </c>
      <c r="AI47" s="272" t="e">
        <f>IF(AH47&lt;=1,"Remota",VLOOKUP(AH47,[71]Listas!$C$6:$D$10,2,0))</f>
        <v>#N/A</v>
      </c>
      <c r="AJ47" s="271" t="e">
        <f t="shared" si="8"/>
        <v>#N/A</v>
      </c>
      <c r="AK47" s="272" t="e">
        <f>IF(AJ47&lt;=1,"Insignificante",HLOOKUP(AJ47,[71]Listas!$F$3:$J$4,2,0))</f>
        <v>#N/A</v>
      </c>
      <c r="AL47" s="273" t="e">
        <f t="shared" si="9"/>
        <v>#N/A</v>
      </c>
      <c r="AM47" s="270" t="e">
        <f>INDEX([71]Listas!$F$6:$J$10,MATCH(AI47,[71]Listas!$D$6:$D$10,0),MATCH(AK47,[71]Listas!$F$4:$J$4,0))</f>
        <v>#N/A</v>
      </c>
      <c r="AN47" s="259"/>
      <c r="AO47" s="259"/>
      <c r="AP47" s="610"/>
      <c r="AQ47" s="259"/>
      <c r="AR47" s="259" t="s">
        <v>2343</v>
      </c>
      <c r="AS47" s="608"/>
      <c r="AT47" s="259"/>
      <c r="AU47" s="259"/>
      <c r="AV47" s="261"/>
      <c r="AW47" s="261"/>
      <c r="AX47" s="608"/>
      <c r="AY47" s="262"/>
    </row>
    <row r="48" spans="1:51" s="260" customFormat="1" ht="103.5" hidden="1" customHeight="1">
      <c r="A48" s="608"/>
      <c r="B48" s="266"/>
      <c r="C48" s="1399"/>
      <c r="D48" s="1408"/>
      <c r="E48" s="1400"/>
      <c r="F48" s="267"/>
      <c r="G48" s="1399"/>
      <c r="H48" s="1408"/>
      <c r="I48" s="1400"/>
      <c r="J48" s="1380"/>
      <c r="K48" s="1380"/>
      <c r="L48" s="1380"/>
      <c r="M48" s="608"/>
      <c r="N48" s="608"/>
      <c r="O48" s="608"/>
      <c r="P48" s="608"/>
      <c r="Q48" s="266"/>
      <c r="R48" s="266"/>
      <c r="S48" s="268"/>
      <c r="T48" s="269" t="e">
        <f>VLOOKUP(Q48,[71]Listas!$D$6:$E$10,2,0)</f>
        <v>#N/A</v>
      </c>
      <c r="U48" s="269" t="e">
        <f>HLOOKUP(R48,[71]Listas!$F$4:$J$5,2,0)</f>
        <v>#N/A</v>
      </c>
      <c r="V48" s="270" t="e">
        <f>INDEX([71]Listas!$F$6:$J$10,MATCH(Q48,[71]Listas!$D$6:$D$10,0),MATCH(R48,[71]Listas!$F$4:$J$4,0))</f>
        <v>#N/A</v>
      </c>
      <c r="W48" s="268"/>
      <c r="X48" s="1399"/>
      <c r="Y48" s="1408"/>
      <c r="Z48" s="1400"/>
      <c r="AA48" s="1063"/>
      <c r="AB48" s="267"/>
      <c r="AC48" s="259"/>
      <c r="AD48" s="608"/>
      <c r="AE48" s="267"/>
      <c r="AF48" s="268"/>
      <c r="AG48" s="269">
        <f t="shared" si="6"/>
        <v>0</v>
      </c>
      <c r="AH48" s="271" t="e">
        <f t="shared" si="7"/>
        <v>#N/A</v>
      </c>
      <c r="AI48" s="272" t="e">
        <f>IF(AH48&lt;=1,"Remota",VLOOKUP(AH48,[71]Listas!$C$6:$D$10,2,0))</f>
        <v>#N/A</v>
      </c>
      <c r="AJ48" s="271" t="e">
        <f t="shared" si="8"/>
        <v>#N/A</v>
      </c>
      <c r="AK48" s="272" t="e">
        <f>IF(AJ48&lt;=1,"Insignificante",HLOOKUP(AJ48,[71]Listas!$F$3:$J$4,2,0))</f>
        <v>#N/A</v>
      </c>
      <c r="AL48" s="273" t="e">
        <f t="shared" si="9"/>
        <v>#N/A</v>
      </c>
      <c r="AM48" s="270" t="e">
        <f>INDEX([71]Listas!$F$6:$J$10,MATCH(AI48,[71]Listas!$D$6:$D$10,0),MATCH(AK48,[71]Listas!$F$4:$J$4,0))</f>
        <v>#N/A</v>
      </c>
      <c r="AN48" s="259"/>
      <c r="AO48" s="259"/>
      <c r="AP48" s="610"/>
      <c r="AQ48" s="259"/>
      <c r="AR48" s="259" t="s">
        <v>2343</v>
      </c>
      <c r="AS48" s="608"/>
      <c r="AT48" s="259"/>
      <c r="AU48" s="259"/>
      <c r="AV48" s="261"/>
      <c r="AW48" s="261"/>
      <c r="AX48" s="608"/>
      <c r="AY48" s="262"/>
    </row>
    <row r="49" spans="1:51" s="260" customFormat="1" ht="103.5" hidden="1" customHeight="1">
      <c r="A49" s="608"/>
      <c r="B49" s="266"/>
      <c r="C49" s="1399"/>
      <c r="D49" s="1408"/>
      <c r="E49" s="1400"/>
      <c r="F49" s="267"/>
      <c r="G49" s="1399"/>
      <c r="H49" s="1408"/>
      <c r="I49" s="1400"/>
      <c r="J49" s="1380"/>
      <c r="K49" s="1380"/>
      <c r="L49" s="1380"/>
      <c r="M49" s="608"/>
      <c r="N49" s="608"/>
      <c r="O49" s="608"/>
      <c r="P49" s="608"/>
      <c r="Q49" s="266"/>
      <c r="R49" s="266"/>
      <c r="S49" s="268"/>
      <c r="T49" s="269" t="e">
        <f>VLOOKUP(Q49,[71]Listas!$D$6:$E$10,2,0)</f>
        <v>#N/A</v>
      </c>
      <c r="U49" s="269" t="e">
        <f>HLOOKUP(R49,[71]Listas!$F$4:$J$5,2,0)</f>
        <v>#N/A</v>
      </c>
      <c r="V49" s="270" t="e">
        <f>INDEX([71]Listas!$F$6:$J$10,MATCH(Q49,[71]Listas!$D$6:$D$10,0),MATCH(R49,[71]Listas!$F$4:$J$4,0))</f>
        <v>#N/A</v>
      </c>
      <c r="W49" s="268"/>
      <c r="X49" s="1399"/>
      <c r="Y49" s="1408"/>
      <c r="Z49" s="1400"/>
      <c r="AA49" s="1063"/>
      <c r="AB49" s="267"/>
      <c r="AC49" s="259"/>
      <c r="AD49" s="608"/>
      <c r="AE49" s="267"/>
      <c r="AF49" s="268"/>
      <c r="AG49" s="269">
        <f t="shared" si="6"/>
        <v>0</v>
      </c>
      <c r="AH49" s="271" t="e">
        <f t="shared" si="7"/>
        <v>#N/A</v>
      </c>
      <c r="AI49" s="272" t="e">
        <f>IF(AH49&lt;=1,"Remota",VLOOKUP(AH49,[71]Listas!$C$6:$D$10,2,0))</f>
        <v>#N/A</v>
      </c>
      <c r="AJ49" s="271" t="e">
        <f t="shared" si="8"/>
        <v>#N/A</v>
      </c>
      <c r="AK49" s="272" t="e">
        <f>IF(AJ49&lt;=1,"Insignificante",HLOOKUP(AJ49,[71]Listas!$F$3:$J$4,2,0))</f>
        <v>#N/A</v>
      </c>
      <c r="AL49" s="273" t="e">
        <f t="shared" si="9"/>
        <v>#N/A</v>
      </c>
      <c r="AM49" s="270" t="e">
        <f>INDEX([71]Listas!$F$6:$J$10,MATCH(AI49,[71]Listas!$D$6:$D$10,0),MATCH(AK49,[71]Listas!$F$4:$J$4,0))</f>
        <v>#N/A</v>
      </c>
      <c r="AN49" s="259"/>
      <c r="AO49" s="259"/>
      <c r="AP49" s="610"/>
      <c r="AQ49" s="259"/>
      <c r="AR49" s="259" t="s">
        <v>2343</v>
      </c>
      <c r="AS49" s="608"/>
      <c r="AT49" s="259"/>
      <c r="AU49" s="259"/>
      <c r="AV49" s="261"/>
      <c r="AW49" s="261"/>
      <c r="AX49" s="608"/>
      <c r="AY49" s="262"/>
    </row>
    <row r="50" spans="1:51" s="260" customFormat="1" ht="103.5" hidden="1" customHeight="1">
      <c r="A50" s="608"/>
      <c r="B50" s="266"/>
      <c r="C50" s="1399"/>
      <c r="D50" s="1408"/>
      <c r="E50" s="1400"/>
      <c r="F50" s="267"/>
      <c r="G50" s="1399"/>
      <c r="H50" s="1408"/>
      <c r="I50" s="1400"/>
      <c r="J50" s="1380"/>
      <c r="K50" s="1380"/>
      <c r="L50" s="1380"/>
      <c r="M50" s="608"/>
      <c r="N50" s="608"/>
      <c r="O50" s="608"/>
      <c r="P50" s="608"/>
      <c r="Q50" s="266"/>
      <c r="R50" s="266"/>
      <c r="S50" s="268"/>
      <c r="T50" s="269" t="e">
        <f>VLOOKUP(Q50,[71]Listas!$D$6:$E$10,2,0)</f>
        <v>#N/A</v>
      </c>
      <c r="U50" s="269" t="e">
        <f>HLOOKUP(R50,[71]Listas!$F$4:$J$5,2,0)</f>
        <v>#N/A</v>
      </c>
      <c r="V50" s="270" t="e">
        <f>INDEX([71]Listas!$F$6:$J$10,MATCH(Q50,[71]Listas!$D$6:$D$10,0),MATCH(R50,[71]Listas!$F$4:$J$4,0))</f>
        <v>#N/A</v>
      </c>
      <c r="W50" s="268"/>
      <c r="X50" s="1399"/>
      <c r="Y50" s="1408"/>
      <c r="Z50" s="1400"/>
      <c r="AA50" s="1063"/>
      <c r="AB50" s="267"/>
      <c r="AC50" s="259"/>
      <c r="AD50" s="608"/>
      <c r="AE50" s="267"/>
      <c r="AF50" s="268"/>
      <c r="AG50" s="269">
        <f t="shared" si="6"/>
        <v>0</v>
      </c>
      <c r="AH50" s="271" t="e">
        <f t="shared" si="7"/>
        <v>#N/A</v>
      </c>
      <c r="AI50" s="272" t="e">
        <f>IF(AH50&lt;=1,"Remota",VLOOKUP(AH50,[71]Listas!$C$6:$D$10,2,0))</f>
        <v>#N/A</v>
      </c>
      <c r="AJ50" s="271" t="e">
        <f t="shared" si="8"/>
        <v>#N/A</v>
      </c>
      <c r="AK50" s="272" t="e">
        <f>IF(AJ50&lt;=1,"Insignificante",HLOOKUP(AJ50,[71]Listas!$F$3:$J$4,2,0))</f>
        <v>#N/A</v>
      </c>
      <c r="AL50" s="273" t="e">
        <f t="shared" si="9"/>
        <v>#N/A</v>
      </c>
      <c r="AM50" s="270" t="e">
        <f>INDEX([71]Listas!$F$6:$J$10,MATCH(AI50,[71]Listas!$D$6:$D$10,0),MATCH(AK50,[71]Listas!$F$4:$J$4,0))</f>
        <v>#N/A</v>
      </c>
      <c r="AN50" s="259"/>
      <c r="AO50" s="259"/>
      <c r="AP50" s="610"/>
      <c r="AQ50" s="259"/>
      <c r="AR50" s="259" t="s">
        <v>2343</v>
      </c>
      <c r="AS50" s="608"/>
      <c r="AT50" s="259"/>
      <c r="AU50" s="259"/>
      <c r="AV50" s="261"/>
      <c r="AW50" s="261"/>
      <c r="AX50" s="608"/>
      <c r="AY50" s="262"/>
    </row>
    <row r="51" spans="1:51" s="260" customFormat="1" ht="103.5" hidden="1" customHeight="1">
      <c r="A51" s="608"/>
      <c r="B51" s="266"/>
      <c r="C51" s="1399"/>
      <c r="D51" s="1408"/>
      <c r="E51" s="1400"/>
      <c r="F51" s="267"/>
      <c r="G51" s="1399"/>
      <c r="H51" s="1408"/>
      <c r="I51" s="1400"/>
      <c r="J51" s="1380"/>
      <c r="K51" s="1380"/>
      <c r="L51" s="1380"/>
      <c r="M51" s="608"/>
      <c r="N51" s="608"/>
      <c r="O51" s="608"/>
      <c r="P51" s="608"/>
      <c r="Q51" s="266"/>
      <c r="R51" s="266"/>
      <c r="S51" s="268"/>
      <c r="T51" s="269" t="e">
        <f>VLOOKUP(Q51,[71]Listas!$D$6:$E$10,2,0)</f>
        <v>#N/A</v>
      </c>
      <c r="U51" s="269" t="e">
        <f>HLOOKUP(R51,[71]Listas!$F$4:$J$5,2,0)</f>
        <v>#N/A</v>
      </c>
      <c r="V51" s="270" t="e">
        <f>INDEX([71]Listas!$F$6:$J$10,MATCH(Q51,[71]Listas!$D$6:$D$10,0),MATCH(R51,[71]Listas!$F$4:$J$4,0))</f>
        <v>#N/A</v>
      </c>
      <c r="W51" s="268"/>
      <c r="X51" s="1399"/>
      <c r="Y51" s="1408"/>
      <c r="Z51" s="1400"/>
      <c r="AA51" s="1063"/>
      <c r="AB51" s="267"/>
      <c r="AC51" s="259"/>
      <c r="AD51" s="608"/>
      <c r="AE51" s="267"/>
      <c r="AF51" s="268"/>
      <c r="AG51" s="269">
        <f t="shared" si="6"/>
        <v>0</v>
      </c>
      <c r="AH51" s="271" t="e">
        <f t="shared" si="7"/>
        <v>#N/A</v>
      </c>
      <c r="AI51" s="272" t="e">
        <f>IF(AH51&lt;=1,"Remota",VLOOKUP(AH51,[71]Listas!$C$6:$D$10,2,0))</f>
        <v>#N/A</v>
      </c>
      <c r="AJ51" s="271" t="e">
        <f t="shared" si="8"/>
        <v>#N/A</v>
      </c>
      <c r="AK51" s="272" t="e">
        <f>IF(AJ51&lt;=1,"Insignificante",HLOOKUP(AJ51,[71]Listas!$F$3:$J$4,2,0))</f>
        <v>#N/A</v>
      </c>
      <c r="AL51" s="273" t="e">
        <f t="shared" si="9"/>
        <v>#N/A</v>
      </c>
      <c r="AM51" s="270" t="e">
        <f>INDEX([71]Listas!$F$6:$J$10,MATCH(AI51,[71]Listas!$D$6:$D$10,0),MATCH(AK51,[71]Listas!$F$4:$J$4,0))</f>
        <v>#N/A</v>
      </c>
      <c r="AN51" s="259"/>
      <c r="AO51" s="259"/>
      <c r="AP51" s="610"/>
      <c r="AQ51" s="259"/>
      <c r="AR51" s="259" t="s">
        <v>2343</v>
      </c>
      <c r="AS51" s="608"/>
      <c r="AT51" s="259"/>
      <c r="AU51" s="259"/>
      <c r="AV51" s="261"/>
      <c r="AW51" s="261"/>
      <c r="AX51" s="608"/>
      <c r="AY51" s="262"/>
    </row>
    <row r="52" spans="1:51" s="260" customFormat="1" ht="103.5" hidden="1" customHeight="1">
      <c r="A52" s="608"/>
      <c r="B52" s="266"/>
      <c r="C52" s="1399"/>
      <c r="D52" s="1408"/>
      <c r="E52" s="1400"/>
      <c r="F52" s="267"/>
      <c r="G52" s="1399"/>
      <c r="H52" s="1408"/>
      <c r="I52" s="1400"/>
      <c r="J52" s="1380"/>
      <c r="K52" s="1380"/>
      <c r="L52" s="1380"/>
      <c r="M52" s="608"/>
      <c r="N52" s="608"/>
      <c r="O52" s="608"/>
      <c r="P52" s="608"/>
      <c r="Q52" s="266"/>
      <c r="R52" s="266"/>
      <c r="S52" s="268"/>
      <c r="T52" s="269" t="e">
        <f>VLOOKUP(Q52,[71]Listas!$D$6:$E$10,2,0)</f>
        <v>#N/A</v>
      </c>
      <c r="U52" s="269" t="e">
        <f>HLOOKUP(R52,[71]Listas!$F$4:$J$5,2,0)</f>
        <v>#N/A</v>
      </c>
      <c r="V52" s="270" t="e">
        <f>INDEX([71]Listas!$F$6:$J$10,MATCH(Q52,[71]Listas!$D$6:$D$10,0),MATCH(R52,[71]Listas!$F$4:$J$4,0))</f>
        <v>#N/A</v>
      </c>
      <c r="W52" s="268"/>
      <c r="X52" s="1399"/>
      <c r="Y52" s="1408"/>
      <c r="Z52" s="1400"/>
      <c r="AA52" s="1063"/>
      <c r="AB52" s="267"/>
      <c r="AC52" s="259"/>
      <c r="AD52" s="608"/>
      <c r="AE52" s="267"/>
      <c r="AF52" s="268"/>
      <c r="AG52" s="269">
        <f t="shared" si="6"/>
        <v>0</v>
      </c>
      <c r="AH52" s="271" t="e">
        <f t="shared" si="7"/>
        <v>#N/A</v>
      </c>
      <c r="AI52" s="272" t="e">
        <f>IF(AH52&lt;=1,"Remota",VLOOKUP(AH52,[71]Listas!$C$6:$D$10,2,0))</f>
        <v>#N/A</v>
      </c>
      <c r="AJ52" s="271" t="e">
        <f t="shared" si="8"/>
        <v>#N/A</v>
      </c>
      <c r="AK52" s="272" t="e">
        <f>IF(AJ52&lt;=1,"Insignificante",HLOOKUP(AJ52,[71]Listas!$F$3:$J$4,2,0))</f>
        <v>#N/A</v>
      </c>
      <c r="AL52" s="273" t="e">
        <f t="shared" si="9"/>
        <v>#N/A</v>
      </c>
      <c r="AM52" s="270" t="e">
        <f>INDEX([71]Listas!$F$6:$J$10,MATCH(AI52,[71]Listas!$D$6:$D$10,0),MATCH(AK52,[71]Listas!$F$4:$J$4,0))</f>
        <v>#N/A</v>
      </c>
      <c r="AN52" s="259"/>
      <c r="AO52" s="259"/>
      <c r="AP52" s="610"/>
      <c r="AQ52" s="259"/>
      <c r="AR52" s="259" t="s">
        <v>2343</v>
      </c>
      <c r="AS52" s="608"/>
      <c r="AT52" s="259"/>
      <c r="AU52" s="259"/>
      <c r="AV52" s="261"/>
      <c r="AW52" s="261"/>
      <c r="AX52" s="608"/>
      <c r="AY52" s="262"/>
    </row>
    <row r="53" spans="1:51" s="260" customFormat="1" ht="103.5" hidden="1" customHeight="1">
      <c r="A53" s="608"/>
      <c r="B53" s="266"/>
      <c r="C53" s="1399"/>
      <c r="D53" s="1408"/>
      <c r="E53" s="1400"/>
      <c r="F53" s="267"/>
      <c r="G53" s="1399"/>
      <c r="H53" s="1408"/>
      <c r="I53" s="1400"/>
      <c r="J53" s="1380"/>
      <c r="K53" s="1380"/>
      <c r="L53" s="1380"/>
      <c r="M53" s="608"/>
      <c r="N53" s="608"/>
      <c r="O53" s="608"/>
      <c r="P53" s="608"/>
      <c r="Q53" s="266"/>
      <c r="R53" s="266"/>
      <c r="S53" s="268"/>
      <c r="T53" s="269" t="e">
        <f>VLOOKUP(Q53,[71]Listas!$D$6:$E$10,2,0)</f>
        <v>#N/A</v>
      </c>
      <c r="U53" s="269" t="e">
        <f>HLOOKUP(R53,[71]Listas!$F$4:$J$5,2,0)</f>
        <v>#N/A</v>
      </c>
      <c r="V53" s="270" t="e">
        <f>INDEX([71]Listas!$F$6:$J$10,MATCH(Q53,[71]Listas!$D$6:$D$10,0),MATCH(R53,[71]Listas!$F$4:$J$4,0))</f>
        <v>#N/A</v>
      </c>
      <c r="W53" s="268"/>
      <c r="X53" s="1399"/>
      <c r="Y53" s="1408"/>
      <c r="Z53" s="1400"/>
      <c r="AA53" s="1063"/>
      <c r="AB53" s="267"/>
      <c r="AC53" s="259"/>
      <c r="AD53" s="608"/>
      <c r="AE53" s="267"/>
      <c r="AF53" s="268"/>
      <c r="AG53" s="269">
        <f t="shared" si="6"/>
        <v>0</v>
      </c>
      <c r="AH53" s="271" t="e">
        <f t="shared" si="7"/>
        <v>#N/A</v>
      </c>
      <c r="AI53" s="272" t="e">
        <f>IF(AH53&lt;=1,"Remota",VLOOKUP(AH53,[71]Listas!$C$6:$D$10,2,0))</f>
        <v>#N/A</v>
      </c>
      <c r="AJ53" s="271" t="e">
        <f t="shared" si="8"/>
        <v>#N/A</v>
      </c>
      <c r="AK53" s="272" t="e">
        <f>IF(AJ53&lt;=1,"Insignificante",HLOOKUP(AJ53,[71]Listas!$F$3:$J$4,2,0))</f>
        <v>#N/A</v>
      </c>
      <c r="AL53" s="273" t="e">
        <f t="shared" si="9"/>
        <v>#N/A</v>
      </c>
      <c r="AM53" s="270" t="e">
        <f>INDEX([71]Listas!$F$6:$J$10,MATCH(AI53,[71]Listas!$D$6:$D$10,0),MATCH(AK53,[71]Listas!$F$4:$J$4,0))</f>
        <v>#N/A</v>
      </c>
      <c r="AN53" s="259"/>
      <c r="AO53" s="259"/>
      <c r="AP53" s="610"/>
      <c r="AQ53" s="259"/>
      <c r="AR53" s="259" t="s">
        <v>2343</v>
      </c>
      <c r="AS53" s="608"/>
      <c r="AT53" s="259"/>
      <c r="AU53" s="259"/>
      <c r="AV53" s="261"/>
      <c r="AW53" s="261"/>
      <c r="AX53" s="608"/>
      <c r="AY53" s="262"/>
    </row>
    <row r="54" spans="1:51" s="260" customFormat="1" ht="103.5" hidden="1" customHeight="1">
      <c r="A54" s="608"/>
      <c r="B54" s="266"/>
      <c r="C54" s="1399"/>
      <c r="D54" s="1408"/>
      <c r="E54" s="1400"/>
      <c r="F54" s="267"/>
      <c r="G54" s="1399"/>
      <c r="H54" s="1408"/>
      <c r="I54" s="1400"/>
      <c r="J54" s="1380"/>
      <c r="K54" s="1380"/>
      <c r="L54" s="1380"/>
      <c r="M54" s="608"/>
      <c r="N54" s="608"/>
      <c r="O54" s="608"/>
      <c r="P54" s="608"/>
      <c r="Q54" s="266"/>
      <c r="R54" s="266"/>
      <c r="S54" s="268"/>
      <c r="T54" s="269" t="e">
        <f>VLOOKUP(Q54,[71]Listas!$D$6:$E$10,2,0)</f>
        <v>#N/A</v>
      </c>
      <c r="U54" s="269" t="e">
        <f>HLOOKUP(R54,[71]Listas!$F$4:$J$5,2,0)</f>
        <v>#N/A</v>
      </c>
      <c r="V54" s="270" t="e">
        <f>INDEX([71]Listas!$F$6:$J$10,MATCH(Q54,[71]Listas!$D$6:$D$10,0),MATCH(R54,[71]Listas!$F$4:$J$4,0))</f>
        <v>#N/A</v>
      </c>
      <c r="W54" s="268"/>
      <c r="X54" s="1399"/>
      <c r="Y54" s="1408"/>
      <c r="Z54" s="1400"/>
      <c r="AA54" s="1063"/>
      <c r="AB54" s="267"/>
      <c r="AC54" s="259"/>
      <c r="AD54" s="608"/>
      <c r="AE54" s="267"/>
      <c r="AF54" s="268"/>
      <c r="AG54" s="269">
        <f t="shared" si="6"/>
        <v>0</v>
      </c>
      <c r="AH54" s="271" t="e">
        <f t="shared" si="7"/>
        <v>#N/A</v>
      </c>
      <c r="AI54" s="272" t="e">
        <f>IF(AH54&lt;=1,"Remota",VLOOKUP(AH54,[71]Listas!$C$6:$D$10,2,0))</f>
        <v>#N/A</v>
      </c>
      <c r="AJ54" s="271" t="e">
        <f t="shared" si="8"/>
        <v>#N/A</v>
      </c>
      <c r="AK54" s="272" t="e">
        <f>IF(AJ54&lt;=1,"Insignificante",HLOOKUP(AJ54,[71]Listas!$F$3:$J$4,2,0))</f>
        <v>#N/A</v>
      </c>
      <c r="AL54" s="273" t="e">
        <f t="shared" si="9"/>
        <v>#N/A</v>
      </c>
      <c r="AM54" s="270" t="e">
        <f>INDEX([71]Listas!$F$6:$J$10,MATCH(AI54,[71]Listas!$D$6:$D$10,0),MATCH(AK54,[71]Listas!$F$4:$J$4,0))</f>
        <v>#N/A</v>
      </c>
      <c r="AN54" s="259"/>
      <c r="AO54" s="259"/>
      <c r="AP54" s="610"/>
      <c r="AQ54" s="259"/>
      <c r="AR54" s="259" t="s">
        <v>2343</v>
      </c>
      <c r="AS54" s="608"/>
      <c r="AT54" s="259"/>
      <c r="AU54" s="259"/>
      <c r="AV54" s="261"/>
      <c r="AW54" s="261"/>
      <c r="AX54" s="608"/>
      <c r="AY54" s="262"/>
    </row>
    <row r="55" spans="1:51" s="260" customFormat="1" ht="103.5" hidden="1" customHeight="1">
      <c r="A55" s="608"/>
      <c r="B55" s="266"/>
      <c r="C55" s="1399"/>
      <c r="D55" s="1408"/>
      <c r="E55" s="1400"/>
      <c r="F55" s="266"/>
      <c r="G55" s="1399"/>
      <c r="H55" s="1408"/>
      <c r="I55" s="1400"/>
      <c r="J55" s="1380"/>
      <c r="K55" s="1380"/>
      <c r="L55" s="1380"/>
      <c r="M55" s="608"/>
      <c r="N55" s="608"/>
      <c r="O55" s="608"/>
      <c r="P55" s="608"/>
      <c r="Q55" s="266"/>
      <c r="R55" s="266"/>
      <c r="S55" s="268"/>
      <c r="T55" s="269" t="e">
        <f>VLOOKUP(Q55,[71]Listas!$D$6:$E$10,2,0)</f>
        <v>#N/A</v>
      </c>
      <c r="U55" s="269" t="e">
        <f>HLOOKUP(R55,[71]Listas!$F$4:$J$5,2,0)</f>
        <v>#N/A</v>
      </c>
      <c r="V55" s="270" t="e">
        <f>INDEX([71]Listas!$F$6:$J$10,MATCH(Q55,[71]Listas!$D$6:$D$10,0),MATCH(R55,[71]Listas!$F$4:$J$4,0))</f>
        <v>#N/A</v>
      </c>
      <c r="W55" s="268"/>
      <c r="X55" s="1399"/>
      <c r="Y55" s="1408"/>
      <c r="Z55" s="1400"/>
      <c r="AA55" s="1063"/>
      <c r="AB55" s="267"/>
      <c r="AC55" s="259"/>
      <c r="AD55" s="608"/>
      <c r="AE55" s="267"/>
      <c r="AF55" s="268"/>
      <c r="AG55" s="269">
        <f>IF(AD55&lt;=33,0,IF(AD55&gt;81,2,1))</f>
        <v>0</v>
      </c>
      <c r="AH55" s="271" t="e">
        <f>IF(OR(AE55="Probabilidad",AE55="Ambos"),T55-AG55,T55)</f>
        <v>#N/A</v>
      </c>
      <c r="AI55" s="272" t="e">
        <f>IF(AH55&lt;=1,"Remota",VLOOKUP(AH55,[71]Listas!$C$6:$D$10,2,0))</f>
        <v>#N/A</v>
      </c>
      <c r="AJ55" s="271" t="e">
        <f>IF(OR(AE55="Impacto",AE55="Ambos"),U55-AG55,U55)</f>
        <v>#N/A</v>
      </c>
      <c r="AK55" s="272" t="e">
        <f>IF(AJ55&lt;=1,"Insignificante",HLOOKUP(AJ55,[71]Listas!$F$3:$J$4,2,0))</f>
        <v>#N/A</v>
      </c>
      <c r="AL55" s="273" t="e">
        <f>AH55*AJ55</f>
        <v>#N/A</v>
      </c>
      <c r="AM55" s="270" t="e">
        <f>INDEX([71]Listas!$F$6:$J$10,MATCH(AI55,[71]Listas!$D$6:$D$10,0),MATCH(AK55,[71]Listas!$F$4:$J$4,0))</f>
        <v>#N/A</v>
      </c>
      <c r="AN55" s="259"/>
      <c r="AO55" s="259"/>
      <c r="AP55" s="610"/>
      <c r="AQ55" s="259"/>
      <c r="AR55" s="259" t="s">
        <v>2343</v>
      </c>
      <c r="AS55" s="608"/>
      <c r="AU55" s="259"/>
      <c r="AV55" s="261"/>
      <c r="AW55" s="261"/>
      <c r="AX55" s="608"/>
      <c r="AY55" s="262"/>
    </row>
    <row r="56" spans="1:51" s="260" customFormat="1" ht="103.5" hidden="1" customHeight="1">
      <c r="A56" s="608"/>
      <c r="B56" s="266"/>
      <c r="C56" s="1399"/>
      <c r="D56" s="1408"/>
      <c r="E56" s="1400"/>
      <c r="F56" s="267"/>
      <c r="G56" s="1399"/>
      <c r="H56" s="1408"/>
      <c r="I56" s="1400"/>
      <c r="J56" s="1380"/>
      <c r="K56" s="1380"/>
      <c r="L56" s="1380"/>
      <c r="M56" s="608"/>
      <c r="N56" s="608"/>
      <c r="O56" s="608"/>
      <c r="P56" s="608"/>
      <c r="Q56" s="266"/>
      <c r="R56" s="266"/>
      <c r="S56" s="268"/>
      <c r="T56" s="269" t="e">
        <f>VLOOKUP(Q56,[71]Listas!$D$6:$E$10,2,0)</f>
        <v>#N/A</v>
      </c>
      <c r="U56" s="269" t="e">
        <f>HLOOKUP(R56,[71]Listas!$F$4:$J$5,2,0)</f>
        <v>#N/A</v>
      </c>
      <c r="V56" s="270" t="e">
        <f>INDEX([71]Listas!$F$6:$J$10,MATCH(Q56,[71]Listas!$D$6:$D$10,0),MATCH(R56,[71]Listas!$F$4:$J$4,0))</f>
        <v>#N/A</v>
      </c>
      <c r="W56" s="268"/>
      <c r="X56" s="1399"/>
      <c r="Y56" s="1408"/>
      <c r="Z56" s="1400"/>
      <c r="AA56" s="1063"/>
      <c r="AB56" s="267"/>
      <c r="AC56" s="259"/>
      <c r="AD56" s="608"/>
      <c r="AE56" s="267"/>
      <c r="AF56" s="268"/>
      <c r="AG56" s="269">
        <f t="shared" ref="AG56:AG76" si="10">IF(AD56&lt;=33,0,IF(AD56&gt;81,2,1))</f>
        <v>0</v>
      </c>
      <c r="AH56" s="271" t="e">
        <f t="shared" ref="AH56:AH76" si="11">IF(OR(AE56="Probabilidad",AE56="Ambos"),T56-AG56,T56)</f>
        <v>#N/A</v>
      </c>
      <c r="AI56" s="272" t="e">
        <f>IF(AH56&lt;=1,"Remota",VLOOKUP(AH56,[71]Listas!$C$6:$D$10,2,0))</f>
        <v>#N/A</v>
      </c>
      <c r="AJ56" s="271" t="e">
        <f t="shared" ref="AJ56:AJ76" si="12">IF(OR(AE56="Impacto",AE56="Ambos"),U56-AG56,U56)</f>
        <v>#N/A</v>
      </c>
      <c r="AK56" s="272" t="e">
        <f>IF(AJ56&lt;=1,"Insignificante",HLOOKUP(AJ56,[71]Listas!$F$3:$J$4,2,0))</f>
        <v>#N/A</v>
      </c>
      <c r="AL56" s="273" t="e">
        <f t="shared" ref="AL56:AL76" si="13">AH56*AJ56</f>
        <v>#N/A</v>
      </c>
      <c r="AM56" s="270" t="e">
        <f>INDEX([71]Listas!$F$6:$J$10,MATCH(AI56,[71]Listas!$D$6:$D$10,0),MATCH(AK56,[71]Listas!$F$4:$J$4,0))</f>
        <v>#N/A</v>
      </c>
      <c r="AN56" s="259"/>
      <c r="AO56" s="259"/>
      <c r="AP56" s="610"/>
      <c r="AQ56" s="259"/>
      <c r="AR56" s="259" t="s">
        <v>2343</v>
      </c>
      <c r="AS56" s="608"/>
      <c r="AT56" s="259"/>
      <c r="AU56" s="259"/>
      <c r="AV56" s="261"/>
      <c r="AW56" s="261"/>
      <c r="AX56" s="608"/>
      <c r="AY56" s="262"/>
    </row>
    <row r="57" spans="1:51" s="260" customFormat="1" ht="103.5" hidden="1" customHeight="1">
      <c r="A57" s="608"/>
      <c r="B57" s="266"/>
      <c r="C57" s="1399"/>
      <c r="D57" s="1408"/>
      <c r="E57" s="1400"/>
      <c r="F57" s="267"/>
      <c r="G57" s="1399"/>
      <c r="H57" s="1408"/>
      <c r="I57" s="1400"/>
      <c r="J57" s="1380"/>
      <c r="K57" s="1380"/>
      <c r="L57" s="1380"/>
      <c r="M57" s="608"/>
      <c r="N57" s="608"/>
      <c r="O57" s="608"/>
      <c r="P57" s="608"/>
      <c r="Q57" s="266"/>
      <c r="R57" s="266"/>
      <c r="S57" s="268"/>
      <c r="T57" s="269" t="e">
        <f>VLOOKUP(Q57,[71]Listas!$D$6:$E$10,2,0)</f>
        <v>#N/A</v>
      </c>
      <c r="U57" s="269" t="e">
        <f>HLOOKUP(R57,[71]Listas!$F$4:$J$5,2,0)</f>
        <v>#N/A</v>
      </c>
      <c r="V57" s="270" t="e">
        <f>INDEX([71]Listas!$F$6:$J$10,MATCH(Q57,[71]Listas!$D$6:$D$10,0),MATCH(R57,[71]Listas!$F$4:$J$4,0))</f>
        <v>#N/A</v>
      </c>
      <c r="W57" s="268"/>
      <c r="X57" s="1399"/>
      <c r="Y57" s="1408"/>
      <c r="Z57" s="1400"/>
      <c r="AA57" s="1063"/>
      <c r="AB57" s="267"/>
      <c r="AC57" s="259"/>
      <c r="AD57" s="608"/>
      <c r="AE57" s="267"/>
      <c r="AF57" s="268"/>
      <c r="AG57" s="269">
        <f t="shared" si="10"/>
        <v>0</v>
      </c>
      <c r="AH57" s="271" t="e">
        <f t="shared" si="11"/>
        <v>#N/A</v>
      </c>
      <c r="AI57" s="272" t="e">
        <f>IF(AH57&lt;=1,"Remota",VLOOKUP(AH57,[71]Listas!$C$6:$D$10,2,0))</f>
        <v>#N/A</v>
      </c>
      <c r="AJ57" s="271" t="e">
        <f t="shared" si="12"/>
        <v>#N/A</v>
      </c>
      <c r="AK57" s="272" t="e">
        <f>IF(AJ57&lt;=1,"Insignificante",HLOOKUP(AJ57,[71]Listas!$F$3:$J$4,2,0))</f>
        <v>#N/A</v>
      </c>
      <c r="AL57" s="273" t="e">
        <f t="shared" si="13"/>
        <v>#N/A</v>
      </c>
      <c r="AM57" s="270" t="e">
        <f>INDEX([71]Listas!$F$6:$J$10,MATCH(AI57,[71]Listas!$D$6:$D$10,0),MATCH(AK57,[71]Listas!$F$4:$J$4,0))</f>
        <v>#N/A</v>
      </c>
      <c r="AN57" s="259"/>
      <c r="AO57" s="259"/>
      <c r="AP57" s="610"/>
      <c r="AQ57" s="259"/>
      <c r="AR57" s="259" t="s">
        <v>2343</v>
      </c>
      <c r="AS57" s="608"/>
      <c r="AT57" s="259"/>
      <c r="AU57" s="259"/>
      <c r="AV57" s="261"/>
      <c r="AW57" s="261"/>
      <c r="AX57" s="608"/>
      <c r="AY57" s="262"/>
    </row>
    <row r="58" spans="1:51" s="260" customFormat="1" ht="103.5" hidden="1" customHeight="1">
      <c r="A58" s="608"/>
      <c r="B58" s="266"/>
      <c r="C58" s="1399"/>
      <c r="D58" s="1408"/>
      <c r="E58" s="1400"/>
      <c r="F58" s="267"/>
      <c r="G58" s="1399"/>
      <c r="H58" s="1408"/>
      <c r="I58" s="1400"/>
      <c r="J58" s="1380"/>
      <c r="K58" s="1380"/>
      <c r="L58" s="1380"/>
      <c r="M58" s="608"/>
      <c r="N58" s="608"/>
      <c r="O58" s="608"/>
      <c r="P58" s="608"/>
      <c r="Q58" s="266"/>
      <c r="R58" s="266"/>
      <c r="S58" s="268"/>
      <c r="T58" s="269" t="e">
        <f>VLOOKUP(Q58,[71]Listas!$D$6:$E$10,2,0)</f>
        <v>#N/A</v>
      </c>
      <c r="U58" s="269" t="e">
        <f>HLOOKUP(R58,[71]Listas!$F$4:$J$5,2,0)</f>
        <v>#N/A</v>
      </c>
      <c r="V58" s="270" t="e">
        <f>INDEX([71]Listas!$F$6:$J$10,MATCH(Q58,[71]Listas!$D$6:$D$10,0),MATCH(R58,[71]Listas!$F$4:$J$4,0))</f>
        <v>#N/A</v>
      </c>
      <c r="W58" s="268"/>
      <c r="X58" s="1399"/>
      <c r="Y58" s="1408"/>
      <c r="Z58" s="1400"/>
      <c r="AA58" s="1063"/>
      <c r="AB58" s="267"/>
      <c r="AC58" s="259"/>
      <c r="AD58" s="608"/>
      <c r="AE58" s="267"/>
      <c r="AF58" s="268"/>
      <c r="AG58" s="269">
        <f t="shared" si="10"/>
        <v>0</v>
      </c>
      <c r="AH58" s="271" t="e">
        <f t="shared" si="11"/>
        <v>#N/A</v>
      </c>
      <c r="AI58" s="272" t="e">
        <f>IF(AH58&lt;=1,"Remota",VLOOKUP(AH58,[71]Listas!$C$6:$D$10,2,0))</f>
        <v>#N/A</v>
      </c>
      <c r="AJ58" s="271" t="e">
        <f t="shared" si="12"/>
        <v>#N/A</v>
      </c>
      <c r="AK58" s="272" t="e">
        <f>IF(AJ58&lt;=1,"Insignificante",HLOOKUP(AJ58,[71]Listas!$F$3:$J$4,2,0))</f>
        <v>#N/A</v>
      </c>
      <c r="AL58" s="273" t="e">
        <f t="shared" si="13"/>
        <v>#N/A</v>
      </c>
      <c r="AM58" s="270" t="e">
        <f>INDEX([71]Listas!$F$6:$J$10,MATCH(AI58,[71]Listas!$D$6:$D$10,0),MATCH(AK58,[71]Listas!$F$4:$J$4,0))</f>
        <v>#N/A</v>
      </c>
      <c r="AN58" s="259"/>
      <c r="AO58" s="259"/>
      <c r="AP58" s="610"/>
      <c r="AQ58" s="259"/>
      <c r="AR58" s="259" t="s">
        <v>2343</v>
      </c>
      <c r="AS58" s="608"/>
      <c r="AT58" s="259"/>
      <c r="AU58" s="259"/>
      <c r="AV58" s="261"/>
      <c r="AW58" s="261"/>
      <c r="AX58" s="608"/>
      <c r="AY58" s="262"/>
    </row>
    <row r="59" spans="1:51" s="260" customFormat="1" ht="103.5" hidden="1" customHeight="1">
      <c r="A59" s="608"/>
      <c r="B59" s="266"/>
      <c r="C59" s="1399"/>
      <c r="D59" s="1408"/>
      <c r="E59" s="1400"/>
      <c r="F59" s="267"/>
      <c r="G59" s="1399"/>
      <c r="H59" s="1408"/>
      <c r="I59" s="1400"/>
      <c r="J59" s="1380"/>
      <c r="K59" s="1380"/>
      <c r="L59" s="1380"/>
      <c r="M59" s="608"/>
      <c r="N59" s="608"/>
      <c r="O59" s="608"/>
      <c r="P59" s="608"/>
      <c r="Q59" s="266"/>
      <c r="R59" s="266"/>
      <c r="S59" s="268"/>
      <c r="T59" s="269" t="e">
        <f>VLOOKUP(Q59,[71]Listas!$D$6:$E$10,2,0)</f>
        <v>#N/A</v>
      </c>
      <c r="U59" s="269" t="e">
        <f>HLOOKUP(R59,[71]Listas!$F$4:$J$5,2,0)</f>
        <v>#N/A</v>
      </c>
      <c r="V59" s="270" t="e">
        <f>INDEX([71]Listas!$F$6:$J$10,MATCH(Q59,[71]Listas!$D$6:$D$10,0),MATCH(R59,[71]Listas!$F$4:$J$4,0))</f>
        <v>#N/A</v>
      </c>
      <c r="W59" s="268"/>
      <c r="X59" s="1399"/>
      <c r="Y59" s="1408"/>
      <c r="Z59" s="1400"/>
      <c r="AA59" s="1063"/>
      <c r="AB59" s="267"/>
      <c r="AC59" s="259"/>
      <c r="AD59" s="608"/>
      <c r="AE59" s="267"/>
      <c r="AF59" s="268"/>
      <c r="AG59" s="269">
        <f t="shared" si="10"/>
        <v>0</v>
      </c>
      <c r="AH59" s="271" t="e">
        <f t="shared" si="11"/>
        <v>#N/A</v>
      </c>
      <c r="AI59" s="272" t="e">
        <f>IF(AH59&lt;=1,"Remota",VLOOKUP(AH59,[71]Listas!$C$6:$D$10,2,0))</f>
        <v>#N/A</v>
      </c>
      <c r="AJ59" s="271" t="e">
        <f t="shared" si="12"/>
        <v>#N/A</v>
      </c>
      <c r="AK59" s="272" t="e">
        <f>IF(AJ59&lt;=1,"Insignificante",HLOOKUP(AJ59,[71]Listas!$F$3:$J$4,2,0))</f>
        <v>#N/A</v>
      </c>
      <c r="AL59" s="273" t="e">
        <f t="shared" si="13"/>
        <v>#N/A</v>
      </c>
      <c r="AM59" s="270" t="e">
        <f>INDEX([71]Listas!$F$6:$J$10,MATCH(AI59,[71]Listas!$D$6:$D$10,0),MATCH(AK59,[71]Listas!$F$4:$J$4,0))</f>
        <v>#N/A</v>
      </c>
      <c r="AN59" s="259"/>
      <c r="AO59" s="259"/>
      <c r="AP59" s="610"/>
      <c r="AQ59" s="259"/>
      <c r="AR59" s="259" t="s">
        <v>2343</v>
      </c>
      <c r="AS59" s="608"/>
      <c r="AT59" s="259"/>
      <c r="AU59" s="259"/>
      <c r="AV59" s="261"/>
      <c r="AW59" s="261"/>
      <c r="AX59" s="608"/>
      <c r="AY59" s="262"/>
    </row>
    <row r="60" spans="1:51" s="260" customFormat="1" ht="103.5" hidden="1" customHeight="1">
      <c r="A60" s="608"/>
      <c r="B60" s="266"/>
      <c r="C60" s="1399"/>
      <c r="D60" s="1408"/>
      <c r="E60" s="1400"/>
      <c r="F60" s="267"/>
      <c r="G60" s="1399"/>
      <c r="H60" s="1408"/>
      <c r="I60" s="1400"/>
      <c r="J60" s="1380"/>
      <c r="K60" s="1380"/>
      <c r="L60" s="1380"/>
      <c r="M60" s="608"/>
      <c r="N60" s="608"/>
      <c r="O60" s="608"/>
      <c r="P60" s="608"/>
      <c r="Q60" s="266"/>
      <c r="R60" s="266"/>
      <c r="S60" s="268"/>
      <c r="T60" s="269" t="e">
        <f>VLOOKUP(Q60,[71]Listas!$D$6:$E$10,2,0)</f>
        <v>#N/A</v>
      </c>
      <c r="U60" s="269" t="e">
        <f>HLOOKUP(R60,[71]Listas!$F$4:$J$5,2,0)</f>
        <v>#N/A</v>
      </c>
      <c r="V60" s="270" t="e">
        <f>INDEX([71]Listas!$F$6:$J$10,MATCH(Q60,[71]Listas!$D$6:$D$10,0),MATCH(R60,[71]Listas!$F$4:$J$4,0))</f>
        <v>#N/A</v>
      </c>
      <c r="W60" s="268"/>
      <c r="X60" s="1399"/>
      <c r="Y60" s="1408"/>
      <c r="Z60" s="1400"/>
      <c r="AA60" s="1063"/>
      <c r="AB60" s="267"/>
      <c r="AC60" s="259"/>
      <c r="AD60" s="608"/>
      <c r="AE60" s="267"/>
      <c r="AF60" s="268"/>
      <c r="AG60" s="269">
        <f t="shared" si="10"/>
        <v>0</v>
      </c>
      <c r="AH60" s="271" t="e">
        <f t="shared" si="11"/>
        <v>#N/A</v>
      </c>
      <c r="AI60" s="272" t="e">
        <f>IF(AH60&lt;=1,"Remota",VLOOKUP(AH60,[71]Listas!$C$6:$D$10,2,0))</f>
        <v>#N/A</v>
      </c>
      <c r="AJ60" s="271" t="e">
        <f t="shared" si="12"/>
        <v>#N/A</v>
      </c>
      <c r="AK60" s="272" t="e">
        <f>IF(AJ60&lt;=1,"Insignificante",HLOOKUP(AJ60,[71]Listas!$F$3:$J$4,2,0))</f>
        <v>#N/A</v>
      </c>
      <c r="AL60" s="273" t="e">
        <f t="shared" si="13"/>
        <v>#N/A</v>
      </c>
      <c r="AM60" s="270" t="e">
        <f>INDEX([71]Listas!$F$6:$J$10,MATCH(AI60,[71]Listas!$D$6:$D$10,0),MATCH(AK60,[71]Listas!$F$4:$J$4,0))</f>
        <v>#N/A</v>
      </c>
      <c r="AN60" s="259"/>
      <c r="AO60" s="259"/>
      <c r="AP60" s="610"/>
      <c r="AQ60" s="259"/>
      <c r="AR60" s="259" t="s">
        <v>2343</v>
      </c>
      <c r="AS60" s="608"/>
      <c r="AT60" s="259"/>
      <c r="AU60" s="259"/>
      <c r="AV60" s="261"/>
      <c r="AW60" s="261"/>
      <c r="AX60" s="608"/>
      <c r="AY60" s="262"/>
    </row>
    <row r="61" spans="1:51" s="260" customFormat="1" ht="103.5" hidden="1" customHeight="1">
      <c r="A61" s="608"/>
      <c r="B61" s="266"/>
      <c r="C61" s="1399"/>
      <c r="D61" s="1408"/>
      <c r="E61" s="1400"/>
      <c r="F61" s="267"/>
      <c r="G61" s="1399"/>
      <c r="H61" s="1408"/>
      <c r="I61" s="1400"/>
      <c r="J61" s="1380"/>
      <c r="K61" s="1380"/>
      <c r="L61" s="1380"/>
      <c r="M61" s="608"/>
      <c r="N61" s="608"/>
      <c r="O61" s="608"/>
      <c r="P61" s="608"/>
      <c r="Q61" s="266"/>
      <c r="R61" s="266"/>
      <c r="S61" s="268"/>
      <c r="T61" s="269" t="e">
        <f>VLOOKUP(Q61,[71]Listas!$D$6:$E$10,2,0)</f>
        <v>#N/A</v>
      </c>
      <c r="U61" s="269" t="e">
        <f>HLOOKUP(R61,[71]Listas!$F$4:$J$5,2,0)</f>
        <v>#N/A</v>
      </c>
      <c r="V61" s="270" t="e">
        <f>INDEX([71]Listas!$F$6:$J$10,MATCH(Q61,[71]Listas!$D$6:$D$10,0),MATCH(R61,[71]Listas!$F$4:$J$4,0))</f>
        <v>#N/A</v>
      </c>
      <c r="W61" s="268"/>
      <c r="X61" s="1399"/>
      <c r="Y61" s="1408"/>
      <c r="Z61" s="1400"/>
      <c r="AA61" s="1063"/>
      <c r="AB61" s="267"/>
      <c r="AC61" s="259"/>
      <c r="AD61" s="608"/>
      <c r="AE61" s="267"/>
      <c r="AF61" s="268"/>
      <c r="AG61" s="269">
        <f t="shared" si="10"/>
        <v>0</v>
      </c>
      <c r="AH61" s="271" t="e">
        <f t="shared" si="11"/>
        <v>#N/A</v>
      </c>
      <c r="AI61" s="272" t="e">
        <f>IF(AH61&lt;=1,"Remota",VLOOKUP(AH61,[71]Listas!$C$6:$D$10,2,0))</f>
        <v>#N/A</v>
      </c>
      <c r="AJ61" s="271" t="e">
        <f t="shared" si="12"/>
        <v>#N/A</v>
      </c>
      <c r="AK61" s="272" t="e">
        <f>IF(AJ61&lt;=1,"Insignificante",HLOOKUP(AJ61,[71]Listas!$F$3:$J$4,2,0))</f>
        <v>#N/A</v>
      </c>
      <c r="AL61" s="273" t="e">
        <f t="shared" si="13"/>
        <v>#N/A</v>
      </c>
      <c r="AM61" s="270" t="e">
        <f>INDEX([71]Listas!$F$6:$J$10,MATCH(AI61,[71]Listas!$D$6:$D$10,0),MATCH(AK61,[71]Listas!$F$4:$J$4,0))</f>
        <v>#N/A</v>
      </c>
      <c r="AN61" s="259"/>
      <c r="AO61" s="259"/>
      <c r="AP61" s="610"/>
      <c r="AQ61" s="259"/>
      <c r="AR61" s="259" t="s">
        <v>2343</v>
      </c>
      <c r="AS61" s="608"/>
      <c r="AT61" s="259"/>
      <c r="AU61" s="259"/>
      <c r="AV61" s="261"/>
      <c r="AW61" s="261"/>
      <c r="AX61" s="608"/>
      <c r="AY61" s="262"/>
    </row>
    <row r="62" spans="1:51" s="260" customFormat="1" ht="103.5" hidden="1" customHeight="1">
      <c r="A62" s="608"/>
      <c r="B62" s="266"/>
      <c r="C62" s="1399"/>
      <c r="D62" s="1408"/>
      <c r="E62" s="1400"/>
      <c r="F62" s="267"/>
      <c r="G62" s="1399"/>
      <c r="H62" s="1408"/>
      <c r="I62" s="1400"/>
      <c r="J62" s="1380"/>
      <c r="K62" s="1380"/>
      <c r="L62" s="1380"/>
      <c r="M62" s="608"/>
      <c r="N62" s="608"/>
      <c r="O62" s="608"/>
      <c r="P62" s="608"/>
      <c r="Q62" s="266"/>
      <c r="R62" s="266"/>
      <c r="S62" s="268"/>
      <c r="T62" s="269" t="e">
        <f>VLOOKUP(Q62,[71]Listas!$D$6:$E$10,2,0)</f>
        <v>#N/A</v>
      </c>
      <c r="U62" s="269" t="e">
        <f>HLOOKUP(R62,[71]Listas!$F$4:$J$5,2,0)</f>
        <v>#N/A</v>
      </c>
      <c r="V62" s="270" t="e">
        <f>INDEX([71]Listas!$F$6:$J$10,MATCH(Q62,[71]Listas!$D$6:$D$10,0),MATCH(R62,[71]Listas!$F$4:$J$4,0))</f>
        <v>#N/A</v>
      </c>
      <c r="W62" s="268"/>
      <c r="X62" s="1399"/>
      <c r="Y62" s="1408"/>
      <c r="Z62" s="1400"/>
      <c r="AA62" s="1063"/>
      <c r="AB62" s="267"/>
      <c r="AC62" s="259"/>
      <c r="AD62" s="608"/>
      <c r="AE62" s="267"/>
      <c r="AF62" s="268"/>
      <c r="AG62" s="269">
        <f t="shared" si="10"/>
        <v>0</v>
      </c>
      <c r="AH62" s="271" t="e">
        <f t="shared" si="11"/>
        <v>#N/A</v>
      </c>
      <c r="AI62" s="272" t="e">
        <f>IF(AH62&lt;=1,"Remota",VLOOKUP(AH62,[71]Listas!$C$6:$D$10,2,0))</f>
        <v>#N/A</v>
      </c>
      <c r="AJ62" s="271" t="e">
        <f t="shared" si="12"/>
        <v>#N/A</v>
      </c>
      <c r="AK62" s="272" t="e">
        <f>IF(AJ62&lt;=1,"Insignificante",HLOOKUP(AJ62,[71]Listas!$F$3:$J$4,2,0))</f>
        <v>#N/A</v>
      </c>
      <c r="AL62" s="273" t="e">
        <f t="shared" si="13"/>
        <v>#N/A</v>
      </c>
      <c r="AM62" s="270" t="e">
        <f>INDEX([71]Listas!$F$6:$J$10,MATCH(AI62,[71]Listas!$D$6:$D$10,0),MATCH(AK62,[71]Listas!$F$4:$J$4,0))</f>
        <v>#N/A</v>
      </c>
      <c r="AN62" s="259"/>
      <c r="AO62" s="259"/>
      <c r="AP62" s="610"/>
      <c r="AQ62" s="259"/>
      <c r="AR62" s="259" t="s">
        <v>2343</v>
      </c>
      <c r="AS62" s="608"/>
      <c r="AT62" s="259"/>
      <c r="AU62" s="259"/>
      <c r="AV62" s="261"/>
      <c r="AW62" s="261"/>
      <c r="AX62" s="608"/>
      <c r="AY62" s="262"/>
    </row>
    <row r="63" spans="1:51" s="260" customFormat="1" ht="103.5" hidden="1" customHeight="1">
      <c r="A63" s="608"/>
      <c r="B63" s="266"/>
      <c r="C63" s="1399"/>
      <c r="D63" s="1408"/>
      <c r="E63" s="1400"/>
      <c r="F63" s="267"/>
      <c r="G63" s="1399"/>
      <c r="H63" s="1408"/>
      <c r="I63" s="1400"/>
      <c r="J63" s="1380"/>
      <c r="K63" s="1380"/>
      <c r="L63" s="1380"/>
      <c r="M63" s="608"/>
      <c r="N63" s="608"/>
      <c r="O63" s="608"/>
      <c r="P63" s="608"/>
      <c r="Q63" s="266"/>
      <c r="R63" s="266"/>
      <c r="S63" s="268"/>
      <c r="T63" s="269" t="e">
        <f>VLOOKUP(Q63,[71]Listas!$D$6:$E$10,2,0)</f>
        <v>#N/A</v>
      </c>
      <c r="U63" s="269" t="e">
        <f>HLOOKUP(R63,[71]Listas!$F$4:$J$5,2,0)</f>
        <v>#N/A</v>
      </c>
      <c r="V63" s="270" t="e">
        <f>INDEX([71]Listas!$F$6:$J$10,MATCH(Q63,[71]Listas!$D$6:$D$10,0),MATCH(R63,[71]Listas!$F$4:$J$4,0))</f>
        <v>#N/A</v>
      </c>
      <c r="W63" s="268"/>
      <c r="X63" s="1399"/>
      <c r="Y63" s="1408"/>
      <c r="Z63" s="1400"/>
      <c r="AA63" s="1063"/>
      <c r="AB63" s="267"/>
      <c r="AC63" s="259"/>
      <c r="AD63" s="608"/>
      <c r="AE63" s="267"/>
      <c r="AF63" s="268"/>
      <c r="AG63" s="269">
        <f t="shared" si="10"/>
        <v>0</v>
      </c>
      <c r="AH63" s="271" t="e">
        <f t="shared" si="11"/>
        <v>#N/A</v>
      </c>
      <c r="AI63" s="272" t="e">
        <f>IF(AH63&lt;=1,"Remota",VLOOKUP(AH63,[71]Listas!$C$6:$D$10,2,0))</f>
        <v>#N/A</v>
      </c>
      <c r="AJ63" s="271" t="e">
        <f t="shared" si="12"/>
        <v>#N/A</v>
      </c>
      <c r="AK63" s="272" t="e">
        <f>IF(AJ63&lt;=1,"Insignificante",HLOOKUP(AJ63,[71]Listas!$F$3:$J$4,2,0))</f>
        <v>#N/A</v>
      </c>
      <c r="AL63" s="273" t="e">
        <f t="shared" si="13"/>
        <v>#N/A</v>
      </c>
      <c r="AM63" s="270" t="e">
        <f>INDEX([71]Listas!$F$6:$J$10,MATCH(AI63,[71]Listas!$D$6:$D$10,0),MATCH(AK63,[71]Listas!$F$4:$J$4,0))</f>
        <v>#N/A</v>
      </c>
      <c r="AN63" s="259"/>
      <c r="AO63" s="259"/>
      <c r="AP63" s="610"/>
      <c r="AQ63" s="259"/>
      <c r="AR63" s="259" t="s">
        <v>2343</v>
      </c>
      <c r="AS63" s="608"/>
      <c r="AT63" s="259"/>
      <c r="AU63" s="259"/>
      <c r="AV63" s="261"/>
      <c r="AW63" s="261"/>
      <c r="AX63" s="608"/>
      <c r="AY63" s="262"/>
    </row>
    <row r="64" spans="1:51" s="260" customFormat="1" ht="103.5" hidden="1" customHeight="1">
      <c r="A64" s="608"/>
      <c r="B64" s="266"/>
      <c r="C64" s="1399"/>
      <c r="D64" s="1408"/>
      <c r="E64" s="1400"/>
      <c r="F64" s="267"/>
      <c r="G64" s="1399"/>
      <c r="H64" s="1408"/>
      <c r="I64" s="1400"/>
      <c r="J64" s="1380"/>
      <c r="K64" s="1380"/>
      <c r="L64" s="1380"/>
      <c r="M64" s="608"/>
      <c r="N64" s="608"/>
      <c r="O64" s="608"/>
      <c r="P64" s="608"/>
      <c r="Q64" s="266"/>
      <c r="R64" s="266"/>
      <c r="S64" s="268"/>
      <c r="T64" s="269" t="e">
        <f>VLOOKUP(Q64,[71]Listas!$D$6:$E$10,2,0)</f>
        <v>#N/A</v>
      </c>
      <c r="U64" s="269" t="e">
        <f>HLOOKUP(R64,[71]Listas!$F$4:$J$5,2,0)</f>
        <v>#N/A</v>
      </c>
      <c r="V64" s="270" t="e">
        <f>INDEX([71]Listas!$F$6:$J$10,MATCH(Q64,[71]Listas!$D$6:$D$10,0),MATCH(R64,[71]Listas!$F$4:$J$4,0))</f>
        <v>#N/A</v>
      </c>
      <c r="W64" s="268"/>
      <c r="X64" s="1399"/>
      <c r="Y64" s="1408"/>
      <c r="Z64" s="1400"/>
      <c r="AA64" s="1063"/>
      <c r="AB64" s="267"/>
      <c r="AC64" s="259"/>
      <c r="AD64" s="608"/>
      <c r="AE64" s="267"/>
      <c r="AF64" s="268"/>
      <c r="AG64" s="269">
        <f t="shared" si="10"/>
        <v>0</v>
      </c>
      <c r="AH64" s="271" t="e">
        <f t="shared" si="11"/>
        <v>#N/A</v>
      </c>
      <c r="AI64" s="272" t="e">
        <f>IF(AH64&lt;=1,"Remota",VLOOKUP(AH64,[71]Listas!$C$6:$D$10,2,0))</f>
        <v>#N/A</v>
      </c>
      <c r="AJ64" s="271" t="e">
        <f t="shared" si="12"/>
        <v>#N/A</v>
      </c>
      <c r="AK64" s="272" t="e">
        <f>IF(AJ64&lt;=1,"Insignificante",HLOOKUP(AJ64,[71]Listas!$F$3:$J$4,2,0))</f>
        <v>#N/A</v>
      </c>
      <c r="AL64" s="273" t="e">
        <f t="shared" si="13"/>
        <v>#N/A</v>
      </c>
      <c r="AM64" s="270" t="e">
        <f>INDEX([71]Listas!$F$6:$J$10,MATCH(AI64,[71]Listas!$D$6:$D$10,0),MATCH(AK64,[71]Listas!$F$4:$J$4,0))</f>
        <v>#N/A</v>
      </c>
      <c r="AN64" s="259"/>
      <c r="AO64" s="259"/>
      <c r="AP64" s="610"/>
      <c r="AQ64" s="259"/>
      <c r="AR64" s="259" t="s">
        <v>2343</v>
      </c>
      <c r="AS64" s="608"/>
      <c r="AT64" s="259"/>
      <c r="AU64" s="259"/>
      <c r="AV64" s="261"/>
      <c r="AW64" s="261"/>
      <c r="AX64" s="608"/>
      <c r="AY64" s="262"/>
    </row>
    <row r="65" spans="1:51" s="260" customFormat="1" ht="103.5" hidden="1" customHeight="1">
      <c r="A65" s="608"/>
      <c r="B65" s="266"/>
      <c r="C65" s="1399"/>
      <c r="D65" s="1408"/>
      <c r="E65" s="1400"/>
      <c r="F65" s="267"/>
      <c r="G65" s="1399"/>
      <c r="H65" s="1408"/>
      <c r="I65" s="1400"/>
      <c r="J65" s="1380"/>
      <c r="K65" s="1380"/>
      <c r="L65" s="1380"/>
      <c r="M65" s="608"/>
      <c r="N65" s="608"/>
      <c r="O65" s="608"/>
      <c r="P65" s="608"/>
      <c r="Q65" s="266"/>
      <c r="R65" s="266"/>
      <c r="S65" s="268"/>
      <c r="T65" s="269" t="e">
        <f>VLOOKUP(Q65,[71]Listas!$D$6:$E$10,2,0)</f>
        <v>#N/A</v>
      </c>
      <c r="U65" s="269" t="e">
        <f>HLOOKUP(R65,[71]Listas!$F$4:$J$5,2,0)</f>
        <v>#N/A</v>
      </c>
      <c r="V65" s="270" t="e">
        <f>INDEX([71]Listas!$F$6:$J$10,MATCH(Q65,[71]Listas!$D$6:$D$10,0),MATCH(R65,[71]Listas!$F$4:$J$4,0))</f>
        <v>#N/A</v>
      </c>
      <c r="W65" s="268"/>
      <c r="X65" s="1399"/>
      <c r="Y65" s="1408"/>
      <c r="Z65" s="1400"/>
      <c r="AA65" s="1063"/>
      <c r="AB65" s="267"/>
      <c r="AC65" s="259"/>
      <c r="AD65" s="608"/>
      <c r="AE65" s="267"/>
      <c r="AF65" s="268"/>
      <c r="AG65" s="269">
        <f t="shared" si="10"/>
        <v>0</v>
      </c>
      <c r="AH65" s="271" t="e">
        <f t="shared" si="11"/>
        <v>#N/A</v>
      </c>
      <c r="AI65" s="272" t="e">
        <f>IF(AH65&lt;=1,"Remota",VLOOKUP(AH65,[71]Listas!$C$6:$D$10,2,0))</f>
        <v>#N/A</v>
      </c>
      <c r="AJ65" s="271" t="e">
        <f t="shared" si="12"/>
        <v>#N/A</v>
      </c>
      <c r="AK65" s="272" t="e">
        <f>IF(AJ65&lt;=1,"Insignificante",HLOOKUP(AJ65,[71]Listas!$F$3:$J$4,2,0))</f>
        <v>#N/A</v>
      </c>
      <c r="AL65" s="273" t="e">
        <f t="shared" si="13"/>
        <v>#N/A</v>
      </c>
      <c r="AM65" s="270" t="e">
        <f>INDEX([71]Listas!$F$6:$J$10,MATCH(AI65,[71]Listas!$D$6:$D$10,0),MATCH(AK65,[71]Listas!$F$4:$J$4,0))</f>
        <v>#N/A</v>
      </c>
      <c r="AN65" s="259"/>
      <c r="AO65" s="259"/>
      <c r="AP65" s="610"/>
      <c r="AQ65" s="259"/>
      <c r="AR65" s="259" t="s">
        <v>2343</v>
      </c>
      <c r="AS65" s="608"/>
      <c r="AT65" s="259"/>
      <c r="AU65" s="259"/>
      <c r="AV65" s="261"/>
      <c r="AW65" s="261"/>
      <c r="AX65" s="608"/>
      <c r="AY65" s="262"/>
    </row>
    <row r="66" spans="1:51" s="260" customFormat="1" ht="103.5" hidden="1" customHeight="1">
      <c r="A66" s="608"/>
      <c r="B66" s="266"/>
      <c r="C66" s="1399"/>
      <c r="D66" s="1408"/>
      <c r="E66" s="1400"/>
      <c r="F66" s="267"/>
      <c r="G66" s="1399"/>
      <c r="H66" s="1408"/>
      <c r="I66" s="1400"/>
      <c r="J66" s="1380"/>
      <c r="K66" s="1380"/>
      <c r="L66" s="1380"/>
      <c r="M66" s="608"/>
      <c r="N66" s="608"/>
      <c r="O66" s="608"/>
      <c r="P66" s="608"/>
      <c r="Q66" s="266"/>
      <c r="R66" s="266"/>
      <c r="S66" s="268"/>
      <c r="T66" s="269" t="e">
        <f>VLOOKUP(Q66,[71]Listas!$D$6:$E$10,2,0)</f>
        <v>#N/A</v>
      </c>
      <c r="U66" s="269" t="e">
        <f>HLOOKUP(R66,[71]Listas!$F$4:$J$5,2,0)</f>
        <v>#N/A</v>
      </c>
      <c r="V66" s="270" t="e">
        <f>INDEX([71]Listas!$F$6:$J$10,MATCH(Q66,[71]Listas!$D$6:$D$10,0),MATCH(R66,[71]Listas!$F$4:$J$4,0))</f>
        <v>#N/A</v>
      </c>
      <c r="W66" s="268"/>
      <c r="X66" s="1399"/>
      <c r="Y66" s="1408"/>
      <c r="Z66" s="1400"/>
      <c r="AA66" s="1063"/>
      <c r="AB66" s="267"/>
      <c r="AC66" s="259"/>
      <c r="AD66" s="608"/>
      <c r="AE66" s="267"/>
      <c r="AF66" s="268"/>
      <c r="AG66" s="269">
        <f t="shared" si="10"/>
        <v>0</v>
      </c>
      <c r="AH66" s="271" t="e">
        <f t="shared" si="11"/>
        <v>#N/A</v>
      </c>
      <c r="AI66" s="272" t="e">
        <f>IF(AH66&lt;=1,"Remota",VLOOKUP(AH66,[71]Listas!$C$6:$D$10,2,0))</f>
        <v>#N/A</v>
      </c>
      <c r="AJ66" s="271" t="e">
        <f t="shared" si="12"/>
        <v>#N/A</v>
      </c>
      <c r="AK66" s="272" t="e">
        <f>IF(AJ66&lt;=1,"Insignificante",HLOOKUP(AJ66,[71]Listas!$F$3:$J$4,2,0))</f>
        <v>#N/A</v>
      </c>
      <c r="AL66" s="273" t="e">
        <f t="shared" si="13"/>
        <v>#N/A</v>
      </c>
      <c r="AM66" s="270" t="e">
        <f>INDEX([71]Listas!$F$6:$J$10,MATCH(AI66,[71]Listas!$D$6:$D$10,0),MATCH(AK66,[71]Listas!$F$4:$J$4,0))</f>
        <v>#N/A</v>
      </c>
      <c r="AN66" s="259"/>
      <c r="AO66" s="259"/>
      <c r="AP66" s="610"/>
      <c r="AQ66" s="259"/>
      <c r="AR66" s="259" t="s">
        <v>2343</v>
      </c>
      <c r="AS66" s="608"/>
      <c r="AT66" s="259"/>
      <c r="AU66" s="259"/>
      <c r="AV66" s="261"/>
      <c r="AW66" s="261"/>
      <c r="AX66" s="608"/>
      <c r="AY66" s="262"/>
    </row>
    <row r="67" spans="1:51" s="260" customFormat="1" ht="103.5" hidden="1" customHeight="1">
      <c r="A67" s="608"/>
      <c r="B67" s="266"/>
      <c r="C67" s="1399"/>
      <c r="D67" s="1408"/>
      <c r="E67" s="1400"/>
      <c r="F67" s="267"/>
      <c r="G67" s="1399"/>
      <c r="H67" s="1408"/>
      <c r="I67" s="1400"/>
      <c r="J67" s="1380"/>
      <c r="K67" s="1380"/>
      <c r="L67" s="1380"/>
      <c r="M67" s="608"/>
      <c r="N67" s="608"/>
      <c r="O67" s="608"/>
      <c r="P67" s="608"/>
      <c r="Q67" s="266"/>
      <c r="R67" s="266"/>
      <c r="S67" s="268"/>
      <c r="T67" s="269" t="e">
        <f>VLOOKUP(Q67,[71]Listas!$D$6:$E$10,2,0)</f>
        <v>#N/A</v>
      </c>
      <c r="U67" s="269" t="e">
        <f>HLOOKUP(R67,[71]Listas!$F$4:$J$5,2,0)</f>
        <v>#N/A</v>
      </c>
      <c r="V67" s="270" t="e">
        <f>INDEX([71]Listas!$F$6:$J$10,MATCH(Q67,[71]Listas!$D$6:$D$10,0),MATCH(R67,[71]Listas!$F$4:$J$4,0))</f>
        <v>#N/A</v>
      </c>
      <c r="W67" s="268"/>
      <c r="X67" s="1399"/>
      <c r="Y67" s="1408"/>
      <c r="Z67" s="1400"/>
      <c r="AA67" s="1063"/>
      <c r="AB67" s="267"/>
      <c r="AC67" s="259"/>
      <c r="AD67" s="608"/>
      <c r="AE67" s="267"/>
      <c r="AF67" s="268"/>
      <c r="AG67" s="269">
        <f t="shared" si="10"/>
        <v>0</v>
      </c>
      <c r="AH67" s="271" t="e">
        <f t="shared" si="11"/>
        <v>#N/A</v>
      </c>
      <c r="AI67" s="272" t="e">
        <f>IF(AH67&lt;=1,"Remota",VLOOKUP(AH67,[71]Listas!$C$6:$D$10,2,0))</f>
        <v>#N/A</v>
      </c>
      <c r="AJ67" s="271" t="e">
        <f t="shared" si="12"/>
        <v>#N/A</v>
      </c>
      <c r="AK67" s="272" t="e">
        <f>IF(AJ67&lt;=1,"Insignificante",HLOOKUP(AJ67,[71]Listas!$F$3:$J$4,2,0))</f>
        <v>#N/A</v>
      </c>
      <c r="AL67" s="273" t="e">
        <f t="shared" si="13"/>
        <v>#N/A</v>
      </c>
      <c r="AM67" s="270" t="e">
        <f>INDEX([71]Listas!$F$6:$J$10,MATCH(AI67,[71]Listas!$D$6:$D$10,0),MATCH(AK67,[71]Listas!$F$4:$J$4,0))</f>
        <v>#N/A</v>
      </c>
      <c r="AN67" s="259"/>
      <c r="AO67" s="259"/>
      <c r="AP67" s="610"/>
      <c r="AQ67" s="259"/>
      <c r="AR67" s="259" t="s">
        <v>2343</v>
      </c>
      <c r="AS67" s="608"/>
      <c r="AT67" s="259"/>
      <c r="AU67" s="259"/>
      <c r="AV67" s="261"/>
      <c r="AW67" s="261"/>
      <c r="AX67" s="608"/>
      <c r="AY67" s="262"/>
    </row>
    <row r="68" spans="1:51" s="260" customFormat="1" ht="103.5" hidden="1" customHeight="1">
      <c r="A68" s="608"/>
      <c r="B68" s="266"/>
      <c r="C68" s="1399"/>
      <c r="D68" s="1408"/>
      <c r="E68" s="1400"/>
      <c r="F68" s="267"/>
      <c r="G68" s="1399"/>
      <c r="H68" s="1408"/>
      <c r="I68" s="1400"/>
      <c r="J68" s="1380"/>
      <c r="K68" s="1380"/>
      <c r="L68" s="1380"/>
      <c r="M68" s="608"/>
      <c r="N68" s="608"/>
      <c r="O68" s="608"/>
      <c r="P68" s="608"/>
      <c r="Q68" s="266"/>
      <c r="R68" s="266"/>
      <c r="S68" s="268"/>
      <c r="T68" s="269" t="e">
        <f>VLOOKUP(Q68,[71]Listas!$D$6:$E$10,2,0)</f>
        <v>#N/A</v>
      </c>
      <c r="U68" s="269" t="e">
        <f>HLOOKUP(R68,[71]Listas!$F$4:$J$5,2,0)</f>
        <v>#N/A</v>
      </c>
      <c r="V68" s="270" t="e">
        <f>INDEX([71]Listas!$F$6:$J$10,MATCH(Q68,[71]Listas!$D$6:$D$10,0),MATCH(R68,[71]Listas!$F$4:$J$4,0))</f>
        <v>#N/A</v>
      </c>
      <c r="W68" s="268"/>
      <c r="X68" s="1399"/>
      <c r="Y68" s="1408"/>
      <c r="Z68" s="1400"/>
      <c r="AA68" s="1063"/>
      <c r="AB68" s="267"/>
      <c r="AC68" s="259"/>
      <c r="AD68" s="608"/>
      <c r="AE68" s="267"/>
      <c r="AF68" s="268"/>
      <c r="AG68" s="269">
        <f t="shared" si="10"/>
        <v>0</v>
      </c>
      <c r="AH68" s="271" t="e">
        <f t="shared" si="11"/>
        <v>#N/A</v>
      </c>
      <c r="AI68" s="272" t="e">
        <f>IF(AH68&lt;=1,"Remota",VLOOKUP(AH68,[71]Listas!$C$6:$D$10,2,0))</f>
        <v>#N/A</v>
      </c>
      <c r="AJ68" s="271" t="e">
        <f t="shared" si="12"/>
        <v>#N/A</v>
      </c>
      <c r="AK68" s="272" t="e">
        <f>IF(AJ68&lt;=1,"Insignificante",HLOOKUP(AJ68,[71]Listas!$F$3:$J$4,2,0))</f>
        <v>#N/A</v>
      </c>
      <c r="AL68" s="273" t="e">
        <f t="shared" si="13"/>
        <v>#N/A</v>
      </c>
      <c r="AM68" s="270" t="e">
        <f>INDEX([71]Listas!$F$6:$J$10,MATCH(AI68,[71]Listas!$D$6:$D$10,0),MATCH(AK68,[71]Listas!$F$4:$J$4,0))</f>
        <v>#N/A</v>
      </c>
      <c r="AN68" s="259"/>
      <c r="AO68" s="259"/>
      <c r="AP68" s="610"/>
      <c r="AQ68" s="259"/>
      <c r="AR68" s="259" t="s">
        <v>2343</v>
      </c>
      <c r="AS68" s="608"/>
      <c r="AT68" s="259"/>
      <c r="AU68" s="259"/>
      <c r="AV68" s="261"/>
      <c r="AW68" s="261"/>
      <c r="AX68" s="608"/>
      <c r="AY68" s="262"/>
    </row>
    <row r="69" spans="1:51" s="260" customFormat="1" ht="103.5" hidden="1" customHeight="1">
      <c r="A69" s="608"/>
      <c r="B69" s="266"/>
      <c r="C69" s="1399"/>
      <c r="D69" s="1408"/>
      <c r="E69" s="1400"/>
      <c r="F69" s="267"/>
      <c r="G69" s="1399"/>
      <c r="H69" s="1408"/>
      <c r="I69" s="1400"/>
      <c r="J69" s="1380"/>
      <c r="K69" s="1380"/>
      <c r="L69" s="1380"/>
      <c r="M69" s="608"/>
      <c r="N69" s="608"/>
      <c r="O69" s="608"/>
      <c r="P69" s="608"/>
      <c r="Q69" s="266"/>
      <c r="R69" s="266"/>
      <c r="S69" s="268"/>
      <c r="T69" s="269" t="e">
        <f>VLOOKUP(Q69,[71]Listas!$D$6:$E$10,2,0)</f>
        <v>#N/A</v>
      </c>
      <c r="U69" s="269" t="e">
        <f>HLOOKUP(R69,[71]Listas!$F$4:$J$5,2,0)</f>
        <v>#N/A</v>
      </c>
      <c r="V69" s="270" t="e">
        <f>INDEX([71]Listas!$F$6:$J$10,MATCH(Q69,[71]Listas!$D$6:$D$10,0),MATCH(R69,[71]Listas!$F$4:$J$4,0))</f>
        <v>#N/A</v>
      </c>
      <c r="W69" s="268"/>
      <c r="X69" s="1399"/>
      <c r="Y69" s="1408"/>
      <c r="Z69" s="1400"/>
      <c r="AA69" s="1063"/>
      <c r="AB69" s="267"/>
      <c r="AC69" s="259"/>
      <c r="AD69" s="608"/>
      <c r="AE69" s="267"/>
      <c r="AF69" s="268"/>
      <c r="AG69" s="269">
        <f t="shared" si="10"/>
        <v>0</v>
      </c>
      <c r="AH69" s="271" t="e">
        <f t="shared" si="11"/>
        <v>#N/A</v>
      </c>
      <c r="AI69" s="272" t="e">
        <f>IF(AH69&lt;=1,"Remota",VLOOKUP(AH69,[71]Listas!$C$6:$D$10,2,0))</f>
        <v>#N/A</v>
      </c>
      <c r="AJ69" s="271" t="e">
        <f t="shared" si="12"/>
        <v>#N/A</v>
      </c>
      <c r="AK69" s="272" t="e">
        <f>IF(AJ69&lt;=1,"Insignificante",HLOOKUP(AJ69,[71]Listas!$F$3:$J$4,2,0))</f>
        <v>#N/A</v>
      </c>
      <c r="AL69" s="273" t="e">
        <f t="shared" si="13"/>
        <v>#N/A</v>
      </c>
      <c r="AM69" s="270" t="e">
        <f>INDEX([71]Listas!$F$6:$J$10,MATCH(AI69,[71]Listas!$D$6:$D$10,0),MATCH(AK69,[71]Listas!$F$4:$J$4,0))</f>
        <v>#N/A</v>
      </c>
      <c r="AN69" s="259"/>
      <c r="AO69" s="259"/>
      <c r="AP69" s="610"/>
      <c r="AQ69" s="259"/>
      <c r="AR69" s="259" t="s">
        <v>2343</v>
      </c>
      <c r="AS69" s="608"/>
      <c r="AT69" s="259"/>
      <c r="AU69" s="259"/>
      <c r="AV69" s="261"/>
      <c r="AW69" s="261"/>
      <c r="AX69" s="608"/>
      <c r="AY69" s="262"/>
    </row>
    <row r="70" spans="1:51" s="260" customFormat="1" ht="103.5" hidden="1" customHeight="1">
      <c r="A70" s="608"/>
      <c r="B70" s="266"/>
      <c r="C70" s="1399"/>
      <c r="D70" s="1408"/>
      <c r="E70" s="1400"/>
      <c r="F70" s="267"/>
      <c r="G70" s="1399"/>
      <c r="H70" s="1408"/>
      <c r="I70" s="1400"/>
      <c r="J70" s="1380"/>
      <c r="K70" s="1380"/>
      <c r="L70" s="1380"/>
      <c r="M70" s="608"/>
      <c r="N70" s="608"/>
      <c r="O70" s="608"/>
      <c r="P70" s="608"/>
      <c r="Q70" s="266"/>
      <c r="R70" s="266"/>
      <c r="S70" s="268"/>
      <c r="T70" s="269" t="e">
        <f>VLOOKUP(Q70,[71]Listas!$D$6:$E$10,2,0)</f>
        <v>#N/A</v>
      </c>
      <c r="U70" s="269" t="e">
        <f>HLOOKUP(R70,[71]Listas!$F$4:$J$5,2,0)</f>
        <v>#N/A</v>
      </c>
      <c r="V70" s="270" t="e">
        <f>INDEX([71]Listas!$F$6:$J$10,MATCH(Q70,[71]Listas!$D$6:$D$10,0),MATCH(R70,[71]Listas!$F$4:$J$4,0))</f>
        <v>#N/A</v>
      </c>
      <c r="W70" s="268"/>
      <c r="X70" s="1399"/>
      <c r="Y70" s="1408"/>
      <c r="Z70" s="1400"/>
      <c r="AA70" s="1063"/>
      <c r="AB70" s="267"/>
      <c r="AC70" s="259"/>
      <c r="AD70" s="608"/>
      <c r="AE70" s="267"/>
      <c r="AF70" s="268"/>
      <c r="AG70" s="269">
        <f t="shared" si="10"/>
        <v>0</v>
      </c>
      <c r="AH70" s="271" t="e">
        <f t="shared" si="11"/>
        <v>#N/A</v>
      </c>
      <c r="AI70" s="272" t="e">
        <f>IF(AH70&lt;=1,"Remota",VLOOKUP(AH70,[71]Listas!$C$6:$D$10,2,0))</f>
        <v>#N/A</v>
      </c>
      <c r="AJ70" s="271" t="e">
        <f t="shared" si="12"/>
        <v>#N/A</v>
      </c>
      <c r="AK70" s="272" t="e">
        <f>IF(AJ70&lt;=1,"Insignificante",HLOOKUP(AJ70,[71]Listas!$F$3:$J$4,2,0))</f>
        <v>#N/A</v>
      </c>
      <c r="AL70" s="273" t="e">
        <f t="shared" si="13"/>
        <v>#N/A</v>
      </c>
      <c r="AM70" s="270" t="e">
        <f>INDEX([71]Listas!$F$6:$J$10,MATCH(AI70,[71]Listas!$D$6:$D$10,0),MATCH(AK70,[71]Listas!$F$4:$J$4,0))</f>
        <v>#N/A</v>
      </c>
      <c r="AN70" s="259"/>
      <c r="AO70" s="259"/>
      <c r="AP70" s="610"/>
      <c r="AQ70" s="259"/>
      <c r="AR70" s="259" t="s">
        <v>2343</v>
      </c>
      <c r="AS70" s="608"/>
      <c r="AT70" s="259"/>
      <c r="AU70" s="259"/>
      <c r="AV70" s="261"/>
      <c r="AW70" s="261"/>
      <c r="AX70" s="608"/>
      <c r="AY70" s="262"/>
    </row>
    <row r="71" spans="1:51" s="260" customFormat="1" ht="103.5" hidden="1" customHeight="1">
      <c r="A71" s="608"/>
      <c r="B71" s="266"/>
      <c r="C71" s="1399"/>
      <c r="D71" s="1408"/>
      <c r="E71" s="1400"/>
      <c r="F71" s="267"/>
      <c r="G71" s="1399"/>
      <c r="H71" s="1408"/>
      <c r="I71" s="1400"/>
      <c r="J71" s="1380"/>
      <c r="K71" s="1380"/>
      <c r="L71" s="1380"/>
      <c r="M71" s="608"/>
      <c r="N71" s="608"/>
      <c r="O71" s="608"/>
      <c r="P71" s="608"/>
      <c r="Q71" s="266"/>
      <c r="R71" s="266"/>
      <c r="S71" s="268"/>
      <c r="T71" s="269" t="e">
        <f>VLOOKUP(Q71,[71]Listas!$D$6:$E$10,2,0)</f>
        <v>#N/A</v>
      </c>
      <c r="U71" s="269" t="e">
        <f>HLOOKUP(R71,[71]Listas!$F$4:$J$5,2,0)</f>
        <v>#N/A</v>
      </c>
      <c r="V71" s="270" t="e">
        <f>INDEX([71]Listas!$F$6:$J$10,MATCH(Q71,[71]Listas!$D$6:$D$10,0),MATCH(R71,[71]Listas!$F$4:$J$4,0))</f>
        <v>#N/A</v>
      </c>
      <c r="W71" s="268"/>
      <c r="X71" s="1399"/>
      <c r="Y71" s="1408"/>
      <c r="Z71" s="1400"/>
      <c r="AA71" s="1063"/>
      <c r="AB71" s="267"/>
      <c r="AC71" s="259"/>
      <c r="AD71" s="608"/>
      <c r="AE71" s="267"/>
      <c r="AF71" s="268"/>
      <c r="AG71" s="269">
        <f t="shared" si="10"/>
        <v>0</v>
      </c>
      <c r="AH71" s="271" t="e">
        <f t="shared" si="11"/>
        <v>#N/A</v>
      </c>
      <c r="AI71" s="272" t="e">
        <f>IF(AH71&lt;=1,"Remota",VLOOKUP(AH71,[71]Listas!$C$6:$D$10,2,0))</f>
        <v>#N/A</v>
      </c>
      <c r="AJ71" s="271" t="e">
        <f t="shared" si="12"/>
        <v>#N/A</v>
      </c>
      <c r="AK71" s="272" t="e">
        <f>IF(AJ71&lt;=1,"Insignificante",HLOOKUP(AJ71,[71]Listas!$F$3:$J$4,2,0))</f>
        <v>#N/A</v>
      </c>
      <c r="AL71" s="273" t="e">
        <f t="shared" si="13"/>
        <v>#N/A</v>
      </c>
      <c r="AM71" s="270" t="e">
        <f>INDEX([71]Listas!$F$6:$J$10,MATCH(AI71,[71]Listas!$D$6:$D$10,0),MATCH(AK71,[71]Listas!$F$4:$J$4,0))</f>
        <v>#N/A</v>
      </c>
      <c r="AN71" s="259"/>
      <c r="AO71" s="259"/>
      <c r="AP71" s="610"/>
      <c r="AQ71" s="259"/>
      <c r="AR71" s="259" t="s">
        <v>2343</v>
      </c>
      <c r="AS71" s="608"/>
      <c r="AT71" s="259"/>
      <c r="AU71" s="259"/>
      <c r="AV71" s="261"/>
      <c r="AW71" s="261"/>
      <c r="AX71" s="608"/>
      <c r="AY71" s="262"/>
    </row>
    <row r="72" spans="1:51" s="260" customFormat="1" ht="103.5" hidden="1" customHeight="1">
      <c r="A72" s="608"/>
      <c r="B72" s="266"/>
      <c r="C72" s="1399"/>
      <c r="D72" s="1408"/>
      <c r="E72" s="1400"/>
      <c r="F72" s="267"/>
      <c r="G72" s="1399"/>
      <c r="H72" s="1408"/>
      <c r="I72" s="1400"/>
      <c r="J72" s="1380"/>
      <c r="K72" s="1380"/>
      <c r="L72" s="1380"/>
      <c r="M72" s="608"/>
      <c r="N72" s="608"/>
      <c r="O72" s="608"/>
      <c r="P72" s="608"/>
      <c r="Q72" s="266"/>
      <c r="R72" s="266"/>
      <c r="S72" s="268"/>
      <c r="T72" s="269" t="e">
        <f>VLOOKUP(Q72,[71]Listas!$D$6:$E$10,2,0)</f>
        <v>#N/A</v>
      </c>
      <c r="U72" s="269" t="e">
        <f>HLOOKUP(R72,[71]Listas!$F$4:$J$5,2,0)</f>
        <v>#N/A</v>
      </c>
      <c r="V72" s="270" t="e">
        <f>INDEX([71]Listas!$F$6:$J$10,MATCH(Q72,[71]Listas!$D$6:$D$10,0),MATCH(R72,[71]Listas!$F$4:$J$4,0))</f>
        <v>#N/A</v>
      </c>
      <c r="W72" s="268"/>
      <c r="X72" s="1399"/>
      <c r="Y72" s="1408"/>
      <c r="Z72" s="1400"/>
      <c r="AA72" s="1063"/>
      <c r="AB72" s="267"/>
      <c r="AC72" s="259"/>
      <c r="AD72" s="608"/>
      <c r="AE72" s="267"/>
      <c r="AF72" s="268"/>
      <c r="AG72" s="269">
        <f t="shared" si="10"/>
        <v>0</v>
      </c>
      <c r="AH72" s="271" t="e">
        <f t="shared" si="11"/>
        <v>#N/A</v>
      </c>
      <c r="AI72" s="272" t="e">
        <f>IF(AH72&lt;=1,"Remota",VLOOKUP(AH72,[71]Listas!$C$6:$D$10,2,0))</f>
        <v>#N/A</v>
      </c>
      <c r="AJ72" s="271" t="e">
        <f t="shared" si="12"/>
        <v>#N/A</v>
      </c>
      <c r="AK72" s="272" t="e">
        <f>IF(AJ72&lt;=1,"Insignificante",HLOOKUP(AJ72,[71]Listas!$F$3:$J$4,2,0))</f>
        <v>#N/A</v>
      </c>
      <c r="AL72" s="273" t="e">
        <f t="shared" si="13"/>
        <v>#N/A</v>
      </c>
      <c r="AM72" s="270" t="e">
        <f>INDEX([71]Listas!$F$6:$J$10,MATCH(AI72,[71]Listas!$D$6:$D$10,0),MATCH(AK72,[71]Listas!$F$4:$J$4,0))</f>
        <v>#N/A</v>
      </c>
      <c r="AN72" s="259"/>
      <c r="AO72" s="259"/>
      <c r="AP72" s="610"/>
      <c r="AQ72" s="259"/>
      <c r="AR72" s="259" t="s">
        <v>2343</v>
      </c>
      <c r="AS72" s="608"/>
      <c r="AT72" s="259"/>
      <c r="AU72" s="259"/>
      <c r="AV72" s="261"/>
      <c r="AW72" s="261"/>
      <c r="AX72" s="608"/>
      <c r="AY72" s="262"/>
    </row>
    <row r="73" spans="1:51" s="260" customFormat="1" ht="103.5" hidden="1" customHeight="1">
      <c r="A73" s="608"/>
      <c r="B73" s="266"/>
      <c r="C73" s="1399"/>
      <c r="D73" s="1408"/>
      <c r="E73" s="1400"/>
      <c r="F73" s="267"/>
      <c r="G73" s="1399"/>
      <c r="H73" s="1408"/>
      <c r="I73" s="1400"/>
      <c r="J73" s="1380"/>
      <c r="K73" s="1380"/>
      <c r="L73" s="1380"/>
      <c r="M73" s="608"/>
      <c r="N73" s="608"/>
      <c r="O73" s="608"/>
      <c r="P73" s="608"/>
      <c r="Q73" s="266"/>
      <c r="R73" s="266"/>
      <c r="S73" s="268"/>
      <c r="T73" s="269" t="e">
        <f>VLOOKUP(Q73,[71]Listas!$D$6:$E$10,2,0)</f>
        <v>#N/A</v>
      </c>
      <c r="U73" s="269" t="e">
        <f>HLOOKUP(R73,[71]Listas!$F$4:$J$5,2,0)</f>
        <v>#N/A</v>
      </c>
      <c r="V73" s="270" t="e">
        <f>INDEX([71]Listas!$F$6:$J$10,MATCH(Q73,[71]Listas!$D$6:$D$10,0),MATCH(R73,[71]Listas!$F$4:$J$4,0))</f>
        <v>#N/A</v>
      </c>
      <c r="W73" s="268"/>
      <c r="X73" s="1399"/>
      <c r="Y73" s="1408"/>
      <c r="Z73" s="1400"/>
      <c r="AA73" s="1063"/>
      <c r="AB73" s="267"/>
      <c r="AC73" s="259"/>
      <c r="AD73" s="608"/>
      <c r="AE73" s="267"/>
      <c r="AF73" s="268"/>
      <c r="AG73" s="269">
        <f t="shared" si="10"/>
        <v>0</v>
      </c>
      <c r="AH73" s="271" t="e">
        <f t="shared" si="11"/>
        <v>#N/A</v>
      </c>
      <c r="AI73" s="272" t="e">
        <f>IF(AH73&lt;=1,"Remota",VLOOKUP(AH73,[71]Listas!$C$6:$D$10,2,0))</f>
        <v>#N/A</v>
      </c>
      <c r="AJ73" s="271" t="e">
        <f t="shared" si="12"/>
        <v>#N/A</v>
      </c>
      <c r="AK73" s="272" t="e">
        <f>IF(AJ73&lt;=1,"Insignificante",HLOOKUP(AJ73,[71]Listas!$F$3:$J$4,2,0))</f>
        <v>#N/A</v>
      </c>
      <c r="AL73" s="273" t="e">
        <f t="shared" si="13"/>
        <v>#N/A</v>
      </c>
      <c r="AM73" s="270" t="e">
        <f>INDEX([71]Listas!$F$6:$J$10,MATCH(AI73,[71]Listas!$D$6:$D$10,0),MATCH(AK73,[71]Listas!$F$4:$J$4,0))</f>
        <v>#N/A</v>
      </c>
      <c r="AN73" s="259"/>
      <c r="AO73" s="259"/>
      <c r="AP73" s="610"/>
      <c r="AQ73" s="259"/>
      <c r="AR73" s="259" t="s">
        <v>2343</v>
      </c>
      <c r="AS73" s="608"/>
      <c r="AT73" s="259"/>
      <c r="AU73" s="259"/>
      <c r="AV73" s="261"/>
      <c r="AW73" s="261"/>
      <c r="AX73" s="608"/>
      <c r="AY73" s="262"/>
    </row>
    <row r="74" spans="1:51" s="260" customFormat="1" ht="103.5" hidden="1" customHeight="1">
      <c r="A74" s="608"/>
      <c r="B74" s="266"/>
      <c r="C74" s="1399"/>
      <c r="D74" s="1408"/>
      <c r="E74" s="1400"/>
      <c r="F74" s="267"/>
      <c r="G74" s="1399"/>
      <c r="H74" s="1408"/>
      <c r="I74" s="1400"/>
      <c r="J74" s="1380"/>
      <c r="K74" s="1380"/>
      <c r="L74" s="1380"/>
      <c r="M74" s="608"/>
      <c r="N74" s="608"/>
      <c r="O74" s="608"/>
      <c r="P74" s="608"/>
      <c r="Q74" s="266"/>
      <c r="R74" s="266"/>
      <c r="S74" s="268"/>
      <c r="T74" s="269" t="e">
        <f>VLOOKUP(Q74,[71]Listas!$D$6:$E$10,2,0)</f>
        <v>#N/A</v>
      </c>
      <c r="U74" s="269" t="e">
        <f>HLOOKUP(R74,[71]Listas!$F$4:$J$5,2,0)</f>
        <v>#N/A</v>
      </c>
      <c r="V74" s="270" t="e">
        <f>INDEX([71]Listas!$F$6:$J$10,MATCH(Q74,[71]Listas!$D$6:$D$10,0),MATCH(R74,[71]Listas!$F$4:$J$4,0))</f>
        <v>#N/A</v>
      </c>
      <c r="W74" s="268"/>
      <c r="X74" s="1399"/>
      <c r="Y74" s="1408"/>
      <c r="Z74" s="1400"/>
      <c r="AA74" s="1063"/>
      <c r="AB74" s="267"/>
      <c r="AC74" s="259"/>
      <c r="AD74" s="608"/>
      <c r="AE74" s="267"/>
      <c r="AF74" s="268"/>
      <c r="AG74" s="269">
        <f t="shared" si="10"/>
        <v>0</v>
      </c>
      <c r="AH74" s="271" t="e">
        <f t="shared" si="11"/>
        <v>#N/A</v>
      </c>
      <c r="AI74" s="272" t="e">
        <f>IF(AH74&lt;=1,"Remota",VLOOKUP(AH74,[71]Listas!$C$6:$D$10,2,0))</f>
        <v>#N/A</v>
      </c>
      <c r="AJ74" s="271" t="e">
        <f t="shared" si="12"/>
        <v>#N/A</v>
      </c>
      <c r="AK74" s="272" t="e">
        <f>IF(AJ74&lt;=1,"Insignificante",HLOOKUP(AJ74,[71]Listas!$F$3:$J$4,2,0))</f>
        <v>#N/A</v>
      </c>
      <c r="AL74" s="273" t="e">
        <f t="shared" si="13"/>
        <v>#N/A</v>
      </c>
      <c r="AM74" s="270" t="e">
        <f>INDEX([71]Listas!$F$6:$J$10,MATCH(AI74,[71]Listas!$D$6:$D$10,0),MATCH(AK74,[71]Listas!$F$4:$J$4,0))</f>
        <v>#N/A</v>
      </c>
      <c r="AN74" s="259"/>
      <c r="AO74" s="259"/>
      <c r="AP74" s="610"/>
      <c r="AQ74" s="259"/>
      <c r="AR74" s="259" t="s">
        <v>2343</v>
      </c>
      <c r="AS74" s="608"/>
      <c r="AT74" s="259"/>
      <c r="AU74" s="259"/>
      <c r="AV74" s="261"/>
      <c r="AW74" s="261"/>
      <c r="AX74" s="608"/>
      <c r="AY74" s="262"/>
    </row>
    <row r="75" spans="1:51" s="260" customFormat="1" ht="103.5" hidden="1" customHeight="1">
      <c r="A75" s="608"/>
      <c r="B75" s="266"/>
      <c r="C75" s="1399"/>
      <c r="D75" s="1408"/>
      <c r="E75" s="1400"/>
      <c r="F75" s="267"/>
      <c r="G75" s="1399"/>
      <c r="H75" s="1408"/>
      <c r="I75" s="1400"/>
      <c r="J75" s="1380"/>
      <c r="K75" s="1380"/>
      <c r="L75" s="1380"/>
      <c r="M75" s="608"/>
      <c r="N75" s="608"/>
      <c r="O75" s="608"/>
      <c r="P75" s="608"/>
      <c r="Q75" s="266"/>
      <c r="R75" s="266"/>
      <c r="S75" s="268"/>
      <c r="T75" s="269" t="e">
        <f>VLOOKUP(Q75,[71]Listas!$D$6:$E$10,2,0)</f>
        <v>#N/A</v>
      </c>
      <c r="U75" s="269" t="e">
        <f>HLOOKUP(R75,[71]Listas!$F$4:$J$5,2,0)</f>
        <v>#N/A</v>
      </c>
      <c r="V75" s="270" t="e">
        <f>INDEX([71]Listas!$F$6:$J$10,MATCH(Q75,[71]Listas!$D$6:$D$10,0),MATCH(R75,[71]Listas!$F$4:$J$4,0))</f>
        <v>#N/A</v>
      </c>
      <c r="W75" s="268"/>
      <c r="X75" s="1399"/>
      <c r="Y75" s="1408"/>
      <c r="Z75" s="1400"/>
      <c r="AA75" s="1063"/>
      <c r="AB75" s="267"/>
      <c r="AC75" s="259"/>
      <c r="AD75" s="608"/>
      <c r="AE75" s="267"/>
      <c r="AF75" s="268"/>
      <c r="AG75" s="269">
        <f t="shared" si="10"/>
        <v>0</v>
      </c>
      <c r="AH75" s="271" t="e">
        <f t="shared" si="11"/>
        <v>#N/A</v>
      </c>
      <c r="AI75" s="272" t="e">
        <f>IF(AH75&lt;=1,"Remota",VLOOKUP(AH75,[71]Listas!$C$6:$D$10,2,0))</f>
        <v>#N/A</v>
      </c>
      <c r="AJ75" s="271" t="e">
        <f t="shared" si="12"/>
        <v>#N/A</v>
      </c>
      <c r="AK75" s="272" t="e">
        <f>IF(AJ75&lt;=1,"Insignificante",HLOOKUP(AJ75,[71]Listas!$F$3:$J$4,2,0))</f>
        <v>#N/A</v>
      </c>
      <c r="AL75" s="273" t="e">
        <f t="shared" si="13"/>
        <v>#N/A</v>
      </c>
      <c r="AM75" s="270" t="e">
        <f>INDEX([71]Listas!$F$6:$J$10,MATCH(AI75,[71]Listas!$D$6:$D$10,0),MATCH(AK75,[71]Listas!$F$4:$J$4,0))</f>
        <v>#N/A</v>
      </c>
      <c r="AN75" s="259"/>
      <c r="AO75" s="259"/>
      <c r="AP75" s="610"/>
      <c r="AQ75" s="259"/>
      <c r="AR75" s="259" t="s">
        <v>2343</v>
      </c>
      <c r="AS75" s="608"/>
      <c r="AT75" s="259"/>
      <c r="AU75" s="259"/>
      <c r="AV75" s="261"/>
      <c r="AW75" s="261"/>
      <c r="AX75" s="608"/>
      <c r="AY75" s="262"/>
    </row>
    <row r="76" spans="1:51" s="260" customFormat="1" ht="103.5" hidden="1" customHeight="1">
      <c r="A76" s="608"/>
      <c r="B76" s="266"/>
      <c r="C76" s="1399"/>
      <c r="D76" s="1408"/>
      <c r="E76" s="1400"/>
      <c r="F76" s="267"/>
      <c r="G76" s="1399"/>
      <c r="H76" s="1408"/>
      <c r="I76" s="1400"/>
      <c r="J76" s="1380"/>
      <c r="K76" s="1380"/>
      <c r="L76" s="1380"/>
      <c r="M76" s="608"/>
      <c r="N76" s="608"/>
      <c r="O76" s="608"/>
      <c r="P76" s="608"/>
      <c r="Q76" s="266"/>
      <c r="R76" s="266"/>
      <c r="S76" s="268"/>
      <c r="T76" s="269" t="e">
        <f>VLOOKUP(Q76,[71]Listas!$D$6:$E$10,2,0)</f>
        <v>#N/A</v>
      </c>
      <c r="U76" s="269" t="e">
        <f>HLOOKUP(R76,[71]Listas!$F$4:$J$5,2,0)</f>
        <v>#N/A</v>
      </c>
      <c r="V76" s="270" t="e">
        <f>INDEX([71]Listas!$F$6:$J$10,MATCH(Q76,[71]Listas!$D$6:$D$10,0),MATCH(R76,[71]Listas!$F$4:$J$4,0))</f>
        <v>#N/A</v>
      </c>
      <c r="W76" s="268"/>
      <c r="X76" s="1399"/>
      <c r="Y76" s="1408"/>
      <c r="Z76" s="1400"/>
      <c r="AA76" s="1063"/>
      <c r="AB76" s="267"/>
      <c r="AC76" s="259"/>
      <c r="AD76" s="608"/>
      <c r="AE76" s="267"/>
      <c r="AF76" s="268"/>
      <c r="AG76" s="269">
        <f t="shared" si="10"/>
        <v>0</v>
      </c>
      <c r="AH76" s="271" t="e">
        <f t="shared" si="11"/>
        <v>#N/A</v>
      </c>
      <c r="AI76" s="272" t="e">
        <f>IF(AH76&lt;=1,"Remota",VLOOKUP(AH76,[71]Listas!$C$6:$D$10,2,0))</f>
        <v>#N/A</v>
      </c>
      <c r="AJ76" s="271" t="e">
        <f t="shared" si="12"/>
        <v>#N/A</v>
      </c>
      <c r="AK76" s="272" t="e">
        <f>IF(AJ76&lt;=1,"Insignificante",HLOOKUP(AJ76,[71]Listas!$F$3:$J$4,2,0))</f>
        <v>#N/A</v>
      </c>
      <c r="AL76" s="273" t="e">
        <f t="shared" si="13"/>
        <v>#N/A</v>
      </c>
      <c r="AM76" s="270" t="e">
        <f>INDEX([71]Listas!$F$6:$J$10,MATCH(AI76,[71]Listas!$D$6:$D$10,0),MATCH(AK76,[71]Listas!$F$4:$J$4,0))</f>
        <v>#N/A</v>
      </c>
      <c r="AN76" s="259"/>
      <c r="AO76" s="259"/>
      <c r="AP76" s="610"/>
      <c r="AQ76" s="259"/>
      <c r="AR76" s="259" t="s">
        <v>2343</v>
      </c>
      <c r="AS76" s="608"/>
      <c r="AT76" s="259"/>
      <c r="AU76" s="259"/>
      <c r="AV76" s="261"/>
      <c r="AW76" s="261"/>
      <c r="AX76" s="608"/>
      <c r="AY76" s="262"/>
    </row>
    <row r="77" spans="1:51" s="260" customFormat="1" ht="103.5" hidden="1" customHeight="1">
      <c r="A77" s="608"/>
      <c r="B77" s="266"/>
      <c r="C77" s="1399"/>
      <c r="D77" s="1408"/>
      <c r="E77" s="1400"/>
      <c r="F77" s="266"/>
      <c r="G77" s="1399"/>
      <c r="H77" s="1408"/>
      <c r="I77" s="1400"/>
      <c r="J77" s="1380"/>
      <c r="K77" s="1380"/>
      <c r="L77" s="1380"/>
      <c r="M77" s="608"/>
      <c r="N77" s="608"/>
      <c r="O77" s="608"/>
      <c r="P77" s="608"/>
      <c r="Q77" s="266"/>
      <c r="R77" s="266"/>
      <c r="S77" s="268"/>
      <c r="T77" s="269" t="e">
        <f>VLOOKUP(Q77,[71]Listas!$D$6:$E$10,2,0)</f>
        <v>#N/A</v>
      </c>
      <c r="U77" s="269" t="e">
        <f>HLOOKUP(R77,[71]Listas!$F$4:$J$5,2,0)</f>
        <v>#N/A</v>
      </c>
      <c r="V77" s="270" t="e">
        <f>INDEX([71]Listas!$F$6:$J$10,MATCH(Q77,[71]Listas!$D$6:$D$10,0),MATCH(R77,[71]Listas!$F$4:$J$4,0))</f>
        <v>#N/A</v>
      </c>
      <c r="W77" s="268"/>
      <c r="X77" s="1399"/>
      <c r="Y77" s="1408"/>
      <c r="Z77" s="1400"/>
      <c r="AA77" s="1063"/>
      <c r="AB77" s="267"/>
      <c r="AC77" s="259"/>
      <c r="AD77" s="608"/>
      <c r="AE77" s="267"/>
      <c r="AF77" s="268"/>
      <c r="AG77" s="269">
        <f>IF(AD77&lt;=33,0,IF(AD77&gt;81,2,1))</f>
        <v>0</v>
      </c>
      <c r="AH77" s="271" t="e">
        <f>IF(OR(AE77="Probabilidad",AE77="Ambos"),T77-AG77,T77)</f>
        <v>#N/A</v>
      </c>
      <c r="AI77" s="272" t="e">
        <f>IF(AH77&lt;=1,"Remota",VLOOKUP(AH77,[71]Listas!$C$6:$D$10,2,0))</f>
        <v>#N/A</v>
      </c>
      <c r="AJ77" s="271" t="e">
        <f>IF(OR(AE77="Impacto",AE77="Ambos"),U77-AG77,U77)</f>
        <v>#N/A</v>
      </c>
      <c r="AK77" s="272" t="e">
        <f>IF(AJ77&lt;=1,"Insignificante",HLOOKUP(AJ77,[71]Listas!$F$3:$J$4,2,0))</f>
        <v>#N/A</v>
      </c>
      <c r="AL77" s="273" t="e">
        <f>AH77*AJ77</f>
        <v>#N/A</v>
      </c>
      <c r="AM77" s="270" t="e">
        <f>INDEX([71]Listas!$F$6:$J$10,MATCH(AI77,[71]Listas!$D$6:$D$10,0),MATCH(AK77,[71]Listas!$F$4:$J$4,0))</f>
        <v>#N/A</v>
      </c>
      <c r="AN77" s="259"/>
      <c r="AO77" s="259"/>
      <c r="AP77" s="610"/>
      <c r="AQ77" s="259"/>
      <c r="AR77" s="259" t="s">
        <v>2343</v>
      </c>
      <c r="AS77" s="608"/>
      <c r="AU77" s="259"/>
      <c r="AV77" s="261"/>
      <c r="AW77" s="261"/>
      <c r="AX77" s="608"/>
      <c r="AY77" s="262"/>
    </row>
    <row r="78" spans="1:51" s="260" customFormat="1" ht="103.5" hidden="1" customHeight="1">
      <c r="A78" s="608"/>
      <c r="B78" s="266"/>
      <c r="C78" s="1399"/>
      <c r="D78" s="1408"/>
      <c r="E78" s="1400"/>
      <c r="F78" s="267"/>
      <c r="G78" s="1399"/>
      <c r="H78" s="1408"/>
      <c r="I78" s="1400"/>
      <c r="J78" s="1380"/>
      <c r="K78" s="1380"/>
      <c r="L78" s="1380"/>
      <c r="M78" s="608"/>
      <c r="N78" s="608"/>
      <c r="O78" s="608"/>
      <c r="P78" s="608"/>
      <c r="Q78" s="266"/>
      <c r="R78" s="266"/>
      <c r="S78" s="268"/>
      <c r="T78" s="269" t="e">
        <f>VLOOKUP(Q78,[71]Listas!$D$6:$E$10,2,0)</f>
        <v>#N/A</v>
      </c>
      <c r="U78" s="269" t="e">
        <f>HLOOKUP(R78,[71]Listas!$F$4:$J$5,2,0)</f>
        <v>#N/A</v>
      </c>
      <c r="V78" s="270" t="e">
        <f>INDEX([71]Listas!$F$6:$J$10,MATCH(Q78,[71]Listas!$D$6:$D$10,0),MATCH(R78,[71]Listas!$F$4:$J$4,0))</f>
        <v>#N/A</v>
      </c>
      <c r="W78" s="268"/>
      <c r="X78" s="1399"/>
      <c r="Y78" s="1408"/>
      <c r="Z78" s="1400"/>
      <c r="AA78" s="1063"/>
      <c r="AB78" s="267"/>
      <c r="AC78" s="259"/>
      <c r="AD78" s="608"/>
      <c r="AE78" s="267"/>
      <c r="AF78" s="268"/>
      <c r="AG78" s="269">
        <f t="shared" ref="AG78:AG141" si="14">IF(AD78&lt;=33,0,IF(AD78&gt;81,2,1))</f>
        <v>0</v>
      </c>
      <c r="AH78" s="271" t="e">
        <f t="shared" ref="AH78:AH141" si="15">IF(OR(AE78="Probabilidad",AE78="Ambos"),T78-AG78,T78)</f>
        <v>#N/A</v>
      </c>
      <c r="AI78" s="272" t="e">
        <f>IF(AH78&lt;=1,"Remota",VLOOKUP(AH78,[71]Listas!$C$6:$D$10,2,0))</f>
        <v>#N/A</v>
      </c>
      <c r="AJ78" s="271" t="e">
        <f t="shared" ref="AJ78:AJ141" si="16">IF(OR(AE78="Impacto",AE78="Ambos"),U78-AG78,U78)</f>
        <v>#N/A</v>
      </c>
      <c r="AK78" s="272" t="e">
        <f>IF(AJ78&lt;=1,"Insignificante",HLOOKUP(AJ78,[71]Listas!$F$3:$J$4,2,0))</f>
        <v>#N/A</v>
      </c>
      <c r="AL78" s="273" t="e">
        <f t="shared" ref="AL78:AL141" si="17">AH78*AJ78</f>
        <v>#N/A</v>
      </c>
      <c r="AM78" s="270" t="e">
        <f>INDEX([71]Listas!$F$6:$J$10,MATCH(AI78,[71]Listas!$D$6:$D$10,0),MATCH(AK78,[71]Listas!$F$4:$J$4,0))</f>
        <v>#N/A</v>
      </c>
      <c r="AN78" s="259"/>
      <c r="AO78" s="259"/>
      <c r="AP78" s="610"/>
      <c r="AQ78" s="259"/>
      <c r="AR78" s="259" t="s">
        <v>2343</v>
      </c>
      <c r="AS78" s="608"/>
      <c r="AT78" s="259"/>
      <c r="AU78" s="259"/>
      <c r="AV78" s="261"/>
      <c r="AW78" s="261"/>
      <c r="AX78" s="608"/>
      <c r="AY78" s="262"/>
    </row>
    <row r="79" spans="1:51" s="260" customFormat="1" ht="103.5" hidden="1" customHeight="1">
      <c r="A79" s="608"/>
      <c r="B79" s="266"/>
      <c r="C79" s="1399"/>
      <c r="D79" s="1408"/>
      <c r="E79" s="1400"/>
      <c r="F79" s="267"/>
      <c r="G79" s="1399"/>
      <c r="H79" s="1408"/>
      <c r="I79" s="1400"/>
      <c r="J79" s="1380"/>
      <c r="K79" s="1380"/>
      <c r="L79" s="1380"/>
      <c r="M79" s="608"/>
      <c r="N79" s="608"/>
      <c r="O79" s="608"/>
      <c r="P79" s="608"/>
      <c r="Q79" s="266"/>
      <c r="R79" s="266"/>
      <c r="S79" s="268"/>
      <c r="T79" s="269" t="e">
        <f>VLOOKUP(Q79,[71]Listas!$D$6:$E$10,2,0)</f>
        <v>#N/A</v>
      </c>
      <c r="U79" s="269" t="e">
        <f>HLOOKUP(R79,[71]Listas!$F$4:$J$5,2,0)</f>
        <v>#N/A</v>
      </c>
      <c r="V79" s="270" t="e">
        <f>INDEX([71]Listas!$F$6:$J$10,MATCH(Q79,[71]Listas!$D$6:$D$10,0),MATCH(R79,[71]Listas!$F$4:$J$4,0))</f>
        <v>#N/A</v>
      </c>
      <c r="W79" s="268"/>
      <c r="X79" s="1399"/>
      <c r="Y79" s="1408"/>
      <c r="Z79" s="1400"/>
      <c r="AA79" s="1063"/>
      <c r="AB79" s="267"/>
      <c r="AC79" s="259"/>
      <c r="AD79" s="608"/>
      <c r="AE79" s="267"/>
      <c r="AF79" s="268"/>
      <c r="AG79" s="269">
        <f t="shared" si="14"/>
        <v>0</v>
      </c>
      <c r="AH79" s="271" t="e">
        <f t="shared" si="15"/>
        <v>#N/A</v>
      </c>
      <c r="AI79" s="272" t="e">
        <f>IF(AH79&lt;=1,"Remota",VLOOKUP(AH79,[71]Listas!$C$6:$D$10,2,0))</f>
        <v>#N/A</v>
      </c>
      <c r="AJ79" s="271" t="e">
        <f t="shared" si="16"/>
        <v>#N/A</v>
      </c>
      <c r="AK79" s="272" t="e">
        <f>IF(AJ79&lt;=1,"Insignificante",HLOOKUP(AJ79,[71]Listas!$F$3:$J$4,2,0))</f>
        <v>#N/A</v>
      </c>
      <c r="AL79" s="273" t="e">
        <f t="shared" si="17"/>
        <v>#N/A</v>
      </c>
      <c r="AM79" s="270" t="e">
        <f>INDEX([71]Listas!$F$6:$J$10,MATCH(AI79,[71]Listas!$D$6:$D$10,0),MATCH(AK79,[71]Listas!$F$4:$J$4,0))</f>
        <v>#N/A</v>
      </c>
      <c r="AN79" s="259"/>
      <c r="AO79" s="259"/>
      <c r="AP79" s="610"/>
      <c r="AQ79" s="259"/>
      <c r="AR79" s="259" t="s">
        <v>2343</v>
      </c>
      <c r="AS79" s="608"/>
      <c r="AT79" s="259"/>
      <c r="AU79" s="259"/>
      <c r="AV79" s="261"/>
      <c r="AW79" s="261"/>
      <c r="AX79" s="608"/>
      <c r="AY79" s="262"/>
    </row>
    <row r="80" spans="1:51" s="260" customFormat="1" ht="103.5" hidden="1" customHeight="1">
      <c r="A80" s="608"/>
      <c r="B80" s="266"/>
      <c r="C80" s="1399"/>
      <c r="D80" s="1408"/>
      <c r="E80" s="1400"/>
      <c r="F80" s="267"/>
      <c r="G80" s="1399"/>
      <c r="H80" s="1408"/>
      <c r="I80" s="1400"/>
      <c r="J80" s="1380"/>
      <c r="K80" s="1380"/>
      <c r="L80" s="1380"/>
      <c r="M80" s="608"/>
      <c r="N80" s="608"/>
      <c r="O80" s="608"/>
      <c r="P80" s="608"/>
      <c r="Q80" s="266"/>
      <c r="R80" s="266"/>
      <c r="S80" s="268"/>
      <c r="T80" s="269" t="e">
        <f>VLOOKUP(Q80,[71]Listas!$D$6:$E$10,2,0)</f>
        <v>#N/A</v>
      </c>
      <c r="U80" s="269" t="e">
        <f>HLOOKUP(R80,[71]Listas!$F$4:$J$5,2,0)</f>
        <v>#N/A</v>
      </c>
      <c r="V80" s="270" t="e">
        <f>INDEX([71]Listas!$F$6:$J$10,MATCH(Q80,[71]Listas!$D$6:$D$10,0),MATCH(R80,[71]Listas!$F$4:$J$4,0))</f>
        <v>#N/A</v>
      </c>
      <c r="W80" s="268"/>
      <c r="X80" s="1399"/>
      <c r="Y80" s="1408"/>
      <c r="Z80" s="1400"/>
      <c r="AA80" s="1063"/>
      <c r="AB80" s="267"/>
      <c r="AC80" s="259"/>
      <c r="AD80" s="608"/>
      <c r="AE80" s="267"/>
      <c r="AF80" s="268"/>
      <c r="AG80" s="269">
        <f t="shared" si="14"/>
        <v>0</v>
      </c>
      <c r="AH80" s="271" t="e">
        <f t="shared" si="15"/>
        <v>#N/A</v>
      </c>
      <c r="AI80" s="272" t="e">
        <f>IF(AH80&lt;=1,"Remota",VLOOKUP(AH80,[71]Listas!$C$6:$D$10,2,0))</f>
        <v>#N/A</v>
      </c>
      <c r="AJ80" s="271" t="e">
        <f t="shared" si="16"/>
        <v>#N/A</v>
      </c>
      <c r="AK80" s="272" t="e">
        <f>IF(AJ80&lt;=1,"Insignificante",HLOOKUP(AJ80,[71]Listas!$F$3:$J$4,2,0))</f>
        <v>#N/A</v>
      </c>
      <c r="AL80" s="273" t="e">
        <f t="shared" si="17"/>
        <v>#N/A</v>
      </c>
      <c r="AM80" s="270" t="e">
        <f>INDEX([71]Listas!$F$6:$J$10,MATCH(AI80,[71]Listas!$D$6:$D$10,0),MATCH(AK80,[71]Listas!$F$4:$J$4,0))</f>
        <v>#N/A</v>
      </c>
      <c r="AN80" s="259"/>
      <c r="AO80" s="259"/>
      <c r="AP80" s="610"/>
      <c r="AQ80" s="259"/>
      <c r="AR80" s="259" t="s">
        <v>2343</v>
      </c>
      <c r="AS80" s="608"/>
      <c r="AT80" s="259"/>
      <c r="AU80" s="259"/>
      <c r="AV80" s="261"/>
      <c r="AW80" s="261"/>
      <c r="AX80" s="608"/>
      <c r="AY80" s="262"/>
    </row>
    <row r="81" spans="1:51" s="260" customFormat="1" ht="103.5" hidden="1" customHeight="1">
      <c r="A81" s="608"/>
      <c r="B81" s="266"/>
      <c r="C81" s="1399"/>
      <c r="D81" s="1408"/>
      <c r="E81" s="1400"/>
      <c r="F81" s="267"/>
      <c r="G81" s="1399"/>
      <c r="H81" s="1408"/>
      <c r="I81" s="1400"/>
      <c r="J81" s="1380"/>
      <c r="K81" s="1380"/>
      <c r="L81" s="1380"/>
      <c r="M81" s="608"/>
      <c r="N81" s="608"/>
      <c r="O81" s="608"/>
      <c r="P81" s="608"/>
      <c r="Q81" s="266"/>
      <c r="R81" s="266"/>
      <c r="S81" s="268"/>
      <c r="T81" s="269" t="e">
        <f>VLOOKUP(Q81,[71]Listas!$D$6:$E$10,2,0)</f>
        <v>#N/A</v>
      </c>
      <c r="U81" s="269" t="e">
        <f>HLOOKUP(R81,[71]Listas!$F$4:$J$5,2,0)</f>
        <v>#N/A</v>
      </c>
      <c r="V81" s="270" t="e">
        <f>INDEX([71]Listas!$F$6:$J$10,MATCH(Q81,[71]Listas!$D$6:$D$10,0),MATCH(R81,[71]Listas!$F$4:$J$4,0))</f>
        <v>#N/A</v>
      </c>
      <c r="W81" s="268"/>
      <c r="X81" s="1399"/>
      <c r="Y81" s="1408"/>
      <c r="Z81" s="1400"/>
      <c r="AA81" s="1063"/>
      <c r="AB81" s="267"/>
      <c r="AC81" s="259"/>
      <c r="AD81" s="608"/>
      <c r="AE81" s="267"/>
      <c r="AF81" s="268"/>
      <c r="AG81" s="269">
        <f t="shared" si="14"/>
        <v>0</v>
      </c>
      <c r="AH81" s="271" t="e">
        <f t="shared" si="15"/>
        <v>#N/A</v>
      </c>
      <c r="AI81" s="272" t="e">
        <f>IF(AH81&lt;=1,"Remota",VLOOKUP(AH81,[71]Listas!$C$6:$D$10,2,0))</f>
        <v>#N/A</v>
      </c>
      <c r="AJ81" s="271" t="e">
        <f t="shared" si="16"/>
        <v>#N/A</v>
      </c>
      <c r="AK81" s="272" t="e">
        <f>IF(AJ81&lt;=1,"Insignificante",HLOOKUP(AJ81,[71]Listas!$F$3:$J$4,2,0))</f>
        <v>#N/A</v>
      </c>
      <c r="AL81" s="273" t="e">
        <f t="shared" si="17"/>
        <v>#N/A</v>
      </c>
      <c r="AM81" s="270" t="e">
        <f>INDEX([71]Listas!$F$6:$J$10,MATCH(AI81,[71]Listas!$D$6:$D$10,0),MATCH(AK81,[71]Listas!$F$4:$J$4,0))</f>
        <v>#N/A</v>
      </c>
      <c r="AN81" s="259"/>
      <c r="AO81" s="259"/>
      <c r="AP81" s="610"/>
      <c r="AQ81" s="259"/>
      <c r="AR81" s="259" t="s">
        <v>2343</v>
      </c>
      <c r="AS81" s="608"/>
      <c r="AT81" s="259"/>
      <c r="AU81" s="259"/>
      <c r="AV81" s="261"/>
      <c r="AW81" s="261"/>
      <c r="AX81" s="608"/>
      <c r="AY81" s="262"/>
    </row>
    <row r="82" spans="1:51" s="260" customFormat="1" ht="103.5" hidden="1" customHeight="1">
      <c r="A82" s="608"/>
      <c r="B82" s="266"/>
      <c r="C82" s="1399"/>
      <c r="D82" s="1408"/>
      <c r="E82" s="1400"/>
      <c r="F82" s="267"/>
      <c r="G82" s="1399"/>
      <c r="H82" s="1408"/>
      <c r="I82" s="1400"/>
      <c r="J82" s="1380"/>
      <c r="K82" s="1380"/>
      <c r="L82" s="1380"/>
      <c r="M82" s="608"/>
      <c r="N82" s="608"/>
      <c r="O82" s="608"/>
      <c r="P82" s="608"/>
      <c r="Q82" s="266"/>
      <c r="R82" s="266"/>
      <c r="S82" s="268"/>
      <c r="T82" s="269" t="e">
        <f>VLOOKUP(Q82,[71]Listas!$D$6:$E$10,2,0)</f>
        <v>#N/A</v>
      </c>
      <c r="U82" s="269" t="e">
        <f>HLOOKUP(R82,[71]Listas!$F$4:$J$5,2,0)</f>
        <v>#N/A</v>
      </c>
      <c r="V82" s="270" t="e">
        <f>INDEX([71]Listas!$F$6:$J$10,MATCH(Q82,[71]Listas!$D$6:$D$10,0),MATCH(R82,[71]Listas!$F$4:$J$4,0))</f>
        <v>#N/A</v>
      </c>
      <c r="W82" s="268"/>
      <c r="X82" s="1399"/>
      <c r="Y82" s="1408"/>
      <c r="Z82" s="1400"/>
      <c r="AA82" s="1063"/>
      <c r="AB82" s="267"/>
      <c r="AC82" s="259"/>
      <c r="AD82" s="608"/>
      <c r="AE82" s="267"/>
      <c r="AF82" s="268"/>
      <c r="AG82" s="269">
        <f t="shared" si="14"/>
        <v>0</v>
      </c>
      <c r="AH82" s="271" t="e">
        <f t="shared" si="15"/>
        <v>#N/A</v>
      </c>
      <c r="AI82" s="272" t="e">
        <f>IF(AH82&lt;=1,"Remota",VLOOKUP(AH82,[71]Listas!$C$6:$D$10,2,0))</f>
        <v>#N/A</v>
      </c>
      <c r="AJ82" s="271" t="e">
        <f t="shared" si="16"/>
        <v>#N/A</v>
      </c>
      <c r="AK82" s="272" t="e">
        <f>IF(AJ82&lt;=1,"Insignificante",HLOOKUP(AJ82,[71]Listas!$F$3:$J$4,2,0))</f>
        <v>#N/A</v>
      </c>
      <c r="AL82" s="273" t="e">
        <f t="shared" si="17"/>
        <v>#N/A</v>
      </c>
      <c r="AM82" s="270" t="e">
        <f>INDEX([71]Listas!$F$6:$J$10,MATCH(AI82,[71]Listas!$D$6:$D$10,0),MATCH(AK82,[71]Listas!$F$4:$J$4,0))</f>
        <v>#N/A</v>
      </c>
      <c r="AN82" s="259"/>
      <c r="AO82" s="259"/>
      <c r="AP82" s="610"/>
      <c r="AQ82" s="259"/>
      <c r="AR82" s="259" t="s">
        <v>2343</v>
      </c>
      <c r="AS82" s="608"/>
      <c r="AT82" s="259"/>
      <c r="AU82" s="259"/>
      <c r="AV82" s="261"/>
      <c r="AW82" s="261"/>
      <c r="AX82" s="608"/>
      <c r="AY82" s="262"/>
    </row>
    <row r="83" spans="1:51" s="260" customFormat="1" ht="103.5" hidden="1" customHeight="1">
      <c r="A83" s="608"/>
      <c r="B83" s="266"/>
      <c r="C83" s="1399"/>
      <c r="D83" s="1408"/>
      <c r="E83" s="1400"/>
      <c r="F83" s="267"/>
      <c r="G83" s="1399"/>
      <c r="H83" s="1408"/>
      <c r="I83" s="1400"/>
      <c r="J83" s="1380"/>
      <c r="K83" s="1380"/>
      <c r="L83" s="1380"/>
      <c r="M83" s="608"/>
      <c r="N83" s="608"/>
      <c r="O83" s="608"/>
      <c r="P83" s="608"/>
      <c r="Q83" s="266"/>
      <c r="R83" s="266"/>
      <c r="S83" s="268"/>
      <c r="T83" s="269" t="e">
        <f>VLOOKUP(Q83,[71]Listas!$D$6:$E$10,2,0)</f>
        <v>#N/A</v>
      </c>
      <c r="U83" s="269" t="e">
        <f>HLOOKUP(R83,[71]Listas!$F$4:$J$5,2,0)</f>
        <v>#N/A</v>
      </c>
      <c r="V83" s="270" t="e">
        <f>INDEX([71]Listas!$F$6:$J$10,MATCH(Q83,[71]Listas!$D$6:$D$10,0),MATCH(R83,[71]Listas!$F$4:$J$4,0))</f>
        <v>#N/A</v>
      </c>
      <c r="W83" s="268"/>
      <c r="X83" s="1399"/>
      <c r="Y83" s="1408"/>
      <c r="Z83" s="1400"/>
      <c r="AA83" s="1063"/>
      <c r="AB83" s="267"/>
      <c r="AC83" s="259"/>
      <c r="AD83" s="608"/>
      <c r="AE83" s="267"/>
      <c r="AF83" s="268"/>
      <c r="AG83" s="269">
        <f t="shared" si="14"/>
        <v>0</v>
      </c>
      <c r="AH83" s="271" t="e">
        <f t="shared" si="15"/>
        <v>#N/A</v>
      </c>
      <c r="AI83" s="272" t="e">
        <f>IF(AH83&lt;=1,"Remota",VLOOKUP(AH83,[71]Listas!$C$6:$D$10,2,0))</f>
        <v>#N/A</v>
      </c>
      <c r="AJ83" s="271" t="e">
        <f t="shared" si="16"/>
        <v>#N/A</v>
      </c>
      <c r="AK83" s="272" t="e">
        <f>IF(AJ83&lt;=1,"Insignificante",HLOOKUP(AJ83,[71]Listas!$F$3:$J$4,2,0))</f>
        <v>#N/A</v>
      </c>
      <c r="AL83" s="273" t="e">
        <f t="shared" si="17"/>
        <v>#N/A</v>
      </c>
      <c r="AM83" s="270" t="e">
        <f>INDEX([71]Listas!$F$6:$J$10,MATCH(AI83,[71]Listas!$D$6:$D$10,0),MATCH(AK83,[71]Listas!$F$4:$J$4,0))</f>
        <v>#N/A</v>
      </c>
      <c r="AN83" s="259"/>
      <c r="AO83" s="259"/>
      <c r="AP83" s="610"/>
      <c r="AQ83" s="259"/>
      <c r="AR83" s="259" t="s">
        <v>2343</v>
      </c>
      <c r="AS83" s="608"/>
      <c r="AT83" s="259"/>
      <c r="AU83" s="259"/>
      <c r="AV83" s="261"/>
      <c r="AW83" s="261"/>
      <c r="AX83" s="608"/>
      <c r="AY83" s="262"/>
    </row>
    <row r="84" spans="1:51" s="260" customFormat="1" ht="103.5" hidden="1" customHeight="1">
      <c r="A84" s="608"/>
      <c r="B84" s="266"/>
      <c r="C84" s="1399"/>
      <c r="D84" s="1408"/>
      <c r="E84" s="1400"/>
      <c r="F84" s="267"/>
      <c r="G84" s="1399"/>
      <c r="H84" s="1408"/>
      <c r="I84" s="1400"/>
      <c r="J84" s="1380"/>
      <c r="K84" s="1380"/>
      <c r="L84" s="1380"/>
      <c r="M84" s="608"/>
      <c r="N84" s="608"/>
      <c r="O84" s="608"/>
      <c r="P84" s="608"/>
      <c r="Q84" s="266"/>
      <c r="R84" s="266"/>
      <c r="S84" s="268"/>
      <c r="T84" s="269" t="e">
        <f>VLOOKUP(Q84,[71]Listas!$D$6:$E$10,2,0)</f>
        <v>#N/A</v>
      </c>
      <c r="U84" s="269" t="e">
        <f>HLOOKUP(R84,[71]Listas!$F$4:$J$5,2,0)</f>
        <v>#N/A</v>
      </c>
      <c r="V84" s="270" t="e">
        <f>INDEX([71]Listas!$F$6:$J$10,MATCH(Q84,[71]Listas!$D$6:$D$10,0),MATCH(R84,[71]Listas!$F$4:$J$4,0))</f>
        <v>#N/A</v>
      </c>
      <c r="W84" s="268"/>
      <c r="X84" s="1399"/>
      <c r="Y84" s="1408"/>
      <c r="Z84" s="1400"/>
      <c r="AA84" s="1063"/>
      <c r="AB84" s="267"/>
      <c r="AC84" s="259"/>
      <c r="AD84" s="608"/>
      <c r="AE84" s="267"/>
      <c r="AF84" s="268"/>
      <c r="AG84" s="269">
        <f t="shared" si="14"/>
        <v>0</v>
      </c>
      <c r="AH84" s="271" t="e">
        <f t="shared" si="15"/>
        <v>#N/A</v>
      </c>
      <c r="AI84" s="272" t="e">
        <f>IF(AH84&lt;=1,"Remota",VLOOKUP(AH84,[71]Listas!$C$6:$D$10,2,0))</f>
        <v>#N/A</v>
      </c>
      <c r="AJ84" s="271" t="e">
        <f t="shared" si="16"/>
        <v>#N/A</v>
      </c>
      <c r="AK84" s="272" t="e">
        <f>IF(AJ84&lt;=1,"Insignificante",HLOOKUP(AJ84,[71]Listas!$F$3:$J$4,2,0))</f>
        <v>#N/A</v>
      </c>
      <c r="AL84" s="273" t="e">
        <f t="shared" si="17"/>
        <v>#N/A</v>
      </c>
      <c r="AM84" s="270" t="e">
        <f>INDEX([71]Listas!$F$6:$J$10,MATCH(AI84,[71]Listas!$D$6:$D$10,0),MATCH(AK84,[71]Listas!$F$4:$J$4,0))</f>
        <v>#N/A</v>
      </c>
      <c r="AN84" s="259"/>
      <c r="AO84" s="259"/>
      <c r="AP84" s="610"/>
      <c r="AQ84" s="259"/>
      <c r="AR84" s="259" t="s">
        <v>2343</v>
      </c>
      <c r="AS84" s="608"/>
      <c r="AT84" s="259"/>
      <c r="AU84" s="259"/>
      <c r="AV84" s="261"/>
      <c r="AW84" s="261"/>
      <c r="AX84" s="608"/>
      <c r="AY84" s="262"/>
    </row>
    <row r="85" spans="1:51" s="260" customFormat="1" ht="103.5" hidden="1" customHeight="1">
      <c r="A85" s="608"/>
      <c r="B85" s="266"/>
      <c r="C85" s="1399"/>
      <c r="D85" s="1408"/>
      <c r="E85" s="1400"/>
      <c r="F85" s="267"/>
      <c r="G85" s="1399"/>
      <c r="H85" s="1408"/>
      <c r="I85" s="1400"/>
      <c r="J85" s="1380"/>
      <c r="K85" s="1380"/>
      <c r="L85" s="1380"/>
      <c r="M85" s="608"/>
      <c r="N85" s="608"/>
      <c r="O85" s="608"/>
      <c r="P85" s="608"/>
      <c r="Q85" s="266"/>
      <c r="R85" s="266"/>
      <c r="S85" s="268"/>
      <c r="T85" s="269" t="e">
        <f>VLOOKUP(Q85,[71]Listas!$D$6:$E$10,2,0)</f>
        <v>#N/A</v>
      </c>
      <c r="U85" s="269" t="e">
        <f>HLOOKUP(R85,[71]Listas!$F$4:$J$5,2,0)</f>
        <v>#N/A</v>
      </c>
      <c r="V85" s="270" t="e">
        <f>INDEX([71]Listas!$F$6:$J$10,MATCH(Q85,[71]Listas!$D$6:$D$10,0),MATCH(R85,[71]Listas!$F$4:$J$4,0))</f>
        <v>#N/A</v>
      </c>
      <c r="W85" s="268"/>
      <c r="X85" s="1399"/>
      <c r="Y85" s="1408"/>
      <c r="Z85" s="1400"/>
      <c r="AA85" s="1063"/>
      <c r="AB85" s="267"/>
      <c r="AC85" s="259"/>
      <c r="AD85" s="608"/>
      <c r="AE85" s="267"/>
      <c r="AF85" s="268"/>
      <c r="AG85" s="269">
        <f t="shared" si="14"/>
        <v>0</v>
      </c>
      <c r="AH85" s="271" t="e">
        <f t="shared" si="15"/>
        <v>#N/A</v>
      </c>
      <c r="AI85" s="272" t="e">
        <f>IF(AH85&lt;=1,"Remota",VLOOKUP(AH85,[71]Listas!$C$6:$D$10,2,0))</f>
        <v>#N/A</v>
      </c>
      <c r="AJ85" s="271" t="e">
        <f t="shared" si="16"/>
        <v>#N/A</v>
      </c>
      <c r="AK85" s="272" t="e">
        <f>IF(AJ85&lt;=1,"Insignificante",HLOOKUP(AJ85,[71]Listas!$F$3:$J$4,2,0))</f>
        <v>#N/A</v>
      </c>
      <c r="AL85" s="273" t="e">
        <f t="shared" si="17"/>
        <v>#N/A</v>
      </c>
      <c r="AM85" s="270" t="e">
        <f>INDEX([71]Listas!$F$6:$J$10,MATCH(AI85,[71]Listas!$D$6:$D$10,0),MATCH(AK85,[71]Listas!$F$4:$J$4,0))</f>
        <v>#N/A</v>
      </c>
      <c r="AN85" s="259"/>
      <c r="AO85" s="259"/>
      <c r="AP85" s="610"/>
      <c r="AQ85" s="259"/>
      <c r="AR85" s="259" t="s">
        <v>2343</v>
      </c>
      <c r="AS85" s="608"/>
      <c r="AT85" s="259"/>
      <c r="AU85" s="259"/>
      <c r="AV85" s="261"/>
      <c r="AW85" s="261"/>
      <c r="AX85" s="608"/>
      <c r="AY85" s="262"/>
    </row>
    <row r="86" spans="1:51" s="260" customFormat="1" ht="103.5" hidden="1" customHeight="1">
      <c r="A86" s="608"/>
      <c r="B86" s="266"/>
      <c r="C86" s="1399"/>
      <c r="D86" s="1408"/>
      <c r="E86" s="1400"/>
      <c r="F86" s="267"/>
      <c r="G86" s="1399"/>
      <c r="H86" s="1408"/>
      <c r="I86" s="1400"/>
      <c r="J86" s="1380"/>
      <c r="K86" s="1380"/>
      <c r="L86" s="1380"/>
      <c r="M86" s="608"/>
      <c r="N86" s="608"/>
      <c r="O86" s="608"/>
      <c r="P86" s="608"/>
      <c r="Q86" s="266"/>
      <c r="R86" s="266"/>
      <c r="S86" s="268"/>
      <c r="T86" s="269" t="e">
        <f>VLOOKUP(Q86,[71]Listas!$D$6:$E$10,2,0)</f>
        <v>#N/A</v>
      </c>
      <c r="U86" s="269" t="e">
        <f>HLOOKUP(R86,[71]Listas!$F$4:$J$5,2,0)</f>
        <v>#N/A</v>
      </c>
      <c r="V86" s="270" t="e">
        <f>INDEX([71]Listas!$F$6:$J$10,MATCH(Q86,[71]Listas!$D$6:$D$10,0),MATCH(R86,[71]Listas!$F$4:$J$4,0))</f>
        <v>#N/A</v>
      </c>
      <c r="W86" s="268"/>
      <c r="X86" s="1399"/>
      <c r="Y86" s="1408"/>
      <c r="Z86" s="1400"/>
      <c r="AA86" s="1063"/>
      <c r="AB86" s="267"/>
      <c r="AC86" s="259"/>
      <c r="AD86" s="608"/>
      <c r="AE86" s="267"/>
      <c r="AF86" s="268"/>
      <c r="AG86" s="269">
        <f t="shared" si="14"/>
        <v>0</v>
      </c>
      <c r="AH86" s="271" t="e">
        <f t="shared" si="15"/>
        <v>#N/A</v>
      </c>
      <c r="AI86" s="272" t="e">
        <f>IF(AH86&lt;=1,"Remota",VLOOKUP(AH86,[71]Listas!$C$6:$D$10,2,0))</f>
        <v>#N/A</v>
      </c>
      <c r="AJ86" s="271" t="e">
        <f t="shared" si="16"/>
        <v>#N/A</v>
      </c>
      <c r="AK86" s="272" t="e">
        <f>IF(AJ86&lt;=1,"Insignificante",HLOOKUP(AJ86,[71]Listas!$F$3:$J$4,2,0))</f>
        <v>#N/A</v>
      </c>
      <c r="AL86" s="273" t="e">
        <f t="shared" si="17"/>
        <v>#N/A</v>
      </c>
      <c r="AM86" s="270" t="e">
        <f>INDEX([71]Listas!$F$6:$J$10,MATCH(AI86,[71]Listas!$D$6:$D$10,0),MATCH(AK86,[71]Listas!$F$4:$J$4,0))</f>
        <v>#N/A</v>
      </c>
      <c r="AN86" s="259"/>
      <c r="AO86" s="259"/>
      <c r="AP86" s="610"/>
      <c r="AQ86" s="259"/>
      <c r="AR86" s="259" t="s">
        <v>2343</v>
      </c>
      <c r="AS86" s="608"/>
      <c r="AT86" s="259"/>
      <c r="AU86" s="259"/>
      <c r="AV86" s="261"/>
      <c r="AW86" s="261"/>
      <c r="AX86" s="608"/>
      <c r="AY86" s="262"/>
    </row>
    <row r="87" spans="1:51" s="260" customFormat="1" ht="103.5" hidden="1" customHeight="1">
      <c r="A87" s="608"/>
      <c r="B87" s="266"/>
      <c r="C87" s="1399"/>
      <c r="D87" s="1408"/>
      <c r="E87" s="1400"/>
      <c r="F87" s="267"/>
      <c r="G87" s="1399"/>
      <c r="H87" s="1408"/>
      <c r="I87" s="1400"/>
      <c r="J87" s="1380"/>
      <c r="K87" s="1380"/>
      <c r="L87" s="1380"/>
      <c r="M87" s="608"/>
      <c r="N87" s="608"/>
      <c r="O87" s="608"/>
      <c r="P87" s="608"/>
      <c r="Q87" s="266"/>
      <c r="R87" s="266"/>
      <c r="S87" s="268"/>
      <c r="T87" s="269" t="e">
        <f>VLOOKUP(Q87,[71]Listas!$D$6:$E$10,2,0)</f>
        <v>#N/A</v>
      </c>
      <c r="U87" s="269" t="e">
        <f>HLOOKUP(R87,[71]Listas!$F$4:$J$5,2,0)</f>
        <v>#N/A</v>
      </c>
      <c r="V87" s="270" t="e">
        <f>INDEX([71]Listas!$F$6:$J$10,MATCH(Q87,[71]Listas!$D$6:$D$10,0),MATCH(R87,[71]Listas!$F$4:$J$4,0))</f>
        <v>#N/A</v>
      </c>
      <c r="W87" s="268"/>
      <c r="X87" s="1399"/>
      <c r="Y87" s="1408"/>
      <c r="Z87" s="1400"/>
      <c r="AA87" s="1063"/>
      <c r="AB87" s="267"/>
      <c r="AC87" s="259"/>
      <c r="AD87" s="608"/>
      <c r="AE87" s="267"/>
      <c r="AF87" s="268"/>
      <c r="AG87" s="269">
        <f t="shared" si="14"/>
        <v>0</v>
      </c>
      <c r="AH87" s="271" t="e">
        <f t="shared" si="15"/>
        <v>#N/A</v>
      </c>
      <c r="AI87" s="272" t="e">
        <f>IF(AH87&lt;=1,"Remota",VLOOKUP(AH87,[71]Listas!$C$6:$D$10,2,0))</f>
        <v>#N/A</v>
      </c>
      <c r="AJ87" s="271" t="e">
        <f t="shared" si="16"/>
        <v>#N/A</v>
      </c>
      <c r="AK87" s="272" t="e">
        <f>IF(AJ87&lt;=1,"Insignificante",HLOOKUP(AJ87,[71]Listas!$F$3:$J$4,2,0))</f>
        <v>#N/A</v>
      </c>
      <c r="AL87" s="273" t="e">
        <f t="shared" si="17"/>
        <v>#N/A</v>
      </c>
      <c r="AM87" s="270" t="e">
        <f>INDEX([71]Listas!$F$6:$J$10,MATCH(AI87,[71]Listas!$D$6:$D$10,0),MATCH(AK87,[71]Listas!$F$4:$J$4,0))</f>
        <v>#N/A</v>
      </c>
      <c r="AN87" s="259"/>
      <c r="AO87" s="259"/>
      <c r="AP87" s="610"/>
      <c r="AQ87" s="259"/>
      <c r="AR87" s="259" t="s">
        <v>2343</v>
      </c>
      <c r="AS87" s="608"/>
      <c r="AT87" s="259"/>
      <c r="AU87" s="259"/>
      <c r="AV87" s="261"/>
      <c r="AW87" s="261"/>
      <c r="AX87" s="608"/>
      <c r="AY87" s="262"/>
    </row>
    <row r="88" spans="1:51" s="260" customFormat="1" ht="103.5" hidden="1" customHeight="1">
      <c r="A88" s="608"/>
      <c r="B88" s="266"/>
      <c r="C88" s="1399"/>
      <c r="D88" s="1408"/>
      <c r="E88" s="1400"/>
      <c r="F88" s="267"/>
      <c r="G88" s="1399"/>
      <c r="H88" s="1408"/>
      <c r="I88" s="1400"/>
      <c r="J88" s="1380"/>
      <c r="K88" s="1380"/>
      <c r="L88" s="1380"/>
      <c r="M88" s="608"/>
      <c r="N88" s="608"/>
      <c r="O88" s="608"/>
      <c r="P88" s="608"/>
      <c r="Q88" s="266"/>
      <c r="R88" s="266"/>
      <c r="S88" s="268"/>
      <c r="T88" s="269" t="e">
        <f>VLOOKUP(Q88,[71]Listas!$D$6:$E$10,2,0)</f>
        <v>#N/A</v>
      </c>
      <c r="U88" s="269" t="e">
        <f>HLOOKUP(R88,[71]Listas!$F$4:$J$5,2,0)</f>
        <v>#N/A</v>
      </c>
      <c r="V88" s="270" t="e">
        <f>INDEX([71]Listas!$F$6:$J$10,MATCH(Q88,[71]Listas!$D$6:$D$10,0),MATCH(R88,[71]Listas!$F$4:$J$4,0))</f>
        <v>#N/A</v>
      </c>
      <c r="W88" s="268"/>
      <c r="X88" s="1399"/>
      <c r="Y88" s="1408"/>
      <c r="Z88" s="1400"/>
      <c r="AA88" s="1063"/>
      <c r="AB88" s="267"/>
      <c r="AC88" s="259"/>
      <c r="AD88" s="608"/>
      <c r="AE88" s="267"/>
      <c r="AF88" s="268"/>
      <c r="AG88" s="269">
        <f t="shared" si="14"/>
        <v>0</v>
      </c>
      <c r="AH88" s="271" t="e">
        <f t="shared" si="15"/>
        <v>#N/A</v>
      </c>
      <c r="AI88" s="272" t="e">
        <f>IF(AH88&lt;=1,"Remota",VLOOKUP(AH88,[71]Listas!$C$6:$D$10,2,0))</f>
        <v>#N/A</v>
      </c>
      <c r="AJ88" s="271" t="e">
        <f t="shared" si="16"/>
        <v>#N/A</v>
      </c>
      <c r="AK88" s="272" t="e">
        <f>IF(AJ88&lt;=1,"Insignificante",HLOOKUP(AJ88,[71]Listas!$F$3:$J$4,2,0))</f>
        <v>#N/A</v>
      </c>
      <c r="AL88" s="273" t="e">
        <f t="shared" si="17"/>
        <v>#N/A</v>
      </c>
      <c r="AM88" s="270" t="e">
        <f>INDEX([71]Listas!$F$6:$J$10,MATCH(AI88,[71]Listas!$D$6:$D$10,0),MATCH(AK88,[71]Listas!$F$4:$J$4,0))</f>
        <v>#N/A</v>
      </c>
      <c r="AN88" s="259"/>
      <c r="AO88" s="259"/>
      <c r="AP88" s="610"/>
      <c r="AQ88" s="259"/>
      <c r="AR88" s="259" t="s">
        <v>2343</v>
      </c>
      <c r="AS88" s="608"/>
      <c r="AT88" s="259"/>
      <c r="AU88" s="259"/>
      <c r="AV88" s="261"/>
      <c r="AW88" s="261"/>
      <c r="AX88" s="608"/>
      <c r="AY88" s="262"/>
    </row>
    <row r="89" spans="1:51" s="260" customFormat="1" ht="103.5" hidden="1" customHeight="1">
      <c r="A89" s="608"/>
      <c r="B89" s="266"/>
      <c r="C89" s="1399"/>
      <c r="D89" s="1408"/>
      <c r="E89" s="1400"/>
      <c r="F89" s="267"/>
      <c r="G89" s="1399"/>
      <c r="H89" s="1408"/>
      <c r="I89" s="1400"/>
      <c r="J89" s="1380"/>
      <c r="K89" s="1380"/>
      <c r="L89" s="1380"/>
      <c r="M89" s="608"/>
      <c r="N89" s="608"/>
      <c r="O89" s="608"/>
      <c r="P89" s="608"/>
      <c r="Q89" s="266"/>
      <c r="R89" s="266"/>
      <c r="S89" s="268"/>
      <c r="T89" s="269" t="e">
        <f>VLOOKUP(Q89,[71]Listas!$D$6:$E$10,2,0)</f>
        <v>#N/A</v>
      </c>
      <c r="U89" s="269" t="e">
        <f>HLOOKUP(R89,[71]Listas!$F$4:$J$5,2,0)</f>
        <v>#N/A</v>
      </c>
      <c r="V89" s="270" t="e">
        <f>INDEX([71]Listas!$F$6:$J$10,MATCH(Q89,[71]Listas!$D$6:$D$10,0),MATCH(R89,[71]Listas!$F$4:$J$4,0))</f>
        <v>#N/A</v>
      </c>
      <c r="W89" s="268"/>
      <c r="X89" s="1399"/>
      <c r="Y89" s="1408"/>
      <c r="Z89" s="1400"/>
      <c r="AA89" s="1063"/>
      <c r="AB89" s="267"/>
      <c r="AC89" s="259"/>
      <c r="AD89" s="608"/>
      <c r="AE89" s="267"/>
      <c r="AF89" s="268"/>
      <c r="AG89" s="269">
        <f t="shared" si="14"/>
        <v>0</v>
      </c>
      <c r="AH89" s="271" t="e">
        <f t="shared" si="15"/>
        <v>#N/A</v>
      </c>
      <c r="AI89" s="272" t="e">
        <f>IF(AH89&lt;=1,"Remota",VLOOKUP(AH89,[71]Listas!$C$6:$D$10,2,0))</f>
        <v>#N/A</v>
      </c>
      <c r="AJ89" s="271" t="e">
        <f t="shared" si="16"/>
        <v>#N/A</v>
      </c>
      <c r="AK89" s="272" t="e">
        <f>IF(AJ89&lt;=1,"Insignificante",HLOOKUP(AJ89,[71]Listas!$F$3:$J$4,2,0))</f>
        <v>#N/A</v>
      </c>
      <c r="AL89" s="273" t="e">
        <f t="shared" si="17"/>
        <v>#N/A</v>
      </c>
      <c r="AM89" s="270" t="e">
        <f>INDEX([71]Listas!$F$6:$J$10,MATCH(AI89,[71]Listas!$D$6:$D$10,0),MATCH(AK89,[71]Listas!$F$4:$J$4,0))</f>
        <v>#N/A</v>
      </c>
      <c r="AN89" s="259"/>
      <c r="AO89" s="259"/>
      <c r="AP89" s="610"/>
      <c r="AQ89" s="259"/>
      <c r="AR89" s="259" t="s">
        <v>2343</v>
      </c>
      <c r="AS89" s="608"/>
      <c r="AT89" s="259"/>
      <c r="AU89" s="259"/>
      <c r="AV89" s="261"/>
      <c r="AW89" s="261"/>
      <c r="AX89" s="608"/>
      <c r="AY89" s="262"/>
    </row>
    <row r="90" spans="1:51" s="260" customFormat="1" ht="103.5" hidden="1" customHeight="1">
      <c r="A90" s="608"/>
      <c r="B90" s="266"/>
      <c r="C90" s="1399"/>
      <c r="D90" s="1408"/>
      <c r="E90" s="1400"/>
      <c r="F90" s="267"/>
      <c r="G90" s="1399"/>
      <c r="H90" s="1408"/>
      <c r="I90" s="1400"/>
      <c r="J90" s="1380"/>
      <c r="K90" s="1380"/>
      <c r="L90" s="1380"/>
      <c r="M90" s="608"/>
      <c r="N90" s="608"/>
      <c r="O90" s="608"/>
      <c r="P90" s="608"/>
      <c r="Q90" s="266"/>
      <c r="R90" s="266"/>
      <c r="S90" s="268"/>
      <c r="T90" s="269" t="e">
        <f>VLOOKUP(Q90,[71]Listas!$D$6:$E$10,2,0)</f>
        <v>#N/A</v>
      </c>
      <c r="U90" s="269" t="e">
        <f>HLOOKUP(R90,[71]Listas!$F$4:$J$5,2,0)</f>
        <v>#N/A</v>
      </c>
      <c r="V90" s="270" t="e">
        <f>INDEX([71]Listas!$F$6:$J$10,MATCH(Q90,[71]Listas!$D$6:$D$10,0),MATCH(R90,[71]Listas!$F$4:$J$4,0))</f>
        <v>#N/A</v>
      </c>
      <c r="W90" s="268"/>
      <c r="X90" s="1399"/>
      <c r="Y90" s="1408"/>
      <c r="Z90" s="1400"/>
      <c r="AA90" s="1063"/>
      <c r="AB90" s="267"/>
      <c r="AC90" s="259"/>
      <c r="AD90" s="608"/>
      <c r="AE90" s="267"/>
      <c r="AF90" s="268"/>
      <c r="AG90" s="269">
        <f t="shared" si="14"/>
        <v>0</v>
      </c>
      <c r="AH90" s="271" t="e">
        <f t="shared" si="15"/>
        <v>#N/A</v>
      </c>
      <c r="AI90" s="272" t="e">
        <f>IF(AH90&lt;=1,"Remota",VLOOKUP(AH90,[71]Listas!$C$6:$D$10,2,0))</f>
        <v>#N/A</v>
      </c>
      <c r="AJ90" s="271" t="e">
        <f t="shared" si="16"/>
        <v>#N/A</v>
      </c>
      <c r="AK90" s="272" t="e">
        <f>IF(AJ90&lt;=1,"Insignificante",HLOOKUP(AJ90,[71]Listas!$F$3:$J$4,2,0))</f>
        <v>#N/A</v>
      </c>
      <c r="AL90" s="273" t="e">
        <f t="shared" si="17"/>
        <v>#N/A</v>
      </c>
      <c r="AM90" s="270" t="e">
        <f>INDEX([71]Listas!$F$6:$J$10,MATCH(AI90,[71]Listas!$D$6:$D$10,0),MATCH(AK90,[71]Listas!$F$4:$J$4,0))</f>
        <v>#N/A</v>
      </c>
      <c r="AN90" s="259"/>
      <c r="AO90" s="259"/>
      <c r="AP90" s="610"/>
      <c r="AQ90" s="259"/>
      <c r="AR90" s="259" t="s">
        <v>2343</v>
      </c>
      <c r="AS90" s="608"/>
      <c r="AT90" s="259"/>
      <c r="AU90" s="259"/>
      <c r="AV90" s="261"/>
      <c r="AW90" s="261"/>
      <c r="AX90" s="608"/>
      <c r="AY90" s="262"/>
    </row>
    <row r="91" spans="1:51" s="260" customFormat="1" ht="103.5" hidden="1" customHeight="1">
      <c r="A91" s="620"/>
      <c r="B91" s="274"/>
      <c r="C91" s="1399"/>
      <c r="D91" s="1408"/>
      <c r="E91" s="1400"/>
      <c r="F91" s="267"/>
      <c r="G91" s="1399"/>
      <c r="H91" s="1408"/>
      <c r="I91" s="1400"/>
      <c r="J91" s="1380"/>
      <c r="K91" s="1380"/>
      <c r="L91" s="1380"/>
      <c r="M91" s="608"/>
      <c r="N91" s="608"/>
      <c r="O91" s="608"/>
      <c r="P91" s="608"/>
      <c r="Q91" s="266"/>
      <c r="R91" s="266"/>
      <c r="S91" s="268"/>
      <c r="T91" s="269" t="e">
        <f>VLOOKUP(Q91,[71]Listas!$D$6:$E$10,2,0)</f>
        <v>#N/A</v>
      </c>
      <c r="U91" s="269" t="e">
        <f>HLOOKUP(R91,[71]Listas!$F$4:$J$5,2,0)</f>
        <v>#N/A</v>
      </c>
      <c r="V91" s="270" t="e">
        <f>INDEX([71]Listas!$F$6:$J$10,MATCH(Q91,[71]Listas!$D$6:$D$10,0),MATCH(R91,[71]Listas!$F$4:$J$4,0))</f>
        <v>#N/A</v>
      </c>
      <c r="W91" s="268"/>
      <c r="X91" s="1399"/>
      <c r="Y91" s="1408"/>
      <c r="Z91" s="1400"/>
      <c r="AA91" s="1063"/>
      <c r="AB91" s="267"/>
      <c r="AC91" s="259"/>
      <c r="AD91" s="608"/>
      <c r="AE91" s="267"/>
      <c r="AF91" s="268"/>
      <c r="AG91" s="269">
        <f t="shared" si="14"/>
        <v>0</v>
      </c>
      <c r="AH91" s="271" t="e">
        <f t="shared" si="15"/>
        <v>#N/A</v>
      </c>
      <c r="AI91" s="272" t="e">
        <f>IF(AH91&lt;=1,"Remota",VLOOKUP(AH91,[71]Listas!$C$6:$D$10,2,0))</f>
        <v>#N/A</v>
      </c>
      <c r="AJ91" s="271" t="e">
        <f t="shared" si="16"/>
        <v>#N/A</v>
      </c>
      <c r="AK91" s="272" t="e">
        <f>IF(AJ91&lt;=1,"Insignificante",HLOOKUP(AJ91,[71]Listas!$F$3:$J$4,2,0))</f>
        <v>#N/A</v>
      </c>
      <c r="AL91" s="273" t="e">
        <f t="shared" si="17"/>
        <v>#N/A</v>
      </c>
      <c r="AM91" s="270" t="e">
        <f>INDEX([71]Listas!$F$6:$J$10,MATCH(AI91,[71]Listas!$D$6:$D$10,0),MATCH(AK91,[71]Listas!$F$4:$J$4,0))</f>
        <v>#N/A</v>
      </c>
      <c r="AN91" s="259"/>
      <c r="AO91" s="259"/>
      <c r="AP91" s="610"/>
      <c r="AQ91" s="259"/>
      <c r="AR91" s="259" t="s">
        <v>2343</v>
      </c>
      <c r="AS91" s="608"/>
      <c r="AT91" s="259"/>
      <c r="AU91" s="259"/>
      <c r="AV91" s="261"/>
      <c r="AW91" s="261"/>
      <c r="AX91" s="608"/>
      <c r="AY91" s="262"/>
    </row>
    <row r="92" spans="1:51" s="260" customFormat="1" ht="103.5" hidden="1" customHeight="1">
      <c r="A92" s="608"/>
      <c r="B92" s="266"/>
      <c r="C92" s="1399"/>
      <c r="D92" s="1408"/>
      <c r="E92" s="1400"/>
      <c r="F92" s="267"/>
      <c r="G92" s="1399"/>
      <c r="H92" s="1408"/>
      <c r="I92" s="1400"/>
      <c r="J92" s="1380"/>
      <c r="K92" s="1380"/>
      <c r="L92" s="1380"/>
      <c r="M92" s="608"/>
      <c r="N92" s="608"/>
      <c r="O92" s="608"/>
      <c r="P92" s="608"/>
      <c r="Q92" s="266"/>
      <c r="R92" s="266"/>
      <c r="S92" s="268"/>
      <c r="T92" s="269" t="e">
        <f>VLOOKUP(Q92,[71]Listas!$D$6:$E$10,2,0)</f>
        <v>#N/A</v>
      </c>
      <c r="U92" s="269" t="e">
        <f>HLOOKUP(R92,[71]Listas!$F$4:$J$5,2,0)</f>
        <v>#N/A</v>
      </c>
      <c r="V92" s="270" t="e">
        <f>INDEX([71]Listas!$F$6:$J$10,MATCH(Q92,[71]Listas!$D$6:$D$10,0),MATCH(R92,[71]Listas!$F$4:$J$4,0))</f>
        <v>#N/A</v>
      </c>
      <c r="W92" s="268"/>
      <c r="X92" s="1399"/>
      <c r="Y92" s="1408"/>
      <c r="Z92" s="1400"/>
      <c r="AA92" s="1063"/>
      <c r="AB92" s="267"/>
      <c r="AC92" s="259"/>
      <c r="AD92" s="608"/>
      <c r="AE92" s="267"/>
      <c r="AF92" s="268"/>
      <c r="AG92" s="269">
        <f t="shared" si="14"/>
        <v>0</v>
      </c>
      <c r="AH92" s="271" t="e">
        <f t="shared" si="15"/>
        <v>#N/A</v>
      </c>
      <c r="AI92" s="272" t="e">
        <f>IF(AH92&lt;=1,"Remota",VLOOKUP(AH92,[71]Listas!$C$6:$D$10,2,0))</f>
        <v>#N/A</v>
      </c>
      <c r="AJ92" s="271" t="e">
        <f t="shared" si="16"/>
        <v>#N/A</v>
      </c>
      <c r="AK92" s="272" t="e">
        <f>IF(AJ92&lt;=1,"Insignificante",HLOOKUP(AJ92,[71]Listas!$F$3:$J$4,2,0))</f>
        <v>#N/A</v>
      </c>
      <c r="AL92" s="273" t="e">
        <f t="shared" si="17"/>
        <v>#N/A</v>
      </c>
      <c r="AM92" s="270" t="e">
        <f>INDEX([71]Listas!$F$6:$J$10,MATCH(AI92,[71]Listas!$D$6:$D$10,0),MATCH(AK92,[71]Listas!$F$4:$J$4,0))</f>
        <v>#N/A</v>
      </c>
      <c r="AN92" s="259"/>
      <c r="AO92" s="259"/>
      <c r="AP92" s="610"/>
      <c r="AQ92" s="259"/>
      <c r="AR92" s="259" t="s">
        <v>2343</v>
      </c>
      <c r="AS92" s="608"/>
      <c r="AT92" s="259"/>
      <c r="AU92" s="259"/>
      <c r="AV92" s="261"/>
      <c r="AW92" s="261"/>
      <c r="AX92" s="608"/>
      <c r="AY92" s="262"/>
    </row>
    <row r="93" spans="1:51" s="260" customFormat="1" ht="103.5" hidden="1" customHeight="1">
      <c r="A93" s="608"/>
      <c r="B93" s="266"/>
      <c r="C93" s="1399"/>
      <c r="D93" s="1408"/>
      <c r="E93" s="1400"/>
      <c r="F93" s="267"/>
      <c r="G93" s="1399"/>
      <c r="H93" s="1408"/>
      <c r="I93" s="1400"/>
      <c r="J93" s="1380"/>
      <c r="K93" s="1380"/>
      <c r="L93" s="1380"/>
      <c r="M93" s="608"/>
      <c r="N93" s="608"/>
      <c r="O93" s="608"/>
      <c r="P93" s="608"/>
      <c r="Q93" s="266"/>
      <c r="R93" s="266"/>
      <c r="S93" s="268"/>
      <c r="T93" s="269" t="e">
        <f>VLOOKUP(Q93,[71]Listas!$D$6:$E$10,2,0)</f>
        <v>#N/A</v>
      </c>
      <c r="U93" s="269" t="e">
        <f>HLOOKUP(R93,[71]Listas!$F$4:$J$5,2,0)</f>
        <v>#N/A</v>
      </c>
      <c r="V93" s="270" t="e">
        <f>INDEX([71]Listas!$F$6:$J$10,MATCH(Q93,[71]Listas!$D$6:$D$10,0),MATCH(R93,[71]Listas!$F$4:$J$4,0))</f>
        <v>#N/A</v>
      </c>
      <c r="W93" s="268"/>
      <c r="X93" s="1399"/>
      <c r="Y93" s="1408"/>
      <c r="Z93" s="1400"/>
      <c r="AA93" s="1063"/>
      <c r="AB93" s="267"/>
      <c r="AC93" s="259"/>
      <c r="AD93" s="608"/>
      <c r="AE93" s="267"/>
      <c r="AF93" s="268"/>
      <c r="AG93" s="269">
        <f t="shared" si="14"/>
        <v>0</v>
      </c>
      <c r="AH93" s="271" t="e">
        <f t="shared" si="15"/>
        <v>#N/A</v>
      </c>
      <c r="AI93" s="272" t="e">
        <f>IF(AH93&lt;=1,"Remota",VLOOKUP(AH93,[71]Listas!$C$6:$D$10,2,0))</f>
        <v>#N/A</v>
      </c>
      <c r="AJ93" s="271" t="e">
        <f t="shared" si="16"/>
        <v>#N/A</v>
      </c>
      <c r="AK93" s="272" t="e">
        <f>IF(AJ93&lt;=1,"Insignificante",HLOOKUP(AJ93,[71]Listas!$F$3:$J$4,2,0))</f>
        <v>#N/A</v>
      </c>
      <c r="AL93" s="273" t="e">
        <f t="shared" si="17"/>
        <v>#N/A</v>
      </c>
      <c r="AM93" s="270" t="e">
        <f>INDEX([71]Listas!$F$6:$J$10,MATCH(AI93,[71]Listas!$D$6:$D$10,0),MATCH(AK93,[71]Listas!$F$4:$J$4,0))</f>
        <v>#N/A</v>
      </c>
      <c r="AN93" s="259"/>
      <c r="AO93" s="259"/>
      <c r="AP93" s="610"/>
      <c r="AQ93" s="259"/>
      <c r="AR93" s="259" t="s">
        <v>2343</v>
      </c>
      <c r="AS93" s="608"/>
      <c r="AT93" s="259"/>
      <c r="AU93" s="259"/>
      <c r="AV93" s="261"/>
      <c r="AW93" s="261"/>
      <c r="AX93" s="608"/>
      <c r="AY93" s="262"/>
    </row>
    <row r="94" spans="1:51" s="260" customFormat="1" ht="103.5" hidden="1" customHeight="1">
      <c r="A94" s="608"/>
      <c r="B94" s="266"/>
      <c r="C94" s="1399"/>
      <c r="D94" s="1408"/>
      <c r="E94" s="1400"/>
      <c r="F94" s="267"/>
      <c r="G94" s="1399"/>
      <c r="H94" s="1408"/>
      <c r="I94" s="1400"/>
      <c r="J94" s="1380"/>
      <c r="K94" s="1380"/>
      <c r="L94" s="1380"/>
      <c r="M94" s="608"/>
      <c r="N94" s="608"/>
      <c r="O94" s="608"/>
      <c r="P94" s="608"/>
      <c r="Q94" s="266"/>
      <c r="R94" s="266"/>
      <c r="S94" s="268"/>
      <c r="T94" s="269" t="e">
        <f>VLOOKUP(Q94,[71]Listas!$D$6:$E$10,2,0)</f>
        <v>#N/A</v>
      </c>
      <c r="U94" s="269" t="e">
        <f>HLOOKUP(R94,[71]Listas!$F$4:$J$5,2,0)</f>
        <v>#N/A</v>
      </c>
      <c r="V94" s="270" t="e">
        <f>INDEX([71]Listas!$F$6:$J$10,MATCH(Q94,[71]Listas!$D$6:$D$10,0),MATCH(R94,[71]Listas!$F$4:$J$4,0))</f>
        <v>#N/A</v>
      </c>
      <c r="W94" s="268"/>
      <c r="X94" s="1399"/>
      <c r="Y94" s="1408"/>
      <c r="Z94" s="1400"/>
      <c r="AA94" s="1063"/>
      <c r="AB94" s="267"/>
      <c r="AC94" s="259"/>
      <c r="AD94" s="608"/>
      <c r="AE94" s="267"/>
      <c r="AF94" s="268"/>
      <c r="AG94" s="269">
        <f t="shared" si="14"/>
        <v>0</v>
      </c>
      <c r="AH94" s="271" t="e">
        <f t="shared" si="15"/>
        <v>#N/A</v>
      </c>
      <c r="AI94" s="272" t="e">
        <f>IF(AH94&lt;=1,"Remota",VLOOKUP(AH94,[71]Listas!$C$6:$D$10,2,0))</f>
        <v>#N/A</v>
      </c>
      <c r="AJ94" s="271" t="e">
        <f t="shared" si="16"/>
        <v>#N/A</v>
      </c>
      <c r="AK94" s="272" t="e">
        <f>IF(AJ94&lt;=1,"Insignificante",HLOOKUP(AJ94,[71]Listas!$F$3:$J$4,2,0))</f>
        <v>#N/A</v>
      </c>
      <c r="AL94" s="273" t="e">
        <f t="shared" si="17"/>
        <v>#N/A</v>
      </c>
      <c r="AM94" s="270" t="e">
        <f>INDEX([71]Listas!$F$6:$J$10,MATCH(AI94,[71]Listas!$D$6:$D$10,0),MATCH(AK94,[71]Listas!$F$4:$J$4,0))</f>
        <v>#N/A</v>
      </c>
      <c r="AN94" s="259"/>
      <c r="AO94" s="259"/>
      <c r="AP94" s="610"/>
      <c r="AQ94" s="259"/>
      <c r="AR94" s="259" t="s">
        <v>2343</v>
      </c>
      <c r="AS94" s="608"/>
      <c r="AT94" s="259"/>
      <c r="AU94" s="259"/>
      <c r="AV94" s="261"/>
      <c r="AW94" s="261"/>
      <c r="AX94" s="608"/>
      <c r="AY94" s="262"/>
    </row>
    <row r="95" spans="1:51" s="260" customFormat="1" ht="103.5" hidden="1" customHeight="1">
      <c r="A95" s="608"/>
      <c r="B95" s="266"/>
      <c r="C95" s="1399"/>
      <c r="D95" s="1408"/>
      <c r="E95" s="1400"/>
      <c r="F95" s="267"/>
      <c r="G95" s="1399"/>
      <c r="H95" s="1408"/>
      <c r="I95" s="1400"/>
      <c r="J95" s="1380"/>
      <c r="K95" s="1380"/>
      <c r="L95" s="1380"/>
      <c r="M95" s="608"/>
      <c r="N95" s="608"/>
      <c r="O95" s="608"/>
      <c r="P95" s="608"/>
      <c r="Q95" s="266"/>
      <c r="R95" s="266"/>
      <c r="S95" s="268"/>
      <c r="T95" s="269" t="e">
        <f>VLOOKUP(Q95,[71]Listas!$D$6:$E$10,2,0)</f>
        <v>#N/A</v>
      </c>
      <c r="U95" s="269" t="e">
        <f>HLOOKUP(R95,[71]Listas!$F$4:$J$5,2,0)</f>
        <v>#N/A</v>
      </c>
      <c r="V95" s="270" t="e">
        <f>INDEX([71]Listas!$F$6:$J$10,MATCH(Q95,[71]Listas!$D$6:$D$10,0),MATCH(R95,[71]Listas!$F$4:$J$4,0))</f>
        <v>#N/A</v>
      </c>
      <c r="W95" s="268"/>
      <c r="X95" s="1399"/>
      <c r="Y95" s="1408"/>
      <c r="Z95" s="1400"/>
      <c r="AA95" s="1063"/>
      <c r="AB95" s="267"/>
      <c r="AC95" s="259"/>
      <c r="AD95" s="608"/>
      <c r="AE95" s="267"/>
      <c r="AF95" s="268"/>
      <c r="AG95" s="269">
        <f t="shared" si="14"/>
        <v>0</v>
      </c>
      <c r="AH95" s="271" t="e">
        <f t="shared" si="15"/>
        <v>#N/A</v>
      </c>
      <c r="AI95" s="272" t="e">
        <f>IF(AH95&lt;=1,"Remota",VLOOKUP(AH95,[71]Listas!$C$6:$D$10,2,0))</f>
        <v>#N/A</v>
      </c>
      <c r="AJ95" s="271" t="e">
        <f t="shared" si="16"/>
        <v>#N/A</v>
      </c>
      <c r="AK95" s="272" t="e">
        <f>IF(AJ95&lt;=1,"Insignificante",HLOOKUP(AJ95,[71]Listas!$F$3:$J$4,2,0))</f>
        <v>#N/A</v>
      </c>
      <c r="AL95" s="273" t="e">
        <f t="shared" si="17"/>
        <v>#N/A</v>
      </c>
      <c r="AM95" s="270" t="e">
        <f>INDEX([71]Listas!$F$6:$J$10,MATCH(AI95,[71]Listas!$D$6:$D$10,0),MATCH(AK95,[71]Listas!$F$4:$J$4,0))</f>
        <v>#N/A</v>
      </c>
      <c r="AN95" s="259"/>
      <c r="AO95" s="259"/>
      <c r="AP95" s="610"/>
      <c r="AQ95" s="259"/>
      <c r="AR95" s="259" t="s">
        <v>2343</v>
      </c>
      <c r="AS95" s="608"/>
      <c r="AT95" s="259"/>
      <c r="AU95" s="259"/>
      <c r="AV95" s="261"/>
      <c r="AW95" s="261"/>
      <c r="AX95" s="608"/>
      <c r="AY95" s="262"/>
    </row>
    <row r="96" spans="1:51" s="260" customFormat="1" ht="103.5" hidden="1" customHeight="1">
      <c r="A96" s="608"/>
      <c r="B96" s="266"/>
      <c r="C96" s="1399"/>
      <c r="D96" s="1408"/>
      <c r="E96" s="1400"/>
      <c r="F96" s="267"/>
      <c r="G96" s="1399"/>
      <c r="H96" s="1408"/>
      <c r="I96" s="1400"/>
      <c r="J96" s="1380"/>
      <c r="K96" s="1380"/>
      <c r="L96" s="1380"/>
      <c r="M96" s="608"/>
      <c r="N96" s="608"/>
      <c r="O96" s="608"/>
      <c r="P96" s="608"/>
      <c r="Q96" s="266"/>
      <c r="R96" s="266"/>
      <c r="S96" s="268"/>
      <c r="T96" s="269" t="e">
        <f>VLOOKUP(Q96,[71]Listas!$D$6:$E$10,2,0)</f>
        <v>#N/A</v>
      </c>
      <c r="U96" s="269" t="e">
        <f>HLOOKUP(R96,[71]Listas!$F$4:$J$5,2,0)</f>
        <v>#N/A</v>
      </c>
      <c r="V96" s="270" t="e">
        <f>INDEX([71]Listas!$F$6:$J$10,MATCH(Q96,[71]Listas!$D$6:$D$10,0),MATCH(R96,[71]Listas!$F$4:$J$4,0))</f>
        <v>#N/A</v>
      </c>
      <c r="W96" s="268"/>
      <c r="X96" s="1399"/>
      <c r="Y96" s="1408"/>
      <c r="Z96" s="1400"/>
      <c r="AA96" s="1063"/>
      <c r="AB96" s="267"/>
      <c r="AC96" s="259"/>
      <c r="AD96" s="608"/>
      <c r="AE96" s="267"/>
      <c r="AF96" s="268"/>
      <c r="AG96" s="269">
        <f t="shared" si="14"/>
        <v>0</v>
      </c>
      <c r="AH96" s="271" t="e">
        <f t="shared" si="15"/>
        <v>#N/A</v>
      </c>
      <c r="AI96" s="272" t="e">
        <f>IF(AH96&lt;=1,"Remota",VLOOKUP(AH96,[71]Listas!$C$6:$D$10,2,0))</f>
        <v>#N/A</v>
      </c>
      <c r="AJ96" s="271" t="e">
        <f t="shared" si="16"/>
        <v>#N/A</v>
      </c>
      <c r="AK96" s="272" t="e">
        <f>IF(AJ96&lt;=1,"Insignificante",HLOOKUP(AJ96,[71]Listas!$F$3:$J$4,2,0))</f>
        <v>#N/A</v>
      </c>
      <c r="AL96" s="273" t="e">
        <f t="shared" si="17"/>
        <v>#N/A</v>
      </c>
      <c r="AM96" s="270" t="e">
        <f>INDEX([71]Listas!$F$6:$J$10,MATCH(AI96,[71]Listas!$D$6:$D$10,0),MATCH(AK96,[71]Listas!$F$4:$J$4,0))</f>
        <v>#N/A</v>
      </c>
      <c r="AN96" s="259"/>
      <c r="AO96" s="259"/>
      <c r="AP96" s="610"/>
      <c r="AQ96" s="259"/>
      <c r="AR96" s="259" t="s">
        <v>2343</v>
      </c>
      <c r="AS96" s="608"/>
      <c r="AT96" s="259"/>
      <c r="AU96" s="259"/>
      <c r="AV96" s="261"/>
      <c r="AW96" s="261"/>
      <c r="AX96" s="608"/>
      <c r="AY96" s="262"/>
    </row>
    <row r="97" spans="1:51" s="260" customFormat="1" ht="103.5" hidden="1" customHeight="1">
      <c r="A97" s="608"/>
      <c r="B97" s="266"/>
      <c r="C97" s="1399"/>
      <c r="D97" s="1408"/>
      <c r="E97" s="1400"/>
      <c r="F97" s="267"/>
      <c r="G97" s="1399"/>
      <c r="H97" s="1408"/>
      <c r="I97" s="1400"/>
      <c r="J97" s="1380"/>
      <c r="K97" s="1380"/>
      <c r="L97" s="1380"/>
      <c r="M97" s="608"/>
      <c r="N97" s="608"/>
      <c r="O97" s="608"/>
      <c r="P97" s="608"/>
      <c r="Q97" s="266"/>
      <c r="R97" s="266"/>
      <c r="S97" s="268"/>
      <c r="T97" s="269" t="e">
        <f>VLOOKUP(Q97,[71]Listas!$D$6:$E$10,2,0)</f>
        <v>#N/A</v>
      </c>
      <c r="U97" s="269" t="e">
        <f>HLOOKUP(R97,[71]Listas!$F$4:$J$5,2,0)</f>
        <v>#N/A</v>
      </c>
      <c r="V97" s="270" t="e">
        <f>INDEX([71]Listas!$F$6:$J$10,MATCH(Q97,[71]Listas!$D$6:$D$10,0),MATCH(R97,[71]Listas!$F$4:$J$4,0))</f>
        <v>#N/A</v>
      </c>
      <c r="W97" s="268"/>
      <c r="X97" s="1399"/>
      <c r="Y97" s="1408"/>
      <c r="Z97" s="1400"/>
      <c r="AA97" s="1063"/>
      <c r="AB97" s="267"/>
      <c r="AC97" s="259"/>
      <c r="AD97" s="608"/>
      <c r="AE97" s="267"/>
      <c r="AF97" s="268"/>
      <c r="AG97" s="269">
        <f t="shared" si="14"/>
        <v>0</v>
      </c>
      <c r="AH97" s="271" t="e">
        <f t="shared" si="15"/>
        <v>#N/A</v>
      </c>
      <c r="AI97" s="272" t="e">
        <f>IF(AH97&lt;=1,"Remota",VLOOKUP(AH97,[71]Listas!$C$6:$D$10,2,0))</f>
        <v>#N/A</v>
      </c>
      <c r="AJ97" s="271" t="e">
        <f t="shared" si="16"/>
        <v>#N/A</v>
      </c>
      <c r="AK97" s="272" t="e">
        <f>IF(AJ97&lt;=1,"Insignificante",HLOOKUP(AJ97,[71]Listas!$F$3:$J$4,2,0))</f>
        <v>#N/A</v>
      </c>
      <c r="AL97" s="273" t="e">
        <f t="shared" si="17"/>
        <v>#N/A</v>
      </c>
      <c r="AM97" s="270" t="e">
        <f>INDEX([71]Listas!$F$6:$J$10,MATCH(AI97,[71]Listas!$D$6:$D$10,0),MATCH(AK97,[71]Listas!$F$4:$J$4,0))</f>
        <v>#N/A</v>
      </c>
      <c r="AN97" s="259"/>
      <c r="AO97" s="259"/>
      <c r="AP97" s="610"/>
      <c r="AQ97" s="259"/>
      <c r="AR97" s="259" t="s">
        <v>2343</v>
      </c>
      <c r="AS97" s="608"/>
      <c r="AT97" s="259"/>
      <c r="AU97" s="259"/>
      <c r="AV97" s="261"/>
      <c r="AW97" s="261"/>
      <c r="AX97" s="608"/>
      <c r="AY97" s="262"/>
    </row>
    <row r="98" spans="1:51" s="260" customFormat="1" ht="103.5" hidden="1" customHeight="1">
      <c r="A98" s="608"/>
      <c r="B98" s="266"/>
      <c r="C98" s="1399"/>
      <c r="D98" s="1408"/>
      <c r="E98" s="1400"/>
      <c r="F98" s="267"/>
      <c r="G98" s="1399"/>
      <c r="H98" s="1408"/>
      <c r="I98" s="1400"/>
      <c r="J98" s="1380"/>
      <c r="K98" s="1380"/>
      <c r="L98" s="1380"/>
      <c r="M98" s="608"/>
      <c r="N98" s="608"/>
      <c r="O98" s="608"/>
      <c r="P98" s="608"/>
      <c r="Q98" s="266"/>
      <c r="R98" s="266"/>
      <c r="S98" s="268"/>
      <c r="T98" s="269" t="e">
        <f>VLOOKUP(Q98,[71]Listas!$D$6:$E$10,2,0)</f>
        <v>#N/A</v>
      </c>
      <c r="U98" s="269" t="e">
        <f>HLOOKUP(R98,[71]Listas!$F$4:$J$5,2,0)</f>
        <v>#N/A</v>
      </c>
      <c r="V98" s="270" t="e">
        <f>INDEX([71]Listas!$F$6:$J$10,MATCH(Q98,[71]Listas!$D$6:$D$10,0),MATCH(R98,[71]Listas!$F$4:$J$4,0))</f>
        <v>#N/A</v>
      </c>
      <c r="W98" s="268"/>
      <c r="X98" s="1399"/>
      <c r="Y98" s="1408"/>
      <c r="Z98" s="1400"/>
      <c r="AA98" s="1063"/>
      <c r="AB98" s="267"/>
      <c r="AC98" s="259"/>
      <c r="AD98" s="608"/>
      <c r="AE98" s="267"/>
      <c r="AF98" s="268"/>
      <c r="AG98" s="269">
        <f t="shared" si="14"/>
        <v>0</v>
      </c>
      <c r="AH98" s="271" t="e">
        <f t="shared" si="15"/>
        <v>#N/A</v>
      </c>
      <c r="AI98" s="272" t="e">
        <f>IF(AH98&lt;=1,"Remota",VLOOKUP(AH98,[71]Listas!$C$6:$D$10,2,0))</f>
        <v>#N/A</v>
      </c>
      <c r="AJ98" s="271" t="e">
        <f t="shared" si="16"/>
        <v>#N/A</v>
      </c>
      <c r="AK98" s="272" t="e">
        <f>IF(AJ98&lt;=1,"Insignificante",HLOOKUP(AJ98,[71]Listas!$F$3:$J$4,2,0))</f>
        <v>#N/A</v>
      </c>
      <c r="AL98" s="273" t="e">
        <f t="shared" si="17"/>
        <v>#N/A</v>
      </c>
      <c r="AM98" s="270" t="e">
        <f>INDEX([71]Listas!$F$6:$J$10,MATCH(AI98,[71]Listas!$D$6:$D$10,0),MATCH(AK98,[71]Listas!$F$4:$J$4,0))</f>
        <v>#N/A</v>
      </c>
      <c r="AN98" s="259"/>
      <c r="AO98" s="259"/>
      <c r="AP98" s="610"/>
      <c r="AQ98" s="259"/>
      <c r="AR98" s="259" t="s">
        <v>2343</v>
      </c>
      <c r="AS98" s="608"/>
      <c r="AT98" s="259"/>
      <c r="AU98" s="259"/>
      <c r="AV98" s="261"/>
      <c r="AW98" s="261"/>
      <c r="AX98" s="608"/>
      <c r="AY98" s="262"/>
    </row>
    <row r="99" spans="1:51" s="260" customFormat="1" ht="103.5" hidden="1" customHeight="1">
      <c r="A99" s="608"/>
      <c r="B99" s="266"/>
      <c r="C99" s="1399"/>
      <c r="D99" s="1408"/>
      <c r="E99" s="1400"/>
      <c r="F99" s="267"/>
      <c r="G99" s="1399"/>
      <c r="H99" s="1408"/>
      <c r="I99" s="1400"/>
      <c r="J99" s="1380"/>
      <c r="K99" s="1380"/>
      <c r="L99" s="1380"/>
      <c r="M99" s="608"/>
      <c r="N99" s="608"/>
      <c r="O99" s="608"/>
      <c r="P99" s="608"/>
      <c r="Q99" s="266"/>
      <c r="R99" s="266"/>
      <c r="S99" s="268"/>
      <c r="T99" s="269" t="e">
        <f>VLOOKUP(Q99,[71]Listas!$D$6:$E$10,2,0)</f>
        <v>#N/A</v>
      </c>
      <c r="U99" s="269" t="e">
        <f>HLOOKUP(R99,[71]Listas!$F$4:$J$5,2,0)</f>
        <v>#N/A</v>
      </c>
      <c r="V99" s="270" t="e">
        <f>INDEX([71]Listas!$F$6:$J$10,MATCH(Q99,[71]Listas!$D$6:$D$10,0),MATCH(R99,[71]Listas!$F$4:$J$4,0))</f>
        <v>#N/A</v>
      </c>
      <c r="W99" s="268"/>
      <c r="X99" s="1399"/>
      <c r="Y99" s="1408"/>
      <c r="Z99" s="1400"/>
      <c r="AA99" s="1063"/>
      <c r="AB99" s="267"/>
      <c r="AC99" s="259"/>
      <c r="AD99" s="608"/>
      <c r="AE99" s="267"/>
      <c r="AF99" s="268"/>
      <c r="AG99" s="269">
        <f t="shared" si="14"/>
        <v>0</v>
      </c>
      <c r="AH99" s="271" t="e">
        <f t="shared" si="15"/>
        <v>#N/A</v>
      </c>
      <c r="AI99" s="272" t="e">
        <f>IF(AH99&lt;=1,"Remota",VLOOKUP(AH99,[71]Listas!$C$6:$D$10,2,0))</f>
        <v>#N/A</v>
      </c>
      <c r="AJ99" s="271" t="e">
        <f t="shared" si="16"/>
        <v>#N/A</v>
      </c>
      <c r="AK99" s="272" t="e">
        <f>IF(AJ99&lt;=1,"Insignificante",HLOOKUP(AJ99,[71]Listas!$F$3:$J$4,2,0))</f>
        <v>#N/A</v>
      </c>
      <c r="AL99" s="273" t="e">
        <f t="shared" si="17"/>
        <v>#N/A</v>
      </c>
      <c r="AM99" s="270" t="e">
        <f>INDEX([71]Listas!$F$6:$J$10,MATCH(AI99,[71]Listas!$D$6:$D$10,0),MATCH(AK99,[71]Listas!$F$4:$J$4,0))</f>
        <v>#N/A</v>
      </c>
      <c r="AN99" s="259"/>
      <c r="AO99" s="259"/>
      <c r="AP99" s="610"/>
      <c r="AQ99" s="259"/>
      <c r="AR99" s="259" t="s">
        <v>2343</v>
      </c>
      <c r="AS99" s="608"/>
      <c r="AT99" s="259"/>
      <c r="AU99" s="259"/>
      <c r="AV99" s="261"/>
      <c r="AW99" s="261"/>
      <c r="AX99" s="608"/>
      <c r="AY99" s="262"/>
    </row>
    <row r="100" spans="1:51" s="260" customFormat="1" ht="103.5" hidden="1" customHeight="1">
      <c r="A100" s="608"/>
      <c r="B100" s="266"/>
      <c r="C100" s="1399"/>
      <c r="D100" s="1408"/>
      <c r="E100" s="1400"/>
      <c r="F100" s="267"/>
      <c r="G100" s="1399"/>
      <c r="H100" s="1408"/>
      <c r="I100" s="1400"/>
      <c r="J100" s="1380"/>
      <c r="K100" s="1380"/>
      <c r="L100" s="1380"/>
      <c r="M100" s="608"/>
      <c r="N100" s="608"/>
      <c r="O100" s="608"/>
      <c r="P100" s="608"/>
      <c r="Q100" s="266"/>
      <c r="R100" s="266"/>
      <c r="S100" s="268"/>
      <c r="T100" s="269" t="e">
        <f>VLOOKUP(Q100,[71]Listas!$D$6:$E$10,2,0)</f>
        <v>#N/A</v>
      </c>
      <c r="U100" s="269" t="e">
        <f>HLOOKUP(R100,[71]Listas!$F$4:$J$5,2,0)</f>
        <v>#N/A</v>
      </c>
      <c r="V100" s="270" t="e">
        <f>INDEX([71]Listas!$F$6:$J$10,MATCH(Q100,[71]Listas!$D$6:$D$10,0),MATCH(R100,[71]Listas!$F$4:$J$4,0))</f>
        <v>#N/A</v>
      </c>
      <c r="W100" s="268"/>
      <c r="X100" s="1399"/>
      <c r="Y100" s="1408"/>
      <c r="Z100" s="1400"/>
      <c r="AA100" s="1063"/>
      <c r="AB100" s="267"/>
      <c r="AC100" s="259"/>
      <c r="AD100" s="608"/>
      <c r="AE100" s="267"/>
      <c r="AF100" s="268"/>
      <c r="AG100" s="269">
        <f t="shared" si="14"/>
        <v>0</v>
      </c>
      <c r="AH100" s="271" t="e">
        <f t="shared" si="15"/>
        <v>#N/A</v>
      </c>
      <c r="AI100" s="272" t="e">
        <f>IF(AH100&lt;=1,"Remota",VLOOKUP(AH100,[71]Listas!$C$6:$D$10,2,0))</f>
        <v>#N/A</v>
      </c>
      <c r="AJ100" s="271" t="e">
        <f t="shared" si="16"/>
        <v>#N/A</v>
      </c>
      <c r="AK100" s="272" t="e">
        <f>IF(AJ100&lt;=1,"Insignificante",HLOOKUP(AJ100,[71]Listas!$F$3:$J$4,2,0))</f>
        <v>#N/A</v>
      </c>
      <c r="AL100" s="273" t="e">
        <f t="shared" si="17"/>
        <v>#N/A</v>
      </c>
      <c r="AM100" s="270" t="e">
        <f>INDEX([71]Listas!$F$6:$J$10,MATCH(AI100,[71]Listas!$D$6:$D$10,0),MATCH(AK100,[71]Listas!$F$4:$J$4,0))</f>
        <v>#N/A</v>
      </c>
      <c r="AN100" s="259"/>
      <c r="AO100" s="259"/>
      <c r="AP100" s="610"/>
      <c r="AQ100" s="259"/>
      <c r="AR100" s="259" t="s">
        <v>2343</v>
      </c>
      <c r="AS100" s="608"/>
      <c r="AT100" s="259"/>
      <c r="AU100" s="259"/>
      <c r="AV100" s="261"/>
      <c r="AW100" s="261"/>
      <c r="AX100" s="608"/>
      <c r="AY100" s="262"/>
    </row>
    <row r="101" spans="1:51" s="260" customFormat="1" ht="103.5" hidden="1" customHeight="1">
      <c r="A101" s="608"/>
      <c r="B101" s="266"/>
      <c r="C101" s="1399"/>
      <c r="D101" s="1408"/>
      <c r="E101" s="1400"/>
      <c r="F101" s="267"/>
      <c r="G101" s="1399"/>
      <c r="H101" s="1408"/>
      <c r="I101" s="1400"/>
      <c r="J101" s="1380"/>
      <c r="K101" s="1380"/>
      <c r="L101" s="1380"/>
      <c r="M101" s="608"/>
      <c r="N101" s="608"/>
      <c r="O101" s="608"/>
      <c r="P101" s="608"/>
      <c r="Q101" s="266"/>
      <c r="R101" s="266"/>
      <c r="S101" s="268"/>
      <c r="T101" s="269" t="e">
        <f>VLOOKUP(Q101,[71]Listas!$D$6:$E$10,2,0)</f>
        <v>#N/A</v>
      </c>
      <c r="U101" s="269" t="e">
        <f>HLOOKUP(R101,[71]Listas!$F$4:$J$5,2,0)</f>
        <v>#N/A</v>
      </c>
      <c r="V101" s="270" t="e">
        <f>INDEX([71]Listas!$F$6:$J$10,MATCH(Q101,[71]Listas!$D$6:$D$10,0),MATCH(R101,[71]Listas!$F$4:$J$4,0))</f>
        <v>#N/A</v>
      </c>
      <c r="W101" s="268"/>
      <c r="X101" s="1399"/>
      <c r="Y101" s="1408"/>
      <c r="Z101" s="1400"/>
      <c r="AA101" s="1063"/>
      <c r="AB101" s="267"/>
      <c r="AC101" s="259"/>
      <c r="AD101" s="608"/>
      <c r="AE101" s="267"/>
      <c r="AF101" s="268"/>
      <c r="AG101" s="269">
        <f t="shared" si="14"/>
        <v>0</v>
      </c>
      <c r="AH101" s="271" t="e">
        <f t="shared" si="15"/>
        <v>#N/A</v>
      </c>
      <c r="AI101" s="272" t="e">
        <f>IF(AH101&lt;=1,"Remota",VLOOKUP(AH101,[71]Listas!$C$6:$D$10,2,0))</f>
        <v>#N/A</v>
      </c>
      <c r="AJ101" s="271" t="e">
        <f t="shared" si="16"/>
        <v>#N/A</v>
      </c>
      <c r="AK101" s="272" t="e">
        <f>IF(AJ101&lt;=1,"Insignificante",HLOOKUP(AJ101,[71]Listas!$F$3:$J$4,2,0))</f>
        <v>#N/A</v>
      </c>
      <c r="AL101" s="273" t="e">
        <f t="shared" si="17"/>
        <v>#N/A</v>
      </c>
      <c r="AM101" s="270" t="e">
        <f>INDEX([71]Listas!$F$6:$J$10,MATCH(AI101,[71]Listas!$D$6:$D$10,0),MATCH(AK101,[71]Listas!$F$4:$J$4,0))</f>
        <v>#N/A</v>
      </c>
      <c r="AN101" s="259"/>
      <c r="AO101" s="259"/>
      <c r="AP101" s="610"/>
      <c r="AQ101" s="259"/>
      <c r="AR101" s="259" t="s">
        <v>2343</v>
      </c>
      <c r="AS101" s="608"/>
      <c r="AT101" s="259"/>
      <c r="AU101" s="259"/>
      <c r="AV101" s="261"/>
      <c r="AW101" s="261"/>
      <c r="AX101" s="608"/>
      <c r="AY101" s="262"/>
    </row>
    <row r="102" spans="1:51" s="260" customFormat="1" ht="103.5" hidden="1" customHeight="1">
      <c r="A102" s="608"/>
      <c r="B102" s="266"/>
      <c r="C102" s="1399"/>
      <c r="D102" s="1408"/>
      <c r="E102" s="1400"/>
      <c r="F102" s="267"/>
      <c r="G102" s="1399"/>
      <c r="H102" s="1408"/>
      <c r="I102" s="1400"/>
      <c r="J102" s="1380"/>
      <c r="K102" s="1380"/>
      <c r="L102" s="1380"/>
      <c r="M102" s="608"/>
      <c r="N102" s="608"/>
      <c r="O102" s="608"/>
      <c r="P102" s="608"/>
      <c r="Q102" s="266"/>
      <c r="R102" s="266"/>
      <c r="S102" s="268"/>
      <c r="T102" s="269" t="e">
        <f>VLOOKUP(Q102,[71]Listas!$D$6:$E$10,2,0)</f>
        <v>#N/A</v>
      </c>
      <c r="U102" s="269" t="e">
        <f>HLOOKUP(R102,[71]Listas!$F$4:$J$5,2,0)</f>
        <v>#N/A</v>
      </c>
      <c r="V102" s="270" t="e">
        <f>INDEX([71]Listas!$F$6:$J$10,MATCH(Q102,[71]Listas!$D$6:$D$10,0),MATCH(R102,[71]Listas!$F$4:$J$4,0))</f>
        <v>#N/A</v>
      </c>
      <c r="W102" s="268"/>
      <c r="X102" s="1399"/>
      <c r="Y102" s="1408"/>
      <c r="Z102" s="1400"/>
      <c r="AA102" s="1063"/>
      <c r="AB102" s="267"/>
      <c r="AC102" s="259"/>
      <c r="AD102" s="608"/>
      <c r="AE102" s="267"/>
      <c r="AF102" s="268"/>
      <c r="AG102" s="269">
        <f t="shared" si="14"/>
        <v>0</v>
      </c>
      <c r="AH102" s="271" t="e">
        <f t="shared" si="15"/>
        <v>#N/A</v>
      </c>
      <c r="AI102" s="272" t="e">
        <f>IF(AH102&lt;=1,"Remota",VLOOKUP(AH102,[71]Listas!$C$6:$D$10,2,0))</f>
        <v>#N/A</v>
      </c>
      <c r="AJ102" s="271" t="e">
        <f t="shared" si="16"/>
        <v>#N/A</v>
      </c>
      <c r="AK102" s="272" t="e">
        <f>IF(AJ102&lt;=1,"Insignificante",HLOOKUP(AJ102,[71]Listas!$F$3:$J$4,2,0))</f>
        <v>#N/A</v>
      </c>
      <c r="AL102" s="273" t="e">
        <f t="shared" si="17"/>
        <v>#N/A</v>
      </c>
      <c r="AM102" s="270" t="e">
        <f>INDEX([71]Listas!$F$6:$J$10,MATCH(AI102,[71]Listas!$D$6:$D$10,0),MATCH(AK102,[71]Listas!$F$4:$J$4,0))</f>
        <v>#N/A</v>
      </c>
      <c r="AN102" s="259"/>
      <c r="AO102" s="259"/>
      <c r="AP102" s="610"/>
      <c r="AQ102" s="259"/>
      <c r="AR102" s="259" t="s">
        <v>2343</v>
      </c>
      <c r="AS102" s="608"/>
      <c r="AT102" s="259"/>
      <c r="AU102" s="259"/>
      <c r="AV102" s="261"/>
      <c r="AW102" s="261"/>
      <c r="AX102" s="608"/>
      <c r="AY102" s="262"/>
    </row>
    <row r="103" spans="1:51" s="260" customFormat="1" ht="103.5" hidden="1" customHeight="1">
      <c r="A103" s="608"/>
      <c r="B103" s="266"/>
      <c r="C103" s="1399"/>
      <c r="D103" s="1408"/>
      <c r="E103" s="1400"/>
      <c r="F103" s="267"/>
      <c r="G103" s="1399"/>
      <c r="H103" s="1408"/>
      <c r="I103" s="1400"/>
      <c r="J103" s="1380"/>
      <c r="K103" s="1380"/>
      <c r="L103" s="1380"/>
      <c r="M103" s="608"/>
      <c r="N103" s="608"/>
      <c r="O103" s="608"/>
      <c r="P103" s="608"/>
      <c r="Q103" s="266"/>
      <c r="R103" s="266"/>
      <c r="S103" s="268"/>
      <c r="T103" s="269" t="e">
        <f>VLOOKUP(Q103,[71]Listas!$D$6:$E$10,2,0)</f>
        <v>#N/A</v>
      </c>
      <c r="U103" s="269" t="e">
        <f>HLOOKUP(R103,[71]Listas!$F$4:$J$5,2,0)</f>
        <v>#N/A</v>
      </c>
      <c r="V103" s="270" t="e">
        <f>INDEX([71]Listas!$F$6:$J$10,MATCH(Q103,[71]Listas!$D$6:$D$10,0),MATCH(R103,[71]Listas!$F$4:$J$4,0))</f>
        <v>#N/A</v>
      </c>
      <c r="W103" s="268"/>
      <c r="X103" s="1399"/>
      <c r="Y103" s="1408"/>
      <c r="Z103" s="1400"/>
      <c r="AA103" s="1063"/>
      <c r="AB103" s="267"/>
      <c r="AC103" s="259"/>
      <c r="AD103" s="608"/>
      <c r="AE103" s="267"/>
      <c r="AF103" s="268"/>
      <c r="AG103" s="269">
        <f t="shared" si="14"/>
        <v>0</v>
      </c>
      <c r="AH103" s="271" t="e">
        <f t="shared" si="15"/>
        <v>#N/A</v>
      </c>
      <c r="AI103" s="272" t="e">
        <f>IF(AH103&lt;=1,"Remota",VLOOKUP(AH103,[71]Listas!$C$6:$D$10,2,0))</f>
        <v>#N/A</v>
      </c>
      <c r="AJ103" s="271" t="e">
        <f t="shared" si="16"/>
        <v>#N/A</v>
      </c>
      <c r="AK103" s="272" t="e">
        <f>IF(AJ103&lt;=1,"Insignificante",HLOOKUP(AJ103,[71]Listas!$F$3:$J$4,2,0))</f>
        <v>#N/A</v>
      </c>
      <c r="AL103" s="273" t="e">
        <f t="shared" si="17"/>
        <v>#N/A</v>
      </c>
      <c r="AM103" s="270" t="e">
        <f>INDEX([71]Listas!$F$6:$J$10,MATCH(AI103,[71]Listas!$D$6:$D$10,0),MATCH(AK103,[71]Listas!$F$4:$J$4,0))</f>
        <v>#N/A</v>
      </c>
      <c r="AN103" s="259"/>
      <c r="AO103" s="259"/>
      <c r="AP103" s="610"/>
      <c r="AQ103" s="259"/>
      <c r="AR103" s="259" t="s">
        <v>2343</v>
      </c>
      <c r="AS103" s="608"/>
      <c r="AT103" s="259"/>
      <c r="AU103" s="259"/>
      <c r="AV103" s="261"/>
      <c r="AW103" s="261"/>
      <c r="AX103" s="608"/>
      <c r="AY103" s="262"/>
    </row>
    <row r="104" spans="1:51" s="260" customFormat="1" ht="103.5" hidden="1" customHeight="1">
      <c r="A104" s="608"/>
      <c r="B104" s="266"/>
      <c r="C104" s="1399"/>
      <c r="D104" s="1408"/>
      <c r="E104" s="1400"/>
      <c r="F104" s="267"/>
      <c r="G104" s="1399"/>
      <c r="H104" s="1408"/>
      <c r="I104" s="1400"/>
      <c r="J104" s="1380"/>
      <c r="K104" s="1380"/>
      <c r="L104" s="1380"/>
      <c r="M104" s="608"/>
      <c r="N104" s="608"/>
      <c r="O104" s="608"/>
      <c r="P104" s="608"/>
      <c r="Q104" s="266"/>
      <c r="R104" s="266"/>
      <c r="S104" s="268"/>
      <c r="T104" s="269" t="e">
        <f>VLOOKUP(Q104,[71]Listas!$D$6:$E$10,2,0)</f>
        <v>#N/A</v>
      </c>
      <c r="U104" s="269" t="e">
        <f>HLOOKUP(R104,[71]Listas!$F$4:$J$5,2,0)</f>
        <v>#N/A</v>
      </c>
      <c r="V104" s="270" t="e">
        <f>INDEX([71]Listas!$F$6:$J$10,MATCH(Q104,[71]Listas!$D$6:$D$10,0),MATCH(R104,[71]Listas!$F$4:$J$4,0))</f>
        <v>#N/A</v>
      </c>
      <c r="W104" s="268"/>
      <c r="X104" s="1399"/>
      <c r="Y104" s="1408"/>
      <c r="Z104" s="1400"/>
      <c r="AA104" s="1063"/>
      <c r="AB104" s="267"/>
      <c r="AC104" s="259"/>
      <c r="AD104" s="608"/>
      <c r="AE104" s="267"/>
      <c r="AF104" s="268"/>
      <c r="AG104" s="269">
        <f t="shared" si="14"/>
        <v>0</v>
      </c>
      <c r="AH104" s="271" t="e">
        <f t="shared" si="15"/>
        <v>#N/A</v>
      </c>
      <c r="AI104" s="272" t="e">
        <f>IF(AH104&lt;=1,"Remota",VLOOKUP(AH104,[71]Listas!$C$6:$D$10,2,0))</f>
        <v>#N/A</v>
      </c>
      <c r="AJ104" s="271" t="e">
        <f t="shared" si="16"/>
        <v>#N/A</v>
      </c>
      <c r="AK104" s="272" t="e">
        <f>IF(AJ104&lt;=1,"Insignificante",HLOOKUP(AJ104,[71]Listas!$F$3:$J$4,2,0))</f>
        <v>#N/A</v>
      </c>
      <c r="AL104" s="273" t="e">
        <f t="shared" si="17"/>
        <v>#N/A</v>
      </c>
      <c r="AM104" s="270" t="e">
        <f>INDEX([71]Listas!$F$6:$J$10,MATCH(AI104,[71]Listas!$D$6:$D$10,0),MATCH(AK104,[71]Listas!$F$4:$J$4,0))</f>
        <v>#N/A</v>
      </c>
      <c r="AN104" s="259"/>
      <c r="AO104" s="259"/>
      <c r="AP104" s="610"/>
      <c r="AQ104" s="259"/>
      <c r="AR104" s="259" t="s">
        <v>2343</v>
      </c>
      <c r="AS104" s="608"/>
      <c r="AT104" s="259"/>
      <c r="AU104" s="259"/>
      <c r="AV104" s="261"/>
      <c r="AW104" s="261"/>
      <c r="AX104" s="608"/>
      <c r="AY104" s="262"/>
    </row>
    <row r="105" spans="1:51" s="260" customFormat="1" ht="103.5" hidden="1" customHeight="1">
      <c r="A105" s="608"/>
      <c r="B105" s="266"/>
      <c r="C105" s="1399"/>
      <c r="D105" s="1408"/>
      <c r="E105" s="1400"/>
      <c r="F105" s="267"/>
      <c r="G105" s="1399"/>
      <c r="H105" s="1408"/>
      <c r="I105" s="1400"/>
      <c r="J105" s="1380"/>
      <c r="K105" s="1380"/>
      <c r="L105" s="1380"/>
      <c r="M105" s="608"/>
      <c r="N105" s="608"/>
      <c r="O105" s="608"/>
      <c r="P105" s="608"/>
      <c r="Q105" s="266"/>
      <c r="R105" s="266"/>
      <c r="S105" s="268"/>
      <c r="T105" s="269" t="e">
        <f>VLOOKUP(Q105,[71]Listas!$D$6:$E$10,2,0)</f>
        <v>#N/A</v>
      </c>
      <c r="U105" s="269" t="e">
        <f>HLOOKUP(R105,[71]Listas!$F$4:$J$5,2,0)</f>
        <v>#N/A</v>
      </c>
      <c r="V105" s="270" t="e">
        <f>INDEX([71]Listas!$F$6:$J$10,MATCH(Q105,[71]Listas!$D$6:$D$10,0),MATCH(R105,[71]Listas!$F$4:$J$4,0))</f>
        <v>#N/A</v>
      </c>
      <c r="W105" s="268"/>
      <c r="X105" s="1399"/>
      <c r="Y105" s="1408"/>
      <c r="Z105" s="1400"/>
      <c r="AA105" s="1063"/>
      <c r="AB105" s="267"/>
      <c r="AC105" s="259"/>
      <c r="AD105" s="608"/>
      <c r="AE105" s="267"/>
      <c r="AF105" s="268"/>
      <c r="AG105" s="269">
        <f t="shared" si="14"/>
        <v>0</v>
      </c>
      <c r="AH105" s="271" t="e">
        <f t="shared" si="15"/>
        <v>#N/A</v>
      </c>
      <c r="AI105" s="272" t="e">
        <f>IF(AH105&lt;=1,"Remota",VLOOKUP(AH105,[71]Listas!$C$6:$D$10,2,0))</f>
        <v>#N/A</v>
      </c>
      <c r="AJ105" s="271" t="e">
        <f t="shared" si="16"/>
        <v>#N/A</v>
      </c>
      <c r="AK105" s="272" t="e">
        <f>IF(AJ105&lt;=1,"Insignificante",HLOOKUP(AJ105,[71]Listas!$F$3:$J$4,2,0))</f>
        <v>#N/A</v>
      </c>
      <c r="AL105" s="273" t="e">
        <f t="shared" si="17"/>
        <v>#N/A</v>
      </c>
      <c r="AM105" s="270" t="e">
        <f>INDEX([71]Listas!$F$6:$J$10,MATCH(AI105,[71]Listas!$D$6:$D$10,0),MATCH(AK105,[71]Listas!$F$4:$J$4,0))</f>
        <v>#N/A</v>
      </c>
      <c r="AN105" s="259"/>
      <c r="AO105" s="259"/>
      <c r="AP105" s="610"/>
      <c r="AQ105" s="259"/>
      <c r="AR105" s="259" t="s">
        <v>2343</v>
      </c>
      <c r="AS105" s="608"/>
      <c r="AT105" s="259"/>
      <c r="AU105" s="259"/>
      <c r="AV105" s="261"/>
      <c r="AW105" s="261"/>
      <c r="AX105" s="608"/>
      <c r="AY105" s="262"/>
    </row>
    <row r="106" spans="1:51" s="260" customFormat="1" ht="103.5" hidden="1" customHeight="1">
      <c r="A106" s="608"/>
      <c r="B106" s="266"/>
      <c r="C106" s="1399"/>
      <c r="D106" s="1408"/>
      <c r="E106" s="1400"/>
      <c r="F106" s="267"/>
      <c r="G106" s="1399"/>
      <c r="H106" s="1408"/>
      <c r="I106" s="1400"/>
      <c r="J106" s="1380"/>
      <c r="K106" s="1380"/>
      <c r="L106" s="1380"/>
      <c r="M106" s="608"/>
      <c r="N106" s="608"/>
      <c r="O106" s="608"/>
      <c r="P106" s="608"/>
      <c r="Q106" s="266"/>
      <c r="R106" s="266"/>
      <c r="S106" s="268"/>
      <c r="T106" s="269" t="e">
        <f>VLOOKUP(Q106,[71]Listas!$D$6:$E$10,2,0)</f>
        <v>#N/A</v>
      </c>
      <c r="U106" s="269" t="e">
        <f>HLOOKUP(R106,[71]Listas!$F$4:$J$5,2,0)</f>
        <v>#N/A</v>
      </c>
      <c r="V106" s="270" t="e">
        <f>INDEX([71]Listas!$F$6:$J$10,MATCH(Q106,[71]Listas!$D$6:$D$10,0),MATCH(R106,[71]Listas!$F$4:$J$4,0))</f>
        <v>#N/A</v>
      </c>
      <c r="W106" s="268"/>
      <c r="X106" s="1399"/>
      <c r="Y106" s="1408"/>
      <c r="Z106" s="1400"/>
      <c r="AA106" s="1063"/>
      <c r="AB106" s="267"/>
      <c r="AC106" s="259"/>
      <c r="AD106" s="608"/>
      <c r="AE106" s="267"/>
      <c r="AF106" s="268"/>
      <c r="AG106" s="269">
        <f t="shared" si="14"/>
        <v>0</v>
      </c>
      <c r="AH106" s="271" t="e">
        <f t="shared" si="15"/>
        <v>#N/A</v>
      </c>
      <c r="AI106" s="272" t="e">
        <f>IF(AH106&lt;=1,"Remota",VLOOKUP(AH106,[71]Listas!$C$6:$D$10,2,0))</f>
        <v>#N/A</v>
      </c>
      <c r="AJ106" s="271" t="e">
        <f t="shared" si="16"/>
        <v>#N/A</v>
      </c>
      <c r="AK106" s="272" t="e">
        <f>IF(AJ106&lt;=1,"Insignificante",HLOOKUP(AJ106,[71]Listas!$F$3:$J$4,2,0))</f>
        <v>#N/A</v>
      </c>
      <c r="AL106" s="273" t="e">
        <f t="shared" si="17"/>
        <v>#N/A</v>
      </c>
      <c r="AM106" s="270" t="e">
        <f>INDEX([71]Listas!$F$6:$J$10,MATCH(AI106,[71]Listas!$D$6:$D$10,0),MATCH(AK106,[71]Listas!$F$4:$J$4,0))</f>
        <v>#N/A</v>
      </c>
      <c r="AN106" s="259"/>
      <c r="AO106" s="259"/>
      <c r="AP106" s="610"/>
      <c r="AQ106" s="259"/>
      <c r="AR106" s="259" t="s">
        <v>2343</v>
      </c>
      <c r="AS106" s="608"/>
      <c r="AT106" s="259"/>
      <c r="AU106" s="259"/>
      <c r="AV106" s="261"/>
      <c r="AW106" s="261"/>
      <c r="AX106" s="608"/>
      <c r="AY106" s="262"/>
    </row>
    <row r="107" spans="1:51" s="260" customFormat="1" ht="103.5" hidden="1" customHeight="1">
      <c r="A107" s="608"/>
      <c r="B107" s="266"/>
      <c r="C107" s="1399"/>
      <c r="D107" s="1408"/>
      <c r="E107" s="1400"/>
      <c r="F107" s="267"/>
      <c r="G107" s="1399"/>
      <c r="H107" s="1408"/>
      <c r="I107" s="1400"/>
      <c r="J107" s="1380"/>
      <c r="K107" s="1380"/>
      <c r="L107" s="1380"/>
      <c r="M107" s="608"/>
      <c r="N107" s="608"/>
      <c r="O107" s="608"/>
      <c r="P107" s="608"/>
      <c r="Q107" s="266"/>
      <c r="R107" s="266"/>
      <c r="S107" s="268"/>
      <c r="T107" s="269" t="e">
        <f>VLOOKUP(Q107,[71]Listas!$D$6:$E$10,2,0)</f>
        <v>#N/A</v>
      </c>
      <c r="U107" s="269" t="e">
        <f>HLOOKUP(R107,[71]Listas!$F$4:$J$5,2,0)</f>
        <v>#N/A</v>
      </c>
      <c r="V107" s="270" t="e">
        <f>INDEX([71]Listas!$F$6:$J$10,MATCH(Q107,[71]Listas!$D$6:$D$10,0),MATCH(R107,[71]Listas!$F$4:$J$4,0))</f>
        <v>#N/A</v>
      </c>
      <c r="W107" s="268"/>
      <c r="X107" s="1399"/>
      <c r="Y107" s="1408"/>
      <c r="Z107" s="1400"/>
      <c r="AA107" s="1063"/>
      <c r="AB107" s="267"/>
      <c r="AC107" s="259"/>
      <c r="AD107" s="608"/>
      <c r="AE107" s="267"/>
      <c r="AF107" s="268"/>
      <c r="AG107" s="269">
        <f t="shared" si="14"/>
        <v>0</v>
      </c>
      <c r="AH107" s="271" t="e">
        <f t="shared" si="15"/>
        <v>#N/A</v>
      </c>
      <c r="AI107" s="272" t="e">
        <f>IF(AH107&lt;=1,"Remota",VLOOKUP(AH107,[71]Listas!$C$6:$D$10,2,0))</f>
        <v>#N/A</v>
      </c>
      <c r="AJ107" s="271" t="e">
        <f t="shared" si="16"/>
        <v>#N/A</v>
      </c>
      <c r="AK107" s="272" t="e">
        <f>IF(AJ107&lt;=1,"Insignificante",HLOOKUP(AJ107,[71]Listas!$F$3:$J$4,2,0))</f>
        <v>#N/A</v>
      </c>
      <c r="AL107" s="273" t="e">
        <f t="shared" si="17"/>
        <v>#N/A</v>
      </c>
      <c r="AM107" s="270" t="e">
        <f>INDEX([71]Listas!$F$6:$J$10,MATCH(AI107,[71]Listas!$D$6:$D$10,0),MATCH(AK107,[71]Listas!$F$4:$J$4,0))</f>
        <v>#N/A</v>
      </c>
      <c r="AN107" s="259"/>
      <c r="AO107" s="259"/>
      <c r="AP107" s="610"/>
      <c r="AQ107" s="259"/>
      <c r="AR107" s="259" t="s">
        <v>2343</v>
      </c>
      <c r="AS107" s="608"/>
      <c r="AT107" s="259"/>
      <c r="AU107" s="259"/>
      <c r="AV107" s="261"/>
      <c r="AW107" s="261"/>
      <c r="AX107" s="608"/>
      <c r="AY107" s="262"/>
    </row>
    <row r="108" spans="1:51" s="260" customFormat="1" ht="103.5" hidden="1" customHeight="1">
      <c r="A108" s="608"/>
      <c r="B108" s="266"/>
      <c r="C108" s="1399"/>
      <c r="D108" s="1408"/>
      <c r="E108" s="1400"/>
      <c r="F108" s="267"/>
      <c r="G108" s="1399"/>
      <c r="H108" s="1408"/>
      <c r="I108" s="1400"/>
      <c r="J108" s="1380"/>
      <c r="K108" s="1380"/>
      <c r="L108" s="1380"/>
      <c r="M108" s="608"/>
      <c r="N108" s="608"/>
      <c r="O108" s="608"/>
      <c r="P108" s="608"/>
      <c r="Q108" s="266"/>
      <c r="R108" s="266"/>
      <c r="S108" s="268"/>
      <c r="T108" s="269" t="e">
        <f>VLOOKUP(Q108,[71]Listas!$D$6:$E$10,2,0)</f>
        <v>#N/A</v>
      </c>
      <c r="U108" s="269" t="e">
        <f>HLOOKUP(R108,[71]Listas!$F$4:$J$5,2,0)</f>
        <v>#N/A</v>
      </c>
      <c r="V108" s="270" t="e">
        <f>INDEX([71]Listas!$F$6:$J$10,MATCH(Q108,[71]Listas!$D$6:$D$10,0),MATCH(R108,[71]Listas!$F$4:$J$4,0))</f>
        <v>#N/A</v>
      </c>
      <c r="W108" s="268"/>
      <c r="X108" s="1399"/>
      <c r="Y108" s="1408"/>
      <c r="Z108" s="1400"/>
      <c r="AA108" s="1063"/>
      <c r="AB108" s="267"/>
      <c r="AC108" s="259"/>
      <c r="AD108" s="608"/>
      <c r="AE108" s="267"/>
      <c r="AF108" s="268"/>
      <c r="AG108" s="269">
        <f t="shared" si="14"/>
        <v>0</v>
      </c>
      <c r="AH108" s="271" t="e">
        <f t="shared" si="15"/>
        <v>#N/A</v>
      </c>
      <c r="AI108" s="272" t="e">
        <f>IF(AH108&lt;=1,"Remota",VLOOKUP(AH108,[71]Listas!$C$6:$D$10,2,0))</f>
        <v>#N/A</v>
      </c>
      <c r="AJ108" s="271" t="e">
        <f t="shared" si="16"/>
        <v>#N/A</v>
      </c>
      <c r="AK108" s="272" t="e">
        <f>IF(AJ108&lt;=1,"Insignificante",HLOOKUP(AJ108,[71]Listas!$F$3:$J$4,2,0))</f>
        <v>#N/A</v>
      </c>
      <c r="AL108" s="273" t="e">
        <f t="shared" si="17"/>
        <v>#N/A</v>
      </c>
      <c r="AM108" s="270" t="e">
        <f>INDEX([71]Listas!$F$6:$J$10,MATCH(AI108,[71]Listas!$D$6:$D$10,0),MATCH(AK108,[71]Listas!$F$4:$J$4,0))</f>
        <v>#N/A</v>
      </c>
      <c r="AN108" s="259"/>
      <c r="AO108" s="259"/>
      <c r="AP108" s="610"/>
      <c r="AQ108" s="259"/>
      <c r="AR108" s="259" t="s">
        <v>2343</v>
      </c>
      <c r="AS108" s="608"/>
      <c r="AT108" s="259"/>
      <c r="AU108" s="259"/>
      <c r="AV108" s="261"/>
      <c r="AW108" s="261"/>
      <c r="AX108" s="608"/>
      <c r="AY108" s="262"/>
    </row>
    <row r="109" spans="1:51" s="260" customFormat="1" ht="103.5" hidden="1" customHeight="1">
      <c r="A109" s="608"/>
      <c r="B109" s="266"/>
      <c r="C109" s="1399"/>
      <c r="D109" s="1408"/>
      <c r="E109" s="1400"/>
      <c r="F109" s="267"/>
      <c r="G109" s="1399"/>
      <c r="H109" s="1408"/>
      <c r="I109" s="1400"/>
      <c r="J109" s="1380"/>
      <c r="K109" s="1380"/>
      <c r="L109" s="1380"/>
      <c r="M109" s="608"/>
      <c r="N109" s="608"/>
      <c r="O109" s="608"/>
      <c r="P109" s="608"/>
      <c r="Q109" s="266"/>
      <c r="R109" s="266"/>
      <c r="S109" s="268"/>
      <c r="T109" s="269" t="e">
        <f>VLOOKUP(Q109,[71]Listas!$D$6:$E$10,2,0)</f>
        <v>#N/A</v>
      </c>
      <c r="U109" s="269" t="e">
        <f>HLOOKUP(R109,[71]Listas!$F$4:$J$5,2,0)</f>
        <v>#N/A</v>
      </c>
      <c r="V109" s="270" t="e">
        <f>INDEX([71]Listas!$F$6:$J$10,MATCH(Q109,[71]Listas!$D$6:$D$10,0),MATCH(R109,[71]Listas!$F$4:$J$4,0))</f>
        <v>#N/A</v>
      </c>
      <c r="W109" s="268"/>
      <c r="X109" s="1399"/>
      <c r="Y109" s="1408"/>
      <c r="Z109" s="1400"/>
      <c r="AA109" s="1063"/>
      <c r="AB109" s="267"/>
      <c r="AC109" s="259"/>
      <c r="AD109" s="608"/>
      <c r="AE109" s="267"/>
      <c r="AF109" s="268"/>
      <c r="AG109" s="269">
        <f t="shared" si="14"/>
        <v>0</v>
      </c>
      <c r="AH109" s="271" t="e">
        <f t="shared" si="15"/>
        <v>#N/A</v>
      </c>
      <c r="AI109" s="272" t="e">
        <f>IF(AH109&lt;=1,"Remota",VLOOKUP(AH109,[71]Listas!$C$6:$D$10,2,0))</f>
        <v>#N/A</v>
      </c>
      <c r="AJ109" s="271" t="e">
        <f t="shared" si="16"/>
        <v>#N/A</v>
      </c>
      <c r="AK109" s="272" t="e">
        <f>IF(AJ109&lt;=1,"Insignificante",HLOOKUP(AJ109,[71]Listas!$F$3:$J$4,2,0))</f>
        <v>#N/A</v>
      </c>
      <c r="AL109" s="273" t="e">
        <f t="shared" si="17"/>
        <v>#N/A</v>
      </c>
      <c r="AM109" s="270" t="e">
        <f>INDEX([71]Listas!$F$6:$J$10,MATCH(AI109,[71]Listas!$D$6:$D$10,0),MATCH(AK109,[71]Listas!$F$4:$J$4,0))</f>
        <v>#N/A</v>
      </c>
      <c r="AN109" s="259"/>
      <c r="AO109" s="259"/>
      <c r="AP109" s="610"/>
      <c r="AQ109" s="259"/>
      <c r="AR109" s="259" t="s">
        <v>2343</v>
      </c>
      <c r="AS109" s="608"/>
      <c r="AT109" s="259"/>
      <c r="AU109" s="259"/>
      <c r="AV109" s="261"/>
      <c r="AW109" s="261"/>
      <c r="AX109" s="608"/>
      <c r="AY109" s="262"/>
    </row>
    <row r="110" spans="1:51" s="260" customFormat="1" ht="103.5" hidden="1" customHeight="1">
      <c r="A110" s="608"/>
      <c r="B110" s="266"/>
      <c r="C110" s="1399"/>
      <c r="D110" s="1408"/>
      <c r="E110" s="1400"/>
      <c r="F110" s="267"/>
      <c r="G110" s="1399"/>
      <c r="H110" s="1408"/>
      <c r="I110" s="1400"/>
      <c r="J110" s="1380"/>
      <c r="K110" s="1380"/>
      <c r="L110" s="1380"/>
      <c r="M110" s="608"/>
      <c r="N110" s="608"/>
      <c r="O110" s="608"/>
      <c r="P110" s="608"/>
      <c r="Q110" s="266"/>
      <c r="R110" s="266"/>
      <c r="S110" s="268"/>
      <c r="T110" s="269" t="e">
        <f>VLOOKUP(Q110,[71]Listas!$D$6:$E$10,2,0)</f>
        <v>#N/A</v>
      </c>
      <c r="U110" s="269" t="e">
        <f>HLOOKUP(R110,[71]Listas!$F$4:$J$5,2,0)</f>
        <v>#N/A</v>
      </c>
      <c r="V110" s="270" t="e">
        <f>INDEX([71]Listas!$F$6:$J$10,MATCH(Q110,[71]Listas!$D$6:$D$10,0),MATCH(R110,[71]Listas!$F$4:$J$4,0))</f>
        <v>#N/A</v>
      </c>
      <c r="W110" s="268"/>
      <c r="X110" s="1399"/>
      <c r="Y110" s="1408"/>
      <c r="Z110" s="1400"/>
      <c r="AA110" s="1063"/>
      <c r="AB110" s="267"/>
      <c r="AC110" s="259"/>
      <c r="AD110" s="608"/>
      <c r="AE110" s="267"/>
      <c r="AF110" s="268"/>
      <c r="AG110" s="269">
        <f t="shared" si="14"/>
        <v>0</v>
      </c>
      <c r="AH110" s="271" t="e">
        <f t="shared" si="15"/>
        <v>#N/A</v>
      </c>
      <c r="AI110" s="272" t="e">
        <f>IF(AH110&lt;=1,"Remota",VLOOKUP(AH110,[71]Listas!$C$6:$D$10,2,0))</f>
        <v>#N/A</v>
      </c>
      <c r="AJ110" s="271" t="e">
        <f t="shared" si="16"/>
        <v>#N/A</v>
      </c>
      <c r="AK110" s="272" t="e">
        <f>IF(AJ110&lt;=1,"Insignificante",HLOOKUP(AJ110,[71]Listas!$F$3:$J$4,2,0))</f>
        <v>#N/A</v>
      </c>
      <c r="AL110" s="273" t="e">
        <f t="shared" si="17"/>
        <v>#N/A</v>
      </c>
      <c r="AM110" s="270" t="e">
        <f>INDEX([71]Listas!$F$6:$J$10,MATCH(AI110,[71]Listas!$D$6:$D$10,0),MATCH(AK110,[71]Listas!$F$4:$J$4,0))</f>
        <v>#N/A</v>
      </c>
      <c r="AN110" s="259"/>
      <c r="AO110" s="259"/>
      <c r="AP110" s="610"/>
      <c r="AQ110" s="259"/>
      <c r="AR110" s="259" t="s">
        <v>2343</v>
      </c>
      <c r="AS110" s="608"/>
      <c r="AT110" s="259"/>
      <c r="AU110" s="259"/>
      <c r="AV110" s="261"/>
      <c r="AW110" s="261"/>
      <c r="AX110" s="608"/>
      <c r="AY110" s="262"/>
    </row>
    <row r="111" spans="1:51" s="260" customFormat="1" ht="103.5" hidden="1" customHeight="1">
      <c r="A111" s="608"/>
      <c r="B111" s="266"/>
      <c r="C111" s="1399"/>
      <c r="D111" s="1408"/>
      <c r="E111" s="1400"/>
      <c r="F111" s="267"/>
      <c r="G111" s="1399"/>
      <c r="H111" s="1408"/>
      <c r="I111" s="1400"/>
      <c r="J111" s="1380"/>
      <c r="K111" s="1380"/>
      <c r="L111" s="1380"/>
      <c r="M111" s="608"/>
      <c r="N111" s="608"/>
      <c r="O111" s="608"/>
      <c r="P111" s="608"/>
      <c r="Q111" s="266"/>
      <c r="R111" s="266"/>
      <c r="S111" s="268"/>
      <c r="T111" s="269" t="e">
        <f>VLOOKUP(Q111,[71]Listas!$D$6:$E$10,2,0)</f>
        <v>#N/A</v>
      </c>
      <c r="U111" s="269" t="e">
        <f>HLOOKUP(R111,[71]Listas!$F$4:$J$5,2,0)</f>
        <v>#N/A</v>
      </c>
      <c r="V111" s="270" t="e">
        <f>INDEX([71]Listas!$F$6:$J$10,MATCH(Q111,[71]Listas!$D$6:$D$10,0),MATCH(R111,[71]Listas!$F$4:$J$4,0))</f>
        <v>#N/A</v>
      </c>
      <c r="W111" s="268"/>
      <c r="X111" s="1399"/>
      <c r="Y111" s="1408"/>
      <c r="Z111" s="1400"/>
      <c r="AA111" s="1063"/>
      <c r="AB111" s="267"/>
      <c r="AC111" s="259"/>
      <c r="AD111" s="608"/>
      <c r="AE111" s="267"/>
      <c r="AF111" s="268"/>
      <c r="AG111" s="269">
        <f t="shared" si="14"/>
        <v>0</v>
      </c>
      <c r="AH111" s="271" t="e">
        <f t="shared" si="15"/>
        <v>#N/A</v>
      </c>
      <c r="AI111" s="272" t="e">
        <f>IF(AH111&lt;=1,"Remota",VLOOKUP(AH111,[71]Listas!$C$6:$D$10,2,0))</f>
        <v>#N/A</v>
      </c>
      <c r="AJ111" s="271" t="e">
        <f t="shared" si="16"/>
        <v>#N/A</v>
      </c>
      <c r="AK111" s="272" t="e">
        <f>IF(AJ111&lt;=1,"Insignificante",HLOOKUP(AJ111,[71]Listas!$F$3:$J$4,2,0))</f>
        <v>#N/A</v>
      </c>
      <c r="AL111" s="273" t="e">
        <f t="shared" si="17"/>
        <v>#N/A</v>
      </c>
      <c r="AM111" s="270" t="e">
        <f>INDEX([71]Listas!$F$6:$J$10,MATCH(AI111,[71]Listas!$D$6:$D$10,0),MATCH(AK111,[71]Listas!$F$4:$J$4,0))</f>
        <v>#N/A</v>
      </c>
      <c r="AN111" s="259"/>
      <c r="AO111" s="259"/>
      <c r="AP111" s="610"/>
      <c r="AQ111" s="259"/>
      <c r="AR111" s="259" t="s">
        <v>2343</v>
      </c>
      <c r="AS111" s="608"/>
      <c r="AT111" s="259"/>
      <c r="AU111" s="259"/>
      <c r="AV111" s="261"/>
      <c r="AW111" s="261"/>
      <c r="AX111" s="608"/>
      <c r="AY111" s="262"/>
    </row>
    <row r="112" spans="1:51" s="260" customFormat="1" ht="103.5" hidden="1" customHeight="1">
      <c r="A112" s="608"/>
      <c r="B112" s="266"/>
      <c r="C112" s="1399"/>
      <c r="D112" s="1408"/>
      <c r="E112" s="1400"/>
      <c r="F112" s="267"/>
      <c r="G112" s="1399"/>
      <c r="H112" s="1408"/>
      <c r="I112" s="1400"/>
      <c r="J112" s="1380"/>
      <c r="K112" s="1380"/>
      <c r="L112" s="1380"/>
      <c r="M112" s="608"/>
      <c r="N112" s="608"/>
      <c r="O112" s="608"/>
      <c r="P112" s="608"/>
      <c r="Q112" s="266"/>
      <c r="R112" s="266"/>
      <c r="S112" s="268"/>
      <c r="T112" s="269" t="e">
        <f>VLOOKUP(Q112,[71]Listas!$D$6:$E$10,2,0)</f>
        <v>#N/A</v>
      </c>
      <c r="U112" s="269" t="e">
        <f>HLOOKUP(R112,[71]Listas!$F$4:$J$5,2,0)</f>
        <v>#N/A</v>
      </c>
      <c r="V112" s="270" t="e">
        <f>INDEX([71]Listas!$F$6:$J$10,MATCH(Q112,[71]Listas!$D$6:$D$10,0),MATCH(R112,[71]Listas!$F$4:$J$4,0))</f>
        <v>#N/A</v>
      </c>
      <c r="W112" s="268"/>
      <c r="X112" s="1399"/>
      <c r="Y112" s="1408"/>
      <c r="Z112" s="1400"/>
      <c r="AA112" s="1063"/>
      <c r="AB112" s="267"/>
      <c r="AC112" s="259"/>
      <c r="AD112" s="608"/>
      <c r="AE112" s="267"/>
      <c r="AF112" s="268"/>
      <c r="AG112" s="269">
        <f t="shared" si="14"/>
        <v>0</v>
      </c>
      <c r="AH112" s="271" t="e">
        <f t="shared" si="15"/>
        <v>#N/A</v>
      </c>
      <c r="AI112" s="272" t="e">
        <f>IF(AH112&lt;=1,"Remota",VLOOKUP(AH112,[71]Listas!$C$6:$D$10,2,0))</f>
        <v>#N/A</v>
      </c>
      <c r="AJ112" s="271" t="e">
        <f t="shared" si="16"/>
        <v>#N/A</v>
      </c>
      <c r="AK112" s="272" t="e">
        <f>IF(AJ112&lt;=1,"Insignificante",HLOOKUP(AJ112,[71]Listas!$F$3:$J$4,2,0))</f>
        <v>#N/A</v>
      </c>
      <c r="AL112" s="273" t="e">
        <f t="shared" si="17"/>
        <v>#N/A</v>
      </c>
      <c r="AM112" s="270" t="e">
        <f>INDEX([71]Listas!$F$6:$J$10,MATCH(AI112,[71]Listas!$D$6:$D$10,0),MATCH(AK112,[71]Listas!$F$4:$J$4,0))</f>
        <v>#N/A</v>
      </c>
      <c r="AN112" s="259"/>
      <c r="AO112" s="259"/>
      <c r="AP112" s="610"/>
      <c r="AQ112" s="259"/>
      <c r="AR112" s="259" t="s">
        <v>2343</v>
      </c>
      <c r="AS112" s="608"/>
      <c r="AT112" s="259"/>
      <c r="AU112" s="259"/>
      <c r="AV112" s="261"/>
      <c r="AW112" s="261"/>
      <c r="AX112" s="608"/>
      <c r="AY112" s="262"/>
    </row>
    <row r="113" spans="1:51" s="260" customFormat="1" ht="103.5" hidden="1" customHeight="1">
      <c r="A113" s="608"/>
      <c r="B113" s="266"/>
      <c r="C113" s="1399"/>
      <c r="D113" s="1408"/>
      <c r="E113" s="1400"/>
      <c r="F113" s="267"/>
      <c r="G113" s="1399"/>
      <c r="H113" s="1408"/>
      <c r="I113" s="1400"/>
      <c r="J113" s="1380"/>
      <c r="K113" s="1380"/>
      <c r="L113" s="1380"/>
      <c r="M113" s="608"/>
      <c r="N113" s="608"/>
      <c r="O113" s="608"/>
      <c r="P113" s="608"/>
      <c r="Q113" s="266"/>
      <c r="R113" s="266"/>
      <c r="S113" s="268"/>
      <c r="T113" s="269" t="e">
        <f>VLOOKUP(Q113,[71]Listas!$D$6:$E$10,2,0)</f>
        <v>#N/A</v>
      </c>
      <c r="U113" s="269" t="e">
        <f>HLOOKUP(R113,[71]Listas!$F$4:$J$5,2,0)</f>
        <v>#N/A</v>
      </c>
      <c r="V113" s="270" t="e">
        <f>INDEX([71]Listas!$F$6:$J$10,MATCH(Q113,[71]Listas!$D$6:$D$10,0),MATCH(R113,[71]Listas!$F$4:$J$4,0))</f>
        <v>#N/A</v>
      </c>
      <c r="W113" s="268"/>
      <c r="X113" s="1399"/>
      <c r="Y113" s="1408"/>
      <c r="Z113" s="1400"/>
      <c r="AA113" s="1063"/>
      <c r="AB113" s="267"/>
      <c r="AC113" s="259"/>
      <c r="AD113" s="608"/>
      <c r="AE113" s="267"/>
      <c r="AF113" s="268"/>
      <c r="AG113" s="269">
        <f t="shared" si="14"/>
        <v>0</v>
      </c>
      <c r="AH113" s="271" t="e">
        <f t="shared" si="15"/>
        <v>#N/A</v>
      </c>
      <c r="AI113" s="272" t="e">
        <f>IF(AH113&lt;=1,"Remota",VLOOKUP(AH113,[71]Listas!$C$6:$D$10,2,0))</f>
        <v>#N/A</v>
      </c>
      <c r="AJ113" s="271" t="e">
        <f t="shared" si="16"/>
        <v>#N/A</v>
      </c>
      <c r="AK113" s="272" t="e">
        <f>IF(AJ113&lt;=1,"Insignificante",HLOOKUP(AJ113,[71]Listas!$F$3:$J$4,2,0))</f>
        <v>#N/A</v>
      </c>
      <c r="AL113" s="273" t="e">
        <f t="shared" si="17"/>
        <v>#N/A</v>
      </c>
      <c r="AM113" s="270" t="e">
        <f>INDEX([71]Listas!$F$6:$J$10,MATCH(AI113,[71]Listas!$D$6:$D$10,0),MATCH(AK113,[71]Listas!$F$4:$J$4,0))</f>
        <v>#N/A</v>
      </c>
      <c r="AN113" s="259"/>
      <c r="AO113" s="259"/>
      <c r="AP113" s="610"/>
      <c r="AQ113" s="259"/>
      <c r="AR113" s="259" t="s">
        <v>2343</v>
      </c>
      <c r="AS113" s="608"/>
      <c r="AT113" s="259"/>
      <c r="AU113" s="259"/>
      <c r="AV113" s="261"/>
      <c r="AW113" s="261"/>
      <c r="AX113" s="608"/>
      <c r="AY113" s="262"/>
    </row>
    <row r="114" spans="1:51" s="260" customFormat="1" ht="103.5" hidden="1" customHeight="1">
      <c r="A114" s="608"/>
      <c r="B114" s="266"/>
      <c r="C114" s="1399"/>
      <c r="D114" s="1408"/>
      <c r="E114" s="1400"/>
      <c r="F114" s="267"/>
      <c r="G114" s="1399"/>
      <c r="H114" s="1408"/>
      <c r="I114" s="1400"/>
      <c r="J114" s="1380"/>
      <c r="K114" s="1380"/>
      <c r="L114" s="1380"/>
      <c r="M114" s="608"/>
      <c r="N114" s="608"/>
      <c r="O114" s="608"/>
      <c r="P114" s="608"/>
      <c r="Q114" s="266"/>
      <c r="R114" s="266"/>
      <c r="S114" s="268"/>
      <c r="T114" s="269" t="e">
        <f>VLOOKUP(Q114,[71]Listas!$D$6:$E$10,2,0)</f>
        <v>#N/A</v>
      </c>
      <c r="U114" s="269" t="e">
        <f>HLOOKUP(R114,[71]Listas!$F$4:$J$5,2,0)</f>
        <v>#N/A</v>
      </c>
      <c r="V114" s="270" t="e">
        <f>INDEX([71]Listas!$F$6:$J$10,MATCH(Q114,[71]Listas!$D$6:$D$10,0),MATCH(R114,[71]Listas!$F$4:$J$4,0))</f>
        <v>#N/A</v>
      </c>
      <c r="W114" s="268"/>
      <c r="X114" s="1399"/>
      <c r="Y114" s="1408"/>
      <c r="Z114" s="1400"/>
      <c r="AA114" s="1063"/>
      <c r="AB114" s="267"/>
      <c r="AC114" s="259"/>
      <c r="AD114" s="608"/>
      <c r="AE114" s="267"/>
      <c r="AF114" s="268"/>
      <c r="AG114" s="269">
        <f t="shared" si="14"/>
        <v>0</v>
      </c>
      <c r="AH114" s="271" t="e">
        <f t="shared" si="15"/>
        <v>#N/A</v>
      </c>
      <c r="AI114" s="272" t="e">
        <f>IF(AH114&lt;=1,"Remota",VLOOKUP(AH114,[71]Listas!$C$6:$D$10,2,0))</f>
        <v>#N/A</v>
      </c>
      <c r="AJ114" s="271" t="e">
        <f t="shared" si="16"/>
        <v>#N/A</v>
      </c>
      <c r="AK114" s="272" t="e">
        <f>IF(AJ114&lt;=1,"Insignificante",HLOOKUP(AJ114,[71]Listas!$F$3:$J$4,2,0))</f>
        <v>#N/A</v>
      </c>
      <c r="AL114" s="273" t="e">
        <f t="shared" si="17"/>
        <v>#N/A</v>
      </c>
      <c r="AM114" s="270" t="e">
        <f>INDEX([71]Listas!$F$6:$J$10,MATCH(AI114,[71]Listas!$D$6:$D$10,0),MATCH(AK114,[71]Listas!$F$4:$J$4,0))</f>
        <v>#N/A</v>
      </c>
      <c r="AN114" s="259"/>
      <c r="AO114" s="259"/>
      <c r="AP114" s="610"/>
      <c r="AQ114" s="259"/>
      <c r="AR114" s="259" t="s">
        <v>2343</v>
      </c>
      <c r="AS114" s="608"/>
      <c r="AT114" s="259"/>
      <c r="AU114" s="259"/>
      <c r="AV114" s="261"/>
      <c r="AW114" s="261"/>
      <c r="AX114" s="608"/>
      <c r="AY114" s="262"/>
    </row>
    <row r="115" spans="1:51" s="260" customFormat="1" ht="103.5" hidden="1" customHeight="1">
      <c r="A115" s="608"/>
      <c r="B115" s="266"/>
      <c r="C115" s="1399"/>
      <c r="D115" s="1408"/>
      <c r="E115" s="1400"/>
      <c r="F115" s="267"/>
      <c r="G115" s="1399"/>
      <c r="H115" s="1408"/>
      <c r="I115" s="1400"/>
      <c r="J115" s="1380"/>
      <c r="K115" s="1380"/>
      <c r="L115" s="1380"/>
      <c r="M115" s="608"/>
      <c r="N115" s="608"/>
      <c r="O115" s="608"/>
      <c r="P115" s="608"/>
      <c r="Q115" s="266"/>
      <c r="R115" s="266"/>
      <c r="S115" s="268"/>
      <c r="T115" s="269" t="e">
        <f>VLOOKUP(Q115,[71]Listas!$D$6:$E$10,2,0)</f>
        <v>#N/A</v>
      </c>
      <c r="U115" s="269" t="e">
        <f>HLOOKUP(R115,[71]Listas!$F$4:$J$5,2,0)</f>
        <v>#N/A</v>
      </c>
      <c r="V115" s="270" t="e">
        <f>INDEX([71]Listas!$F$6:$J$10,MATCH(Q115,[71]Listas!$D$6:$D$10,0),MATCH(R115,[71]Listas!$F$4:$J$4,0))</f>
        <v>#N/A</v>
      </c>
      <c r="W115" s="268"/>
      <c r="X115" s="1399"/>
      <c r="Y115" s="1408"/>
      <c r="Z115" s="1400"/>
      <c r="AA115" s="1063"/>
      <c r="AB115" s="267"/>
      <c r="AC115" s="259"/>
      <c r="AD115" s="608"/>
      <c r="AE115" s="267"/>
      <c r="AF115" s="268"/>
      <c r="AG115" s="269">
        <f t="shared" si="14"/>
        <v>0</v>
      </c>
      <c r="AH115" s="271" t="e">
        <f t="shared" si="15"/>
        <v>#N/A</v>
      </c>
      <c r="AI115" s="272" t="e">
        <f>IF(AH115&lt;=1,"Remota",VLOOKUP(AH115,[71]Listas!$C$6:$D$10,2,0))</f>
        <v>#N/A</v>
      </c>
      <c r="AJ115" s="271" t="e">
        <f t="shared" si="16"/>
        <v>#N/A</v>
      </c>
      <c r="AK115" s="272" t="e">
        <f>IF(AJ115&lt;=1,"Insignificante",HLOOKUP(AJ115,[71]Listas!$F$3:$J$4,2,0))</f>
        <v>#N/A</v>
      </c>
      <c r="AL115" s="273" t="e">
        <f t="shared" si="17"/>
        <v>#N/A</v>
      </c>
      <c r="AM115" s="270" t="e">
        <f>INDEX([71]Listas!$F$6:$J$10,MATCH(AI115,[71]Listas!$D$6:$D$10,0),MATCH(AK115,[71]Listas!$F$4:$J$4,0))</f>
        <v>#N/A</v>
      </c>
      <c r="AN115" s="259"/>
      <c r="AO115" s="259"/>
      <c r="AP115" s="610"/>
      <c r="AQ115" s="259"/>
      <c r="AR115" s="259" t="s">
        <v>2343</v>
      </c>
      <c r="AS115" s="608"/>
      <c r="AT115" s="259"/>
      <c r="AU115" s="259"/>
      <c r="AV115" s="261"/>
      <c r="AW115" s="261"/>
      <c r="AX115" s="608"/>
      <c r="AY115" s="262"/>
    </row>
    <row r="116" spans="1:51" s="260" customFormat="1" ht="103.5" hidden="1" customHeight="1">
      <c r="A116" s="608"/>
      <c r="B116" s="266"/>
      <c r="C116" s="1399"/>
      <c r="D116" s="1408"/>
      <c r="E116" s="1400"/>
      <c r="F116" s="267"/>
      <c r="G116" s="1399"/>
      <c r="H116" s="1408"/>
      <c r="I116" s="1400"/>
      <c r="J116" s="1380"/>
      <c r="K116" s="1380"/>
      <c r="L116" s="1380"/>
      <c r="M116" s="608"/>
      <c r="N116" s="608"/>
      <c r="O116" s="608"/>
      <c r="P116" s="608"/>
      <c r="Q116" s="266"/>
      <c r="R116" s="266"/>
      <c r="S116" s="268"/>
      <c r="T116" s="269" t="e">
        <f>VLOOKUP(Q116,[71]Listas!$D$6:$E$10,2,0)</f>
        <v>#N/A</v>
      </c>
      <c r="U116" s="269" t="e">
        <f>HLOOKUP(R116,[71]Listas!$F$4:$J$5,2,0)</f>
        <v>#N/A</v>
      </c>
      <c r="V116" s="270" t="e">
        <f>INDEX([71]Listas!$F$6:$J$10,MATCH(Q116,[71]Listas!$D$6:$D$10,0),MATCH(R116,[71]Listas!$F$4:$J$4,0))</f>
        <v>#N/A</v>
      </c>
      <c r="W116" s="268"/>
      <c r="X116" s="1399"/>
      <c r="Y116" s="1408"/>
      <c r="Z116" s="1400"/>
      <c r="AA116" s="1063"/>
      <c r="AB116" s="267"/>
      <c r="AC116" s="259"/>
      <c r="AD116" s="608"/>
      <c r="AE116" s="267"/>
      <c r="AF116" s="268"/>
      <c r="AG116" s="269">
        <f t="shared" si="14"/>
        <v>0</v>
      </c>
      <c r="AH116" s="271" t="e">
        <f t="shared" si="15"/>
        <v>#N/A</v>
      </c>
      <c r="AI116" s="272" t="e">
        <f>IF(AH116&lt;=1,"Remota",VLOOKUP(AH116,[71]Listas!$C$6:$D$10,2,0))</f>
        <v>#N/A</v>
      </c>
      <c r="AJ116" s="271" t="e">
        <f t="shared" si="16"/>
        <v>#N/A</v>
      </c>
      <c r="AK116" s="272" t="e">
        <f>IF(AJ116&lt;=1,"Insignificante",HLOOKUP(AJ116,[71]Listas!$F$3:$J$4,2,0))</f>
        <v>#N/A</v>
      </c>
      <c r="AL116" s="273" t="e">
        <f t="shared" si="17"/>
        <v>#N/A</v>
      </c>
      <c r="AM116" s="270" t="e">
        <f>INDEX([71]Listas!$F$6:$J$10,MATCH(AI116,[71]Listas!$D$6:$D$10,0),MATCH(AK116,[71]Listas!$F$4:$J$4,0))</f>
        <v>#N/A</v>
      </c>
      <c r="AN116" s="259"/>
      <c r="AO116" s="259"/>
      <c r="AP116" s="610"/>
      <c r="AQ116" s="259"/>
      <c r="AR116" s="259" t="s">
        <v>2343</v>
      </c>
      <c r="AS116" s="608"/>
      <c r="AT116" s="259"/>
      <c r="AU116" s="259"/>
      <c r="AV116" s="261"/>
      <c r="AW116" s="261"/>
      <c r="AX116" s="608"/>
      <c r="AY116" s="262"/>
    </row>
    <row r="117" spans="1:51" s="260" customFormat="1" ht="103.5" hidden="1" customHeight="1">
      <c r="A117" s="608"/>
      <c r="B117" s="266"/>
      <c r="C117" s="1399"/>
      <c r="D117" s="1408"/>
      <c r="E117" s="1400"/>
      <c r="F117" s="267"/>
      <c r="G117" s="1399"/>
      <c r="H117" s="1408"/>
      <c r="I117" s="1400"/>
      <c r="J117" s="1380"/>
      <c r="K117" s="1380"/>
      <c r="L117" s="1380"/>
      <c r="M117" s="608"/>
      <c r="N117" s="608"/>
      <c r="O117" s="608"/>
      <c r="P117" s="608"/>
      <c r="Q117" s="266"/>
      <c r="R117" s="266"/>
      <c r="S117" s="268"/>
      <c r="T117" s="269" t="e">
        <f>VLOOKUP(Q117,[71]Listas!$D$6:$E$10,2,0)</f>
        <v>#N/A</v>
      </c>
      <c r="U117" s="269" t="e">
        <f>HLOOKUP(R117,[71]Listas!$F$4:$J$5,2,0)</f>
        <v>#N/A</v>
      </c>
      <c r="V117" s="270" t="e">
        <f>INDEX([71]Listas!$F$6:$J$10,MATCH(Q117,[71]Listas!$D$6:$D$10,0),MATCH(R117,[71]Listas!$F$4:$J$4,0))</f>
        <v>#N/A</v>
      </c>
      <c r="W117" s="268"/>
      <c r="X117" s="1399"/>
      <c r="Y117" s="1408"/>
      <c r="Z117" s="1400"/>
      <c r="AA117" s="1063"/>
      <c r="AB117" s="267"/>
      <c r="AC117" s="259"/>
      <c r="AD117" s="608"/>
      <c r="AE117" s="267"/>
      <c r="AF117" s="268"/>
      <c r="AG117" s="269">
        <f t="shared" si="14"/>
        <v>0</v>
      </c>
      <c r="AH117" s="271" t="e">
        <f t="shared" si="15"/>
        <v>#N/A</v>
      </c>
      <c r="AI117" s="272" t="e">
        <f>IF(AH117&lt;=1,"Remota",VLOOKUP(AH117,[71]Listas!$C$6:$D$10,2,0))</f>
        <v>#N/A</v>
      </c>
      <c r="AJ117" s="271" t="e">
        <f t="shared" si="16"/>
        <v>#N/A</v>
      </c>
      <c r="AK117" s="272" t="e">
        <f>IF(AJ117&lt;=1,"Insignificante",HLOOKUP(AJ117,[71]Listas!$F$3:$J$4,2,0))</f>
        <v>#N/A</v>
      </c>
      <c r="AL117" s="273" t="e">
        <f t="shared" si="17"/>
        <v>#N/A</v>
      </c>
      <c r="AM117" s="270" t="e">
        <f>INDEX([71]Listas!$F$6:$J$10,MATCH(AI117,[71]Listas!$D$6:$D$10,0),MATCH(AK117,[71]Listas!$F$4:$J$4,0))</f>
        <v>#N/A</v>
      </c>
      <c r="AN117" s="259"/>
      <c r="AO117" s="259"/>
      <c r="AP117" s="610"/>
      <c r="AQ117" s="259"/>
      <c r="AR117" s="259" t="s">
        <v>2343</v>
      </c>
      <c r="AS117" s="608"/>
      <c r="AT117" s="259"/>
      <c r="AU117" s="259"/>
      <c r="AV117" s="261"/>
      <c r="AW117" s="261"/>
      <c r="AX117" s="608"/>
      <c r="AY117" s="262"/>
    </row>
    <row r="118" spans="1:51" s="260" customFormat="1" ht="103.5" hidden="1" customHeight="1">
      <c r="A118" s="608"/>
      <c r="B118" s="266"/>
      <c r="C118" s="1399"/>
      <c r="D118" s="1408"/>
      <c r="E118" s="1400"/>
      <c r="F118" s="267"/>
      <c r="G118" s="1399"/>
      <c r="H118" s="1408"/>
      <c r="I118" s="1400"/>
      <c r="J118" s="1380"/>
      <c r="K118" s="1380"/>
      <c r="L118" s="1380"/>
      <c r="M118" s="608"/>
      <c r="N118" s="608"/>
      <c r="O118" s="608"/>
      <c r="P118" s="608"/>
      <c r="Q118" s="266"/>
      <c r="R118" s="266"/>
      <c r="S118" s="268"/>
      <c r="T118" s="269" t="e">
        <f>VLOOKUP(Q118,[71]Listas!$D$6:$E$10,2,0)</f>
        <v>#N/A</v>
      </c>
      <c r="U118" s="269" t="e">
        <f>HLOOKUP(R118,[71]Listas!$F$4:$J$5,2,0)</f>
        <v>#N/A</v>
      </c>
      <c r="V118" s="270" t="e">
        <f>INDEX([71]Listas!$F$6:$J$10,MATCH(Q118,[71]Listas!$D$6:$D$10,0),MATCH(R118,[71]Listas!$F$4:$J$4,0))</f>
        <v>#N/A</v>
      </c>
      <c r="W118" s="268"/>
      <c r="X118" s="1399"/>
      <c r="Y118" s="1408"/>
      <c r="Z118" s="1400"/>
      <c r="AA118" s="1063"/>
      <c r="AB118" s="267"/>
      <c r="AC118" s="259"/>
      <c r="AD118" s="608"/>
      <c r="AE118" s="267"/>
      <c r="AF118" s="268"/>
      <c r="AG118" s="269">
        <f t="shared" si="14"/>
        <v>0</v>
      </c>
      <c r="AH118" s="271" t="e">
        <f t="shared" si="15"/>
        <v>#N/A</v>
      </c>
      <c r="AI118" s="272" t="e">
        <f>IF(AH118&lt;=1,"Remota",VLOOKUP(AH118,[71]Listas!$C$6:$D$10,2,0))</f>
        <v>#N/A</v>
      </c>
      <c r="AJ118" s="271" t="e">
        <f t="shared" si="16"/>
        <v>#N/A</v>
      </c>
      <c r="AK118" s="272" t="e">
        <f>IF(AJ118&lt;=1,"Insignificante",HLOOKUP(AJ118,[71]Listas!$F$3:$J$4,2,0))</f>
        <v>#N/A</v>
      </c>
      <c r="AL118" s="273" t="e">
        <f t="shared" si="17"/>
        <v>#N/A</v>
      </c>
      <c r="AM118" s="270" t="e">
        <f>INDEX([71]Listas!$F$6:$J$10,MATCH(AI118,[71]Listas!$D$6:$D$10,0),MATCH(AK118,[71]Listas!$F$4:$J$4,0))</f>
        <v>#N/A</v>
      </c>
      <c r="AN118" s="259"/>
      <c r="AO118" s="259"/>
      <c r="AP118" s="610"/>
      <c r="AQ118" s="259"/>
      <c r="AR118" s="259" t="s">
        <v>2343</v>
      </c>
      <c r="AS118" s="608"/>
      <c r="AT118" s="259"/>
      <c r="AU118" s="259"/>
      <c r="AV118" s="261"/>
      <c r="AW118" s="261"/>
      <c r="AX118" s="608"/>
      <c r="AY118" s="262"/>
    </row>
    <row r="119" spans="1:51" s="260" customFormat="1" ht="103.5" hidden="1" customHeight="1">
      <c r="A119" s="608"/>
      <c r="B119" s="266"/>
      <c r="C119" s="1399"/>
      <c r="D119" s="1408"/>
      <c r="E119" s="1400"/>
      <c r="F119" s="267"/>
      <c r="G119" s="1399"/>
      <c r="H119" s="1408"/>
      <c r="I119" s="1400"/>
      <c r="J119" s="1380"/>
      <c r="K119" s="1380"/>
      <c r="L119" s="1380"/>
      <c r="M119" s="608"/>
      <c r="N119" s="608"/>
      <c r="O119" s="608"/>
      <c r="P119" s="608"/>
      <c r="Q119" s="266"/>
      <c r="R119" s="266"/>
      <c r="S119" s="268"/>
      <c r="T119" s="269" t="e">
        <f>VLOOKUP(Q119,[71]Listas!$D$6:$E$10,2,0)</f>
        <v>#N/A</v>
      </c>
      <c r="U119" s="269" t="e">
        <f>HLOOKUP(R119,[71]Listas!$F$4:$J$5,2,0)</f>
        <v>#N/A</v>
      </c>
      <c r="V119" s="270" t="e">
        <f>INDEX([71]Listas!$F$6:$J$10,MATCH(Q119,[71]Listas!$D$6:$D$10,0),MATCH(R119,[71]Listas!$F$4:$J$4,0))</f>
        <v>#N/A</v>
      </c>
      <c r="W119" s="268"/>
      <c r="X119" s="1399"/>
      <c r="Y119" s="1408"/>
      <c r="Z119" s="1400"/>
      <c r="AA119" s="1063"/>
      <c r="AB119" s="267"/>
      <c r="AC119" s="259"/>
      <c r="AD119" s="608"/>
      <c r="AE119" s="267"/>
      <c r="AF119" s="268"/>
      <c r="AG119" s="269">
        <f t="shared" si="14"/>
        <v>0</v>
      </c>
      <c r="AH119" s="271" t="e">
        <f t="shared" si="15"/>
        <v>#N/A</v>
      </c>
      <c r="AI119" s="272" t="e">
        <f>IF(AH119&lt;=1,"Remota",VLOOKUP(AH119,[71]Listas!$C$6:$D$10,2,0))</f>
        <v>#N/A</v>
      </c>
      <c r="AJ119" s="271" t="e">
        <f t="shared" si="16"/>
        <v>#N/A</v>
      </c>
      <c r="AK119" s="272" t="e">
        <f>IF(AJ119&lt;=1,"Insignificante",HLOOKUP(AJ119,[71]Listas!$F$3:$J$4,2,0))</f>
        <v>#N/A</v>
      </c>
      <c r="AL119" s="273" t="e">
        <f t="shared" si="17"/>
        <v>#N/A</v>
      </c>
      <c r="AM119" s="270" t="e">
        <f>INDEX([71]Listas!$F$6:$J$10,MATCH(AI119,[71]Listas!$D$6:$D$10,0),MATCH(AK119,[71]Listas!$F$4:$J$4,0))</f>
        <v>#N/A</v>
      </c>
      <c r="AN119" s="259"/>
      <c r="AO119" s="259"/>
      <c r="AP119" s="610"/>
      <c r="AQ119" s="259"/>
      <c r="AR119" s="259" t="s">
        <v>2343</v>
      </c>
      <c r="AS119" s="608"/>
      <c r="AT119" s="259"/>
      <c r="AU119" s="259"/>
      <c r="AV119" s="261"/>
      <c r="AW119" s="261"/>
      <c r="AX119" s="608"/>
      <c r="AY119" s="262"/>
    </row>
    <row r="120" spans="1:51" s="260" customFormat="1" ht="103.5" hidden="1" customHeight="1">
      <c r="A120" s="608"/>
      <c r="B120" s="266"/>
      <c r="C120" s="1399"/>
      <c r="D120" s="1408"/>
      <c r="E120" s="1400"/>
      <c r="F120" s="267"/>
      <c r="G120" s="1399"/>
      <c r="H120" s="1408"/>
      <c r="I120" s="1400"/>
      <c r="J120" s="1380"/>
      <c r="K120" s="1380"/>
      <c r="L120" s="1380"/>
      <c r="M120" s="608"/>
      <c r="N120" s="608"/>
      <c r="O120" s="608"/>
      <c r="P120" s="608"/>
      <c r="Q120" s="266"/>
      <c r="R120" s="266"/>
      <c r="S120" s="268"/>
      <c r="T120" s="269" t="e">
        <f>VLOOKUP(Q120,[71]Listas!$D$6:$E$10,2,0)</f>
        <v>#N/A</v>
      </c>
      <c r="U120" s="269" t="e">
        <f>HLOOKUP(R120,[71]Listas!$F$4:$J$5,2,0)</f>
        <v>#N/A</v>
      </c>
      <c r="V120" s="270" t="e">
        <f>INDEX([71]Listas!$F$6:$J$10,MATCH(Q120,[71]Listas!$D$6:$D$10,0),MATCH(R120,[71]Listas!$F$4:$J$4,0))</f>
        <v>#N/A</v>
      </c>
      <c r="W120" s="268"/>
      <c r="X120" s="1399"/>
      <c r="Y120" s="1408"/>
      <c r="Z120" s="1400"/>
      <c r="AA120" s="1063"/>
      <c r="AB120" s="267"/>
      <c r="AC120" s="259"/>
      <c r="AD120" s="608"/>
      <c r="AE120" s="267"/>
      <c r="AF120" s="268"/>
      <c r="AG120" s="269">
        <f t="shared" si="14"/>
        <v>0</v>
      </c>
      <c r="AH120" s="271" t="e">
        <f t="shared" si="15"/>
        <v>#N/A</v>
      </c>
      <c r="AI120" s="272" t="e">
        <f>IF(AH120&lt;=1,"Remota",VLOOKUP(AH120,[71]Listas!$C$6:$D$10,2,0))</f>
        <v>#N/A</v>
      </c>
      <c r="AJ120" s="271" t="e">
        <f t="shared" si="16"/>
        <v>#N/A</v>
      </c>
      <c r="AK120" s="272" t="e">
        <f>IF(AJ120&lt;=1,"Insignificante",HLOOKUP(AJ120,[71]Listas!$F$3:$J$4,2,0))</f>
        <v>#N/A</v>
      </c>
      <c r="AL120" s="273" t="e">
        <f t="shared" si="17"/>
        <v>#N/A</v>
      </c>
      <c r="AM120" s="270" t="e">
        <f>INDEX([71]Listas!$F$6:$J$10,MATCH(AI120,[71]Listas!$D$6:$D$10,0),MATCH(AK120,[71]Listas!$F$4:$J$4,0))</f>
        <v>#N/A</v>
      </c>
      <c r="AN120" s="259"/>
      <c r="AO120" s="259"/>
      <c r="AP120" s="610"/>
      <c r="AQ120" s="259"/>
      <c r="AR120" s="259" t="s">
        <v>2343</v>
      </c>
      <c r="AS120" s="608"/>
      <c r="AT120" s="259"/>
      <c r="AU120" s="259"/>
      <c r="AV120" s="261"/>
      <c r="AW120" s="261"/>
      <c r="AX120" s="608"/>
      <c r="AY120" s="262"/>
    </row>
    <row r="121" spans="1:51" s="260" customFormat="1" ht="103.5" hidden="1" customHeight="1">
      <c r="A121" s="608"/>
      <c r="B121" s="266"/>
      <c r="C121" s="1399"/>
      <c r="D121" s="1408"/>
      <c r="E121" s="1400"/>
      <c r="F121" s="267"/>
      <c r="G121" s="1399"/>
      <c r="H121" s="1408"/>
      <c r="I121" s="1400"/>
      <c r="J121" s="1380"/>
      <c r="K121" s="1380"/>
      <c r="L121" s="1380"/>
      <c r="M121" s="608"/>
      <c r="N121" s="608"/>
      <c r="O121" s="608"/>
      <c r="P121" s="608"/>
      <c r="Q121" s="266"/>
      <c r="R121" s="266"/>
      <c r="S121" s="268"/>
      <c r="T121" s="269" t="e">
        <f>VLOOKUP(Q121,[71]Listas!$D$6:$E$10,2,0)</f>
        <v>#N/A</v>
      </c>
      <c r="U121" s="269" t="e">
        <f>HLOOKUP(R121,[71]Listas!$F$4:$J$5,2,0)</f>
        <v>#N/A</v>
      </c>
      <c r="V121" s="270" t="e">
        <f>INDEX([71]Listas!$F$6:$J$10,MATCH(Q121,[71]Listas!$D$6:$D$10,0),MATCH(R121,[71]Listas!$F$4:$J$4,0))</f>
        <v>#N/A</v>
      </c>
      <c r="W121" s="268"/>
      <c r="X121" s="1399"/>
      <c r="Y121" s="1408"/>
      <c r="Z121" s="1400"/>
      <c r="AA121" s="1063"/>
      <c r="AB121" s="267"/>
      <c r="AC121" s="259"/>
      <c r="AD121" s="608"/>
      <c r="AE121" s="267"/>
      <c r="AF121" s="268"/>
      <c r="AG121" s="269">
        <f t="shared" si="14"/>
        <v>0</v>
      </c>
      <c r="AH121" s="271" t="e">
        <f t="shared" si="15"/>
        <v>#N/A</v>
      </c>
      <c r="AI121" s="272" t="e">
        <f>IF(AH121&lt;=1,"Remota",VLOOKUP(AH121,[71]Listas!$C$6:$D$10,2,0))</f>
        <v>#N/A</v>
      </c>
      <c r="AJ121" s="271" t="e">
        <f t="shared" si="16"/>
        <v>#N/A</v>
      </c>
      <c r="AK121" s="272" t="e">
        <f>IF(AJ121&lt;=1,"Insignificante",HLOOKUP(AJ121,[71]Listas!$F$3:$J$4,2,0))</f>
        <v>#N/A</v>
      </c>
      <c r="AL121" s="273" t="e">
        <f t="shared" si="17"/>
        <v>#N/A</v>
      </c>
      <c r="AM121" s="270" t="e">
        <f>INDEX([71]Listas!$F$6:$J$10,MATCH(AI121,[71]Listas!$D$6:$D$10,0),MATCH(AK121,[71]Listas!$F$4:$J$4,0))</f>
        <v>#N/A</v>
      </c>
      <c r="AN121" s="259"/>
      <c r="AO121" s="259"/>
      <c r="AP121" s="610"/>
      <c r="AQ121" s="259"/>
      <c r="AR121" s="259" t="s">
        <v>2343</v>
      </c>
      <c r="AS121" s="608"/>
      <c r="AT121" s="259"/>
      <c r="AU121" s="259"/>
      <c r="AV121" s="261"/>
      <c r="AW121" s="261"/>
      <c r="AX121" s="608"/>
      <c r="AY121" s="262"/>
    </row>
    <row r="122" spans="1:51" s="260" customFormat="1" ht="103.5" hidden="1" customHeight="1">
      <c r="A122" s="608"/>
      <c r="B122" s="266"/>
      <c r="C122" s="1399"/>
      <c r="D122" s="1408"/>
      <c r="E122" s="1400"/>
      <c r="F122" s="267"/>
      <c r="G122" s="1399"/>
      <c r="H122" s="1408"/>
      <c r="I122" s="1400"/>
      <c r="J122" s="1380"/>
      <c r="K122" s="1380"/>
      <c r="L122" s="1380"/>
      <c r="M122" s="608"/>
      <c r="N122" s="608"/>
      <c r="O122" s="608"/>
      <c r="P122" s="608"/>
      <c r="Q122" s="266"/>
      <c r="R122" s="266"/>
      <c r="S122" s="268"/>
      <c r="T122" s="269" t="e">
        <f>VLOOKUP(Q122,[71]Listas!$D$6:$E$10,2,0)</f>
        <v>#N/A</v>
      </c>
      <c r="U122" s="269" t="e">
        <f>HLOOKUP(R122,[71]Listas!$F$4:$J$5,2,0)</f>
        <v>#N/A</v>
      </c>
      <c r="V122" s="270" t="e">
        <f>INDEX([71]Listas!$F$6:$J$10,MATCH(Q122,[71]Listas!$D$6:$D$10,0),MATCH(R122,[71]Listas!$F$4:$J$4,0))</f>
        <v>#N/A</v>
      </c>
      <c r="W122" s="268"/>
      <c r="X122" s="1399"/>
      <c r="Y122" s="1408"/>
      <c r="Z122" s="1400"/>
      <c r="AA122" s="1063"/>
      <c r="AB122" s="267"/>
      <c r="AC122" s="259"/>
      <c r="AD122" s="608"/>
      <c r="AE122" s="267"/>
      <c r="AF122" s="268"/>
      <c r="AG122" s="269">
        <f t="shared" si="14"/>
        <v>0</v>
      </c>
      <c r="AH122" s="271" t="e">
        <f t="shared" si="15"/>
        <v>#N/A</v>
      </c>
      <c r="AI122" s="272" t="e">
        <f>IF(AH122&lt;=1,"Remota",VLOOKUP(AH122,[71]Listas!$C$6:$D$10,2,0))</f>
        <v>#N/A</v>
      </c>
      <c r="AJ122" s="271" t="e">
        <f t="shared" si="16"/>
        <v>#N/A</v>
      </c>
      <c r="AK122" s="272" t="e">
        <f>IF(AJ122&lt;=1,"Insignificante",HLOOKUP(AJ122,[71]Listas!$F$3:$J$4,2,0))</f>
        <v>#N/A</v>
      </c>
      <c r="AL122" s="273" t="e">
        <f t="shared" si="17"/>
        <v>#N/A</v>
      </c>
      <c r="AM122" s="270" t="e">
        <f>INDEX([71]Listas!$F$6:$J$10,MATCH(AI122,[71]Listas!$D$6:$D$10,0),MATCH(AK122,[71]Listas!$F$4:$J$4,0))</f>
        <v>#N/A</v>
      </c>
      <c r="AN122" s="259"/>
      <c r="AO122" s="259"/>
      <c r="AP122" s="610"/>
      <c r="AQ122" s="259"/>
      <c r="AR122" s="259" t="s">
        <v>2343</v>
      </c>
      <c r="AS122" s="608"/>
      <c r="AT122" s="259"/>
      <c r="AU122" s="259"/>
      <c r="AV122" s="261"/>
      <c r="AW122" s="261"/>
      <c r="AX122" s="608"/>
      <c r="AY122" s="262"/>
    </row>
    <row r="123" spans="1:51" s="260" customFormat="1" ht="103.5" hidden="1" customHeight="1">
      <c r="A123" s="608"/>
      <c r="B123" s="266"/>
      <c r="C123" s="1399"/>
      <c r="D123" s="1408"/>
      <c r="E123" s="1400"/>
      <c r="F123" s="267"/>
      <c r="G123" s="1399"/>
      <c r="H123" s="1408"/>
      <c r="I123" s="1400"/>
      <c r="J123" s="1380"/>
      <c r="K123" s="1380"/>
      <c r="L123" s="1380"/>
      <c r="M123" s="608"/>
      <c r="N123" s="608"/>
      <c r="O123" s="608"/>
      <c r="P123" s="608"/>
      <c r="Q123" s="266"/>
      <c r="R123" s="266"/>
      <c r="S123" s="268"/>
      <c r="T123" s="269" t="e">
        <f>VLOOKUP(Q123,[71]Listas!$D$6:$E$10,2,0)</f>
        <v>#N/A</v>
      </c>
      <c r="U123" s="269" t="e">
        <f>HLOOKUP(R123,[71]Listas!$F$4:$J$5,2,0)</f>
        <v>#N/A</v>
      </c>
      <c r="V123" s="270" t="e">
        <f>INDEX([71]Listas!$F$6:$J$10,MATCH(Q123,[71]Listas!$D$6:$D$10,0),MATCH(R123,[71]Listas!$F$4:$J$4,0))</f>
        <v>#N/A</v>
      </c>
      <c r="W123" s="268"/>
      <c r="X123" s="1399"/>
      <c r="Y123" s="1408"/>
      <c r="Z123" s="1400"/>
      <c r="AA123" s="1063"/>
      <c r="AB123" s="267"/>
      <c r="AC123" s="259"/>
      <c r="AD123" s="608"/>
      <c r="AE123" s="267"/>
      <c r="AF123" s="268"/>
      <c r="AG123" s="269">
        <f t="shared" si="14"/>
        <v>0</v>
      </c>
      <c r="AH123" s="271" t="e">
        <f t="shared" si="15"/>
        <v>#N/A</v>
      </c>
      <c r="AI123" s="272" t="e">
        <f>IF(AH123&lt;=1,"Remota",VLOOKUP(AH123,[71]Listas!$C$6:$D$10,2,0))</f>
        <v>#N/A</v>
      </c>
      <c r="AJ123" s="271" t="e">
        <f t="shared" si="16"/>
        <v>#N/A</v>
      </c>
      <c r="AK123" s="272" t="e">
        <f>IF(AJ123&lt;=1,"Insignificante",HLOOKUP(AJ123,[71]Listas!$F$3:$J$4,2,0))</f>
        <v>#N/A</v>
      </c>
      <c r="AL123" s="273" t="e">
        <f t="shared" si="17"/>
        <v>#N/A</v>
      </c>
      <c r="AM123" s="270" t="e">
        <f>INDEX([71]Listas!$F$6:$J$10,MATCH(AI123,[71]Listas!$D$6:$D$10,0),MATCH(AK123,[71]Listas!$F$4:$J$4,0))</f>
        <v>#N/A</v>
      </c>
      <c r="AN123" s="259"/>
      <c r="AO123" s="259"/>
      <c r="AP123" s="610"/>
      <c r="AQ123" s="259"/>
      <c r="AR123" s="259" t="s">
        <v>2343</v>
      </c>
      <c r="AS123" s="608"/>
      <c r="AT123" s="259"/>
      <c r="AU123" s="259"/>
      <c r="AV123" s="261"/>
      <c r="AW123" s="261"/>
      <c r="AX123" s="608"/>
      <c r="AY123" s="262"/>
    </row>
    <row r="124" spans="1:51" s="260" customFormat="1" ht="103.5" hidden="1" customHeight="1">
      <c r="A124" s="608"/>
      <c r="B124" s="266"/>
      <c r="C124" s="1399"/>
      <c r="D124" s="1408"/>
      <c r="E124" s="1400"/>
      <c r="F124" s="267"/>
      <c r="G124" s="1399"/>
      <c r="H124" s="1408"/>
      <c r="I124" s="1400"/>
      <c r="J124" s="1380"/>
      <c r="K124" s="1380"/>
      <c r="L124" s="1380"/>
      <c r="M124" s="608"/>
      <c r="N124" s="608"/>
      <c r="O124" s="608"/>
      <c r="P124" s="608"/>
      <c r="Q124" s="266"/>
      <c r="R124" s="266"/>
      <c r="S124" s="268"/>
      <c r="T124" s="269" t="e">
        <f>VLOOKUP(Q124,[71]Listas!$D$6:$E$10,2,0)</f>
        <v>#N/A</v>
      </c>
      <c r="U124" s="269" t="e">
        <f>HLOOKUP(R124,[71]Listas!$F$4:$J$5,2,0)</f>
        <v>#N/A</v>
      </c>
      <c r="V124" s="270" t="e">
        <f>INDEX([71]Listas!$F$6:$J$10,MATCH(Q124,[71]Listas!$D$6:$D$10,0),MATCH(R124,[71]Listas!$F$4:$J$4,0))</f>
        <v>#N/A</v>
      </c>
      <c r="W124" s="268"/>
      <c r="X124" s="1399"/>
      <c r="Y124" s="1408"/>
      <c r="Z124" s="1400"/>
      <c r="AA124" s="1063"/>
      <c r="AB124" s="267"/>
      <c r="AC124" s="259"/>
      <c r="AD124" s="608"/>
      <c r="AE124" s="267"/>
      <c r="AF124" s="268"/>
      <c r="AG124" s="269">
        <f t="shared" si="14"/>
        <v>0</v>
      </c>
      <c r="AH124" s="271" t="e">
        <f t="shared" si="15"/>
        <v>#N/A</v>
      </c>
      <c r="AI124" s="272" t="e">
        <f>IF(AH124&lt;=1,"Remota",VLOOKUP(AH124,[71]Listas!$C$6:$D$10,2,0))</f>
        <v>#N/A</v>
      </c>
      <c r="AJ124" s="271" t="e">
        <f t="shared" si="16"/>
        <v>#N/A</v>
      </c>
      <c r="AK124" s="272" t="e">
        <f>IF(AJ124&lt;=1,"Insignificante",HLOOKUP(AJ124,[71]Listas!$F$3:$J$4,2,0))</f>
        <v>#N/A</v>
      </c>
      <c r="AL124" s="273" t="e">
        <f t="shared" si="17"/>
        <v>#N/A</v>
      </c>
      <c r="AM124" s="270" t="e">
        <f>INDEX([71]Listas!$F$6:$J$10,MATCH(AI124,[71]Listas!$D$6:$D$10,0),MATCH(AK124,[71]Listas!$F$4:$J$4,0))</f>
        <v>#N/A</v>
      </c>
      <c r="AN124" s="259"/>
      <c r="AO124" s="259"/>
      <c r="AP124" s="610"/>
      <c r="AQ124" s="259"/>
      <c r="AR124" s="259" t="s">
        <v>2343</v>
      </c>
      <c r="AS124" s="608"/>
      <c r="AT124" s="259"/>
      <c r="AU124" s="259"/>
      <c r="AV124" s="261"/>
      <c r="AW124" s="261"/>
      <c r="AX124" s="608"/>
      <c r="AY124" s="262"/>
    </row>
    <row r="125" spans="1:51" s="260" customFormat="1" ht="103.5" hidden="1" customHeight="1">
      <c r="A125" s="608"/>
      <c r="B125" s="266"/>
      <c r="C125" s="1399"/>
      <c r="D125" s="1408"/>
      <c r="E125" s="1400"/>
      <c r="F125" s="267"/>
      <c r="G125" s="1399"/>
      <c r="H125" s="1408"/>
      <c r="I125" s="1400"/>
      <c r="J125" s="1380"/>
      <c r="K125" s="1380"/>
      <c r="L125" s="1380"/>
      <c r="M125" s="608"/>
      <c r="N125" s="608"/>
      <c r="O125" s="608"/>
      <c r="P125" s="608"/>
      <c r="Q125" s="266"/>
      <c r="R125" s="266"/>
      <c r="S125" s="268"/>
      <c r="T125" s="269" t="e">
        <f>VLOOKUP(Q125,[71]Listas!$D$6:$E$10,2,0)</f>
        <v>#N/A</v>
      </c>
      <c r="U125" s="269" t="e">
        <f>HLOOKUP(R125,[71]Listas!$F$4:$J$5,2,0)</f>
        <v>#N/A</v>
      </c>
      <c r="V125" s="270" t="e">
        <f>INDEX([71]Listas!$F$6:$J$10,MATCH(Q125,[71]Listas!$D$6:$D$10,0),MATCH(R125,[71]Listas!$F$4:$J$4,0))</f>
        <v>#N/A</v>
      </c>
      <c r="W125" s="268"/>
      <c r="X125" s="1399"/>
      <c r="Y125" s="1408"/>
      <c r="Z125" s="1400"/>
      <c r="AA125" s="1063"/>
      <c r="AB125" s="267"/>
      <c r="AC125" s="259"/>
      <c r="AD125" s="608"/>
      <c r="AE125" s="267"/>
      <c r="AF125" s="268"/>
      <c r="AG125" s="269">
        <f t="shared" si="14"/>
        <v>0</v>
      </c>
      <c r="AH125" s="271" t="e">
        <f t="shared" si="15"/>
        <v>#N/A</v>
      </c>
      <c r="AI125" s="272" t="e">
        <f>IF(AH125&lt;=1,"Remota",VLOOKUP(AH125,[71]Listas!$C$6:$D$10,2,0))</f>
        <v>#N/A</v>
      </c>
      <c r="AJ125" s="271" t="e">
        <f t="shared" si="16"/>
        <v>#N/A</v>
      </c>
      <c r="AK125" s="272" t="e">
        <f>IF(AJ125&lt;=1,"Insignificante",HLOOKUP(AJ125,[71]Listas!$F$3:$J$4,2,0))</f>
        <v>#N/A</v>
      </c>
      <c r="AL125" s="273" t="e">
        <f t="shared" si="17"/>
        <v>#N/A</v>
      </c>
      <c r="AM125" s="270" t="e">
        <f>INDEX([71]Listas!$F$6:$J$10,MATCH(AI125,[71]Listas!$D$6:$D$10,0),MATCH(AK125,[71]Listas!$F$4:$J$4,0))</f>
        <v>#N/A</v>
      </c>
      <c r="AN125" s="259"/>
      <c r="AO125" s="259"/>
      <c r="AP125" s="610"/>
      <c r="AQ125" s="259"/>
      <c r="AR125" s="259" t="s">
        <v>2343</v>
      </c>
      <c r="AS125" s="608"/>
      <c r="AT125" s="259"/>
      <c r="AU125" s="259"/>
      <c r="AV125" s="261"/>
      <c r="AW125" s="261"/>
      <c r="AX125" s="608"/>
      <c r="AY125" s="262"/>
    </row>
    <row r="126" spans="1:51" s="260" customFormat="1" ht="103.5" hidden="1" customHeight="1">
      <c r="A126" s="608"/>
      <c r="B126" s="266"/>
      <c r="C126" s="1399"/>
      <c r="D126" s="1408"/>
      <c r="E126" s="1400"/>
      <c r="F126" s="267"/>
      <c r="G126" s="1399"/>
      <c r="H126" s="1408"/>
      <c r="I126" s="1400"/>
      <c r="J126" s="1380"/>
      <c r="K126" s="1380"/>
      <c r="L126" s="1380"/>
      <c r="M126" s="608"/>
      <c r="N126" s="608"/>
      <c r="O126" s="608"/>
      <c r="P126" s="608"/>
      <c r="Q126" s="266"/>
      <c r="R126" s="266"/>
      <c r="S126" s="268"/>
      <c r="T126" s="269" t="e">
        <f>VLOOKUP(Q126,[71]Listas!$D$6:$E$10,2,0)</f>
        <v>#N/A</v>
      </c>
      <c r="U126" s="269" t="e">
        <f>HLOOKUP(R126,[71]Listas!$F$4:$J$5,2,0)</f>
        <v>#N/A</v>
      </c>
      <c r="V126" s="270" t="e">
        <f>INDEX([71]Listas!$F$6:$J$10,MATCH(Q126,[71]Listas!$D$6:$D$10,0),MATCH(R126,[71]Listas!$F$4:$J$4,0))</f>
        <v>#N/A</v>
      </c>
      <c r="W126" s="268"/>
      <c r="X126" s="1399"/>
      <c r="Y126" s="1408"/>
      <c r="Z126" s="1400"/>
      <c r="AA126" s="1063"/>
      <c r="AB126" s="267"/>
      <c r="AC126" s="259"/>
      <c r="AD126" s="608"/>
      <c r="AE126" s="267"/>
      <c r="AF126" s="268"/>
      <c r="AG126" s="269">
        <f t="shared" si="14"/>
        <v>0</v>
      </c>
      <c r="AH126" s="271" t="e">
        <f t="shared" si="15"/>
        <v>#N/A</v>
      </c>
      <c r="AI126" s="272" t="e">
        <f>IF(AH126&lt;=1,"Remota",VLOOKUP(AH126,[71]Listas!$C$6:$D$10,2,0))</f>
        <v>#N/A</v>
      </c>
      <c r="AJ126" s="271" t="e">
        <f t="shared" si="16"/>
        <v>#N/A</v>
      </c>
      <c r="AK126" s="272" t="e">
        <f>IF(AJ126&lt;=1,"Insignificante",HLOOKUP(AJ126,[71]Listas!$F$3:$J$4,2,0))</f>
        <v>#N/A</v>
      </c>
      <c r="AL126" s="273" t="e">
        <f t="shared" si="17"/>
        <v>#N/A</v>
      </c>
      <c r="AM126" s="270" t="e">
        <f>INDEX([71]Listas!$F$6:$J$10,MATCH(AI126,[71]Listas!$D$6:$D$10,0),MATCH(AK126,[71]Listas!$F$4:$J$4,0))</f>
        <v>#N/A</v>
      </c>
      <c r="AN126" s="259"/>
      <c r="AO126" s="259"/>
      <c r="AP126" s="610"/>
      <c r="AQ126" s="259"/>
      <c r="AR126" s="259" t="s">
        <v>2343</v>
      </c>
      <c r="AS126" s="608"/>
      <c r="AT126" s="259"/>
      <c r="AU126" s="259"/>
      <c r="AV126" s="261"/>
      <c r="AW126" s="261"/>
      <c r="AX126" s="608"/>
      <c r="AY126" s="262"/>
    </row>
    <row r="127" spans="1:51" s="260" customFormat="1" ht="103.5" hidden="1" customHeight="1">
      <c r="A127" s="608"/>
      <c r="B127" s="266"/>
      <c r="C127" s="1399"/>
      <c r="D127" s="1408"/>
      <c r="E127" s="1400"/>
      <c r="F127" s="267"/>
      <c r="G127" s="1399"/>
      <c r="H127" s="1408"/>
      <c r="I127" s="1400"/>
      <c r="J127" s="1380"/>
      <c r="K127" s="1380"/>
      <c r="L127" s="1380"/>
      <c r="M127" s="608"/>
      <c r="N127" s="608"/>
      <c r="O127" s="608"/>
      <c r="P127" s="608"/>
      <c r="Q127" s="266"/>
      <c r="R127" s="266"/>
      <c r="S127" s="268"/>
      <c r="T127" s="269" t="e">
        <f>VLOOKUP(Q127,[71]Listas!$D$6:$E$10,2,0)</f>
        <v>#N/A</v>
      </c>
      <c r="U127" s="269" t="e">
        <f>HLOOKUP(R127,[71]Listas!$F$4:$J$5,2,0)</f>
        <v>#N/A</v>
      </c>
      <c r="V127" s="270" t="e">
        <f>INDEX([71]Listas!$F$6:$J$10,MATCH(Q127,[71]Listas!$D$6:$D$10,0),MATCH(R127,[71]Listas!$F$4:$J$4,0))</f>
        <v>#N/A</v>
      </c>
      <c r="W127" s="268"/>
      <c r="X127" s="1399"/>
      <c r="Y127" s="1408"/>
      <c r="Z127" s="1400"/>
      <c r="AA127" s="1063"/>
      <c r="AB127" s="267"/>
      <c r="AC127" s="259"/>
      <c r="AD127" s="608"/>
      <c r="AE127" s="267"/>
      <c r="AF127" s="268"/>
      <c r="AG127" s="269">
        <f t="shared" si="14"/>
        <v>0</v>
      </c>
      <c r="AH127" s="271" t="e">
        <f t="shared" si="15"/>
        <v>#N/A</v>
      </c>
      <c r="AI127" s="272" t="e">
        <f>IF(AH127&lt;=1,"Remota",VLOOKUP(AH127,[71]Listas!$C$6:$D$10,2,0))</f>
        <v>#N/A</v>
      </c>
      <c r="AJ127" s="271" t="e">
        <f t="shared" si="16"/>
        <v>#N/A</v>
      </c>
      <c r="AK127" s="272" t="e">
        <f>IF(AJ127&lt;=1,"Insignificante",HLOOKUP(AJ127,[71]Listas!$F$3:$J$4,2,0))</f>
        <v>#N/A</v>
      </c>
      <c r="AL127" s="273" t="e">
        <f t="shared" si="17"/>
        <v>#N/A</v>
      </c>
      <c r="AM127" s="270" t="e">
        <f>INDEX([71]Listas!$F$6:$J$10,MATCH(AI127,[71]Listas!$D$6:$D$10,0),MATCH(AK127,[71]Listas!$F$4:$J$4,0))</f>
        <v>#N/A</v>
      </c>
      <c r="AN127" s="259"/>
      <c r="AO127" s="259"/>
      <c r="AP127" s="610"/>
      <c r="AQ127" s="259"/>
      <c r="AR127" s="259" t="s">
        <v>2343</v>
      </c>
      <c r="AS127" s="608"/>
      <c r="AT127" s="259"/>
      <c r="AU127" s="259"/>
      <c r="AV127" s="261"/>
      <c r="AW127" s="261"/>
      <c r="AX127" s="608"/>
      <c r="AY127" s="262"/>
    </row>
    <row r="128" spans="1:51" s="260" customFormat="1" ht="103.5" hidden="1" customHeight="1">
      <c r="A128" s="608"/>
      <c r="B128" s="266"/>
      <c r="C128" s="1399"/>
      <c r="D128" s="1408"/>
      <c r="E128" s="1400"/>
      <c r="F128" s="267"/>
      <c r="G128" s="1399"/>
      <c r="H128" s="1408"/>
      <c r="I128" s="1400"/>
      <c r="J128" s="1380"/>
      <c r="K128" s="1380"/>
      <c r="L128" s="1380"/>
      <c r="M128" s="608"/>
      <c r="N128" s="608"/>
      <c r="O128" s="608"/>
      <c r="P128" s="608"/>
      <c r="Q128" s="266"/>
      <c r="R128" s="266"/>
      <c r="S128" s="268"/>
      <c r="T128" s="269" t="e">
        <f>VLOOKUP(Q128,[71]Listas!$D$6:$E$10,2,0)</f>
        <v>#N/A</v>
      </c>
      <c r="U128" s="269" t="e">
        <f>HLOOKUP(R128,[71]Listas!$F$4:$J$5,2,0)</f>
        <v>#N/A</v>
      </c>
      <c r="V128" s="270" t="e">
        <f>INDEX([71]Listas!$F$6:$J$10,MATCH(Q128,[71]Listas!$D$6:$D$10,0),MATCH(R128,[71]Listas!$F$4:$J$4,0))</f>
        <v>#N/A</v>
      </c>
      <c r="W128" s="268"/>
      <c r="X128" s="1399"/>
      <c r="Y128" s="1408"/>
      <c r="Z128" s="1400"/>
      <c r="AA128" s="1063"/>
      <c r="AB128" s="267"/>
      <c r="AC128" s="259"/>
      <c r="AD128" s="608"/>
      <c r="AE128" s="267"/>
      <c r="AF128" s="268"/>
      <c r="AG128" s="269">
        <f t="shared" si="14"/>
        <v>0</v>
      </c>
      <c r="AH128" s="271" t="e">
        <f t="shared" si="15"/>
        <v>#N/A</v>
      </c>
      <c r="AI128" s="272" t="e">
        <f>IF(AH128&lt;=1,"Remota",VLOOKUP(AH128,[71]Listas!$C$6:$D$10,2,0))</f>
        <v>#N/A</v>
      </c>
      <c r="AJ128" s="271" t="e">
        <f t="shared" si="16"/>
        <v>#N/A</v>
      </c>
      <c r="AK128" s="272" t="e">
        <f>IF(AJ128&lt;=1,"Insignificante",HLOOKUP(AJ128,[71]Listas!$F$3:$J$4,2,0))</f>
        <v>#N/A</v>
      </c>
      <c r="AL128" s="273" t="e">
        <f t="shared" si="17"/>
        <v>#N/A</v>
      </c>
      <c r="AM128" s="270" t="e">
        <f>INDEX([71]Listas!$F$6:$J$10,MATCH(AI128,[71]Listas!$D$6:$D$10,0),MATCH(AK128,[71]Listas!$F$4:$J$4,0))</f>
        <v>#N/A</v>
      </c>
      <c r="AN128" s="259"/>
      <c r="AO128" s="259"/>
      <c r="AP128" s="610"/>
      <c r="AQ128" s="259"/>
      <c r="AR128" s="259" t="s">
        <v>2343</v>
      </c>
      <c r="AS128" s="608"/>
      <c r="AT128" s="259"/>
      <c r="AU128" s="259"/>
      <c r="AV128" s="261"/>
      <c r="AW128" s="261"/>
      <c r="AX128" s="608"/>
      <c r="AY128" s="262"/>
    </row>
    <row r="129" spans="1:51" s="260" customFormat="1" ht="103.5" hidden="1" customHeight="1">
      <c r="A129" s="608"/>
      <c r="B129" s="266"/>
      <c r="C129" s="1399"/>
      <c r="D129" s="1408"/>
      <c r="E129" s="1400"/>
      <c r="F129" s="267"/>
      <c r="G129" s="1399"/>
      <c r="H129" s="1408"/>
      <c r="I129" s="1400"/>
      <c r="J129" s="1380"/>
      <c r="K129" s="1380"/>
      <c r="L129" s="1380"/>
      <c r="M129" s="608"/>
      <c r="N129" s="608"/>
      <c r="O129" s="608"/>
      <c r="P129" s="608"/>
      <c r="Q129" s="266"/>
      <c r="R129" s="266"/>
      <c r="S129" s="268"/>
      <c r="T129" s="269" t="e">
        <f>VLOOKUP(Q129,[71]Listas!$D$6:$E$10,2,0)</f>
        <v>#N/A</v>
      </c>
      <c r="U129" s="269" t="e">
        <f>HLOOKUP(R129,[71]Listas!$F$4:$J$5,2,0)</f>
        <v>#N/A</v>
      </c>
      <c r="V129" s="270" t="e">
        <f>INDEX([71]Listas!$F$6:$J$10,MATCH(Q129,[71]Listas!$D$6:$D$10,0),MATCH(R129,[71]Listas!$F$4:$J$4,0))</f>
        <v>#N/A</v>
      </c>
      <c r="W129" s="268"/>
      <c r="X129" s="1399"/>
      <c r="Y129" s="1408"/>
      <c r="Z129" s="1400"/>
      <c r="AA129" s="1063"/>
      <c r="AB129" s="267"/>
      <c r="AC129" s="259"/>
      <c r="AD129" s="608"/>
      <c r="AE129" s="267"/>
      <c r="AF129" s="268"/>
      <c r="AG129" s="269">
        <f t="shared" si="14"/>
        <v>0</v>
      </c>
      <c r="AH129" s="271" t="e">
        <f t="shared" si="15"/>
        <v>#N/A</v>
      </c>
      <c r="AI129" s="272" t="e">
        <f>IF(AH129&lt;=1,"Remota",VLOOKUP(AH129,[71]Listas!$C$6:$D$10,2,0))</f>
        <v>#N/A</v>
      </c>
      <c r="AJ129" s="271" t="e">
        <f t="shared" si="16"/>
        <v>#N/A</v>
      </c>
      <c r="AK129" s="272" t="e">
        <f>IF(AJ129&lt;=1,"Insignificante",HLOOKUP(AJ129,[71]Listas!$F$3:$J$4,2,0))</f>
        <v>#N/A</v>
      </c>
      <c r="AL129" s="273" t="e">
        <f t="shared" si="17"/>
        <v>#N/A</v>
      </c>
      <c r="AM129" s="270" t="e">
        <f>INDEX([71]Listas!$F$6:$J$10,MATCH(AI129,[71]Listas!$D$6:$D$10,0),MATCH(AK129,[71]Listas!$F$4:$J$4,0))</f>
        <v>#N/A</v>
      </c>
      <c r="AN129" s="259"/>
      <c r="AO129" s="259"/>
      <c r="AP129" s="610"/>
      <c r="AQ129" s="259"/>
      <c r="AR129" s="259" t="s">
        <v>2343</v>
      </c>
      <c r="AS129" s="608"/>
      <c r="AT129" s="259"/>
      <c r="AU129" s="259"/>
      <c r="AV129" s="261"/>
      <c r="AW129" s="261"/>
      <c r="AX129" s="608"/>
      <c r="AY129" s="262"/>
    </row>
    <row r="130" spans="1:51" s="260" customFormat="1" ht="103.5" hidden="1" customHeight="1">
      <c r="A130" s="608"/>
      <c r="B130" s="266"/>
      <c r="C130" s="1399"/>
      <c r="D130" s="1408"/>
      <c r="E130" s="1400"/>
      <c r="F130" s="267"/>
      <c r="G130" s="1399"/>
      <c r="H130" s="1408"/>
      <c r="I130" s="1400"/>
      <c r="J130" s="1380"/>
      <c r="K130" s="1380"/>
      <c r="L130" s="1380"/>
      <c r="M130" s="608"/>
      <c r="N130" s="608"/>
      <c r="O130" s="608"/>
      <c r="P130" s="608"/>
      <c r="Q130" s="266"/>
      <c r="R130" s="266"/>
      <c r="S130" s="268"/>
      <c r="T130" s="269" t="e">
        <f>VLOOKUP(Q130,[71]Listas!$D$6:$E$10,2,0)</f>
        <v>#N/A</v>
      </c>
      <c r="U130" s="269" t="e">
        <f>HLOOKUP(R130,[71]Listas!$F$4:$J$5,2,0)</f>
        <v>#N/A</v>
      </c>
      <c r="V130" s="270" t="e">
        <f>INDEX([71]Listas!$F$6:$J$10,MATCH(Q130,[71]Listas!$D$6:$D$10,0),MATCH(R130,[71]Listas!$F$4:$J$4,0))</f>
        <v>#N/A</v>
      </c>
      <c r="W130" s="268"/>
      <c r="X130" s="1399"/>
      <c r="Y130" s="1408"/>
      <c r="Z130" s="1400"/>
      <c r="AA130" s="1063"/>
      <c r="AB130" s="267"/>
      <c r="AC130" s="259"/>
      <c r="AD130" s="608"/>
      <c r="AE130" s="267"/>
      <c r="AF130" s="268"/>
      <c r="AG130" s="269">
        <f t="shared" si="14"/>
        <v>0</v>
      </c>
      <c r="AH130" s="271" t="e">
        <f t="shared" si="15"/>
        <v>#N/A</v>
      </c>
      <c r="AI130" s="272" t="e">
        <f>IF(AH130&lt;=1,"Remota",VLOOKUP(AH130,[71]Listas!$C$6:$D$10,2,0))</f>
        <v>#N/A</v>
      </c>
      <c r="AJ130" s="271" t="e">
        <f t="shared" si="16"/>
        <v>#N/A</v>
      </c>
      <c r="AK130" s="272" t="e">
        <f>IF(AJ130&lt;=1,"Insignificante",HLOOKUP(AJ130,[71]Listas!$F$3:$J$4,2,0))</f>
        <v>#N/A</v>
      </c>
      <c r="AL130" s="273" t="e">
        <f t="shared" si="17"/>
        <v>#N/A</v>
      </c>
      <c r="AM130" s="270" t="e">
        <f>INDEX([71]Listas!$F$6:$J$10,MATCH(AI130,[71]Listas!$D$6:$D$10,0),MATCH(AK130,[71]Listas!$F$4:$J$4,0))</f>
        <v>#N/A</v>
      </c>
      <c r="AN130" s="259"/>
      <c r="AO130" s="259"/>
      <c r="AP130" s="610"/>
      <c r="AQ130" s="259"/>
      <c r="AR130" s="259" t="s">
        <v>2343</v>
      </c>
      <c r="AS130" s="608"/>
      <c r="AT130" s="259"/>
      <c r="AU130" s="259"/>
      <c r="AV130" s="261"/>
      <c r="AW130" s="261"/>
      <c r="AX130" s="608"/>
      <c r="AY130" s="262"/>
    </row>
    <row r="131" spans="1:51" s="260" customFormat="1" ht="103.5" hidden="1" customHeight="1">
      <c r="A131" s="608"/>
      <c r="B131" s="266"/>
      <c r="C131" s="1399"/>
      <c r="D131" s="1408"/>
      <c r="E131" s="1400"/>
      <c r="F131" s="267"/>
      <c r="G131" s="1399"/>
      <c r="H131" s="1408"/>
      <c r="I131" s="1400"/>
      <c r="J131" s="1380"/>
      <c r="K131" s="1380"/>
      <c r="L131" s="1380"/>
      <c r="M131" s="608"/>
      <c r="N131" s="608"/>
      <c r="O131" s="608"/>
      <c r="P131" s="608"/>
      <c r="Q131" s="266"/>
      <c r="R131" s="266"/>
      <c r="S131" s="268"/>
      <c r="T131" s="269" t="e">
        <f>VLOOKUP(Q131,[71]Listas!$D$6:$E$10,2,0)</f>
        <v>#N/A</v>
      </c>
      <c r="U131" s="269" t="e">
        <f>HLOOKUP(R131,[71]Listas!$F$4:$J$5,2,0)</f>
        <v>#N/A</v>
      </c>
      <c r="V131" s="270" t="e">
        <f>INDEX([71]Listas!$F$6:$J$10,MATCH(Q131,[71]Listas!$D$6:$D$10,0),MATCH(R131,[71]Listas!$F$4:$J$4,0))</f>
        <v>#N/A</v>
      </c>
      <c r="W131" s="268"/>
      <c r="X131" s="1399"/>
      <c r="Y131" s="1408"/>
      <c r="Z131" s="1400"/>
      <c r="AA131" s="1063"/>
      <c r="AB131" s="267"/>
      <c r="AC131" s="259"/>
      <c r="AD131" s="608"/>
      <c r="AE131" s="267"/>
      <c r="AF131" s="268"/>
      <c r="AG131" s="269">
        <f t="shared" si="14"/>
        <v>0</v>
      </c>
      <c r="AH131" s="271" t="e">
        <f t="shared" si="15"/>
        <v>#N/A</v>
      </c>
      <c r="AI131" s="272" t="e">
        <f>IF(AH131&lt;=1,"Remota",VLOOKUP(AH131,[71]Listas!$C$6:$D$10,2,0))</f>
        <v>#N/A</v>
      </c>
      <c r="AJ131" s="271" t="e">
        <f t="shared" si="16"/>
        <v>#N/A</v>
      </c>
      <c r="AK131" s="272" t="e">
        <f>IF(AJ131&lt;=1,"Insignificante",HLOOKUP(AJ131,[71]Listas!$F$3:$J$4,2,0))</f>
        <v>#N/A</v>
      </c>
      <c r="AL131" s="273" t="e">
        <f t="shared" si="17"/>
        <v>#N/A</v>
      </c>
      <c r="AM131" s="270" t="e">
        <f>INDEX([71]Listas!$F$6:$J$10,MATCH(AI131,[71]Listas!$D$6:$D$10,0),MATCH(AK131,[71]Listas!$F$4:$J$4,0))</f>
        <v>#N/A</v>
      </c>
      <c r="AN131" s="259"/>
      <c r="AO131" s="259"/>
      <c r="AP131" s="610"/>
      <c r="AQ131" s="259"/>
      <c r="AR131" s="259" t="s">
        <v>2343</v>
      </c>
      <c r="AS131" s="608"/>
      <c r="AT131" s="259"/>
      <c r="AU131" s="259"/>
      <c r="AV131" s="261"/>
      <c r="AW131" s="261"/>
      <c r="AX131" s="608"/>
      <c r="AY131" s="262"/>
    </row>
    <row r="132" spans="1:51" s="260" customFormat="1" ht="103.5" hidden="1" customHeight="1">
      <c r="A132" s="608"/>
      <c r="B132" s="266"/>
      <c r="C132" s="1399"/>
      <c r="D132" s="1408"/>
      <c r="E132" s="1400"/>
      <c r="F132" s="267"/>
      <c r="G132" s="1399"/>
      <c r="H132" s="1408"/>
      <c r="I132" s="1400"/>
      <c r="J132" s="1380"/>
      <c r="K132" s="1380"/>
      <c r="L132" s="1380"/>
      <c r="M132" s="608"/>
      <c r="N132" s="608"/>
      <c r="O132" s="608"/>
      <c r="P132" s="608"/>
      <c r="Q132" s="266"/>
      <c r="R132" s="266"/>
      <c r="S132" s="268"/>
      <c r="T132" s="269" t="e">
        <f>VLOOKUP(Q132,[71]Listas!$D$6:$E$10,2,0)</f>
        <v>#N/A</v>
      </c>
      <c r="U132" s="269" t="e">
        <f>HLOOKUP(R132,[71]Listas!$F$4:$J$5,2,0)</f>
        <v>#N/A</v>
      </c>
      <c r="V132" s="270" t="e">
        <f>INDEX([71]Listas!$F$6:$J$10,MATCH(Q132,[71]Listas!$D$6:$D$10,0),MATCH(R132,[71]Listas!$F$4:$J$4,0))</f>
        <v>#N/A</v>
      </c>
      <c r="W132" s="268"/>
      <c r="X132" s="1399"/>
      <c r="Y132" s="1408"/>
      <c r="Z132" s="1400"/>
      <c r="AA132" s="1063"/>
      <c r="AB132" s="267"/>
      <c r="AC132" s="259"/>
      <c r="AD132" s="608"/>
      <c r="AE132" s="267"/>
      <c r="AF132" s="268"/>
      <c r="AG132" s="269">
        <f t="shared" si="14"/>
        <v>0</v>
      </c>
      <c r="AH132" s="271" t="e">
        <f t="shared" si="15"/>
        <v>#N/A</v>
      </c>
      <c r="AI132" s="272" t="e">
        <f>IF(AH132&lt;=1,"Remota",VLOOKUP(AH132,[71]Listas!$C$6:$D$10,2,0))</f>
        <v>#N/A</v>
      </c>
      <c r="AJ132" s="271" t="e">
        <f t="shared" si="16"/>
        <v>#N/A</v>
      </c>
      <c r="AK132" s="272" t="e">
        <f>IF(AJ132&lt;=1,"Insignificante",HLOOKUP(AJ132,[71]Listas!$F$3:$J$4,2,0))</f>
        <v>#N/A</v>
      </c>
      <c r="AL132" s="273" t="e">
        <f t="shared" si="17"/>
        <v>#N/A</v>
      </c>
      <c r="AM132" s="270" t="e">
        <f>INDEX([71]Listas!$F$6:$J$10,MATCH(AI132,[71]Listas!$D$6:$D$10,0),MATCH(AK132,[71]Listas!$F$4:$J$4,0))</f>
        <v>#N/A</v>
      </c>
      <c r="AN132" s="259"/>
      <c r="AO132" s="259"/>
      <c r="AP132" s="610"/>
      <c r="AQ132" s="259"/>
      <c r="AR132" s="259" t="s">
        <v>2343</v>
      </c>
      <c r="AS132" s="608"/>
      <c r="AT132" s="259"/>
      <c r="AU132" s="259"/>
      <c r="AV132" s="261"/>
      <c r="AW132" s="261"/>
      <c r="AX132" s="608"/>
      <c r="AY132" s="262"/>
    </row>
    <row r="133" spans="1:51" s="260" customFormat="1" ht="103.5" hidden="1" customHeight="1">
      <c r="A133" s="608"/>
      <c r="B133" s="266"/>
      <c r="C133" s="1399"/>
      <c r="D133" s="1408"/>
      <c r="E133" s="1400"/>
      <c r="F133" s="267"/>
      <c r="G133" s="1399"/>
      <c r="H133" s="1408"/>
      <c r="I133" s="1400"/>
      <c r="J133" s="1380"/>
      <c r="K133" s="1380"/>
      <c r="L133" s="1380"/>
      <c r="M133" s="608"/>
      <c r="N133" s="608"/>
      <c r="O133" s="608"/>
      <c r="P133" s="608"/>
      <c r="Q133" s="266"/>
      <c r="R133" s="266"/>
      <c r="S133" s="268"/>
      <c r="T133" s="269" t="e">
        <f>VLOOKUP(Q133,[71]Listas!$D$6:$E$10,2,0)</f>
        <v>#N/A</v>
      </c>
      <c r="U133" s="269" t="e">
        <f>HLOOKUP(R133,[71]Listas!$F$4:$J$5,2,0)</f>
        <v>#N/A</v>
      </c>
      <c r="V133" s="270" t="e">
        <f>INDEX([71]Listas!$F$6:$J$10,MATCH(Q133,[71]Listas!$D$6:$D$10,0),MATCH(R133,[71]Listas!$F$4:$J$4,0))</f>
        <v>#N/A</v>
      </c>
      <c r="W133" s="268"/>
      <c r="X133" s="1399"/>
      <c r="Y133" s="1408"/>
      <c r="Z133" s="1400"/>
      <c r="AA133" s="1063"/>
      <c r="AB133" s="267"/>
      <c r="AC133" s="259"/>
      <c r="AD133" s="608"/>
      <c r="AE133" s="267"/>
      <c r="AF133" s="268"/>
      <c r="AG133" s="269">
        <f t="shared" si="14"/>
        <v>0</v>
      </c>
      <c r="AH133" s="271" t="e">
        <f t="shared" si="15"/>
        <v>#N/A</v>
      </c>
      <c r="AI133" s="272" t="e">
        <f>IF(AH133&lt;=1,"Remota",VLOOKUP(AH133,[71]Listas!$C$6:$D$10,2,0))</f>
        <v>#N/A</v>
      </c>
      <c r="AJ133" s="271" t="e">
        <f t="shared" si="16"/>
        <v>#N/A</v>
      </c>
      <c r="AK133" s="272" t="e">
        <f>IF(AJ133&lt;=1,"Insignificante",HLOOKUP(AJ133,[71]Listas!$F$3:$J$4,2,0))</f>
        <v>#N/A</v>
      </c>
      <c r="AL133" s="273" t="e">
        <f t="shared" si="17"/>
        <v>#N/A</v>
      </c>
      <c r="AM133" s="270" t="e">
        <f>INDEX([71]Listas!$F$6:$J$10,MATCH(AI133,[71]Listas!$D$6:$D$10,0),MATCH(AK133,[71]Listas!$F$4:$J$4,0))</f>
        <v>#N/A</v>
      </c>
      <c r="AN133" s="259"/>
      <c r="AO133" s="259"/>
      <c r="AP133" s="610"/>
      <c r="AQ133" s="259"/>
      <c r="AR133" s="259" t="s">
        <v>2343</v>
      </c>
      <c r="AS133" s="608"/>
      <c r="AT133" s="259"/>
      <c r="AU133" s="259"/>
      <c r="AV133" s="261"/>
      <c r="AW133" s="261"/>
      <c r="AX133" s="608"/>
      <c r="AY133" s="262"/>
    </row>
    <row r="134" spans="1:51" s="260" customFormat="1" ht="103.5" hidden="1" customHeight="1">
      <c r="A134" s="608"/>
      <c r="B134" s="266"/>
      <c r="C134" s="1399"/>
      <c r="D134" s="1408"/>
      <c r="E134" s="1400"/>
      <c r="F134" s="267"/>
      <c r="G134" s="1399"/>
      <c r="H134" s="1408"/>
      <c r="I134" s="1400"/>
      <c r="J134" s="1380"/>
      <c r="K134" s="1380"/>
      <c r="L134" s="1380"/>
      <c r="M134" s="608"/>
      <c r="N134" s="608"/>
      <c r="O134" s="608"/>
      <c r="P134" s="608"/>
      <c r="Q134" s="266"/>
      <c r="R134" s="266"/>
      <c r="S134" s="268"/>
      <c r="T134" s="269" t="e">
        <f>VLOOKUP(Q134,[71]Listas!$D$6:$E$10,2,0)</f>
        <v>#N/A</v>
      </c>
      <c r="U134" s="269" t="e">
        <f>HLOOKUP(R134,[71]Listas!$F$4:$J$5,2,0)</f>
        <v>#N/A</v>
      </c>
      <c r="V134" s="270" t="e">
        <f>INDEX([71]Listas!$F$6:$J$10,MATCH(Q134,[71]Listas!$D$6:$D$10,0),MATCH(R134,[71]Listas!$F$4:$J$4,0))</f>
        <v>#N/A</v>
      </c>
      <c r="W134" s="268"/>
      <c r="X134" s="1399"/>
      <c r="Y134" s="1408"/>
      <c r="Z134" s="1400"/>
      <c r="AA134" s="1063"/>
      <c r="AB134" s="267"/>
      <c r="AC134" s="259"/>
      <c r="AD134" s="608"/>
      <c r="AE134" s="267"/>
      <c r="AF134" s="268"/>
      <c r="AG134" s="269">
        <f t="shared" si="14"/>
        <v>0</v>
      </c>
      <c r="AH134" s="271" t="e">
        <f t="shared" si="15"/>
        <v>#N/A</v>
      </c>
      <c r="AI134" s="272" t="e">
        <f>IF(AH134&lt;=1,"Remota",VLOOKUP(AH134,[71]Listas!$C$6:$D$10,2,0))</f>
        <v>#N/A</v>
      </c>
      <c r="AJ134" s="271" t="e">
        <f t="shared" si="16"/>
        <v>#N/A</v>
      </c>
      <c r="AK134" s="272" t="e">
        <f>IF(AJ134&lt;=1,"Insignificante",HLOOKUP(AJ134,[71]Listas!$F$3:$J$4,2,0))</f>
        <v>#N/A</v>
      </c>
      <c r="AL134" s="273" t="e">
        <f t="shared" si="17"/>
        <v>#N/A</v>
      </c>
      <c r="AM134" s="270" t="e">
        <f>INDEX([71]Listas!$F$6:$J$10,MATCH(AI134,[71]Listas!$D$6:$D$10,0),MATCH(AK134,[71]Listas!$F$4:$J$4,0))</f>
        <v>#N/A</v>
      </c>
      <c r="AN134" s="259"/>
      <c r="AO134" s="259"/>
      <c r="AP134" s="610"/>
      <c r="AQ134" s="259"/>
      <c r="AR134" s="259" t="s">
        <v>2343</v>
      </c>
      <c r="AS134" s="608"/>
      <c r="AT134" s="259"/>
      <c r="AU134" s="259"/>
      <c r="AV134" s="261"/>
      <c r="AW134" s="261"/>
      <c r="AX134" s="608"/>
      <c r="AY134" s="262"/>
    </row>
    <row r="135" spans="1:51" s="260" customFormat="1" ht="103.5" hidden="1" customHeight="1">
      <c r="A135" s="608"/>
      <c r="B135" s="266"/>
      <c r="C135" s="1399"/>
      <c r="D135" s="1408"/>
      <c r="E135" s="1400"/>
      <c r="F135" s="267"/>
      <c r="G135" s="1399"/>
      <c r="H135" s="1408"/>
      <c r="I135" s="1400"/>
      <c r="J135" s="1380"/>
      <c r="K135" s="1380"/>
      <c r="L135" s="1380"/>
      <c r="M135" s="608"/>
      <c r="N135" s="608"/>
      <c r="O135" s="608"/>
      <c r="P135" s="608"/>
      <c r="Q135" s="266"/>
      <c r="R135" s="266"/>
      <c r="S135" s="268"/>
      <c r="T135" s="269" t="e">
        <f>VLOOKUP(Q135,[71]Listas!$D$6:$E$10,2,0)</f>
        <v>#N/A</v>
      </c>
      <c r="U135" s="269" t="e">
        <f>HLOOKUP(R135,[71]Listas!$F$4:$J$5,2,0)</f>
        <v>#N/A</v>
      </c>
      <c r="V135" s="270" t="e">
        <f>INDEX([71]Listas!$F$6:$J$10,MATCH(Q135,[71]Listas!$D$6:$D$10,0),MATCH(R135,[71]Listas!$F$4:$J$4,0))</f>
        <v>#N/A</v>
      </c>
      <c r="W135" s="268"/>
      <c r="X135" s="1399"/>
      <c r="Y135" s="1408"/>
      <c r="Z135" s="1400"/>
      <c r="AA135" s="1063"/>
      <c r="AB135" s="267"/>
      <c r="AC135" s="259"/>
      <c r="AD135" s="608"/>
      <c r="AE135" s="267"/>
      <c r="AF135" s="268"/>
      <c r="AG135" s="269">
        <f t="shared" si="14"/>
        <v>0</v>
      </c>
      <c r="AH135" s="271" t="e">
        <f t="shared" si="15"/>
        <v>#N/A</v>
      </c>
      <c r="AI135" s="272" t="e">
        <f>IF(AH135&lt;=1,"Remota",VLOOKUP(AH135,[71]Listas!$C$6:$D$10,2,0))</f>
        <v>#N/A</v>
      </c>
      <c r="AJ135" s="271" t="e">
        <f t="shared" si="16"/>
        <v>#N/A</v>
      </c>
      <c r="AK135" s="272" t="e">
        <f>IF(AJ135&lt;=1,"Insignificante",HLOOKUP(AJ135,[71]Listas!$F$3:$J$4,2,0))</f>
        <v>#N/A</v>
      </c>
      <c r="AL135" s="273" t="e">
        <f t="shared" si="17"/>
        <v>#N/A</v>
      </c>
      <c r="AM135" s="270" t="e">
        <f>INDEX([71]Listas!$F$6:$J$10,MATCH(AI135,[71]Listas!$D$6:$D$10,0),MATCH(AK135,[71]Listas!$F$4:$J$4,0))</f>
        <v>#N/A</v>
      </c>
      <c r="AN135" s="259"/>
      <c r="AO135" s="259"/>
      <c r="AP135" s="610"/>
      <c r="AQ135" s="259"/>
      <c r="AR135" s="259" t="s">
        <v>2343</v>
      </c>
      <c r="AS135" s="608"/>
      <c r="AT135" s="259"/>
      <c r="AU135" s="259"/>
      <c r="AV135" s="261"/>
      <c r="AW135" s="261"/>
      <c r="AX135" s="608"/>
      <c r="AY135" s="262"/>
    </row>
    <row r="136" spans="1:51" s="260" customFormat="1" ht="103.5" hidden="1" customHeight="1">
      <c r="A136" s="608"/>
      <c r="B136" s="266"/>
      <c r="C136" s="1399"/>
      <c r="D136" s="1408"/>
      <c r="E136" s="1400"/>
      <c r="F136" s="267"/>
      <c r="G136" s="1399"/>
      <c r="H136" s="1408"/>
      <c r="I136" s="1400"/>
      <c r="J136" s="1380"/>
      <c r="K136" s="1380"/>
      <c r="L136" s="1380"/>
      <c r="M136" s="608"/>
      <c r="N136" s="608"/>
      <c r="O136" s="608"/>
      <c r="P136" s="608"/>
      <c r="Q136" s="266"/>
      <c r="R136" s="266"/>
      <c r="S136" s="268"/>
      <c r="T136" s="269" t="e">
        <f>VLOOKUP(Q136,[71]Listas!$D$6:$E$10,2,0)</f>
        <v>#N/A</v>
      </c>
      <c r="U136" s="269" t="e">
        <f>HLOOKUP(R136,[71]Listas!$F$4:$J$5,2,0)</f>
        <v>#N/A</v>
      </c>
      <c r="V136" s="270" t="e">
        <f>INDEX([71]Listas!$F$6:$J$10,MATCH(Q136,[71]Listas!$D$6:$D$10,0),MATCH(R136,[71]Listas!$F$4:$J$4,0))</f>
        <v>#N/A</v>
      </c>
      <c r="W136" s="268"/>
      <c r="X136" s="1399"/>
      <c r="Y136" s="1408"/>
      <c r="Z136" s="1400"/>
      <c r="AA136" s="1063"/>
      <c r="AB136" s="267"/>
      <c r="AC136" s="259"/>
      <c r="AD136" s="608"/>
      <c r="AE136" s="267"/>
      <c r="AF136" s="268"/>
      <c r="AG136" s="269">
        <f t="shared" si="14"/>
        <v>0</v>
      </c>
      <c r="AH136" s="271" t="e">
        <f t="shared" si="15"/>
        <v>#N/A</v>
      </c>
      <c r="AI136" s="272" t="e">
        <f>IF(AH136&lt;=1,"Remota",VLOOKUP(AH136,[71]Listas!$C$6:$D$10,2,0))</f>
        <v>#N/A</v>
      </c>
      <c r="AJ136" s="271" t="e">
        <f t="shared" si="16"/>
        <v>#N/A</v>
      </c>
      <c r="AK136" s="272" t="e">
        <f>IF(AJ136&lt;=1,"Insignificante",HLOOKUP(AJ136,[71]Listas!$F$3:$J$4,2,0))</f>
        <v>#N/A</v>
      </c>
      <c r="AL136" s="273" t="e">
        <f t="shared" si="17"/>
        <v>#N/A</v>
      </c>
      <c r="AM136" s="270" t="e">
        <f>INDEX([71]Listas!$F$6:$J$10,MATCH(AI136,[71]Listas!$D$6:$D$10,0),MATCH(AK136,[71]Listas!$F$4:$J$4,0))</f>
        <v>#N/A</v>
      </c>
      <c r="AN136" s="259"/>
      <c r="AO136" s="259"/>
      <c r="AP136" s="610"/>
      <c r="AQ136" s="259"/>
      <c r="AR136" s="259" t="s">
        <v>2343</v>
      </c>
      <c r="AS136" s="608"/>
      <c r="AT136" s="259"/>
      <c r="AU136" s="259"/>
      <c r="AV136" s="261"/>
      <c r="AW136" s="261"/>
      <c r="AX136" s="608"/>
      <c r="AY136" s="262"/>
    </row>
    <row r="137" spans="1:51" s="260" customFormat="1" ht="103.5" hidden="1" customHeight="1">
      <c r="A137" s="608"/>
      <c r="B137" s="266"/>
      <c r="C137" s="1399"/>
      <c r="D137" s="1408"/>
      <c r="E137" s="1400"/>
      <c r="F137" s="267"/>
      <c r="G137" s="1399"/>
      <c r="H137" s="1408"/>
      <c r="I137" s="1400"/>
      <c r="J137" s="1380"/>
      <c r="K137" s="1380"/>
      <c r="L137" s="1380"/>
      <c r="M137" s="608"/>
      <c r="N137" s="608"/>
      <c r="O137" s="608"/>
      <c r="P137" s="608"/>
      <c r="Q137" s="266"/>
      <c r="R137" s="266"/>
      <c r="S137" s="268"/>
      <c r="T137" s="269" t="e">
        <f>VLOOKUP(Q137,[71]Listas!$D$6:$E$10,2,0)</f>
        <v>#N/A</v>
      </c>
      <c r="U137" s="269" t="e">
        <f>HLOOKUP(R137,[71]Listas!$F$4:$J$5,2,0)</f>
        <v>#N/A</v>
      </c>
      <c r="V137" s="270" t="e">
        <f>INDEX([71]Listas!$F$6:$J$10,MATCH(Q137,[71]Listas!$D$6:$D$10,0),MATCH(R137,[71]Listas!$F$4:$J$4,0))</f>
        <v>#N/A</v>
      </c>
      <c r="W137" s="268"/>
      <c r="X137" s="1399"/>
      <c r="Y137" s="1408"/>
      <c r="Z137" s="1400"/>
      <c r="AA137" s="1063"/>
      <c r="AB137" s="267"/>
      <c r="AC137" s="259"/>
      <c r="AD137" s="608"/>
      <c r="AE137" s="267"/>
      <c r="AF137" s="268"/>
      <c r="AG137" s="269">
        <f t="shared" si="14"/>
        <v>0</v>
      </c>
      <c r="AH137" s="271" t="e">
        <f t="shared" si="15"/>
        <v>#N/A</v>
      </c>
      <c r="AI137" s="272" t="e">
        <f>IF(AH137&lt;=1,"Remota",VLOOKUP(AH137,[71]Listas!$C$6:$D$10,2,0))</f>
        <v>#N/A</v>
      </c>
      <c r="AJ137" s="271" t="e">
        <f t="shared" si="16"/>
        <v>#N/A</v>
      </c>
      <c r="AK137" s="272" t="e">
        <f>IF(AJ137&lt;=1,"Insignificante",HLOOKUP(AJ137,[71]Listas!$F$3:$J$4,2,0))</f>
        <v>#N/A</v>
      </c>
      <c r="AL137" s="273" t="e">
        <f t="shared" si="17"/>
        <v>#N/A</v>
      </c>
      <c r="AM137" s="270" t="e">
        <f>INDEX([71]Listas!$F$6:$J$10,MATCH(AI137,[71]Listas!$D$6:$D$10,0),MATCH(AK137,[71]Listas!$F$4:$J$4,0))</f>
        <v>#N/A</v>
      </c>
      <c r="AN137" s="259"/>
      <c r="AO137" s="259"/>
      <c r="AP137" s="610"/>
      <c r="AQ137" s="259"/>
      <c r="AR137" s="259" t="s">
        <v>2343</v>
      </c>
      <c r="AS137" s="608"/>
      <c r="AT137" s="259"/>
      <c r="AU137" s="259"/>
      <c r="AV137" s="261"/>
      <c r="AW137" s="261"/>
      <c r="AX137" s="608"/>
      <c r="AY137" s="262"/>
    </row>
    <row r="138" spans="1:51" s="260" customFormat="1" ht="103.5" hidden="1" customHeight="1">
      <c r="A138" s="608"/>
      <c r="B138" s="266"/>
      <c r="C138" s="1399"/>
      <c r="D138" s="1408"/>
      <c r="E138" s="1400"/>
      <c r="F138" s="267"/>
      <c r="G138" s="1399"/>
      <c r="H138" s="1408"/>
      <c r="I138" s="1400"/>
      <c r="J138" s="1380"/>
      <c r="K138" s="1380"/>
      <c r="L138" s="1380"/>
      <c r="M138" s="608"/>
      <c r="N138" s="608"/>
      <c r="O138" s="608"/>
      <c r="P138" s="608"/>
      <c r="Q138" s="266"/>
      <c r="R138" s="266"/>
      <c r="S138" s="268"/>
      <c r="T138" s="269" t="e">
        <f>VLOOKUP(Q138,[71]Listas!$D$6:$E$10,2,0)</f>
        <v>#N/A</v>
      </c>
      <c r="U138" s="269" t="e">
        <f>HLOOKUP(R138,[71]Listas!$F$4:$J$5,2,0)</f>
        <v>#N/A</v>
      </c>
      <c r="V138" s="270" t="e">
        <f>INDEX([71]Listas!$F$6:$J$10,MATCH(Q138,[71]Listas!$D$6:$D$10,0),MATCH(R138,[71]Listas!$F$4:$J$4,0))</f>
        <v>#N/A</v>
      </c>
      <c r="W138" s="268"/>
      <c r="X138" s="1399"/>
      <c r="Y138" s="1408"/>
      <c r="Z138" s="1400"/>
      <c r="AA138" s="1063"/>
      <c r="AB138" s="267"/>
      <c r="AC138" s="259"/>
      <c r="AD138" s="608"/>
      <c r="AE138" s="267"/>
      <c r="AF138" s="268"/>
      <c r="AG138" s="269">
        <f t="shared" si="14"/>
        <v>0</v>
      </c>
      <c r="AH138" s="271" t="e">
        <f t="shared" si="15"/>
        <v>#N/A</v>
      </c>
      <c r="AI138" s="272" t="e">
        <f>IF(AH138&lt;=1,"Remota",VLOOKUP(AH138,[71]Listas!$C$6:$D$10,2,0))</f>
        <v>#N/A</v>
      </c>
      <c r="AJ138" s="271" t="e">
        <f t="shared" si="16"/>
        <v>#N/A</v>
      </c>
      <c r="AK138" s="272" t="e">
        <f>IF(AJ138&lt;=1,"Insignificante",HLOOKUP(AJ138,[71]Listas!$F$3:$J$4,2,0))</f>
        <v>#N/A</v>
      </c>
      <c r="AL138" s="273" t="e">
        <f t="shared" si="17"/>
        <v>#N/A</v>
      </c>
      <c r="AM138" s="270" t="e">
        <f>INDEX([71]Listas!$F$6:$J$10,MATCH(AI138,[71]Listas!$D$6:$D$10,0),MATCH(AK138,[71]Listas!$F$4:$J$4,0))</f>
        <v>#N/A</v>
      </c>
      <c r="AN138" s="259"/>
      <c r="AO138" s="259"/>
      <c r="AP138" s="610"/>
      <c r="AQ138" s="259"/>
      <c r="AR138" s="259" t="s">
        <v>2343</v>
      </c>
      <c r="AS138" s="608"/>
      <c r="AT138" s="259"/>
      <c r="AU138" s="259"/>
      <c r="AV138" s="261"/>
      <c r="AW138" s="261"/>
      <c r="AX138" s="608"/>
      <c r="AY138" s="262"/>
    </row>
    <row r="139" spans="1:51" s="260" customFormat="1" ht="103.5" hidden="1" customHeight="1">
      <c r="A139" s="608"/>
      <c r="B139" s="266"/>
      <c r="C139" s="1399"/>
      <c r="D139" s="1408"/>
      <c r="E139" s="1400"/>
      <c r="F139" s="267"/>
      <c r="G139" s="1399"/>
      <c r="H139" s="1408"/>
      <c r="I139" s="1400"/>
      <c r="J139" s="1380"/>
      <c r="K139" s="1380"/>
      <c r="L139" s="1380"/>
      <c r="M139" s="608"/>
      <c r="N139" s="608"/>
      <c r="O139" s="608"/>
      <c r="P139" s="608"/>
      <c r="Q139" s="266"/>
      <c r="R139" s="266"/>
      <c r="S139" s="268"/>
      <c r="T139" s="269" t="e">
        <f>VLOOKUP(Q139,[71]Listas!$D$6:$E$10,2,0)</f>
        <v>#N/A</v>
      </c>
      <c r="U139" s="269" t="e">
        <f>HLOOKUP(R139,[71]Listas!$F$4:$J$5,2,0)</f>
        <v>#N/A</v>
      </c>
      <c r="V139" s="270" t="e">
        <f>INDEX([71]Listas!$F$6:$J$10,MATCH(Q139,[71]Listas!$D$6:$D$10,0),MATCH(R139,[71]Listas!$F$4:$J$4,0))</f>
        <v>#N/A</v>
      </c>
      <c r="W139" s="268"/>
      <c r="X139" s="1399"/>
      <c r="Y139" s="1408"/>
      <c r="Z139" s="1400"/>
      <c r="AA139" s="1063"/>
      <c r="AB139" s="267"/>
      <c r="AC139" s="259"/>
      <c r="AD139" s="608"/>
      <c r="AE139" s="267"/>
      <c r="AF139" s="268"/>
      <c r="AG139" s="269">
        <f t="shared" si="14"/>
        <v>0</v>
      </c>
      <c r="AH139" s="271" t="e">
        <f t="shared" si="15"/>
        <v>#N/A</v>
      </c>
      <c r="AI139" s="272" t="e">
        <f>IF(AH139&lt;=1,"Remota",VLOOKUP(AH139,[71]Listas!$C$6:$D$10,2,0))</f>
        <v>#N/A</v>
      </c>
      <c r="AJ139" s="271" t="e">
        <f t="shared" si="16"/>
        <v>#N/A</v>
      </c>
      <c r="AK139" s="272" t="e">
        <f>IF(AJ139&lt;=1,"Insignificante",HLOOKUP(AJ139,[71]Listas!$F$3:$J$4,2,0))</f>
        <v>#N/A</v>
      </c>
      <c r="AL139" s="273" t="e">
        <f t="shared" si="17"/>
        <v>#N/A</v>
      </c>
      <c r="AM139" s="270" t="e">
        <f>INDEX([71]Listas!$F$6:$J$10,MATCH(AI139,[71]Listas!$D$6:$D$10,0),MATCH(AK139,[71]Listas!$F$4:$J$4,0))</f>
        <v>#N/A</v>
      </c>
      <c r="AN139" s="259"/>
      <c r="AO139" s="259"/>
      <c r="AP139" s="610"/>
      <c r="AQ139" s="259"/>
      <c r="AR139" s="259" t="s">
        <v>2343</v>
      </c>
      <c r="AS139" s="608"/>
      <c r="AT139" s="259"/>
      <c r="AU139" s="259"/>
      <c r="AV139" s="261"/>
      <c r="AW139" s="261"/>
      <c r="AX139" s="608"/>
      <c r="AY139" s="262"/>
    </row>
    <row r="140" spans="1:51" s="260" customFormat="1" ht="103.5" hidden="1" customHeight="1">
      <c r="A140" s="608"/>
      <c r="B140" s="266"/>
      <c r="C140" s="1399"/>
      <c r="D140" s="1408"/>
      <c r="E140" s="1400"/>
      <c r="F140" s="267"/>
      <c r="G140" s="1399"/>
      <c r="H140" s="1408"/>
      <c r="I140" s="1400"/>
      <c r="J140" s="1380"/>
      <c r="K140" s="1380"/>
      <c r="L140" s="1380"/>
      <c r="M140" s="608"/>
      <c r="N140" s="608"/>
      <c r="O140" s="608"/>
      <c r="P140" s="608"/>
      <c r="Q140" s="266"/>
      <c r="R140" s="266"/>
      <c r="S140" s="268"/>
      <c r="T140" s="269" t="e">
        <f>VLOOKUP(Q140,[71]Listas!$D$6:$E$10,2,0)</f>
        <v>#N/A</v>
      </c>
      <c r="U140" s="269" t="e">
        <f>HLOOKUP(R140,[71]Listas!$F$4:$J$5,2,0)</f>
        <v>#N/A</v>
      </c>
      <c r="V140" s="270" t="e">
        <f>INDEX([71]Listas!$F$6:$J$10,MATCH(Q140,[71]Listas!$D$6:$D$10,0),MATCH(R140,[71]Listas!$F$4:$J$4,0))</f>
        <v>#N/A</v>
      </c>
      <c r="W140" s="268"/>
      <c r="X140" s="1399"/>
      <c r="Y140" s="1408"/>
      <c r="Z140" s="1400"/>
      <c r="AA140" s="1063"/>
      <c r="AB140" s="267"/>
      <c r="AC140" s="259"/>
      <c r="AD140" s="608"/>
      <c r="AE140" s="267"/>
      <c r="AF140" s="268"/>
      <c r="AG140" s="269">
        <f t="shared" si="14"/>
        <v>0</v>
      </c>
      <c r="AH140" s="271" t="e">
        <f t="shared" si="15"/>
        <v>#N/A</v>
      </c>
      <c r="AI140" s="272" t="e">
        <f>IF(AH140&lt;=1,"Remota",VLOOKUP(AH140,[71]Listas!$C$6:$D$10,2,0))</f>
        <v>#N/A</v>
      </c>
      <c r="AJ140" s="271" t="e">
        <f t="shared" si="16"/>
        <v>#N/A</v>
      </c>
      <c r="AK140" s="272" t="e">
        <f>IF(AJ140&lt;=1,"Insignificante",HLOOKUP(AJ140,[71]Listas!$F$3:$J$4,2,0))</f>
        <v>#N/A</v>
      </c>
      <c r="AL140" s="273" t="e">
        <f t="shared" si="17"/>
        <v>#N/A</v>
      </c>
      <c r="AM140" s="270" t="e">
        <f>INDEX([71]Listas!$F$6:$J$10,MATCH(AI140,[71]Listas!$D$6:$D$10,0),MATCH(AK140,[71]Listas!$F$4:$J$4,0))</f>
        <v>#N/A</v>
      </c>
      <c r="AN140" s="259"/>
      <c r="AO140" s="259"/>
      <c r="AP140" s="610"/>
      <c r="AQ140" s="259"/>
      <c r="AR140" s="259" t="s">
        <v>2343</v>
      </c>
      <c r="AS140" s="608"/>
      <c r="AT140" s="259"/>
      <c r="AU140" s="259"/>
      <c r="AV140" s="261"/>
      <c r="AW140" s="261"/>
      <c r="AX140" s="608"/>
      <c r="AY140" s="262"/>
    </row>
    <row r="141" spans="1:51" s="260" customFormat="1" ht="103.5" hidden="1" customHeight="1">
      <c r="A141" s="608"/>
      <c r="B141" s="266"/>
      <c r="C141" s="1399"/>
      <c r="D141" s="1408"/>
      <c r="E141" s="1400"/>
      <c r="F141" s="267"/>
      <c r="G141" s="1399"/>
      <c r="H141" s="1408"/>
      <c r="I141" s="1400"/>
      <c r="J141" s="1380"/>
      <c r="K141" s="1380"/>
      <c r="L141" s="1380"/>
      <c r="M141" s="608"/>
      <c r="N141" s="608"/>
      <c r="O141" s="608"/>
      <c r="P141" s="608"/>
      <c r="Q141" s="266"/>
      <c r="R141" s="266"/>
      <c r="S141" s="268"/>
      <c r="T141" s="269" t="e">
        <f>VLOOKUP(Q141,[71]Listas!$D$6:$E$10,2,0)</f>
        <v>#N/A</v>
      </c>
      <c r="U141" s="269" t="e">
        <f>HLOOKUP(R141,[71]Listas!$F$4:$J$5,2,0)</f>
        <v>#N/A</v>
      </c>
      <c r="V141" s="270" t="e">
        <f>INDEX([71]Listas!$F$6:$J$10,MATCH(Q141,[71]Listas!$D$6:$D$10,0),MATCH(R141,[71]Listas!$F$4:$J$4,0))</f>
        <v>#N/A</v>
      </c>
      <c r="W141" s="268"/>
      <c r="X141" s="1399"/>
      <c r="Y141" s="1408"/>
      <c r="Z141" s="1400"/>
      <c r="AA141" s="1063"/>
      <c r="AB141" s="267"/>
      <c r="AC141" s="259"/>
      <c r="AD141" s="608"/>
      <c r="AE141" s="267"/>
      <c r="AF141" s="268"/>
      <c r="AG141" s="269">
        <f t="shared" si="14"/>
        <v>0</v>
      </c>
      <c r="AH141" s="271" t="e">
        <f t="shared" si="15"/>
        <v>#N/A</v>
      </c>
      <c r="AI141" s="272" t="e">
        <f>IF(AH141&lt;=1,"Remota",VLOOKUP(AH141,[71]Listas!$C$6:$D$10,2,0))</f>
        <v>#N/A</v>
      </c>
      <c r="AJ141" s="271" t="e">
        <f t="shared" si="16"/>
        <v>#N/A</v>
      </c>
      <c r="AK141" s="272" t="e">
        <f>IF(AJ141&lt;=1,"Insignificante",HLOOKUP(AJ141,[71]Listas!$F$3:$J$4,2,0))</f>
        <v>#N/A</v>
      </c>
      <c r="AL141" s="273" t="e">
        <f t="shared" si="17"/>
        <v>#N/A</v>
      </c>
      <c r="AM141" s="270" t="e">
        <f>INDEX([71]Listas!$F$6:$J$10,MATCH(AI141,[71]Listas!$D$6:$D$10,0),MATCH(AK141,[71]Listas!$F$4:$J$4,0))</f>
        <v>#N/A</v>
      </c>
      <c r="AN141" s="259"/>
      <c r="AO141" s="259"/>
      <c r="AP141" s="610"/>
      <c r="AQ141" s="259"/>
      <c r="AR141" s="259" t="s">
        <v>2343</v>
      </c>
      <c r="AS141" s="608"/>
      <c r="AT141" s="259"/>
      <c r="AU141" s="259"/>
      <c r="AV141" s="261"/>
      <c r="AW141" s="261"/>
      <c r="AX141" s="608"/>
      <c r="AY141" s="262"/>
    </row>
    <row r="142" spans="1:51" s="260" customFormat="1" ht="103.5" hidden="1" customHeight="1">
      <c r="A142" s="608"/>
      <c r="B142" s="266"/>
      <c r="C142" s="1399"/>
      <c r="D142" s="1408"/>
      <c r="E142" s="1400"/>
      <c r="F142" s="267"/>
      <c r="G142" s="1399"/>
      <c r="H142" s="1408"/>
      <c r="I142" s="1400"/>
      <c r="J142" s="1380"/>
      <c r="K142" s="1380"/>
      <c r="L142" s="1380"/>
      <c r="M142" s="608"/>
      <c r="N142" s="608"/>
      <c r="O142" s="608"/>
      <c r="P142" s="608"/>
      <c r="Q142" s="266"/>
      <c r="R142" s="266"/>
      <c r="S142" s="268"/>
      <c r="T142" s="269" t="e">
        <f>VLOOKUP(Q142,[71]Listas!$D$6:$E$10,2,0)</f>
        <v>#N/A</v>
      </c>
      <c r="U142" s="269" t="e">
        <f>HLOOKUP(R142,[71]Listas!$F$4:$J$5,2,0)</f>
        <v>#N/A</v>
      </c>
      <c r="V142" s="270" t="e">
        <f>INDEX([71]Listas!$F$6:$J$10,MATCH(Q142,[71]Listas!$D$6:$D$10,0),MATCH(R142,[71]Listas!$F$4:$J$4,0))</f>
        <v>#N/A</v>
      </c>
      <c r="W142" s="268"/>
      <c r="X142" s="1399"/>
      <c r="Y142" s="1408"/>
      <c r="Z142" s="1400"/>
      <c r="AA142" s="1063"/>
      <c r="AB142" s="267"/>
      <c r="AC142" s="259"/>
      <c r="AD142" s="608"/>
      <c r="AE142" s="267"/>
      <c r="AF142" s="268"/>
      <c r="AG142" s="269">
        <f t="shared" ref="AG142:AG157" si="18">IF(AD142&lt;=33,0,IF(AD142&gt;81,2,1))</f>
        <v>0</v>
      </c>
      <c r="AH142" s="271" t="e">
        <f t="shared" ref="AH142:AH157" si="19">IF(OR(AE142="Probabilidad",AE142="Ambos"),T142-AG142,T142)</f>
        <v>#N/A</v>
      </c>
      <c r="AI142" s="272" t="e">
        <f>IF(AH142&lt;=1,"Remota",VLOOKUP(AH142,[71]Listas!$C$6:$D$10,2,0))</f>
        <v>#N/A</v>
      </c>
      <c r="AJ142" s="271" t="e">
        <f t="shared" ref="AJ142:AJ157" si="20">IF(OR(AE142="Impacto",AE142="Ambos"),U142-AG142,U142)</f>
        <v>#N/A</v>
      </c>
      <c r="AK142" s="272" t="e">
        <f>IF(AJ142&lt;=1,"Insignificante",HLOOKUP(AJ142,[71]Listas!$F$3:$J$4,2,0))</f>
        <v>#N/A</v>
      </c>
      <c r="AL142" s="273" t="e">
        <f t="shared" ref="AL142:AL157" si="21">AH142*AJ142</f>
        <v>#N/A</v>
      </c>
      <c r="AM142" s="270" t="e">
        <f>INDEX([71]Listas!$F$6:$J$10,MATCH(AI142,[71]Listas!$D$6:$D$10,0),MATCH(AK142,[71]Listas!$F$4:$J$4,0))</f>
        <v>#N/A</v>
      </c>
      <c r="AN142" s="259"/>
      <c r="AO142" s="259"/>
      <c r="AP142" s="610"/>
      <c r="AQ142" s="259"/>
      <c r="AR142" s="259" t="s">
        <v>2343</v>
      </c>
      <c r="AS142" s="608"/>
      <c r="AT142" s="259"/>
      <c r="AU142" s="259"/>
      <c r="AV142" s="261"/>
      <c r="AW142" s="261"/>
      <c r="AX142" s="608"/>
      <c r="AY142" s="262"/>
    </row>
    <row r="143" spans="1:51" s="260" customFormat="1" ht="103.5" hidden="1" customHeight="1">
      <c r="A143" s="608"/>
      <c r="B143" s="266"/>
      <c r="C143" s="1399"/>
      <c r="D143" s="1408"/>
      <c r="E143" s="1400"/>
      <c r="F143" s="267"/>
      <c r="G143" s="1399"/>
      <c r="H143" s="1408"/>
      <c r="I143" s="1400"/>
      <c r="J143" s="1380"/>
      <c r="K143" s="1380"/>
      <c r="L143" s="1380"/>
      <c r="M143" s="608"/>
      <c r="N143" s="608"/>
      <c r="O143" s="608"/>
      <c r="P143" s="608"/>
      <c r="Q143" s="266"/>
      <c r="R143" s="266"/>
      <c r="S143" s="268"/>
      <c r="T143" s="269" t="e">
        <f>VLOOKUP(Q143,[71]Listas!$D$6:$E$10,2,0)</f>
        <v>#N/A</v>
      </c>
      <c r="U143" s="269" t="e">
        <f>HLOOKUP(R143,[71]Listas!$F$4:$J$5,2,0)</f>
        <v>#N/A</v>
      </c>
      <c r="V143" s="270" t="e">
        <f>INDEX([71]Listas!$F$6:$J$10,MATCH(Q143,[71]Listas!$D$6:$D$10,0),MATCH(R143,[71]Listas!$F$4:$J$4,0))</f>
        <v>#N/A</v>
      </c>
      <c r="W143" s="268"/>
      <c r="X143" s="1399"/>
      <c r="Y143" s="1408"/>
      <c r="Z143" s="1400"/>
      <c r="AA143" s="1063"/>
      <c r="AB143" s="267"/>
      <c r="AC143" s="259"/>
      <c r="AD143" s="608"/>
      <c r="AE143" s="267"/>
      <c r="AF143" s="268"/>
      <c r="AG143" s="269">
        <f t="shared" si="18"/>
        <v>0</v>
      </c>
      <c r="AH143" s="271" t="e">
        <f t="shared" si="19"/>
        <v>#N/A</v>
      </c>
      <c r="AI143" s="272" t="e">
        <f>IF(AH143&lt;=1,"Remota",VLOOKUP(AH143,[71]Listas!$C$6:$D$10,2,0))</f>
        <v>#N/A</v>
      </c>
      <c r="AJ143" s="271" t="e">
        <f t="shared" si="20"/>
        <v>#N/A</v>
      </c>
      <c r="AK143" s="272" t="e">
        <f>IF(AJ143&lt;=1,"Insignificante",HLOOKUP(AJ143,[71]Listas!$F$3:$J$4,2,0))</f>
        <v>#N/A</v>
      </c>
      <c r="AL143" s="273" t="e">
        <f t="shared" si="21"/>
        <v>#N/A</v>
      </c>
      <c r="AM143" s="270" t="e">
        <f>INDEX([71]Listas!$F$6:$J$10,MATCH(AI143,[71]Listas!$D$6:$D$10,0),MATCH(AK143,[71]Listas!$F$4:$J$4,0))</f>
        <v>#N/A</v>
      </c>
      <c r="AN143" s="259"/>
      <c r="AO143" s="259"/>
      <c r="AP143" s="610"/>
      <c r="AQ143" s="259"/>
      <c r="AR143" s="259" t="s">
        <v>2343</v>
      </c>
      <c r="AS143" s="608"/>
      <c r="AT143" s="259"/>
      <c r="AU143" s="259"/>
      <c r="AV143" s="261"/>
      <c r="AW143" s="261"/>
      <c r="AX143" s="608"/>
      <c r="AY143" s="262"/>
    </row>
    <row r="144" spans="1:51" s="260" customFormat="1" ht="103.5" hidden="1" customHeight="1">
      <c r="A144" s="608"/>
      <c r="B144" s="266"/>
      <c r="C144" s="1399"/>
      <c r="D144" s="1408"/>
      <c r="E144" s="1400"/>
      <c r="F144" s="267"/>
      <c r="G144" s="1399"/>
      <c r="H144" s="1408"/>
      <c r="I144" s="1400"/>
      <c r="J144" s="1380"/>
      <c r="K144" s="1380"/>
      <c r="L144" s="1380"/>
      <c r="M144" s="608"/>
      <c r="N144" s="608"/>
      <c r="O144" s="608"/>
      <c r="P144" s="608"/>
      <c r="Q144" s="266"/>
      <c r="R144" s="266"/>
      <c r="S144" s="268"/>
      <c r="T144" s="269" t="e">
        <f>VLOOKUP(Q144,[71]Listas!$D$6:$E$10,2,0)</f>
        <v>#N/A</v>
      </c>
      <c r="U144" s="269" t="e">
        <f>HLOOKUP(R144,[71]Listas!$F$4:$J$5,2,0)</f>
        <v>#N/A</v>
      </c>
      <c r="V144" s="270" t="e">
        <f>INDEX([71]Listas!$F$6:$J$10,MATCH(Q144,[71]Listas!$D$6:$D$10,0),MATCH(R144,[71]Listas!$F$4:$J$4,0))</f>
        <v>#N/A</v>
      </c>
      <c r="W144" s="268"/>
      <c r="X144" s="1399"/>
      <c r="Y144" s="1408"/>
      <c r="Z144" s="1400"/>
      <c r="AA144" s="1063"/>
      <c r="AB144" s="267"/>
      <c r="AC144" s="259"/>
      <c r="AD144" s="608"/>
      <c r="AE144" s="267"/>
      <c r="AF144" s="268"/>
      <c r="AG144" s="269">
        <f t="shared" si="18"/>
        <v>0</v>
      </c>
      <c r="AH144" s="271" t="e">
        <f t="shared" si="19"/>
        <v>#N/A</v>
      </c>
      <c r="AI144" s="272" t="e">
        <f>IF(AH144&lt;=1,"Remota",VLOOKUP(AH144,[71]Listas!$C$6:$D$10,2,0))</f>
        <v>#N/A</v>
      </c>
      <c r="AJ144" s="271" t="e">
        <f t="shared" si="20"/>
        <v>#N/A</v>
      </c>
      <c r="AK144" s="272" t="e">
        <f>IF(AJ144&lt;=1,"Insignificante",HLOOKUP(AJ144,[71]Listas!$F$3:$J$4,2,0))</f>
        <v>#N/A</v>
      </c>
      <c r="AL144" s="273" t="e">
        <f t="shared" si="21"/>
        <v>#N/A</v>
      </c>
      <c r="AM144" s="270" t="e">
        <f>INDEX([71]Listas!$F$6:$J$10,MATCH(AI144,[71]Listas!$D$6:$D$10,0),MATCH(AK144,[71]Listas!$F$4:$J$4,0))</f>
        <v>#N/A</v>
      </c>
      <c r="AN144" s="259"/>
      <c r="AO144" s="259"/>
      <c r="AP144" s="610"/>
      <c r="AQ144" s="259"/>
      <c r="AR144" s="259" t="s">
        <v>2343</v>
      </c>
      <c r="AS144" s="608"/>
      <c r="AT144" s="259"/>
      <c r="AU144" s="259"/>
      <c r="AV144" s="261"/>
      <c r="AW144" s="261"/>
      <c r="AX144" s="608"/>
      <c r="AY144" s="262"/>
    </row>
    <row r="145" spans="1:1027" s="260" customFormat="1" ht="103.5" hidden="1" customHeight="1">
      <c r="A145" s="608"/>
      <c r="B145" s="266"/>
      <c r="C145" s="1399"/>
      <c r="D145" s="1408"/>
      <c r="E145" s="1400"/>
      <c r="F145" s="267"/>
      <c r="G145" s="1399"/>
      <c r="H145" s="1408"/>
      <c r="I145" s="1400"/>
      <c r="J145" s="1380"/>
      <c r="K145" s="1380"/>
      <c r="L145" s="1380"/>
      <c r="M145" s="608"/>
      <c r="N145" s="608"/>
      <c r="O145" s="608"/>
      <c r="P145" s="608"/>
      <c r="Q145" s="266"/>
      <c r="R145" s="266"/>
      <c r="S145" s="268"/>
      <c r="T145" s="269" t="e">
        <f>VLOOKUP(Q145,[71]Listas!$D$6:$E$10,2,0)</f>
        <v>#N/A</v>
      </c>
      <c r="U145" s="269" t="e">
        <f>HLOOKUP(R145,[71]Listas!$F$4:$J$5,2,0)</f>
        <v>#N/A</v>
      </c>
      <c r="V145" s="270" t="e">
        <f>INDEX([71]Listas!$F$6:$J$10,MATCH(Q145,[71]Listas!$D$6:$D$10,0),MATCH(R145,[71]Listas!$F$4:$J$4,0))</f>
        <v>#N/A</v>
      </c>
      <c r="W145" s="268"/>
      <c r="X145" s="1399"/>
      <c r="Y145" s="1408"/>
      <c r="Z145" s="1400"/>
      <c r="AA145" s="1063"/>
      <c r="AB145" s="267"/>
      <c r="AC145" s="259"/>
      <c r="AD145" s="608"/>
      <c r="AE145" s="267"/>
      <c r="AF145" s="268"/>
      <c r="AG145" s="269">
        <f t="shared" si="18"/>
        <v>0</v>
      </c>
      <c r="AH145" s="271" t="e">
        <f t="shared" si="19"/>
        <v>#N/A</v>
      </c>
      <c r="AI145" s="272" t="e">
        <f>IF(AH145&lt;=1,"Remota",VLOOKUP(AH145,[71]Listas!$C$6:$D$10,2,0))</f>
        <v>#N/A</v>
      </c>
      <c r="AJ145" s="271" t="e">
        <f t="shared" si="20"/>
        <v>#N/A</v>
      </c>
      <c r="AK145" s="272" t="e">
        <f>IF(AJ145&lt;=1,"Insignificante",HLOOKUP(AJ145,[71]Listas!$F$3:$J$4,2,0))</f>
        <v>#N/A</v>
      </c>
      <c r="AL145" s="273" t="e">
        <f t="shared" si="21"/>
        <v>#N/A</v>
      </c>
      <c r="AM145" s="270" t="e">
        <f>INDEX([71]Listas!$F$6:$J$10,MATCH(AI145,[71]Listas!$D$6:$D$10,0),MATCH(AK145,[71]Listas!$F$4:$J$4,0))</f>
        <v>#N/A</v>
      </c>
      <c r="AN145" s="259"/>
      <c r="AO145" s="259"/>
      <c r="AP145" s="610"/>
      <c r="AQ145" s="259"/>
      <c r="AR145" s="259" t="s">
        <v>2343</v>
      </c>
      <c r="AS145" s="608"/>
      <c r="AT145" s="259"/>
      <c r="AU145" s="259"/>
      <c r="AV145" s="261"/>
      <c r="AW145" s="261"/>
      <c r="AX145" s="608"/>
      <c r="AY145" s="262"/>
    </row>
    <row r="146" spans="1:1027" s="260" customFormat="1" ht="103.5" hidden="1" customHeight="1">
      <c r="A146" s="608"/>
      <c r="B146" s="266"/>
      <c r="C146" s="1399"/>
      <c r="D146" s="1408"/>
      <c r="E146" s="1400"/>
      <c r="F146" s="267"/>
      <c r="G146" s="1399"/>
      <c r="H146" s="1408"/>
      <c r="I146" s="1400"/>
      <c r="J146" s="1380"/>
      <c r="K146" s="1380"/>
      <c r="L146" s="1380"/>
      <c r="M146" s="608"/>
      <c r="N146" s="608"/>
      <c r="O146" s="608"/>
      <c r="P146" s="608"/>
      <c r="Q146" s="266"/>
      <c r="R146" s="266"/>
      <c r="S146" s="268"/>
      <c r="T146" s="269" t="e">
        <f>VLOOKUP(Q146,[71]Listas!$D$6:$E$10,2,0)</f>
        <v>#N/A</v>
      </c>
      <c r="U146" s="269" t="e">
        <f>HLOOKUP(R146,[71]Listas!$F$4:$J$5,2,0)</f>
        <v>#N/A</v>
      </c>
      <c r="V146" s="270" t="e">
        <f>INDEX([71]Listas!$F$6:$J$10,MATCH(Q146,[71]Listas!$D$6:$D$10,0),MATCH(R146,[71]Listas!$F$4:$J$4,0))</f>
        <v>#N/A</v>
      </c>
      <c r="W146" s="268"/>
      <c r="X146" s="1399"/>
      <c r="Y146" s="1408"/>
      <c r="Z146" s="1400"/>
      <c r="AA146" s="1063"/>
      <c r="AB146" s="267"/>
      <c r="AC146" s="259"/>
      <c r="AD146" s="608"/>
      <c r="AE146" s="267"/>
      <c r="AF146" s="268"/>
      <c r="AG146" s="269">
        <f t="shared" si="18"/>
        <v>0</v>
      </c>
      <c r="AH146" s="271" t="e">
        <f t="shared" si="19"/>
        <v>#N/A</v>
      </c>
      <c r="AI146" s="272" t="e">
        <f>IF(AH146&lt;=1,"Remota",VLOOKUP(AH146,[71]Listas!$C$6:$D$10,2,0))</f>
        <v>#N/A</v>
      </c>
      <c r="AJ146" s="271" t="e">
        <f t="shared" si="20"/>
        <v>#N/A</v>
      </c>
      <c r="AK146" s="272" t="e">
        <f>IF(AJ146&lt;=1,"Insignificante",HLOOKUP(AJ146,[71]Listas!$F$3:$J$4,2,0))</f>
        <v>#N/A</v>
      </c>
      <c r="AL146" s="273" t="e">
        <f t="shared" si="21"/>
        <v>#N/A</v>
      </c>
      <c r="AM146" s="270" t="e">
        <f>INDEX([71]Listas!$F$6:$J$10,MATCH(AI146,[71]Listas!$D$6:$D$10,0),MATCH(AK146,[71]Listas!$F$4:$J$4,0))</f>
        <v>#N/A</v>
      </c>
      <c r="AN146" s="259"/>
      <c r="AO146" s="259"/>
      <c r="AP146" s="610"/>
      <c r="AQ146" s="259"/>
      <c r="AR146" s="259" t="s">
        <v>2343</v>
      </c>
      <c r="AS146" s="608"/>
      <c r="AT146" s="259"/>
      <c r="AU146" s="259"/>
      <c r="AV146" s="261"/>
      <c r="AW146" s="261"/>
      <c r="AX146" s="608"/>
      <c r="AY146" s="262"/>
    </row>
    <row r="147" spans="1:1027" s="260" customFormat="1" ht="103.5" hidden="1" customHeight="1">
      <c r="A147" s="608"/>
      <c r="B147" s="266"/>
      <c r="C147" s="1399"/>
      <c r="D147" s="1408"/>
      <c r="E147" s="1400"/>
      <c r="F147" s="267"/>
      <c r="G147" s="1399"/>
      <c r="H147" s="1408"/>
      <c r="I147" s="1400"/>
      <c r="J147" s="1380"/>
      <c r="K147" s="1380"/>
      <c r="L147" s="1380"/>
      <c r="M147" s="608"/>
      <c r="N147" s="608"/>
      <c r="O147" s="608"/>
      <c r="P147" s="608"/>
      <c r="Q147" s="266"/>
      <c r="R147" s="266"/>
      <c r="S147" s="268"/>
      <c r="T147" s="269" t="e">
        <f>VLOOKUP(Q147,[71]Listas!$D$6:$E$10,2,0)</f>
        <v>#N/A</v>
      </c>
      <c r="U147" s="269" t="e">
        <f>HLOOKUP(R147,[71]Listas!$F$4:$J$5,2,0)</f>
        <v>#N/A</v>
      </c>
      <c r="V147" s="270" t="e">
        <f>INDEX([71]Listas!$F$6:$J$10,MATCH(Q147,[71]Listas!$D$6:$D$10,0),MATCH(R147,[71]Listas!$F$4:$J$4,0))</f>
        <v>#N/A</v>
      </c>
      <c r="W147" s="268"/>
      <c r="X147" s="1399"/>
      <c r="Y147" s="1408"/>
      <c r="Z147" s="1400"/>
      <c r="AA147" s="1063"/>
      <c r="AB147" s="267"/>
      <c r="AC147" s="259"/>
      <c r="AD147" s="608"/>
      <c r="AE147" s="267"/>
      <c r="AF147" s="268"/>
      <c r="AG147" s="269">
        <f t="shared" si="18"/>
        <v>0</v>
      </c>
      <c r="AH147" s="271" t="e">
        <f t="shared" si="19"/>
        <v>#N/A</v>
      </c>
      <c r="AI147" s="272" t="e">
        <f>IF(AH147&lt;=1,"Remota",VLOOKUP(AH147,[71]Listas!$C$6:$D$10,2,0))</f>
        <v>#N/A</v>
      </c>
      <c r="AJ147" s="271" t="e">
        <f t="shared" si="20"/>
        <v>#N/A</v>
      </c>
      <c r="AK147" s="272" t="e">
        <f>IF(AJ147&lt;=1,"Insignificante",HLOOKUP(AJ147,[71]Listas!$F$3:$J$4,2,0))</f>
        <v>#N/A</v>
      </c>
      <c r="AL147" s="273" t="e">
        <f t="shared" si="21"/>
        <v>#N/A</v>
      </c>
      <c r="AM147" s="270" t="e">
        <f>INDEX([71]Listas!$F$6:$J$10,MATCH(AI147,[71]Listas!$D$6:$D$10,0),MATCH(AK147,[71]Listas!$F$4:$J$4,0))</f>
        <v>#N/A</v>
      </c>
      <c r="AN147" s="259"/>
      <c r="AO147" s="259"/>
      <c r="AP147" s="610"/>
      <c r="AQ147" s="259"/>
      <c r="AR147" s="259" t="s">
        <v>2343</v>
      </c>
      <c r="AS147" s="608"/>
      <c r="AT147" s="259"/>
      <c r="AU147" s="259"/>
      <c r="AV147" s="261"/>
      <c r="AW147" s="261"/>
      <c r="AX147" s="608"/>
      <c r="AY147" s="262"/>
    </row>
    <row r="148" spans="1:1027" s="260" customFormat="1" ht="103.5" hidden="1" customHeight="1">
      <c r="A148" s="608"/>
      <c r="B148" s="266"/>
      <c r="C148" s="1399"/>
      <c r="D148" s="1408"/>
      <c r="E148" s="1400"/>
      <c r="F148" s="267"/>
      <c r="G148" s="1399"/>
      <c r="H148" s="1408"/>
      <c r="I148" s="1400"/>
      <c r="J148" s="1380"/>
      <c r="K148" s="1380"/>
      <c r="L148" s="1380"/>
      <c r="M148" s="608"/>
      <c r="N148" s="608"/>
      <c r="O148" s="608"/>
      <c r="P148" s="608"/>
      <c r="Q148" s="266"/>
      <c r="R148" s="266"/>
      <c r="S148" s="268"/>
      <c r="T148" s="269" t="e">
        <f>VLOOKUP(Q148,[71]Listas!$D$6:$E$10,2,0)</f>
        <v>#N/A</v>
      </c>
      <c r="U148" s="269" t="e">
        <f>HLOOKUP(R148,[71]Listas!$F$4:$J$5,2,0)</f>
        <v>#N/A</v>
      </c>
      <c r="V148" s="270" t="e">
        <f>INDEX([71]Listas!$F$6:$J$10,MATCH(Q148,[71]Listas!$D$6:$D$10,0),MATCH(R148,[71]Listas!$F$4:$J$4,0))</f>
        <v>#N/A</v>
      </c>
      <c r="W148" s="268"/>
      <c r="X148" s="1399"/>
      <c r="Y148" s="1408"/>
      <c r="Z148" s="1400"/>
      <c r="AA148" s="1063"/>
      <c r="AB148" s="267"/>
      <c r="AC148" s="259"/>
      <c r="AD148" s="608"/>
      <c r="AE148" s="267"/>
      <c r="AF148" s="268"/>
      <c r="AG148" s="269">
        <f t="shared" si="18"/>
        <v>0</v>
      </c>
      <c r="AH148" s="271" t="e">
        <f t="shared" si="19"/>
        <v>#N/A</v>
      </c>
      <c r="AI148" s="272" t="e">
        <f>IF(AH148&lt;=1,"Remota",VLOOKUP(AH148,[71]Listas!$C$6:$D$10,2,0))</f>
        <v>#N/A</v>
      </c>
      <c r="AJ148" s="271" t="e">
        <f t="shared" si="20"/>
        <v>#N/A</v>
      </c>
      <c r="AK148" s="272" t="e">
        <f>IF(AJ148&lt;=1,"Insignificante",HLOOKUP(AJ148,[71]Listas!$F$3:$J$4,2,0))</f>
        <v>#N/A</v>
      </c>
      <c r="AL148" s="273" t="e">
        <f t="shared" si="21"/>
        <v>#N/A</v>
      </c>
      <c r="AM148" s="270" t="e">
        <f>INDEX([71]Listas!$F$6:$J$10,MATCH(AI148,[71]Listas!$D$6:$D$10,0),MATCH(AK148,[71]Listas!$F$4:$J$4,0))</f>
        <v>#N/A</v>
      </c>
      <c r="AN148" s="259"/>
      <c r="AO148" s="259"/>
      <c r="AP148" s="610"/>
      <c r="AQ148" s="259"/>
      <c r="AR148" s="259" t="s">
        <v>2343</v>
      </c>
      <c r="AS148" s="608"/>
      <c r="AT148" s="259"/>
      <c r="AU148" s="259"/>
      <c r="AV148" s="261"/>
      <c r="AW148" s="261"/>
      <c r="AX148" s="608"/>
      <c r="AY148" s="262"/>
    </row>
    <row r="149" spans="1:1027" s="260" customFormat="1" ht="103.5" hidden="1" customHeight="1">
      <c r="A149" s="608"/>
      <c r="B149" s="266"/>
      <c r="C149" s="1399"/>
      <c r="D149" s="1408"/>
      <c r="E149" s="1400"/>
      <c r="F149" s="267"/>
      <c r="G149" s="1399"/>
      <c r="H149" s="1408"/>
      <c r="I149" s="1400"/>
      <c r="J149" s="1380"/>
      <c r="K149" s="1380"/>
      <c r="L149" s="1380"/>
      <c r="M149" s="608"/>
      <c r="N149" s="608"/>
      <c r="O149" s="608"/>
      <c r="P149" s="608"/>
      <c r="Q149" s="266"/>
      <c r="R149" s="266"/>
      <c r="S149" s="268"/>
      <c r="T149" s="269" t="e">
        <f>VLOOKUP(Q149,[71]Listas!$D$6:$E$10,2,0)</f>
        <v>#N/A</v>
      </c>
      <c r="U149" s="269" t="e">
        <f>HLOOKUP(R149,[71]Listas!$F$4:$J$5,2,0)</f>
        <v>#N/A</v>
      </c>
      <c r="V149" s="270" t="e">
        <f>INDEX([71]Listas!$F$6:$J$10,MATCH(Q149,[71]Listas!$D$6:$D$10,0),MATCH(R149,[71]Listas!$F$4:$J$4,0))</f>
        <v>#N/A</v>
      </c>
      <c r="W149" s="268"/>
      <c r="X149" s="1399"/>
      <c r="Y149" s="1408"/>
      <c r="Z149" s="1400"/>
      <c r="AA149" s="1063"/>
      <c r="AB149" s="267"/>
      <c r="AC149" s="259"/>
      <c r="AD149" s="608"/>
      <c r="AE149" s="267"/>
      <c r="AF149" s="268"/>
      <c r="AG149" s="269">
        <f t="shared" si="18"/>
        <v>0</v>
      </c>
      <c r="AH149" s="271" t="e">
        <f t="shared" si="19"/>
        <v>#N/A</v>
      </c>
      <c r="AI149" s="272" t="e">
        <f>IF(AH149&lt;=1,"Remota",VLOOKUP(AH149,[71]Listas!$C$6:$D$10,2,0))</f>
        <v>#N/A</v>
      </c>
      <c r="AJ149" s="271" t="e">
        <f t="shared" si="20"/>
        <v>#N/A</v>
      </c>
      <c r="AK149" s="272" t="e">
        <f>IF(AJ149&lt;=1,"Insignificante",HLOOKUP(AJ149,[71]Listas!$F$3:$J$4,2,0))</f>
        <v>#N/A</v>
      </c>
      <c r="AL149" s="273" t="e">
        <f t="shared" si="21"/>
        <v>#N/A</v>
      </c>
      <c r="AM149" s="270" t="e">
        <f>INDEX([71]Listas!$F$6:$J$10,MATCH(AI149,[71]Listas!$D$6:$D$10,0),MATCH(AK149,[71]Listas!$F$4:$J$4,0))</f>
        <v>#N/A</v>
      </c>
      <c r="AN149" s="259"/>
      <c r="AO149" s="259"/>
      <c r="AP149" s="610"/>
      <c r="AQ149" s="259"/>
      <c r="AR149" s="259" t="s">
        <v>2343</v>
      </c>
      <c r="AS149" s="608"/>
      <c r="AT149" s="259"/>
      <c r="AU149" s="259"/>
      <c r="AV149" s="261"/>
      <c r="AW149" s="261"/>
      <c r="AX149" s="608"/>
      <c r="AY149" s="262"/>
    </row>
    <row r="150" spans="1:1027" s="260" customFormat="1" ht="103.5" hidden="1" customHeight="1">
      <c r="A150" s="608"/>
      <c r="B150" s="266"/>
      <c r="C150" s="1399"/>
      <c r="D150" s="1408"/>
      <c r="E150" s="1400"/>
      <c r="F150" s="267"/>
      <c r="G150" s="1399"/>
      <c r="H150" s="1408"/>
      <c r="I150" s="1400"/>
      <c r="J150" s="1380"/>
      <c r="K150" s="1380"/>
      <c r="L150" s="1380"/>
      <c r="M150" s="608"/>
      <c r="N150" s="608"/>
      <c r="O150" s="608"/>
      <c r="P150" s="608"/>
      <c r="Q150" s="266"/>
      <c r="R150" s="266"/>
      <c r="S150" s="268"/>
      <c r="T150" s="269" t="e">
        <f>VLOOKUP(Q150,[71]Listas!$D$6:$E$10,2,0)</f>
        <v>#N/A</v>
      </c>
      <c r="U150" s="269" t="e">
        <f>HLOOKUP(R150,[71]Listas!$F$4:$J$5,2,0)</f>
        <v>#N/A</v>
      </c>
      <c r="V150" s="270" t="e">
        <f>INDEX([71]Listas!$F$6:$J$10,MATCH(Q150,[71]Listas!$D$6:$D$10,0),MATCH(R150,[71]Listas!$F$4:$J$4,0))</f>
        <v>#N/A</v>
      </c>
      <c r="W150" s="268"/>
      <c r="X150" s="1399"/>
      <c r="Y150" s="1408"/>
      <c r="Z150" s="1400"/>
      <c r="AA150" s="1063"/>
      <c r="AB150" s="267"/>
      <c r="AC150" s="259"/>
      <c r="AD150" s="608"/>
      <c r="AE150" s="267"/>
      <c r="AF150" s="268"/>
      <c r="AG150" s="269">
        <f t="shared" si="18"/>
        <v>0</v>
      </c>
      <c r="AH150" s="271" t="e">
        <f t="shared" si="19"/>
        <v>#N/A</v>
      </c>
      <c r="AI150" s="272" t="e">
        <f>IF(AH150&lt;=1,"Remota",VLOOKUP(AH150,[71]Listas!$C$6:$D$10,2,0))</f>
        <v>#N/A</v>
      </c>
      <c r="AJ150" s="271" t="e">
        <f t="shared" si="20"/>
        <v>#N/A</v>
      </c>
      <c r="AK150" s="272" t="e">
        <f>IF(AJ150&lt;=1,"Insignificante",HLOOKUP(AJ150,[71]Listas!$F$3:$J$4,2,0))</f>
        <v>#N/A</v>
      </c>
      <c r="AL150" s="273" t="e">
        <f t="shared" si="21"/>
        <v>#N/A</v>
      </c>
      <c r="AM150" s="270" t="e">
        <f>INDEX([71]Listas!$F$6:$J$10,MATCH(AI150,[71]Listas!$D$6:$D$10,0),MATCH(AK150,[71]Listas!$F$4:$J$4,0))</f>
        <v>#N/A</v>
      </c>
      <c r="AN150" s="259"/>
      <c r="AO150" s="259"/>
      <c r="AP150" s="610"/>
      <c r="AQ150" s="259"/>
      <c r="AR150" s="259" t="s">
        <v>2343</v>
      </c>
      <c r="AS150" s="608"/>
      <c r="AT150" s="259"/>
      <c r="AU150" s="259"/>
      <c r="AV150" s="261"/>
      <c r="AW150" s="261"/>
      <c r="AX150" s="608"/>
      <c r="AY150" s="262"/>
    </row>
    <row r="151" spans="1:1027" s="260" customFormat="1" ht="103.5" hidden="1" customHeight="1">
      <c r="A151" s="608"/>
      <c r="B151" s="266"/>
      <c r="C151" s="1399"/>
      <c r="D151" s="1408"/>
      <c r="E151" s="1400"/>
      <c r="F151" s="267"/>
      <c r="G151" s="1399"/>
      <c r="H151" s="1408"/>
      <c r="I151" s="1400"/>
      <c r="J151" s="1380"/>
      <c r="K151" s="1380"/>
      <c r="L151" s="1380"/>
      <c r="M151" s="608"/>
      <c r="N151" s="608"/>
      <c r="O151" s="608"/>
      <c r="P151" s="608"/>
      <c r="Q151" s="266"/>
      <c r="R151" s="266"/>
      <c r="S151" s="268"/>
      <c r="T151" s="269" t="e">
        <f>VLOOKUP(Q151,[71]Listas!$D$6:$E$10,2,0)</f>
        <v>#N/A</v>
      </c>
      <c r="U151" s="269" t="e">
        <f>HLOOKUP(R151,[71]Listas!$F$4:$J$5,2,0)</f>
        <v>#N/A</v>
      </c>
      <c r="V151" s="270" t="e">
        <f>INDEX([71]Listas!$F$6:$J$10,MATCH(Q151,[71]Listas!$D$6:$D$10,0),MATCH(R151,[71]Listas!$F$4:$J$4,0))</f>
        <v>#N/A</v>
      </c>
      <c r="W151" s="268"/>
      <c r="X151" s="1399"/>
      <c r="Y151" s="1408"/>
      <c r="Z151" s="1400"/>
      <c r="AA151" s="1063"/>
      <c r="AB151" s="267"/>
      <c r="AC151" s="259"/>
      <c r="AD151" s="608"/>
      <c r="AE151" s="267"/>
      <c r="AF151" s="268"/>
      <c r="AG151" s="269">
        <f t="shared" si="18"/>
        <v>0</v>
      </c>
      <c r="AH151" s="271" t="e">
        <f t="shared" si="19"/>
        <v>#N/A</v>
      </c>
      <c r="AI151" s="272" t="e">
        <f>IF(AH151&lt;=1,"Remota",VLOOKUP(AH151,[71]Listas!$C$6:$D$10,2,0))</f>
        <v>#N/A</v>
      </c>
      <c r="AJ151" s="271" t="e">
        <f t="shared" si="20"/>
        <v>#N/A</v>
      </c>
      <c r="AK151" s="272" t="e">
        <f>IF(AJ151&lt;=1,"Insignificante",HLOOKUP(AJ151,[71]Listas!$F$3:$J$4,2,0))</f>
        <v>#N/A</v>
      </c>
      <c r="AL151" s="273" t="e">
        <f t="shared" si="21"/>
        <v>#N/A</v>
      </c>
      <c r="AM151" s="270" t="e">
        <f>INDEX([71]Listas!$F$6:$J$10,MATCH(AI151,[71]Listas!$D$6:$D$10,0),MATCH(AK151,[71]Listas!$F$4:$J$4,0))</f>
        <v>#N/A</v>
      </c>
      <c r="AN151" s="259"/>
      <c r="AO151" s="259"/>
      <c r="AP151" s="610"/>
      <c r="AQ151" s="259"/>
      <c r="AR151" s="259" t="s">
        <v>2343</v>
      </c>
      <c r="AS151" s="608"/>
      <c r="AT151" s="259"/>
      <c r="AU151" s="259"/>
      <c r="AV151" s="261"/>
      <c r="AW151" s="261"/>
      <c r="AX151" s="608"/>
      <c r="AY151" s="262"/>
    </row>
    <row r="152" spans="1:1027" s="260" customFormat="1" ht="103.5" hidden="1" customHeight="1">
      <c r="A152" s="608"/>
      <c r="B152" s="266"/>
      <c r="C152" s="1399"/>
      <c r="D152" s="1408"/>
      <c r="E152" s="1400"/>
      <c r="F152" s="267"/>
      <c r="G152" s="1399"/>
      <c r="H152" s="1408"/>
      <c r="I152" s="1400"/>
      <c r="J152" s="1380"/>
      <c r="K152" s="1380"/>
      <c r="L152" s="1380"/>
      <c r="M152" s="608"/>
      <c r="N152" s="608"/>
      <c r="O152" s="608"/>
      <c r="P152" s="608"/>
      <c r="Q152" s="266"/>
      <c r="R152" s="266"/>
      <c r="S152" s="268"/>
      <c r="T152" s="269" t="e">
        <f>VLOOKUP(Q152,[71]Listas!$D$6:$E$10,2,0)</f>
        <v>#N/A</v>
      </c>
      <c r="U152" s="269" t="e">
        <f>HLOOKUP(R152,[71]Listas!$F$4:$J$5,2,0)</f>
        <v>#N/A</v>
      </c>
      <c r="V152" s="270" t="e">
        <f>INDEX([71]Listas!$F$6:$J$10,MATCH(Q152,[71]Listas!$D$6:$D$10,0),MATCH(R152,[71]Listas!$F$4:$J$4,0))</f>
        <v>#N/A</v>
      </c>
      <c r="W152" s="268"/>
      <c r="X152" s="1399"/>
      <c r="Y152" s="1408"/>
      <c r="Z152" s="1400"/>
      <c r="AA152" s="1063"/>
      <c r="AB152" s="267"/>
      <c r="AC152" s="259"/>
      <c r="AD152" s="608"/>
      <c r="AE152" s="267"/>
      <c r="AF152" s="268"/>
      <c r="AG152" s="269">
        <f t="shared" si="18"/>
        <v>0</v>
      </c>
      <c r="AH152" s="271" t="e">
        <f t="shared" si="19"/>
        <v>#N/A</v>
      </c>
      <c r="AI152" s="272" t="e">
        <f>IF(AH152&lt;=1,"Remota",VLOOKUP(AH152,[71]Listas!$C$6:$D$10,2,0))</f>
        <v>#N/A</v>
      </c>
      <c r="AJ152" s="271" t="e">
        <f t="shared" si="20"/>
        <v>#N/A</v>
      </c>
      <c r="AK152" s="272" t="e">
        <f>IF(AJ152&lt;=1,"Insignificante",HLOOKUP(AJ152,[71]Listas!$F$3:$J$4,2,0))</f>
        <v>#N/A</v>
      </c>
      <c r="AL152" s="273" t="e">
        <f t="shared" si="21"/>
        <v>#N/A</v>
      </c>
      <c r="AM152" s="270" t="e">
        <f>INDEX([71]Listas!$F$6:$J$10,MATCH(AI152,[71]Listas!$D$6:$D$10,0),MATCH(AK152,[71]Listas!$F$4:$J$4,0))</f>
        <v>#N/A</v>
      </c>
      <c r="AN152" s="259"/>
      <c r="AO152" s="259"/>
      <c r="AP152" s="610"/>
      <c r="AQ152" s="259"/>
      <c r="AR152" s="259" t="s">
        <v>2343</v>
      </c>
      <c r="AS152" s="608"/>
      <c r="AT152" s="259"/>
      <c r="AU152" s="259"/>
      <c r="AV152" s="261"/>
      <c r="AW152" s="261"/>
      <c r="AX152" s="608"/>
      <c r="AY152" s="262"/>
    </row>
    <row r="153" spans="1:1027" s="260" customFormat="1" ht="103.5" hidden="1" customHeight="1">
      <c r="A153" s="608"/>
      <c r="B153" s="266"/>
      <c r="C153" s="1399"/>
      <c r="D153" s="1408"/>
      <c r="E153" s="1400"/>
      <c r="F153" s="267"/>
      <c r="G153" s="1399"/>
      <c r="H153" s="1408"/>
      <c r="I153" s="1400"/>
      <c r="J153" s="1380"/>
      <c r="K153" s="1380"/>
      <c r="L153" s="1380"/>
      <c r="M153" s="608"/>
      <c r="N153" s="608"/>
      <c r="O153" s="608"/>
      <c r="P153" s="608"/>
      <c r="Q153" s="266"/>
      <c r="R153" s="266"/>
      <c r="S153" s="268"/>
      <c r="T153" s="269" t="e">
        <f>VLOOKUP(Q153,[71]Listas!$D$6:$E$10,2,0)</f>
        <v>#N/A</v>
      </c>
      <c r="U153" s="269" t="e">
        <f>HLOOKUP(R153,[71]Listas!$F$4:$J$5,2,0)</f>
        <v>#N/A</v>
      </c>
      <c r="V153" s="270" t="e">
        <f>INDEX([71]Listas!$F$6:$J$10,MATCH(Q153,[71]Listas!$D$6:$D$10,0),MATCH(R153,[71]Listas!$F$4:$J$4,0))</f>
        <v>#N/A</v>
      </c>
      <c r="W153" s="268"/>
      <c r="X153" s="1399"/>
      <c r="Y153" s="1408"/>
      <c r="Z153" s="1400"/>
      <c r="AA153" s="1063"/>
      <c r="AB153" s="267"/>
      <c r="AC153" s="259"/>
      <c r="AD153" s="608"/>
      <c r="AE153" s="267"/>
      <c r="AF153" s="268"/>
      <c r="AG153" s="269">
        <f t="shared" si="18"/>
        <v>0</v>
      </c>
      <c r="AH153" s="271" t="e">
        <f t="shared" si="19"/>
        <v>#N/A</v>
      </c>
      <c r="AI153" s="272" t="e">
        <f>IF(AH153&lt;=1,"Remota",VLOOKUP(AH153,[71]Listas!$C$6:$D$10,2,0))</f>
        <v>#N/A</v>
      </c>
      <c r="AJ153" s="271" t="e">
        <f t="shared" si="20"/>
        <v>#N/A</v>
      </c>
      <c r="AK153" s="272" t="e">
        <f>IF(AJ153&lt;=1,"Insignificante",HLOOKUP(AJ153,[71]Listas!$F$3:$J$4,2,0))</f>
        <v>#N/A</v>
      </c>
      <c r="AL153" s="273" t="e">
        <f t="shared" si="21"/>
        <v>#N/A</v>
      </c>
      <c r="AM153" s="270" t="e">
        <f>INDEX([71]Listas!$F$6:$J$10,MATCH(AI153,[71]Listas!$D$6:$D$10,0),MATCH(AK153,[71]Listas!$F$4:$J$4,0))</f>
        <v>#N/A</v>
      </c>
      <c r="AN153" s="259"/>
      <c r="AO153" s="259"/>
      <c r="AP153" s="610"/>
      <c r="AQ153" s="259"/>
      <c r="AR153" s="259" t="s">
        <v>2343</v>
      </c>
      <c r="AS153" s="608"/>
      <c r="AT153" s="259"/>
      <c r="AU153" s="259"/>
      <c r="AV153" s="261"/>
      <c r="AW153" s="261"/>
      <c r="AX153" s="608"/>
      <c r="AY153" s="262"/>
    </row>
    <row r="154" spans="1:1027" s="260" customFormat="1" ht="103.5" hidden="1" customHeight="1">
      <c r="A154" s="608"/>
      <c r="B154" s="266"/>
      <c r="C154" s="1399"/>
      <c r="D154" s="1408"/>
      <c r="E154" s="1400"/>
      <c r="F154" s="267"/>
      <c r="G154" s="1399"/>
      <c r="H154" s="1408"/>
      <c r="I154" s="1400"/>
      <c r="J154" s="1380"/>
      <c r="K154" s="1380"/>
      <c r="L154" s="1380"/>
      <c r="M154" s="608"/>
      <c r="N154" s="608"/>
      <c r="O154" s="608"/>
      <c r="P154" s="608"/>
      <c r="Q154" s="266"/>
      <c r="R154" s="266"/>
      <c r="S154" s="268"/>
      <c r="T154" s="269" t="e">
        <f>VLOOKUP(Q154,[71]Listas!$D$6:$E$10,2,0)</f>
        <v>#N/A</v>
      </c>
      <c r="U154" s="269" t="e">
        <f>HLOOKUP(R154,[71]Listas!$F$4:$J$5,2,0)</f>
        <v>#N/A</v>
      </c>
      <c r="V154" s="270" t="e">
        <f>INDEX([71]Listas!$F$6:$J$10,MATCH(Q154,[71]Listas!$D$6:$D$10,0),MATCH(R154,[71]Listas!$F$4:$J$4,0))</f>
        <v>#N/A</v>
      </c>
      <c r="W154" s="268"/>
      <c r="X154" s="1399"/>
      <c r="Y154" s="1408"/>
      <c r="Z154" s="1400"/>
      <c r="AA154" s="1063"/>
      <c r="AB154" s="267"/>
      <c r="AC154" s="259"/>
      <c r="AD154" s="608"/>
      <c r="AE154" s="267"/>
      <c r="AF154" s="268"/>
      <c r="AG154" s="269">
        <f t="shared" si="18"/>
        <v>0</v>
      </c>
      <c r="AH154" s="271" t="e">
        <f t="shared" si="19"/>
        <v>#N/A</v>
      </c>
      <c r="AI154" s="272" t="e">
        <f>IF(AH154&lt;=1,"Remota",VLOOKUP(AH154,[71]Listas!$C$6:$D$10,2,0))</f>
        <v>#N/A</v>
      </c>
      <c r="AJ154" s="271" t="e">
        <f t="shared" si="20"/>
        <v>#N/A</v>
      </c>
      <c r="AK154" s="272" t="e">
        <f>IF(AJ154&lt;=1,"Insignificante",HLOOKUP(AJ154,[71]Listas!$F$3:$J$4,2,0))</f>
        <v>#N/A</v>
      </c>
      <c r="AL154" s="273" t="e">
        <f t="shared" si="21"/>
        <v>#N/A</v>
      </c>
      <c r="AM154" s="270" t="e">
        <f>INDEX([71]Listas!$F$6:$J$10,MATCH(AI154,[71]Listas!$D$6:$D$10,0),MATCH(AK154,[71]Listas!$F$4:$J$4,0))</f>
        <v>#N/A</v>
      </c>
      <c r="AN154" s="259"/>
      <c r="AO154" s="259"/>
      <c r="AP154" s="610"/>
      <c r="AQ154" s="259"/>
      <c r="AR154" s="259" t="s">
        <v>2343</v>
      </c>
      <c r="AS154" s="608"/>
      <c r="AT154" s="259"/>
      <c r="AU154" s="259"/>
      <c r="AV154" s="261"/>
      <c r="AW154" s="261"/>
      <c r="AX154" s="608"/>
      <c r="AY154" s="262"/>
    </row>
    <row r="155" spans="1:1027" s="260" customFormat="1" ht="103.5" hidden="1" customHeight="1">
      <c r="A155" s="608"/>
      <c r="B155" s="266"/>
      <c r="C155" s="1399"/>
      <c r="D155" s="1408"/>
      <c r="E155" s="1400"/>
      <c r="F155" s="267"/>
      <c r="G155" s="1399"/>
      <c r="H155" s="1408"/>
      <c r="I155" s="1400"/>
      <c r="J155" s="1380"/>
      <c r="K155" s="1380"/>
      <c r="L155" s="1380"/>
      <c r="M155" s="608"/>
      <c r="N155" s="608"/>
      <c r="O155" s="608"/>
      <c r="P155" s="608"/>
      <c r="Q155" s="266"/>
      <c r="R155" s="266"/>
      <c r="S155" s="268"/>
      <c r="T155" s="269" t="e">
        <f>VLOOKUP(Q155,[71]Listas!$D$6:$E$10,2,0)</f>
        <v>#N/A</v>
      </c>
      <c r="U155" s="269" t="e">
        <f>HLOOKUP(R155,[71]Listas!$F$4:$J$5,2,0)</f>
        <v>#N/A</v>
      </c>
      <c r="V155" s="270" t="e">
        <f>INDEX([71]Listas!$F$6:$J$10,MATCH(Q155,[71]Listas!$D$6:$D$10,0),MATCH(R155,[71]Listas!$F$4:$J$4,0))</f>
        <v>#N/A</v>
      </c>
      <c r="W155" s="268"/>
      <c r="X155" s="1399"/>
      <c r="Y155" s="1408"/>
      <c r="Z155" s="1400"/>
      <c r="AA155" s="1063"/>
      <c r="AB155" s="267"/>
      <c r="AC155" s="259"/>
      <c r="AD155" s="608"/>
      <c r="AE155" s="267"/>
      <c r="AF155" s="268"/>
      <c r="AG155" s="269">
        <f t="shared" si="18"/>
        <v>0</v>
      </c>
      <c r="AH155" s="271" t="e">
        <f t="shared" si="19"/>
        <v>#N/A</v>
      </c>
      <c r="AI155" s="272" t="e">
        <f>IF(AH155&lt;=1,"Remota",VLOOKUP(AH155,[71]Listas!$C$6:$D$10,2,0))</f>
        <v>#N/A</v>
      </c>
      <c r="AJ155" s="271" t="e">
        <f t="shared" si="20"/>
        <v>#N/A</v>
      </c>
      <c r="AK155" s="272" t="e">
        <f>IF(AJ155&lt;=1,"Insignificante",HLOOKUP(AJ155,[71]Listas!$F$3:$J$4,2,0))</f>
        <v>#N/A</v>
      </c>
      <c r="AL155" s="273" t="e">
        <f t="shared" si="21"/>
        <v>#N/A</v>
      </c>
      <c r="AM155" s="270" t="e">
        <f>INDEX([71]Listas!$F$6:$J$10,MATCH(AI155,[71]Listas!$D$6:$D$10,0),MATCH(AK155,[71]Listas!$F$4:$J$4,0))</f>
        <v>#N/A</v>
      </c>
      <c r="AN155" s="259"/>
      <c r="AO155" s="259"/>
      <c r="AP155" s="610"/>
      <c r="AQ155" s="259"/>
      <c r="AR155" s="259" t="s">
        <v>2343</v>
      </c>
      <c r="AS155" s="608"/>
      <c r="AT155" s="259"/>
      <c r="AU155" s="259"/>
      <c r="AV155" s="261"/>
      <c r="AW155" s="261"/>
      <c r="AX155" s="608"/>
      <c r="AY155" s="262"/>
    </row>
    <row r="156" spans="1:1027" s="260" customFormat="1" ht="103.5" hidden="1" customHeight="1">
      <c r="A156" s="608"/>
      <c r="B156" s="266"/>
      <c r="C156" s="1399"/>
      <c r="D156" s="1408"/>
      <c r="E156" s="1400"/>
      <c r="F156" s="267"/>
      <c r="G156" s="1399"/>
      <c r="H156" s="1408"/>
      <c r="I156" s="1400"/>
      <c r="J156" s="1380"/>
      <c r="K156" s="1380"/>
      <c r="L156" s="1380"/>
      <c r="M156" s="608"/>
      <c r="N156" s="608"/>
      <c r="O156" s="608"/>
      <c r="P156" s="608"/>
      <c r="Q156" s="266"/>
      <c r="R156" s="266"/>
      <c r="S156" s="268"/>
      <c r="T156" s="269" t="e">
        <f>VLOOKUP(Q156,[71]Listas!$D$6:$E$10,2,0)</f>
        <v>#N/A</v>
      </c>
      <c r="U156" s="269" t="e">
        <f>HLOOKUP(R156,[71]Listas!$F$4:$J$5,2,0)</f>
        <v>#N/A</v>
      </c>
      <c r="V156" s="270" t="e">
        <f>INDEX([71]Listas!$F$6:$J$10,MATCH(Q156,[71]Listas!$D$6:$D$10,0),MATCH(R156,[71]Listas!$F$4:$J$4,0))</f>
        <v>#N/A</v>
      </c>
      <c r="W156" s="268"/>
      <c r="X156" s="1399"/>
      <c r="Y156" s="1408"/>
      <c r="Z156" s="1400"/>
      <c r="AA156" s="1063"/>
      <c r="AB156" s="267"/>
      <c r="AC156" s="259"/>
      <c r="AD156" s="608"/>
      <c r="AE156" s="267"/>
      <c r="AF156" s="268"/>
      <c r="AG156" s="269">
        <f t="shared" si="18"/>
        <v>0</v>
      </c>
      <c r="AH156" s="271" t="e">
        <f t="shared" si="19"/>
        <v>#N/A</v>
      </c>
      <c r="AI156" s="272" t="e">
        <f>IF(AH156&lt;=1,"Remota",VLOOKUP(AH156,[71]Listas!$C$6:$D$10,2,0))</f>
        <v>#N/A</v>
      </c>
      <c r="AJ156" s="271" t="e">
        <f t="shared" si="20"/>
        <v>#N/A</v>
      </c>
      <c r="AK156" s="272" t="e">
        <f>IF(AJ156&lt;=1,"Insignificante",HLOOKUP(AJ156,[71]Listas!$F$3:$J$4,2,0))</f>
        <v>#N/A</v>
      </c>
      <c r="AL156" s="273" t="e">
        <f t="shared" si="21"/>
        <v>#N/A</v>
      </c>
      <c r="AM156" s="270" t="e">
        <f>INDEX([71]Listas!$F$6:$J$10,MATCH(AI156,[71]Listas!$D$6:$D$10,0),MATCH(AK156,[71]Listas!$F$4:$J$4,0))</f>
        <v>#N/A</v>
      </c>
      <c r="AN156" s="259"/>
      <c r="AO156" s="259"/>
      <c r="AP156" s="610"/>
      <c r="AQ156" s="259"/>
      <c r="AR156" s="259" t="s">
        <v>2343</v>
      </c>
      <c r="AS156" s="608"/>
      <c r="AT156" s="259"/>
      <c r="AU156" s="259"/>
      <c r="AV156" s="261"/>
      <c r="AW156" s="261"/>
      <c r="AX156" s="608"/>
      <c r="AY156" s="262"/>
    </row>
    <row r="157" spans="1:1027" s="260" customFormat="1" ht="103.5" hidden="1" customHeight="1">
      <c r="A157" s="608"/>
      <c r="B157" s="266"/>
      <c r="C157" s="1399"/>
      <c r="D157" s="1408"/>
      <c r="E157" s="1400"/>
      <c r="F157" s="267"/>
      <c r="G157" s="1399"/>
      <c r="H157" s="1408"/>
      <c r="I157" s="1400"/>
      <c r="J157" s="1380"/>
      <c r="K157" s="1380"/>
      <c r="L157" s="1380"/>
      <c r="M157" s="608"/>
      <c r="N157" s="608"/>
      <c r="O157" s="608"/>
      <c r="P157" s="608"/>
      <c r="Q157" s="266"/>
      <c r="R157" s="266"/>
      <c r="S157" s="268"/>
      <c r="T157" s="269" t="e">
        <f>VLOOKUP(Q157,[71]Listas!$D$6:$E$10,2,0)</f>
        <v>#N/A</v>
      </c>
      <c r="U157" s="269" t="e">
        <f>HLOOKUP(R157,[71]Listas!$F$4:$J$5,2,0)</f>
        <v>#N/A</v>
      </c>
      <c r="V157" s="270" t="e">
        <f>INDEX([71]Listas!$F$6:$J$10,MATCH(Q157,[71]Listas!$D$6:$D$10,0),MATCH(R157,[71]Listas!$F$4:$J$4,0))</f>
        <v>#N/A</v>
      </c>
      <c r="W157" s="268"/>
      <c r="X157" s="1399"/>
      <c r="Y157" s="1408"/>
      <c r="Z157" s="1400"/>
      <c r="AA157" s="1063"/>
      <c r="AB157" s="267"/>
      <c r="AC157" s="259"/>
      <c r="AD157" s="608"/>
      <c r="AE157" s="267"/>
      <c r="AF157" s="268"/>
      <c r="AG157" s="269">
        <f t="shared" si="18"/>
        <v>0</v>
      </c>
      <c r="AH157" s="271" t="e">
        <f t="shared" si="19"/>
        <v>#N/A</v>
      </c>
      <c r="AI157" s="272" t="e">
        <f>IF(AH157&lt;=1,"Remota",VLOOKUP(AH157,[71]Listas!$C$6:$D$10,2,0))</f>
        <v>#N/A</v>
      </c>
      <c r="AJ157" s="271" t="e">
        <f t="shared" si="20"/>
        <v>#N/A</v>
      </c>
      <c r="AK157" s="272" t="e">
        <f>IF(AJ157&lt;=1,"Insignificante",HLOOKUP(AJ157,[71]Listas!$F$3:$J$4,2,0))</f>
        <v>#N/A</v>
      </c>
      <c r="AL157" s="273" t="e">
        <f t="shared" si="21"/>
        <v>#N/A</v>
      </c>
      <c r="AM157" s="270" t="e">
        <f>INDEX([71]Listas!$F$6:$J$10,MATCH(AI157,[71]Listas!$D$6:$D$10,0),MATCH(AK157,[71]Listas!$F$4:$J$4,0))</f>
        <v>#N/A</v>
      </c>
      <c r="AN157" s="259"/>
      <c r="AO157" s="259"/>
      <c r="AP157" s="610"/>
      <c r="AQ157" s="259"/>
      <c r="AR157" s="259" t="s">
        <v>2343</v>
      </c>
      <c r="AS157" s="608"/>
      <c r="AT157" s="259"/>
      <c r="AU157" s="259"/>
      <c r="AV157" s="261"/>
      <c r="AW157" s="261"/>
      <c r="AX157" s="608"/>
      <c r="AY157" s="262"/>
    </row>
    <row r="158" spans="1:1027" ht="5.25" customHeight="1">
      <c r="A158" s="275"/>
      <c r="B158" s="276"/>
      <c r="C158" s="276"/>
      <c r="D158" s="276"/>
      <c r="E158" s="275"/>
      <c r="F158" s="275"/>
      <c r="G158" s="277"/>
      <c r="H158" s="277"/>
      <c r="I158" s="277"/>
      <c r="J158" s="275"/>
      <c r="K158" s="275"/>
      <c r="L158" s="278"/>
      <c r="M158" s="278"/>
      <c r="N158" s="278"/>
      <c r="O158" s="278"/>
      <c r="P158" s="278"/>
      <c r="Q158" s="278"/>
      <c r="R158" s="278"/>
      <c r="S158" s="278"/>
      <c r="T158" s="278"/>
      <c r="U158" s="278"/>
      <c r="V158" s="275"/>
      <c r="W158" s="275"/>
      <c r="X158" s="277"/>
      <c r="Y158" s="277"/>
      <c r="Z158" s="277"/>
      <c r="AA158" s="277"/>
      <c r="AB158" s="277"/>
      <c r="AC158" s="277"/>
      <c r="AD158" s="275"/>
      <c r="AE158" s="275"/>
      <c r="AF158" s="275"/>
      <c r="AG158" s="275"/>
      <c r="AH158" s="275"/>
      <c r="AI158" s="275"/>
      <c r="AJ158" s="275"/>
      <c r="AK158" s="275"/>
      <c r="AL158" s="275"/>
      <c r="AM158" s="279"/>
      <c r="AN158" s="262"/>
      <c r="AO158" s="262"/>
      <c r="AP158" s="262"/>
      <c r="AQ158" s="262"/>
      <c r="AR158" s="262"/>
      <c r="AS158" s="262"/>
      <c r="AT158" s="262"/>
      <c r="AU158" s="262"/>
      <c r="AV158" s="262"/>
      <c r="AW158" s="262"/>
      <c r="AX158" s="262"/>
      <c r="AY158" s="262"/>
      <c r="AZ158" s="236"/>
      <c r="BA158" s="236"/>
      <c r="BB158" s="236"/>
      <c r="BC158" s="236"/>
      <c r="BD158" s="236"/>
      <c r="BE158" s="236"/>
      <c r="BF158" s="236"/>
      <c r="BG158" s="236"/>
      <c r="BH158" s="236"/>
      <c r="BI158" s="236"/>
      <c r="BJ158" s="236"/>
      <c r="BK158" s="236"/>
      <c r="BL158" s="236"/>
      <c r="BM158" s="236"/>
      <c r="BN158" s="236"/>
      <c r="BO158" s="236"/>
      <c r="BP158" s="236"/>
      <c r="BQ158" s="236"/>
      <c r="BR158" s="236"/>
      <c r="BS158" s="236"/>
      <c r="BT158" s="236"/>
      <c r="BU158" s="236"/>
      <c r="BV158" s="236"/>
      <c r="BW158" s="236"/>
      <c r="BX158" s="236"/>
      <c r="BY158" s="236"/>
      <c r="BZ158" s="236"/>
      <c r="CA158" s="236"/>
      <c r="CB158" s="236"/>
      <c r="CC158" s="236"/>
      <c r="CD158" s="236"/>
      <c r="CE158" s="236"/>
      <c r="CF158" s="236"/>
      <c r="CG158" s="236"/>
      <c r="CH158" s="236"/>
      <c r="CI158" s="236"/>
      <c r="CJ158" s="236"/>
      <c r="CK158" s="236"/>
      <c r="CL158" s="236"/>
      <c r="CM158" s="236"/>
      <c r="CN158" s="236"/>
      <c r="CO158" s="236"/>
      <c r="CP158" s="236"/>
      <c r="CQ158" s="236"/>
      <c r="CR158" s="236"/>
      <c r="CS158" s="236"/>
      <c r="CT158" s="236"/>
      <c r="CU158" s="236"/>
      <c r="CV158" s="236"/>
      <c r="CW158" s="236"/>
      <c r="CX158" s="236"/>
      <c r="CY158" s="236"/>
      <c r="CZ158" s="236"/>
      <c r="DA158" s="236"/>
      <c r="DB158" s="236"/>
      <c r="DC158" s="236"/>
      <c r="DD158" s="236"/>
      <c r="DE158" s="236"/>
      <c r="DF158" s="236"/>
      <c r="DG158" s="236"/>
      <c r="DH158" s="236"/>
      <c r="DI158" s="236"/>
      <c r="DJ158" s="236"/>
      <c r="DK158" s="236"/>
      <c r="DL158" s="236"/>
      <c r="DM158" s="236"/>
      <c r="DN158" s="236"/>
      <c r="DO158" s="236"/>
      <c r="DP158" s="236"/>
      <c r="DQ158" s="236"/>
      <c r="DR158" s="236"/>
      <c r="DS158" s="236"/>
      <c r="DT158" s="236"/>
      <c r="DU158" s="236"/>
      <c r="DV158" s="236"/>
      <c r="DW158" s="236"/>
      <c r="DX158" s="236"/>
      <c r="DY158" s="236"/>
      <c r="DZ158" s="236"/>
      <c r="EA158" s="236"/>
      <c r="EB158" s="236"/>
      <c r="EC158" s="236"/>
      <c r="ED158" s="236"/>
      <c r="EE158" s="236"/>
      <c r="EF158" s="236"/>
      <c r="EG158" s="236"/>
      <c r="EH158" s="236"/>
      <c r="EI158" s="236"/>
      <c r="EJ158" s="236"/>
      <c r="EK158" s="236"/>
      <c r="EL158" s="236"/>
      <c r="EM158" s="236"/>
      <c r="EN158" s="236"/>
      <c r="EO158" s="236"/>
      <c r="EP158" s="236"/>
      <c r="EQ158" s="236"/>
      <c r="ER158" s="236"/>
      <c r="ES158" s="236"/>
      <c r="ET158" s="236"/>
      <c r="EU158" s="236"/>
      <c r="EV158" s="236"/>
      <c r="EW158" s="236"/>
      <c r="EX158" s="236"/>
      <c r="EY158" s="236"/>
      <c r="EZ158" s="236"/>
      <c r="FA158" s="236"/>
      <c r="FB158" s="236"/>
      <c r="FC158" s="236"/>
      <c r="FD158" s="236"/>
      <c r="FE158" s="236"/>
      <c r="FF158" s="236"/>
      <c r="FG158" s="236"/>
      <c r="FH158" s="236"/>
      <c r="FI158" s="236"/>
      <c r="FJ158" s="236"/>
      <c r="FK158" s="236"/>
      <c r="FL158" s="236"/>
      <c r="FM158" s="236"/>
      <c r="FN158" s="236"/>
      <c r="FO158" s="236"/>
      <c r="FP158" s="236"/>
      <c r="FQ158" s="236"/>
      <c r="FR158" s="236"/>
      <c r="FS158" s="236"/>
      <c r="FT158" s="236"/>
      <c r="FU158" s="236"/>
      <c r="FV158" s="236"/>
      <c r="FW158" s="236"/>
      <c r="FX158" s="236"/>
      <c r="FY158" s="236"/>
      <c r="FZ158" s="236"/>
      <c r="GA158" s="236"/>
      <c r="GB158" s="236"/>
      <c r="GC158" s="236"/>
      <c r="GD158" s="236"/>
      <c r="GE158" s="236"/>
      <c r="GF158" s="236"/>
      <c r="GG158" s="236"/>
      <c r="GH158" s="236"/>
      <c r="GI158" s="236"/>
      <c r="GJ158" s="236"/>
      <c r="GK158" s="236"/>
      <c r="GL158" s="236"/>
      <c r="GM158" s="236"/>
      <c r="GN158" s="236"/>
      <c r="GO158" s="236"/>
      <c r="GP158" s="236"/>
      <c r="GQ158" s="236"/>
      <c r="GR158" s="236"/>
      <c r="GS158" s="236"/>
      <c r="GT158" s="236"/>
      <c r="GU158" s="236"/>
      <c r="GV158" s="236"/>
      <c r="GW158" s="236"/>
      <c r="GX158" s="236"/>
      <c r="GY158" s="236"/>
      <c r="GZ158" s="236"/>
      <c r="HA158" s="236"/>
      <c r="HB158" s="236"/>
      <c r="HC158" s="236"/>
      <c r="HD158" s="236"/>
      <c r="HE158" s="236"/>
      <c r="HF158" s="236"/>
      <c r="HG158" s="236"/>
      <c r="HH158" s="236"/>
      <c r="HI158" s="236"/>
      <c r="HJ158" s="236"/>
      <c r="HK158" s="236"/>
      <c r="HL158" s="236"/>
      <c r="HM158" s="236"/>
      <c r="HN158" s="236"/>
      <c r="HO158" s="236"/>
      <c r="HP158" s="236"/>
      <c r="HQ158" s="236"/>
      <c r="HR158" s="236"/>
      <c r="HS158" s="236"/>
      <c r="HT158" s="236"/>
      <c r="HU158" s="236"/>
      <c r="HV158" s="236"/>
      <c r="HW158" s="236"/>
      <c r="HX158" s="236"/>
      <c r="HY158" s="236"/>
      <c r="HZ158" s="236"/>
      <c r="IA158" s="236"/>
      <c r="IB158" s="236"/>
      <c r="IC158" s="236"/>
      <c r="ID158" s="236"/>
      <c r="IE158" s="236"/>
      <c r="IF158" s="236"/>
      <c r="IG158" s="236"/>
      <c r="IH158" s="236"/>
      <c r="II158" s="236"/>
      <c r="IJ158" s="236"/>
      <c r="IK158" s="236"/>
      <c r="IL158" s="236"/>
      <c r="IM158" s="236"/>
      <c r="IN158" s="236"/>
      <c r="IO158" s="236"/>
      <c r="IP158" s="236"/>
      <c r="IQ158" s="236"/>
      <c r="IR158" s="236"/>
      <c r="IS158" s="236"/>
      <c r="IT158" s="236"/>
      <c r="IU158" s="236"/>
      <c r="IV158" s="236"/>
      <c r="IW158" s="236"/>
      <c r="IX158" s="236"/>
      <c r="IY158" s="236"/>
      <c r="IZ158" s="236"/>
      <c r="JA158" s="236"/>
      <c r="JB158" s="236"/>
      <c r="JC158" s="236"/>
      <c r="JD158" s="236"/>
      <c r="JE158" s="236"/>
      <c r="JF158" s="236"/>
      <c r="JG158" s="236"/>
      <c r="JH158" s="236"/>
      <c r="JI158" s="236"/>
      <c r="JJ158" s="236"/>
      <c r="JK158" s="236"/>
      <c r="JL158" s="236"/>
      <c r="JM158" s="236"/>
      <c r="JN158" s="236"/>
      <c r="JO158" s="236"/>
      <c r="JP158" s="236"/>
      <c r="JQ158" s="236"/>
      <c r="JR158" s="236"/>
      <c r="JS158" s="236"/>
      <c r="JT158" s="236"/>
      <c r="JU158" s="236"/>
      <c r="JV158" s="236"/>
      <c r="JW158" s="236"/>
      <c r="JX158" s="236"/>
      <c r="JY158" s="236"/>
      <c r="JZ158" s="236"/>
      <c r="KA158" s="236"/>
      <c r="KB158" s="236"/>
      <c r="KC158" s="236"/>
      <c r="KD158" s="236"/>
      <c r="KE158" s="236"/>
      <c r="KF158" s="236"/>
      <c r="KG158" s="236"/>
      <c r="KH158" s="236"/>
      <c r="KI158" s="236"/>
      <c r="KJ158" s="236"/>
      <c r="KK158" s="236"/>
      <c r="KL158" s="236"/>
      <c r="KM158" s="236"/>
      <c r="KN158" s="236"/>
      <c r="KO158" s="236"/>
      <c r="KP158" s="236"/>
      <c r="KQ158" s="236"/>
      <c r="KR158" s="236"/>
      <c r="KS158" s="236"/>
      <c r="KT158" s="236"/>
      <c r="KU158" s="236"/>
      <c r="KV158" s="236"/>
      <c r="KW158" s="236"/>
      <c r="KX158" s="236"/>
      <c r="KY158" s="236"/>
      <c r="KZ158" s="236"/>
      <c r="LA158" s="236"/>
      <c r="LB158" s="236"/>
      <c r="LC158" s="236"/>
      <c r="LD158" s="236"/>
      <c r="LE158" s="236"/>
      <c r="LF158" s="236"/>
      <c r="LG158" s="236"/>
      <c r="LH158" s="236"/>
      <c r="LI158" s="236"/>
      <c r="LJ158" s="236"/>
      <c r="LK158" s="236"/>
      <c r="LL158" s="236"/>
      <c r="LM158" s="236"/>
      <c r="LN158" s="236"/>
      <c r="LO158" s="236"/>
      <c r="LP158" s="236"/>
      <c r="LQ158" s="236"/>
      <c r="LR158" s="236"/>
      <c r="LS158" s="236"/>
      <c r="LT158" s="236"/>
      <c r="LU158" s="236"/>
      <c r="LV158" s="236"/>
      <c r="LW158" s="236"/>
      <c r="LX158" s="236"/>
      <c r="LY158" s="236"/>
      <c r="LZ158" s="236"/>
      <c r="MA158" s="236"/>
      <c r="MB158" s="236"/>
      <c r="MC158" s="236"/>
      <c r="MD158" s="236"/>
      <c r="ME158" s="236"/>
      <c r="MF158" s="236"/>
      <c r="MG158" s="236"/>
      <c r="MH158" s="236"/>
      <c r="MI158" s="236"/>
      <c r="MJ158" s="236"/>
      <c r="MK158" s="236"/>
      <c r="ML158" s="236"/>
      <c r="MM158" s="236"/>
      <c r="MN158" s="236"/>
      <c r="MO158" s="236"/>
      <c r="MP158" s="236"/>
      <c r="MQ158" s="236"/>
      <c r="MR158" s="236"/>
      <c r="MS158" s="236"/>
      <c r="MT158" s="236"/>
      <c r="MU158" s="236"/>
      <c r="MV158" s="236"/>
      <c r="MW158" s="236"/>
      <c r="MX158" s="236"/>
      <c r="MY158" s="236"/>
      <c r="MZ158" s="236"/>
      <c r="NA158" s="236"/>
      <c r="NB158" s="236"/>
      <c r="NC158" s="236"/>
      <c r="ND158" s="236"/>
      <c r="NE158" s="236"/>
      <c r="NF158" s="236"/>
      <c r="NG158" s="236"/>
      <c r="NH158" s="236"/>
      <c r="NI158" s="236"/>
      <c r="NJ158" s="236"/>
      <c r="NK158" s="236"/>
      <c r="NL158" s="236"/>
      <c r="NM158" s="236"/>
      <c r="NN158" s="236"/>
      <c r="NO158" s="236"/>
      <c r="NP158" s="236"/>
      <c r="NQ158" s="236"/>
      <c r="NR158" s="236"/>
      <c r="NS158" s="236"/>
      <c r="NT158" s="236"/>
      <c r="NU158" s="236"/>
      <c r="NV158" s="236"/>
      <c r="NW158" s="236"/>
      <c r="NX158" s="236"/>
      <c r="NY158" s="236"/>
      <c r="NZ158" s="236"/>
      <c r="OA158" s="236"/>
      <c r="OB158" s="236"/>
      <c r="OC158" s="236"/>
      <c r="OD158" s="236"/>
      <c r="OE158" s="236"/>
      <c r="OF158" s="236"/>
      <c r="OG158" s="236"/>
      <c r="OH158" s="236"/>
      <c r="OI158" s="236"/>
      <c r="OJ158" s="236"/>
      <c r="OK158" s="236"/>
      <c r="OL158" s="236"/>
      <c r="OM158" s="236"/>
      <c r="ON158" s="236"/>
      <c r="OO158" s="236"/>
      <c r="OP158" s="236"/>
      <c r="OQ158" s="236"/>
      <c r="OR158" s="236"/>
      <c r="OS158" s="236"/>
      <c r="OT158" s="236"/>
      <c r="OU158" s="236"/>
      <c r="OV158" s="236"/>
      <c r="OW158" s="236"/>
      <c r="OX158" s="236"/>
      <c r="OY158" s="236"/>
      <c r="OZ158" s="236"/>
      <c r="PA158" s="236"/>
      <c r="PB158" s="236"/>
      <c r="PC158" s="236"/>
      <c r="PD158" s="236"/>
      <c r="PE158" s="236"/>
      <c r="PF158" s="236"/>
      <c r="PG158" s="236"/>
      <c r="PH158" s="236"/>
      <c r="PI158" s="236"/>
      <c r="PJ158" s="236"/>
      <c r="PK158" s="236"/>
      <c r="PL158" s="236"/>
      <c r="PM158" s="236"/>
      <c r="PN158" s="236"/>
      <c r="PO158" s="236"/>
      <c r="PP158" s="236"/>
      <c r="PQ158" s="236"/>
      <c r="PR158" s="236"/>
      <c r="PS158" s="236"/>
      <c r="PT158" s="236"/>
      <c r="PU158" s="236"/>
      <c r="PV158" s="236"/>
      <c r="PW158" s="236"/>
      <c r="PX158" s="236"/>
      <c r="PY158" s="236"/>
      <c r="PZ158" s="236"/>
      <c r="QA158" s="236"/>
      <c r="QB158" s="236"/>
      <c r="QC158" s="236"/>
      <c r="QD158" s="236"/>
      <c r="QE158" s="236"/>
      <c r="QF158" s="236"/>
      <c r="QG158" s="236"/>
      <c r="QH158" s="236"/>
      <c r="QI158" s="236"/>
      <c r="QJ158" s="236"/>
      <c r="QK158" s="236"/>
      <c r="QL158" s="236"/>
      <c r="QM158" s="236"/>
      <c r="QN158" s="236"/>
      <c r="QO158" s="236"/>
      <c r="QP158" s="236"/>
      <c r="QQ158" s="236"/>
      <c r="QR158" s="236"/>
      <c r="QS158" s="236"/>
      <c r="QT158" s="236"/>
      <c r="QU158" s="236"/>
      <c r="QV158" s="236"/>
      <c r="QW158" s="236"/>
      <c r="QX158" s="236"/>
      <c r="QY158" s="236"/>
      <c r="QZ158" s="236"/>
      <c r="RA158" s="236"/>
      <c r="RB158" s="236"/>
      <c r="RC158" s="236"/>
      <c r="RD158" s="236"/>
      <c r="RE158" s="236"/>
      <c r="RF158" s="236"/>
      <c r="RG158" s="236"/>
      <c r="RH158" s="236"/>
      <c r="RI158" s="236"/>
      <c r="RJ158" s="236"/>
      <c r="RK158" s="236"/>
      <c r="RL158" s="236"/>
      <c r="RM158" s="236"/>
      <c r="RN158" s="236"/>
      <c r="RO158" s="236"/>
      <c r="RP158" s="236"/>
      <c r="RQ158" s="236"/>
      <c r="RR158" s="236"/>
      <c r="RS158" s="236"/>
      <c r="RT158" s="236"/>
      <c r="RU158" s="236"/>
      <c r="RV158" s="236"/>
      <c r="RW158" s="236"/>
      <c r="RX158" s="236"/>
      <c r="RY158" s="236"/>
      <c r="RZ158" s="236"/>
      <c r="SA158" s="236"/>
      <c r="SB158" s="236"/>
      <c r="SC158" s="236"/>
      <c r="SD158" s="236"/>
      <c r="SE158" s="236"/>
      <c r="SF158" s="236"/>
      <c r="SG158" s="236"/>
      <c r="SH158" s="236"/>
      <c r="SI158" s="236"/>
      <c r="SJ158" s="236"/>
      <c r="SK158" s="236"/>
      <c r="SL158" s="236"/>
      <c r="SM158" s="236"/>
      <c r="SN158" s="236"/>
      <c r="SO158" s="236"/>
      <c r="SP158" s="236"/>
      <c r="SQ158" s="236"/>
      <c r="SR158" s="236"/>
      <c r="SS158" s="236"/>
      <c r="ST158" s="236"/>
      <c r="SU158" s="236"/>
      <c r="SV158" s="236"/>
      <c r="SW158" s="236"/>
      <c r="SX158" s="236"/>
      <c r="SY158" s="236"/>
      <c r="SZ158" s="236"/>
      <c r="TA158" s="236"/>
      <c r="TB158" s="236"/>
      <c r="TC158" s="236"/>
      <c r="TD158" s="236"/>
      <c r="TE158" s="236"/>
      <c r="TF158" s="236"/>
      <c r="TG158" s="236"/>
      <c r="TH158" s="236"/>
      <c r="TI158" s="236"/>
      <c r="TJ158" s="236"/>
      <c r="TK158" s="236"/>
      <c r="TL158" s="236"/>
      <c r="TM158" s="236"/>
      <c r="TN158" s="236"/>
      <c r="TO158" s="236"/>
      <c r="TP158" s="236"/>
      <c r="TQ158" s="236"/>
      <c r="TR158" s="236"/>
      <c r="TS158" s="236"/>
      <c r="TT158" s="236"/>
      <c r="TU158" s="236"/>
      <c r="TV158" s="236"/>
      <c r="TW158" s="236"/>
      <c r="TX158" s="236"/>
      <c r="TY158" s="236"/>
      <c r="TZ158" s="236"/>
      <c r="UA158" s="236"/>
      <c r="UB158" s="236"/>
      <c r="UC158" s="236"/>
      <c r="UD158" s="236"/>
      <c r="UE158" s="236"/>
      <c r="UF158" s="236"/>
      <c r="UG158" s="236"/>
      <c r="UH158" s="236"/>
      <c r="UI158" s="236"/>
      <c r="UJ158" s="236"/>
      <c r="UK158" s="236"/>
      <c r="UL158" s="236"/>
      <c r="UM158" s="236"/>
      <c r="UN158" s="236"/>
      <c r="UO158" s="236"/>
      <c r="UP158" s="236"/>
      <c r="UQ158" s="236"/>
      <c r="UR158" s="236"/>
      <c r="US158" s="236"/>
      <c r="UT158" s="236"/>
      <c r="UU158" s="236"/>
      <c r="UV158" s="236"/>
      <c r="UW158" s="236"/>
      <c r="UX158" s="236"/>
      <c r="UY158" s="236"/>
      <c r="UZ158" s="236"/>
      <c r="VA158" s="236"/>
      <c r="VB158" s="236"/>
      <c r="VC158" s="236"/>
      <c r="VD158" s="236"/>
      <c r="VE158" s="236"/>
      <c r="VF158" s="236"/>
      <c r="VG158" s="236"/>
      <c r="VH158" s="236"/>
      <c r="VI158" s="236"/>
      <c r="VJ158" s="236"/>
      <c r="VK158" s="236"/>
      <c r="VL158" s="236"/>
      <c r="VM158" s="236"/>
      <c r="VN158" s="236"/>
      <c r="VO158" s="236"/>
      <c r="VP158" s="236"/>
      <c r="VQ158" s="236"/>
      <c r="VR158" s="236"/>
      <c r="VS158" s="236"/>
      <c r="VT158" s="236"/>
      <c r="VU158" s="236"/>
      <c r="VV158" s="236"/>
      <c r="VW158" s="236"/>
      <c r="VX158" s="236"/>
      <c r="VY158" s="236"/>
      <c r="VZ158" s="236"/>
      <c r="WA158" s="236"/>
      <c r="WB158" s="236"/>
      <c r="WC158" s="236"/>
      <c r="WD158" s="236"/>
      <c r="WE158" s="236"/>
      <c r="WF158" s="236"/>
      <c r="WG158" s="236"/>
      <c r="WH158" s="236"/>
      <c r="WI158" s="236"/>
      <c r="WJ158" s="236"/>
      <c r="WK158" s="236"/>
      <c r="WL158" s="236"/>
      <c r="WM158" s="236"/>
      <c r="WN158" s="236"/>
      <c r="WO158" s="236"/>
      <c r="WP158" s="236"/>
      <c r="WQ158" s="236"/>
      <c r="WR158" s="236"/>
      <c r="WS158" s="236"/>
      <c r="WT158" s="236"/>
      <c r="WU158" s="236"/>
      <c r="WV158" s="236"/>
      <c r="WW158" s="236"/>
      <c r="WX158" s="236"/>
      <c r="WY158" s="236"/>
      <c r="WZ158" s="236"/>
      <c r="XA158" s="236"/>
      <c r="XB158" s="236"/>
      <c r="XC158" s="236"/>
      <c r="XD158" s="236"/>
      <c r="XE158" s="236"/>
      <c r="XF158" s="236"/>
      <c r="XG158" s="236"/>
      <c r="XH158" s="236"/>
      <c r="XI158" s="236"/>
      <c r="XJ158" s="236"/>
      <c r="XK158" s="236"/>
      <c r="XL158" s="236"/>
      <c r="XM158" s="236"/>
      <c r="XN158" s="236"/>
      <c r="XO158" s="236"/>
      <c r="XP158" s="236"/>
      <c r="XQ158" s="236"/>
      <c r="XR158" s="236"/>
      <c r="XS158" s="236"/>
      <c r="XT158" s="236"/>
      <c r="XU158" s="236"/>
      <c r="XV158" s="236"/>
      <c r="XW158" s="236"/>
      <c r="XX158" s="236"/>
      <c r="XY158" s="236"/>
      <c r="XZ158" s="236"/>
      <c r="YA158" s="236"/>
      <c r="YB158" s="236"/>
      <c r="YC158" s="236"/>
      <c r="YD158" s="236"/>
      <c r="YE158" s="236"/>
      <c r="YF158" s="236"/>
      <c r="YG158" s="236"/>
      <c r="YH158" s="236"/>
      <c r="YI158" s="236"/>
      <c r="YJ158" s="236"/>
      <c r="YK158" s="236"/>
      <c r="YL158" s="236"/>
      <c r="YM158" s="236"/>
      <c r="YN158" s="236"/>
      <c r="YO158" s="236"/>
      <c r="YP158" s="236"/>
      <c r="YQ158" s="236"/>
      <c r="YR158" s="236"/>
      <c r="YS158" s="236"/>
      <c r="YT158" s="236"/>
      <c r="YU158" s="236"/>
      <c r="YV158" s="236"/>
      <c r="YW158" s="236"/>
      <c r="YX158" s="236"/>
      <c r="YY158" s="236"/>
      <c r="YZ158" s="236"/>
      <c r="ZA158" s="236"/>
      <c r="ZB158" s="236"/>
      <c r="ZC158" s="236"/>
      <c r="ZD158" s="236"/>
      <c r="ZE158" s="236"/>
      <c r="ZF158" s="236"/>
      <c r="ZG158" s="236"/>
      <c r="ZH158" s="236"/>
      <c r="ZI158" s="236"/>
      <c r="ZJ158" s="236"/>
      <c r="ZK158" s="236"/>
      <c r="ZL158" s="236"/>
      <c r="ZM158" s="236"/>
      <c r="ZN158" s="236"/>
      <c r="ZO158" s="236"/>
      <c r="ZP158" s="236"/>
      <c r="ZQ158" s="236"/>
      <c r="ZR158" s="236"/>
      <c r="ZS158" s="236"/>
      <c r="ZT158" s="236"/>
      <c r="ZU158" s="236"/>
      <c r="ZV158" s="236"/>
      <c r="ZW158" s="236"/>
      <c r="ZX158" s="236"/>
      <c r="ZY158" s="236"/>
      <c r="ZZ158" s="236"/>
      <c r="AAA158" s="236"/>
      <c r="AAB158" s="236"/>
      <c r="AAC158" s="236"/>
      <c r="AAD158" s="236"/>
      <c r="AAE158" s="236"/>
      <c r="AAF158" s="236"/>
      <c r="AAG158" s="236"/>
      <c r="AAH158" s="236"/>
      <c r="AAI158" s="236"/>
      <c r="AAJ158" s="236"/>
      <c r="AAK158" s="236"/>
      <c r="AAL158" s="236"/>
      <c r="AAM158" s="236"/>
      <c r="AAN158" s="236"/>
      <c r="AAO158" s="236"/>
      <c r="AAP158" s="236"/>
      <c r="AAQ158" s="236"/>
      <c r="AAR158" s="236"/>
      <c r="AAS158" s="236"/>
      <c r="AAT158" s="236"/>
      <c r="AAU158" s="236"/>
      <c r="AAV158" s="236"/>
      <c r="AAW158" s="236"/>
      <c r="AAX158" s="236"/>
      <c r="AAY158" s="236"/>
      <c r="AAZ158" s="236"/>
      <c r="ABA158" s="236"/>
      <c r="ABB158" s="236"/>
      <c r="ABC158" s="236"/>
      <c r="ABD158" s="236"/>
      <c r="ABE158" s="236"/>
      <c r="ABF158" s="236"/>
      <c r="ABG158" s="236"/>
      <c r="ABH158" s="236"/>
      <c r="ABI158" s="236"/>
      <c r="ABJ158" s="236"/>
      <c r="ABK158" s="236"/>
      <c r="ABL158" s="236"/>
      <c r="ABM158" s="236"/>
      <c r="ABN158" s="236"/>
      <c r="ABO158" s="236"/>
      <c r="ABP158" s="236"/>
      <c r="ABQ158" s="236"/>
      <c r="ABR158" s="236"/>
      <c r="ABS158" s="236"/>
      <c r="ABT158" s="236"/>
      <c r="ABU158" s="236"/>
      <c r="ABV158" s="236"/>
      <c r="ABW158" s="236"/>
      <c r="ABX158" s="236"/>
      <c r="ABY158" s="236"/>
      <c r="ABZ158" s="236"/>
      <c r="ACA158" s="236"/>
      <c r="ACB158" s="236"/>
      <c r="ACC158" s="236"/>
      <c r="ACD158" s="236"/>
      <c r="ACE158" s="236"/>
      <c r="ACF158" s="236"/>
      <c r="ACG158" s="236"/>
      <c r="ACH158" s="236"/>
      <c r="ACI158" s="236"/>
      <c r="ACJ158" s="236"/>
      <c r="ACK158" s="236"/>
      <c r="ACL158" s="236"/>
      <c r="ACM158" s="236"/>
      <c r="ACN158" s="236"/>
      <c r="ACO158" s="236"/>
      <c r="ACP158" s="236"/>
      <c r="ACQ158" s="236"/>
      <c r="ACR158" s="236"/>
      <c r="ACS158" s="236"/>
      <c r="ACT158" s="236"/>
      <c r="ACU158" s="236"/>
      <c r="ACV158" s="236"/>
      <c r="ACW158" s="236"/>
      <c r="ACX158" s="236"/>
      <c r="ACY158" s="236"/>
      <c r="ACZ158" s="236"/>
      <c r="ADA158" s="236"/>
      <c r="ADB158" s="236"/>
      <c r="ADC158" s="236"/>
      <c r="ADD158" s="236"/>
      <c r="ADE158" s="236"/>
      <c r="ADF158" s="236"/>
      <c r="ADG158" s="236"/>
      <c r="ADH158" s="236"/>
      <c r="ADI158" s="236"/>
      <c r="ADJ158" s="236"/>
      <c r="ADK158" s="236"/>
      <c r="ADL158" s="236"/>
      <c r="ADM158" s="236"/>
      <c r="ADN158" s="236"/>
      <c r="ADO158" s="236"/>
      <c r="ADP158" s="236"/>
      <c r="ADQ158" s="236"/>
      <c r="ADR158" s="236"/>
      <c r="ADS158" s="236"/>
      <c r="ADT158" s="236"/>
      <c r="ADU158" s="236"/>
      <c r="ADV158" s="236"/>
      <c r="ADW158" s="236"/>
      <c r="ADX158" s="236"/>
      <c r="ADY158" s="236"/>
      <c r="ADZ158" s="236"/>
      <c r="AEA158" s="236"/>
      <c r="AEB158" s="236"/>
      <c r="AEC158" s="236"/>
      <c r="AED158" s="236"/>
      <c r="AEE158" s="236"/>
      <c r="AEF158" s="236"/>
      <c r="AEG158" s="236"/>
      <c r="AEH158" s="236"/>
      <c r="AEI158" s="236"/>
      <c r="AEJ158" s="236"/>
      <c r="AEK158" s="236"/>
      <c r="AEL158" s="236"/>
      <c r="AEM158" s="236"/>
      <c r="AEN158" s="236"/>
      <c r="AEO158" s="236"/>
      <c r="AEP158" s="236"/>
      <c r="AEQ158" s="236"/>
      <c r="AER158" s="236"/>
      <c r="AES158" s="236"/>
      <c r="AET158" s="236"/>
      <c r="AEU158" s="236"/>
      <c r="AEV158" s="236"/>
      <c r="AEW158" s="236"/>
      <c r="AEX158" s="236"/>
      <c r="AEY158" s="236"/>
      <c r="AEZ158" s="236"/>
      <c r="AFA158" s="236"/>
      <c r="AFB158" s="236"/>
      <c r="AFC158" s="236"/>
      <c r="AFD158" s="236"/>
      <c r="AFE158" s="236"/>
      <c r="AFF158" s="236"/>
      <c r="AFG158" s="236"/>
      <c r="AFH158" s="236"/>
      <c r="AFI158" s="236"/>
      <c r="AFJ158" s="236"/>
      <c r="AFK158" s="236"/>
      <c r="AFL158" s="236"/>
      <c r="AFM158" s="236"/>
      <c r="AFN158" s="236"/>
      <c r="AFO158" s="236"/>
      <c r="AFP158" s="236"/>
      <c r="AFQ158" s="236"/>
      <c r="AFR158" s="236"/>
      <c r="AFS158" s="236"/>
      <c r="AFT158" s="236"/>
      <c r="AFU158" s="236"/>
      <c r="AFV158" s="236"/>
      <c r="AFW158" s="236"/>
      <c r="AFX158" s="236"/>
      <c r="AFY158" s="236"/>
      <c r="AFZ158" s="236"/>
      <c r="AGA158" s="236"/>
      <c r="AGB158" s="236"/>
      <c r="AGC158" s="236"/>
      <c r="AGD158" s="236"/>
      <c r="AGE158" s="236"/>
      <c r="AGF158" s="236"/>
      <c r="AGG158" s="236"/>
      <c r="AGH158" s="236"/>
      <c r="AGI158" s="236"/>
      <c r="AGJ158" s="236"/>
      <c r="AGK158" s="236"/>
      <c r="AGL158" s="236"/>
      <c r="AGM158" s="236"/>
      <c r="AGN158" s="236"/>
      <c r="AGO158" s="236"/>
      <c r="AGP158" s="236"/>
      <c r="AGQ158" s="236"/>
      <c r="AGR158" s="236"/>
      <c r="AGS158" s="236"/>
      <c r="AGT158" s="236"/>
      <c r="AGU158" s="236"/>
      <c r="AGV158" s="236"/>
      <c r="AGW158" s="236"/>
      <c r="AGX158" s="236"/>
      <c r="AGY158" s="236"/>
      <c r="AGZ158" s="236"/>
      <c r="AHA158" s="236"/>
      <c r="AHB158" s="236"/>
      <c r="AHC158" s="236"/>
      <c r="AHD158" s="236"/>
      <c r="AHE158" s="236"/>
      <c r="AHF158" s="236"/>
      <c r="AHG158" s="236"/>
      <c r="AHH158" s="236"/>
      <c r="AHI158" s="236"/>
      <c r="AHJ158" s="236"/>
      <c r="AHK158" s="236"/>
      <c r="AHL158" s="236"/>
      <c r="AHM158" s="236"/>
      <c r="AHN158" s="236"/>
      <c r="AHO158" s="236"/>
      <c r="AHP158" s="236"/>
      <c r="AHQ158" s="236"/>
      <c r="AHR158" s="236"/>
      <c r="AHS158" s="236"/>
      <c r="AHT158" s="236"/>
      <c r="AHU158" s="236"/>
      <c r="AHV158" s="236"/>
      <c r="AHW158" s="236"/>
      <c r="AHX158" s="236"/>
      <c r="AHY158" s="236"/>
      <c r="AHZ158" s="236"/>
      <c r="AIA158" s="236"/>
      <c r="AIB158" s="236"/>
      <c r="AIC158" s="236"/>
      <c r="AID158" s="236"/>
      <c r="AIE158" s="236"/>
      <c r="AIF158" s="236"/>
      <c r="AIG158" s="236"/>
      <c r="AIH158" s="236"/>
      <c r="AII158" s="236"/>
      <c r="AIJ158" s="236"/>
      <c r="AIK158" s="236"/>
      <c r="AIL158" s="236"/>
      <c r="AIM158" s="236"/>
      <c r="AIN158" s="236"/>
      <c r="AIO158" s="236"/>
      <c r="AIP158" s="236"/>
      <c r="AIQ158" s="236"/>
      <c r="AIR158" s="236"/>
      <c r="AIS158" s="236"/>
      <c r="AIT158" s="236"/>
      <c r="AIU158" s="236"/>
      <c r="AIV158" s="236"/>
      <c r="AIW158" s="236"/>
      <c r="AIX158" s="236"/>
      <c r="AIY158" s="236"/>
      <c r="AIZ158" s="236"/>
      <c r="AJA158" s="236"/>
      <c r="AJB158" s="236"/>
      <c r="AJC158" s="236"/>
      <c r="AJD158" s="236"/>
      <c r="AJE158" s="236"/>
      <c r="AJF158" s="236"/>
      <c r="AJG158" s="236"/>
      <c r="AJH158" s="236"/>
      <c r="AJI158" s="236"/>
      <c r="AJJ158" s="236"/>
      <c r="AJK158" s="236"/>
      <c r="AJL158" s="236"/>
      <c r="AJM158" s="236"/>
      <c r="AJN158" s="236"/>
      <c r="AJO158" s="236"/>
      <c r="AJP158" s="236"/>
      <c r="AJQ158" s="236"/>
      <c r="AJR158" s="236"/>
      <c r="AJS158" s="236"/>
      <c r="AJT158" s="236"/>
      <c r="AJU158" s="236"/>
      <c r="AJV158" s="236"/>
      <c r="AJW158" s="236"/>
      <c r="AJX158" s="236"/>
      <c r="AJY158" s="236"/>
      <c r="AJZ158" s="236"/>
      <c r="AKA158" s="236"/>
      <c r="AKB158" s="236"/>
      <c r="AKC158" s="236"/>
      <c r="AKD158" s="236"/>
      <c r="AKE158" s="236"/>
      <c r="AKF158" s="236"/>
      <c r="AKG158" s="236"/>
      <c r="AKH158" s="236"/>
      <c r="AKI158" s="236"/>
      <c r="AKJ158" s="236"/>
      <c r="AKK158" s="236"/>
      <c r="AKL158" s="236"/>
      <c r="AKM158" s="236"/>
      <c r="AKN158" s="236"/>
      <c r="AKO158" s="236"/>
      <c r="AKP158" s="236"/>
      <c r="AKQ158" s="236"/>
      <c r="AKR158" s="236"/>
      <c r="AKS158" s="236"/>
      <c r="AKT158" s="236"/>
      <c r="AKU158" s="236"/>
      <c r="AKV158" s="236"/>
      <c r="AKW158" s="236"/>
      <c r="AKX158" s="236"/>
      <c r="AKY158" s="236"/>
      <c r="AKZ158" s="236"/>
      <c r="ALA158" s="236"/>
      <c r="ALB158" s="236"/>
      <c r="ALC158" s="236"/>
      <c r="ALD158" s="236"/>
      <c r="ALE158" s="236"/>
      <c r="ALF158" s="236"/>
      <c r="ALG158" s="236"/>
      <c r="ALH158" s="236"/>
      <c r="ALI158" s="236"/>
      <c r="ALJ158" s="236"/>
      <c r="ALK158" s="236"/>
      <c r="ALL158" s="236"/>
      <c r="ALM158" s="236"/>
      <c r="ALN158" s="236"/>
      <c r="ALO158" s="236"/>
      <c r="ALP158" s="236"/>
      <c r="ALQ158" s="236"/>
      <c r="ALR158" s="236"/>
      <c r="ALS158" s="236"/>
      <c r="ALT158" s="236"/>
      <c r="ALU158" s="236"/>
      <c r="ALV158" s="236"/>
      <c r="ALW158" s="236"/>
      <c r="ALX158" s="236"/>
      <c r="ALY158" s="236"/>
      <c r="ALZ158" s="236"/>
      <c r="AMA158" s="236"/>
      <c r="AMB158" s="236"/>
      <c r="AMC158" s="236"/>
      <c r="AMD158" s="236"/>
      <c r="AME158" s="236"/>
      <c r="AMF158" s="236"/>
      <c r="AMG158" s="236"/>
      <c r="AMH158" s="236"/>
      <c r="AMI158" s="236"/>
      <c r="AMJ158" s="236"/>
      <c r="AMK158" s="236"/>
      <c r="AML158" s="236"/>
      <c r="AMM158" s="236"/>
    </row>
    <row r="159" spans="1:1027" ht="11.25" customHeight="1">
      <c r="A159" s="1386" t="s">
        <v>649</v>
      </c>
      <c r="B159" s="1387"/>
      <c r="C159" s="1387"/>
      <c r="D159" s="1387"/>
      <c r="E159" s="1387"/>
      <c r="F159" s="1387"/>
      <c r="G159" s="1387"/>
      <c r="H159" s="1387"/>
      <c r="I159" s="1387"/>
      <c r="J159" s="1387"/>
      <c r="K159" s="1387"/>
      <c r="L159" s="1388"/>
      <c r="M159" s="275"/>
      <c r="N159" s="280" t="s">
        <v>650</v>
      </c>
      <c r="O159" s="280"/>
      <c r="P159" s="281"/>
      <c r="Q159" s="281"/>
      <c r="R159" s="281"/>
      <c r="S159" s="281"/>
      <c r="T159" s="281"/>
      <c r="U159" s="281"/>
      <c r="V159" s="281"/>
      <c r="W159" s="281"/>
      <c r="X159" s="282"/>
      <c r="Y159" s="282"/>
      <c r="Z159" s="282"/>
      <c r="AA159" s="282"/>
      <c r="AB159" s="282"/>
      <c r="AC159" s="282"/>
      <c r="AD159" s="281"/>
      <c r="AE159" s="281"/>
      <c r="AF159" s="281"/>
      <c r="AG159" s="281"/>
      <c r="AH159" s="281"/>
      <c r="AI159" s="281"/>
      <c r="AJ159" s="275"/>
      <c r="AK159" s="275"/>
      <c r="AL159" s="275"/>
      <c r="AM159" s="279"/>
      <c r="AN159" s="262"/>
      <c r="AO159" s="262"/>
      <c r="AP159" s="262"/>
      <c r="AQ159" s="262"/>
      <c r="AR159" s="262"/>
      <c r="AS159" s="262"/>
      <c r="AT159" s="262"/>
      <c r="AU159" s="262"/>
      <c r="AV159" s="262"/>
      <c r="AW159" s="262"/>
      <c r="AX159" s="262"/>
      <c r="AY159" s="236"/>
      <c r="AZ159" s="236"/>
      <c r="BA159" s="236"/>
      <c r="BB159" s="236"/>
      <c r="BC159" s="236"/>
      <c r="BD159" s="236"/>
      <c r="BE159" s="236"/>
      <c r="BF159" s="236"/>
      <c r="BG159" s="236"/>
      <c r="BH159" s="236"/>
      <c r="BI159" s="236"/>
      <c r="BJ159" s="236"/>
      <c r="BK159" s="236"/>
      <c r="BL159" s="236"/>
      <c r="BM159" s="236"/>
      <c r="BN159" s="236"/>
      <c r="BO159" s="236"/>
      <c r="BP159" s="236"/>
      <c r="BQ159" s="236"/>
      <c r="BR159" s="236"/>
      <c r="BS159" s="236"/>
      <c r="BT159" s="236"/>
      <c r="BU159" s="236"/>
      <c r="BV159" s="236"/>
      <c r="BW159" s="236"/>
      <c r="BX159" s="236"/>
      <c r="BY159" s="236"/>
      <c r="BZ159" s="236"/>
      <c r="CA159" s="236"/>
      <c r="CB159" s="236"/>
      <c r="CC159" s="236"/>
      <c r="CD159" s="236"/>
      <c r="CE159" s="236"/>
      <c r="CF159" s="236"/>
      <c r="CG159" s="236"/>
      <c r="CH159" s="236"/>
      <c r="CI159" s="236"/>
      <c r="CJ159" s="236"/>
      <c r="CK159" s="236"/>
      <c r="CL159" s="236"/>
      <c r="CM159" s="236"/>
      <c r="CN159" s="236"/>
      <c r="CO159" s="236"/>
      <c r="CP159" s="236"/>
      <c r="CQ159" s="236"/>
      <c r="CR159" s="236"/>
      <c r="CS159" s="236"/>
      <c r="CT159" s="236"/>
      <c r="CU159" s="236"/>
      <c r="CV159" s="236"/>
      <c r="CW159" s="236"/>
      <c r="CX159" s="236"/>
      <c r="CY159" s="236"/>
      <c r="CZ159" s="236"/>
      <c r="DA159" s="236"/>
      <c r="DB159" s="236"/>
      <c r="DC159" s="236"/>
      <c r="DD159" s="236"/>
      <c r="DE159" s="236"/>
      <c r="DF159" s="236"/>
      <c r="DG159" s="236"/>
      <c r="DH159" s="236"/>
      <c r="DI159" s="236"/>
      <c r="DJ159" s="236"/>
      <c r="DK159" s="236"/>
      <c r="DL159" s="236"/>
      <c r="DM159" s="236"/>
      <c r="DN159" s="236"/>
      <c r="DO159" s="236"/>
      <c r="DP159" s="236"/>
      <c r="DQ159" s="236"/>
      <c r="DR159" s="236"/>
      <c r="DS159" s="236"/>
      <c r="DT159" s="236"/>
      <c r="DU159" s="236"/>
      <c r="DV159" s="236"/>
      <c r="DW159" s="236"/>
      <c r="DX159" s="236"/>
      <c r="DY159" s="236"/>
      <c r="DZ159" s="236"/>
      <c r="EA159" s="236"/>
      <c r="EB159" s="236"/>
      <c r="EC159" s="236"/>
      <c r="ED159" s="236"/>
      <c r="EE159" s="236"/>
      <c r="EF159" s="236"/>
      <c r="EG159" s="236"/>
      <c r="EH159" s="236"/>
      <c r="EI159" s="236"/>
      <c r="EJ159" s="236"/>
      <c r="EK159" s="236"/>
      <c r="EL159" s="236"/>
      <c r="EM159" s="236"/>
      <c r="EN159" s="236"/>
      <c r="EO159" s="236"/>
      <c r="EP159" s="236"/>
      <c r="EQ159" s="236"/>
      <c r="ER159" s="236"/>
      <c r="ES159" s="236"/>
      <c r="ET159" s="236"/>
      <c r="EU159" s="236"/>
      <c r="EV159" s="236"/>
      <c r="EW159" s="236"/>
      <c r="EX159" s="236"/>
      <c r="EY159" s="236"/>
      <c r="EZ159" s="236"/>
      <c r="FA159" s="236"/>
      <c r="FB159" s="236"/>
      <c r="FC159" s="236"/>
      <c r="FD159" s="236"/>
      <c r="FE159" s="236"/>
      <c r="FF159" s="236"/>
      <c r="FG159" s="236"/>
      <c r="FH159" s="236"/>
      <c r="FI159" s="236"/>
      <c r="FJ159" s="236"/>
      <c r="FK159" s="236"/>
      <c r="FL159" s="236"/>
      <c r="FM159" s="236"/>
      <c r="FN159" s="236"/>
      <c r="FO159" s="236"/>
      <c r="FP159" s="236"/>
      <c r="FQ159" s="236"/>
      <c r="FR159" s="236"/>
      <c r="FS159" s="236"/>
      <c r="FT159" s="236"/>
      <c r="FU159" s="236"/>
      <c r="FV159" s="236"/>
      <c r="FW159" s="236"/>
      <c r="FX159" s="236"/>
      <c r="FY159" s="236"/>
      <c r="FZ159" s="236"/>
      <c r="GA159" s="236"/>
      <c r="GB159" s="236"/>
      <c r="GC159" s="236"/>
      <c r="GD159" s="236"/>
      <c r="GE159" s="236"/>
      <c r="GF159" s="236"/>
      <c r="GG159" s="236"/>
      <c r="GH159" s="236"/>
      <c r="GI159" s="236"/>
      <c r="GJ159" s="236"/>
      <c r="GK159" s="236"/>
      <c r="GL159" s="236"/>
      <c r="GM159" s="236"/>
      <c r="GN159" s="236"/>
      <c r="GO159" s="236"/>
      <c r="GP159" s="236"/>
      <c r="GQ159" s="236"/>
      <c r="GR159" s="236"/>
      <c r="GS159" s="236"/>
      <c r="GT159" s="236"/>
      <c r="GU159" s="236"/>
      <c r="GV159" s="236"/>
      <c r="GW159" s="236"/>
      <c r="GX159" s="236"/>
      <c r="GY159" s="236"/>
      <c r="GZ159" s="236"/>
      <c r="HA159" s="236"/>
      <c r="HB159" s="236"/>
      <c r="HC159" s="236"/>
      <c r="HD159" s="236"/>
      <c r="HE159" s="236"/>
      <c r="HF159" s="236"/>
      <c r="HG159" s="236"/>
      <c r="HH159" s="236"/>
      <c r="HI159" s="236"/>
      <c r="HJ159" s="236"/>
      <c r="HK159" s="236"/>
      <c r="HL159" s="236"/>
      <c r="HM159" s="236"/>
      <c r="HN159" s="236"/>
      <c r="HO159" s="236"/>
      <c r="HP159" s="236"/>
      <c r="HQ159" s="236"/>
      <c r="HR159" s="236"/>
      <c r="HS159" s="236"/>
      <c r="HT159" s="236"/>
      <c r="HU159" s="236"/>
      <c r="HV159" s="236"/>
      <c r="HW159" s="236"/>
      <c r="HX159" s="236"/>
      <c r="HY159" s="236"/>
      <c r="HZ159" s="236"/>
      <c r="IA159" s="236"/>
      <c r="IB159" s="236"/>
      <c r="IC159" s="236"/>
      <c r="ID159" s="236"/>
      <c r="IE159" s="236"/>
      <c r="IF159" s="236"/>
      <c r="IG159" s="236"/>
      <c r="IH159" s="236"/>
      <c r="II159" s="236"/>
      <c r="IJ159" s="236"/>
      <c r="IK159" s="236"/>
      <c r="IL159" s="236"/>
      <c r="IM159" s="236"/>
      <c r="IN159" s="236"/>
      <c r="IO159" s="236"/>
      <c r="IP159" s="236"/>
      <c r="IQ159" s="236"/>
      <c r="IR159" s="236"/>
      <c r="IS159" s="236"/>
      <c r="IT159" s="236"/>
      <c r="IU159" s="236"/>
      <c r="IV159" s="236"/>
      <c r="IW159" s="236"/>
      <c r="IX159" s="236"/>
      <c r="IY159" s="236"/>
      <c r="IZ159" s="236"/>
      <c r="JA159" s="236"/>
      <c r="JB159" s="236"/>
      <c r="JC159" s="236"/>
      <c r="JD159" s="236"/>
      <c r="JE159" s="236"/>
      <c r="JF159" s="236"/>
      <c r="JG159" s="236"/>
      <c r="JH159" s="236"/>
      <c r="JI159" s="236"/>
      <c r="JJ159" s="236"/>
      <c r="JK159" s="236"/>
      <c r="JL159" s="236"/>
      <c r="JM159" s="236"/>
      <c r="JN159" s="236"/>
      <c r="JO159" s="236"/>
      <c r="JP159" s="236"/>
      <c r="JQ159" s="236"/>
      <c r="JR159" s="236"/>
      <c r="JS159" s="236"/>
      <c r="JT159" s="236"/>
      <c r="JU159" s="236"/>
      <c r="JV159" s="236"/>
      <c r="JW159" s="236"/>
      <c r="JX159" s="236"/>
      <c r="JY159" s="236"/>
      <c r="JZ159" s="236"/>
      <c r="KA159" s="236"/>
      <c r="KB159" s="236"/>
      <c r="KC159" s="236"/>
      <c r="KD159" s="236"/>
      <c r="KE159" s="236"/>
      <c r="KF159" s="236"/>
      <c r="KG159" s="236"/>
      <c r="KH159" s="236"/>
      <c r="KI159" s="236"/>
      <c r="KJ159" s="236"/>
      <c r="KK159" s="236"/>
      <c r="KL159" s="236"/>
      <c r="KM159" s="236"/>
      <c r="KN159" s="236"/>
      <c r="KO159" s="236"/>
      <c r="KP159" s="236"/>
      <c r="KQ159" s="236"/>
      <c r="KR159" s="236"/>
      <c r="KS159" s="236"/>
      <c r="KT159" s="236"/>
      <c r="KU159" s="236"/>
      <c r="KV159" s="236"/>
      <c r="KW159" s="236"/>
      <c r="KX159" s="236"/>
      <c r="KY159" s="236"/>
      <c r="KZ159" s="236"/>
      <c r="LA159" s="236"/>
      <c r="LB159" s="236"/>
      <c r="LC159" s="236"/>
      <c r="LD159" s="236"/>
      <c r="LE159" s="236"/>
      <c r="LF159" s="236"/>
      <c r="LG159" s="236"/>
      <c r="LH159" s="236"/>
      <c r="LI159" s="236"/>
      <c r="LJ159" s="236"/>
      <c r="LK159" s="236"/>
      <c r="LL159" s="236"/>
      <c r="LM159" s="236"/>
      <c r="LN159" s="236"/>
      <c r="LO159" s="236"/>
      <c r="LP159" s="236"/>
      <c r="LQ159" s="236"/>
      <c r="LR159" s="236"/>
      <c r="LS159" s="236"/>
      <c r="LT159" s="236"/>
      <c r="LU159" s="236"/>
      <c r="LV159" s="236"/>
      <c r="LW159" s="236"/>
      <c r="LX159" s="236"/>
      <c r="LY159" s="236"/>
      <c r="LZ159" s="236"/>
      <c r="MA159" s="236"/>
      <c r="MB159" s="236"/>
      <c r="MC159" s="236"/>
      <c r="MD159" s="236"/>
      <c r="ME159" s="236"/>
      <c r="MF159" s="236"/>
      <c r="MG159" s="236"/>
      <c r="MH159" s="236"/>
      <c r="MI159" s="236"/>
      <c r="MJ159" s="236"/>
      <c r="MK159" s="236"/>
      <c r="ML159" s="236"/>
      <c r="MM159" s="236"/>
      <c r="MN159" s="236"/>
      <c r="MO159" s="236"/>
      <c r="MP159" s="236"/>
      <c r="MQ159" s="236"/>
      <c r="MR159" s="236"/>
      <c r="MS159" s="236"/>
      <c r="MT159" s="236"/>
      <c r="MU159" s="236"/>
      <c r="MV159" s="236"/>
      <c r="MW159" s="236"/>
      <c r="MX159" s="236"/>
      <c r="MY159" s="236"/>
      <c r="MZ159" s="236"/>
      <c r="NA159" s="236"/>
      <c r="NB159" s="236"/>
      <c r="NC159" s="236"/>
      <c r="ND159" s="236"/>
      <c r="NE159" s="236"/>
      <c r="NF159" s="236"/>
      <c r="NG159" s="236"/>
      <c r="NH159" s="236"/>
      <c r="NI159" s="236"/>
      <c r="NJ159" s="236"/>
      <c r="NK159" s="236"/>
      <c r="NL159" s="236"/>
      <c r="NM159" s="236"/>
      <c r="NN159" s="236"/>
      <c r="NO159" s="236"/>
      <c r="NP159" s="236"/>
      <c r="NQ159" s="236"/>
      <c r="NR159" s="236"/>
      <c r="NS159" s="236"/>
      <c r="NT159" s="236"/>
      <c r="NU159" s="236"/>
      <c r="NV159" s="236"/>
      <c r="NW159" s="236"/>
      <c r="NX159" s="236"/>
      <c r="NY159" s="236"/>
      <c r="NZ159" s="236"/>
      <c r="OA159" s="236"/>
      <c r="OB159" s="236"/>
      <c r="OC159" s="236"/>
      <c r="OD159" s="236"/>
      <c r="OE159" s="236"/>
      <c r="OF159" s="236"/>
      <c r="OG159" s="236"/>
      <c r="OH159" s="236"/>
      <c r="OI159" s="236"/>
      <c r="OJ159" s="236"/>
      <c r="OK159" s="236"/>
      <c r="OL159" s="236"/>
      <c r="OM159" s="236"/>
      <c r="ON159" s="236"/>
      <c r="OO159" s="236"/>
      <c r="OP159" s="236"/>
      <c r="OQ159" s="236"/>
      <c r="OR159" s="236"/>
      <c r="OS159" s="236"/>
      <c r="OT159" s="236"/>
      <c r="OU159" s="236"/>
      <c r="OV159" s="236"/>
      <c r="OW159" s="236"/>
      <c r="OX159" s="236"/>
      <c r="OY159" s="236"/>
      <c r="OZ159" s="236"/>
      <c r="PA159" s="236"/>
      <c r="PB159" s="236"/>
      <c r="PC159" s="236"/>
      <c r="PD159" s="236"/>
      <c r="PE159" s="236"/>
      <c r="PF159" s="236"/>
      <c r="PG159" s="236"/>
      <c r="PH159" s="236"/>
      <c r="PI159" s="236"/>
      <c r="PJ159" s="236"/>
      <c r="PK159" s="236"/>
      <c r="PL159" s="236"/>
      <c r="PM159" s="236"/>
      <c r="PN159" s="236"/>
      <c r="PO159" s="236"/>
      <c r="PP159" s="236"/>
      <c r="PQ159" s="236"/>
      <c r="PR159" s="236"/>
      <c r="PS159" s="236"/>
      <c r="PT159" s="236"/>
      <c r="PU159" s="236"/>
      <c r="PV159" s="236"/>
      <c r="PW159" s="236"/>
      <c r="PX159" s="236"/>
      <c r="PY159" s="236"/>
      <c r="PZ159" s="236"/>
      <c r="QA159" s="236"/>
      <c r="QB159" s="236"/>
      <c r="QC159" s="236"/>
      <c r="QD159" s="236"/>
      <c r="QE159" s="236"/>
      <c r="QF159" s="236"/>
      <c r="QG159" s="236"/>
      <c r="QH159" s="236"/>
      <c r="QI159" s="236"/>
      <c r="QJ159" s="236"/>
      <c r="QK159" s="236"/>
      <c r="QL159" s="236"/>
      <c r="QM159" s="236"/>
      <c r="QN159" s="236"/>
      <c r="QO159" s="236"/>
      <c r="QP159" s="236"/>
      <c r="QQ159" s="236"/>
      <c r="QR159" s="236"/>
      <c r="QS159" s="236"/>
      <c r="QT159" s="236"/>
      <c r="QU159" s="236"/>
      <c r="QV159" s="236"/>
      <c r="QW159" s="236"/>
      <c r="QX159" s="236"/>
      <c r="QY159" s="236"/>
      <c r="QZ159" s="236"/>
      <c r="RA159" s="236"/>
      <c r="RB159" s="236"/>
      <c r="RC159" s="236"/>
      <c r="RD159" s="236"/>
      <c r="RE159" s="236"/>
      <c r="RF159" s="236"/>
      <c r="RG159" s="236"/>
      <c r="RH159" s="236"/>
      <c r="RI159" s="236"/>
      <c r="RJ159" s="236"/>
      <c r="RK159" s="236"/>
      <c r="RL159" s="236"/>
      <c r="RM159" s="236"/>
      <c r="RN159" s="236"/>
      <c r="RO159" s="236"/>
      <c r="RP159" s="236"/>
      <c r="RQ159" s="236"/>
      <c r="RR159" s="236"/>
      <c r="RS159" s="236"/>
      <c r="RT159" s="236"/>
      <c r="RU159" s="236"/>
      <c r="RV159" s="236"/>
      <c r="RW159" s="236"/>
      <c r="RX159" s="236"/>
      <c r="RY159" s="236"/>
      <c r="RZ159" s="236"/>
      <c r="SA159" s="236"/>
      <c r="SB159" s="236"/>
      <c r="SC159" s="236"/>
      <c r="SD159" s="236"/>
      <c r="SE159" s="236"/>
      <c r="SF159" s="236"/>
      <c r="SG159" s="236"/>
      <c r="SH159" s="236"/>
      <c r="SI159" s="236"/>
      <c r="SJ159" s="236"/>
      <c r="SK159" s="236"/>
      <c r="SL159" s="236"/>
      <c r="SM159" s="236"/>
      <c r="SN159" s="236"/>
      <c r="SO159" s="236"/>
      <c r="SP159" s="236"/>
      <c r="SQ159" s="236"/>
      <c r="SR159" s="236"/>
      <c r="SS159" s="236"/>
      <c r="ST159" s="236"/>
      <c r="SU159" s="236"/>
      <c r="SV159" s="236"/>
      <c r="SW159" s="236"/>
      <c r="SX159" s="236"/>
      <c r="SY159" s="236"/>
      <c r="SZ159" s="236"/>
      <c r="TA159" s="236"/>
      <c r="TB159" s="236"/>
      <c r="TC159" s="236"/>
      <c r="TD159" s="236"/>
      <c r="TE159" s="236"/>
      <c r="TF159" s="236"/>
      <c r="TG159" s="236"/>
      <c r="TH159" s="236"/>
      <c r="TI159" s="236"/>
      <c r="TJ159" s="236"/>
      <c r="TK159" s="236"/>
      <c r="TL159" s="236"/>
      <c r="TM159" s="236"/>
      <c r="TN159" s="236"/>
      <c r="TO159" s="236"/>
      <c r="TP159" s="236"/>
      <c r="TQ159" s="236"/>
      <c r="TR159" s="236"/>
      <c r="TS159" s="236"/>
      <c r="TT159" s="236"/>
      <c r="TU159" s="236"/>
      <c r="TV159" s="236"/>
      <c r="TW159" s="236"/>
      <c r="TX159" s="236"/>
      <c r="TY159" s="236"/>
      <c r="TZ159" s="236"/>
      <c r="UA159" s="236"/>
      <c r="UB159" s="236"/>
      <c r="UC159" s="236"/>
      <c r="UD159" s="236"/>
      <c r="UE159" s="236"/>
      <c r="UF159" s="236"/>
      <c r="UG159" s="236"/>
      <c r="UH159" s="236"/>
      <c r="UI159" s="236"/>
      <c r="UJ159" s="236"/>
      <c r="UK159" s="236"/>
      <c r="UL159" s="236"/>
      <c r="UM159" s="236"/>
      <c r="UN159" s="236"/>
      <c r="UO159" s="236"/>
      <c r="UP159" s="236"/>
      <c r="UQ159" s="236"/>
      <c r="UR159" s="236"/>
      <c r="US159" s="236"/>
      <c r="UT159" s="236"/>
      <c r="UU159" s="236"/>
      <c r="UV159" s="236"/>
      <c r="UW159" s="236"/>
      <c r="UX159" s="236"/>
      <c r="UY159" s="236"/>
      <c r="UZ159" s="236"/>
      <c r="VA159" s="236"/>
      <c r="VB159" s="236"/>
      <c r="VC159" s="236"/>
      <c r="VD159" s="236"/>
      <c r="VE159" s="236"/>
      <c r="VF159" s="236"/>
      <c r="VG159" s="236"/>
      <c r="VH159" s="236"/>
      <c r="VI159" s="236"/>
      <c r="VJ159" s="236"/>
      <c r="VK159" s="236"/>
      <c r="VL159" s="236"/>
      <c r="VM159" s="236"/>
      <c r="VN159" s="236"/>
      <c r="VO159" s="236"/>
      <c r="VP159" s="236"/>
      <c r="VQ159" s="236"/>
      <c r="VR159" s="236"/>
      <c r="VS159" s="236"/>
      <c r="VT159" s="236"/>
      <c r="VU159" s="236"/>
      <c r="VV159" s="236"/>
      <c r="VW159" s="236"/>
      <c r="VX159" s="236"/>
      <c r="VY159" s="236"/>
      <c r="VZ159" s="236"/>
      <c r="WA159" s="236"/>
      <c r="WB159" s="236"/>
      <c r="WC159" s="236"/>
      <c r="WD159" s="236"/>
      <c r="WE159" s="236"/>
      <c r="WF159" s="236"/>
      <c r="WG159" s="236"/>
      <c r="WH159" s="236"/>
      <c r="WI159" s="236"/>
      <c r="WJ159" s="236"/>
      <c r="WK159" s="236"/>
      <c r="WL159" s="236"/>
      <c r="WM159" s="236"/>
      <c r="WN159" s="236"/>
      <c r="WO159" s="236"/>
      <c r="WP159" s="236"/>
      <c r="WQ159" s="236"/>
      <c r="WR159" s="236"/>
      <c r="WS159" s="236"/>
      <c r="WT159" s="236"/>
      <c r="WU159" s="236"/>
      <c r="WV159" s="236"/>
      <c r="WW159" s="236"/>
      <c r="WX159" s="236"/>
      <c r="WY159" s="236"/>
      <c r="WZ159" s="236"/>
      <c r="XA159" s="236"/>
      <c r="XB159" s="236"/>
      <c r="XC159" s="236"/>
      <c r="XD159" s="236"/>
      <c r="XE159" s="236"/>
      <c r="XF159" s="236"/>
      <c r="XG159" s="236"/>
      <c r="XH159" s="236"/>
      <c r="XI159" s="236"/>
      <c r="XJ159" s="236"/>
      <c r="XK159" s="236"/>
      <c r="XL159" s="236"/>
      <c r="XM159" s="236"/>
      <c r="XN159" s="236"/>
      <c r="XO159" s="236"/>
      <c r="XP159" s="236"/>
      <c r="XQ159" s="236"/>
      <c r="XR159" s="236"/>
      <c r="XS159" s="236"/>
      <c r="XT159" s="236"/>
      <c r="XU159" s="236"/>
      <c r="XV159" s="236"/>
      <c r="XW159" s="236"/>
      <c r="XX159" s="236"/>
      <c r="XY159" s="236"/>
      <c r="XZ159" s="236"/>
      <c r="YA159" s="236"/>
      <c r="YB159" s="236"/>
      <c r="YC159" s="236"/>
      <c r="YD159" s="236"/>
      <c r="YE159" s="236"/>
      <c r="YF159" s="236"/>
      <c r="YG159" s="236"/>
      <c r="YH159" s="236"/>
      <c r="YI159" s="236"/>
      <c r="YJ159" s="236"/>
      <c r="YK159" s="236"/>
      <c r="YL159" s="236"/>
      <c r="YM159" s="236"/>
      <c r="YN159" s="236"/>
      <c r="YO159" s="236"/>
      <c r="YP159" s="236"/>
      <c r="YQ159" s="236"/>
      <c r="YR159" s="236"/>
      <c r="YS159" s="236"/>
      <c r="YT159" s="236"/>
      <c r="YU159" s="236"/>
      <c r="YV159" s="236"/>
      <c r="YW159" s="236"/>
      <c r="YX159" s="236"/>
      <c r="YY159" s="236"/>
      <c r="YZ159" s="236"/>
      <c r="ZA159" s="236"/>
      <c r="ZB159" s="236"/>
      <c r="ZC159" s="236"/>
      <c r="ZD159" s="236"/>
      <c r="ZE159" s="236"/>
      <c r="ZF159" s="236"/>
      <c r="ZG159" s="236"/>
      <c r="ZH159" s="236"/>
      <c r="ZI159" s="236"/>
      <c r="ZJ159" s="236"/>
      <c r="ZK159" s="236"/>
      <c r="ZL159" s="236"/>
      <c r="ZM159" s="236"/>
      <c r="ZN159" s="236"/>
      <c r="ZO159" s="236"/>
      <c r="ZP159" s="236"/>
      <c r="ZQ159" s="236"/>
      <c r="ZR159" s="236"/>
      <c r="ZS159" s="236"/>
      <c r="ZT159" s="236"/>
      <c r="ZU159" s="236"/>
      <c r="ZV159" s="236"/>
      <c r="ZW159" s="236"/>
      <c r="ZX159" s="236"/>
      <c r="ZY159" s="236"/>
      <c r="ZZ159" s="236"/>
      <c r="AAA159" s="236"/>
      <c r="AAB159" s="236"/>
      <c r="AAC159" s="236"/>
      <c r="AAD159" s="236"/>
      <c r="AAE159" s="236"/>
      <c r="AAF159" s="236"/>
      <c r="AAG159" s="236"/>
      <c r="AAH159" s="236"/>
      <c r="AAI159" s="236"/>
      <c r="AAJ159" s="236"/>
      <c r="AAK159" s="236"/>
      <c r="AAL159" s="236"/>
      <c r="AAM159" s="236"/>
      <c r="AAN159" s="236"/>
      <c r="AAO159" s="236"/>
      <c r="AAP159" s="236"/>
      <c r="AAQ159" s="236"/>
      <c r="AAR159" s="236"/>
      <c r="AAS159" s="236"/>
      <c r="AAT159" s="236"/>
      <c r="AAU159" s="236"/>
      <c r="AAV159" s="236"/>
      <c r="AAW159" s="236"/>
      <c r="AAX159" s="236"/>
      <c r="AAY159" s="236"/>
      <c r="AAZ159" s="236"/>
      <c r="ABA159" s="236"/>
      <c r="ABB159" s="236"/>
      <c r="ABC159" s="236"/>
      <c r="ABD159" s="236"/>
      <c r="ABE159" s="236"/>
      <c r="ABF159" s="236"/>
      <c r="ABG159" s="236"/>
      <c r="ABH159" s="236"/>
      <c r="ABI159" s="236"/>
      <c r="ABJ159" s="236"/>
      <c r="ABK159" s="236"/>
      <c r="ABL159" s="236"/>
      <c r="ABM159" s="236"/>
      <c r="ABN159" s="236"/>
      <c r="ABO159" s="236"/>
      <c r="ABP159" s="236"/>
      <c r="ABQ159" s="236"/>
      <c r="ABR159" s="236"/>
      <c r="ABS159" s="236"/>
      <c r="ABT159" s="236"/>
      <c r="ABU159" s="236"/>
      <c r="ABV159" s="236"/>
      <c r="ABW159" s="236"/>
      <c r="ABX159" s="236"/>
      <c r="ABY159" s="236"/>
      <c r="ABZ159" s="236"/>
      <c r="ACA159" s="236"/>
      <c r="ACB159" s="236"/>
      <c r="ACC159" s="236"/>
      <c r="ACD159" s="236"/>
      <c r="ACE159" s="236"/>
      <c r="ACF159" s="236"/>
      <c r="ACG159" s="236"/>
      <c r="ACH159" s="236"/>
      <c r="ACI159" s="236"/>
      <c r="ACJ159" s="236"/>
      <c r="ACK159" s="236"/>
      <c r="ACL159" s="236"/>
      <c r="ACM159" s="236"/>
      <c r="ACN159" s="236"/>
      <c r="ACO159" s="236"/>
      <c r="ACP159" s="236"/>
      <c r="ACQ159" s="236"/>
      <c r="ACR159" s="236"/>
      <c r="ACS159" s="236"/>
      <c r="ACT159" s="236"/>
      <c r="ACU159" s="236"/>
      <c r="ACV159" s="236"/>
      <c r="ACW159" s="236"/>
      <c r="ACX159" s="236"/>
      <c r="ACY159" s="236"/>
      <c r="ACZ159" s="236"/>
      <c r="ADA159" s="236"/>
      <c r="ADB159" s="236"/>
      <c r="ADC159" s="236"/>
      <c r="ADD159" s="236"/>
      <c r="ADE159" s="236"/>
      <c r="ADF159" s="236"/>
      <c r="ADG159" s="236"/>
      <c r="ADH159" s="236"/>
      <c r="ADI159" s="236"/>
      <c r="ADJ159" s="236"/>
      <c r="ADK159" s="236"/>
      <c r="ADL159" s="236"/>
      <c r="ADM159" s="236"/>
      <c r="ADN159" s="236"/>
      <c r="ADO159" s="236"/>
      <c r="ADP159" s="236"/>
      <c r="ADQ159" s="236"/>
      <c r="ADR159" s="236"/>
      <c r="ADS159" s="236"/>
      <c r="ADT159" s="236"/>
      <c r="ADU159" s="236"/>
      <c r="ADV159" s="236"/>
      <c r="ADW159" s="236"/>
      <c r="ADX159" s="236"/>
      <c r="ADY159" s="236"/>
      <c r="ADZ159" s="236"/>
      <c r="AEA159" s="236"/>
      <c r="AEB159" s="236"/>
      <c r="AEC159" s="236"/>
      <c r="AED159" s="236"/>
      <c r="AEE159" s="236"/>
      <c r="AEF159" s="236"/>
      <c r="AEG159" s="236"/>
      <c r="AEH159" s="236"/>
      <c r="AEI159" s="236"/>
      <c r="AEJ159" s="236"/>
      <c r="AEK159" s="236"/>
      <c r="AEL159" s="236"/>
      <c r="AEM159" s="236"/>
      <c r="AEN159" s="236"/>
      <c r="AEO159" s="236"/>
      <c r="AEP159" s="236"/>
      <c r="AEQ159" s="236"/>
      <c r="AER159" s="236"/>
      <c r="AES159" s="236"/>
      <c r="AET159" s="236"/>
      <c r="AEU159" s="236"/>
      <c r="AEV159" s="236"/>
      <c r="AEW159" s="236"/>
      <c r="AEX159" s="236"/>
      <c r="AEY159" s="236"/>
      <c r="AEZ159" s="236"/>
      <c r="AFA159" s="236"/>
      <c r="AFB159" s="236"/>
      <c r="AFC159" s="236"/>
      <c r="AFD159" s="236"/>
      <c r="AFE159" s="236"/>
      <c r="AFF159" s="236"/>
      <c r="AFG159" s="236"/>
      <c r="AFH159" s="236"/>
      <c r="AFI159" s="236"/>
      <c r="AFJ159" s="236"/>
      <c r="AFK159" s="236"/>
      <c r="AFL159" s="236"/>
      <c r="AFM159" s="236"/>
      <c r="AFN159" s="236"/>
      <c r="AFO159" s="236"/>
      <c r="AFP159" s="236"/>
      <c r="AFQ159" s="236"/>
      <c r="AFR159" s="236"/>
      <c r="AFS159" s="236"/>
      <c r="AFT159" s="236"/>
      <c r="AFU159" s="236"/>
      <c r="AFV159" s="236"/>
      <c r="AFW159" s="236"/>
      <c r="AFX159" s="236"/>
      <c r="AFY159" s="236"/>
      <c r="AFZ159" s="236"/>
      <c r="AGA159" s="236"/>
      <c r="AGB159" s="236"/>
      <c r="AGC159" s="236"/>
      <c r="AGD159" s="236"/>
      <c r="AGE159" s="236"/>
      <c r="AGF159" s="236"/>
      <c r="AGG159" s="236"/>
      <c r="AGH159" s="236"/>
      <c r="AGI159" s="236"/>
      <c r="AGJ159" s="236"/>
      <c r="AGK159" s="236"/>
      <c r="AGL159" s="236"/>
      <c r="AGM159" s="236"/>
      <c r="AGN159" s="236"/>
      <c r="AGO159" s="236"/>
      <c r="AGP159" s="236"/>
      <c r="AGQ159" s="236"/>
      <c r="AGR159" s="236"/>
      <c r="AGS159" s="236"/>
      <c r="AGT159" s="236"/>
      <c r="AGU159" s="236"/>
      <c r="AGV159" s="236"/>
      <c r="AGW159" s="236"/>
      <c r="AGX159" s="236"/>
      <c r="AGY159" s="236"/>
      <c r="AGZ159" s="236"/>
      <c r="AHA159" s="236"/>
      <c r="AHB159" s="236"/>
      <c r="AHC159" s="236"/>
      <c r="AHD159" s="236"/>
      <c r="AHE159" s="236"/>
      <c r="AHF159" s="236"/>
      <c r="AHG159" s="236"/>
      <c r="AHH159" s="236"/>
      <c r="AHI159" s="236"/>
      <c r="AHJ159" s="236"/>
      <c r="AHK159" s="236"/>
      <c r="AHL159" s="236"/>
      <c r="AHM159" s="236"/>
      <c r="AHN159" s="236"/>
      <c r="AHO159" s="236"/>
      <c r="AHP159" s="236"/>
      <c r="AHQ159" s="236"/>
      <c r="AHR159" s="236"/>
      <c r="AHS159" s="236"/>
      <c r="AHT159" s="236"/>
      <c r="AHU159" s="236"/>
      <c r="AHV159" s="236"/>
      <c r="AHW159" s="236"/>
      <c r="AHX159" s="236"/>
      <c r="AHY159" s="236"/>
      <c r="AHZ159" s="236"/>
      <c r="AIA159" s="236"/>
      <c r="AIB159" s="236"/>
      <c r="AIC159" s="236"/>
      <c r="AID159" s="236"/>
      <c r="AIE159" s="236"/>
      <c r="AIF159" s="236"/>
      <c r="AIG159" s="236"/>
      <c r="AIH159" s="236"/>
      <c r="AII159" s="236"/>
      <c r="AIJ159" s="236"/>
      <c r="AIK159" s="236"/>
      <c r="AIL159" s="236"/>
      <c r="AIM159" s="236"/>
      <c r="AIN159" s="236"/>
      <c r="AIO159" s="236"/>
      <c r="AIP159" s="236"/>
      <c r="AIQ159" s="236"/>
      <c r="AIR159" s="236"/>
      <c r="AIS159" s="236"/>
      <c r="AIT159" s="236"/>
      <c r="AIU159" s="236"/>
      <c r="AIV159" s="236"/>
      <c r="AIW159" s="236"/>
      <c r="AIX159" s="236"/>
      <c r="AIY159" s="236"/>
      <c r="AIZ159" s="236"/>
      <c r="AJA159" s="236"/>
      <c r="AJB159" s="236"/>
      <c r="AJC159" s="236"/>
      <c r="AJD159" s="236"/>
      <c r="AJE159" s="236"/>
      <c r="AJF159" s="236"/>
      <c r="AJG159" s="236"/>
      <c r="AJH159" s="236"/>
      <c r="AJI159" s="236"/>
      <c r="AJJ159" s="236"/>
      <c r="AJK159" s="236"/>
      <c r="AJL159" s="236"/>
      <c r="AJM159" s="236"/>
      <c r="AJN159" s="236"/>
      <c r="AJO159" s="236"/>
      <c r="AJP159" s="236"/>
      <c r="AJQ159" s="236"/>
      <c r="AJR159" s="236"/>
      <c r="AJS159" s="236"/>
      <c r="AJT159" s="236"/>
      <c r="AJU159" s="236"/>
      <c r="AJV159" s="236"/>
      <c r="AJW159" s="236"/>
      <c r="AJX159" s="236"/>
      <c r="AJY159" s="236"/>
      <c r="AJZ159" s="236"/>
      <c r="AKA159" s="236"/>
      <c r="AKB159" s="236"/>
      <c r="AKC159" s="236"/>
      <c r="AKD159" s="236"/>
      <c r="AKE159" s="236"/>
      <c r="AKF159" s="236"/>
      <c r="AKG159" s="236"/>
      <c r="AKH159" s="236"/>
      <c r="AKI159" s="236"/>
      <c r="AKJ159" s="236"/>
      <c r="AKK159" s="236"/>
      <c r="AKL159" s="236"/>
      <c r="AKM159" s="236"/>
      <c r="AKN159" s="236"/>
      <c r="AKO159" s="236"/>
      <c r="AKP159" s="236"/>
      <c r="AKQ159" s="236"/>
      <c r="AKR159" s="236"/>
      <c r="AKS159" s="236"/>
      <c r="AKT159" s="236"/>
      <c r="AKU159" s="236"/>
      <c r="AKV159" s="236"/>
      <c r="AKW159" s="236"/>
      <c r="AKX159" s="236"/>
      <c r="AKY159" s="236"/>
      <c r="AKZ159" s="236"/>
      <c r="ALA159" s="236"/>
      <c r="ALB159" s="236"/>
      <c r="ALC159" s="236"/>
      <c r="ALD159" s="236"/>
      <c r="ALE159" s="236"/>
      <c r="ALF159" s="236"/>
      <c r="ALG159" s="236"/>
      <c r="ALH159" s="236"/>
      <c r="ALI159" s="236"/>
      <c r="ALJ159" s="236"/>
      <c r="ALK159" s="236"/>
      <c r="ALL159" s="236"/>
      <c r="ALM159" s="236"/>
      <c r="ALN159" s="236"/>
      <c r="ALO159" s="236"/>
      <c r="ALP159" s="236"/>
      <c r="ALQ159" s="236"/>
      <c r="ALR159" s="236"/>
      <c r="ALS159" s="236"/>
      <c r="ALT159" s="236"/>
      <c r="ALU159" s="236"/>
      <c r="ALV159" s="236"/>
      <c r="ALW159" s="236"/>
      <c r="ALX159" s="236"/>
      <c r="ALY159" s="236"/>
      <c r="ALZ159" s="236"/>
      <c r="AMA159" s="236"/>
      <c r="AMB159" s="236"/>
      <c r="AMC159" s="236"/>
      <c r="AMD159" s="236"/>
      <c r="AME159" s="236"/>
      <c r="AMF159" s="236"/>
      <c r="AMG159" s="236"/>
      <c r="AMH159" s="236"/>
      <c r="AMI159" s="236"/>
      <c r="AMJ159" s="236"/>
      <c r="AMK159" s="236"/>
      <c r="AML159" s="236"/>
      <c r="AMM159" s="236"/>
    </row>
    <row r="160" spans="1:1027">
      <c r="A160" s="1418"/>
      <c r="B160" s="1419"/>
      <c r="C160" s="1419"/>
      <c r="D160" s="1419"/>
      <c r="E160" s="1419"/>
      <c r="F160" s="1419"/>
      <c r="G160" s="1419"/>
      <c r="H160" s="1419"/>
      <c r="I160" s="1419"/>
      <c r="J160" s="1419"/>
      <c r="K160" s="1419"/>
      <c r="L160" s="1420"/>
      <c r="M160" s="283"/>
      <c r="N160" s="1392" t="s">
        <v>278</v>
      </c>
      <c r="O160" s="1393"/>
      <c r="P160" s="1393"/>
      <c r="Q160" s="1393"/>
      <c r="R160" s="1394"/>
      <c r="S160" s="284"/>
      <c r="T160" s="284"/>
      <c r="U160" s="284"/>
      <c r="V160" s="1392" t="s">
        <v>170</v>
      </c>
      <c r="W160" s="1393"/>
      <c r="X160" s="1393"/>
      <c r="Y160" s="1393"/>
      <c r="Z160" s="1394"/>
      <c r="AA160" s="1065"/>
      <c r="AB160" s="1392" t="s">
        <v>171</v>
      </c>
      <c r="AC160" s="1394"/>
      <c r="AD160" s="1392" t="s">
        <v>172</v>
      </c>
      <c r="AE160" s="1393"/>
      <c r="AF160" s="1393"/>
      <c r="AG160" s="1393"/>
      <c r="AH160" s="1393"/>
      <c r="AI160" s="1393"/>
      <c r="AJ160" s="1393"/>
      <c r="AK160" s="1393"/>
      <c r="AL160" s="1393"/>
      <c r="AM160" s="1394"/>
      <c r="AN160" s="262"/>
      <c r="AO160" s="262"/>
      <c r="AP160" s="262"/>
      <c r="AQ160" s="262"/>
      <c r="AR160" s="262"/>
      <c r="AS160" s="262"/>
      <c r="AT160" s="262"/>
      <c r="AU160" s="262"/>
      <c r="AV160" s="262"/>
      <c r="AW160" s="262"/>
      <c r="AX160" s="262"/>
      <c r="AY160" s="236"/>
      <c r="AZ160" s="236"/>
      <c r="BA160" s="236"/>
      <c r="BB160" s="236"/>
      <c r="BC160" s="236"/>
      <c r="BD160" s="236"/>
      <c r="BE160" s="236"/>
      <c r="BF160" s="236"/>
      <c r="BG160" s="236"/>
      <c r="BH160" s="236"/>
      <c r="BI160" s="236"/>
      <c r="BJ160" s="236"/>
      <c r="BK160" s="236"/>
      <c r="BL160" s="236"/>
      <c r="BM160" s="236"/>
      <c r="BN160" s="236"/>
      <c r="BO160" s="236"/>
      <c r="BP160" s="236"/>
      <c r="BQ160" s="236"/>
      <c r="BR160" s="236"/>
      <c r="BS160" s="236"/>
      <c r="BT160" s="236"/>
      <c r="BU160" s="236"/>
      <c r="BV160" s="236"/>
      <c r="BW160" s="236"/>
      <c r="BX160" s="236"/>
      <c r="BY160" s="236"/>
      <c r="BZ160" s="236"/>
      <c r="CA160" s="236"/>
      <c r="CB160" s="236"/>
      <c r="CC160" s="236"/>
      <c r="CD160" s="236"/>
      <c r="CE160" s="236"/>
      <c r="CF160" s="236"/>
      <c r="CG160" s="236"/>
      <c r="CH160" s="236"/>
      <c r="CI160" s="236"/>
      <c r="CJ160" s="236"/>
      <c r="CK160" s="236"/>
      <c r="CL160" s="236"/>
      <c r="CM160" s="236"/>
      <c r="CN160" s="236"/>
      <c r="CO160" s="236"/>
      <c r="CP160" s="236"/>
      <c r="CQ160" s="236"/>
      <c r="CR160" s="236"/>
      <c r="CS160" s="236"/>
      <c r="CT160" s="236"/>
      <c r="CU160" s="236"/>
      <c r="CV160" s="236"/>
      <c r="CW160" s="236"/>
      <c r="CX160" s="236"/>
      <c r="CY160" s="236"/>
      <c r="CZ160" s="236"/>
      <c r="DA160" s="236"/>
      <c r="DB160" s="236"/>
      <c r="DC160" s="236"/>
      <c r="DD160" s="236"/>
      <c r="DE160" s="236"/>
      <c r="DF160" s="236"/>
      <c r="DG160" s="236"/>
      <c r="DH160" s="236"/>
      <c r="DI160" s="236"/>
      <c r="DJ160" s="236"/>
      <c r="DK160" s="236"/>
      <c r="DL160" s="236"/>
      <c r="DM160" s="236"/>
      <c r="DN160" s="236"/>
      <c r="DO160" s="236"/>
      <c r="DP160" s="236"/>
      <c r="DQ160" s="236"/>
      <c r="DR160" s="236"/>
      <c r="DS160" s="236"/>
      <c r="DT160" s="236"/>
      <c r="DU160" s="236"/>
      <c r="DV160" s="236"/>
      <c r="DW160" s="236"/>
      <c r="DX160" s="236"/>
      <c r="DY160" s="236"/>
      <c r="DZ160" s="236"/>
      <c r="EA160" s="236"/>
      <c r="EB160" s="236"/>
      <c r="EC160" s="236"/>
      <c r="ED160" s="236"/>
      <c r="EE160" s="236"/>
      <c r="EF160" s="236"/>
      <c r="EG160" s="236"/>
      <c r="EH160" s="236"/>
      <c r="EI160" s="236"/>
      <c r="EJ160" s="236"/>
      <c r="EK160" s="236"/>
      <c r="EL160" s="236"/>
      <c r="EM160" s="236"/>
      <c r="EN160" s="236"/>
      <c r="EO160" s="236"/>
      <c r="EP160" s="236"/>
      <c r="EQ160" s="236"/>
      <c r="ER160" s="236"/>
      <c r="ES160" s="236"/>
      <c r="ET160" s="236"/>
      <c r="EU160" s="236"/>
      <c r="EV160" s="236"/>
      <c r="EW160" s="236"/>
      <c r="EX160" s="236"/>
      <c r="EY160" s="236"/>
      <c r="EZ160" s="236"/>
      <c r="FA160" s="236"/>
      <c r="FB160" s="236"/>
      <c r="FC160" s="236"/>
      <c r="FD160" s="236"/>
      <c r="FE160" s="236"/>
      <c r="FF160" s="236"/>
      <c r="FG160" s="236"/>
      <c r="FH160" s="236"/>
      <c r="FI160" s="236"/>
      <c r="FJ160" s="236"/>
      <c r="FK160" s="236"/>
      <c r="FL160" s="236"/>
      <c r="FM160" s="236"/>
      <c r="FN160" s="236"/>
      <c r="FO160" s="236"/>
      <c r="FP160" s="236"/>
      <c r="FQ160" s="236"/>
      <c r="FR160" s="236"/>
      <c r="FS160" s="236"/>
      <c r="FT160" s="236"/>
      <c r="FU160" s="236"/>
      <c r="FV160" s="236"/>
      <c r="FW160" s="236"/>
      <c r="FX160" s="236"/>
      <c r="FY160" s="236"/>
      <c r="FZ160" s="236"/>
      <c r="GA160" s="236"/>
      <c r="GB160" s="236"/>
      <c r="GC160" s="236"/>
      <c r="GD160" s="236"/>
      <c r="GE160" s="236"/>
      <c r="GF160" s="236"/>
      <c r="GG160" s="236"/>
      <c r="GH160" s="236"/>
      <c r="GI160" s="236"/>
      <c r="GJ160" s="236"/>
      <c r="GK160" s="236"/>
      <c r="GL160" s="236"/>
      <c r="GM160" s="236"/>
      <c r="GN160" s="236"/>
      <c r="GO160" s="236"/>
      <c r="GP160" s="236"/>
      <c r="GQ160" s="236"/>
      <c r="GR160" s="236"/>
      <c r="GS160" s="236"/>
      <c r="GT160" s="236"/>
      <c r="GU160" s="236"/>
      <c r="GV160" s="236"/>
      <c r="GW160" s="236"/>
      <c r="GX160" s="236"/>
      <c r="GY160" s="236"/>
      <c r="GZ160" s="236"/>
      <c r="HA160" s="236"/>
      <c r="HB160" s="236"/>
      <c r="HC160" s="236"/>
      <c r="HD160" s="236"/>
      <c r="HE160" s="236"/>
      <c r="HF160" s="236"/>
      <c r="HG160" s="236"/>
      <c r="HH160" s="236"/>
      <c r="HI160" s="236"/>
      <c r="HJ160" s="236"/>
      <c r="HK160" s="236"/>
      <c r="HL160" s="236"/>
      <c r="HM160" s="236"/>
      <c r="HN160" s="236"/>
      <c r="HO160" s="236"/>
      <c r="HP160" s="236"/>
      <c r="HQ160" s="236"/>
      <c r="HR160" s="236"/>
      <c r="HS160" s="236"/>
      <c r="HT160" s="236"/>
      <c r="HU160" s="236"/>
      <c r="HV160" s="236"/>
      <c r="HW160" s="236"/>
      <c r="HX160" s="236"/>
      <c r="HY160" s="236"/>
      <c r="HZ160" s="236"/>
      <c r="IA160" s="236"/>
      <c r="IB160" s="236"/>
      <c r="IC160" s="236"/>
      <c r="ID160" s="236"/>
      <c r="IE160" s="236"/>
      <c r="IF160" s="236"/>
      <c r="IG160" s="236"/>
      <c r="IH160" s="236"/>
      <c r="II160" s="236"/>
      <c r="IJ160" s="236"/>
      <c r="IK160" s="236"/>
      <c r="IL160" s="236"/>
      <c r="IM160" s="236"/>
      <c r="IN160" s="236"/>
      <c r="IO160" s="236"/>
      <c r="IP160" s="236"/>
      <c r="IQ160" s="236"/>
      <c r="IR160" s="236"/>
      <c r="IS160" s="236"/>
      <c r="IT160" s="236"/>
      <c r="IU160" s="236"/>
      <c r="IV160" s="236"/>
      <c r="IW160" s="236"/>
      <c r="IX160" s="236"/>
      <c r="IY160" s="236"/>
      <c r="IZ160" s="236"/>
      <c r="JA160" s="236"/>
      <c r="JB160" s="236"/>
      <c r="JC160" s="236"/>
      <c r="JD160" s="236"/>
      <c r="JE160" s="236"/>
      <c r="JF160" s="236"/>
      <c r="JG160" s="236"/>
      <c r="JH160" s="236"/>
      <c r="JI160" s="236"/>
      <c r="JJ160" s="236"/>
      <c r="JK160" s="236"/>
      <c r="JL160" s="236"/>
      <c r="JM160" s="236"/>
      <c r="JN160" s="236"/>
      <c r="JO160" s="236"/>
      <c r="JP160" s="236"/>
      <c r="JQ160" s="236"/>
      <c r="JR160" s="236"/>
      <c r="JS160" s="236"/>
      <c r="JT160" s="236"/>
      <c r="JU160" s="236"/>
      <c r="JV160" s="236"/>
      <c r="JW160" s="236"/>
      <c r="JX160" s="236"/>
      <c r="JY160" s="236"/>
      <c r="JZ160" s="236"/>
      <c r="KA160" s="236"/>
      <c r="KB160" s="236"/>
      <c r="KC160" s="236"/>
      <c r="KD160" s="236"/>
      <c r="KE160" s="236"/>
      <c r="KF160" s="236"/>
      <c r="KG160" s="236"/>
      <c r="KH160" s="236"/>
      <c r="KI160" s="236"/>
      <c r="KJ160" s="236"/>
      <c r="KK160" s="236"/>
      <c r="KL160" s="236"/>
      <c r="KM160" s="236"/>
      <c r="KN160" s="236"/>
      <c r="KO160" s="236"/>
      <c r="KP160" s="236"/>
      <c r="KQ160" s="236"/>
      <c r="KR160" s="236"/>
      <c r="KS160" s="236"/>
      <c r="KT160" s="236"/>
      <c r="KU160" s="236"/>
      <c r="KV160" s="236"/>
      <c r="KW160" s="236"/>
      <c r="KX160" s="236"/>
      <c r="KY160" s="236"/>
      <c r="KZ160" s="236"/>
      <c r="LA160" s="236"/>
      <c r="LB160" s="236"/>
      <c r="LC160" s="236"/>
      <c r="LD160" s="236"/>
      <c r="LE160" s="236"/>
      <c r="LF160" s="236"/>
      <c r="LG160" s="236"/>
      <c r="LH160" s="236"/>
      <c r="LI160" s="236"/>
      <c r="LJ160" s="236"/>
      <c r="LK160" s="236"/>
      <c r="LL160" s="236"/>
      <c r="LM160" s="236"/>
      <c r="LN160" s="236"/>
      <c r="LO160" s="236"/>
      <c r="LP160" s="236"/>
      <c r="LQ160" s="236"/>
      <c r="LR160" s="236"/>
      <c r="LS160" s="236"/>
      <c r="LT160" s="236"/>
      <c r="LU160" s="236"/>
      <c r="LV160" s="236"/>
      <c r="LW160" s="236"/>
      <c r="LX160" s="236"/>
      <c r="LY160" s="236"/>
      <c r="LZ160" s="236"/>
      <c r="MA160" s="236"/>
      <c r="MB160" s="236"/>
      <c r="MC160" s="236"/>
      <c r="MD160" s="236"/>
      <c r="ME160" s="236"/>
      <c r="MF160" s="236"/>
      <c r="MG160" s="236"/>
      <c r="MH160" s="236"/>
      <c r="MI160" s="236"/>
      <c r="MJ160" s="236"/>
      <c r="MK160" s="236"/>
      <c r="ML160" s="236"/>
      <c r="MM160" s="236"/>
      <c r="MN160" s="236"/>
      <c r="MO160" s="236"/>
      <c r="MP160" s="236"/>
      <c r="MQ160" s="236"/>
      <c r="MR160" s="236"/>
      <c r="MS160" s="236"/>
      <c r="MT160" s="236"/>
      <c r="MU160" s="236"/>
      <c r="MV160" s="236"/>
      <c r="MW160" s="236"/>
      <c r="MX160" s="236"/>
      <c r="MY160" s="236"/>
      <c r="MZ160" s="236"/>
      <c r="NA160" s="236"/>
      <c r="NB160" s="236"/>
      <c r="NC160" s="236"/>
      <c r="ND160" s="236"/>
      <c r="NE160" s="236"/>
      <c r="NF160" s="236"/>
      <c r="NG160" s="236"/>
      <c r="NH160" s="236"/>
      <c r="NI160" s="236"/>
      <c r="NJ160" s="236"/>
      <c r="NK160" s="236"/>
      <c r="NL160" s="236"/>
      <c r="NM160" s="236"/>
      <c r="NN160" s="236"/>
      <c r="NO160" s="236"/>
      <c r="NP160" s="236"/>
      <c r="NQ160" s="236"/>
      <c r="NR160" s="236"/>
      <c r="NS160" s="236"/>
      <c r="NT160" s="236"/>
      <c r="NU160" s="236"/>
      <c r="NV160" s="236"/>
      <c r="NW160" s="236"/>
      <c r="NX160" s="236"/>
      <c r="NY160" s="236"/>
      <c r="NZ160" s="236"/>
      <c r="OA160" s="236"/>
      <c r="OB160" s="236"/>
      <c r="OC160" s="236"/>
      <c r="OD160" s="236"/>
      <c r="OE160" s="236"/>
      <c r="OF160" s="236"/>
      <c r="OG160" s="236"/>
      <c r="OH160" s="236"/>
      <c r="OI160" s="236"/>
      <c r="OJ160" s="236"/>
      <c r="OK160" s="236"/>
      <c r="OL160" s="236"/>
      <c r="OM160" s="236"/>
      <c r="ON160" s="236"/>
      <c r="OO160" s="236"/>
      <c r="OP160" s="236"/>
      <c r="OQ160" s="236"/>
      <c r="OR160" s="236"/>
      <c r="OS160" s="236"/>
      <c r="OT160" s="236"/>
      <c r="OU160" s="236"/>
      <c r="OV160" s="236"/>
      <c r="OW160" s="236"/>
      <c r="OX160" s="236"/>
      <c r="OY160" s="236"/>
      <c r="OZ160" s="236"/>
      <c r="PA160" s="236"/>
      <c r="PB160" s="236"/>
      <c r="PC160" s="236"/>
      <c r="PD160" s="236"/>
      <c r="PE160" s="236"/>
      <c r="PF160" s="236"/>
      <c r="PG160" s="236"/>
      <c r="PH160" s="236"/>
      <c r="PI160" s="236"/>
      <c r="PJ160" s="236"/>
      <c r="PK160" s="236"/>
      <c r="PL160" s="236"/>
      <c r="PM160" s="236"/>
      <c r="PN160" s="236"/>
      <c r="PO160" s="236"/>
      <c r="PP160" s="236"/>
      <c r="PQ160" s="236"/>
      <c r="PR160" s="236"/>
      <c r="PS160" s="236"/>
      <c r="PT160" s="236"/>
      <c r="PU160" s="236"/>
      <c r="PV160" s="236"/>
      <c r="PW160" s="236"/>
      <c r="PX160" s="236"/>
      <c r="PY160" s="236"/>
      <c r="PZ160" s="236"/>
      <c r="QA160" s="236"/>
      <c r="QB160" s="236"/>
      <c r="QC160" s="236"/>
      <c r="QD160" s="236"/>
      <c r="QE160" s="236"/>
      <c r="QF160" s="236"/>
      <c r="QG160" s="236"/>
      <c r="QH160" s="236"/>
      <c r="QI160" s="236"/>
      <c r="QJ160" s="236"/>
      <c r="QK160" s="236"/>
      <c r="QL160" s="236"/>
      <c r="QM160" s="236"/>
      <c r="QN160" s="236"/>
      <c r="QO160" s="236"/>
      <c r="QP160" s="236"/>
      <c r="QQ160" s="236"/>
      <c r="QR160" s="236"/>
      <c r="QS160" s="236"/>
      <c r="QT160" s="236"/>
      <c r="QU160" s="236"/>
      <c r="QV160" s="236"/>
      <c r="QW160" s="236"/>
      <c r="QX160" s="236"/>
      <c r="QY160" s="236"/>
      <c r="QZ160" s="236"/>
      <c r="RA160" s="236"/>
      <c r="RB160" s="236"/>
      <c r="RC160" s="236"/>
      <c r="RD160" s="236"/>
      <c r="RE160" s="236"/>
      <c r="RF160" s="236"/>
      <c r="RG160" s="236"/>
      <c r="RH160" s="236"/>
      <c r="RI160" s="236"/>
      <c r="RJ160" s="236"/>
      <c r="RK160" s="236"/>
      <c r="RL160" s="236"/>
      <c r="RM160" s="236"/>
      <c r="RN160" s="236"/>
      <c r="RO160" s="236"/>
      <c r="RP160" s="236"/>
      <c r="RQ160" s="236"/>
      <c r="RR160" s="236"/>
      <c r="RS160" s="236"/>
      <c r="RT160" s="236"/>
      <c r="RU160" s="236"/>
      <c r="RV160" s="236"/>
      <c r="RW160" s="236"/>
      <c r="RX160" s="236"/>
      <c r="RY160" s="236"/>
      <c r="RZ160" s="236"/>
      <c r="SA160" s="236"/>
      <c r="SB160" s="236"/>
      <c r="SC160" s="236"/>
      <c r="SD160" s="236"/>
      <c r="SE160" s="236"/>
      <c r="SF160" s="236"/>
      <c r="SG160" s="236"/>
      <c r="SH160" s="236"/>
      <c r="SI160" s="236"/>
      <c r="SJ160" s="236"/>
      <c r="SK160" s="236"/>
      <c r="SL160" s="236"/>
      <c r="SM160" s="236"/>
      <c r="SN160" s="236"/>
      <c r="SO160" s="236"/>
      <c r="SP160" s="236"/>
      <c r="SQ160" s="236"/>
      <c r="SR160" s="236"/>
      <c r="SS160" s="236"/>
      <c r="ST160" s="236"/>
      <c r="SU160" s="236"/>
      <c r="SV160" s="236"/>
      <c r="SW160" s="236"/>
      <c r="SX160" s="236"/>
      <c r="SY160" s="236"/>
      <c r="SZ160" s="236"/>
      <c r="TA160" s="236"/>
      <c r="TB160" s="236"/>
      <c r="TC160" s="236"/>
      <c r="TD160" s="236"/>
      <c r="TE160" s="236"/>
      <c r="TF160" s="236"/>
      <c r="TG160" s="236"/>
      <c r="TH160" s="236"/>
      <c r="TI160" s="236"/>
      <c r="TJ160" s="236"/>
      <c r="TK160" s="236"/>
      <c r="TL160" s="236"/>
      <c r="TM160" s="236"/>
      <c r="TN160" s="236"/>
      <c r="TO160" s="236"/>
      <c r="TP160" s="236"/>
      <c r="TQ160" s="236"/>
      <c r="TR160" s="236"/>
      <c r="TS160" s="236"/>
      <c r="TT160" s="236"/>
      <c r="TU160" s="236"/>
      <c r="TV160" s="236"/>
      <c r="TW160" s="236"/>
      <c r="TX160" s="236"/>
      <c r="TY160" s="236"/>
      <c r="TZ160" s="236"/>
      <c r="UA160" s="236"/>
      <c r="UB160" s="236"/>
      <c r="UC160" s="236"/>
      <c r="UD160" s="236"/>
      <c r="UE160" s="236"/>
      <c r="UF160" s="236"/>
      <c r="UG160" s="236"/>
      <c r="UH160" s="236"/>
      <c r="UI160" s="236"/>
      <c r="UJ160" s="236"/>
      <c r="UK160" s="236"/>
      <c r="UL160" s="236"/>
      <c r="UM160" s="236"/>
      <c r="UN160" s="236"/>
      <c r="UO160" s="236"/>
      <c r="UP160" s="236"/>
      <c r="UQ160" s="236"/>
      <c r="UR160" s="236"/>
      <c r="US160" s="236"/>
      <c r="UT160" s="236"/>
      <c r="UU160" s="236"/>
      <c r="UV160" s="236"/>
      <c r="UW160" s="236"/>
      <c r="UX160" s="236"/>
      <c r="UY160" s="236"/>
      <c r="UZ160" s="236"/>
      <c r="VA160" s="236"/>
      <c r="VB160" s="236"/>
      <c r="VC160" s="236"/>
      <c r="VD160" s="236"/>
      <c r="VE160" s="236"/>
      <c r="VF160" s="236"/>
      <c r="VG160" s="236"/>
      <c r="VH160" s="236"/>
      <c r="VI160" s="236"/>
      <c r="VJ160" s="236"/>
      <c r="VK160" s="236"/>
      <c r="VL160" s="236"/>
      <c r="VM160" s="236"/>
      <c r="VN160" s="236"/>
      <c r="VO160" s="236"/>
      <c r="VP160" s="236"/>
      <c r="VQ160" s="236"/>
      <c r="VR160" s="236"/>
      <c r="VS160" s="236"/>
      <c r="VT160" s="236"/>
      <c r="VU160" s="236"/>
      <c r="VV160" s="236"/>
      <c r="VW160" s="236"/>
      <c r="VX160" s="236"/>
      <c r="VY160" s="236"/>
      <c r="VZ160" s="236"/>
      <c r="WA160" s="236"/>
      <c r="WB160" s="236"/>
      <c r="WC160" s="236"/>
      <c r="WD160" s="236"/>
      <c r="WE160" s="236"/>
      <c r="WF160" s="236"/>
      <c r="WG160" s="236"/>
      <c r="WH160" s="236"/>
      <c r="WI160" s="236"/>
      <c r="WJ160" s="236"/>
      <c r="WK160" s="236"/>
      <c r="WL160" s="236"/>
      <c r="WM160" s="236"/>
      <c r="WN160" s="236"/>
      <c r="WO160" s="236"/>
      <c r="WP160" s="236"/>
      <c r="WQ160" s="236"/>
      <c r="WR160" s="236"/>
      <c r="WS160" s="236"/>
      <c r="WT160" s="236"/>
      <c r="WU160" s="236"/>
      <c r="WV160" s="236"/>
      <c r="WW160" s="236"/>
      <c r="WX160" s="236"/>
      <c r="WY160" s="236"/>
      <c r="WZ160" s="236"/>
      <c r="XA160" s="236"/>
      <c r="XB160" s="236"/>
      <c r="XC160" s="236"/>
      <c r="XD160" s="236"/>
      <c r="XE160" s="236"/>
      <c r="XF160" s="236"/>
      <c r="XG160" s="236"/>
      <c r="XH160" s="236"/>
      <c r="XI160" s="236"/>
      <c r="XJ160" s="236"/>
      <c r="XK160" s="236"/>
      <c r="XL160" s="236"/>
      <c r="XM160" s="236"/>
      <c r="XN160" s="236"/>
      <c r="XO160" s="236"/>
      <c r="XP160" s="236"/>
      <c r="XQ160" s="236"/>
      <c r="XR160" s="236"/>
      <c r="XS160" s="236"/>
      <c r="XT160" s="236"/>
      <c r="XU160" s="236"/>
      <c r="XV160" s="236"/>
      <c r="XW160" s="236"/>
      <c r="XX160" s="236"/>
      <c r="XY160" s="236"/>
      <c r="XZ160" s="236"/>
      <c r="YA160" s="236"/>
      <c r="YB160" s="236"/>
      <c r="YC160" s="236"/>
      <c r="YD160" s="236"/>
      <c r="YE160" s="236"/>
      <c r="YF160" s="236"/>
      <c r="YG160" s="236"/>
      <c r="YH160" s="236"/>
      <c r="YI160" s="236"/>
      <c r="YJ160" s="236"/>
      <c r="YK160" s="236"/>
      <c r="YL160" s="236"/>
      <c r="YM160" s="236"/>
      <c r="YN160" s="236"/>
      <c r="YO160" s="236"/>
      <c r="YP160" s="236"/>
      <c r="YQ160" s="236"/>
      <c r="YR160" s="236"/>
      <c r="YS160" s="236"/>
      <c r="YT160" s="236"/>
      <c r="YU160" s="236"/>
      <c r="YV160" s="236"/>
      <c r="YW160" s="236"/>
      <c r="YX160" s="236"/>
      <c r="YY160" s="236"/>
      <c r="YZ160" s="236"/>
      <c r="ZA160" s="236"/>
      <c r="ZB160" s="236"/>
      <c r="ZC160" s="236"/>
      <c r="ZD160" s="236"/>
      <c r="ZE160" s="236"/>
      <c r="ZF160" s="236"/>
      <c r="ZG160" s="236"/>
      <c r="ZH160" s="236"/>
      <c r="ZI160" s="236"/>
      <c r="ZJ160" s="236"/>
      <c r="ZK160" s="236"/>
      <c r="ZL160" s="236"/>
      <c r="ZM160" s="236"/>
      <c r="ZN160" s="236"/>
      <c r="ZO160" s="236"/>
      <c r="ZP160" s="236"/>
      <c r="ZQ160" s="236"/>
      <c r="ZR160" s="236"/>
      <c r="ZS160" s="236"/>
      <c r="ZT160" s="236"/>
      <c r="ZU160" s="236"/>
      <c r="ZV160" s="236"/>
      <c r="ZW160" s="236"/>
      <c r="ZX160" s="236"/>
      <c r="ZY160" s="236"/>
      <c r="ZZ160" s="236"/>
      <c r="AAA160" s="236"/>
      <c r="AAB160" s="236"/>
      <c r="AAC160" s="236"/>
      <c r="AAD160" s="236"/>
      <c r="AAE160" s="236"/>
      <c r="AAF160" s="236"/>
      <c r="AAG160" s="236"/>
      <c r="AAH160" s="236"/>
      <c r="AAI160" s="236"/>
      <c r="AAJ160" s="236"/>
      <c r="AAK160" s="236"/>
      <c r="AAL160" s="236"/>
      <c r="AAM160" s="236"/>
      <c r="AAN160" s="236"/>
      <c r="AAO160" s="236"/>
      <c r="AAP160" s="236"/>
      <c r="AAQ160" s="236"/>
      <c r="AAR160" s="236"/>
      <c r="AAS160" s="236"/>
      <c r="AAT160" s="236"/>
      <c r="AAU160" s="236"/>
      <c r="AAV160" s="236"/>
      <c r="AAW160" s="236"/>
      <c r="AAX160" s="236"/>
      <c r="AAY160" s="236"/>
      <c r="AAZ160" s="236"/>
      <c r="ABA160" s="236"/>
      <c r="ABB160" s="236"/>
      <c r="ABC160" s="236"/>
      <c r="ABD160" s="236"/>
      <c r="ABE160" s="236"/>
      <c r="ABF160" s="236"/>
      <c r="ABG160" s="236"/>
      <c r="ABH160" s="236"/>
      <c r="ABI160" s="236"/>
      <c r="ABJ160" s="236"/>
      <c r="ABK160" s="236"/>
      <c r="ABL160" s="236"/>
      <c r="ABM160" s="236"/>
      <c r="ABN160" s="236"/>
      <c r="ABO160" s="236"/>
      <c r="ABP160" s="236"/>
      <c r="ABQ160" s="236"/>
      <c r="ABR160" s="236"/>
      <c r="ABS160" s="236"/>
      <c r="ABT160" s="236"/>
      <c r="ABU160" s="236"/>
      <c r="ABV160" s="236"/>
      <c r="ABW160" s="236"/>
      <c r="ABX160" s="236"/>
      <c r="ABY160" s="236"/>
      <c r="ABZ160" s="236"/>
      <c r="ACA160" s="236"/>
      <c r="ACB160" s="236"/>
      <c r="ACC160" s="236"/>
      <c r="ACD160" s="236"/>
      <c r="ACE160" s="236"/>
      <c r="ACF160" s="236"/>
      <c r="ACG160" s="236"/>
      <c r="ACH160" s="236"/>
      <c r="ACI160" s="236"/>
      <c r="ACJ160" s="236"/>
      <c r="ACK160" s="236"/>
      <c r="ACL160" s="236"/>
      <c r="ACM160" s="236"/>
      <c r="ACN160" s="236"/>
      <c r="ACO160" s="236"/>
      <c r="ACP160" s="236"/>
      <c r="ACQ160" s="236"/>
      <c r="ACR160" s="236"/>
      <c r="ACS160" s="236"/>
      <c r="ACT160" s="236"/>
      <c r="ACU160" s="236"/>
      <c r="ACV160" s="236"/>
      <c r="ACW160" s="236"/>
      <c r="ACX160" s="236"/>
      <c r="ACY160" s="236"/>
      <c r="ACZ160" s="236"/>
      <c r="ADA160" s="236"/>
      <c r="ADB160" s="236"/>
      <c r="ADC160" s="236"/>
      <c r="ADD160" s="236"/>
      <c r="ADE160" s="236"/>
      <c r="ADF160" s="236"/>
      <c r="ADG160" s="236"/>
      <c r="ADH160" s="236"/>
      <c r="ADI160" s="236"/>
      <c r="ADJ160" s="236"/>
      <c r="ADK160" s="236"/>
      <c r="ADL160" s="236"/>
      <c r="ADM160" s="236"/>
      <c r="ADN160" s="236"/>
      <c r="ADO160" s="236"/>
      <c r="ADP160" s="236"/>
      <c r="ADQ160" s="236"/>
      <c r="ADR160" s="236"/>
      <c r="ADS160" s="236"/>
      <c r="ADT160" s="236"/>
      <c r="ADU160" s="236"/>
      <c r="ADV160" s="236"/>
      <c r="ADW160" s="236"/>
      <c r="ADX160" s="236"/>
      <c r="ADY160" s="236"/>
      <c r="ADZ160" s="236"/>
      <c r="AEA160" s="236"/>
      <c r="AEB160" s="236"/>
      <c r="AEC160" s="236"/>
      <c r="AED160" s="236"/>
      <c r="AEE160" s="236"/>
      <c r="AEF160" s="236"/>
      <c r="AEG160" s="236"/>
      <c r="AEH160" s="236"/>
      <c r="AEI160" s="236"/>
      <c r="AEJ160" s="236"/>
      <c r="AEK160" s="236"/>
      <c r="AEL160" s="236"/>
      <c r="AEM160" s="236"/>
      <c r="AEN160" s="236"/>
      <c r="AEO160" s="236"/>
      <c r="AEP160" s="236"/>
      <c r="AEQ160" s="236"/>
      <c r="AER160" s="236"/>
      <c r="AES160" s="236"/>
      <c r="AET160" s="236"/>
      <c r="AEU160" s="236"/>
      <c r="AEV160" s="236"/>
      <c r="AEW160" s="236"/>
      <c r="AEX160" s="236"/>
      <c r="AEY160" s="236"/>
      <c r="AEZ160" s="236"/>
      <c r="AFA160" s="236"/>
      <c r="AFB160" s="236"/>
      <c r="AFC160" s="236"/>
      <c r="AFD160" s="236"/>
      <c r="AFE160" s="236"/>
      <c r="AFF160" s="236"/>
      <c r="AFG160" s="236"/>
      <c r="AFH160" s="236"/>
      <c r="AFI160" s="236"/>
      <c r="AFJ160" s="236"/>
      <c r="AFK160" s="236"/>
      <c r="AFL160" s="236"/>
      <c r="AFM160" s="236"/>
      <c r="AFN160" s="236"/>
      <c r="AFO160" s="236"/>
      <c r="AFP160" s="236"/>
      <c r="AFQ160" s="236"/>
      <c r="AFR160" s="236"/>
      <c r="AFS160" s="236"/>
      <c r="AFT160" s="236"/>
      <c r="AFU160" s="236"/>
      <c r="AFV160" s="236"/>
      <c r="AFW160" s="236"/>
      <c r="AFX160" s="236"/>
      <c r="AFY160" s="236"/>
      <c r="AFZ160" s="236"/>
      <c r="AGA160" s="236"/>
      <c r="AGB160" s="236"/>
      <c r="AGC160" s="236"/>
      <c r="AGD160" s="236"/>
      <c r="AGE160" s="236"/>
      <c r="AGF160" s="236"/>
      <c r="AGG160" s="236"/>
      <c r="AGH160" s="236"/>
      <c r="AGI160" s="236"/>
      <c r="AGJ160" s="236"/>
      <c r="AGK160" s="236"/>
      <c r="AGL160" s="236"/>
      <c r="AGM160" s="236"/>
      <c r="AGN160" s="236"/>
      <c r="AGO160" s="236"/>
      <c r="AGP160" s="236"/>
      <c r="AGQ160" s="236"/>
      <c r="AGR160" s="236"/>
      <c r="AGS160" s="236"/>
      <c r="AGT160" s="236"/>
      <c r="AGU160" s="236"/>
      <c r="AGV160" s="236"/>
      <c r="AGW160" s="236"/>
      <c r="AGX160" s="236"/>
      <c r="AGY160" s="236"/>
      <c r="AGZ160" s="236"/>
      <c r="AHA160" s="236"/>
      <c r="AHB160" s="236"/>
      <c r="AHC160" s="236"/>
      <c r="AHD160" s="236"/>
      <c r="AHE160" s="236"/>
      <c r="AHF160" s="236"/>
      <c r="AHG160" s="236"/>
      <c r="AHH160" s="236"/>
      <c r="AHI160" s="236"/>
      <c r="AHJ160" s="236"/>
      <c r="AHK160" s="236"/>
      <c r="AHL160" s="236"/>
      <c r="AHM160" s="236"/>
      <c r="AHN160" s="236"/>
      <c r="AHO160" s="236"/>
      <c r="AHP160" s="236"/>
      <c r="AHQ160" s="236"/>
      <c r="AHR160" s="236"/>
      <c r="AHS160" s="236"/>
      <c r="AHT160" s="236"/>
      <c r="AHU160" s="236"/>
      <c r="AHV160" s="236"/>
      <c r="AHW160" s="236"/>
      <c r="AHX160" s="236"/>
      <c r="AHY160" s="236"/>
      <c r="AHZ160" s="236"/>
      <c r="AIA160" s="236"/>
      <c r="AIB160" s="236"/>
      <c r="AIC160" s="236"/>
      <c r="AID160" s="236"/>
      <c r="AIE160" s="236"/>
      <c r="AIF160" s="236"/>
      <c r="AIG160" s="236"/>
      <c r="AIH160" s="236"/>
      <c r="AII160" s="236"/>
      <c r="AIJ160" s="236"/>
      <c r="AIK160" s="236"/>
      <c r="AIL160" s="236"/>
      <c r="AIM160" s="236"/>
      <c r="AIN160" s="236"/>
      <c r="AIO160" s="236"/>
      <c r="AIP160" s="236"/>
      <c r="AIQ160" s="236"/>
      <c r="AIR160" s="236"/>
      <c r="AIS160" s="236"/>
      <c r="AIT160" s="236"/>
      <c r="AIU160" s="236"/>
      <c r="AIV160" s="236"/>
      <c r="AIW160" s="236"/>
      <c r="AIX160" s="236"/>
      <c r="AIY160" s="236"/>
      <c r="AIZ160" s="236"/>
      <c r="AJA160" s="236"/>
      <c r="AJB160" s="236"/>
      <c r="AJC160" s="236"/>
      <c r="AJD160" s="236"/>
      <c r="AJE160" s="236"/>
      <c r="AJF160" s="236"/>
      <c r="AJG160" s="236"/>
      <c r="AJH160" s="236"/>
      <c r="AJI160" s="236"/>
      <c r="AJJ160" s="236"/>
      <c r="AJK160" s="236"/>
      <c r="AJL160" s="236"/>
      <c r="AJM160" s="236"/>
      <c r="AJN160" s="236"/>
      <c r="AJO160" s="236"/>
      <c r="AJP160" s="236"/>
      <c r="AJQ160" s="236"/>
      <c r="AJR160" s="236"/>
      <c r="AJS160" s="236"/>
      <c r="AJT160" s="236"/>
      <c r="AJU160" s="236"/>
      <c r="AJV160" s="236"/>
      <c r="AJW160" s="236"/>
      <c r="AJX160" s="236"/>
      <c r="AJY160" s="236"/>
      <c r="AJZ160" s="236"/>
      <c r="AKA160" s="236"/>
      <c r="AKB160" s="236"/>
      <c r="AKC160" s="236"/>
      <c r="AKD160" s="236"/>
      <c r="AKE160" s="236"/>
      <c r="AKF160" s="236"/>
      <c r="AKG160" s="236"/>
      <c r="AKH160" s="236"/>
      <c r="AKI160" s="236"/>
      <c r="AKJ160" s="236"/>
      <c r="AKK160" s="236"/>
      <c r="AKL160" s="236"/>
      <c r="AKM160" s="236"/>
      <c r="AKN160" s="236"/>
      <c r="AKO160" s="236"/>
      <c r="AKP160" s="236"/>
      <c r="AKQ160" s="236"/>
      <c r="AKR160" s="236"/>
      <c r="AKS160" s="236"/>
      <c r="AKT160" s="236"/>
      <c r="AKU160" s="236"/>
      <c r="AKV160" s="236"/>
      <c r="AKW160" s="236"/>
      <c r="AKX160" s="236"/>
      <c r="AKY160" s="236"/>
      <c r="AKZ160" s="236"/>
      <c r="ALA160" s="236"/>
      <c r="ALB160" s="236"/>
      <c r="ALC160" s="236"/>
      <c r="ALD160" s="236"/>
      <c r="ALE160" s="236"/>
      <c r="ALF160" s="236"/>
      <c r="ALG160" s="236"/>
      <c r="ALH160" s="236"/>
      <c r="ALI160" s="236"/>
      <c r="ALJ160" s="236"/>
      <c r="ALK160" s="236"/>
      <c r="ALL160" s="236"/>
      <c r="ALM160" s="236"/>
      <c r="ALN160" s="236"/>
      <c r="ALO160" s="236"/>
      <c r="ALP160" s="236"/>
      <c r="ALQ160" s="236"/>
      <c r="ALR160" s="236"/>
      <c r="ALS160" s="236"/>
      <c r="ALT160" s="236"/>
      <c r="ALU160" s="236"/>
      <c r="ALV160" s="236"/>
      <c r="ALW160" s="236"/>
      <c r="ALX160" s="236"/>
      <c r="ALY160" s="236"/>
      <c r="ALZ160" s="236"/>
      <c r="AMA160" s="236"/>
      <c r="AMB160" s="236"/>
      <c r="AMC160" s="236"/>
      <c r="AMD160" s="236"/>
      <c r="AME160" s="236"/>
      <c r="AMF160" s="236"/>
      <c r="AMG160" s="236"/>
      <c r="AMH160" s="236"/>
      <c r="AMI160" s="236"/>
      <c r="AMJ160" s="236"/>
      <c r="AMK160" s="236"/>
      <c r="AML160" s="236"/>
      <c r="AMM160" s="236"/>
    </row>
    <row r="161" spans="1:50" s="243" customFormat="1" ht="30" customHeight="1">
      <c r="A161" s="2085" t="s">
        <v>3011</v>
      </c>
      <c r="B161" s="2086"/>
      <c r="C161" s="2086"/>
      <c r="D161" s="2086"/>
      <c r="E161" s="2086"/>
      <c r="F161" s="2086"/>
      <c r="G161" s="2086"/>
      <c r="H161" s="2086"/>
      <c r="I161" s="2086"/>
      <c r="J161" s="2086"/>
      <c r="K161" s="2086"/>
      <c r="L161" s="2087"/>
      <c r="M161" s="285"/>
      <c r="N161" s="1396" t="s">
        <v>46</v>
      </c>
      <c r="O161" s="1397"/>
      <c r="P161" s="1397"/>
      <c r="Q161" s="1397"/>
      <c r="R161" s="1398"/>
      <c r="S161" s="286"/>
      <c r="T161" s="286"/>
      <c r="U161" s="286"/>
      <c r="V161" s="1396" t="s">
        <v>501</v>
      </c>
      <c r="W161" s="1397"/>
      <c r="X161" s="1397"/>
      <c r="Y161" s="1397"/>
      <c r="Z161" s="1398"/>
      <c r="AA161" s="1062"/>
      <c r="AB161" s="1396" t="s">
        <v>385</v>
      </c>
      <c r="AC161" s="1398"/>
      <c r="AD161" s="1396"/>
      <c r="AE161" s="1397"/>
      <c r="AF161" s="1397"/>
      <c r="AG161" s="1397"/>
      <c r="AH161" s="1397"/>
      <c r="AI161" s="1397"/>
      <c r="AJ161" s="1397"/>
      <c r="AK161" s="1397"/>
      <c r="AL161" s="1397"/>
      <c r="AM161" s="1398"/>
      <c r="AN161" s="245"/>
      <c r="AO161" s="245"/>
      <c r="AP161" s="245"/>
      <c r="AQ161" s="245"/>
      <c r="AR161" s="245"/>
      <c r="AS161" s="245"/>
      <c r="AT161" s="245"/>
      <c r="AU161" s="245"/>
      <c r="AV161" s="245"/>
      <c r="AW161" s="245"/>
      <c r="AX161" s="245"/>
    </row>
    <row r="162" spans="1:50" s="243" customFormat="1" ht="30" customHeight="1">
      <c r="A162" s="2085"/>
      <c r="B162" s="2086"/>
      <c r="C162" s="2086"/>
      <c r="D162" s="2086"/>
      <c r="E162" s="2086"/>
      <c r="F162" s="2086"/>
      <c r="G162" s="2086"/>
      <c r="H162" s="2086"/>
      <c r="I162" s="2086"/>
      <c r="J162" s="2086"/>
      <c r="K162" s="2086"/>
      <c r="L162" s="2087"/>
      <c r="M162" s="285"/>
      <c r="N162" s="1396"/>
      <c r="O162" s="1397"/>
      <c r="P162" s="1397"/>
      <c r="Q162" s="1397"/>
      <c r="R162" s="1398"/>
      <c r="S162" s="286"/>
      <c r="T162" s="286"/>
      <c r="U162" s="286"/>
      <c r="V162" s="1396"/>
      <c r="W162" s="1397"/>
      <c r="X162" s="1397"/>
      <c r="Y162" s="1397"/>
      <c r="Z162" s="1398"/>
      <c r="AA162" s="1062"/>
      <c r="AB162" s="1396"/>
      <c r="AC162" s="1398"/>
      <c r="AD162" s="1396"/>
      <c r="AE162" s="1397"/>
      <c r="AF162" s="1397"/>
      <c r="AG162" s="1397"/>
      <c r="AH162" s="1397"/>
      <c r="AI162" s="1397"/>
      <c r="AJ162" s="1397"/>
      <c r="AK162" s="1397"/>
      <c r="AL162" s="1397"/>
      <c r="AM162" s="1398"/>
      <c r="AN162" s="245"/>
      <c r="AO162" s="245"/>
      <c r="AP162" s="245"/>
      <c r="AQ162" s="245"/>
      <c r="AR162" s="245"/>
      <c r="AS162" s="245"/>
      <c r="AT162" s="245"/>
      <c r="AU162" s="245"/>
      <c r="AV162" s="245"/>
      <c r="AW162" s="245"/>
      <c r="AX162" s="245"/>
    </row>
    <row r="163" spans="1:50" s="243" customFormat="1" ht="30" customHeight="1">
      <c r="A163" s="2088"/>
      <c r="B163" s="2089"/>
      <c r="C163" s="2089"/>
      <c r="D163" s="2089"/>
      <c r="E163" s="2089"/>
      <c r="F163" s="2089"/>
      <c r="G163" s="2089"/>
      <c r="H163" s="2089"/>
      <c r="I163" s="2089"/>
      <c r="J163" s="2089"/>
      <c r="K163" s="2089"/>
      <c r="L163" s="2090"/>
      <c r="M163" s="285"/>
      <c r="N163" s="1396"/>
      <c r="O163" s="1397"/>
      <c r="P163" s="1397"/>
      <c r="Q163" s="1397"/>
      <c r="R163" s="1398"/>
      <c r="S163" s="286"/>
      <c r="T163" s="286"/>
      <c r="U163" s="286"/>
      <c r="V163" s="1396"/>
      <c r="W163" s="1397"/>
      <c r="X163" s="1397"/>
      <c r="Y163" s="1397"/>
      <c r="Z163" s="1398"/>
      <c r="AA163" s="1062"/>
      <c r="AB163" s="1396"/>
      <c r="AC163" s="1398"/>
      <c r="AD163" s="1396"/>
      <c r="AE163" s="1397"/>
      <c r="AF163" s="1397"/>
      <c r="AG163" s="1397"/>
      <c r="AH163" s="1397"/>
      <c r="AI163" s="1397"/>
      <c r="AJ163" s="1397"/>
      <c r="AK163" s="1397"/>
      <c r="AL163" s="1397"/>
      <c r="AM163" s="1398"/>
      <c r="AN163" s="245"/>
      <c r="AO163" s="245"/>
      <c r="AP163" s="245"/>
      <c r="AQ163" s="245"/>
      <c r="AR163" s="245"/>
      <c r="AS163" s="245"/>
      <c r="AT163" s="245"/>
      <c r="AU163" s="245"/>
      <c r="AV163" s="245"/>
      <c r="AW163" s="245"/>
      <c r="AX163" s="245"/>
    </row>
    <row r="164" spans="1:50" s="243" customFormat="1" ht="30" customHeight="1">
      <c r="A164" s="300"/>
      <c r="B164" s="300"/>
      <c r="C164" s="300"/>
      <c r="D164" s="300"/>
      <c r="E164" s="300"/>
      <c r="F164" s="300"/>
      <c r="G164" s="300"/>
      <c r="H164" s="300"/>
      <c r="I164" s="300"/>
      <c r="J164" s="300"/>
      <c r="K164" s="300"/>
      <c r="L164" s="300"/>
      <c r="M164" s="285"/>
      <c r="N164" s="1403"/>
      <c r="O164" s="1403"/>
      <c r="P164" s="1403"/>
      <c r="Q164" s="1403"/>
      <c r="R164" s="1403"/>
      <c r="S164" s="288"/>
      <c r="T164" s="288"/>
      <c r="U164" s="288"/>
      <c r="V164" s="1403"/>
      <c r="W164" s="1403"/>
      <c r="X164" s="1403"/>
      <c r="Y164" s="1403"/>
      <c r="Z164" s="1403"/>
      <c r="AA164" s="1064"/>
      <c r="AB164" s="611"/>
      <c r="AC164" s="611"/>
      <c r="AD164" s="288"/>
      <c r="AE164" s="288"/>
      <c r="AF164" s="288"/>
      <c r="AG164" s="288"/>
      <c r="AH164" s="288"/>
      <c r="AI164" s="288"/>
      <c r="AJ164" s="288"/>
      <c r="AK164" s="288"/>
      <c r="AL164" s="288"/>
      <c r="AM164" s="288"/>
      <c r="AN164" s="245"/>
      <c r="AO164" s="245"/>
      <c r="AP164" s="245"/>
      <c r="AQ164" s="245"/>
      <c r="AR164" s="245"/>
      <c r="AS164" s="245"/>
      <c r="AT164" s="245"/>
      <c r="AU164" s="245"/>
      <c r="AV164" s="245"/>
      <c r="AW164" s="245"/>
      <c r="AX164" s="245"/>
    </row>
    <row r="165" spans="1:50">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row>
    <row r="166" spans="1:50">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c r="AK166" s="233"/>
      <c r="AL166" s="233"/>
      <c r="AM166" s="233"/>
    </row>
  </sheetData>
  <sheetProtection formatCells="0" formatColumns="0" formatRows="0" insertRows="0" deleteColumns="0" sort="0" autoFilter="0"/>
  <mergeCells count="785">
    <mergeCell ref="AW1:AX4"/>
    <mergeCell ref="G2:V2"/>
    <mergeCell ref="AP2:AQ2"/>
    <mergeCell ref="AR2:AS2"/>
    <mergeCell ref="A3:A4"/>
    <mergeCell ref="G3:H3"/>
    <mergeCell ref="I3:N3"/>
    <mergeCell ref="O3:V3"/>
    <mergeCell ref="Z3:AB4"/>
    <mergeCell ref="AC3:AC4"/>
    <mergeCell ref="G1:V1"/>
    <mergeCell ref="X1:Y4"/>
    <mergeCell ref="Z1:AB2"/>
    <mergeCell ref="AC1:AC2"/>
    <mergeCell ref="AD1:AN2"/>
    <mergeCell ref="AP1:AS1"/>
    <mergeCell ref="AD3:AN4"/>
    <mergeCell ref="AP3:AQ3"/>
    <mergeCell ref="AR3:AS3"/>
    <mergeCell ref="G4:H4"/>
    <mergeCell ref="I4:N4"/>
    <mergeCell ref="O4:V4"/>
    <mergeCell ref="AP4:AQ4"/>
    <mergeCell ref="AR4:AS4"/>
    <mergeCell ref="AT6:AX6"/>
    <mergeCell ref="A7:A8"/>
    <mergeCell ref="B7:B8"/>
    <mergeCell ref="C7:E8"/>
    <mergeCell ref="F7:F8"/>
    <mergeCell ref="G7:I8"/>
    <mergeCell ref="J7:L8"/>
    <mergeCell ref="M7:P7"/>
    <mergeCell ref="Q7:V7"/>
    <mergeCell ref="X7:Z8"/>
    <mergeCell ref="AU7:AU8"/>
    <mergeCell ref="AV7:AV8"/>
    <mergeCell ref="AW7:AW8"/>
    <mergeCell ref="AX7:AX8"/>
    <mergeCell ref="AR7:AR8"/>
    <mergeCell ref="AS7:AS8"/>
    <mergeCell ref="AT7:AT8"/>
    <mergeCell ref="A6:P6"/>
    <mergeCell ref="Q6:V6"/>
    <mergeCell ref="X6:AM6"/>
    <mergeCell ref="AA7:AA8"/>
    <mergeCell ref="A9:A12"/>
    <mergeCell ref="B9:B12"/>
    <mergeCell ref="C9:E12"/>
    <mergeCell ref="F9:F12"/>
    <mergeCell ref="G9:I9"/>
    <mergeCell ref="J9:L12"/>
    <mergeCell ref="AO7:AO8"/>
    <mergeCell ref="AP7:AP8"/>
    <mergeCell ref="AQ7:AQ8"/>
    <mergeCell ref="AB7:AB8"/>
    <mergeCell ref="AC7:AC8"/>
    <mergeCell ref="AD7:AD8"/>
    <mergeCell ref="AE7:AE8"/>
    <mergeCell ref="AI7:AM7"/>
    <mergeCell ref="AN7:AN8"/>
    <mergeCell ref="G10:I10"/>
    <mergeCell ref="X10:Z10"/>
    <mergeCell ref="G11:I11"/>
    <mergeCell ref="X11:Z11"/>
    <mergeCell ref="G12:I12"/>
    <mergeCell ref="X12:Z12"/>
    <mergeCell ref="V9:V12"/>
    <mergeCell ref="X9:Z9"/>
    <mergeCell ref="AD9:AD12"/>
    <mergeCell ref="AV9:AV12"/>
    <mergeCell ref="AW9:AW12"/>
    <mergeCell ref="AX9:AX12"/>
    <mergeCell ref="AM9:AM12"/>
    <mergeCell ref="AN9:AN12"/>
    <mergeCell ref="AO9:AO12"/>
    <mergeCell ref="AP9:AP12"/>
    <mergeCell ref="AQ9:AQ12"/>
    <mergeCell ref="AR9:AR12"/>
    <mergeCell ref="AS9:AS12"/>
    <mergeCell ref="AT9:AT12"/>
    <mergeCell ref="AU9:AU12"/>
    <mergeCell ref="AE9:AE12"/>
    <mergeCell ref="AI9:AI12"/>
    <mergeCell ref="AK9:AK12"/>
    <mergeCell ref="M9:M12"/>
    <mergeCell ref="N9:N12"/>
    <mergeCell ref="O9:O12"/>
    <mergeCell ref="P9:P12"/>
    <mergeCell ref="Q9:Q12"/>
    <mergeCell ref="R9:R12"/>
    <mergeCell ref="AA9:AA12"/>
    <mergeCell ref="M13:M16"/>
    <mergeCell ref="N13:N16"/>
    <mergeCell ref="O13:O16"/>
    <mergeCell ref="P13:P16"/>
    <mergeCell ref="Q13:Q16"/>
    <mergeCell ref="R13:R16"/>
    <mergeCell ref="A13:A16"/>
    <mergeCell ref="B13:B16"/>
    <mergeCell ref="C13:E16"/>
    <mergeCell ref="F13:F16"/>
    <mergeCell ref="G13:I13"/>
    <mergeCell ref="J13:L16"/>
    <mergeCell ref="G14:I14"/>
    <mergeCell ref="G15:I15"/>
    <mergeCell ref="G16:I16"/>
    <mergeCell ref="V13:V16"/>
    <mergeCell ref="X13:Z13"/>
    <mergeCell ref="AD13:AD16"/>
    <mergeCell ref="AE13:AE16"/>
    <mergeCell ref="AI13:AI16"/>
    <mergeCell ref="AK13:AK16"/>
    <mergeCell ref="X14:Z14"/>
    <mergeCell ref="X15:Z15"/>
    <mergeCell ref="X16:Z16"/>
    <mergeCell ref="AA13:AA16"/>
    <mergeCell ref="AS13:AS16"/>
    <mergeCell ref="AT13:AT16"/>
    <mergeCell ref="AU13:AU16"/>
    <mergeCell ref="AV13:AV16"/>
    <mergeCell ref="AW13:AW16"/>
    <mergeCell ref="AX13:AX16"/>
    <mergeCell ref="AM13:AM16"/>
    <mergeCell ref="AN13:AN16"/>
    <mergeCell ref="AO13:AO16"/>
    <mergeCell ref="AP13:AP16"/>
    <mergeCell ref="AQ13:AQ16"/>
    <mergeCell ref="AR13:AR16"/>
    <mergeCell ref="AK17:AK20"/>
    <mergeCell ref="M17:M20"/>
    <mergeCell ref="N17:N20"/>
    <mergeCell ref="O17:O20"/>
    <mergeCell ref="P17:P20"/>
    <mergeCell ref="Q17:Q20"/>
    <mergeCell ref="R17:R20"/>
    <mergeCell ref="A17:A20"/>
    <mergeCell ref="B17:B20"/>
    <mergeCell ref="C17:E20"/>
    <mergeCell ref="F17:F20"/>
    <mergeCell ref="G17:I17"/>
    <mergeCell ref="J17:L20"/>
    <mergeCell ref="AA17:AA20"/>
    <mergeCell ref="AX17:AX20"/>
    <mergeCell ref="G18:I18"/>
    <mergeCell ref="X18:Z18"/>
    <mergeCell ref="G19:I19"/>
    <mergeCell ref="X19:Z19"/>
    <mergeCell ref="G20:I20"/>
    <mergeCell ref="X20:Z20"/>
    <mergeCell ref="AR17:AR20"/>
    <mergeCell ref="AS17:AS20"/>
    <mergeCell ref="AT17:AT20"/>
    <mergeCell ref="AU17:AU20"/>
    <mergeCell ref="AV17:AV20"/>
    <mergeCell ref="AW17:AW20"/>
    <mergeCell ref="AL17:AL20"/>
    <mergeCell ref="AM17:AM20"/>
    <mergeCell ref="AN17:AN20"/>
    <mergeCell ref="AO17:AO20"/>
    <mergeCell ref="AP17:AP20"/>
    <mergeCell ref="AQ17:AQ20"/>
    <mergeCell ref="V17:V20"/>
    <mergeCell ref="X17:Z17"/>
    <mergeCell ref="AD17:AD20"/>
    <mergeCell ref="AE17:AE20"/>
    <mergeCell ref="AI17:AI20"/>
    <mergeCell ref="M21:M26"/>
    <mergeCell ref="N21:N26"/>
    <mergeCell ref="O21:O26"/>
    <mergeCell ref="P21:P26"/>
    <mergeCell ref="Q21:Q26"/>
    <mergeCell ref="R21:R26"/>
    <mergeCell ref="A21:A26"/>
    <mergeCell ref="B21:B26"/>
    <mergeCell ref="C21:E26"/>
    <mergeCell ref="F21:F26"/>
    <mergeCell ref="G21:I21"/>
    <mergeCell ref="J21:L26"/>
    <mergeCell ref="G26:I26"/>
    <mergeCell ref="AE21:AE26"/>
    <mergeCell ref="AF21:AF26"/>
    <mergeCell ref="AI21:AI26"/>
    <mergeCell ref="AJ21:AJ26"/>
    <mergeCell ref="S21:S26"/>
    <mergeCell ref="T21:T26"/>
    <mergeCell ref="U21:U26"/>
    <mergeCell ref="V21:V26"/>
    <mergeCell ref="W21:W26"/>
    <mergeCell ref="X21:Z21"/>
    <mergeCell ref="X26:Z26"/>
    <mergeCell ref="AA21:AA26"/>
    <mergeCell ref="AW21:AW26"/>
    <mergeCell ref="AX21:AX26"/>
    <mergeCell ref="G22:I22"/>
    <mergeCell ref="X22:Z22"/>
    <mergeCell ref="G23:I23"/>
    <mergeCell ref="X23:Z23"/>
    <mergeCell ref="G24:I24"/>
    <mergeCell ref="X24:Z24"/>
    <mergeCell ref="G25:I25"/>
    <mergeCell ref="X25:Z25"/>
    <mergeCell ref="AQ21:AQ26"/>
    <mergeCell ref="AR21:AR26"/>
    <mergeCell ref="AS21:AS26"/>
    <mergeCell ref="AT21:AT26"/>
    <mergeCell ref="AU21:AU26"/>
    <mergeCell ref="AV21:AV26"/>
    <mergeCell ref="AK21:AK26"/>
    <mergeCell ref="AL21:AL24"/>
    <mergeCell ref="AM21:AM26"/>
    <mergeCell ref="AN21:AN26"/>
    <mergeCell ref="AO21:AO26"/>
    <mergeCell ref="AP21:AP26"/>
    <mergeCell ref="AC21:AC26"/>
    <mergeCell ref="AD21:AD26"/>
    <mergeCell ref="AF27:AF29"/>
    <mergeCell ref="M27:M29"/>
    <mergeCell ref="N27:N29"/>
    <mergeCell ref="O27:O29"/>
    <mergeCell ref="P27:P29"/>
    <mergeCell ref="Q27:Q29"/>
    <mergeCell ref="R27:R29"/>
    <mergeCell ref="A27:A29"/>
    <mergeCell ref="B27:B29"/>
    <mergeCell ref="C27:E29"/>
    <mergeCell ref="F27:F29"/>
    <mergeCell ref="G27:I27"/>
    <mergeCell ref="J27:L29"/>
    <mergeCell ref="AA27:AA29"/>
    <mergeCell ref="AV27:AV29"/>
    <mergeCell ref="AW27:AW29"/>
    <mergeCell ref="AX27:AX29"/>
    <mergeCell ref="G28:I28"/>
    <mergeCell ref="X28:Z28"/>
    <mergeCell ref="G29:I29"/>
    <mergeCell ref="X29:Z29"/>
    <mergeCell ref="AP27:AP29"/>
    <mergeCell ref="AQ27:AQ29"/>
    <mergeCell ref="AR27:AR29"/>
    <mergeCell ref="AS27:AS29"/>
    <mergeCell ref="AT27:AT29"/>
    <mergeCell ref="AU27:AU29"/>
    <mergeCell ref="AI27:AI29"/>
    <mergeCell ref="AJ27:AJ29"/>
    <mergeCell ref="AK27:AK29"/>
    <mergeCell ref="AM27:AM29"/>
    <mergeCell ref="AN27:AN29"/>
    <mergeCell ref="AO27:AO29"/>
    <mergeCell ref="V27:V29"/>
    <mergeCell ref="X27:Z27"/>
    <mergeCell ref="AC27:AC29"/>
    <mergeCell ref="AD27:AD29"/>
    <mergeCell ref="AE27:AE29"/>
    <mergeCell ref="C32:E32"/>
    <mergeCell ref="G32:I32"/>
    <mergeCell ref="J32:L32"/>
    <mergeCell ref="X32:Z32"/>
    <mergeCell ref="C33:E33"/>
    <mergeCell ref="G33:I33"/>
    <mergeCell ref="J33:L33"/>
    <mergeCell ref="X33:Z33"/>
    <mergeCell ref="C30:E30"/>
    <mergeCell ref="G30:I30"/>
    <mergeCell ref="J30:L30"/>
    <mergeCell ref="X30:Z30"/>
    <mergeCell ref="C31:E31"/>
    <mergeCell ref="G31:I31"/>
    <mergeCell ref="J31:L31"/>
    <mergeCell ref="X31:Z31"/>
    <mergeCell ref="C36:E36"/>
    <mergeCell ref="G36:I36"/>
    <mergeCell ref="J36:L36"/>
    <mergeCell ref="X36:Z36"/>
    <mergeCell ref="C37:E37"/>
    <mergeCell ref="G37:I37"/>
    <mergeCell ref="J37:L37"/>
    <mergeCell ref="X37:Z37"/>
    <mergeCell ref="C34:E34"/>
    <mergeCell ref="G34:I34"/>
    <mergeCell ref="J34:L34"/>
    <mergeCell ref="X34:Z34"/>
    <mergeCell ref="C35:E35"/>
    <mergeCell ref="G35:I35"/>
    <mergeCell ref="J35:L35"/>
    <mergeCell ref="X35:Z35"/>
    <mergeCell ref="C40:E40"/>
    <mergeCell ref="G40:I40"/>
    <mergeCell ref="J40:L40"/>
    <mergeCell ref="X40:Z40"/>
    <mergeCell ref="C41:E41"/>
    <mergeCell ref="G41:I41"/>
    <mergeCell ref="J41:L41"/>
    <mergeCell ref="X41:Z41"/>
    <mergeCell ref="C38:E38"/>
    <mergeCell ref="G38:I38"/>
    <mergeCell ref="J38:L38"/>
    <mergeCell ref="X38:Z38"/>
    <mergeCell ref="C39:E39"/>
    <mergeCell ref="G39:I39"/>
    <mergeCell ref="J39:L39"/>
    <mergeCell ref="X39:Z39"/>
    <mergeCell ref="C44:E44"/>
    <mergeCell ref="G44:I44"/>
    <mergeCell ref="J44:L44"/>
    <mergeCell ref="X44:Z44"/>
    <mergeCell ref="C45:E45"/>
    <mergeCell ref="G45:I45"/>
    <mergeCell ref="J45:L45"/>
    <mergeCell ref="X45:Z45"/>
    <mergeCell ref="C42:E42"/>
    <mergeCell ref="G42:I42"/>
    <mergeCell ref="J42:L42"/>
    <mergeCell ref="X42:Z42"/>
    <mergeCell ref="C43:E43"/>
    <mergeCell ref="G43:I43"/>
    <mergeCell ref="J43:L43"/>
    <mergeCell ref="X43:Z43"/>
    <mergeCell ref="C48:E48"/>
    <mergeCell ref="G48:I48"/>
    <mergeCell ref="J48:L48"/>
    <mergeCell ref="X48:Z48"/>
    <mergeCell ref="C49:E49"/>
    <mergeCell ref="G49:I49"/>
    <mergeCell ref="J49:L49"/>
    <mergeCell ref="X49:Z49"/>
    <mergeCell ref="C46:E46"/>
    <mergeCell ref="G46:I46"/>
    <mergeCell ref="J46:L46"/>
    <mergeCell ref="X46:Z46"/>
    <mergeCell ref="C47:E47"/>
    <mergeCell ref="G47:I47"/>
    <mergeCell ref="J47:L47"/>
    <mergeCell ref="X47:Z47"/>
    <mergeCell ref="C52:E52"/>
    <mergeCell ref="G52:I52"/>
    <mergeCell ref="J52:L52"/>
    <mergeCell ref="X52:Z52"/>
    <mergeCell ref="C53:E53"/>
    <mergeCell ref="G53:I53"/>
    <mergeCell ref="J53:L53"/>
    <mergeCell ref="X53:Z53"/>
    <mergeCell ref="C50:E50"/>
    <mergeCell ref="G50:I50"/>
    <mergeCell ref="J50:L50"/>
    <mergeCell ref="X50:Z50"/>
    <mergeCell ref="C51:E51"/>
    <mergeCell ref="G51:I51"/>
    <mergeCell ref="J51:L51"/>
    <mergeCell ref="X51:Z51"/>
    <mergeCell ref="C56:E56"/>
    <mergeCell ref="G56:I56"/>
    <mergeCell ref="J56:L56"/>
    <mergeCell ref="X56:Z56"/>
    <mergeCell ref="C57:E57"/>
    <mergeCell ref="G57:I57"/>
    <mergeCell ref="J57:L57"/>
    <mergeCell ref="X57:Z57"/>
    <mergeCell ref="C54:E54"/>
    <mergeCell ref="G54:I54"/>
    <mergeCell ref="J54:L54"/>
    <mergeCell ref="X54:Z54"/>
    <mergeCell ref="C55:E55"/>
    <mergeCell ref="G55:I55"/>
    <mergeCell ref="J55:L55"/>
    <mergeCell ref="X55:Z55"/>
    <mergeCell ref="C60:E60"/>
    <mergeCell ref="G60:I60"/>
    <mergeCell ref="J60:L60"/>
    <mergeCell ref="X60:Z60"/>
    <mergeCell ref="C61:E61"/>
    <mergeCell ref="G61:I61"/>
    <mergeCell ref="J61:L61"/>
    <mergeCell ref="X61:Z61"/>
    <mergeCell ref="C58:E58"/>
    <mergeCell ref="G58:I58"/>
    <mergeCell ref="J58:L58"/>
    <mergeCell ref="X58:Z58"/>
    <mergeCell ref="C59:E59"/>
    <mergeCell ref="G59:I59"/>
    <mergeCell ref="J59:L59"/>
    <mergeCell ref="X59:Z59"/>
    <mergeCell ref="C64:E64"/>
    <mergeCell ref="G64:I64"/>
    <mergeCell ref="J64:L64"/>
    <mergeCell ref="X64:Z64"/>
    <mergeCell ref="C65:E65"/>
    <mergeCell ref="G65:I65"/>
    <mergeCell ref="J65:L65"/>
    <mergeCell ref="X65:Z65"/>
    <mergeCell ref="C62:E62"/>
    <mergeCell ref="G62:I62"/>
    <mergeCell ref="J62:L62"/>
    <mergeCell ref="X62:Z62"/>
    <mergeCell ref="C63:E63"/>
    <mergeCell ref="G63:I63"/>
    <mergeCell ref="J63:L63"/>
    <mergeCell ref="X63:Z63"/>
    <mergeCell ref="C68:E68"/>
    <mergeCell ref="G68:I68"/>
    <mergeCell ref="J68:L68"/>
    <mergeCell ref="X68:Z68"/>
    <mergeCell ref="C69:E69"/>
    <mergeCell ref="G69:I69"/>
    <mergeCell ref="J69:L69"/>
    <mergeCell ref="X69:Z69"/>
    <mergeCell ref="C66:E66"/>
    <mergeCell ref="G66:I66"/>
    <mergeCell ref="J66:L66"/>
    <mergeCell ref="X66:Z66"/>
    <mergeCell ref="C67:E67"/>
    <mergeCell ref="G67:I67"/>
    <mergeCell ref="J67:L67"/>
    <mergeCell ref="X67:Z67"/>
    <mergeCell ref="C72:E72"/>
    <mergeCell ref="G72:I72"/>
    <mergeCell ref="J72:L72"/>
    <mergeCell ref="X72:Z72"/>
    <mergeCell ref="C73:E73"/>
    <mergeCell ref="G73:I73"/>
    <mergeCell ref="J73:L73"/>
    <mergeCell ref="X73:Z73"/>
    <mergeCell ref="C70:E70"/>
    <mergeCell ref="G70:I70"/>
    <mergeCell ref="J70:L70"/>
    <mergeCell ref="X70:Z70"/>
    <mergeCell ref="C71:E71"/>
    <mergeCell ref="G71:I71"/>
    <mergeCell ref="J71:L71"/>
    <mergeCell ref="X71:Z71"/>
    <mergeCell ref="C76:E76"/>
    <mergeCell ref="G76:I76"/>
    <mergeCell ref="J76:L76"/>
    <mergeCell ref="X76:Z76"/>
    <mergeCell ref="C77:E77"/>
    <mergeCell ref="G77:I77"/>
    <mergeCell ref="J77:L77"/>
    <mergeCell ref="X77:Z77"/>
    <mergeCell ref="C74:E74"/>
    <mergeCell ref="G74:I74"/>
    <mergeCell ref="J74:L74"/>
    <mergeCell ref="X74:Z74"/>
    <mergeCell ref="C75:E75"/>
    <mergeCell ref="G75:I75"/>
    <mergeCell ref="J75:L75"/>
    <mergeCell ref="X75:Z75"/>
    <mergeCell ref="C80:E80"/>
    <mergeCell ref="G80:I80"/>
    <mergeCell ref="J80:L80"/>
    <mergeCell ref="X80:Z80"/>
    <mergeCell ref="C81:E81"/>
    <mergeCell ref="G81:I81"/>
    <mergeCell ref="J81:L81"/>
    <mergeCell ref="X81:Z81"/>
    <mergeCell ref="C78:E78"/>
    <mergeCell ref="G78:I78"/>
    <mergeCell ref="J78:L78"/>
    <mergeCell ref="X78:Z78"/>
    <mergeCell ref="C79:E79"/>
    <mergeCell ref="G79:I79"/>
    <mergeCell ref="J79:L79"/>
    <mergeCell ref="X79:Z79"/>
    <mergeCell ref="C84:E84"/>
    <mergeCell ref="G84:I84"/>
    <mergeCell ref="J84:L84"/>
    <mergeCell ref="X84:Z84"/>
    <mergeCell ref="C85:E85"/>
    <mergeCell ref="G85:I85"/>
    <mergeCell ref="J85:L85"/>
    <mergeCell ref="X85:Z85"/>
    <mergeCell ref="C82:E82"/>
    <mergeCell ref="G82:I82"/>
    <mergeCell ref="J82:L82"/>
    <mergeCell ref="X82:Z82"/>
    <mergeCell ref="C83:E83"/>
    <mergeCell ref="G83:I83"/>
    <mergeCell ref="J83:L83"/>
    <mergeCell ref="X83:Z83"/>
    <mergeCell ref="C88:E88"/>
    <mergeCell ref="G88:I88"/>
    <mergeCell ref="J88:L88"/>
    <mergeCell ref="X88:Z88"/>
    <mergeCell ref="C89:E89"/>
    <mergeCell ref="G89:I89"/>
    <mergeCell ref="J89:L89"/>
    <mergeCell ref="X89:Z89"/>
    <mergeCell ref="C86:E86"/>
    <mergeCell ref="G86:I86"/>
    <mergeCell ref="J86:L86"/>
    <mergeCell ref="X86:Z86"/>
    <mergeCell ref="C87:E87"/>
    <mergeCell ref="G87:I87"/>
    <mergeCell ref="J87:L87"/>
    <mergeCell ref="X87:Z87"/>
    <mergeCell ref="C92:E92"/>
    <mergeCell ref="G92:I92"/>
    <mergeCell ref="J92:L92"/>
    <mergeCell ref="X92:Z92"/>
    <mergeCell ref="C93:E93"/>
    <mergeCell ref="G93:I93"/>
    <mergeCell ref="J93:L93"/>
    <mergeCell ref="X93:Z93"/>
    <mergeCell ref="C90:E90"/>
    <mergeCell ref="G90:I90"/>
    <mergeCell ref="J90:L90"/>
    <mergeCell ref="X90:Z90"/>
    <mergeCell ref="C91:E91"/>
    <mergeCell ref="G91:I91"/>
    <mergeCell ref="J91:L91"/>
    <mergeCell ref="X91:Z91"/>
    <mergeCell ref="C96:E96"/>
    <mergeCell ref="G96:I96"/>
    <mergeCell ref="J96:L96"/>
    <mergeCell ref="X96:Z96"/>
    <mergeCell ref="C97:E97"/>
    <mergeCell ref="G97:I97"/>
    <mergeCell ref="J97:L97"/>
    <mergeCell ref="X97:Z97"/>
    <mergeCell ref="C94:E94"/>
    <mergeCell ref="G94:I94"/>
    <mergeCell ref="J94:L94"/>
    <mergeCell ref="X94:Z94"/>
    <mergeCell ref="C95:E95"/>
    <mergeCell ref="G95:I95"/>
    <mergeCell ref="J95:L95"/>
    <mergeCell ref="X95:Z95"/>
    <mergeCell ref="C100:E100"/>
    <mergeCell ref="G100:I100"/>
    <mergeCell ref="J100:L100"/>
    <mergeCell ref="X100:Z100"/>
    <mergeCell ref="C101:E101"/>
    <mergeCell ref="G101:I101"/>
    <mergeCell ref="J101:L101"/>
    <mergeCell ref="X101:Z101"/>
    <mergeCell ref="C98:E98"/>
    <mergeCell ref="G98:I98"/>
    <mergeCell ref="J98:L98"/>
    <mergeCell ref="X98:Z98"/>
    <mergeCell ref="C99:E99"/>
    <mergeCell ref="G99:I99"/>
    <mergeCell ref="J99:L99"/>
    <mergeCell ref="X99:Z99"/>
    <mergeCell ref="C104:E104"/>
    <mergeCell ref="G104:I104"/>
    <mergeCell ref="J104:L104"/>
    <mergeCell ref="X104:Z104"/>
    <mergeCell ref="C105:E105"/>
    <mergeCell ref="G105:I105"/>
    <mergeCell ref="J105:L105"/>
    <mergeCell ref="X105:Z105"/>
    <mergeCell ref="C102:E102"/>
    <mergeCell ref="G102:I102"/>
    <mergeCell ref="J102:L102"/>
    <mergeCell ref="X102:Z102"/>
    <mergeCell ref="C103:E103"/>
    <mergeCell ref="G103:I103"/>
    <mergeCell ref="J103:L103"/>
    <mergeCell ref="X103:Z103"/>
    <mergeCell ref="C108:E108"/>
    <mergeCell ref="G108:I108"/>
    <mergeCell ref="J108:L108"/>
    <mergeCell ref="X108:Z108"/>
    <mergeCell ref="C109:E109"/>
    <mergeCell ref="G109:I109"/>
    <mergeCell ref="J109:L109"/>
    <mergeCell ref="X109:Z109"/>
    <mergeCell ref="C106:E106"/>
    <mergeCell ref="G106:I106"/>
    <mergeCell ref="J106:L106"/>
    <mergeCell ref="X106:Z106"/>
    <mergeCell ref="C107:E107"/>
    <mergeCell ref="G107:I107"/>
    <mergeCell ref="J107:L107"/>
    <mergeCell ref="X107:Z107"/>
    <mergeCell ref="C112:E112"/>
    <mergeCell ref="G112:I112"/>
    <mergeCell ref="J112:L112"/>
    <mergeCell ref="X112:Z112"/>
    <mergeCell ref="C113:E113"/>
    <mergeCell ref="G113:I113"/>
    <mergeCell ref="J113:L113"/>
    <mergeCell ref="X113:Z113"/>
    <mergeCell ref="C110:E110"/>
    <mergeCell ref="G110:I110"/>
    <mergeCell ref="J110:L110"/>
    <mergeCell ref="X110:Z110"/>
    <mergeCell ref="C111:E111"/>
    <mergeCell ref="G111:I111"/>
    <mergeCell ref="J111:L111"/>
    <mergeCell ref="X111:Z111"/>
    <mergeCell ref="C116:E116"/>
    <mergeCell ref="G116:I116"/>
    <mergeCell ref="J116:L116"/>
    <mergeCell ref="X116:Z116"/>
    <mergeCell ref="C117:E117"/>
    <mergeCell ref="G117:I117"/>
    <mergeCell ref="J117:L117"/>
    <mergeCell ref="X117:Z117"/>
    <mergeCell ref="C114:E114"/>
    <mergeCell ref="G114:I114"/>
    <mergeCell ref="J114:L114"/>
    <mergeCell ref="X114:Z114"/>
    <mergeCell ref="C115:E115"/>
    <mergeCell ref="G115:I115"/>
    <mergeCell ref="J115:L115"/>
    <mergeCell ref="X115:Z115"/>
    <mergeCell ref="C120:E120"/>
    <mergeCell ref="G120:I120"/>
    <mergeCell ref="J120:L120"/>
    <mergeCell ref="X120:Z120"/>
    <mergeCell ref="C121:E121"/>
    <mergeCell ref="G121:I121"/>
    <mergeCell ref="J121:L121"/>
    <mergeCell ref="X121:Z121"/>
    <mergeCell ref="C118:E118"/>
    <mergeCell ref="G118:I118"/>
    <mergeCell ref="J118:L118"/>
    <mergeCell ref="X118:Z118"/>
    <mergeCell ref="C119:E119"/>
    <mergeCell ref="G119:I119"/>
    <mergeCell ref="J119:L119"/>
    <mergeCell ref="X119:Z119"/>
    <mergeCell ref="C124:E124"/>
    <mergeCell ref="G124:I124"/>
    <mergeCell ref="J124:L124"/>
    <mergeCell ref="X124:Z124"/>
    <mergeCell ref="C125:E125"/>
    <mergeCell ref="G125:I125"/>
    <mergeCell ref="J125:L125"/>
    <mergeCell ref="X125:Z125"/>
    <mergeCell ref="C122:E122"/>
    <mergeCell ref="G122:I122"/>
    <mergeCell ref="J122:L122"/>
    <mergeCell ref="X122:Z122"/>
    <mergeCell ref="C123:E123"/>
    <mergeCell ref="G123:I123"/>
    <mergeCell ref="J123:L123"/>
    <mergeCell ref="X123:Z123"/>
    <mergeCell ref="C128:E128"/>
    <mergeCell ref="G128:I128"/>
    <mergeCell ref="J128:L128"/>
    <mergeCell ref="X128:Z128"/>
    <mergeCell ref="C129:E129"/>
    <mergeCell ref="G129:I129"/>
    <mergeCell ref="J129:L129"/>
    <mergeCell ref="X129:Z129"/>
    <mergeCell ref="C126:E126"/>
    <mergeCell ref="G126:I126"/>
    <mergeCell ref="J126:L126"/>
    <mergeCell ref="X126:Z126"/>
    <mergeCell ref="C127:E127"/>
    <mergeCell ref="G127:I127"/>
    <mergeCell ref="J127:L127"/>
    <mergeCell ref="X127:Z127"/>
    <mergeCell ref="C132:E132"/>
    <mergeCell ref="G132:I132"/>
    <mergeCell ref="J132:L132"/>
    <mergeCell ref="X132:Z132"/>
    <mergeCell ref="C133:E133"/>
    <mergeCell ref="G133:I133"/>
    <mergeCell ref="J133:L133"/>
    <mergeCell ref="X133:Z133"/>
    <mergeCell ref="C130:E130"/>
    <mergeCell ref="G130:I130"/>
    <mergeCell ref="J130:L130"/>
    <mergeCell ref="X130:Z130"/>
    <mergeCell ref="C131:E131"/>
    <mergeCell ref="G131:I131"/>
    <mergeCell ref="J131:L131"/>
    <mergeCell ref="X131:Z131"/>
    <mergeCell ref="C136:E136"/>
    <mergeCell ref="G136:I136"/>
    <mergeCell ref="J136:L136"/>
    <mergeCell ref="X136:Z136"/>
    <mergeCell ref="C137:E137"/>
    <mergeCell ref="G137:I137"/>
    <mergeCell ref="J137:L137"/>
    <mergeCell ref="X137:Z137"/>
    <mergeCell ref="C134:E134"/>
    <mergeCell ref="G134:I134"/>
    <mergeCell ref="J134:L134"/>
    <mergeCell ref="X134:Z134"/>
    <mergeCell ref="C135:E135"/>
    <mergeCell ref="G135:I135"/>
    <mergeCell ref="J135:L135"/>
    <mergeCell ref="X135:Z135"/>
    <mergeCell ref="C140:E140"/>
    <mergeCell ref="G140:I140"/>
    <mergeCell ref="J140:L140"/>
    <mergeCell ref="X140:Z140"/>
    <mergeCell ref="C141:E141"/>
    <mergeCell ref="G141:I141"/>
    <mergeCell ref="J141:L141"/>
    <mergeCell ref="X141:Z141"/>
    <mergeCell ref="C138:E138"/>
    <mergeCell ref="G138:I138"/>
    <mergeCell ref="J138:L138"/>
    <mergeCell ref="X138:Z138"/>
    <mergeCell ref="C139:E139"/>
    <mergeCell ref="G139:I139"/>
    <mergeCell ref="J139:L139"/>
    <mergeCell ref="X139:Z139"/>
    <mergeCell ref="C144:E144"/>
    <mergeCell ref="G144:I144"/>
    <mergeCell ref="J144:L144"/>
    <mergeCell ref="X144:Z144"/>
    <mergeCell ref="C145:E145"/>
    <mergeCell ref="G145:I145"/>
    <mergeCell ref="J145:L145"/>
    <mergeCell ref="X145:Z145"/>
    <mergeCell ref="C142:E142"/>
    <mergeCell ref="G142:I142"/>
    <mergeCell ref="J142:L142"/>
    <mergeCell ref="X142:Z142"/>
    <mergeCell ref="C143:E143"/>
    <mergeCell ref="G143:I143"/>
    <mergeCell ref="J143:L143"/>
    <mergeCell ref="X143:Z143"/>
    <mergeCell ref="C148:E148"/>
    <mergeCell ref="G148:I148"/>
    <mergeCell ref="J148:L148"/>
    <mergeCell ref="X148:Z148"/>
    <mergeCell ref="C149:E149"/>
    <mergeCell ref="G149:I149"/>
    <mergeCell ref="J149:L149"/>
    <mergeCell ref="X149:Z149"/>
    <mergeCell ref="C146:E146"/>
    <mergeCell ref="G146:I146"/>
    <mergeCell ref="J146:L146"/>
    <mergeCell ref="X146:Z146"/>
    <mergeCell ref="C147:E147"/>
    <mergeCell ref="G147:I147"/>
    <mergeCell ref="J147:L147"/>
    <mergeCell ref="X147:Z147"/>
    <mergeCell ref="C152:E152"/>
    <mergeCell ref="G152:I152"/>
    <mergeCell ref="J152:L152"/>
    <mergeCell ref="X152:Z152"/>
    <mergeCell ref="C153:E153"/>
    <mergeCell ref="G153:I153"/>
    <mergeCell ref="J153:L153"/>
    <mergeCell ref="X153:Z153"/>
    <mergeCell ref="C150:E150"/>
    <mergeCell ref="G150:I150"/>
    <mergeCell ref="J150:L150"/>
    <mergeCell ref="X150:Z150"/>
    <mergeCell ref="C151:E151"/>
    <mergeCell ref="G151:I151"/>
    <mergeCell ref="J151:L151"/>
    <mergeCell ref="X151:Z151"/>
    <mergeCell ref="C156:E156"/>
    <mergeCell ref="G156:I156"/>
    <mergeCell ref="J156:L156"/>
    <mergeCell ref="X156:Z156"/>
    <mergeCell ref="C157:E157"/>
    <mergeCell ref="G157:I157"/>
    <mergeCell ref="J157:L157"/>
    <mergeCell ref="X157:Z157"/>
    <mergeCell ref="C154:E154"/>
    <mergeCell ref="G154:I154"/>
    <mergeCell ref="J154:L154"/>
    <mergeCell ref="X154:Z154"/>
    <mergeCell ref="C155:E155"/>
    <mergeCell ref="G155:I155"/>
    <mergeCell ref="J155:L155"/>
    <mergeCell ref="X155:Z155"/>
    <mergeCell ref="A159:L160"/>
    <mergeCell ref="N160:R160"/>
    <mergeCell ref="V160:Z160"/>
    <mergeCell ref="AB160:AC160"/>
    <mergeCell ref="AD160:AM160"/>
    <mergeCell ref="A161:L163"/>
    <mergeCell ref="N161:R161"/>
    <mergeCell ref="V161:Z161"/>
    <mergeCell ref="AB161:AC161"/>
    <mergeCell ref="AD161:AM161"/>
    <mergeCell ref="N164:R164"/>
    <mergeCell ref="V164:Z164"/>
    <mergeCell ref="N162:R162"/>
    <mergeCell ref="V162:Z162"/>
    <mergeCell ref="AB162:AC162"/>
    <mergeCell ref="AD162:AM162"/>
    <mergeCell ref="N163:R163"/>
    <mergeCell ref="V163:Z163"/>
    <mergeCell ref="AB163:AC163"/>
    <mergeCell ref="AD163:AM163"/>
  </mergeCells>
  <dataValidations count="6">
    <dataValidation type="list" allowBlank="1" showInputMessage="1" showErrorMessage="1" sqref="Q9:Q157 WCH9:WCH157 VSL9:VSL157 VIP9:VIP157 UYT9:UYT157 UOX9:UOX157 UFB9:UFB157 TVF9:TVF157 TLJ9:TLJ157 TBN9:TBN157 SRR9:SRR157 SHV9:SHV157 RXZ9:RXZ157 ROD9:ROD157 REH9:REH157 QUL9:QUL157 QKP9:QKP157 QAT9:QAT157 PQX9:PQX157 PHB9:PHB157 OXF9:OXF157 ONJ9:ONJ157 ODN9:ODN157 NTR9:NTR157 NJV9:NJV157 MZZ9:MZZ157 MQD9:MQD157 MGH9:MGH157 LWL9:LWL157 LMP9:LMP157 LCT9:LCT157 KSX9:KSX157 KJB9:KJB157 JZF9:JZF157 JPJ9:JPJ157 JFN9:JFN157 IVR9:IVR157 ILV9:ILV157 IBZ9:IBZ157 HSD9:HSD157 HIH9:HIH157 GYL9:GYL157 GOP9:GOP157 GET9:GET157 FUX9:FUX157 FLB9:FLB157 FBF9:FBF157 ERJ9:ERJ157 EHN9:EHN157 DXR9:DXR157 DNV9:DNV157 DDZ9:DDZ157 CUD9:CUD157 CKH9:CKH157 CAL9:CAL157 BQP9:BQP157 BGT9:BGT157 AWX9:AWX157 ANB9:ANB157 ADF9:ADF157 TJ9:TJ157 JN9:JN157 WMD9:WMD157 WVZ9:WVZ157">
      <formula1>PROBAB</formula1>
    </dataValidation>
    <dataValidation type="list" allowBlank="1" showInputMessage="1" showErrorMessage="1" sqref="R9:R157 WCI9:WCI157 VSM9:VSM157 VIQ9:VIQ157 UYU9:UYU157 UOY9:UOY157 UFC9:UFC157 TVG9:TVG157 TLK9:TLK157 TBO9:TBO157 SRS9:SRS157 SHW9:SHW157 RYA9:RYA157 ROE9:ROE157 REI9:REI157 QUM9:QUM157 QKQ9:QKQ157 QAU9:QAU157 PQY9:PQY157 PHC9:PHC157 OXG9:OXG157 ONK9:ONK157 ODO9:ODO157 NTS9:NTS157 NJW9:NJW157 NAA9:NAA157 MQE9:MQE157 MGI9:MGI157 LWM9:LWM157 LMQ9:LMQ157 LCU9:LCU157 KSY9:KSY157 KJC9:KJC157 JZG9:JZG157 JPK9:JPK157 JFO9:JFO157 IVS9:IVS157 ILW9:ILW157 ICA9:ICA157 HSE9:HSE157 HII9:HII157 GYM9:GYM157 GOQ9:GOQ157 GEU9:GEU157 FUY9:FUY157 FLC9:FLC157 FBG9:FBG157 ERK9:ERK157 EHO9:EHO157 DXS9:DXS157 DNW9:DNW157 DEA9:DEA157 CUE9:CUE157 CKI9:CKI157 CAM9:CAM157 BQQ9:BQQ157 BGU9:BGU157 AWY9:AWY157 ANC9:ANC157 ADG9:ADG157 TK9:TK157 JO9:JO157 WME9:WME157 WWA9:WWA157">
      <formula1>IMPACTO</formula1>
    </dataValidation>
    <dataValidation type="list" showInputMessage="1" showErrorMessage="1" errorTitle="Rechazado" error="Solo son validadas las opciones de la lista" sqref="AE9:AE157 WCU9:WCU157 VSY9:VSY157 VJC9:VJC157 UZG9:UZG157 UPK9:UPK157 UFO9:UFO157 TVS9:TVS157 TLW9:TLW157 TCA9:TCA157 SSE9:SSE157 SII9:SII157 RYM9:RYM157 ROQ9:ROQ157 REU9:REU157 QUY9:QUY157 QLC9:QLC157 QBG9:QBG157 PRK9:PRK157 PHO9:PHO157 OXS9:OXS157 ONW9:ONW157 OEA9:OEA157 NUE9:NUE157 NKI9:NKI157 NAM9:NAM157 MQQ9:MQQ157 MGU9:MGU157 LWY9:LWY157 LNC9:LNC157 LDG9:LDG157 KTK9:KTK157 KJO9:KJO157 JZS9:JZS157 JPW9:JPW157 JGA9:JGA157 IWE9:IWE157 IMI9:IMI157 ICM9:ICM157 HSQ9:HSQ157 HIU9:HIU157 GYY9:GYY157 GPC9:GPC157 GFG9:GFG157 FVK9:FVK157 FLO9:FLO157 FBS9:FBS157 ERW9:ERW157 EIA9:EIA157 DYE9:DYE157 DOI9:DOI157 DEM9:DEM157 CUQ9:CUQ157 CKU9:CKU157 CAY9:CAY157 BRC9:BRC157 BHG9:BHG157 AXK9:AXK157 ANO9:ANO157 ADS9:ADS157 TW9:TW157 KA9:KA157 WMQ9:WMQ157 WWM9:WWM157">
      <formula1>Efecto</formula1>
    </dataValidation>
    <dataValidation type="whole" allowBlank="1" showInputMessage="1" showErrorMessage="1" sqref="AD9:AD157 WCT9:WCT157 VSX9:VSX157 VJB9:VJB157 UZF9:UZF157 UPJ9:UPJ157 UFN9:UFN157 TVR9:TVR157 TLV9:TLV157 TBZ9:TBZ157 SSD9:SSD157 SIH9:SIH157 RYL9:RYL157 ROP9:ROP157 RET9:RET157 QUX9:QUX157 QLB9:QLB157 QBF9:QBF157 PRJ9:PRJ157 PHN9:PHN157 OXR9:OXR157 ONV9:ONV157 ODZ9:ODZ157 NUD9:NUD157 NKH9:NKH157 NAL9:NAL157 MQP9:MQP157 MGT9:MGT157 LWX9:LWX157 LNB9:LNB157 LDF9:LDF157 KTJ9:KTJ157 KJN9:KJN157 JZR9:JZR157 JPV9:JPV157 JFZ9:JFZ157 IWD9:IWD157 IMH9:IMH157 ICL9:ICL157 HSP9:HSP157 HIT9:HIT157 GYX9:GYX157 GPB9:GPB157 GFF9:GFF157 FVJ9:FVJ157 FLN9:FLN157 FBR9:FBR157 ERV9:ERV157 EHZ9:EHZ157 DYD9:DYD157 DOH9:DOH157 DEL9:DEL157 CUP9:CUP157 CKT9:CKT157 CAX9:CAX157 BRB9:BRB157 BHF9:BHF157 AXJ9:AXJ157 ANN9:ANN157 ADR9:ADR157 TV9:TV157 JZ9:JZ157 WMP9:WMP157 WWL9:WWL157">
      <formula1>0</formula1>
      <formula2>100</formula2>
    </dataValidation>
    <dataValidation showInputMessage="1" showErrorMessage="1" sqref="AG30:AK157 AI9:AI17 AK9:AK17 AJ9:AJ20 AL17 AK21:AL21 AK27 AI21:AJ29 AF21:AF29 AG9:AH29 WCW9:WDA157 VTA9:VTE157 VJE9:VJI157 UZI9:UZM157 UPM9:UPQ157 UFQ9:UFU157 TVU9:TVY157 TLY9:TMC157 TCC9:TCG157 SSG9:SSK157 SIK9:SIO157 RYO9:RYS157 ROS9:ROW157 REW9:RFA157 QVA9:QVE157 QLE9:QLI157 QBI9:QBM157 PRM9:PRQ157 PHQ9:PHU157 OXU9:OXY157 ONY9:OOC157 OEC9:OEG157 NUG9:NUK157 NKK9:NKO157 NAO9:NAS157 MQS9:MQW157 MGW9:MHA157 LXA9:LXE157 LNE9:LNI157 LDI9:LDM157 KTM9:KTQ157 KJQ9:KJU157 JZU9:JZY157 JPY9:JQC157 JGC9:JGG157 IWG9:IWK157 IMK9:IMO157 ICO9:ICS157 HSS9:HSW157 HIW9:HJA157 GZA9:GZE157 GPE9:GPI157 GFI9:GFM157 FVM9:FVQ157 FLQ9:FLU157 FBU9:FBY157 ERY9:ESC157 EIC9:EIG157 DYG9:DYK157 DOK9:DOO157 DEO9:DES157 CUS9:CUW157 CKW9:CLA157 CBA9:CBE157 BRE9:BRI157 BHI9:BHM157 AXM9:AXQ157 ANQ9:ANU157 ADU9:ADY157 TY9:UC157 KC9:KG157 WMS9:WMW157 WWO9:WWS157"/>
    <dataValidation type="list" allowBlank="1" showInputMessage="1" showErrorMessage="1" sqref="AS9:AS17 WNE9:WNE157 WDI9:WDI157 VTM9:VTM157 VJQ9:VJQ157 UZU9:UZU157 UPY9:UPY157 UGC9:UGC157 TWG9:TWG157 TMK9:TMK157 TCO9:TCO157 SSS9:SSS157 SIW9:SIW157 RZA9:RZA157 RPE9:RPE157 RFI9:RFI157 QVM9:QVM157 QLQ9:QLQ157 QBU9:QBU157 PRY9:PRY157 PIC9:PIC157 OYG9:OYG157 OOK9:OOK157 OEO9:OEO157 NUS9:NUS157 NKW9:NKW157 NBA9:NBA157 MRE9:MRE157 MHI9:MHI157 LXM9:LXM157 LNQ9:LNQ157 LDU9:LDU157 KTY9:KTY157 KKC9:KKC157 KAG9:KAG157 JQK9:JQK157 JGO9:JGO157 IWS9:IWS157 IMW9:IMW157 IDA9:IDA157 HTE9:HTE157 HJI9:HJI157 GZM9:GZM157 GPQ9:GPQ157 GFU9:GFU157 FVY9:FVY157 FMC9:FMC157 FCG9:FCG157 ESK9:ESK157 EIO9:EIO157 DYS9:DYS157 DOW9:DOW157 DFA9:DFA157 CVE9:CVE157 CLI9:CLI157 CBM9:CBM157 BRQ9:BRQ157 BHU9:BHU157 AXY9:AXY157 AOC9:AOC157 AEG9:AEG157 UK9:UK157 KO9:KO157 WXA9:WXA157 AS21 AS27 AS30:AS157">
      <formula1>SINO</formula1>
    </dataValidation>
  </dataValidations>
  <printOptions horizontalCentered="1" verticalCentered="1"/>
  <pageMargins left="0.78740157480314965" right="0.78740157480314965" top="0.59055118110236227" bottom="0.59055118110236227" header="0.51181102362204722" footer="0.27559055118110237"/>
  <pageSetup paperSize="5" scale="56" firstPageNumber="0" orientation="landscape" r:id="rId1"/>
  <headerFooter>
    <oddFooter>&amp;L&amp;9Formato: FO-AC-07 Versión: 3&amp;C&amp;9Página &amp;P</oddFooter>
  </headerFooter>
  <rowBreaks count="1" manualBreakCount="1">
    <brk id="20" max="48" man="1"/>
  </rowBreaks>
  <colBreaks count="1" manualBreakCount="1">
    <brk id="41" max="162"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M97"/>
  <sheetViews>
    <sheetView zoomScaleNormal="100" zoomScaleSheetLayoutView="100" zoomScalePageLayoutView="95" workbookViewId="0">
      <pane xSplit="2" ySplit="8" topLeftCell="C9" activePane="bottomRight" state="frozen"/>
      <selection pane="topRight" activeCell="C1" sqref="C1"/>
      <selection pane="bottomLeft" activeCell="A9" sqref="A9"/>
      <selection pane="bottomRight"/>
    </sheetView>
  </sheetViews>
  <sheetFormatPr baseColWidth="10" defaultRowHeight="12.75"/>
  <cols>
    <col min="1" max="1" width="13.85546875" style="235" customWidth="1"/>
    <col min="2" max="2" width="2.7109375" style="235" customWidth="1"/>
    <col min="3" max="3" width="6.5703125" style="235" customWidth="1"/>
    <col min="4" max="4" width="4.85546875" style="235" customWidth="1"/>
    <col min="5" max="5" width="5.85546875" style="235" customWidth="1"/>
    <col min="6" max="6" width="6.5703125" style="235" customWidth="1"/>
    <col min="7" max="7" width="12.28515625" style="235" customWidth="1"/>
    <col min="8" max="8" width="11.42578125" style="235" customWidth="1"/>
    <col min="9" max="9" width="11" style="235" customWidth="1"/>
    <col min="10" max="10" width="2.5703125" style="235" customWidth="1"/>
    <col min="11" max="11" width="8" style="235" customWidth="1"/>
    <col min="12" max="12" width="7.140625" style="235" customWidth="1"/>
    <col min="13" max="15" width="3.7109375" style="235" customWidth="1"/>
    <col min="16" max="16" width="3.5703125" style="235" customWidth="1"/>
    <col min="17" max="17" width="2.85546875" style="235" customWidth="1"/>
    <col min="18" max="18" width="3" style="235" customWidth="1"/>
    <col min="19" max="21" width="0" style="235" hidden="1" customWidth="1"/>
    <col min="22" max="22" width="4.42578125" style="235" customWidth="1"/>
    <col min="23" max="23" width="0" style="235" hidden="1" customWidth="1"/>
    <col min="24" max="24" width="14" style="235" customWidth="1"/>
    <col min="25" max="25" width="12.140625" style="235" customWidth="1"/>
    <col min="26" max="26" width="14.28515625" style="235" customWidth="1"/>
    <col min="27" max="27" width="15.85546875" style="1126" customWidth="1"/>
    <col min="28" max="28" width="6.42578125" style="235" customWidth="1"/>
    <col min="29" max="29" width="27.85546875" style="235" customWidth="1"/>
    <col min="30" max="30" width="4.140625" style="235" customWidth="1"/>
    <col min="31" max="31" width="3" style="235" customWidth="1"/>
    <col min="32" max="34" width="0" style="235" hidden="1" customWidth="1"/>
    <col min="35" max="35" width="3" style="235" customWidth="1"/>
    <col min="36" max="36" width="0" style="235" hidden="1" customWidth="1"/>
    <col min="37" max="37" width="3" style="235" customWidth="1"/>
    <col min="38" max="38" width="0" style="235" hidden="1" customWidth="1"/>
    <col min="39" max="39" width="4.42578125" style="235" customWidth="1"/>
    <col min="40" max="40" width="27.7109375" style="235" customWidth="1"/>
    <col min="41" max="41" width="21.42578125" style="235" customWidth="1"/>
    <col min="42" max="42" width="9.140625" style="235" customWidth="1"/>
    <col min="43" max="43" width="19.5703125" style="235" customWidth="1"/>
    <col min="44" max="44" width="42.7109375" style="235" customWidth="1"/>
    <col min="45" max="45" width="5.85546875" style="235" customWidth="1"/>
    <col min="46" max="46" width="31.5703125" style="235" customWidth="1"/>
    <col min="47" max="47" width="16.140625" style="235" customWidth="1"/>
    <col min="48" max="49" width="9.28515625" style="235" customWidth="1"/>
    <col min="50" max="50" width="11.140625" style="235" customWidth="1"/>
    <col min="51" max="51" width="2.140625" style="235" customWidth="1"/>
    <col min="52"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18"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1260" t="s">
        <v>1022</v>
      </c>
      <c r="AE1" s="1260"/>
      <c r="AF1" s="1260"/>
      <c r="AG1" s="1260"/>
      <c r="AH1" s="1260"/>
      <c r="AI1" s="1260"/>
      <c r="AJ1" s="1260"/>
      <c r="AK1" s="1260"/>
      <c r="AL1" s="1260"/>
      <c r="AM1" s="1260"/>
      <c r="AN1" s="1260"/>
      <c r="AP1" s="1247" t="s">
        <v>2320</v>
      </c>
      <c r="AQ1" s="1247"/>
      <c r="AR1" s="1247"/>
      <c r="AS1" s="1247"/>
      <c r="AT1" s="233"/>
      <c r="AU1" s="233"/>
      <c r="AV1" s="233"/>
      <c r="AW1" s="1246"/>
      <c r="AX1" s="1246"/>
      <c r="AY1" s="233"/>
    </row>
    <row r="2" spans="1:1027" ht="18" customHeight="1">
      <c r="A2" s="237" t="s">
        <v>2348</v>
      </c>
      <c r="B2" s="233"/>
      <c r="C2" s="233"/>
      <c r="D2" s="233"/>
      <c r="E2" s="233"/>
      <c r="F2" s="233"/>
      <c r="G2" s="1214" t="str">
        <f>UPPER([43]Control!A2)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1260"/>
      <c r="AE2" s="1260"/>
      <c r="AF2" s="1260"/>
      <c r="AG2" s="1260"/>
      <c r="AH2" s="1260"/>
      <c r="AI2" s="1260"/>
      <c r="AJ2" s="1260"/>
      <c r="AK2" s="1260"/>
      <c r="AL2" s="1260"/>
      <c r="AM2" s="1260"/>
      <c r="AN2" s="1260"/>
      <c r="AP2" s="1268" t="s">
        <v>138</v>
      </c>
      <c r="AQ2" s="1269"/>
      <c r="AR2" s="1270" t="str">
        <f>AD1</f>
        <v>Gestión Interinstitucional</v>
      </c>
      <c r="AS2" s="1271"/>
      <c r="AT2" s="233"/>
      <c r="AU2" s="233"/>
      <c r="AV2" s="233"/>
      <c r="AW2" s="1246"/>
      <c r="AX2" s="1246"/>
      <c r="AY2" s="233"/>
    </row>
    <row r="3" spans="1:1027" ht="18" customHeight="1">
      <c r="A3" s="1435">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2148" t="s">
        <v>3747</v>
      </c>
      <c r="AA3" s="2149"/>
      <c r="AB3" s="1209"/>
      <c r="AC3" s="1259" t="s">
        <v>2349</v>
      </c>
      <c r="AD3" s="1261" t="s">
        <v>833</v>
      </c>
      <c r="AE3" s="1261"/>
      <c r="AF3" s="1261"/>
      <c r="AG3" s="1261"/>
      <c r="AH3" s="1261"/>
      <c r="AI3" s="1261"/>
      <c r="AJ3" s="1261"/>
      <c r="AK3" s="1261"/>
      <c r="AL3" s="1261"/>
      <c r="AM3" s="1261"/>
      <c r="AN3" s="1261"/>
      <c r="AP3" s="1265" t="s">
        <v>2322</v>
      </c>
      <c r="AQ3" s="1266"/>
      <c r="AR3" s="1266" t="s">
        <v>2323</v>
      </c>
      <c r="AS3" s="1267"/>
      <c r="AT3" s="233"/>
      <c r="AU3" s="233"/>
      <c r="AV3" s="233"/>
      <c r="AW3" s="1246"/>
      <c r="AX3" s="1246"/>
      <c r="AY3" s="233"/>
    </row>
    <row r="4" spans="1:1027" ht="18" customHeight="1" thickBot="1">
      <c r="A4" s="1435"/>
      <c r="B4" s="233"/>
      <c r="C4" s="233"/>
      <c r="D4" s="233"/>
      <c r="E4" s="233"/>
      <c r="F4" s="233"/>
      <c r="G4" s="1236" t="str">
        <f>[43]Control!A4</f>
        <v>FO-PE-06</v>
      </c>
      <c r="H4" s="1237"/>
      <c r="I4" s="1238" t="str">
        <f>[43]Control!C4</f>
        <v>Planeación Estratégica</v>
      </c>
      <c r="J4" s="1237"/>
      <c r="K4" s="1237"/>
      <c r="L4" s="1237"/>
      <c r="M4" s="1237"/>
      <c r="N4" s="1239"/>
      <c r="O4" s="1238">
        <f>[43]Control!H4</f>
        <v>5</v>
      </c>
      <c r="P4" s="1237"/>
      <c r="Q4" s="1237"/>
      <c r="R4" s="1237"/>
      <c r="S4" s="1237"/>
      <c r="T4" s="1237"/>
      <c r="U4" s="1237"/>
      <c r="V4" s="1239"/>
      <c r="W4" s="239"/>
      <c r="X4" s="1255"/>
      <c r="Y4" s="1256"/>
      <c r="Z4" s="1210"/>
      <c r="AA4" s="1211"/>
      <c r="AB4" s="1212"/>
      <c r="AC4" s="1259"/>
      <c r="AD4" s="1261"/>
      <c r="AE4" s="1261"/>
      <c r="AF4" s="1261"/>
      <c r="AG4" s="1261"/>
      <c r="AH4" s="1261"/>
      <c r="AI4" s="1261"/>
      <c r="AJ4" s="1261"/>
      <c r="AK4" s="1261"/>
      <c r="AL4" s="1261"/>
      <c r="AM4" s="1261"/>
      <c r="AN4" s="1261"/>
      <c r="AP4" s="1240" t="s">
        <v>3747</v>
      </c>
      <c r="AQ4" s="1241"/>
      <c r="AR4" s="1242" t="s">
        <v>3748</v>
      </c>
      <c r="AS4" s="1243"/>
      <c r="AT4" s="233"/>
      <c r="AU4" s="233"/>
      <c r="AV4" s="233"/>
      <c r="AW4" s="1246"/>
      <c r="AX4" s="1246"/>
      <c r="AY4" s="233"/>
    </row>
    <row r="5" spans="1:1027" s="243" customFormat="1" ht="18"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1"/>
      <c r="AB5" s="242"/>
      <c r="AC5" s="242"/>
      <c r="AD5" s="241"/>
      <c r="AE5" s="241"/>
      <c r="AF5" s="241"/>
      <c r="AG5" s="241"/>
      <c r="AH5" s="241"/>
      <c r="AI5" s="241"/>
      <c r="AJ5" s="241"/>
      <c r="AK5" s="241"/>
      <c r="AL5" s="241"/>
      <c r="AM5" s="240"/>
      <c r="AN5" s="240"/>
      <c r="AO5" s="240"/>
      <c r="AQ5" s="244"/>
      <c r="AY5" s="245"/>
    </row>
    <row r="6" spans="1:1027" s="243" customFormat="1" ht="11.2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602" t="s">
        <v>268</v>
      </c>
      <c r="AO6" s="294"/>
      <c r="AP6" s="247" t="s">
        <v>2325</v>
      </c>
      <c r="AQ6" s="248"/>
      <c r="AR6" s="248"/>
      <c r="AS6" s="249"/>
      <c r="AT6" s="1244" t="s">
        <v>2326</v>
      </c>
      <c r="AU6" s="1244"/>
      <c r="AV6" s="1244"/>
      <c r="AW6" s="1244"/>
      <c r="AX6" s="1245"/>
      <c r="AY6" s="245"/>
    </row>
    <row r="7" spans="1:1027" s="243" customFormat="1" ht="7.5" customHeight="1">
      <c r="A7" s="1217" t="s">
        <v>1004</v>
      </c>
      <c r="B7" s="1218" t="s">
        <v>640</v>
      </c>
      <c r="C7" s="1219" t="s">
        <v>1001</v>
      </c>
      <c r="D7" s="1220"/>
      <c r="E7" s="1221"/>
      <c r="F7" s="1217" t="s">
        <v>1000</v>
      </c>
      <c r="G7" s="1219" t="s">
        <v>999</v>
      </c>
      <c r="H7" s="1220"/>
      <c r="I7" s="1221"/>
      <c r="J7" s="1217" t="s">
        <v>145</v>
      </c>
      <c r="K7" s="1217"/>
      <c r="L7" s="1217"/>
      <c r="M7" s="1225" t="s">
        <v>144</v>
      </c>
      <c r="N7" s="1226"/>
      <c r="O7" s="1226"/>
      <c r="P7" s="1226"/>
      <c r="Q7" s="1227" t="s">
        <v>637</v>
      </c>
      <c r="R7" s="1228"/>
      <c r="S7" s="1228"/>
      <c r="T7" s="1228"/>
      <c r="U7" s="1228"/>
      <c r="V7" s="1229"/>
      <c r="W7" s="250"/>
      <c r="X7" s="1217" t="s">
        <v>2351</v>
      </c>
      <c r="Y7" s="1217"/>
      <c r="Z7" s="1217"/>
      <c r="AA7" s="1284" t="s">
        <v>4175</v>
      </c>
      <c r="AB7" s="1221" t="s">
        <v>998</v>
      </c>
      <c r="AC7" s="1284" t="s">
        <v>641</v>
      </c>
      <c r="AD7" s="1286" t="s">
        <v>546</v>
      </c>
      <c r="AE7" s="1286" t="s">
        <v>638</v>
      </c>
      <c r="AF7" s="251"/>
      <c r="AG7" s="252"/>
      <c r="AH7" s="253"/>
      <c r="AI7" s="1288" t="s">
        <v>639</v>
      </c>
      <c r="AJ7" s="1288"/>
      <c r="AK7" s="1288"/>
      <c r="AL7" s="1288"/>
      <c r="AM7" s="1288"/>
      <c r="AN7" s="1288" t="s">
        <v>2327</v>
      </c>
      <c r="AO7" s="1431" t="s">
        <v>2328</v>
      </c>
      <c r="AP7" s="1432" t="s">
        <v>2353</v>
      </c>
      <c r="AQ7" s="1431" t="s">
        <v>2330</v>
      </c>
      <c r="AR7" s="1432" t="s">
        <v>2354</v>
      </c>
      <c r="AS7" s="1432" t="s">
        <v>2332</v>
      </c>
      <c r="AT7" s="1432" t="s">
        <v>2333</v>
      </c>
      <c r="AU7" s="1432" t="s">
        <v>2334</v>
      </c>
      <c r="AV7" s="1432" t="s">
        <v>2335</v>
      </c>
      <c r="AW7" s="1432" t="s">
        <v>2336</v>
      </c>
      <c r="AX7" s="1432" t="s">
        <v>2337</v>
      </c>
      <c r="AY7" s="245"/>
    </row>
    <row r="8" spans="1:1027" ht="14.25" customHeight="1">
      <c r="A8" s="1217"/>
      <c r="B8" s="1218"/>
      <c r="C8" s="1222"/>
      <c r="D8" s="1223"/>
      <c r="E8" s="1224"/>
      <c r="F8" s="1217"/>
      <c r="G8" s="1222"/>
      <c r="H8" s="1223"/>
      <c r="I8" s="1224"/>
      <c r="J8" s="1217"/>
      <c r="K8" s="1217"/>
      <c r="L8" s="1217"/>
      <c r="M8" s="254" t="s">
        <v>146</v>
      </c>
      <c r="N8" s="254" t="s">
        <v>997</v>
      </c>
      <c r="O8" s="254" t="s">
        <v>65</v>
      </c>
      <c r="P8" s="254" t="s">
        <v>996</v>
      </c>
      <c r="Q8" s="601" t="s">
        <v>147</v>
      </c>
      <c r="R8" s="601" t="s">
        <v>148</v>
      </c>
      <c r="S8" s="255"/>
      <c r="T8" s="255" t="s">
        <v>239</v>
      </c>
      <c r="U8" s="255" t="s">
        <v>242</v>
      </c>
      <c r="V8" s="601" t="s">
        <v>149</v>
      </c>
      <c r="W8" s="256"/>
      <c r="X8" s="1217"/>
      <c r="Y8" s="1217"/>
      <c r="Z8" s="1217"/>
      <c r="AA8" s="1285"/>
      <c r="AB8" s="1224"/>
      <c r="AC8" s="1285"/>
      <c r="AD8" s="1287"/>
      <c r="AE8" s="1287"/>
      <c r="AF8" s="256"/>
      <c r="AG8" s="257" t="s">
        <v>642</v>
      </c>
      <c r="AH8" s="257" t="s">
        <v>264</v>
      </c>
      <c r="AI8" s="601" t="s">
        <v>147</v>
      </c>
      <c r="AJ8" s="258" t="s">
        <v>265</v>
      </c>
      <c r="AK8" s="601" t="s">
        <v>148</v>
      </c>
      <c r="AL8" s="255" t="s">
        <v>150</v>
      </c>
      <c r="AM8" s="601" t="s">
        <v>150</v>
      </c>
      <c r="AN8" s="1288"/>
      <c r="AO8" s="1431"/>
      <c r="AP8" s="1432"/>
      <c r="AQ8" s="1432"/>
      <c r="AR8" s="1432"/>
      <c r="AS8" s="1432"/>
      <c r="AT8" s="1432"/>
      <c r="AU8" s="1432"/>
      <c r="AV8" s="1432"/>
      <c r="AW8" s="1432"/>
      <c r="AX8" s="1432"/>
      <c r="AY8" s="245"/>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193.5" customHeight="1">
      <c r="A9" s="634" t="s">
        <v>1023</v>
      </c>
      <c r="B9" s="266" t="s">
        <v>1963</v>
      </c>
      <c r="C9" s="2142" t="s">
        <v>1024</v>
      </c>
      <c r="D9" s="2143"/>
      <c r="E9" s="2144"/>
      <c r="F9" s="336" t="s">
        <v>1025</v>
      </c>
      <c r="G9" s="2145" t="s">
        <v>2530</v>
      </c>
      <c r="H9" s="2146"/>
      <c r="I9" s="2147"/>
      <c r="J9" s="2145" t="s">
        <v>1026</v>
      </c>
      <c r="K9" s="2146"/>
      <c r="L9" s="2147"/>
      <c r="M9" s="608" t="s">
        <v>8</v>
      </c>
      <c r="N9" s="608">
        <v>1</v>
      </c>
      <c r="O9" s="608"/>
      <c r="P9" s="608"/>
      <c r="Q9" s="266" t="s">
        <v>64</v>
      </c>
      <c r="R9" s="266" t="s">
        <v>274</v>
      </c>
      <c r="S9" s="268"/>
      <c r="T9" s="269">
        <f>VLOOKUP(Q9,[83]Listas!$D$6:$E$10,2,0)</f>
        <v>3</v>
      </c>
      <c r="U9" s="269">
        <f>HLOOKUP(R9,[83]Listas!$F$4:$J$5,2,0)</f>
        <v>3</v>
      </c>
      <c r="V9" s="270" t="str">
        <f>INDEX([83]Listas!$F$6:$J$10,MATCH(Q9,[83]Listas!$D$6:$D$10,0),MATCH(R9,[83]Listas!$F$4:$J$4,0))</f>
        <v>9
MODERADO</v>
      </c>
      <c r="W9" s="268"/>
      <c r="X9" s="2145" t="s">
        <v>3749</v>
      </c>
      <c r="Y9" s="2146"/>
      <c r="Z9" s="2147"/>
      <c r="AA9" s="1063" t="s">
        <v>4013</v>
      </c>
      <c r="AB9" s="336" t="s">
        <v>1025</v>
      </c>
      <c r="AC9" s="634" t="s">
        <v>3750</v>
      </c>
      <c r="AD9" s="608">
        <v>64</v>
      </c>
      <c r="AE9" s="267" t="s">
        <v>152</v>
      </c>
      <c r="AF9" s="268"/>
      <c r="AG9" s="269">
        <f t="shared" ref="AG9:AG72" si="0">IF(AD9&lt;=33,0,IF(AD9&gt;81,2,1))</f>
        <v>1</v>
      </c>
      <c r="AH9" s="271">
        <f t="shared" ref="AH9:AH72" si="1">IF(OR(AE9="Probabilidad",AE9="Ambos"),T9-AG9,T9)</f>
        <v>2</v>
      </c>
      <c r="AI9" s="272" t="str">
        <f>IF(AH9&lt;=1,"Remota",VLOOKUP(AH9,[83]Listas!$C$6:$D$10,2,0))</f>
        <v>Baja</v>
      </c>
      <c r="AJ9" s="271">
        <f t="shared" ref="AJ9:AJ72" si="2">IF(OR(AE9="Impacto",AE9="Ambos"),U9-AG9,U9)</f>
        <v>2</v>
      </c>
      <c r="AK9" s="272" t="str">
        <f>IF(AJ9&lt;=1,"Insignificante",HLOOKUP(AJ9,[83]Listas!$F$3:$J$4,2,0))</f>
        <v>Menor</v>
      </c>
      <c r="AL9" s="273">
        <f t="shared" ref="AL9:AL72" si="3">AH9*AJ9</f>
        <v>4</v>
      </c>
      <c r="AM9" s="270" t="str">
        <f>INDEX([83]Listas!$F$6:$J$10,MATCH(AI9,[83]Listas!$D$6:$D$10,0),MATCH(AK9,[83]Listas!$F$4:$J$4,0))</f>
        <v>4
INFERIOR</v>
      </c>
      <c r="AN9" s="634" t="s">
        <v>2531</v>
      </c>
      <c r="AO9" s="634" t="s">
        <v>2532</v>
      </c>
      <c r="AP9" s="515" t="s">
        <v>3751</v>
      </c>
      <c r="AQ9" s="634" t="s">
        <v>3752</v>
      </c>
      <c r="AR9" s="634" t="s">
        <v>3753</v>
      </c>
      <c r="AS9" s="608" t="s">
        <v>36</v>
      </c>
      <c r="AT9" s="259"/>
      <c r="AU9" s="259"/>
      <c r="AV9" s="261"/>
      <c r="AW9" s="261"/>
      <c r="AX9" s="608"/>
      <c r="AY9" s="262"/>
    </row>
    <row r="10" spans="1:1027" s="260" customFormat="1" ht="202.5" customHeight="1">
      <c r="A10" s="634" t="s">
        <v>1027</v>
      </c>
      <c r="B10" s="266" t="s">
        <v>1964</v>
      </c>
      <c r="C10" s="2142" t="s">
        <v>3754</v>
      </c>
      <c r="D10" s="2143"/>
      <c r="E10" s="2144"/>
      <c r="F10" s="608" t="s">
        <v>1025</v>
      </c>
      <c r="G10" s="2145" t="s">
        <v>3755</v>
      </c>
      <c r="H10" s="2146"/>
      <c r="I10" s="2147"/>
      <c r="J10" s="2145" t="s">
        <v>3756</v>
      </c>
      <c r="K10" s="2146"/>
      <c r="L10" s="2147"/>
      <c r="M10" s="608" t="s">
        <v>8</v>
      </c>
      <c r="N10" s="608">
        <v>1</v>
      </c>
      <c r="O10" s="608"/>
      <c r="P10" s="608"/>
      <c r="Q10" s="266" t="s">
        <v>64</v>
      </c>
      <c r="R10" s="266" t="s">
        <v>274</v>
      </c>
      <c r="S10" s="268"/>
      <c r="T10" s="269">
        <f>VLOOKUP(Q10,[83]Listas!$D$6:$E$10,2,0)</f>
        <v>3</v>
      </c>
      <c r="U10" s="269">
        <f>HLOOKUP(R10,[83]Listas!$F$4:$J$5,2,0)</f>
        <v>3</v>
      </c>
      <c r="V10" s="270" t="str">
        <f>INDEX([83]Listas!$F$6:$J$10,MATCH(Q10,[83]Listas!$D$6:$D$10,0),MATCH(R10,[83]Listas!$F$4:$J$4,0))</f>
        <v>9
MODERADO</v>
      </c>
      <c r="W10" s="268"/>
      <c r="X10" s="2145" t="s">
        <v>3757</v>
      </c>
      <c r="Y10" s="2146"/>
      <c r="Z10" s="2147"/>
      <c r="AA10" s="1063" t="s">
        <v>4013</v>
      </c>
      <c r="AB10" s="336" t="s">
        <v>1025</v>
      </c>
      <c r="AC10" s="634" t="s">
        <v>3758</v>
      </c>
      <c r="AD10" s="608">
        <v>55</v>
      </c>
      <c r="AE10" s="267" t="s">
        <v>152</v>
      </c>
      <c r="AF10" s="268"/>
      <c r="AG10" s="269">
        <f t="shared" si="0"/>
        <v>1</v>
      </c>
      <c r="AH10" s="271">
        <f t="shared" si="1"/>
        <v>2</v>
      </c>
      <c r="AI10" s="272" t="str">
        <f>IF(AH10&lt;=1,"Remota",VLOOKUP(AH10,[83]Listas!$C$6:$D$10,2,0))</f>
        <v>Baja</v>
      </c>
      <c r="AJ10" s="271">
        <f t="shared" si="2"/>
        <v>2</v>
      </c>
      <c r="AK10" s="272" t="str">
        <f>IF(AJ10&lt;=1,"Insignificante",HLOOKUP(AJ10,[83]Listas!$F$3:$J$4,2,0))</f>
        <v>Menor</v>
      </c>
      <c r="AL10" s="273">
        <f t="shared" si="3"/>
        <v>4</v>
      </c>
      <c r="AM10" s="270" t="str">
        <f>INDEX([83]Listas!$F$6:$J$10,MATCH(AI10,[83]Listas!$D$6:$D$10,0),MATCH(AK10,[83]Listas!$F$4:$J$4,0))</f>
        <v>4
INFERIOR</v>
      </c>
      <c r="AN10" s="634" t="s">
        <v>2533</v>
      </c>
      <c r="AO10" s="634" t="s">
        <v>3220</v>
      </c>
      <c r="AP10" s="515" t="s">
        <v>3759</v>
      </c>
      <c r="AQ10" s="634" t="s">
        <v>3760</v>
      </c>
      <c r="AR10" s="634" t="s">
        <v>3761</v>
      </c>
      <c r="AS10" s="608" t="s">
        <v>36</v>
      </c>
      <c r="AT10" s="259"/>
      <c r="AU10" s="259"/>
      <c r="AV10" s="261"/>
      <c r="AW10" s="261"/>
      <c r="AX10" s="608"/>
      <c r="AY10" s="262"/>
    </row>
    <row r="11" spans="1:1027" s="260" customFormat="1" ht="157.5" customHeight="1">
      <c r="A11" s="634" t="s">
        <v>1028</v>
      </c>
      <c r="B11" s="266" t="s">
        <v>1965</v>
      </c>
      <c r="C11" s="2142" t="s">
        <v>3762</v>
      </c>
      <c r="D11" s="2143"/>
      <c r="E11" s="2144"/>
      <c r="F11" s="608" t="s">
        <v>1025</v>
      </c>
      <c r="G11" s="2145" t="s">
        <v>3221</v>
      </c>
      <c r="H11" s="2146"/>
      <c r="I11" s="2147"/>
      <c r="J11" s="2145" t="s">
        <v>3763</v>
      </c>
      <c r="K11" s="2146"/>
      <c r="L11" s="2147"/>
      <c r="M11" s="608" t="s">
        <v>8</v>
      </c>
      <c r="N11" s="608">
        <v>1</v>
      </c>
      <c r="O11" s="608"/>
      <c r="P11" s="608"/>
      <c r="Q11" s="266" t="s">
        <v>648</v>
      </c>
      <c r="R11" s="266" t="s">
        <v>274</v>
      </c>
      <c r="S11" s="268"/>
      <c r="T11" s="269">
        <f>VLOOKUP(Q11,[83]Listas!$D$6:$E$10,2,0)</f>
        <v>4</v>
      </c>
      <c r="U11" s="269">
        <f>HLOOKUP(R11,[83]Listas!$F$4:$J$5,2,0)</f>
        <v>3</v>
      </c>
      <c r="V11" s="270" t="str">
        <f>INDEX([83]Listas!$F$6:$J$10,MATCH(Q11,[83]Listas!$D$6:$D$10,0),MATCH(R11,[83]Listas!$F$4:$J$4,0))</f>
        <v>12
ALTO</v>
      </c>
      <c r="W11" s="268"/>
      <c r="X11" s="2145" t="s">
        <v>3764</v>
      </c>
      <c r="Y11" s="2146"/>
      <c r="Z11" s="2147"/>
      <c r="AA11" s="1063" t="s">
        <v>4013</v>
      </c>
      <c r="AB11" s="336" t="s">
        <v>1025</v>
      </c>
      <c r="AC11" s="634" t="s">
        <v>3765</v>
      </c>
      <c r="AD11" s="608">
        <v>59</v>
      </c>
      <c r="AE11" s="267" t="s">
        <v>152</v>
      </c>
      <c r="AF11" s="268"/>
      <c r="AG11" s="269">
        <f t="shared" si="0"/>
        <v>1</v>
      </c>
      <c r="AH11" s="271">
        <f t="shared" si="1"/>
        <v>3</v>
      </c>
      <c r="AI11" s="272" t="str">
        <f>IF(AH11&lt;=1,"Remota",VLOOKUP(AH11,[83]Listas!$C$6:$D$10,2,0))</f>
        <v>Posible</v>
      </c>
      <c r="AJ11" s="271">
        <f t="shared" si="2"/>
        <v>2</v>
      </c>
      <c r="AK11" s="272" t="str">
        <f>IF(AJ11&lt;=1,"Insignificante",HLOOKUP(AJ11,[83]Listas!$F$3:$J$4,2,0))</f>
        <v>Menor</v>
      </c>
      <c r="AL11" s="273">
        <f t="shared" si="3"/>
        <v>6</v>
      </c>
      <c r="AM11" s="270" t="str">
        <f>INDEX([83]Listas!$F$6:$J$10,MATCH(AI11,[83]Listas!$D$6:$D$10,0),MATCH(AK11,[83]Listas!$F$4:$J$4,0))</f>
        <v>6
MODERADO</v>
      </c>
      <c r="AN11" s="634" t="s">
        <v>2533</v>
      </c>
      <c r="AO11" s="634" t="s">
        <v>2534</v>
      </c>
      <c r="AP11" s="515" t="s">
        <v>3766</v>
      </c>
      <c r="AQ11" s="634" t="s">
        <v>3767</v>
      </c>
      <c r="AR11" s="634" t="s">
        <v>3768</v>
      </c>
      <c r="AS11" s="608" t="s">
        <v>36</v>
      </c>
      <c r="AT11" s="259"/>
      <c r="AU11" s="259"/>
      <c r="AV11" s="261"/>
      <c r="AW11" s="261"/>
      <c r="AX11" s="608"/>
      <c r="AY11" s="262"/>
    </row>
    <row r="12" spans="1:1027" s="260" customFormat="1" ht="363" customHeight="1">
      <c r="A12" s="608" t="s">
        <v>1022</v>
      </c>
      <c r="B12" s="1111" t="s">
        <v>1966</v>
      </c>
      <c r="C12" s="2142" t="s">
        <v>1030</v>
      </c>
      <c r="D12" s="2143"/>
      <c r="E12" s="2144"/>
      <c r="F12" s="267" t="s">
        <v>1025</v>
      </c>
      <c r="G12" s="2145" t="s">
        <v>1031</v>
      </c>
      <c r="H12" s="2146"/>
      <c r="I12" s="2147"/>
      <c r="J12" s="2145" t="s">
        <v>1032</v>
      </c>
      <c r="K12" s="2146"/>
      <c r="L12" s="2147"/>
      <c r="M12" s="608"/>
      <c r="N12" s="608"/>
      <c r="O12" s="608" t="s">
        <v>8</v>
      </c>
      <c r="P12" s="608"/>
      <c r="Q12" s="266" t="s">
        <v>64</v>
      </c>
      <c r="R12" s="266" t="s">
        <v>270</v>
      </c>
      <c r="S12" s="268"/>
      <c r="T12" s="269">
        <f>VLOOKUP(Q12,[83]Listas!$D$6:$E$10,2,0)</f>
        <v>3</v>
      </c>
      <c r="U12" s="269">
        <f>HLOOKUP(R12,[83]Listas!$F$4:$J$5,2,0)</f>
        <v>4</v>
      </c>
      <c r="V12" s="270" t="str">
        <f>INDEX([83]Listas!$F$6:$J$10,MATCH(Q12,[83]Listas!$D$6:$D$10,0),MATCH(R12,[83]Listas!$F$4:$J$4,0))</f>
        <v>12
ALTO</v>
      </c>
      <c r="W12" s="268"/>
      <c r="X12" s="2145" t="s">
        <v>1033</v>
      </c>
      <c r="Y12" s="2146"/>
      <c r="Z12" s="2147"/>
      <c r="AA12" s="1063" t="s">
        <v>4194</v>
      </c>
      <c r="AB12" s="267" t="s">
        <v>1025</v>
      </c>
      <c r="AC12" s="634" t="s">
        <v>1034</v>
      </c>
      <c r="AD12" s="608">
        <v>75</v>
      </c>
      <c r="AE12" s="267" t="s">
        <v>152</v>
      </c>
      <c r="AF12" s="268"/>
      <c r="AG12" s="269">
        <f t="shared" si="0"/>
        <v>1</v>
      </c>
      <c r="AH12" s="271">
        <f t="shared" si="1"/>
        <v>2</v>
      </c>
      <c r="AI12" s="272" t="str">
        <f>IF(AH12&lt;=1,"Remota",VLOOKUP(AH12,[83]Listas!$C$6:$D$10,2,0))</f>
        <v>Baja</v>
      </c>
      <c r="AJ12" s="271">
        <f t="shared" si="2"/>
        <v>3</v>
      </c>
      <c r="AK12" s="272" t="str">
        <f>IF(AJ12&lt;=1,"Insignificante",HLOOKUP(AJ12,[83]Listas!$F$3:$J$4,2,0))</f>
        <v>Moderado</v>
      </c>
      <c r="AL12" s="273">
        <f t="shared" si="3"/>
        <v>6</v>
      </c>
      <c r="AM12" s="270" t="str">
        <f>INDEX([83]Listas!$F$6:$J$10,MATCH(AI12,[83]Listas!$D$6:$D$10,0),MATCH(AK12,[83]Listas!$F$4:$J$4,0))</f>
        <v>6
MODERADO</v>
      </c>
      <c r="AN12" s="634" t="s">
        <v>2535</v>
      </c>
      <c r="AO12" s="634" t="s">
        <v>2536</v>
      </c>
      <c r="AP12" s="337">
        <v>0</v>
      </c>
      <c r="AQ12" s="634" t="s">
        <v>3222</v>
      </c>
      <c r="AR12" s="634" t="s">
        <v>3223</v>
      </c>
      <c r="AS12" s="608" t="s">
        <v>36</v>
      </c>
      <c r="AT12" s="259"/>
      <c r="AU12" s="259"/>
      <c r="AV12" s="261"/>
      <c r="AW12" s="261"/>
      <c r="AX12" s="608"/>
      <c r="AY12" s="262"/>
    </row>
    <row r="13" spans="1:1027" s="260" customFormat="1" ht="131.25" customHeight="1">
      <c r="A13" s="608" t="s">
        <v>1022</v>
      </c>
      <c r="B13" s="1111" t="s">
        <v>1967</v>
      </c>
      <c r="C13" s="2142" t="s">
        <v>982</v>
      </c>
      <c r="D13" s="2143"/>
      <c r="E13" s="2144"/>
      <c r="F13" s="267" t="s">
        <v>1025</v>
      </c>
      <c r="G13" s="2145" t="s">
        <v>1035</v>
      </c>
      <c r="H13" s="2146"/>
      <c r="I13" s="2147"/>
      <c r="J13" s="2145" t="s">
        <v>1036</v>
      </c>
      <c r="K13" s="2146"/>
      <c r="L13" s="2147"/>
      <c r="M13" s="608"/>
      <c r="N13" s="608"/>
      <c r="O13" s="608" t="s">
        <v>8</v>
      </c>
      <c r="P13" s="608"/>
      <c r="Q13" s="266" t="s">
        <v>64</v>
      </c>
      <c r="R13" s="266" t="s">
        <v>274</v>
      </c>
      <c r="S13" s="268"/>
      <c r="T13" s="269">
        <f>VLOOKUP(Q13,[83]Listas!$D$6:$E$10,2,0)</f>
        <v>3</v>
      </c>
      <c r="U13" s="269">
        <f>HLOOKUP(R13,[83]Listas!$F$4:$J$5,2,0)</f>
        <v>3</v>
      </c>
      <c r="V13" s="270" t="str">
        <f>INDEX([83]Listas!$F$6:$J$10,MATCH(Q13,[83]Listas!$D$6:$D$10,0),MATCH(R13,[83]Listas!$F$4:$J$4,0))</f>
        <v>9
MODERADO</v>
      </c>
      <c r="W13" s="268"/>
      <c r="X13" s="2145" t="s">
        <v>1037</v>
      </c>
      <c r="Y13" s="2146"/>
      <c r="Z13" s="2147"/>
      <c r="AA13" s="1063" t="s">
        <v>4195</v>
      </c>
      <c r="AB13" s="267" t="s">
        <v>1025</v>
      </c>
      <c r="AC13" s="634" t="s">
        <v>1038</v>
      </c>
      <c r="AD13" s="608">
        <v>79</v>
      </c>
      <c r="AE13" s="267" t="s">
        <v>153</v>
      </c>
      <c r="AF13" s="268"/>
      <c r="AG13" s="269">
        <f t="shared" si="0"/>
        <v>1</v>
      </c>
      <c r="AH13" s="271">
        <f t="shared" si="1"/>
        <v>2</v>
      </c>
      <c r="AI13" s="272" t="str">
        <f>IF(AH13&lt;=1,"Remota",VLOOKUP(AH13,[83]Listas!$C$6:$D$10,2,0))</f>
        <v>Baja</v>
      </c>
      <c r="AJ13" s="271">
        <f t="shared" si="2"/>
        <v>3</v>
      </c>
      <c r="AK13" s="272" t="str">
        <f>IF(AJ13&lt;=1,"Insignificante",HLOOKUP(AJ13,[83]Listas!$F$3:$J$4,2,0))</f>
        <v>Moderado</v>
      </c>
      <c r="AL13" s="273">
        <f t="shared" si="3"/>
        <v>6</v>
      </c>
      <c r="AM13" s="270" t="str">
        <f>INDEX([83]Listas!$F$6:$J$10,MATCH(AI13,[83]Listas!$D$6:$D$10,0),MATCH(AK13,[83]Listas!$F$4:$J$4,0))</f>
        <v>6
MODERADO</v>
      </c>
      <c r="AN13" s="634" t="s">
        <v>2535</v>
      </c>
      <c r="AO13" s="634" t="s">
        <v>2537</v>
      </c>
      <c r="AP13" s="337">
        <v>0</v>
      </c>
      <c r="AQ13" s="634" t="s">
        <v>3222</v>
      </c>
      <c r="AR13" s="634" t="s">
        <v>3223</v>
      </c>
      <c r="AS13" s="608" t="s">
        <v>36</v>
      </c>
      <c r="AT13" s="259"/>
      <c r="AU13" s="259"/>
      <c r="AV13" s="261"/>
      <c r="AW13" s="261"/>
      <c r="AX13" s="608"/>
      <c r="AY13" s="262"/>
    </row>
    <row r="14" spans="1:1027" s="260" customFormat="1" ht="159.75" customHeight="1">
      <c r="A14" s="608" t="s">
        <v>1022</v>
      </c>
      <c r="B14" s="1111" t="s">
        <v>1968</v>
      </c>
      <c r="C14" s="2142" t="s">
        <v>1039</v>
      </c>
      <c r="D14" s="2143"/>
      <c r="E14" s="2144"/>
      <c r="F14" s="267" t="s">
        <v>1025</v>
      </c>
      <c r="G14" s="2145" t="s">
        <v>1040</v>
      </c>
      <c r="H14" s="2146"/>
      <c r="I14" s="2147"/>
      <c r="J14" s="2145" t="s">
        <v>1041</v>
      </c>
      <c r="K14" s="2146"/>
      <c r="L14" s="2147"/>
      <c r="M14" s="608"/>
      <c r="N14" s="608"/>
      <c r="O14" s="608" t="s">
        <v>8</v>
      </c>
      <c r="P14" s="608"/>
      <c r="Q14" s="266" t="s">
        <v>655</v>
      </c>
      <c r="R14" s="266" t="s">
        <v>274</v>
      </c>
      <c r="S14" s="268"/>
      <c r="T14" s="269">
        <f>VLOOKUP(Q14,[83]Listas!$D$6:$E$10,2,0)</f>
        <v>2</v>
      </c>
      <c r="U14" s="269">
        <f>HLOOKUP(R14,[83]Listas!$F$4:$J$5,2,0)</f>
        <v>3</v>
      </c>
      <c r="V14" s="270" t="str">
        <f>INDEX([83]Listas!$F$6:$J$10,MATCH(Q14,[83]Listas!$D$6:$D$10,0),MATCH(R14,[83]Listas!$F$4:$J$4,0))</f>
        <v>6
MODERADO</v>
      </c>
      <c r="W14" s="268"/>
      <c r="X14" s="2145" t="s">
        <v>1042</v>
      </c>
      <c r="Y14" s="2146"/>
      <c r="Z14" s="2147"/>
      <c r="AA14" s="1063" t="s">
        <v>4195</v>
      </c>
      <c r="AB14" s="267" t="s">
        <v>1025</v>
      </c>
      <c r="AC14" s="634" t="s">
        <v>1034</v>
      </c>
      <c r="AD14" s="608">
        <v>79</v>
      </c>
      <c r="AE14" s="267" t="s">
        <v>152</v>
      </c>
      <c r="AF14" s="268"/>
      <c r="AG14" s="269">
        <f t="shared" si="0"/>
        <v>1</v>
      </c>
      <c r="AH14" s="271">
        <f t="shared" si="1"/>
        <v>1</v>
      </c>
      <c r="AI14" s="272" t="str">
        <f>IF(AH14&lt;=1,"Remota",VLOOKUP(AH14,[83]Listas!$C$6:$D$10,2,0))</f>
        <v>Remota</v>
      </c>
      <c r="AJ14" s="271">
        <f t="shared" si="2"/>
        <v>2</v>
      </c>
      <c r="AK14" s="272" t="str">
        <f>IF(AJ14&lt;=1,"Insignificante",HLOOKUP(AJ14,[83]Listas!$F$3:$J$4,2,0))</f>
        <v>Menor</v>
      </c>
      <c r="AL14" s="273">
        <f t="shared" si="3"/>
        <v>2</v>
      </c>
      <c r="AM14" s="270" t="str">
        <f>INDEX([83]Listas!$F$6:$J$10,MATCH(AI14,[83]Listas!$D$6:$D$10,0),MATCH(AK14,[83]Listas!$F$4:$J$4,0))</f>
        <v>2
INFERIOR</v>
      </c>
      <c r="AN14" s="634" t="s">
        <v>2535</v>
      </c>
      <c r="AO14" s="634" t="s">
        <v>2538</v>
      </c>
      <c r="AP14" s="337">
        <v>0</v>
      </c>
      <c r="AQ14" s="634" t="s">
        <v>3222</v>
      </c>
      <c r="AR14" s="634" t="s">
        <v>3223</v>
      </c>
      <c r="AS14" s="608" t="s">
        <v>36</v>
      </c>
      <c r="AT14" s="259"/>
      <c r="AU14" s="259"/>
      <c r="AV14" s="261"/>
      <c r="AW14" s="261"/>
      <c r="AX14" s="608"/>
      <c r="AY14" s="262"/>
    </row>
    <row r="15" spans="1:1027" s="260" customFormat="1" ht="103.5" hidden="1" customHeight="1">
      <c r="A15" s="608"/>
      <c r="B15" s="266"/>
      <c r="C15" s="1399"/>
      <c r="D15" s="1408"/>
      <c r="E15" s="1400"/>
      <c r="F15" s="267"/>
      <c r="G15" s="1399"/>
      <c r="H15" s="1408"/>
      <c r="I15" s="1400"/>
      <c r="J15" s="1399"/>
      <c r="K15" s="1408"/>
      <c r="L15" s="1400"/>
      <c r="M15" s="608"/>
      <c r="N15" s="608"/>
      <c r="O15" s="608"/>
      <c r="P15" s="608"/>
      <c r="Q15" s="266"/>
      <c r="R15" s="266"/>
      <c r="S15" s="268"/>
      <c r="T15" s="269" t="e">
        <f>VLOOKUP(Q15,[83]Listas!$D$6:$E$10,2,0)</f>
        <v>#N/A</v>
      </c>
      <c r="U15" s="269" t="e">
        <f>HLOOKUP(R15,[83]Listas!$F$4:$J$5,2,0)</f>
        <v>#N/A</v>
      </c>
      <c r="V15" s="270" t="e">
        <f>INDEX([83]Listas!$F$6:$J$10,MATCH(Q15,[83]Listas!$D$6:$D$10,0),MATCH(R15,[83]Listas!$F$4:$J$4,0))</f>
        <v>#N/A</v>
      </c>
      <c r="W15" s="268"/>
      <c r="X15" s="1399"/>
      <c r="Y15" s="1408"/>
      <c r="Z15" s="1400"/>
      <c r="AA15" s="1063"/>
      <c r="AB15" s="267"/>
      <c r="AC15" s="259"/>
      <c r="AD15" s="608"/>
      <c r="AE15" s="267"/>
      <c r="AF15" s="268"/>
      <c r="AG15" s="269">
        <f t="shared" si="0"/>
        <v>0</v>
      </c>
      <c r="AH15" s="271" t="e">
        <f t="shared" si="1"/>
        <v>#N/A</v>
      </c>
      <c r="AI15" s="272" t="e">
        <f>IF(AH15&lt;=1,"Remota",VLOOKUP(AH15,[83]Listas!$C$6:$D$10,2,0))</f>
        <v>#N/A</v>
      </c>
      <c r="AJ15" s="271" t="e">
        <f t="shared" si="2"/>
        <v>#N/A</v>
      </c>
      <c r="AK15" s="272" t="e">
        <f>IF(AJ15&lt;=1,"Insignificante",HLOOKUP(AJ15,[83]Listas!$F$3:$J$4,2,0))</f>
        <v>#N/A</v>
      </c>
      <c r="AL15" s="273" t="e">
        <f t="shared" si="3"/>
        <v>#N/A</v>
      </c>
      <c r="AM15" s="270" t="e">
        <f>INDEX([83]Listas!$F$6:$J$10,MATCH(AI15,[83]Listas!$D$6:$D$10,0),MATCH(AK15,[83]Listas!$F$4:$J$4,0))</f>
        <v>#N/A</v>
      </c>
      <c r="AN15" s="259"/>
      <c r="AO15" s="259"/>
      <c r="AP15" s="337"/>
      <c r="AQ15" s="259"/>
      <c r="AR15" s="259" t="s">
        <v>2343</v>
      </c>
      <c r="AS15" s="608"/>
      <c r="AT15" s="259"/>
      <c r="AU15" s="259"/>
      <c r="AV15" s="261"/>
      <c r="AW15" s="261"/>
      <c r="AX15" s="608"/>
      <c r="AY15" s="262"/>
    </row>
    <row r="16" spans="1:1027" s="260" customFormat="1" ht="103.5" hidden="1" customHeight="1">
      <c r="A16" s="608"/>
      <c r="B16" s="266"/>
      <c r="C16" s="1399"/>
      <c r="D16" s="1408"/>
      <c r="E16" s="1400"/>
      <c r="F16" s="267"/>
      <c r="G16" s="1399"/>
      <c r="H16" s="1408"/>
      <c r="I16" s="1400"/>
      <c r="J16" s="1399"/>
      <c r="K16" s="1408"/>
      <c r="L16" s="1400"/>
      <c r="M16" s="608"/>
      <c r="N16" s="608"/>
      <c r="O16" s="608"/>
      <c r="P16" s="608"/>
      <c r="Q16" s="266"/>
      <c r="R16" s="266"/>
      <c r="S16" s="268"/>
      <c r="T16" s="269" t="e">
        <f>VLOOKUP(Q16,[83]Listas!$D$6:$E$10,2,0)</f>
        <v>#N/A</v>
      </c>
      <c r="U16" s="269" t="e">
        <f>HLOOKUP(R16,[83]Listas!$F$4:$J$5,2,0)</f>
        <v>#N/A</v>
      </c>
      <c r="V16" s="270" t="e">
        <f>INDEX([83]Listas!$F$6:$J$10,MATCH(Q16,[83]Listas!$D$6:$D$10,0),MATCH(R16,[83]Listas!$F$4:$J$4,0))</f>
        <v>#N/A</v>
      </c>
      <c r="W16" s="268"/>
      <c r="X16" s="1399"/>
      <c r="Y16" s="1408"/>
      <c r="Z16" s="1400"/>
      <c r="AA16" s="1063"/>
      <c r="AB16" s="267"/>
      <c r="AC16" s="259"/>
      <c r="AD16" s="608"/>
      <c r="AE16" s="267"/>
      <c r="AF16" s="268"/>
      <c r="AG16" s="269">
        <f t="shared" si="0"/>
        <v>0</v>
      </c>
      <c r="AH16" s="271" t="e">
        <f t="shared" si="1"/>
        <v>#N/A</v>
      </c>
      <c r="AI16" s="272" t="e">
        <f>IF(AH16&lt;=1,"Remota",VLOOKUP(AH16,[83]Listas!$C$6:$D$10,2,0))</f>
        <v>#N/A</v>
      </c>
      <c r="AJ16" s="271" t="e">
        <f t="shared" si="2"/>
        <v>#N/A</v>
      </c>
      <c r="AK16" s="272" t="e">
        <f>IF(AJ16&lt;=1,"Insignificante",HLOOKUP(AJ16,[83]Listas!$F$3:$J$4,2,0))</f>
        <v>#N/A</v>
      </c>
      <c r="AL16" s="273" t="e">
        <f t="shared" si="3"/>
        <v>#N/A</v>
      </c>
      <c r="AM16" s="270" t="e">
        <f>INDEX([83]Listas!$F$6:$J$10,MATCH(AI16,[83]Listas!$D$6:$D$10,0),MATCH(AK16,[83]Listas!$F$4:$J$4,0))</f>
        <v>#N/A</v>
      </c>
      <c r="AN16" s="259"/>
      <c r="AO16" s="259"/>
      <c r="AP16" s="610"/>
      <c r="AQ16" s="259"/>
      <c r="AR16" s="259" t="s">
        <v>2343</v>
      </c>
      <c r="AS16" s="608"/>
      <c r="AT16" s="259"/>
      <c r="AU16" s="259"/>
      <c r="AV16" s="261"/>
      <c r="AW16" s="261"/>
      <c r="AX16" s="608"/>
      <c r="AY16" s="262"/>
    </row>
    <row r="17" spans="1:51" s="260" customFormat="1" ht="103.5" hidden="1" customHeight="1">
      <c r="A17" s="608"/>
      <c r="B17" s="266"/>
      <c r="C17" s="1399"/>
      <c r="D17" s="1408"/>
      <c r="E17" s="1400"/>
      <c r="F17" s="267"/>
      <c r="G17" s="1399"/>
      <c r="H17" s="1408"/>
      <c r="I17" s="1400"/>
      <c r="J17" s="1399"/>
      <c r="K17" s="1408"/>
      <c r="L17" s="1400"/>
      <c r="M17" s="608"/>
      <c r="N17" s="608"/>
      <c r="O17" s="608"/>
      <c r="P17" s="608"/>
      <c r="Q17" s="266"/>
      <c r="R17" s="266"/>
      <c r="S17" s="268"/>
      <c r="T17" s="269" t="e">
        <f>VLOOKUP(Q17,[83]Listas!$D$6:$E$10,2,0)</f>
        <v>#N/A</v>
      </c>
      <c r="U17" s="269" t="e">
        <f>HLOOKUP(R17,[83]Listas!$F$4:$J$5,2,0)</f>
        <v>#N/A</v>
      </c>
      <c r="V17" s="270" t="e">
        <f>INDEX([83]Listas!$F$6:$J$10,MATCH(Q17,[83]Listas!$D$6:$D$10,0),MATCH(R17,[83]Listas!$F$4:$J$4,0))</f>
        <v>#N/A</v>
      </c>
      <c r="W17" s="268"/>
      <c r="X17" s="1399"/>
      <c r="Y17" s="1408"/>
      <c r="Z17" s="1400"/>
      <c r="AA17" s="1063"/>
      <c r="AB17" s="267"/>
      <c r="AC17" s="259"/>
      <c r="AD17" s="608"/>
      <c r="AE17" s="267"/>
      <c r="AF17" s="268"/>
      <c r="AG17" s="269">
        <f t="shared" si="0"/>
        <v>0</v>
      </c>
      <c r="AH17" s="271" t="e">
        <f t="shared" si="1"/>
        <v>#N/A</v>
      </c>
      <c r="AI17" s="272" t="e">
        <f>IF(AH17&lt;=1,"Remota",VLOOKUP(AH17,[83]Listas!$C$6:$D$10,2,0))</f>
        <v>#N/A</v>
      </c>
      <c r="AJ17" s="271" t="e">
        <f t="shared" si="2"/>
        <v>#N/A</v>
      </c>
      <c r="AK17" s="272" t="e">
        <f>IF(AJ17&lt;=1,"Insignificante",HLOOKUP(AJ17,[83]Listas!$F$3:$J$4,2,0))</f>
        <v>#N/A</v>
      </c>
      <c r="AL17" s="273" t="e">
        <f t="shared" si="3"/>
        <v>#N/A</v>
      </c>
      <c r="AM17" s="270" t="e">
        <f>INDEX([83]Listas!$F$6:$J$10,MATCH(AI17,[83]Listas!$D$6:$D$10,0),MATCH(AK17,[83]Listas!$F$4:$J$4,0))</f>
        <v>#N/A</v>
      </c>
      <c r="AN17" s="259"/>
      <c r="AO17" s="259"/>
      <c r="AP17" s="610"/>
      <c r="AQ17" s="259"/>
      <c r="AR17" s="259" t="s">
        <v>2343</v>
      </c>
      <c r="AS17" s="608"/>
      <c r="AT17" s="259"/>
      <c r="AU17" s="259"/>
      <c r="AV17" s="261"/>
      <c r="AW17" s="261"/>
      <c r="AX17" s="608"/>
      <c r="AY17" s="262"/>
    </row>
    <row r="18" spans="1:51" s="260" customFormat="1" ht="103.5" hidden="1" customHeight="1">
      <c r="A18" s="608"/>
      <c r="B18" s="266"/>
      <c r="C18" s="1399"/>
      <c r="D18" s="1408"/>
      <c r="E18" s="1400"/>
      <c r="F18" s="267"/>
      <c r="G18" s="1399"/>
      <c r="H18" s="1408"/>
      <c r="I18" s="1400"/>
      <c r="J18" s="1399"/>
      <c r="K18" s="1408"/>
      <c r="L18" s="1400"/>
      <c r="M18" s="608"/>
      <c r="N18" s="608"/>
      <c r="O18" s="608"/>
      <c r="P18" s="608"/>
      <c r="Q18" s="266"/>
      <c r="R18" s="266"/>
      <c r="S18" s="268"/>
      <c r="T18" s="269" t="e">
        <f>VLOOKUP(Q18,[83]Listas!$D$6:$E$10,2,0)</f>
        <v>#N/A</v>
      </c>
      <c r="U18" s="269" t="e">
        <f>HLOOKUP(R18,[83]Listas!$F$4:$J$5,2,0)</f>
        <v>#N/A</v>
      </c>
      <c r="V18" s="270" t="e">
        <f>INDEX([83]Listas!$F$6:$J$10,MATCH(Q18,[83]Listas!$D$6:$D$10,0),MATCH(R18,[83]Listas!$F$4:$J$4,0))</f>
        <v>#N/A</v>
      </c>
      <c r="W18" s="268"/>
      <c r="X18" s="1399"/>
      <c r="Y18" s="1408"/>
      <c r="Z18" s="1400"/>
      <c r="AA18" s="1063"/>
      <c r="AB18" s="267"/>
      <c r="AC18" s="259"/>
      <c r="AD18" s="608"/>
      <c r="AE18" s="267"/>
      <c r="AF18" s="268"/>
      <c r="AG18" s="269">
        <f t="shared" si="0"/>
        <v>0</v>
      </c>
      <c r="AH18" s="271" t="e">
        <f t="shared" si="1"/>
        <v>#N/A</v>
      </c>
      <c r="AI18" s="272" t="e">
        <f>IF(AH18&lt;=1,"Remota",VLOOKUP(AH18,[83]Listas!$C$6:$D$10,2,0))</f>
        <v>#N/A</v>
      </c>
      <c r="AJ18" s="271" t="e">
        <f t="shared" si="2"/>
        <v>#N/A</v>
      </c>
      <c r="AK18" s="272" t="e">
        <f>IF(AJ18&lt;=1,"Insignificante",HLOOKUP(AJ18,[83]Listas!$F$3:$J$4,2,0))</f>
        <v>#N/A</v>
      </c>
      <c r="AL18" s="273" t="e">
        <f t="shared" si="3"/>
        <v>#N/A</v>
      </c>
      <c r="AM18" s="270" t="e">
        <f>INDEX([83]Listas!$F$6:$J$10,MATCH(AI18,[83]Listas!$D$6:$D$10,0),MATCH(AK18,[83]Listas!$F$4:$J$4,0))</f>
        <v>#N/A</v>
      </c>
      <c r="AN18" s="259"/>
      <c r="AO18" s="259"/>
      <c r="AP18" s="610"/>
      <c r="AQ18" s="259"/>
      <c r="AR18" s="259" t="s">
        <v>2343</v>
      </c>
      <c r="AS18" s="608"/>
      <c r="AT18" s="259"/>
      <c r="AU18" s="259"/>
      <c r="AV18" s="261"/>
      <c r="AW18" s="261"/>
      <c r="AX18" s="608"/>
      <c r="AY18" s="262"/>
    </row>
    <row r="19" spans="1:51" s="260" customFormat="1" ht="103.5" hidden="1" customHeight="1">
      <c r="A19" s="608"/>
      <c r="B19" s="266"/>
      <c r="C19" s="1399"/>
      <c r="D19" s="1408"/>
      <c r="E19" s="1400"/>
      <c r="F19" s="267"/>
      <c r="G19" s="1399"/>
      <c r="H19" s="1408"/>
      <c r="I19" s="1400"/>
      <c r="J19" s="1399"/>
      <c r="K19" s="1408"/>
      <c r="L19" s="1400"/>
      <c r="M19" s="608"/>
      <c r="N19" s="608"/>
      <c r="O19" s="608"/>
      <c r="P19" s="608"/>
      <c r="Q19" s="266"/>
      <c r="R19" s="266"/>
      <c r="S19" s="268"/>
      <c r="T19" s="269" t="e">
        <f>VLOOKUP(Q19,[83]Listas!$D$6:$E$10,2,0)</f>
        <v>#N/A</v>
      </c>
      <c r="U19" s="269" t="e">
        <f>HLOOKUP(R19,[83]Listas!$F$4:$J$5,2,0)</f>
        <v>#N/A</v>
      </c>
      <c r="V19" s="270" t="e">
        <f>INDEX([83]Listas!$F$6:$J$10,MATCH(Q19,[83]Listas!$D$6:$D$10,0),MATCH(R19,[83]Listas!$F$4:$J$4,0))</f>
        <v>#N/A</v>
      </c>
      <c r="W19" s="268"/>
      <c r="X19" s="1399"/>
      <c r="Y19" s="1408"/>
      <c r="Z19" s="1400"/>
      <c r="AA19" s="1063"/>
      <c r="AB19" s="267"/>
      <c r="AC19" s="259"/>
      <c r="AD19" s="608"/>
      <c r="AE19" s="267"/>
      <c r="AF19" s="268"/>
      <c r="AG19" s="269">
        <f t="shared" si="0"/>
        <v>0</v>
      </c>
      <c r="AH19" s="271" t="e">
        <f t="shared" si="1"/>
        <v>#N/A</v>
      </c>
      <c r="AI19" s="272" t="e">
        <f>IF(AH19&lt;=1,"Remota",VLOOKUP(AH19,[83]Listas!$C$6:$D$10,2,0))</f>
        <v>#N/A</v>
      </c>
      <c r="AJ19" s="271" t="e">
        <f t="shared" si="2"/>
        <v>#N/A</v>
      </c>
      <c r="AK19" s="272" t="e">
        <f>IF(AJ19&lt;=1,"Insignificante",HLOOKUP(AJ19,[83]Listas!$F$3:$J$4,2,0))</f>
        <v>#N/A</v>
      </c>
      <c r="AL19" s="273" t="e">
        <f t="shared" si="3"/>
        <v>#N/A</v>
      </c>
      <c r="AM19" s="270" t="e">
        <f>INDEX([83]Listas!$F$6:$J$10,MATCH(AI19,[83]Listas!$D$6:$D$10,0),MATCH(AK19,[83]Listas!$F$4:$J$4,0))</f>
        <v>#N/A</v>
      </c>
      <c r="AN19" s="259"/>
      <c r="AO19" s="259"/>
      <c r="AP19" s="610"/>
      <c r="AQ19" s="259"/>
      <c r="AR19" s="259" t="s">
        <v>2343</v>
      </c>
      <c r="AS19" s="608"/>
      <c r="AT19" s="259"/>
      <c r="AU19" s="259"/>
      <c r="AV19" s="261"/>
      <c r="AW19" s="261"/>
      <c r="AX19" s="608"/>
      <c r="AY19" s="262"/>
    </row>
    <row r="20" spans="1:51" s="260" customFormat="1" ht="103.5" hidden="1" customHeight="1">
      <c r="A20" s="608"/>
      <c r="B20" s="266"/>
      <c r="C20" s="1399"/>
      <c r="D20" s="1408"/>
      <c r="E20" s="1400"/>
      <c r="F20" s="267"/>
      <c r="G20" s="1399"/>
      <c r="H20" s="1408"/>
      <c r="I20" s="1400"/>
      <c r="J20" s="1399"/>
      <c r="K20" s="1408"/>
      <c r="L20" s="1400"/>
      <c r="M20" s="608"/>
      <c r="N20" s="608"/>
      <c r="O20" s="608"/>
      <c r="P20" s="608"/>
      <c r="Q20" s="266"/>
      <c r="R20" s="266"/>
      <c r="S20" s="268"/>
      <c r="T20" s="269" t="e">
        <f>VLOOKUP(Q20,[83]Listas!$D$6:$E$10,2,0)</f>
        <v>#N/A</v>
      </c>
      <c r="U20" s="269" t="e">
        <f>HLOOKUP(R20,[83]Listas!$F$4:$J$5,2,0)</f>
        <v>#N/A</v>
      </c>
      <c r="V20" s="270" t="e">
        <f>INDEX([83]Listas!$F$6:$J$10,MATCH(Q20,[83]Listas!$D$6:$D$10,0),MATCH(R20,[83]Listas!$F$4:$J$4,0))</f>
        <v>#N/A</v>
      </c>
      <c r="W20" s="268"/>
      <c r="X20" s="1399"/>
      <c r="Y20" s="1408"/>
      <c r="Z20" s="1400"/>
      <c r="AA20" s="1063"/>
      <c r="AB20" s="267"/>
      <c r="AC20" s="259"/>
      <c r="AD20" s="608"/>
      <c r="AE20" s="267"/>
      <c r="AF20" s="268"/>
      <c r="AG20" s="269">
        <f t="shared" si="0"/>
        <v>0</v>
      </c>
      <c r="AH20" s="271" t="e">
        <f t="shared" si="1"/>
        <v>#N/A</v>
      </c>
      <c r="AI20" s="272" t="e">
        <f>IF(AH20&lt;=1,"Remota",VLOOKUP(AH20,[83]Listas!$C$6:$D$10,2,0))</f>
        <v>#N/A</v>
      </c>
      <c r="AJ20" s="271" t="e">
        <f t="shared" si="2"/>
        <v>#N/A</v>
      </c>
      <c r="AK20" s="272" t="e">
        <f>IF(AJ20&lt;=1,"Insignificante",HLOOKUP(AJ20,[83]Listas!$F$3:$J$4,2,0))</f>
        <v>#N/A</v>
      </c>
      <c r="AL20" s="273" t="e">
        <f t="shared" si="3"/>
        <v>#N/A</v>
      </c>
      <c r="AM20" s="270" t="e">
        <f>INDEX([83]Listas!$F$6:$J$10,MATCH(AI20,[83]Listas!$D$6:$D$10,0),MATCH(AK20,[83]Listas!$F$4:$J$4,0))</f>
        <v>#N/A</v>
      </c>
      <c r="AN20" s="259"/>
      <c r="AO20" s="259"/>
      <c r="AP20" s="610"/>
      <c r="AQ20" s="259"/>
      <c r="AR20" s="259" t="s">
        <v>2343</v>
      </c>
      <c r="AS20" s="608"/>
      <c r="AT20" s="259"/>
      <c r="AU20" s="259"/>
      <c r="AV20" s="261"/>
      <c r="AW20" s="261"/>
      <c r="AX20" s="608"/>
      <c r="AY20" s="262"/>
    </row>
    <row r="21" spans="1:51" s="260" customFormat="1" ht="103.5" hidden="1" customHeight="1">
      <c r="A21" s="608"/>
      <c r="B21" s="266"/>
      <c r="C21" s="1399"/>
      <c r="D21" s="1408"/>
      <c r="E21" s="1400"/>
      <c r="F21" s="267"/>
      <c r="G21" s="1399"/>
      <c r="H21" s="1408"/>
      <c r="I21" s="1400"/>
      <c r="J21" s="1399"/>
      <c r="K21" s="1408"/>
      <c r="L21" s="1400"/>
      <c r="M21" s="608"/>
      <c r="N21" s="608"/>
      <c r="O21" s="608"/>
      <c r="P21" s="608"/>
      <c r="Q21" s="266"/>
      <c r="R21" s="266"/>
      <c r="S21" s="268"/>
      <c r="T21" s="269" t="e">
        <f>VLOOKUP(Q21,[83]Listas!$D$6:$E$10,2,0)</f>
        <v>#N/A</v>
      </c>
      <c r="U21" s="269" t="e">
        <f>HLOOKUP(R21,[83]Listas!$F$4:$J$5,2,0)</f>
        <v>#N/A</v>
      </c>
      <c r="V21" s="270" t="e">
        <f>INDEX([83]Listas!$F$6:$J$10,MATCH(Q21,[83]Listas!$D$6:$D$10,0),MATCH(R21,[83]Listas!$F$4:$J$4,0))</f>
        <v>#N/A</v>
      </c>
      <c r="W21" s="268"/>
      <c r="X21" s="1399"/>
      <c r="Y21" s="1408"/>
      <c r="Z21" s="1400"/>
      <c r="AA21" s="1063"/>
      <c r="AB21" s="267"/>
      <c r="AC21" s="259"/>
      <c r="AD21" s="608"/>
      <c r="AE21" s="267"/>
      <c r="AF21" s="268"/>
      <c r="AG21" s="269">
        <f t="shared" si="0"/>
        <v>0</v>
      </c>
      <c r="AH21" s="271" t="e">
        <f t="shared" si="1"/>
        <v>#N/A</v>
      </c>
      <c r="AI21" s="272" t="e">
        <f>IF(AH21&lt;=1,"Remota",VLOOKUP(AH21,[83]Listas!$C$6:$D$10,2,0))</f>
        <v>#N/A</v>
      </c>
      <c r="AJ21" s="271" t="e">
        <f t="shared" si="2"/>
        <v>#N/A</v>
      </c>
      <c r="AK21" s="272" t="e">
        <f>IF(AJ21&lt;=1,"Insignificante",HLOOKUP(AJ21,[83]Listas!$F$3:$J$4,2,0))</f>
        <v>#N/A</v>
      </c>
      <c r="AL21" s="273" t="e">
        <f t="shared" si="3"/>
        <v>#N/A</v>
      </c>
      <c r="AM21" s="270" t="e">
        <f>INDEX([83]Listas!$F$6:$J$10,MATCH(AI21,[83]Listas!$D$6:$D$10,0),MATCH(AK21,[83]Listas!$F$4:$J$4,0))</f>
        <v>#N/A</v>
      </c>
      <c r="AN21" s="259"/>
      <c r="AO21" s="259"/>
      <c r="AP21" s="610"/>
      <c r="AQ21" s="259"/>
      <c r="AR21" s="259" t="s">
        <v>2343</v>
      </c>
      <c r="AS21" s="608"/>
      <c r="AT21" s="259"/>
      <c r="AU21" s="259"/>
      <c r="AV21" s="261"/>
      <c r="AW21" s="261"/>
      <c r="AX21" s="608"/>
      <c r="AY21" s="262"/>
    </row>
    <row r="22" spans="1:51" s="260" customFormat="1" ht="103.5" hidden="1" customHeight="1">
      <c r="A22" s="608"/>
      <c r="B22" s="266"/>
      <c r="C22" s="1399"/>
      <c r="D22" s="1408"/>
      <c r="E22" s="1400"/>
      <c r="F22" s="267"/>
      <c r="G22" s="1399"/>
      <c r="H22" s="1408"/>
      <c r="I22" s="1400"/>
      <c r="J22" s="1399"/>
      <c r="K22" s="1408"/>
      <c r="L22" s="1400"/>
      <c r="M22" s="608"/>
      <c r="N22" s="608"/>
      <c r="O22" s="608"/>
      <c r="P22" s="608"/>
      <c r="Q22" s="266"/>
      <c r="R22" s="266"/>
      <c r="S22" s="268"/>
      <c r="T22" s="269" t="e">
        <f>VLOOKUP(Q22,[83]Listas!$D$6:$E$10,2,0)</f>
        <v>#N/A</v>
      </c>
      <c r="U22" s="269" t="e">
        <f>HLOOKUP(R22,[83]Listas!$F$4:$J$5,2,0)</f>
        <v>#N/A</v>
      </c>
      <c r="V22" s="270" t="e">
        <f>INDEX([83]Listas!$F$6:$J$10,MATCH(Q22,[83]Listas!$D$6:$D$10,0),MATCH(R22,[83]Listas!$F$4:$J$4,0))</f>
        <v>#N/A</v>
      </c>
      <c r="W22" s="268"/>
      <c r="X22" s="1399"/>
      <c r="Y22" s="1408"/>
      <c r="Z22" s="1400"/>
      <c r="AA22" s="1063"/>
      <c r="AB22" s="267"/>
      <c r="AC22" s="259"/>
      <c r="AD22" s="608"/>
      <c r="AE22" s="267"/>
      <c r="AF22" s="268"/>
      <c r="AG22" s="269">
        <f t="shared" si="0"/>
        <v>0</v>
      </c>
      <c r="AH22" s="271" t="e">
        <f t="shared" si="1"/>
        <v>#N/A</v>
      </c>
      <c r="AI22" s="272" t="e">
        <f>IF(AH22&lt;=1,"Remota",VLOOKUP(AH22,[83]Listas!$C$6:$D$10,2,0))</f>
        <v>#N/A</v>
      </c>
      <c r="AJ22" s="271" t="e">
        <f t="shared" si="2"/>
        <v>#N/A</v>
      </c>
      <c r="AK22" s="272" t="e">
        <f>IF(AJ22&lt;=1,"Insignificante",HLOOKUP(AJ22,[83]Listas!$F$3:$J$4,2,0))</f>
        <v>#N/A</v>
      </c>
      <c r="AL22" s="273" t="e">
        <f t="shared" si="3"/>
        <v>#N/A</v>
      </c>
      <c r="AM22" s="270" t="e">
        <f>INDEX([83]Listas!$F$6:$J$10,MATCH(AI22,[83]Listas!$D$6:$D$10,0),MATCH(AK22,[83]Listas!$F$4:$J$4,0))</f>
        <v>#N/A</v>
      </c>
      <c r="AN22" s="259"/>
      <c r="AO22" s="259"/>
      <c r="AP22" s="610"/>
      <c r="AQ22" s="259"/>
      <c r="AR22" s="259" t="s">
        <v>2343</v>
      </c>
      <c r="AS22" s="608"/>
      <c r="AT22" s="259"/>
      <c r="AU22" s="259"/>
      <c r="AV22" s="261"/>
      <c r="AW22" s="261"/>
      <c r="AX22" s="608"/>
      <c r="AY22" s="262"/>
    </row>
    <row r="23" spans="1:51" s="260" customFormat="1" ht="103.5" hidden="1" customHeight="1">
      <c r="A23" s="608"/>
      <c r="B23" s="266"/>
      <c r="C23" s="1399"/>
      <c r="D23" s="1408"/>
      <c r="E23" s="1400"/>
      <c r="F23" s="267"/>
      <c r="G23" s="1399"/>
      <c r="H23" s="1408"/>
      <c r="I23" s="1400"/>
      <c r="J23" s="1399"/>
      <c r="K23" s="1408"/>
      <c r="L23" s="1400"/>
      <c r="M23" s="608"/>
      <c r="N23" s="608"/>
      <c r="O23" s="608"/>
      <c r="P23" s="608"/>
      <c r="Q23" s="266"/>
      <c r="R23" s="266"/>
      <c r="S23" s="268"/>
      <c r="T23" s="269" t="e">
        <f>VLOOKUP(Q23,[83]Listas!$D$6:$E$10,2,0)</f>
        <v>#N/A</v>
      </c>
      <c r="U23" s="269" t="e">
        <f>HLOOKUP(R23,[83]Listas!$F$4:$J$5,2,0)</f>
        <v>#N/A</v>
      </c>
      <c r="V23" s="270" t="e">
        <f>INDEX([83]Listas!$F$6:$J$10,MATCH(Q23,[83]Listas!$D$6:$D$10,0),MATCH(R23,[83]Listas!$F$4:$J$4,0))</f>
        <v>#N/A</v>
      </c>
      <c r="W23" s="268"/>
      <c r="X23" s="1399"/>
      <c r="Y23" s="1408"/>
      <c r="Z23" s="1400"/>
      <c r="AA23" s="1063"/>
      <c r="AB23" s="267"/>
      <c r="AC23" s="259"/>
      <c r="AD23" s="608"/>
      <c r="AE23" s="267"/>
      <c r="AF23" s="268"/>
      <c r="AG23" s="269">
        <f t="shared" si="0"/>
        <v>0</v>
      </c>
      <c r="AH23" s="271" t="e">
        <f t="shared" si="1"/>
        <v>#N/A</v>
      </c>
      <c r="AI23" s="272" t="e">
        <f>IF(AH23&lt;=1,"Remota",VLOOKUP(AH23,[83]Listas!$C$6:$D$10,2,0))</f>
        <v>#N/A</v>
      </c>
      <c r="AJ23" s="271" t="e">
        <f t="shared" si="2"/>
        <v>#N/A</v>
      </c>
      <c r="AK23" s="272" t="e">
        <f>IF(AJ23&lt;=1,"Insignificante",HLOOKUP(AJ23,[83]Listas!$F$3:$J$4,2,0))</f>
        <v>#N/A</v>
      </c>
      <c r="AL23" s="273" t="e">
        <f t="shared" si="3"/>
        <v>#N/A</v>
      </c>
      <c r="AM23" s="270" t="e">
        <f>INDEX([83]Listas!$F$6:$J$10,MATCH(AI23,[83]Listas!$D$6:$D$10,0),MATCH(AK23,[83]Listas!$F$4:$J$4,0))</f>
        <v>#N/A</v>
      </c>
      <c r="AN23" s="259"/>
      <c r="AO23" s="259"/>
      <c r="AP23" s="610"/>
      <c r="AQ23" s="259"/>
      <c r="AR23" s="259" t="s">
        <v>2343</v>
      </c>
      <c r="AS23" s="608"/>
      <c r="AT23" s="259"/>
      <c r="AU23" s="259"/>
      <c r="AV23" s="261"/>
      <c r="AW23" s="261"/>
      <c r="AX23" s="608"/>
      <c r="AY23" s="262"/>
    </row>
    <row r="24" spans="1:51" s="260" customFormat="1" ht="103.5" hidden="1" customHeight="1">
      <c r="A24" s="608"/>
      <c r="B24" s="266"/>
      <c r="C24" s="1399"/>
      <c r="D24" s="1408"/>
      <c r="E24" s="1400"/>
      <c r="F24" s="267"/>
      <c r="G24" s="1399"/>
      <c r="H24" s="1408"/>
      <c r="I24" s="1400"/>
      <c r="J24" s="1380"/>
      <c r="K24" s="1380"/>
      <c r="L24" s="1380"/>
      <c r="M24" s="608"/>
      <c r="N24" s="608"/>
      <c r="O24" s="608"/>
      <c r="P24" s="608"/>
      <c r="Q24" s="266"/>
      <c r="R24" s="266"/>
      <c r="S24" s="268"/>
      <c r="T24" s="269" t="e">
        <f>VLOOKUP(Q24,[83]Listas!$D$6:$E$10,2,0)</f>
        <v>#N/A</v>
      </c>
      <c r="U24" s="269" t="e">
        <f>HLOOKUP(R24,[83]Listas!$F$4:$J$5,2,0)</f>
        <v>#N/A</v>
      </c>
      <c r="V24" s="270" t="e">
        <f>INDEX([83]Listas!$F$6:$J$10,MATCH(Q24,[83]Listas!$D$6:$D$10,0),MATCH(R24,[83]Listas!$F$4:$J$4,0))</f>
        <v>#N/A</v>
      </c>
      <c r="W24" s="268"/>
      <c r="X24" s="1399"/>
      <c r="Y24" s="1408"/>
      <c r="Z24" s="1400"/>
      <c r="AA24" s="1063"/>
      <c r="AB24" s="267"/>
      <c r="AC24" s="259"/>
      <c r="AD24" s="608"/>
      <c r="AE24" s="267"/>
      <c r="AF24" s="268"/>
      <c r="AG24" s="269">
        <f t="shared" si="0"/>
        <v>0</v>
      </c>
      <c r="AH24" s="271" t="e">
        <f t="shared" si="1"/>
        <v>#N/A</v>
      </c>
      <c r="AI24" s="272" t="e">
        <f>IF(AH24&lt;=1,"Remota",VLOOKUP(AH24,[83]Listas!$C$6:$D$10,2,0))</f>
        <v>#N/A</v>
      </c>
      <c r="AJ24" s="271" t="e">
        <f t="shared" si="2"/>
        <v>#N/A</v>
      </c>
      <c r="AK24" s="272" t="e">
        <f>IF(AJ24&lt;=1,"Insignificante",HLOOKUP(AJ24,[83]Listas!$F$3:$J$4,2,0))</f>
        <v>#N/A</v>
      </c>
      <c r="AL24" s="273" t="e">
        <f t="shared" si="3"/>
        <v>#N/A</v>
      </c>
      <c r="AM24" s="270" t="e">
        <f>INDEX([83]Listas!$F$6:$J$10,MATCH(AI24,[83]Listas!$D$6:$D$10,0),MATCH(AK24,[83]Listas!$F$4:$J$4,0))</f>
        <v>#N/A</v>
      </c>
      <c r="AN24" s="259"/>
      <c r="AO24" s="259"/>
      <c r="AP24" s="610"/>
      <c r="AQ24" s="259"/>
      <c r="AR24" s="259" t="s">
        <v>2343</v>
      </c>
      <c r="AS24" s="608"/>
      <c r="AT24" s="259"/>
      <c r="AU24" s="259"/>
      <c r="AV24" s="261"/>
      <c r="AW24" s="261"/>
      <c r="AX24" s="608"/>
      <c r="AY24" s="262"/>
    </row>
    <row r="25" spans="1:51" s="260" customFormat="1" ht="103.5" hidden="1" customHeight="1">
      <c r="A25" s="608"/>
      <c r="B25" s="266"/>
      <c r="C25" s="1399"/>
      <c r="D25" s="1408"/>
      <c r="E25" s="1400"/>
      <c r="F25" s="267"/>
      <c r="G25" s="1399"/>
      <c r="H25" s="1408"/>
      <c r="I25" s="1400"/>
      <c r="J25" s="1380"/>
      <c r="K25" s="1380"/>
      <c r="L25" s="1380"/>
      <c r="M25" s="608"/>
      <c r="N25" s="608"/>
      <c r="O25" s="608"/>
      <c r="P25" s="608"/>
      <c r="Q25" s="266"/>
      <c r="R25" s="266"/>
      <c r="S25" s="268"/>
      <c r="T25" s="269" t="e">
        <f>VLOOKUP(Q25,[83]Listas!$D$6:$E$10,2,0)</f>
        <v>#N/A</v>
      </c>
      <c r="U25" s="269" t="e">
        <f>HLOOKUP(R25,[83]Listas!$F$4:$J$5,2,0)</f>
        <v>#N/A</v>
      </c>
      <c r="V25" s="270" t="e">
        <f>INDEX([83]Listas!$F$6:$J$10,MATCH(Q25,[83]Listas!$D$6:$D$10,0),MATCH(R25,[83]Listas!$F$4:$J$4,0))</f>
        <v>#N/A</v>
      </c>
      <c r="W25" s="268"/>
      <c r="X25" s="1399"/>
      <c r="Y25" s="1408"/>
      <c r="Z25" s="1400"/>
      <c r="AA25" s="1063"/>
      <c r="AB25" s="267"/>
      <c r="AC25" s="259"/>
      <c r="AD25" s="608"/>
      <c r="AE25" s="267"/>
      <c r="AF25" s="268"/>
      <c r="AG25" s="269">
        <f t="shared" si="0"/>
        <v>0</v>
      </c>
      <c r="AH25" s="271" t="e">
        <f t="shared" si="1"/>
        <v>#N/A</v>
      </c>
      <c r="AI25" s="272" t="e">
        <f>IF(AH25&lt;=1,"Remota",VLOOKUP(AH25,[83]Listas!$C$6:$D$10,2,0))</f>
        <v>#N/A</v>
      </c>
      <c r="AJ25" s="271" t="e">
        <f t="shared" si="2"/>
        <v>#N/A</v>
      </c>
      <c r="AK25" s="272" t="e">
        <f>IF(AJ25&lt;=1,"Insignificante",HLOOKUP(AJ25,[83]Listas!$F$3:$J$4,2,0))</f>
        <v>#N/A</v>
      </c>
      <c r="AL25" s="273" t="e">
        <f t="shared" si="3"/>
        <v>#N/A</v>
      </c>
      <c r="AM25" s="270" t="e">
        <f>INDEX([83]Listas!$F$6:$J$10,MATCH(AI25,[83]Listas!$D$6:$D$10,0),MATCH(AK25,[83]Listas!$F$4:$J$4,0))</f>
        <v>#N/A</v>
      </c>
      <c r="AN25" s="259"/>
      <c r="AO25" s="259"/>
      <c r="AP25" s="610"/>
      <c r="AQ25" s="259"/>
      <c r="AR25" s="259" t="s">
        <v>2343</v>
      </c>
      <c r="AS25" s="608"/>
      <c r="AT25" s="259"/>
      <c r="AU25" s="259"/>
      <c r="AV25" s="261"/>
      <c r="AW25" s="261"/>
      <c r="AX25" s="608"/>
      <c r="AY25" s="262"/>
    </row>
    <row r="26" spans="1:51" s="260" customFormat="1" ht="103.5" hidden="1" customHeight="1">
      <c r="A26" s="608"/>
      <c r="B26" s="266"/>
      <c r="C26" s="1399"/>
      <c r="D26" s="1408"/>
      <c r="E26" s="1400"/>
      <c r="F26" s="267"/>
      <c r="G26" s="1399"/>
      <c r="H26" s="1408"/>
      <c r="I26" s="1400"/>
      <c r="J26" s="1380"/>
      <c r="K26" s="1380"/>
      <c r="L26" s="1380"/>
      <c r="M26" s="608"/>
      <c r="N26" s="608"/>
      <c r="O26" s="608"/>
      <c r="P26" s="608"/>
      <c r="Q26" s="266"/>
      <c r="R26" s="266"/>
      <c r="S26" s="268"/>
      <c r="T26" s="269" t="e">
        <f>VLOOKUP(Q26,[83]Listas!$D$6:$E$10,2,0)</f>
        <v>#N/A</v>
      </c>
      <c r="U26" s="269" t="e">
        <f>HLOOKUP(R26,[83]Listas!$F$4:$J$5,2,0)</f>
        <v>#N/A</v>
      </c>
      <c r="V26" s="270" t="e">
        <f>INDEX([83]Listas!$F$6:$J$10,MATCH(Q26,[83]Listas!$D$6:$D$10,0),MATCH(R26,[83]Listas!$F$4:$J$4,0))</f>
        <v>#N/A</v>
      </c>
      <c r="W26" s="268"/>
      <c r="X26" s="1399"/>
      <c r="Y26" s="1408"/>
      <c r="Z26" s="1400"/>
      <c r="AA26" s="1063"/>
      <c r="AB26" s="267"/>
      <c r="AC26" s="259"/>
      <c r="AD26" s="608"/>
      <c r="AE26" s="267"/>
      <c r="AF26" s="268"/>
      <c r="AG26" s="269">
        <f t="shared" si="0"/>
        <v>0</v>
      </c>
      <c r="AH26" s="271" t="e">
        <f t="shared" si="1"/>
        <v>#N/A</v>
      </c>
      <c r="AI26" s="272" t="e">
        <f>IF(AH26&lt;=1,"Remota",VLOOKUP(AH26,[83]Listas!$C$6:$D$10,2,0))</f>
        <v>#N/A</v>
      </c>
      <c r="AJ26" s="271" t="e">
        <f t="shared" si="2"/>
        <v>#N/A</v>
      </c>
      <c r="AK26" s="272" t="e">
        <f>IF(AJ26&lt;=1,"Insignificante",HLOOKUP(AJ26,[83]Listas!$F$3:$J$4,2,0))</f>
        <v>#N/A</v>
      </c>
      <c r="AL26" s="273" t="e">
        <f t="shared" si="3"/>
        <v>#N/A</v>
      </c>
      <c r="AM26" s="270" t="e">
        <f>INDEX([83]Listas!$F$6:$J$10,MATCH(AI26,[83]Listas!$D$6:$D$10,0),MATCH(AK26,[83]Listas!$F$4:$J$4,0))</f>
        <v>#N/A</v>
      </c>
      <c r="AN26" s="259"/>
      <c r="AO26" s="259"/>
      <c r="AP26" s="610"/>
      <c r="AQ26" s="259"/>
      <c r="AR26" s="259" t="s">
        <v>2343</v>
      </c>
      <c r="AS26" s="608"/>
      <c r="AT26" s="259"/>
      <c r="AU26" s="259"/>
      <c r="AV26" s="261"/>
      <c r="AW26" s="261"/>
      <c r="AX26" s="608"/>
      <c r="AY26" s="262"/>
    </row>
    <row r="27" spans="1:51" s="260" customFormat="1" ht="103.5" hidden="1" customHeight="1">
      <c r="A27" s="608"/>
      <c r="B27" s="266"/>
      <c r="C27" s="1399"/>
      <c r="D27" s="1408"/>
      <c r="E27" s="1400"/>
      <c r="F27" s="267"/>
      <c r="G27" s="1399"/>
      <c r="H27" s="1408"/>
      <c r="I27" s="1400"/>
      <c r="J27" s="1380"/>
      <c r="K27" s="1380"/>
      <c r="L27" s="1380"/>
      <c r="M27" s="608"/>
      <c r="N27" s="608"/>
      <c r="O27" s="608"/>
      <c r="P27" s="608"/>
      <c r="Q27" s="266"/>
      <c r="R27" s="266"/>
      <c r="S27" s="268"/>
      <c r="T27" s="269" t="e">
        <f>VLOOKUP(Q27,[83]Listas!$D$6:$E$10,2,0)</f>
        <v>#N/A</v>
      </c>
      <c r="U27" s="269" t="e">
        <f>HLOOKUP(R27,[83]Listas!$F$4:$J$5,2,0)</f>
        <v>#N/A</v>
      </c>
      <c r="V27" s="270" t="e">
        <f>INDEX([83]Listas!$F$6:$J$10,MATCH(Q27,[83]Listas!$D$6:$D$10,0),MATCH(R27,[83]Listas!$F$4:$J$4,0))</f>
        <v>#N/A</v>
      </c>
      <c r="W27" s="268"/>
      <c r="X27" s="1399"/>
      <c r="Y27" s="1408"/>
      <c r="Z27" s="1400"/>
      <c r="AA27" s="1063"/>
      <c r="AB27" s="267"/>
      <c r="AC27" s="259"/>
      <c r="AD27" s="608"/>
      <c r="AE27" s="267"/>
      <c r="AF27" s="268"/>
      <c r="AG27" s="269">
        <f t="shared" si="0"/>
        <v>0</v>
      </c>
      <c r="AH27" s="271" t="e">
        <f t="shared" si="1"/>
        <v>#N/A</v>
      </c>
      <c r="AI27" s="272" t="e">
        <f>IF(AH27&lt;=1,"Remota",VLOOKUP(AH27,[83]Listas!$C$6:$D$10,2,0))</f>
        <v>#N/A</v>
      </c>
      <c r="AJ27" s="271" t="e">
        <f t="shared" si="2"/>
        <v>#N/A</v>
      </c>
      <c r="AK27" s="272" t="e">
        <f>IF(AJ27&lt;=1,"Insignificante",HLOOKUP(AJ27,[83]Listas!$F$3:$J$4,2,0))</f>
        <v>#N/A</v>
      </c>
      <c r="AL27" s="273" t="e">
        <f t="shared" si="3"/>
        <v>#N/A</v>
      </c>
      <c r="AM27" s="270" t="e">
        <f>INDEX([83]Listas!$F$6:$J$10,MATCH(AI27,[83]Listas!$D$6:$D$10,0),MATCH(AK27,[83]Listas!$F$4:$J$4,0))</f>
        <v>#N/A</v>
      </c>
      <c r="AN27" s="259"/>
      <c r="AO27" s="259"/>
      <c r="AP27" s="610"/>
      <c r="AQ27" s="259"/>
      <c r="AR27" s="259" t="s">
        <v>2343</v>
      </c>
      <c r="AS27" s="608"/>
      <c r="AT27" s="259"/>
      <c r="AU27" s="259"/>
      <c r="AV27" s="261"/>
      <c r="AW27" s="261"/>
      <c r="AX27" s="608"/>
      <c r="AY27" s="262"/>
    </row>
    <row r="28" spans="1:51" s="260" customFormat="1" ht="103.5" hidden="1" customHeight="1">
      <c r="A28" s="608"/>
      <c r="B28" s="266"/>
      <c r="C28" s="1399"/>
      <c r="D28" s="1408"/>
      <c r="E28" s="1400"/>
      <c r="F28" s="267"/>
      <c r="G28" s="1399"/>
      <c r="H28" s="1408"/>
      <c r="I28" s="1400"/>
      <c r="J28" s="1380"/>
      <c r="K28" s="1380"/>
      <c r="L28" s="1380"/>
      <c r="M28" s="608"/>
      <c r="N28" s="608"/>
      <c r="O28" s="608"/>
      <c r="P28" s="608"/>
      <c r="Q28" s="266"/>
      <c r="R28" s="266"/>
      <c r="S28" s="268"/>
      <c r="T28" s="269" t="e">
        <f>VLOOKUP(Q28,[83]Listas!$D$6:$E$10,2,0)</f>
        <v>#N/A</v>
      </c>
      <c r="U28" s="269" t="e">
        <f>HLOOKUP(R28,[83]Listas!$F$4:$J$5,2,0)</f>
        <v>#N/A</v>
      </c>
      <c r="V28" s="270" t="e">
        <f>INDEX([83]Listas!$F$6:$J$10,MATCH(Q28,[83]Listas!$D$6:$D$10,0),MATCH(R28,[83]Listas!$F$4:$J$4,0))</f>
        <v>#N/A</v>
      </c>
      <c r="W28" s="268"/>
      <c r="X28" s="1399"/>
      <c r="Y28" s="1408"/>
      <c r="Z28" s="1400"/>
      <c r="AA28" s="1063"/>
      <c r="AB28" s="267"/>
      <c r="AC28" s="259"/>
      <c r="AD28" s="608"/>
      <c r="AE28" s="267"/>
      <c r="AF28" s="268"/>
      <c r="AG28" s="269">
        <f t="shared" si="0"/>
        <v>0</v>
      </c>
      <c r="AH28" s="271" t="e">
        <f t="shared" si="1"/>
        <v>#N/A</v>
      </c>
      <c r="AI28" s="272" t="e">
        <f>IF(AH28&lt;=1,"Remota",VLOOKUP(AH28,[83]Listas!$C$6:$D$10,2,0))</f>
        <v>#N/A</v>
      </c>
      <c r="AJ28" s="271" t="e">
        <f t="shared" si="2"/>
        <v>#N/A</v>
      </c>
      <c r="AK28" s="272" t="e">
        <f>IF(AJ28&lt;=1,"Insignificante",HLOOKUP(AJ28,[83]Listas!$F$3:$J$4,2,0))</f>
        <v>#N/A</v>
      </c>
      <c r="AL28" s="273" t="e">
        <f t="shared" si="3"/>
        <v>#N/A</v>
      </c>
      <c r="AM28" s="270" t="e">
        <f>INDEX([83]Listas!$F$6:$J$10,MATCH(AI28,[83]Listas!$D$6:$D$10,0),MATCH(AK28,[83]Listas!$F$4:$J$4,0))</f>
        <v>#N/A</v>
      </c>
      <c r="AN28" s="259"/>
      <c r="AO28" s="259"/>
      <c r="AP28" s="610"/>
      <c r="AQ28" s="259"/>
      <c r="AR28" s="259" t="s">
        <v>2343</v>
      </c>
      <c r="AS28" s="608"/>
      <c r="AT28" s="259"/>
      <c r="AU28" s="259"/>
      <c r="AV28" s="261"/>
      <c r="AW28" s="261"/>
      <c r="AX28" s="608"/>
      <c r="AY28" s="262"/>
    </row>
    <row r="29" spans="1:51" s="260" customFormat="1" ht="103.5" hidden="1" customHeight="1">
      <c r="A29" s="608"/>
      <c r="B29" s="266"/>
      <c r="C29" s="1399"/>
      <c r="D29" s="1408"/>
      <c r="E29" s="1400"/>
      <c r="F29" s="267"/>
      <c r="G29" s="1399"/>
      <c r="H29" s="1408"/>
      <c r="I29" s="1400"/>
      <c r="J29" s="1380"/>
      <c r="K29" s="1380"/>
      <c r="L29" s="1380"/>
      <c r="M29" s="608"/>
      <c r="N29" s="608"/>
      <c r="O29" s="608"/>
      <c r="P29" s="608"/>
      <c r="Q29" s="266"/>
      <c r="R29" s="266"/>
      <c r="S29" s="268"/>
      <c r="T29" s="269" t="e">
        <f>VLOOKUP(Q29,[83]Listas!$D$6:$E$10,2,0)</f>
        <v>#N/A</v>
      </c>
      <c r="U29" s="269" t="e">
        <f>HLOOKUP(R29,[83]Listas!$F$4:$J$5,2,0)</f>
        <v>#N/A</v>
      </c>
      <c r="V29" s="270" t="e">
        <f>INDEX([83]Listas!$F$6:$J$10,MATCH(Q29,[83]Listas!$D$6:$D$10,0),MATCH(R29,[83]Listas!$F$4:$J$4,0))</f>
        <v>#N/A</v>
      </c>
      <c r="W29" s="268"/>
      <c r="X29" s="1399"/>
      <c r="Y29" s="1408"/>
      <c r="Z29" s="1400"/>
      <c r="AA29" s="1063"/>
      <c r="AB29" s="267"/>
      <c r="AC29" s="259"/>
      <c r="AD29" s="608"/>
      <c r="AE29" s="267"/>
      <c r="AF29" s="268"/>
      <c r="AG29" s="269">
        <f t="shared" si="0"/>
        <v>0</v>
      </c>
      <c r="AH29" s="271" t="e">
        <f t="shared" si="1"/>
        <v>#N/A</v>
      </c>
      <c r="AI29" s="272" t="e">
        <f>IF(AH29&lt;=1,"Remota",VLOOKUP(AH29,[83]Listas!$C$6:$D$10,2,0))</f>
        <v>#N/A</v>
      </c>
      <c r="AJ29" s="271" t="e">
        <f t="shared" si="2"/>
        <v>#N/A</v>
      </c>
      <c r="AK29" s="272" t="e">
        <f>IF(AJ29&lt;=1,"Insignificante",HLOOKUP(AJ29,[83]Listas!$F$3:$J$4,2,0))</f>
        <v>#N/A</v>
      </c>
      <c r="AL29" s="273" t="e">
        <f t="shared" si="3"/>
        <v>#N/A</v>
      </c>
      <c r="AM29" s="270" t="e">
        <f>INDEX([83]Listas!$F$6:$J$10,MATCH(AI29,[83]Listas!$D$6:$D$10,0),MATCH(AK29,[83]Listas!$F$4:$J$4,0))</f>
        <v>#N/A</v>
      </c>
      <c r="AN29" s="259"/>
      <c r="AO29" s="259"/>
      <c r="AP29" s="610"/>
      <c r="AQ29" s="259"/>
      <c r="AR29" s="259" t="s">
        <v>2343</v>
      </c>
      <c r="AS29" s="608"/>
      <c r="AT29" s="259"/>
      <c r="AU29" s="259"/>
      <c r="AV29" s="261"/>
      <c r="AW29" s="261"/>
      <c r="AX29" s="608"/>
      <c r="AY29" s="262"/>
    </row>
    <row r="30" spans="1:51" s="260" customFormat="1" ht="103.5" hidden="1" customHeight="1">
      <c r="A30" s="608"/>
      <c r="B30" s="266"/>
      <c r="C30" s="1399"/>
      <c r="D30" s="1408"/>
      <c r="E30" s="1400"/>
      <c r="F30" s="267"/>
      <c r="G30" s="1399"/>
      <c r="H30" s="1408"/>
      <c r="I30" s="1400"/>
      <c r="J30" s="1380"/>
      <c r="K30" s="1380"/>
      <c r="L30" s="1380"/>
      <c r="M30" s="608"/>
      <c r="N30" s="608"/>
      <c r="O30" s="608"/>
      <c r="P30" s="608"/>
      <c r="Q30" s="266"/>
      <c r="R30" s="266"/>
      <c r="S30" s="268"/>
      <c r="T30" s="269" t="e">
        <f>VLOOKUP(Q30,[83]Listas!$D$6:$E$10,2,0)</f>
        <v>#N/A</v>
      </c>
      <c r="U30" s="269" t="e">
        <f>HLOOKUP(R30,[83]Listas!$F$4:$J$5,2,0)</f>
        <v>#N/A</v>
      </c>
      <c r="V30" s="270" t="e">
        <f>INDEX([83]Listas!$F$6:$J$10,MATCH(Q30,[83]Listas!$D$6:$D$10,0),MATCH(R30,[83]Listas!$F$4:$J$4,0))</f>
        <v>#N/A</v>
      </c>
      <c r="W30" s="268"/>
      <c r="X30" s="1399"/>
      <c r="Y30" s="1408"/>
      <c r="Z30" s="1400"/>
      <c r="AA30" s="1063"/>
      <c r="AB30" s="267"/>
      <c r="AC30" s="259"/>
      <c r="AD30" s="608"/>
      <c r="AE30" s="267"/>
      <c r="AF30" s="268"/>
      <c r="AG30" s="269">
        <f t="shared" si="0"/>
        <v>0</v>
      </c>
      <c r="AH30" s="271" t="e">
        <f t="shared" si="1"/>
        <v>#N/A</v>
      </c>
      <c r="AI30" s="272" t="e">
        <f>IF(AH30&lt;=1,"Remota",VLOOKUP(AH30,[83]Listas!$C$6:$D$10,2,0))</f>
        <v>#N/A</v>
      </c>
      <c r="AJ30" s="271" t="e">
        <f t="shared" si="2"/>
        <v>#N/A</v>
      </c>
      <c r="AK30" s="272" t="e">
        <f>IF(AJ30&lt;=1,"Insignificante",HLOOKUP(AJ30,[83]Listas!$F$3:$J$4,2,0))</f>
        <v>#N/A</v>
      </c>
      <c r="AL30" s="273" t="e">
        <f t="shared" si="3"/>
        <v>#N/A</v>
      </c>
      <c r="AM30" s="270" t="e">
        <f>INDEX([83]Listas!$F$6:$J$10,MATCH(AI30,[83]Listas!$D$6:$D$10,0),MATCH(AK30,[83]Listas!$F$4:$J$4,0))</f>
        <v>#N/A</v>
      </c>
      <c r="AN30" s="259"/>
      <c r="AO30" s="259"/>
      <c r="AP30" s="610"/>
      <c r="AQ30" s="259"/>
      <c r="AR30" s="259" t="s">
        <v>2343</v>
      </c>
      <c r="AS30" s="608"/>
      <c r="AT30" s="259"/>
      <c r="AU30" s="259"/>
      <c r="AV30" s="261"/>
      <c r="AW30" s="261"/>
      <c r="AX30" s="608"/>
      <c r="AY30" s="262"/>
    </row>
    <row r="31" spans="1:51" s="260" customFormat="1" ht="103.5" hidden="1" customHeight="1">
      <c r="A31" s="608"/>
      <c r="B31" s="266"/>
      <c r="C31" s="1399"/>
      <c r="D31" s="1408"/>
      <c r="E31" s="1400"/>
      <c r="F31" s="267"/>
      <c r="G31" s="1399"/>
      <c r="H31" s="1408"/>
      <c r="I31" s="1400"/>
      <c r="J31" s="1380"/>
      <c r="K31" s="1380"/>
      <c r="L31" s="1380"/>
      <c r="M31" s="608"/>
      <c r="N31" s="608"/>
      <c r="O31" s="608"/>
      <c r="P31" s="608"/>
      <c r="Q31" s="266"/>
      <c r="R31" s="266"/>
      <c r="S31" s="268"/>
      <c r="T31" s="269" t="e">
        <f>VLOOKUP(Q31,[83]Listas!$D$6:$E$10,2,0)</f>
        <v>#N/A</v>
      </c>
      <c r="U31" s="269" t="e">
        <f>HLOOKUP(R31,[83]Listas!$F$4:$J$5,2,0)</f>
        <v>#N/A</v>
      </c>
      <c r="V31" s="270" t="e">
        <f>INDEX([83]Listas!$F$6:$J$10,MATCH(Q31,[83]Listas!$D$6:$D$10,0),MATCH(R31,[83]Listas!$F$4:$J$4,0))</f>
        <v>#N/A</v>
      </c>
      <c r="W31" s="268"/>
      <c r="X31" s="1399"/>
      <c r="Y31" s="1408"/>
      <c r="Z31" s="1400"/>
      <c r="AA31" s="1063"/>
      <c r="AB31" s="267"/>
      <c r="AC31" s="259"/>
      <c r="AD31" s="608"/>
      <c r="AE31" s="267"/>
      <c r="AF31" s="268"/>
      <c r="AG31" s="269">
        <f t="shared" si="0"/>
        <v>0</v>
      </c>
      <c r="AH31" s="271" t="e">
        <f t="shared" si="1"/>
        <v>#N/A</v>
      </c>
      <c r="AI31" s="272" t="e">
        <f>IF(AH31&lt;=1,"Remota",VLOOKUP(AH31,[83]Listas!$C$6:$D$10,2,0))</f>
        <v>#N/A</v>
      </c>
      <c r="AJ31" s="271" t="e">
        <f t="shared" si="2"/>
        <v>#N/A</v>
      </c>
      <c r="AK31" s="272" t="e">
        <f>IF(AJ31&lt;=1,"Insignificante",HLOOKUP(AJ31,[83]Listas!$F$3:$J$4,2,0))</f>
        <v>#N/A</v>
      </c>
      <c r="AL31" s="273" t="e">
        <f t="shared" si="3"/>
        <v>#N/A</v>
      </c>
      <c r="AM31" s="270" t="e">
        <f>INDEX([83]Listas!$F$6:$J$10,MATCH(AI31,[83]Listas!$D$6:$D$10,0),MATCH(AK31,[83]Listas!$F$4:$J$4,0))</f>
        <v>#N/A</v>
      </c>
      <c r="AN31" s="259"/>
      <c r="AO31" s="259"/>
      <c r="AP31" s="610"/>
      <c r="AQ31" s="259"/>
      <c r="AR31" s="259" t="s">
        <v>2343</v>
      </c>
      <c r="AS31" s="608"/>
      <c r="AT31" s="259"/>
      <c r="AU31" s="259"/>
      <c r="AV31" s="261"/>
      <c r="AW31" s="261"/>
      <c r="AX31" s="608"/>
      <c r="AY31" s="262"/>
    </row>
    <row r="32" spans="1:51" s="260" customFormat="1" ht="103.5" hidden="1" customHeight="1">
      <c r="A32" s="608"/>
      <c r="B32" s="266"/>
      <c r="C32" s="1399"/>
      <c r="D32" s="1408"/>
      <c r="E32" s="1400"/>
      <c r="F32" s="267"/>
      <c r="G32" s="1399"/>
      <c r="H32" s="1408"/>
      <c r="I32" s="1400"/>
      <c r="J32" s="1380"/>
      <c r="K32" s="1380"/>
      <c r="L32" s="1380"/>
      <c r="M32" s="608"/>
      <c r="N32" s="608"/>
      <c r="O32" s="608"/>
      <c r="P32" s="608"/>
      <c r="Q32" s="266"/>
      <c r="R32" s="266"/>
      <c r="S32" s="268"/>
      <c r="T32" s="269" t="e">
        <f>VLOOKUP(Q32,[83]Listas!$D$6:$E$10,2,0)</f>
        <v>#N/A</v>
      </c>
      <c r="U32" s="269" t="e">
        <f>HLOOKUP(R32,[83]Listas!$F$4:$J$5,2,0)</f>
        <v>#N/A</v>
      </c>
      <c r="V32" s="270" t="e">
        <f>INDEX([83]Listas!$F$6:$J$10,MATCH(Q32,[83]Listas!$D$6:$D$10,0),MATCH(R32,[83]Listas!$F$4:$J$4,0))</f>
        <v>#N/A</v>
      </c>
      <c r="W32" s="268"/>
      <c r="X32" s="1399"/>
      <c r="Y32" s="1408"/>
      <c r="Z32" s="1400"/>
      <c r="AA32" s="1063"/>
      <c r="AB32" s="267"/>
      <c r="AC32" s="259"/>
      <c r="AD32" s="608"/>
      <c r="AE32" s="267"/>
      <c r="AF32" s="268"/>
      <c r="AG32" s="269">
        <f t="shared" si="0"/>
        <v>0</v>
      </c>
      <c r="AH32" s="271" t="e">
        <f t="shared" si="1"/>
        <v>#N/A</v>
      </c>
      <c r="AI32" s="272" t="e">
        <f>IF(AH32&lt;=1,"Remota",VLOOKUP(AH32,[83]Listas!$C$6:$D$10,2,0))</f>
        <v>#N/A</v>
      </c>
      <c r="AJ32" s="271" t="e">
        <f t="shared" si="2"/>
        <v>#N/A</v>
      </c>
      <c r="AK32" s="272" t="e">
        <f>IF(AJ32&lt;=1,"Insignificante",HLOOKUP(AJ32,[83]Listas!$F$3:$J$4,2,0))</f>
        <v>#N/A</v>
      </c>
      <c r="AL32" s="273" t="e">
        <f t="shared" si="3"/>
        <v>#N/A</v>
      </c>
      <c r="AM32" s="270" t="e">
        <f>INDEX([83]Listas!$F$6:$J$10,MATCH(AI32,[83]Listas!$D$6:$D$10,0),MATCH(AK32,[83]Listas!$F$4:$J$4,0))</f>
        <v>#N/A</v>
      </c>
      <c r="AN32" s="259"/>
      <c r="AO32" s="259"/>
      <c r="AP32" s="610"/>
      <c r="AQ32" s="259"/>
      <c r="AR32" s="259" t="s">
        <v>2343</v>
      </c>
      <c r="AS32" s="608"/>
      <c r="AT32" s="259"/>
      <c r="AU32" s="259"/>
      <c r="AV32" s="261"/>
      <c r="AW32" s="261"/>
      <c r="AX32" s="608"/>
      <c r="AY32" s="262"/>
    </row>
    <row r="33" spans="1:51" s="260" customFormat="1" ht="103.5" hidden="1" customHeight="1">
      <c r="A33" s="608"/>
      <c r="B33" s="266"/>
      <c r="C33" s="1399"/>
      <c r="D33" s="1408"/>
      <c r="E33" s="1400"/>
      <c r="F33" s="267"/>
      <c r="G33" s="1399"/>
      <c r="H33" s="1408"/>
      <c r="I33" s="1400"/>
      <c r="J33" s="1380"/>
      <c r="K33" s="1380"/>
      <c r="L33" s="1380"/>
      <c r="M33" s="608"/>
      <c r="N33" s="608"/>
      <c r="O33" s="608"/>
      <c r="P33" s="608"/>
      <c r="Q33" s="266"/>
      <c r="R33" s="266"/>
      <c r="S33" s="268"/>
      <c r="T33" s="269" t="e">
        <f>VLOOKUP(Q33,[83]Listas!$D$6:$E$10,2,0)</f>
        <v>#N/A</v>
      </c>
      <c r="U33" s="269" t="e">
        <f>HLOOKUP(R33,[83]Listas!$F$4:$J$5,2,0)</f>
        <v>#N/A</v>
      </c>
      <c r="V33" s="270" t="e">
        <f>INDEX([83]Listas!$F$6:$J$10,MATCH(Q33,[83]Listas!$D$6:$D$10,0),MATCH(R33,[83]Listas!$F$4:$J$4,0))</f>
        <v>#N/A</v>
      </c>
      <c r="W33" s="268"/>
      <c r="X33" s="1399"/>
      <c r="Y33" s="1408"/>
      <c r="Z33" s="1400"/>
      <c r="AA33" s="1063"/>
      <c r="AB33" s="267"/>
      <c r="AC33" s="259"/>
      <c r="AD33" s="608"/>
      <c r="AE33" s="267"/>
      <c r="AF33" s="268"/>
      <c r="AG33" s="269">
        <f t="shared" si="0"/>
        <v>0</v>
      </c>
      <c r="AH33" s="271" t="e">
        <f t="shared" si="1"/>
        <v>#N/A</v>
      </c>
      <c r="AI33" s="272" t="e">
        <f>IF(AH33&lt;=1,"Remota",VLOOKUP(AH33,[83]Listas!$C$6:$D$10,2,0))</f>
        <v>#N/A</v>
      </c>
      <c r="AJ33" s="271" t="e">
        <f t="shared" si="2"/>
        <v>#N/A</v>
      </c>
      <c r="AK33" s="272" t="e">
        <f>IF(AJ33&lt;=1,"Insignificante",HLOOKUP(AJ33,[83]Listas!$F$3:$J$4,2,0))</f>
        <v>#N/A</v>
      </c>
      <c r="AL33" s="273" t="e">
        <f t="shared" si="3"/>
        <v>#N/A</v>
      </c>
      <c r="AM33" s="270" t="e">
        <f>INDEX([83]Listas!$F$6:$J$10,MATCH(AI33,[83]Listas!$D$6:$D$10,0),MATCH(AK33,[83]Listas!$F$4:$J$4,0))</f>
        <v>#N/A</v>
      </c>
      <c r="AN33" s="259"/>
      <c r="AO33" s="259"/>
      <c r="AP33" s="610"/>
      <c r="AQ33" s="259"/>
      <c r="AR33" s="259" t="s">
        <v>2343</v>
      </c>
      <c r="AS33" s="608"/>
      <c r="AT33" s="259"/>
      <c r="AU33" s="259"/>
      <c r="AV33" s="261"/>
      <c r="AW33" s="261"/>
      <c r="AX33" s="608"/>
      <c r="AY33" s="262"/>
    </row>
    <row r="34" spans="1:51" s="260" customFormat="1" ht="103.5" hidden="1" customHeight="1">
      <c r="A34" s="608"/>
      <c r="B34" s="266"/>
      <c r="C34" s="1399"/>
      <c r="D34" s="1408"/>
      <c r="E34" s="1400"/>
      <c r="F34" s="267"/>
      <c r="G34" s="1399"/>
      <c r="H34" s="1408"/>
      <c r="I34" s="1400"/>
      <c r="J34" s="1380"/>
      <c r="K34" s="1380"/>
      <c r="L34" s="1380"/>
      <c r="M34" s="608"/>
      <c r="N34" s="608"/>
      <c r="O34" s="608"/>
      <c r="P34" s="608"/>
      <c r="Q34" s="266"/>
      <c r="R34" s="266"/>
      <c r="S34" s="268"/>
      <c r="T34" s="269" t="e">
        <f>VLOOKUP(Q34,[83]Listas!$D$6:$E$10,2,0)</f>
        <v>#N/A</v>
      </c>
      <c r="U34" s="269" t="e">
        <f>HLOOKUP(R34,[83]Listas!$F$4:$J$5,2,0)</f>
        <v>#N/A</v>
      </c>
      <c r="V34" s="270" t="e">
        <f>INDEX([83]Listas!$F$6:$J$10,MATCH(Q34,[83]Listas!$D$6:$D$10,0),MATCH(R34,[83]Listas!$F$4:$J$4,0))</f>
        <v>#N/A</v>
      </c>
      <c r="W34" s="268"/>
      <c r="X34" s="1399"/>
      <c r="Y34" s="1408"/>
      <c r="Z34" s="1400"/>
      <c r="AA34" s="1063"/>
      <c r="AB34" s="267"/>
      <c r="AC34" s="259"/>
      <c r="AD34" s="608"/>
      <c r="AE34" s="267"/>
      <c r="AF34" s="268"/>
      <c r="AG34" s="269">
        <f t="shared" si="0"/>
        <v>0</v>
      </c>
      <c r="AH34" s="271" t="e">
        <f t="shared" si="1"/>
        <v>#N/A</v>
      </c>
      <c r="AI34" s="272" t="e">
        <f>IF(AH34&lt;=1,"Remota",VLOOKUP(AH34,[83]Listas!$C$6:$D$10,2,0))</f>
        <v>#N/A</v>
      </c>
      <c r="AJ34" s="271" t="e">
        <f t="shared" si="2"/>
        <v>#N/A</v>
      </c>
      <c r="AK34" s="272" t="e">
        <f>IF(AJ34&lt;=1,"Insignificante",HLOOKUP(AJ34,[83]Listas!$F$3:$J$4,2,0))</f>
        <v>#N/A</v>
      </c>
      <c r="AL34" s="273" t="e">
        <f t="shared" si="3"/>
        <v>#N/A</v>
      </c>
      <c r="AM34" s="270" t="e">
        <f>INDEX([83]Listas!$F$6:$J$10,MATCH(AI34,[83]Listas!$D$6:$D$10,0),MATCH(AK34,[83]Listas!$F$4:$J$4,0))</f>
        <v>#N/A</v>
      </c>
      <c r="AN34" s="259"/>
      <c r="AO34" s="259"/>
      <c r="AP34" s="610"/>
      <c r="AQ34" s="259"/>
      <c r="AR34" s="259" t="s">
        <v>2343</v>
      </c>
      <c r="AS34" s="608"/>
      <c r="AT34" s="259"/>
      <c r="AU34" s="259"/>
      <c r="AV34" s="261"/>
      <c r="AW34" s="261"/>
      <c r="AX34" s="608"/>
      <c r="AY34" s="262"/>
    </row>
    <row r="35" spans="1:51" s="260" customFormat="1" ht="103.5" hidden="1" customHeight="1">
      <c r="A35" s="608"/>
      <c r="B35" s="266"/>
      <c r="C35" s="1399"/>
      <c r="D35" s="1408"/>
      <c r="E35" s="1400"/>
      <c r="F35" s="267"/>
      <c r="G35" s="1399"/>
      <c r="H35" s="1408"/>
      <c r="I35" s="1400"/>
      <c r="J35" s="1380"/>
      <c r="K35" s="1380"/>
      <c r="L35" s="1380"/>
      <c r="M35" s="608"/>
      <c r="N35" s="608"/>
      <c r="O35" s="608"/>
      <c r="P35" s="608"/>
      <c r="Q35" s="266"/>
      <c r="R35" s="266"/>
      <c r="S35" s="268"/>
      <c r="T35" s="269" t="e">
        <f>VLOOKUP(Q35,[83]Listas!$D$6:$E$10,2,0)</f>
        <v>#N/A</v>
      </c>
      <c r="U35" s="269" t="e">
        <f>HLOOKUP(R35,[83]Listas!$F$4:$J$5,2,0)</f>
        <v>#N/A</v>
      </c>
      <c r="V35" s="270" t="e">
        <f>INDEX([83]Listas!$F$6:$J$10,MATCH(Q35,[83]Listas!$D$6:$D$10,0),MATCH(R35,[83]Listas!$F$4:$J$4,0))</f>
        <v>#N/A</v>
      </c>
      <c r="W35" s="268"/>
      <c r="X35" s="1399"/>
      <c r="Y35" s="1408"/>
      <c r="Z35" s="1400"/>
      <c r="AA35" s="1063"/>
      <c r="AB35" s="267"/>
      <c r="AC35" s="259"/>
      <c r="AD35" s="608"/>
      <c r="AE35" s="267"/>
      <c r="AF35" s="268"/>
      <c r="AG35" s="269">
        <f t="shared" si="0"/>
        <v>0</v>
      </c>
      <c r="AH35" s="271" t="e">
        <f t="shared" si="1"/>
        <v>#N/A</v>
      </c>
      <c r="AI35" s="272" t="e">
        <f>IF(AH35&lt;=1,"Remota",VLOOKUP(AH35,[83]Listas!$C$6:$D$10,2,0))</f>
        <v>#N/A</v>
      </c>
      <c r="AJ35" s="271" t="e">
        <f t="shared" si="2"/>
        <v>#N/A</v>
      </c>
      <c r="AK35" s="272" t="e">
        <f>IF(AJ35&lt;=1,"Insignificante",HLOOKUP(AJ35,[83]Listas!$F$3:$J$4,2,0))</f>
        <v>#N/A</v>
      </c>
      <c r="AL35" s="273" t="e">
        <f t="shared" si="3"/>
        <v>#N/A</v>
      </c>
      <c r="AM35" s="270" t="e">
        <f>INDEX([83]Listas!$F$6:$J$10,MATCH(AI35,[83]Listas!$D$6:$D$10,0),MATCH(AK35,[83]Listas!$F$4:$J$4,0))</f>
        <v>#N/A</v>
      </c>
      <c r="AN35" s="259"/>
      <c r="AO35" s="259"/>
      <c r="AP35" s="610"/>
      <c r="AQ35" s="259"/>
      <c r="AR35" s="259" t="s">
        <v>2343</v>
      </c>
      <c r="AS35" s="608"/>
      <c r="AT35" s="259"/>
      <c r="AU35" s="259"/>
      <c r="AV35" s="261"/>
      <c r="AW35" s="261"/>
      <c r="AX35" s="608"/>
      <c r="AY35" s="262"/>
    </row>
    <row r="36" spans="1:51" s="260" customFormat="1" ht="103.5" hidden="1" customHeight="1">
      <c r="A36" s="608"/>
      <c r="B36" s="266"/>
      <c r="C36" s="1399"/>
      <c r="D36" s="1408"/>
      <c r="E36" s="1400"/>
      <c r="F36" s="267"/>
      <c r="G36" s="1399"/>
      <c r="H36" s="1408"/>
      <c r="I36" s="1400"/>
      <c r="J36" s="1380"/>
      <c r="K36" s="1380"/>
      <c r="L36" s="1380"/>
      <c r="M36" s="608"/>
      <c r="N36" s="608"/>
      <c r="O36" s="608"/>
      <c r="P36" s="608"/>
      <c r="Q36" s="266"/>
      <c r="R36" s="266"/>
      <c r="S36" s="268"/>
      <c r="T36" s="269" t="e">
        <f>VLOOKUP(Q36,[83]Listas!$D$6:$E$10,2,0)</f>
        <v>#N/A</v>
      </c>
      <c r="U36" s="269" t="e">
        <f>HLOOKUP(R36,[83]Listas!$F$4:$J$5,2,0)</f>
        <v>#N/A</v>
      </c>
      <c r="V36" s="270" t="e">
        <f>INDEX([83]Listas!$F$6:$J$10,MATCH(Q36,[83]Listas!$D$6:$D$10,0),MATCH(R36,[83]Listas!$F$4:$J$4,0))</f>
        <v>#N/A</v>
      </c>
      <c r="W36" s="268"/>
      <c r="X36" s="1399"/>
      <c r="Y36" s="1408"/>
      <c r="Z36" s="1400"/>
      <c r="AA36" s="1063"/>
      <c r="AB36" s="267"/>
      <c r="AC36" s="259"/>
      <c r="AD36" s="608"/>
      <c r="AE36" s="267"/>
      <c r="AF36" s="268"/>
      <c r="AG36" s="269">
        <f t="shared" si="0"/>
        <v>0</v>
      </c>
      <c r="AH36" s="271" t="e">
        <f t="shared" si="1"/>
        <v>#N/A</v>
      </c>
      <c r="AI36" s="272" t="e">
        <f>IF(AH36&lt;=1,"Remota",VLOOKUP(AH36,[83]Listas!$C$6:$D$10,2,0))</f>
        <v>#N/A</v>
      </c>
      <c r="AJ36" s="271" t="e">
        <f t="shared" si="2"/>
        <v>#N/A</v>
      </c>
      <c r="AK36" s="272" t="e">
        <f>IF(AJ36&lt;=1,"Insignificante",HLOOKUP(AJ36,[83]Listas!$F$3:$J$4,2,0))</f>
        <v>#N/A</v>
      </c>
      <c r="AL36" s="273" t="e">
        <f t="shared" si="3"/>
        <v>#N/A</v>
      </c>
      <c r="AM36" s="270" t="e">
        <f>INDEX([83]Listas!$F$6:$J$10,MATCH(AI36,[83]Listas!$D$6:$D$10,0),MATCH(AK36,[83]Listas!$F$4:$J$4,0))</f>
        <v>#N/A</v>
      </c>
      <c r="AN36" s="259"/>
      <c r="AO36" s="259"/>
      <c r="AP36" s="610"/>
      <c r="AQ36" s="259"/>
      <c r="AR36" s="259" t="s">
        <v>2343</v>
      </c>
      <c r="AS36" s="608"/>
      <c r="AT36" s="259"/>
      <c r="AU36" s="259"/>
      <c r="AV36" s="261"/>
      <c r="AW36" s="261"/>
      <c r="AX36" s="608"/>
      <c r="AY36" s="262"/>
    </row>
    <row r="37" spans="1:51" s="260" customFormat="1" ht="103.5" hidden="1" customHeight="1">
      <c r="A37" s="608"/>
      <c r="B37" s="266"/>
      <c r="C37" s="1399"/>
      <c r="D37" s="1408"/>
      <c r="E37" s="1400"/>
      <c r="F37" s="267"/>
      <c r="G37" s="1399"/>
      <c r="H37" s="1408"/>
      <c r="I37" s="1400"/>
      <c r="J37" s="1380"/>
      <c r="K37" s="1380"/>
      <c r="L37" s="1380"/>
      <c r="M37" s="608"/>
      <c r="N37" s="608"/>
      <c r="O37" s="608"/>
      <c r="P37" s="608"/>
      <c r="Q37" s="266"/>
      <c r="R37" s="266"/>
      <c r="S37" s="268"/>
      <c r="T37" s="269" t="e">
        <f>VLOOKUP(Q37,[83]Listas!$D$6:$E$10,2,0)</f>
        <v>#N/A</v>
      </c>
      <c r="U37" s="269" t="e">
        <f>HLOOKUP(R37,[83]Listas!$F$4:$J$5,2,0)</f>
        <v>#N/A</v>
      </c>
      <c r="V37" s="270" t="e">
        <f>INDEX([83]Listas!$F$6:$J$10,MATCH(Q37,[83]Listas!$D$6:$D$10,0),MATCH(R37,[83]Listas!$F$4:$J$4,0))</f>
        <v>#N/A</v>
      </c>
      <c r="W37" s="268"/>
      <c r="X37" s="1399"/>
      <c r="Y37" s="1408"/>
      <c r="Z37" s="1400"/>
      <c r="AA37" s="1063"/>
      <c r="AB37" s="267"/>
      <c r="AC37" s="259"/>
      <c r="AD37" s="608"/>
      <c r="AE37" s="267"/>
      <c r="AF37" s="268"/>
      <c r="AG37" s="269">
        <f t="shared" si="0"/>
        <v>0</v>
      </c>
      <c r="AH37" s="271" t="e">
        <f t="shared" si="1"/>
        <v>#N/A</v>
      </c>
      <c r="AI37" s="272" t="e">
        <f>IF(AH37&lt;=1,"Remota",VLOOKUP(AH37,[83]Listas!$C$6:$D$10,2,0))</f>
        <v>#N/A</v>
      </c>
      <c r="AJ37" s="271" t="e">
        <f t="shared" si="2"/>
        <v>#N/A</v>
      </c>
      <c r="AK37" s="272" t="e">
        <f>IF(AJ37&lt;=1,"Insignificante",HLOOKUP(AJ37,[83]Listas!$F$3:$J$4,2,0))</f>
        <v>#N/A</v>
      </c>
      <c r="AL37" s="273" t="e">
        <f t="shared" si="3"/>
        <v>#N/A</v>
      </c>
      <c r="AM37" s="270" t="e">
        <f>INDEX([83]Listas!$F$6:$J$10,MATCH(AI37,[83]Listas!$D$6:$D$10,0),MATCH(AK37,[83]Listas!$F$4:$J$4,0))</f>
        <v>#N/A</v>
      </c>
      <c r="AN37" s="259"/>
      <c r="AO37" s="259"/>
      <c r="AP37" s="610"/>
      <c r="AQ37" s="259"/>
      <c r="AR37" s="259" t="s">
        <v>2343</v>
      </c>
      <c r="AS37" s="608"/>
      <c r="AT37" s="259"/>
      <c r="AU37" s="259"/>
      <c r="AV37" s="261"/>
      <c r="AW37" s="261"/>
      <c r="AX37" s="608"/>
      <c r="AY37" s="262"/>
    </row>
    <row r="38" spans="1:51" s="260" customFormat="1" ht="103.5" hidden="1" customHeight="1">
      <c r="A38" s="608"/>
      <c r="B38" s="266"/>
      <c r="C38" s="1399"/>
      <c r="D38" s="1408"/>
      <c r="E38" s="1400"/>
      <c r="F38" s="267"/>
      <c r="G38" s="1399"/>
      <c r="H38" s="1408"/>
      <c r="I38" s="1400"/>
      <c r="J38" s="1380"/>
      <c r="K38" s="1380"/>
      <c r="L38" s="1380"/>
      <c r="M38" s="608"/>
      <c r="N38" s="608"/>
      <c r="O38" s="608"/>
      <c r="P38" s="608"/>
      <c r="Q38" s="266"/>
      <c r="R38" s="266"/>
      <c r="S38" s="268"/>
      <c r="T38" s="269" t="e">
        <f>VLOOKUP(Q38,[83]Listas!$D$6:$E$10,2,0)</f>
        <v>#N/A</v>
      </c>
      <c r="U38" s="269" t="e">
        <f>HLOOKUP(R38,[83]Listas!$F$4:$J$5,2,0)</f>
        <v>#N/A</v>
      </c>
      <c r="V38" s="270" t="e">
        <f>INDEX([83]Listas!$F$6:$J$10,MATCH(Q38,[83]Listas!$D$6:$D$10,0),MATCH(R38,[83]Listas!$F$4:$J$4,0))</f>
        <v>#N/A</v>
      </c>
      <c r="W38" s="268"/>
      <c r="X38" s="1399"/>
      <c r="Y38" s="1408"/>
      <c r="Z38" s="1400"/>
      <c r="AA38" s="1063"/>
      <c r="AB38" s="267"/>
      <c r="AC38" s="259"/>
      <c r="AD38" s="608"/>
      <c r="AE38" s="267"/>
      <c r="AF38" s="268"/>
      <c r="AG38" s="269">
        <f t="shared" si="0"/>
        <v>0</v>
      </c>
      <c r="AH38" s="271" t="e">
        <f t="shared" si="1"/>
        <v>#N/A</v>
      </c>
      <c r="AI38" s="272" t="e">
        <f>IF(AH38&lt;=1,"Remota",VLOOKUP(AH38,[83]Listas!$C$6:$D$10,2,0))</f>
        <v>#N/A</v>
      </c>
      <c r="AJ38" s="271" t="e">
        <f t="shared" si="2"/>
        <v>#N/A</v>
      </c>
      <c r="AK38" s="272" t="e">
        <f>IF(AJ38&lt;=1,"Insignificante",HLOOKUP(AJ38,[83]Listas!$F$3:$J$4,2,0))</f>
        <v>#N/A</v>
      </c>
      <c r="AL38" s="273" t="e">
        <f t="shared" si="3"/>
        <v>#N/A</v>
      </c>
      <c r="AM38" s="270" t="e">
        <f>INDEX([83]Listas!$F$6:$J$10,MATCH(AI38,[83]Listas!$D$6:$D$10,0),MATCH(AK38,[83]Listas!$F$4:$J$4,0))</f>
        <v>#N/A</v>
      </c>
      <c r="AN38" s="259"/>
      <c r="AO38" s="259"/>
      <c r="AP38" s="610"/>
      <c r="AQ38" s="259"/>
      <c r="AR38" s="259" t="s">
        <v>2343</v>
      </c>
      <c r="AS38" s="608"/>
      <c r="AT38" s="259"/>
      <c r="AU38" s="259"/>
      <c r="AV38" s="261"/>
      <c r="AW38" s="261"/>
      <c r="AX38" s="608"/>
      <c r="AY38" s="262"/>
    </row>
    <row r="39" spans="1:51" s="260" customFormat="1" ht="103.5" hidden="1" customHeight="1">
      <c r="A39" s="608"/>
      <c r="B39" s="266"/>
      <c r="C39" s="1399"/>
      <c r="D39" s="1408"/>
      <c r="E39" s="1400"/>
      <c r="F39" s="267"/>
      <c r="G39" s="1399"/>
      <c r="H39" s="1408"/>
      <c r="I39" s="1400"/>
      <c r="J39" s="1380"/>
      <c r="K39" s="1380"/>
      <c r="L39" s="1380"/>
      <c r="M39" s="608"/>
      <c r="N39" s="608"/>
      <c r="O39" s="608"/>
      <c r="P39" s="608"/>
      <c r="Q39" s="266"/>
      <c r="R39" s="266"/>
      <c r="S39" s="268"/>
      <c r="T39" s="269" t="e">
        <f>VLOOKUP(Q39,[83]Listas!$D$6:$E$10,2,0)</f>
        <v>#N/A</v>
      </c>
      <c r="U39" s="269" t="e">
        <f>HLOOKUP(R39,[83]Listas!$F$4:$J$5,2,0)</f>
        <v>#N/A</v>
      </c>
      <c r="V39" s="270" t="e">
        <f>INDEX([83]Listas!$F$6:$J$10,MATCH(Q39,[83]Listas!$D$6:$D$10,0),MATCH(R39,[83]Listas!$F$4:$J$4,0))</f>
        <v>#N/A</v>
      </c>
      <c r="W39" s="268"/>
      <c r="X39" s="1399"/>
      <c r="Y39" s="1408"/>
      <c r="Z39" s="1400"/>
      <c r="AA39" s="1063"/>
      <c r="AB39" s="267"/>
      <c r="AC39" s="259"/>
      <c r="AD39" s="608"/>
      <c r="AE39" s="267"/>
      <c r="AF39" s="268"/>
      <c r="AG39" s="269">
        <f t="shared" si="0"/>
        <v>0</v>
      </c>
      <c r="AH39" s="271" t="e">
        <f t="shared" si="1"/>
        <v>#N/A</v>
      </c>
      <c r="AI39" s="272" t="e">
        <f>IF(AH39&lt;=1,"Remota",VLOOKUP(AH39,[83]Listas!$C$6:$D$10,2,0))</f>
        <v>#N/A</v>
      </c>
      <c r="AJ39" s="271" t="e">
        <f t="shared" si="2"/>
        <v>#N/A</v>
      </c>
      <c r="AK39" s="272" t="e">
        <f>IF(AJ39&lt;=1,"Insignificante",HLOOKUP(AJ39,[83]Listas!$F$3:$J$4,2,0))</f>
        <v>#N/A</v>
      </c>
      <c r="AL39" s="273" t="e">
        <f t="shared" si="3"/>
        <v>#N/A</v>
      </c>
      <c r="AM39" s="270" t="e">
        <f>INDEX([83]Listas!$F$6:$J$10,MATCH(AI39,[83]Listas!$D$6:$D$10,0),MATCH(AK39,[83]Listas!$F$4:$J$4,0))</f>
        <v>#N/A</v>
      </c>
      <c r="AN39" s="259"/>
      <c r="AO39" s="259"/>
      <c r="AP39" s="610"/>
      <c r="AQ39" s="259"/>
      <c r="AR39" s="259" t="s">
        <v>2343</v>
      </c>
      <c r="AS39" s="608"/>
      <c r="AT39" s="259"/>
      <c r="AU39" s="259"/>
      <c r="AV39" s="261"/>
      <c r="AW39" s="261"/>
      <c r="AX39" s="608"/>
      <c r="AY39" s="262"/>
    </row>
    <row r="40" spans="1:51" s="260" customFormat="1" ht="103.5" hidden="1" customHeight="1">
      <c r="A40" s="608"/>
      <c r="B40" s="266"/>
      <c r="C40" s="1399"/>
      <c r="D40" s="1408"/>
      <c r="E40" s="1400"/>
      <c r="F40" s="267"/>
      <c r="G40" s="1399"/>
      <c r="H40" s="1408"/>
      <c r="I40" s="1400"/>
      <c r="J40" s="1380"/>
      <c r="K40" s="1380"/>
      <c r="L40" s="1380"/>
      <c r="M40" s="608"/>
      <c r="N40" s="608"/>
      <c r="O40" s="608"/>
      <c r="P40" s="608"/>
      <c r="Q40" s="266"/>
      <c r="R40" s="266"/>
      <c r="S40" s="268"/>
      <c r="T40" s="269" t="e">
        <f>VLOOKUP(Q40,[83]Listas!$D$6:$E$10,2,0)</f>
        <v>#N/A</v>
      </c>
      <c r="U40" s="269" t="e">
        <f>HLOOKUP(R40,[83]Listas!$F$4:$J$5,2,0)</f>
        <v>#N/A</v>
      </c>
      <c r="V40" s="270" t="e">
        <f>INDEX([83]Listas!$F$6:$J$10,MATCH(Q40,[83]Listas!$D$6:$D$10,0),MATCH(R40,[83]Listas!$F$4:$J$4,0))</f>
        <v>#N/A</v>
      </c>
      <c r="W40" s="268"/>
      <c r="X40" s="1399"/>
      <c r="Y40" s="1408"/>
      <c r="Z40" s="1400"/>
      <c r="AA40" s="1063"/>
      <c r="AB40" s="267"/>
      <c r="AC40" s="259"/>
      <c r="AD40" s="608"/>
      <c r="AE40" s="267"/>
      <c r="AF40" s="268"/>
      <c r="AG40" s="269">
        <f t="shared" si="0"/>
        <v>0</v>
      </c>
      <c r="AH40" s="271" t="e">
        <f t="shared" si="1"/>
        <v>#N/A</v>
      </c>
      <c r="AI40" s="272" t="e">
        <f>IF(AH40&lt;=1,"Remota",VLOOKUP(AH40,[83]Listas!$C$6:$D$10,2,0))</f>
        <v>#N/A</v>
      </c>
      <c r="AJ40" s="271" t="e">
        <f t="shared" si="2"/>
        <v>#N/A</v>
      </c>
      <c r="AK40" s="272" t="e">
        <f>IF(AJ40&lt;=1,"Insignificante",HLOOKUP(AJ40,[83]Listas!$F$3:$J$4,2,0))</f>
        <v>#N/A</v>
      </c>
      <c r="AL40" s="273" t="e">
        <f t="shared" si="3"/>
        <v>#N/A</v>
      </c>
      <c r="AM40" s="270" t="e">
        <f>INDEX([83]Listas!$F$6:$J$10,MATCH(AI40,[83]Listas!$D$6:$D$10,0),MATCH(AK40,[83]Listas!$F$4:$J$4,0))</f>
        <v>#N/A</v>
      </c>
      <c r="AN40" s="259"/>
      <c r="AO40" s="259"/>
      <c r="AP40" s="610"/>
      <c r="AQ40" s="259"/>
      <c r="AR40" s="259" t="s">
        <v>2343</v>
      </c>
      <c r="AS40" s="608"/>
      <c r="AT40" s="259"/>
      <c r="AU40" s="259"/>
      <c r="AV40" s="261"/>
      <c r="AW40" s="261"/>
      <c r="AX40" s="608"/>
      <c r="AY40" s="262"/>
    </row>
    <row r="41" spans="1:51" s="260" customFormat="1" ht="103.5" hidden="1" customHeight="1">
      <c r="A41" s="608"/>
      <c r="B41" s="266"/>
      <c r="C41" s="1399"/>
      <c r="D41" s="1408"/>
      <c r="E41" s="1400"/>
      <c r="F41" s="267"/>
      <c r="G41" s="1399"/>
      <c r="H41" s="1408"/>
      <c r="I41" s="1400"/>
      <c r="J41" s="1380"/>
      <c r="K41" s="1380"/>
      <c r="L41" s="1380"/>
      <c r="M41" s="608"/>
      <c r="N41" s="608"/>
      <c r="O41" s="608"/>
      <c r="P41" s="608"/>
      <c r="Q41" s="266"/>
      <c r="R41" s="266"/>
      <c r="S41" s="268"/>
      <c r="T41" s="269" t="e">
        <f>VLOOKUP(Q41,[83]Listas!$D$6:$E$10,2,0)</f>
        <v>#N/A</v>
      </c>
      <c r="U41" s="269" t="e">
        <f>HLOOKUP(R41,[83]Listas!$F$4:$J$5,2,0)</f>
        <v>#N/A</v>
      </c>
      <c r="V41" s="270" t="e">
        <f>INDEX([83]Listas!$F$6:$J$10,MATCH(Q41,[83]Listas!$D$6:$D$10,0),MATCH(R41,[83]Listas!$F$4:$J$4,0))</f>
        <v>#N/A</v>
      </c>
      <c r="W41" s="268"/>
      <c r="X41" s="1399"/>
      <c r="Y41" s="1408"/>
      <c r="Z41" s="1400"/>
      <c r="AA41" s="1063"/>
      <c r="AB41" s="267"/>
      <c r="AC41" s="259"/>
      <c r="AD41" s="608"/>
      <c r="AE41" s="267"/>
      <c r="AF41" s="268"/>
      <c r="AG41" s="269">
        <f t="shared" si="0"/>
        <v>0</v>
      </c>
      <c r="AH41" s="271" t="e">
        <f t="shared" si="1"/>
        <v>#N/A</v>
      </c>
      <c r="AI41" s="272" t="e">
        <f>IF(AH41&lt;=1,"Remota",VLOOKUP(AH41,[83]Listas!$C$6:$D$10,2,0))</f>
        <v>#N/A</v>
      </c>
      <c r="AJ41" s="271" t="e">
        <f t="shared" si="2"/>
        <v>#N/A</v>
      </c>
      <c r="AK41" s="272" t="e">
        <f>IF(AJ41&lt;=1,"Insignificante",HLOOKUP(AJ41,[83]Listas!$F$3:$J$4,2,0))</f>
        <v>#N/A</v>
      </c>
      <c r="AL41" s="273" t="e">
        <f t="shared" si="3"/>
        <v>#N/A</v>
      </c>
      <c r="AM41" s="270" t="e">
        <f>INDEX([83]Listas!$F$6:$J$10,MATCH(AI41,[83]Listas!$D$6:$D$10,0),MATCH(AK41,[83]Listas!$F$4:$J$4,0))</f>
        <v>#N/A</v>
      </c>
      <c r="AN41" s="259"/>
      <c r="AO41" s="259"/>
      <c r="AP41" s="610"/>
      <c r="AQ41" s="259"/>
      <c r="AR41" s="259" t="s">
        <v>2343</v>
      </c>
      <c r="AS41" s="608"/>
      <c r="AT41" s="259"/>
      <c r="AU41" s="259"/>
      <c r="AV41" s="261"/>
      <c r="AW41" s="261"/>
      <c r="AX41" s="608"/>
      <c r="AY41" s="262"/>
    </row>
    <row r="42" spans="1:51" s="260" customFormat="1" ht="103.5" hidden="1" customHeight="1">
      <c r="A42" s="608"/>
      <c r="B42" s="266"/>
      <c r="C42" s="1399"/>
      <c r="D42" s="1408"/>
      <c r="E42" s="1400"/>
      <c r="F42" s="267"/>
      <c r="G42" s="1399"/>
      <c r="H42" s="1408"/>
      <c r="I42" s="1400"/>
      <c r="J42" s="1380"/>
      <c r="K42" s="1380"/>
      <c r="L42" s="1380"/>
      <c r="M42" s="608"/>
      <c r="N42" s="608"/>
      <c r="O42" s="608"/>
      <c r="P42" s="608"/>
      <c r="Q42" s="266"/>
      <c r="R42" s="266"/>
      <c r="S42" s="268"/>
      <c r="T42" s="269" t="e">
        <f>VLOOKUP(Q42,[83]Listas!$D$6:$E$10,2,0)</f>
        <v>#N/A</v>
      </c>
      <c r="U42" s="269" t="e">
        <f>HLOOKUP(R42,[83]Listas!$F$4:$J$5,2,0)</f>
        <v>#N/A</v>
      </c>
      <c r="V42" s="270" t="e">
        <f>INDEX([83]Listas!$F$6:$J$10,MATCH(Q42,[83]Listas!$D$6:$D$10,0),MATCH(R42,[83]Listas!$F$4:$J$4,0))</f>
        <v>#N/A</v>
      </c>
      <c r="W42" s="268"/>
      <c r="X42" s="1399"/>
      <c r="Y42" s="1408"/>
      <c r="Z42" s="1400"/>
      <c r="AA42" s="1063"/>
      <c r="AB42" s="267"/>
      <c r="AC42" s="259"/>
      <c r="AD42" s="608"/>
      <c r="AE42" s="267"/>
      <c r="AF42" s="268"/>
      <c r="AG42" s="269">
        <f t="shared" si="0"/>
        <v>0</v>
      </c>
      <c r="AH42" s="271" t="e">
        <f t="shared" si="1"/>
        <v>#N/A</v>
      </c>
      <c r="AI42" s="272" t="e">
        <f>IF(AH42&lt;=1,"Remota",VLOOKUP(AH42,[83]Listas!$C$6:$D$10,2,0))</f>
        <v>#N/A</v>
      </c>
      <c r="AJ42" s="271" t="e">
        <f t="shared" si="2"/>
        <v>#N/A</v>
      </c>
      <c r="AK42" s="272" t="e">
        <f>IF(AJ42&lt;=1,"Insignificante",HLOOKUP(AJ42,[83]Listas!$F$3:$J$4,2,0))</f>
        <v>#N/A</v>
      </c>
      <c r="AL42" s="273" t="e">
        <f t="shared" si="3"/>
        <v>#N/A</v>
      </c>
      <c r="AM42" s="270" t="e">
        <f>INDEX([83]Listas!$F$6:$J$10,MATCH(AI42,[83]Listas!$D$6:$D$10,0),MATCH(AK42,[83]Listas!$F$4:$J$4,0))</f>
        <v>#N/A</v>
      </c>
      <c r="AN42" s="259"/>
      <c r="AO42" s="259"/>
      <c r="AP42" s="610"/>
      <c r="AQ42" s="259"/>
      <c r="AR42" s="259" t="s">
        <v>2343</v>
      </c>
      <c r="AS42" s="608"/>
      <c r="AT42" s="259"/>
      <c r="AU42" s="259"/>
      <c r="AV42" s="261"/>
      <c r="AW42" s="261"/>
      <c r="AX42" s="608"/>
      <c r="AY42" s="262"/>
    </row>
    <row r="43" spans="1:51" s="260" customFormat="1" ht="103.5" hidden="1" customHeight="1">
      <c r="A43" s="608"/>
      <c r="B43" s="266"/>
      <c r="C43" s="1399"/>
      <c r="D43" s="1408"/>
      <c r="E43" s="1400"/>
      <c r="F43" s="267"/>
      <c r="G43" s="1399"/>
      <c r="H43" s="1408"/>
      <c r="I43" s="1400"/>
      <c r="J43" s="1380"/>
      <c r="K43" s="1380"/>
      <c r="L43" s="1380"/>
      <c r="M43" s="608"/>
      <c r="N43" s="608"/>
      <c r="O43" s="608"/>
      <c r="P43" s="608"/>
      <c r="Q43" s="266"/>
      <c r="R43" s="266"/>
      <c r="S43" s="268"/>
      <c r="T43" s="269" t="e">
        <f>VLOOKUP(Q43,[83]Listas!$D$6:$E$10,2,0)</f>
        <v>#N/A</v>
      </c>
      <c r="U43" s="269" t="e">
        <f>HLOOKUP(R43,[83]Listas!$F$4:$J$5,2,0)</f>
        <v>#N/A</v>
      </c>
      <c r="V43" s="270" t="e">
        <f>INDEX([83]Listas!$F$6:$J$10,MATCH(Q43,[83]Listas!$D$6:$D$10,0),MATCH(R43,[83]Listas!$F$4:$J$4,0))</f>
        <v>#N/A</v>
      </c>
      <c r="W43" s="268"/>
      <c r="X43" s="1399"/>
      <c r="Y43" s="1408"/>
      <c r="Z43" s="1400"/>
      <c r="AA43" s="1063"/>
      <c r="AB43" s="267"/>
      <c r="AC43" s="259"/>
      <c r="AD43" s="608"/>
      <c r="AE43" s="267"/>
      <c r="AF43" s="268"/>
      <c r="AG43" s="269">
        <f t="shared" si="0"/>
        <v>0</v>
      </c>
      <c r="AH43" s="271" t="e">
        <f t="shared" si="1"/>
        <v>#N/A</v>
      </c>
      <c r="AI43" s="272" t="e">
        <f>IF(AH43&lt;=1,"Remota",VLOOKUP(AH43,[83]Listas!$C$6:$D$10,2,0))</f>
        <v>#N/A</v>
      </c>
      <c r="AJ43" s="271" t="e">
        <f t="shared" si="2"/>
        <v>#N/A</v>
      </c>
      <c r="AK43" s="272" t="e">
        <f>IF(AJ43&lt;=1,"Insignificante",HLOOKUP(AJ43,[83]Listas!$F$3:$J$4,2,0))</f>
        <v>#N/A</v>
      </c>
      <c r="AL43" s="273" t="e">
        <f t="shared" si="3"/>
        <v>#N/A</v>
      </c>
      <c r="AM43" s="270" t="e">
        <f>INDEX([83]Listas!$F$6:$J$10,MATCH(AI43,[83]Listas!$D$6:$D$10,0),MATCH(AK43,[83]Listas!$F$4:$J$4,0))</f>
        <v>#N/A</v>
      </c>
      <c r="AN43" s="259"/>
      <c r="AO43" s="259"/>
      <c r="AP43" s="610"/>
      <c r="AQ43" s="259"/>
      <c r="AR43" s="259" t="s">
        <v>2343</v>
      </c>
      <c r="AS43" s="608"/>
      <c r="AT43" s="259"/>
      <c r="AU43" s="259"/>
      <c r="AV43" s="261"/>
      <c r="AW43" s="261"/>
      <c r="AX43" s="608"/>
      <c r="AY43" s="262"/>
    </row>
    <row r="44" spans="1:51" s="260" customFormat="1" ht="103.5" hidden="1" customHeight="1">
      <c r="A44" s="608"/>
      <c r="B44" s="266"/>
      <c r="C44" s="1399"/>
      <c r="D44" s="1408"/>
      <c r="E44" s="1400"/>
      <c r="F44" s="267"/>
      <c r="G44" s="1399"/>
      <c r="H44" s="1408"/>
      <c r="I44" s="1400"/>
      <c r="J44" s="1380"/>
      <c r="K44" s="1380"/>
      <c r="L44" s="1380"/>
      <c r="M44" s="608"/>
      <c r="N44" s="608"/>
      <c r="O44" s="608"/>
      <c r="P44" s="608"/>
      <c r="Q44" s="266"/>
      <c r="R44" s="266"/>
      <c r="S44" s="268"/>
      <c r="T44" s="269" t="e">
        <f>VLOOKUP(Q44,[83]Listas!$D$6:$E$10,2,0)</f>
        <v>#N/A</v>
      </c>
      <c r="U44" s="269" t="e">
        <f>HLOOKUP(R44,[83]Listas!$F$4:$J$5,2,0)</f>
        <v>#N/A</v>
      </c>
      <c r="V44" s="270" t="e">
        <f>INDEX([83]Listas!$F$6:$J$10,MATCH(Q44,[83]Listas!$D$6:$D$10,0),MATCH(R44,[83]Listas!$F$4:$J$4,0))</f>
        <v>#N/A</v>
      </c>
      <c r="W44" s="268"/>
      <c r="X44" s="1399"/>
      <c r="Y44" s="1408"/>
      <c r="Z44" s="1400"/>
      <c r="AA44" s="1063"/>
      <c r="AB44" s="267"/>
      <c r="AC44" s="259"/>
      <c r="AD44" s="608"/>
      <c r="AE44" s="267"/>
      <c r="AF44" s="268"/>
      <c r="AG44" s="269">
        <f t="shared" si="0"/>
        <v>0</v>
      </c>
      <c r="AH44" s="271" t="e">
        <f t="shared" si="1"/>
        <v>#N/A</v>
      </c>
      <c r="AI44" s="272" t="e">
        <f>IF(AH44&lt;=1,"Remota",VLOOKUP(AH44,[83]Listas!$C$6:$D$10,2,0))</f>
        <v>#N/A</v>
      </c>
      <c r="AJ44" s="271" t="e">
        <f t="shared" si="2"/>
        <v>#N/A</v>
      </c>
      <c r="AK44" s="272" t="e">
        <f>IF(AJ44&lt;=1,"Insignificante",HLOOKUP(AJ44,[83]Listas!$F$3:$J$4,2,0))</f>
        <v>#N/A</v>
      </c>
      <c r="AL44" s="273" t="e">
        <f t="shared" si="3"/>
        <v>#N/A</v>
      </c>
      <c r="AM44" s="270" t="e">
        <f>INDEX([83]Listas!$F$6:$J$10,MATCH(AI44,[83]Listas!$D$6:$D$10,0),MATCH(AK44,[83]Listas!$F$4:$J$4,0))</f>
        <v>#N/A</v>
      </c>
      <c r="AN44" s="259"/>
      <c r="AO44" s="259"/>
      <c r="AP44" s="610"/>
      <c r="AQ44" s="259"/>
      <c r="AR44" s="259" t="s">
        <v>2343</v>
      </c>
      <c r="AS44" s="608"/>
      <c r="AT44" s="259"/>
      <c r="AU44" s="259"/>
      <c r="AV44" s="261"/>
      <c r="AW44" s="261"/>
      <c r="AX44" s="608"/>
      <c r="AY44" s="262"/>
    </row>
    <row r="45" spans="1:51" s="260" customFormat="1" ht="103.5" hidden="1" customHeight="1">
      <c r="A45" s="608"/>
      <c r="B45" s="266"/>
      <c r="C45" s="1399"/>
      <c r="D45" s="1408"/>
      <c r="E45" s="1400"/>
      <c r="F45" s="267"/>
      <c r="G45" s="1399"/>
      <c r="H45" s="1408"/>
      <c r="I45" s="1400"/>
      <c r="J45" s="1380"/>
      <c r="K45" s="1380"/>
      <c r="L45" s="1380"/>
      <c r="M45" s="608"/>
      <c r="N45" s="608"/>
      <c r="O45" s="608"/>
      <c r="P45" s="608"/>
      <c r="Q45" s="266"/>
      <c r="R45" s="266"/>
      <c r="S45" s="268"/>
      <c r="T45" s="269" t="e">
        <f>VLOOKUP(Q45,[83]Listas!$D$6:$E$10,2,0)</f>
        <v>#N/A</v>
      </c>
      <c r="U45" s="269" t="e">
        <f>HLOOKUP(R45,[83]Listas!$F$4:$J$5,2,0)</f>
        <v>#N/A</v>
      </c>
      <c r="V45" s="270" t="e">
        <f>INDEX([83]Listas!$F$6:$J$10,MATCH(Q45,[83]Listas!$D$6:$D$10,0),MATCH(R45,[83]Listas!$F$4:$J$4,0))</f>
        <v>#N/A</v>
      </c>
      <c r="W45" s="268"/>
      <c r="X45" s="1399"/>
      <c r="Y45" s="1408"/>
      <c r="Z45" s="1400"/>
      <c r="AA45" s="1063"/>
      <c r="AB45" s="267"/>
      <c r="AC45" s="259"/>
      <c r="AD45" s="608"/>
      <c r="AE45" s="267"/>
      <c r="AF45" s="268"/>
      <c r="AG45" s="269">
        <f t="shared" si="0"/>
        <v>0</v>
      </c>
      <c r="AH45" s="271" t="e">
        <f t="shared" si="1"/>
        <v>#N/A</v>
      </c>
      <c r="AI45" s="272" t="e">
        <f>IF(AH45&lt;=1,"Remota",VLOOKUP(AH45,[83]Listas!$C$6:$D$10,2,0))</f>
        <v>#N/A</v>
      </c>
      <c r="AJ45" s="271" t="e">
        <f t="shared" si="2"/>
        <v>#N/A</v>
      </c>
      <c r="AK45" s="272" t="e">
        <f>IF(AJ45&lt;=1,"Insignificante",HLOOKUP(AJ45,[83]Listas!$F$3:$J$4,2,0))</f>
        <v>#N/A</v>
      </c>
      <c r="AL45" s="273" t="e">
        <f t="shared" si="3"/>
        <v>#N/A</v>
      </c>
      <c r="AM45" s="270" t="e">
        <f>INDEX([83]Listas!$F$6:$J$10,MATCH(AI45,[83]Listas!$D$6:$D$10,0),MATCH(AK45,[83]Listas!$F$4:$J$4,0))</f>
        <v>#N/A</v>
      </c>
      <c r="AN45" s="259"/>
      <c r="AO45" s="259"/>
      <c r="AP45" s="610"/>
      <c r="AQ45" s="259"/>
      <c r="AR45" s="259" t="s">
        <v>2343</v>
      </c>
      <c r="AS45" s="608"/>
      <c r="AT45" s="259"/>
      <c r="AU45" s="259"/>
      <c r="AV45" s="261"/>
      <c r="AW45" s="261"/>
      <c r="AX45" s="608"/>
      <c r="AY45" s="262"/>
    </row>
    <row r="46" spans="1:51" s="260" customFormat="1" ht="103.5" hidden="1" customHeight="1">
      <c r="A46" s="608"/>
      <c r="B46" s="266"/>
      <c r="C46" s="1399"/>
      <c r="D46" s="1408"/>
      <c r="E46" s="1400"/>
      <c r="F46" s="267"/>
      <c r="G46" s="1399"/>
      <c r="H46" s="1408"/>
      <c r="I46" s="1400"/>
      <c r="J46" s="1380"/>
      <c r="K46" s="1380"/>
      <c r="L46" s="1380"/>
      <c r="M46" s="608"/>
      <c r="N46" s="608"/>
      <c r="O46" s="608"/>
      <c r="P46" s="608"/>
      <c r="Q46" s="266"/>
      <c r="R46" s="266"/>
      <c r="S46" s="268"/>
      <c r="T46" s="269" t="e">
        <f>VLOOKUP(Q46,[83]Listas!$D$6:$E$10,2,0)</f>
        <v>#N/A</v>
      </c>
      <c r="U46" s="269" t="e">
        <f>HLOOKUP(R46,[83]Listas!$F$4:$J$5,2,0)</f>
        <v>#N/A</v>
      </c>
      <c r="V46" s="270" t="e">
        <f>INDEX([83]Listas!$F$6:$J$10,MATCH(Q46,[83]Listas!$D$6:$D$10,0),MATCH(R46,[83]Listas!$F$4:$J$4,0))</f>
        <v>#N/A</v>
      </c>
      <c r="W46" s="268"/>
      <c r="X46" s="1399"/>
      <c r="Y46" s="1408"/>
      <c r="Z46" s="1400"/>
      <c r="AA46" s="1063"/>
      <c r="AB46" s="267"/>
      <c r="AC46" s="259"/>
      <c r="AD46" s="608"/>
      <c r="AE46" s="267"/>
      <c r="AF46" s="268"/>
      <c r="AG46" s="269">
        <f t="shared" si="0"/>
        <v>0</v>
      </c>
      <c r="AH46" s="271" t="e">
        <f t="shared" si="1"/>
        <v>#N/A</v>
      </c>
      <c r="AI46" s="272" t="e">
        <f>IF(AH46&lt;=1,"Remota",VLOOKUP(AH46,[83]Listas!$C$6:$D$10,2,0))</f>
        <v>#N/A</v>
      </c>
      <c r="AJ46" s="271" t="e">
        <f t="shared" si="2"/>
        <v>#N/A</v>
      </c>
      <c r="AK46" s="272" t="e">
        <f>IF(AJ46&lt;=1,"Insignificante",HLOOKUP(AJ46,[83]Listas!$F$3:$J$4,2,0))</f>
        <v>#N/A</v>
      </c>
      <c r="AL46" s="273" t="e">
        <f t="shared" si="3"/>
        <v>#N/A</v>
      </c>
      <c r="AM46" s="270" t="e">
        <f>INDEX([83]Listas!$F$6:$J$10,MATCH(AI46,[83]Listas!$D$6:$D$10,0),MATCH(AK46,[83]Listas!$F$4:$J$4,0))</f>
        <v>#N/A</v>
      </c>
      <c r="AN46" s="259"/>
      <c r="AO46" s="259"/>
      <c r="AP46" s="610"/>
      <c r="AQ46" s="259"/>
      <c r="AR46" s="259" t="s">
        <v>2343</v>
      </c>
      <c r="AS46" s="608"/>
      <c r="AT46" s="259"/>
      <c r="AU46" s="259"/>
      <c r="AV46" s="261"/>
      <c r="AW46" s="261"/>
      <c r="AX46" s="608"/>
      <c r="AY46" s="262"/>
    </row>
    <row r="47" spans="1:51" s="260" customFormat="1" ht="103.5" hidden="1" customHeight="1">
      <c r="A47" s="608"/>
      <c r="B47" s="266"/>
      <c r="C47" s="1399"/>
      <c r="D47" s="1408"/>
      <c r="E47" s="1400"/>
      <c r="F47" s="267"/>
      <c r="G47" s="1399"/>
      <c r="H47" s="1408"/>
      <c r="I47" s="1400"/>
      <c r="J47" s="1380"/>
      <c r="K47" s="1380"/>
      <c r="L47" s="1380"/>
      <c r="M47" s="608"/>
      <c r="N47" s="608"/>
      <c r="O47" s="608"/>
      <c r="P47" s="608"/>
      <c r="Q47" s="266"/>
      <c r="R47" s="266"/>
      <c r="S47" s="268"/>
      <c r="T47" s="269" t="e">
        <f>VLOOKUP(Q47,[83]Listas!$D$6:$E$10,2,0)</f>
        <v>#N/A</v>
      </c>
      <c r="U47" s="269" t="e">
        <f>HLOOKUP(R47,[83]Listas!$F$4:$J$5,2,0)</f>
        <v>#N/A</v>
      </c>
      <c r="V47" s="270" t="e">
        <f>INDEX([83]Listas!$F$6:$J$10,MATCH(Q47,[83]Listas!$D$6:$D$10,0),MATCH(R47,[83]Listas!$F$4:$J$4,0))</f>
        <v>#N/A</v>
      </c>
      <c r="W47" s="268"/>
      <c r="X47" s="1399"/>
      <c r="Y47" s="1408"/>
      <c r="Z47" s="1400"/>
      <c r="AA47" s="1063"/>
      <c r="AB47" s="267"/>
      <c r="AC47" s="259"/>
      <c r="AD47" s="608"/>
      <c r="AE47" s="267"/>
      <c r="AF47" s="268"/>
      <c r="AG47" s="269">
        <f t="shared" si="0"/>
        <v>0</v>
      </c>
      <c r="AH47" s="271" t="e">
        <f t="shared" si="1"/>
        <v>#N/A</v>
      </c>
      <c r="AI47" s="272" t="e">
        <f>IF(AH47&lt;=1,"Remota",VLOOKUP(AH47,[83]Listas!$C$6:$D$10,2,0))</f>
        <v>#N/A</v>
      </c>
      <c r="AJ47" s="271" t="e">
        <f t="shared" si="2"/>
        <v>#N/A</v>
      </c>
      <c r="AK47" s="272" t="e">
        <f>IF(AJ47&lt;=1,"Insignificante",HLOOKUP(AJ47,[83]Listas!$F$3:$J$4,2,0))</f>
        <v>#N/A</v>
      </c>
      <c r="AL47" s="273" t="e">
        <f t="shared" si="3"/>
        <v>#N/A</v>
      </c>
      <c r="AM47" s="270" t="e">
        <f>INDEX([83]Listas!$F$6:$J$10,MATCH(AI47,[83]Listas!$D$6:$D$10,0),MATCH(AK47,[83]Listas!$F$4:$J$4,0))</f>
        <v>#N/A</v>
      </c>
      <c r="AN47" s="259"/>
      <c r="AO47" s="259"/>
      <c r="AP47" s="610"/>
      <c r="AQ47" s="259"/>
      <c r="AR47" s="259" t="s">
        <v>2343</v>
      </c>
      <c r="AS47" s="608"/>
      <c r="AT47" s="259"/>
      <c r="AU47" s="259"/>
      <c r="AV47" s="261"/>
      <c r="AW47" s="261"/>
      <c r="AX47" s="608"/>
      <c r="AY47" s="262"/>
    </row>
    <row r="48" spans="1:51" s="260" customFormat="1" ht="103.5" hidden="1" customHeight="1">
      <c r="A48" s="608"/>
      <c r="B48" s="266"/>
      <c r="C48" s="1399"/>
      <c r="D48" s="1408"/>
      <c r="E48" s="1400"/>
      <c r="F48" s="267"/>
      <c r="G48" s="1399"/>
      <c r="H48" s="1408"/>
      <c r="I48" s="1400"/>
      <c r="J48" s="1380"/>
      <c r="K48" s="1380"/>
      <c r="L48" s="1380"/>
      <c r="M48" s="608"/>
      <c r="N48" s="608"/>
      <c r="O48" s="608"/>
      <c r="P48" s="608"/>
      <c r="Q48" s="266"/>
      <c r="R48" s="266"/>
      <c r="S48" s="268"/>
      <c r="T48" s="269" t="e">
        <f>VLOOKUP(Q48,[83]Listas!$D$6:$E$10,2,0)</f>
        <v>#N/A</v>
      </c>
      <c r="U48" s="269" t="e">
        <f>HLOOKUP(R48,[83]Listas!$F$4:$J$5,2,0)</f>
        <v>#N/A</v>
      </c>
      <c r="V48" s="270" t="e">
        <f>INDEX([83]Listas!$F$6:$J$10,MATCH(Q48,[83]Listas!$D$6:$D$10,0),MATCH(R48,[83]Listas!$F$4:$J$4,0))</f>
        <v>#N/A</v>
      </c>
      <c r="W48" s="268"/>
      <c r="X48" s="1399"/>
      <c r="Y48" s="1408"/>
      <c r="Z48" s="1400"/>
      <c r="AA48" s="1063"/>
      <c r="AB48" s="267"/>
      <c r="AC48" s="259"/>
      <c r="AD48" s="608"/>
      <c r="AE48" s="267"/>
      <c r="AF48" s="268"/>
      <c r="AG48" s="269">
        <f t="shared" si="0"/>
        <v>0</v>
      </c>
      <c r="AH48" s="271" t="e">
        <f t="shared" si="1"/>
        <v>#N/A</v>
      </c>
      <c r="AI48" s="272" t="e">
        <f>IF(AH48&lt;=1,"Remota",VLOOKUP(AH48,[83]Listas!$C$6:$D$10,2,0))</f>
        <v>#N/A</v>
      </c>
      <c r="AJ48" s="271" t="e">
        <f t="shared" si="2"/>
        <v>#N/A</v>
      </c>
      <c r="AK48" s="272" t="e">
        <f>IF(AJ48&lt;=1,"Insignificante",HLOOKUP(AJ48,[83]Listas!$F$3:$J$4,2,0))</f>
        <v>#N/A</v>
      </c>
      <c r="AL48" s="273" t="e">
        <f t="shared" si="3"/>
        <v>#N/A</v>
      </c>
      <c r="AM48" s="270" t="e">
        <f>INDEX([83]Listas!$F$6:$J$10,MATCH(AI48,[83]Listas!$D$6:$D$10,0),MATCH(AK48,[83]Listas!$F$4:$J$4,0))</f>
        <v>#N/A</v>
      </c>
      <c r="AN48" s="259"/>
      <c r="AO48" s="259"/>
      <c r="AP48" s="610"/>
      <c r="AQ48" s="259"/>
      <c r="AR48" s="259" t="s">
        <v>2343</v>
      </c>
      <c r="AS48" s="608"/>
      <c r="AT48" s="259"/>
      <c r="AU48" s="259"/>
      <c r="AV48" s="261"/>
      <c r="AW48" s="261"/>
      <c r="AX48" s="608"/>
      <c r="AY48" s="262"/>
    </row>
    <row r="49" spans="1:51" s="260" customFormat="1" ht="103.5" hidden="1" customHeight="1">
      <c r="A49" s="608"/>
      <c r="B49" s="266"/>
      <c r="C49" s="1399"/>
      <c r="D49" s="1408"/>
      <c r="E49" s="1400"/>
      <c r="F49" s="267"/>
      <c r="G49" s="1399"/>
      <c r="H49" s="1408"/>
      <c r="I49" s="1400"/>
      <c r="J49" s="1380"/>
      <c r="K49" s="1380"/>
      <c r="L49" s="1380"/>
      <c r="M49" s="608"/>
      <c r="N49" s="608"/>
      <c r="O49" s="608"/>
      <c r="P49" s="608"/>
      <c r="Q49" s="266"/>
      <c r="R49" s="266"/>
      <c r="S49" s="268"/>
      <c r="T49" s="269" t="e">
        <f>VLOOKUP(Q49,[83]Listas!$D$6:$E$10,2,0)</f>
        <v>#N/A</v>
      </c>
      <c r="U49" s="269" t="e">
        <f>HLOOKUP(R49,[83]Listas!$F$4:$J$5,2,0)</f>
        <v>#N/A</v>
      </c>
      <c r="V49" s="270" t="e">
        <f>INDEX([83]Listas!$F$6:$J$10,MATCH(Q49,[83]Listas!$D$6:$D$10,0),MATCH(R49,[83]Listas!$F$4:$J$4,0))</f>
        <v>#N/A</v>
      </c>
      <c r="W49" s="268"/>
      <c r="X49" s="1399"/>
      <c r="Y49" s="1408"/>
      <c r="Z49" s="1400"/>
      <c r="AA49" s="1063"/>
      <c r="AB49" s="267"/>
      <c r="AC49" s="259"/>
      <c r="AD49" s="608"/>
      <c r="AE49" s="267"/>
      <c r="AF49" s="268"/>
      <c r="AG49" s="269">
        <f t="shared" si="0"/>
        <v>0</v>
      </c>
      <c r="AH49" s="271" t="e">
        <f t="shared" si="1"/>
        <v>#N/A</v>
      </c>
      <c r="AI49" s="272" t="e">
        <f>IF(AH49&lt;=1,"Remota",VLOOKUP(AH49,[83]Listas!$C$6:$D$10,2,0))</f>
        <v>#N/A</v>
      </c>
      <c r="AJ49" s="271" t="e">
        <f t="shared" si="2"/>
        <v>#N/A</v>
      </c>
      <c r="AK49" s="272" t="e">
        <f>IF(AJ49&lt;=1,"Insignificante",HLOOKUP(AJ49,[83]Listas!$F$3:$J$4,2,0))</f>
        <v>#N/A</v>
      </c>
      <c r="AL49" s="273" t="e">
        <f t="shared" si="3"/>
        <v>#N/A</v>
      </c>
      <c r="AM49" s="270" t="e">
        <f>INDEX([83]Listas!$F$6:$J$10,MATCH(AI49,[83]Listas!$D$6:$D$10,0),MATCH(AK49,[83]Listas!$F$4:$J$4,0))</f>
        <v>#N/A</v>
      </c>
      <c r="AN49" s="259"/>
      <c r="AO49" s="259"/>
      <c r="AP49" s="610"/>
      <c r="AQ49" s="259"/>
      <c r="AR49" s="259" t="s">
        <v>2343</v>
      </c>
      <c r="AS49" s="608"/>
      <c r="AT49" s="259"/>
      <c r="AU49" s="259"/>
      <c r="AV49" s="261"/>
      <c r="AW49" s="261"/>
      <c r="AX49" s="608"/>
      <c r="AY49" s="262"/>
    </row>
    <row r="50" spans="1:51" s="260" customFormat="1" ht="103.5" hidden="1" customHeight="1">
      <c r="A50" s="608"/>
      <c r="B50" s="266"/>
      <c r="C50" s="1399"/>
      <c r="D50" s="1408"/>
      <c r="E50" s="1400"/>
      <c r="F50" s="267"/>
      <c r="G50" s="1399"/>
      <c r="H50" s="1408"/>
      <c r="I50" s="1400"/>
      <c r="J50" s="1380"/>
      <c r="K50" s="1380"/>
      <c r="L50" s="1380"/>
      <c r="M50" s="608"/>
      <c r="N50" s="608"/>
      <c r="O50" s="608"/>
      <c r="P50" s="608"/>
      <c r="Q50" s="266"/>
      <c r="R50" s="266"/>
      <c r="S50" s="268"/>
      <c r="T50" s="269" t="e">
        <f>VLOOKUP(Q50,[83]Listas!$D$6:$E$10,2,0)</f>
        <v>#N/A</v>
      </c>
      <c r="U50" s="269" t="e">
        <f>HLOOKUP(R50,[83]Listas!$F$4:$J$5,2,0)</f>
        <v>#N/A</v>
      </c>
      <c r="V50" s="270" t="e">
        <f>INDEX([83]Listas!$F$6:$J$10,MATCH(Q50,[83]Listas!$D$6:$D$10,0),MATCH(R50,[83]Listas!$F$4:$J$4,0))</f>
        <v>#N/A</v>
      </c>
      <c r="W50" s="268"/>
      <c r="X50" s="1399"/>
      <c r="Y50" s="1408"/>
      <c r="Z50" s="1400"/>
      <c r="AA50" s="1063"/>
      <c r="AB50" s="267"/>
      <c r="AC50" s="259"/>
      <c r="AD50" s="608"/>
      <c r="AE50" s="267"/>
      <c r="AF50" s="268"/>
      <c r="AG50" s="269">
        <f t="shared" si="0"/>
        <v>0</v>
      </c>
      <c r="AH50" s="271" t="e">
        <f t="shared" si="1"/>
        <v>#N/A</v>
      </c>
      <c r="AI50" s="272" t="e">
        <f>IF(AH50&lt;=1,"Remota",VLOOKUP(AH50,[83]Listas!$C$6:$D$10,2,0))</f>
        <v>#N/A</v>
      </c>
      <c r="AJ50" s="271" t="e">
        <f t="shared" si="2"/>
        <v>#N/A</v>
      </c>
      <c r="AK50" s="272" t="e">
        <f>IF(AJ50&lt;=1,"Insignificante",HLOOKUP(AJ50,[83]Listas!$F$3:$J$4,2,0))</f>
        <v>#N/A</v>
      </c>
      <c r="AL50" s="273" t="e">
        <f t="shared" si="3"/>
        <v>#N/A</v>
      </c>
      <c r="AM50" s="270" t="e">
        <f>INDEX([83]Listas!$F$6:$J$10,MATCH(AI50,[83]Listas!$D$6:$D$10,0),MATCH(AK50,[83]Listas!$F$4:$J$4,0))</f>
        <v>#N/A</v>
      </c>
      <c r="AN50" s="259"/>
      <c r="AO50" s="259"/>
      <c r="AP50" s="610"/>
      <c r="AQ50" s="259"/>
      <c r="AR50" s="259" t="s">
        <v>2343</v>
      </c>
      <c r="AS50" s="608"/>
      <c r="AT50" s="259"/>
      <c r="AU50" s="259"/>
      <c r="AV50" s="261"/>
      <c r="AW50" s="261"/>
      <c r="AX50" s="608"/>
      <c r="AY50" s="262"/>
    </row>
    <row r="51" spans="1:51" s="260" customFormat="1" ht="103.5" hidden="1" customHeight="1">
      <c r="A51" s="608"/>
      <c r="B51" s="266"/>
      <c r="C51" s="1399"/>
      <c r="D51" s="1408"/>
      <c r="E51" s="1400"/>
      <c r="F51" s="267"/>
      <c r="G51" s="1399"/>
      <c r="H51" s="1408"/>
      <c r="I51" s="1400"/>
      <c r="J51" s="1380"/>
      <c r="K51" s="1380"/>
      <c r="L51" s="1380"/>
      <c r="M51" s="608"/>
      <c r="N51" s="608"/>
      <c r="O51" s="608"/>
      <c r="P51" s="608"/>
      <c r="Q51" s="266"/>
      <c r="R51" s="266"/>
      <c r="S51" s="268"/>
      <c r="T51" s="269" t="e">
        <f>VLOOKUP(Q51,[83]Listas!$D$6:$E$10,2,0)</f>
        <v>#N/A</v>
      </c>
      <c r="U51" s="269" t="e">
        <f>HLOOKUP(R51,[83]Listas!$F$4:$J$5,2,0)</f>
        <v>#N/A</v>
      </c>
      <c r="V51" s="270" t="e">
        <f>INDEX([83]Listas!$F$6:$J$10,MATCH(Q51,[83]Listas!$D$6:$D$10,0),MATCH(R51,[83]Listas!$F$4:$J$4,0))</f>
        <v>#N/A</v>
      </c>
      <c r="W51" s="268"/>
      <c r="X51" s="1399"/>
      <c r="Y51" s="1408"/>
      <c r="Z51" s="1400"/>
      <c r="AA51" s="1063"/>
      <c r="AB51" s="267"/>
      <c r="AC51" s="259"/>
      <c r="AD51" s="608"/>
      <c r="AE51" s="267"/>
      <c r="AF51" s="268"/>
      <c r="AG51" s="269">
        <f t="shared" si="0"/>
        <v>0</v>
      </c>
      <c r="AH51" s="271" t="e">
        <f t="shared" si="1"/>
        <v>#N/A</v>
      </c>
      <c r="AI51" s="272" t="e">
        <f>IF(AH51&lt;=1,"Remota",VLOOKUP(AH51,[83]Listas!$C$6:$D$10,2,0))</f>
        <v>#N/A</v>
      </c>
      <c r="AJ51" s="271" t="e">
        <f t="shared" si="2"/>
        <v>#N/A</v>
      </c>
      <c r="AK51" s="272" t="e">
        <f>IF(AJ51&lt;=1,"Insignificante",HLOOKUP(AJ51,[83]Listas!$F$3:$J$4,2,0))</f>
        <v>#N/A</v>
      </c>
      <c r="AL51" s="273" t="e">
        <f t="shared" si="3"/>
        <v>#N/A</v>
      </c>
      <c r="AM51" s="270" t="e">
        <f>INDEX([83]Listas!$F$6:$J$10,MATCH(AI51,[83]Listas!$D$6:$D$10,0),MATCH(AK51,[83]Listas!$F$4:$J$4,0))</f>
        <v>#N/A</v>
      </c>
      <c r="AN51" s="259"/>
      <c r="AO51" s="259"/>
      <c r="AP51" s="610"/>
      <c r="AQ51" s="259"/>
      <c r="AR51" s="259" t="s">
        <v>2343</v>
      </c>
      <c r="AS51" s="608"/>
      <c r="AT51" s="259"/>
      <c r="AU51" s="259"/>
      <c r="AV51" s="261"/>
      <c r="AW51" s="261"/>
      <c r="AX51" s="608"/>
      <c r="AY51" s="262"/>
    </row>
    <row r="52" spans="1:51" s="260" customFormat="1" ht="103.5" hidden="1" customHeight="1">
      <c r="A52" s="608"/>
      <c r="B52" s="266"/>
      <c r="C52" s="1399"/>
      <c r="D52" s="1408"/>
      <c r="E52" s="1400"/>
      <c r="F52" s="267"/>
      <c r="G52" s="1399"/>
      <c r="H52" s="1408"/>
      <c r="I52" s="1400"/>
      <c r="J52" s="1380"/>
      <c r="K52" s="1380"/>
      <c r="L52" s="1380"/>
      <c r="M52" s="608"/>
      <c r="N52" s="608"/>
      <c r="O52" s="608"/>
      <c r="P52" s="608"/>
      <c r="Q52" s="266"/>
      <c r="R52" s="266"/>
      <c r="S52" s="268"/>
      <c r="T52" s="269" t="e">
        <f>VLOOKUP(Q52,[83]Listas!$D$6:$E$10,2,0)</f>
        <v>#N/A</v>
      </c>
      <c r="U52" s="269" t="e">
        <f>HLOOKUP(R52,[83]Listas!$F$4:$J$5,2,0)</f>
        <v>#N/A</v>
      </c>
      <c r="V52" s="270" t="e">
        <f>INDEX([83]Listas!$F$6:$J$10,MATCH(Q52,[83]Listas!$D$6:$D$10,0),MATCH(R52,[83]Listas!$F$4:$J$4,0))</f>
        <v>#N/A</v>
      </c>
      <c r="W52" s="268"/>
      <c r="X52" s="1399"/>
      <c r="Y52" s="1408"/>
      <c r="Z52" s="1400"/>
      <c r="AA52" s="1063"/>
      <c r="AB52" s="267"/>
      <c r="AC52" s="259"/>
      <c r="AD52" s="608"/>
      <c r="AE52" s="267"/>
      <c r="AF52" s="268"/>
      <c r="AG52" s="269">
        <f t="shared" si="0"/>
        <v>0</v>
      </c>
      <c r="AH52" s="271" t="e">
        <f t="shared" si="1"/>
        <v>#N/A</v>
      </c>
      <c r="AI52" s="272" t="e">
        <f>IF(AH52&lt;=1,"Remota",VLOOKUP(AH52,[83]Listas!$C$6:$D$10,2,0))</f>
        <v>#N/A</v>
      </c>
      <c r="AJ52" s="271" t="e">
        <f t="shared" si="2"/>
        <v>#N/A</v>
      </c>
      <c r="AK52" s="272" t="e">
        <f>IF(AJ52&lt;=1,"Insignificante",HLOOKUP(AJ52,[83]Listas!$F$3:$J$4,2,0))</f>
        <v>#N/A</v>
      </c>
      <c r="AL52" s="273" t="e">
        <f t="shared" si="3"/>
        <v>#N/A</v>
      </c>
      <c r="AM52" s="270" t="e">
        <f>INDEX([83]Listas!$F$6:$J$10,MATCH(AI52,[83]Listas!$D$6:$D$10,0),MATCH(AK52,[83]Listas!$F$4:$J$4,0))</f>
        <v>#N/A</v>
      </c>
      <c r="AN52" s="259"/>
      <c r="AO52" s="259"/>
      <c r="AP52" s="610"/>
      <c r="AQ52" s="259"/>
      <c r="AR52" s="259" t="s">
        <v>2343</v>
      </c>
      <c r="AS52" s="608"/>
      <c r="AT52" s="259"/>
      <c r="AU52" s="259"/>
      <c r="AV52" s="261"/>
      <c r="AW52" s="261"/>
      <c r="AX52" s="608"/>
      <c r="AY52" s="262"/>
    </row>
    <row r="53" spans="1:51" s="260" customFormat="1" ht="103.5" hidden="1" customHeight="1">
      <c r="A53" s="608"/>
      <c r="B53" s="266"/>
      <c r="C53" s="1399"/>
      <c r="D53" s="1408"/>
      <c r="E53" s="1400"/>
      <c r="F53" s="267"/>
      <c r="G53" s="1399"/>
      <c r="H53" s="1408"/>
      <c r="I53" s="1400"/>
      <c r="J53" s="1380"/>
      <c r="K53" s="1380"/>
      <c r="L53" s="1380"/>
      <c r="M53" s="608"/>
      <c r="N53" s="608"/>
      <c r="O53" s="608"/>
      <c r="P53" s="608"/>
      <c r="Q53" s="266"/>
      <c r="R53" s="266"/>
      <c r="S53" s="268"/>
      <c r="T53" s="269" t="e">
        <f>VLOOKUP(Q53,[83]Listas!$D$6:$E$10,2,0)</f>
        <v>#N/A</v>
      </c>
      <c r="U53" s="269" t="e">
        <f>HLOOKUP(R53,[83]Listas!$F$4:$J$5,2,0)</f>
        <v>#N/A</v>
      </c>
      <c r="V53" s="270" t="e">
        <f>INDEX([83]Listas!$F$6:$J$10,MATCH(Q53,[83]Listas!$D$6:$D$10,0),MATCH(R53,[83]Listas!$F$4:$J$4,0))</f>
        <v>#N/A</v>
      </c>
      <c r="W53" s="268"/>
      <c r="X53" s="1399"/>
      <c r="Y53" s="1408"/>
      <c r="Z53" s="1400"/>
      <c r="AA53" s="1063"/>
      <c r="AB53" s="267"/>
      <c r="AC53" s="259"/>
      <c r="AD53" s="608"/>
      <c r="AE53" s="267"/>
      <c r="AF53" s="268"/>
      <c r="AG53" s="269">
        <f t="shared" si="0"/>
        <v>0</v>
      </c>
      <c r="AH53" s="271" t="e">
        <f t="shared" si="1"/>
        <v>#N/A</v>
      </c>
      <c r="AI53" s="272" t="e">
        <f>IF(AH53&lt;=1,"Remota",VLOOKUP(AH53,[83]Listas!$C$6:$D$10,2,0))</f>
        <v>#N/A</v>
      </c>
      <c r="AJ53" s="271" t="e">
        <f t="shared" si="2"/>
        <v>#N/A</v>
      </c>
      <c r="AK53" s="272" t="e">
        <f>IF(AJ53&lt;=1,"Insignificante",HLOOKUP(AJ53,[83]Listas!$F$3:$J$4,2,0))</f>
        <v>#N/A</v>
      </c>
      <c r="AL53" s="273" t="e">
        <f t="shared" si="3"/>
        <v>#N/A</v>
      </c>
      <c r="AM53" s="270" t="e">
        <f>INDEX([83]Listas!$F$6:$J$10,MATCH(AI53,[83]Listas!$D$6:$D$10,0),MATCH(AK53,[83]Listas!$F$4:$J$4,0))</f>
        <v>#N/A</v>
      </c>
      <c r="AN53" s="259"/>
      <c r="AO53" s="259"/>
      <c r="AP53" s="610"/>
      <c r="AQ53" s="259"/>
      <c r="AR53" s="259" t="s">
        <v>2343</v>
      </c>
      <c r="AS53" s="608"/>
      <c r="AT53" s="259"/>
      <c r="AU53" s="259"/>
      <c r="AV53" s="261"/>
      <c r="AW53" s="261"/>
      <c r="AX53" s="608"/>
      <c r="AY53" s="262"/>
    </row>
    <row r="54" spans="1:51" s="260" customFormat="1" ht="103.5" hidden="1" customHeight="1">
      <c r="A54" s="608"/>
      <c r="B54" s="266"/>
      <c r="C54" s="1399"/>
      <c r="D54" s="1408"/>
      <c r="E54" s="1400"/>
      <c r="F54" s="267"/>
      <c r="G54" s="1399"/>
      <c r="H54" s="1408"/>
      <c r="I54" s="1400"/>
      <c r="J54" s="1380"/>
      <c r="K54" s="1380"/>
      <c r="L54" s="1380"/>
      <c r="M54" s="608"/>
      <c r="N54" s="608"/>
      <c r="O54" s="608"/>
      <c r="P54" s="608"/>
      <c r="Q54" s="266"/>
      <c r="R54" s="266"/>
      <c r="S54" s="268"/>
      <c r="T54" s="269" t="e">
        <f>VLOOKUP(Q54,[83]Listas!$D$6:$E$10,2,0)</f>
        <v>#N/A</v>
      </c>
      <c r="U54" s="269" t="e">
        <f>HLOOKUP(R54,[83]Listas!$F$4:$J$5,2,0)</f>
        <v>#N/A</v>
      </c>
      <c r="V54" s="270" t="e">
        <f>INDEX([83]Listas!$F$6:$J$10,MATCH(Q54,[83]Listas!$D$6:$D$10,0),MATCH(R54,[83]Listas!$F$4:$J$4,0))</f>
        <v>#N/A</v>
      </c>
      <c r="W54" s="268"/>
      <c r="X54" s="1399"/>
      <c r="Y54" s="1408"/>
      <c r="Z54" s="1400"/>
      <c r="AA54" s="1063"/>
      <c r="AB54" s="267"/>
      <c r="AC54" s="259"/>
      <c r="AD54" s="608"/>
      <c r="AE54" s="267"/>
      <c r="AF54" s="268"/>
      <c r="AG54" s="269">
        <f t="shared" si="0"/>
        <v>0</v>
      </c>
      <c r="AH54" s="271" t="e">
        <f t="shared" si="1"/>
        <v>#N/A</v>
      </c>
      <c r="AI54" s="272" t="e">
        <f>IF(AH54&lt;=1,"Remota",VLOOKUP(AH54,[83]Listas!$C$6:$D$10,2,0))</f>
        <v>#N/A</v>
      </c>
      <c r="AJ54" s="271" t="e">
        <f t="shared" si="2"/>
        <v>#N/A</v>
      </c>
      <c r="AK54" s="272" t="e">
        <f>IF(AJ54&lt;=1,"Insignificante",HLOOKUP(AJ54,[83]Listas!$F$3:$J$4,2,0))</f>
        <v>#N/A</v>
      </c>
      <c r="AL54" s="273" t="e">
        <f t="shared" si="3"/>
        <v>#N/A</v>
      </c>
      <c r="AM54" s="270" t="e">
        <f>INDEX([83]Listas!$F$6:$J$10,MATCH(AI54,[83]Listas!$D$6:$D$10,0),MATCH(AK54,[83]Listas!$F$4:$J$4,0))</f>
        <v>#N/A</v>
      </c>
      <c r="AN54" s="259"/>
      <c r="AO54" s="259"/>
      <c r="AP54" s="610"/>
      <c r="AQ54" s="259"/>
      <c r="AR54" s="259" t="s">
        <v>2343</v>
      </c>
      <c r="AS54" s="608"/>
      <c r="AT54" s="259"/>
      <c r="AU54" s="259"/>
      <c r="AV54" s="261"/>
      <c r="AW54" s="261"/>
      <c r="AX54" s="608"/>
      <c r="AY54" s="262"/>
    </row>
    <row r="55" spans="1:51" s="260" customFormat="1" ht="103.5" hidden="1" customHeight="1">
      <c r="A55" s="608"/>
      <c r="B55" s="266"/>
      <c r="C55" s="1399"/>
      <c r="D55" s="1408"/>
      <c r="E55" s="1400"/>
      <c r="F55" s="267"/>
      <c r="G55" s="1399"/>
      <c r="H55" s="1408"/>
      <c r="I55" s="1400"/>
      <c r="J55" s="1380"/>
      <c r="K55" s="1380"/>
      <c r="L55" s="1380"/>
      <c r="M55" s="608"/>
      <c r="N55" s="608"/>
      <c r="O55" s="608"/>
      <c r="P55" s="608"/>
      <c r="Q55" s="266"/>
      <c r="R55" s="266"/>
      <c r="S55" s="268"/>
      <c r="T55" s="269" t="e">
        <f>VLOOKUP(Q55,[83]Listas!$D$6:$E$10,2,0)</f>
        <v>#N/A</v>
      </c>
      <c r="U55" s="269" t="e">
        <f>HLOOKUP(R55,[83]Listas!$F$4:$J$5,2,0)</f>
        <v>#N/A</v>
      </c>
      <c r="V55" s="270" t="e">
        <f>INDEX([83]Listas!$F$6:$J$10,MATCH(Q55,[83]Listas!$D$6:$D$10,0),MATCH(R55,[83]Listas!$F$4:$J$4,0))</f>
        <v>#N/A</v>
      </c>
      <c r="W55" s="268"/>
      <c r="X55" s="1399"/>
      <c r="Y55" s="1408"/>
      <c r="Z55" s="1400"/>
      <c r="AA55" s="1063"/>
      <c r="AB55" s="267"/>
      <c r="AC55" s="259"/>
      <c r="AD55" s="608"/>
      <c r="AE55" s="267"/>
      <c r="AF55" s="268"/>
      <c r="AG55" s="269">
        <f t="shared" si="0"/>
        <v>0</v>
      </c>
      <c r="AH55" s="271" t="e">
        <f t="shared" si="1"/>
        <v>#N/A</v>
      </c>
      <c r="AI55" s="272" t="e">
        <f>IF(AH55&lt;=1,"Remota",VLOOKUP(AH55,[83]Listas!$C$6:$D$10,2,0))</f>
        <v>#N/A</v>
      </c>
      <c r="AJ55" s="271" t="e">
        <f t="shared" si="2"/>
        <v>#N/A</v>
      </c>
      <c r="AK55" s="272" t="e">
        <f>IF(AJ55&lt;=1,"Insignificante",HLOOKUP(AJ55,[83]Listas!$F$3:$J$4,2,0))</f>
        <v>#N/A</v>
      </c>
      <c r="AL55" s="273" t="e">
        <f t="shared" si="3"/>
        <v>#N/A</v>
      </c>
      <c r="AM55" s="270" t="e">
        <f>INDEX([83]Listas!$F$6:$J$10,MATCH(AI55,[83]Listas!$D$6:$D$10,0),MATCH(AK55,[83]Listas!$F$4:$J$4,0))</f>
        <v>#N/A</v>
      </c>
      <c r="AN55" s="259"/>
      <c r="AO55" s="259"/>
      <c r="AP55" s="610"/>
      <c r="AQ55" s="259"/>
      <c r="AR55" s="259" t="s">
        <v>2343</v>
      </c>
      <c r="AS55" s="608"/>
      <c r="AT55" s="259"/>
      <c r="AU55" s="259"/>
      <c r="AV55" s="261"/>
      <c r="AW55" s="261"/>
      <c r="AX55" s="608"/>
      <c r="AY55" s="262"/>
    </row>
    <row r="56" spans="1:51" s="260" customFormat="1" ht="103.5" hidden="1" customHeight="1">
      <c r="A56" s="608"/>
      <c r="B56" s="266"/>
      <c r="C56" s="1399"/>
      <c r="D56" s="1408"/>
      <c r="E56" s="1400"/>
      <c r="F56" s="267"/>
      <c r="G56" s="1399"/>
      <c r="H56" s="1408"/>
      <c r="I56" s="1400"/>
      <c r="J56" s="1380"/>
      <c r="K56" s="1380"/>
      <c r="L56" s="1380"/>
      <c r="M56" s="608"/>
      <c r="N56" s="608"/>
      <c r="O56" s="608"/>
      <c r="P56" s="608"/>
      <c r="Q56" s="266"/>
      <c r="R56" s="266"/>
      <c r="S56" s="268"/>
      <c r="T56" s="269" t="e">
        <f>VLOOKUP(Q56,[83]Listas!$D$6:$E$10,2,0)</f>
        <v>#N/A</v>
      </c>
      <c r="U56" s="269" t="e">
        <f>HLOOKUP(R56,[83]Listas!$F$4:$J$5,2,0)</f>
        <v>#N/A</v>
      </c>
      <c r="V56" s="270" t="e">
        <f>INDEX([83]Listas!$F$6:$J$10,MATCH(Q56,[83]Listas!$D$6:$D$10,0),MATCH(R56,[83]Listas!$F$4:$J$4,0))</f>
        <v>#N/A</v>
      </c>
      <c r="W56" s="268"/>
      <c r="X56" s="1399"/>
      <c r="Y56" s="1408"/>
      <c r="Z56" s="1400"/>
      <c r="AA56" s="1063"/>
      <c r="AB56" s="267"/>
      <c r="AC56" s="259"/>
      <c r="AD56" s="608"/>
      <c r="AE56" s="267"/>
      <c r="AF56" s="268"/>
      <c r="AG56" s="269">
        <f t="shared" si="0"/>
        <v>0</v>
      </c>
      <c r="AH56" s="271" t="e">
        <f t="shared" si="1"/>
        <v>#N/A</v>
      </c>
      <c r="AI56" s="272" t="e">
        <f>IF(AH56&lt;=1,"Remota",VLOOKUP(AH56,[83]Listas!$C$6:$D$10,2,0))</f>
        <v>#N/A</v>
      </c>
      <c r="AJ56" s="271" t="e">
        <f t="shared" si="2"/>
        <v>#N/A</v>
      </c>
      <c r="AK56" s="272" t="e">
        <f>IF(AJ56&lt;=1,"Insignificante",HLOOKUP(AJ56,[83]Listas!$F$3:$J$4,2,0))</f>
        <v>#N/A</v>
      </c>
      <c r="AL56" s="273" t="e">
        <f t="shared" si="3"/>
        <v>#N/A</v>
      </c>
      <c r="AM56" s="270" t="e">
        <f>INDEX([83]Listas!$F$6:$J$10,MATCH(AI56,[83]Listas!$D$6:$D$10,0),MATCH(AK56,[83]Listas!$F$4:$J$4,0))</f>
        <v>#N/A</v>
      </c>
      <c r="AN56" s="259"/>
      <c r="AO56" s="259"/>
      <c r="AP56" s="610"/>
      <c r="AQ56" s="259"/>
      <c r="AR56" s="259" t="s">
        <v>2343</v>
      </c>
      <c r="AS56" s="608"/>
      <c r="AT56" s="259"/>
      <c r="AU56" s="259"/>
      <c r="AV56" s="261"/>
      <c r="AW56" s="261"/>
      <c r="AX56" s="608"/>
      <c r="AY56" s="262"/>
    </row>
    <row r="57" spans="1:51" s="260" customFormat="1" ht="103.5" hidden="1" customHeight="1">
      <c r="A57" s="608"/>
      <c r="B57" s="266"/>
      <c r="C57" s="1399"/>
      <c r="D57" s="1408"/>
      <c r="E57" s="1400"/>
      <c r="F57" s="267"/>
      <c r="G57" s="1399"/>
      <c r="H57" s="1408"/>
      <c r="I57" s="1400"/>
      <c r="J57" s="1380"/>
      <c r="K57" s="1380"/>
      <c r="L57" s="1380"/>
      <c r="M57" s="608"/>
      <c r="N57" s="608"/>
      <c r="O57" s="608"/>
      <c r="P57" s="608"/>
      <c r="Q57" s="266"/>
      <c r="R57" s="266"/>
      <c r="S57" s="268"/>
      <c r="T57" s="269" t="e">
        <f>VLOOKUP(Q57,[83]Listas!$D$6:$E$10,2,0)</f>
        <v>#N/A</v>
      </c>
      <c r="U57" s="269" t="e">
        <f>HLOOKUP(R57,[83]Listas!$F$4:$J$5,2,0)</f>
        <v>#N/A</v>
      </c>
      <c r="V57" s="270" t="e">
        <f>INDEX([83]Listas!$F$6:$J$10,MATCH(Q57,[83]Listas!$D$6:$D$10,0),MATCH(R57,[83]Listas!$F$4:$J$4,0))</f>
        <v>#N/A</v>
      </c>
      <c r="W57" s="268"/>
      <c r="X57" s="1399"/>
      <c r="Y57" s="1408"/>
      <c r="Z57" s="1400"/>
      <c r="AA57" s="1063"/>
      <c r="AB57" s="267"/>
      <c r="AC57" s="259"/>
      <c r="AD57" s="608"/>
      <c r="AE57" s="267"/>
      <c r="AF57" s="268"/>
      <c r="AG57" s="269">
        <f t="shared" si="0"/>
        <v>0</v>
      </c>
      <c r="AH57" s="271" t="e">
        <f t="shared" si="1"/>
        <v>#N/A</v>
      </c>
      <c r="AI57" s="272" t="e">
        <f>IF(AH57&lt;=1,"Remota",VLOOKUP(AH57,[83]Listas!$C$6:$D$10,2,0))</f>
        <v>#N/A</v>
      </c>
      <c r="AJ57" s="271" t="e">
        <f t="shared" si="2"/>
        <v>#N/A</v>
      </c>
      <c r="AK57" s="272" t="e">
        <f>IF(AJ57&lt;=1,"Insignificante",HLOOKUP(AJ57,[83]Listas!$F$3:$J$4,2,0))</f>
        <v>#N/A</v>
      </c>
      <c r="AL57" s="273" t="e">
        <f t="shared" si="3"/>
        <v>#N/A</v>
      </c>
      <c r="AM57" s="270" t="e">
        <f>INDEX([83]Listas!$F$6:$J$10,MATCH(AI57,[83]Listas!$D$6:$D$10,0),MATCH(AK57,[83]Listas!$F$4:$J$4,0))</f>
        <v>#N/A</v>
      </c>
      <c r="AN57" s="259"/>
      <c r="AO57" s="259"/>
      <c r="AP57" s="610"/>
      <c r="AQ57" s="259"/>
      <c r="AR57" s="259" t="s">
        <v>2343</v>
      </c>
      <c r="AS57" s="608"/>
      <c r="AT57" s="259"/>
      <c r="AU57" s="259"/>
      <c r="AV57" s="261"/>
      <c r="AW57" s="261"/>
      <c r="AX57" s="608"/>
      <c r="AY57" s="262"/>
    </row>
    <row r="58" spans="1:51" s="260" customFormat="1" ht="103.5" hidden="1" customHeight="1">
      <c r="A58" s="608"/>
      <c r="B58" s="266"/>
      <c r="C58" s="1399"/>
      <c r="D58" s="1408"/>
      <c r="E58" s="1400"/>
      <c r="F58" s="267"/>
      <c r="G58" s="1399"/>
      <c r="H58" s="1408"/>
      <c r="I58" s="1400"/>
      <c r="J58" s="1380"/>
      <c r="K58" s="1380"/>
      <c r="L58" s="1380"/>
      <c r="M58" s="608"/>
      <c r="N58" s="608"/>
      <c r="O58" s="608"/>
      <c r="P58" s="608"/>
      <c r="Q58" s="266"/>
      <c r="R58" s="266"/>
      <c r="S58" s="268"/>
      <c r="T58" s="269" t="e">
        <f>VLOOKUP(Q58,[83]Listas!$D$6:$E$10,2,0)</f>
        <v>#N/A</v>
      </c>
      <c r="U58" s="269" t="e">
        <f>HLOOKUP(R58,[83]Listas!$F$4:$J$5,2,0)</f>
        <v>#N/A</v>
      </c>
      <c r="V58" s="270" t="e">
        <f>INDEX([83]Listas!$F$6:$J$10,MATCH(Q58,[83]Listas!$D$6:$D$10,0),MATCH(R58,[83]Listas!$F$4:$J$4,0))</f>
        <v>#N/A</v>
      </c>
      <c r="W58" s="268"/>
      <c r="X58" s="1399"/>
      <c r="Y58" s="1408"/>
      <c r="Z58" s="1400"/>
      <c r="AA58" s="1063"/>
      <c r="AB58" s="267"/>
      <c r="AC58" s="259"/>
      <c r="AD58" s="608"/>
      <c r="AE58" s="267"/>
      <c r="AF58" s="268"/>
      <c r="AG58" s="269">
        <f t="shared" si="0"/>
        <v>0</v>
      </c>
      <c r="AH58" s="271" t="e">
        <f t="shared" si="1"/>
        <v>#N/A</v>
      </c>
      <c r="AI58" s="272" t="e">
        <f>IF(AH58&lt;=1,"Remota",VLOOKUP(AH58,[83]Listas!$C$6:$D$10,2,0))</f>
        <v>#N/A</v>
      </c>
      <c r="AJ58" s="271" t="e">
        <f t="shared" si="2"/>
        <v>#N/A</v>
      </c>
      <c r="AK58" s="272" t="e">
        <f>IF(AJ58&lt;=1,"Insignificante",HLOOKUP(AJ58,[83]Listas!$F$3:$J$4,2,0))</f>
        <v>#N/A</v>
      </c>
      <c r="AL58" s="273" t="e">
        <f t="shared" si="3"/>
        <v>#N/A</v>
      </c>
      <c r="AM58" s="270" t="e">
        <f>INDEX([83]Listas!$F$6:$J$10,MATCH(AI58,[83]Listas!$D$6:$D$10,0),MATCH(AK58,[83]Listas!$F$4:$J$4,0))</f>
        <v>#N/A</v>
      </c>
      <c r="AN58" s="259"/>
      <c r="AO58" s="259"/>
      <c r="AP58" s="610"/>
      <c r="AQ58" s="259"/>
      <c r="AR58" s="259" t="s">
        <v>2343</v>
      </c>
      <c r="AS58" s="608"/>
      <c r="AT58" s="259"/>
      <c r="AU58" s="259"/>
      <c r="AV58" s="261"/>
      <c r="AW58" s="261"/>
      <c r="AX58" s="608"/>
      <c r="AY58" s="262"/>
    </row>
    <row r="59" spans="1:51" s="260" customFormat="1" ht="103.5" hidden="1" customHeight="1">
      <c r="A59" s="608"/>
      <c r="B59" s="266"/>
      <c r="C59" s="1399"/>
      <c r="D59" s="1408"/>
      <c r="E59" s="1400"/>
      <c r="F59" s="267"/>
      <c r="G59" s="1399"/>
      <c r="H59" s="1408"/>
      <c r="I59" s="1400"/>
      <c r="J59" s="1380"/>
      <c r="K59" s="1380"/>
      <c r="L59" s="1380"/>
      <c r="M59" s="608"/>
      <c r="N59" s="608"/>
      <c r="O59" s="608"/>
      <c r="P59" s="608"/>
      <c r="Q59" s="266"/>
      <c r="R59" s="266"/>
      <c r="S59" s="268"/>
      <c r="T59" s="269" t="e">
        <f>VLOOKUP(Q59,[83]Listas!$D$6:$E$10,2,0)</f>
        <v>#N/A</v>
      </c>
      <c r="U59" s="269" t="e">
        <f>HLOOKUP(R59,[83]Listas!$F$4:$J$5,2,0)</f>
        <v>#N/A</v>
      </c>
      <c r="V59" s="270" t="e">
        <f>INDEX([83]Listas!$F$6:$J$10,MATCH(Q59,[83]Listas!$D$6:$D$10,0),MATCH(R59,[83]Listas!$F$4:$J$4,0))</f>
        <v>#N/A</v>
      </c>
      <c r="W59" s="268"/>
      <c r="X59" s="1399"/>
      <c r="Y59" s="1408"/>
      <c r="Z59" s="1400"/>
      <c r="AA59" s="1063"/>
      <c r="AB59" s="267"/>
      <c r="AC59" s="259"/>
      <c r="AD59" s="608"/>
      <c r="AE59" s="267"/>
      <c r="AF59" s="268"/>
      <c r="AG59" s="269">
        <f t="shared" si="0"/>
        <v>0</v>
      </c>
      <c r="AH59" s="271" t="e">
        <f t="shared" si="1"/>
        <v>#N/A</v>
      </c>
      <c r="AI59" s="272" t="e">
        <f>IF(AH59&lt;=1,"Remota",VLOOKUP(AH59,[83]Listas!$C$6:$D$10,2,0))</f>
        <v>#N/A</v>
      </c>
      <c r="AJ59" s="271" t="e">
        <f t="shared" si="2"/>
        <v>#N/A</v>
      </c>
      <c r="AK59" s="272" t="e">
        <f>IF(AJ59&lt;=1,"Insignificante",HLOOKUP(AJ59,[83]Listas!$F$3:$J$4,2,0))</f>
        <v>#N/A</v>
      </c>
      <c r="AL59" s="273" t="e">
        <f t="shared" si="3"/>
        <v>#N/A</v>
      </c>
      <c r="AM59" s="270" t="e">
        <f>INDEX([83]Listas!$F$6:$J$10,MATCH(AI59,[83]Listas!$D$6:$D$10,0),MATCH(AK59,[83]Listas!$F$4:$J$4,0))</f>
        <v>#N/A</v>
      </c>
      <c r="AN59" s="259"/>
      <c r="AO59" s="259"/>
      <c r="AP59" s="610"/>
      <c r="AQ59" s="259"/>
      <c r="AR59" s="259" t="s">
        <v>2343</v>
      </c>
      <c r="AS59" s="608"/>
      <c r="AT59" s="259"/>
      <c r="AU59" s="259"/>
      <c r="AV59" s="261"/>
      <c r="AW59" s="261"/>
      <c r="AX59" s="608"/>
      <c r="AY59" s="262"/>
    </row>
    <row r="60" spans="1:51" s="260" customFormat="1" ht="103.5" hidden="1" customHeight="1">
      <c r="A60" s="608"/>
      <c r="B60" s="266"/>
      <c r="C60" s="1399"/>
      <c r="D60" s="1408"/>
      <c r="E60" s="1400"/>
      <c r="F60" s="267"/>
      <c r="G60" s="1399"/>
      <c r="H60" s="1408"/>
      <c r="I60" s="1400"/>
      <c r="J60" s="1380"/>
      <c r="K60" s="1380"/>
      <c r="L60" s="1380"/>
      <c r="M60" s="608"/>
      <c r="N60" s="608"/>
      <c r="O60" s="608"/>
      <c r="P60" s="608"/>
      <c r="Q60" s="266"/>
      <c r="R60" s="266"/>
      <c r="S60" s="268"/>
      <c r="T60" s="269" t="e">
        <f>VLOOKUP(Q60,[83]Listas!$D$6:$E$10,2,0)</f>
        <v>#N/A</v>
      </c>
      <c r="U60" s="269" t="e">
        <f>HLOOKUP(R60,[83]Listas!$F$4:$J$5,2,0)</f>
        <v>#N/A</v>
      </c>
      <c r="V60" s="270" t="e">
        <f>INDEX([83]Listas!$F$6:$J$10,MATCH(Q60,[83]Listas!$D$6:$D$10,0),MATCH(R60,[83]Listas!$F$4:$J$4,0))</f>
        <v>#N/A</v>
      </c>
      <c r="W60" s="268"/>
      <c r="X60" s="1399"/>
      <c r="Y60" s="1408"/>
      <c r="Z60" s="1400"/>
      <c r="AA60" s="1063"/>
      <c r="AB60" s="267"/>
      <c r="AC60" s="259"/>
      <c r="AD60" s="608"/>
      <c r="AE60" s="267"/>
      <c r="AF60" s="268"/>
      <c r="AG60" s="269">
        <f t="shared" si="0"/>
        <v>0</v>
      </c>
      <c r="AH60" s="271" t="e">
        <f t="shared" si="1"/>
        <v>#N/A</v>
      </c>
      <c r="AI60" s="272" t="e">
        <f>IF(AH60&lt;=1,"Remota",VLOOKUP(AH60,[83]Listas!$C$6:$D$10,2,0))</f>
        <v>#N/A</v>
      </c>
      <c r="AJ60" s="271" t="e">
        <f t="shared" si="2"/>
        <v>#N/A</v>
      </c>
      <c r="AK60" s="272" t="e">
        <f>IF(AJ60&lt;=1,"Insignificante",HLOOKUP(AJ60,[83]Listas!$F$3:$J$4,2,0))</f>
        <v>#N/A</v>
      </c>
      <c r="AL60" s="273" t="e">
        <f t="shared" si="3"/>
        <v>#N/A</v>
      </c>
      <c r="AM60" s="270" t="e">
        <f>INDEX([83]Listas!$F$6:$J$10,MATCH(AI60,[83]Listas!$D$6:$D$10,0),MATCH(AK60,[83]Listas!$F$4:$J$4,0))</f>
        <v>#N/A</v>
      </c>
      <c r="AN60" s="259"/>
      <c r="AO60" s="259"/>
      <c r="AP60" s="610"/>
      <c r="AQ60" s="259"/>
      <c r="AR60" s="259" t="s">
        <v>2343</v>
      </c>
      <c r="AS60" s="608"/>
      <c r="AT60" s="259"/>
      <c r="AU60" s="259"/>
      <c r="AV60" s="261"/>
      <c r="AW60" s="261"/>
      <c r="AX60" s="608"/>
      <c r="AY60" s="262"/>
    </row>
    <row r="61" spans="1:51" s="260" customFormat="1" ht="103.5" hidden="1" customHeight="1">
      <c r="A61" s="608"/>
      <c r="B61" s="266"/>
      <c r="C61" s="1399"/>
      <c r="D61" s="1408"/>
      <c r="E61" s="1400"/>
      <c r="F61" s="267"/>
      <c r="G61" s="1399"/>
      <c r="H61" s="1408"/>
      <c r="I61" s="1400"/>
      <c r="J61" s="1380"/>
      <c r="K61" s="1380"/>
      <c r="L61" s="1380"/>
      <c r="M61" s="608"/>
      <c r="N61" s="608"/>
      <c r="O61" s="608"/>
      <c r="P61" s="608"/>
      <c r="Q61" s="266"/>
      <c r="R61" s="266"/>
      <c r="S61" s="268"/>
      <c r="T61" s="269" t="e">
        <f>VLOOKUP(Q61,[83]Listas!$D$6:$E$10,2,0)</f>
        <v>#N/A</v>
      </c>
      <c r="U61" s="269" t="e">
        <f>HLOOKUP(R61,[83]Listas!$F$4:$J$5,2,0)</f>
        <v>#N/A</v>
      </c>
      <c r="V61" s="270" t="e">
        <f>INDEX([83]Listas!$F$6:$J$10,MATCH(Q61,[83]Listas!$D$6:$D$10,0),MATCH(R61,[83]Listas!$F$4:$J$4,0))</f>
        <v>#N/A</v>
      </c>
      <c r="W61" s="268"/>
      <c r="X61" s="1399"/>
      <c r="Y61" s="1408"/>
      <c r="Z61" s="1400"/>
      <c r="AA61" s="1063"/>
      <c r="AB61" s="267"/>
      <c r="AC61" s="259"/>
      <c r="AD61" s="608"/>
      <c r="AE61" s="267"/>
      <c r="AF61" s="268"/>
      <c r="AG61" s="269">
        <f t="shared" si="0"/>
        <v>0</v>
      </c>
      <c r="AH61" s="271" t="e">
        <f t="shared" si="1"/>
        <v>#N/A</v>
      </c>
      <c r="AI61" s="272" t="e">
        <f>IF(AH61&lt;=1,"Remota",VLOOKUP(AH61,[83]Listas!$C$6:$D$10,2,0))</f>
        <v>#N/A</v>
      </c>
      <c r="AJ61" s="271" t="e">
        <f t="shared" si="2"/>
        <v>#N/A</v>
      </c>
      <c r="AK61" s="272" t="e">
        <f>IF(AJ61&lt;=1,"Insignificante",HLOOKUP(AJ61,[83]Listas!$F$3:$J$4,2,0))</f>
        <v>#N/A</v>
      </c>
      <c r="AL61" s="273" t="e">
        <f t="shared" si="3"/>
        <v>#N/A</v>
      </c>
      <c r="AM61" s="270" t="e">
        <f>INDEX([83]Listas!$F$6:$J$10,MATCH(AI61,[83]Listas!$D$6:$D$10,0),MATCH(AK61,[83]Listas!$F$4:$J$4,0))</f>
        <v>#N/A</v>
      </c>
      <c r="AN61" s="259"/>
      <c r="AO61" s="259"/>
      <c r="AP61" s="610"/>
      <c r="AQ61" s="259"/>
      <c r="AR61" s="259" t="s">
        <v>2343</v>
      </c>
      <c r="AS61" s="608"/>
      <c r="AT61" s="259"/>
      <c r="AU61" s="259"/>
      <c r="AV61" s="261"/>
      <c r="AW61" s="261"/>
      <c r="AX61" s="608"/>
      <c r="AY61" s="262"/>
    </row>
    <row r="62" spans="1:51" s="260" customFormat="1" ht="103.5" hidden="1" customHeight="1">
      <c r="A62" s="608"/>
      <c r="B62" s="266"/>
      <c r="C62" s="1399"/>
      <c r="D62" s="1408"/>
      <c r="E62" s="1400"/>
      <c r="F62" s="267"/>
      <c r="G62" s="1399"/>
      <c r="H62" s="1408"/>
      <c r="I62" s="1400"/>
      <c r="J62" s="1380"/>
      <c r="K62" s="1380"/>
      <c r="L62" s="1380"/>
      <c r="M62" s="608"/>
      <c r="N62" s="608"/>
      <c r="O62" s="608"/>
      <c r="P62" s="608"/>
      <c r="Q62" s="266"/>
      <c r="R62" s="266"/>
      <c r="S62" s="268"/>
      <c r="T62" s="269" t="e">
        <f>VLOOKUP(Q62,[83]Listas!$D$6:$E$10,2,0)</f>
        <v>#N/A</v>
      </c>
      <c r="U62" s="269" t="e">
        <f>HLOOKUP(R62,[83]Listas!$F$4:$J$5,2,0)</f>
        <v>#N/A</v>
      </c>
      <c r="V62" s="270" t="e">
        <f>INDEX([83]Listas!$F$6:$J$10,MATCH(Q62,[83]Listas!$D$6:$D$10,0),MATCH(R62,[83]Listas!$F$4:$J$4,0))</f>
        <v>#N/A</v>
      </c>
      <c r="W62" s="268"/>
      <c r="X62" s="1399"/>
      <c r="Y62" s="1408"/>
      <c r="Z62" s="1400"/>
      <c r="AA62" s="1063"/>
      <c r="AB62" s="267"/>
      <c r="AC62" s="259"/>
      <c r="AD62" s="608"/>
      <c r="AE62" s="267"/>
      <c r="AF62" s="268"/>
      <c r="AG62" s="269">
        <f t="shared" si="0"/>
        <v>0</v>
      </c>
      <c r="AH62" s="271" t="e">
        <f t="shared" si="1"/>
        <v>#N/A</v>
      </c>
      <c r="AI62" s="272" t="e">
        <f>IF(AH62&lt;=1,"Remota",VLOOKUP(AH62,[83]Listas!$C$6:$D$10,2,0))</f>
        <v>#N/A</v>
      </c>
      <c r="AJ62" s="271" t="e">
        <f t="shared" si="2"/>
        <v>#N/A</v>
      </c>
      <c r="AK62" s="272" t="e">
        <f>IF(AJ62&lt;=1,"Insignificante",HLOOKUP(AJ62,[83]Listas!$F$3:$J$4,2,0))</f>
        <v>#N/A</v>
      </c>
      <c r="AL62" s="273" t="e">
        <f t="shared" si="3"/>
        <v>#N/A</v>
      </c>
      <c r="AM62" s="270" t="e">
        <f>INDEX([83]Listas!$F$6:$J$10,MATCH(AI62,[83]Listas!$D$6:$D$10,0),MATCH(AK62,[83]Listas!$F$4:$J$4,0))</f>
        <v>#N/A</v>
      </c>
      <c r="AN62" s="259"/>
      <c r="AO62" s="259"/>
      <c r="AP62" s="610"/>
      <c r="AQ62" s="259"/>
      <c r="AR62" s="259" t="s">
        <v>2343</v>
      </c>
      <c r="AS62" s="608"/>
      <c r="AT62" s="259"/>
      <c r="AU62" s="259"/>
      <c r="AV62" s="261"/>
      <c r="AW62" s="261"/>
      <c r="AX62" s="608"/>
      <c r="AY62" s="262"/>
    </row>
    <row r="63" spans="1:51" s="260" customFormat="1" ht="103.5" hidden="1" customHeight="1">
      <c r="A63" s="608"/>
      <c r="B63" s="266"/>
      <c r="C63" s="1399"/>
      <c r="D63" s="1408"/>
      <c r="E63" s="1400"/>
      <c r="F63" s="267"/>
      <c r="G63" s="1399"/>
      <c r="H63" s="1408"/>
      <c r="I63" s="1400"/>
      <c r="J63" s="1380"/>
      <c r="K63" s="1380"/>
      <c r="L63" s="1380"/>
      <c r="M63" s="608"/>
      <c r="N63" s="608"/>
      <c r="O63" s="608"/>
      <c r="P63" s="608"/>
      <c r="Q63" s="266"/>
      <c r="R63" s="266"/>
      <c r="S63" s="268"/>
      <c r="T63" s="269" t="e">
        <f>VLOOKUP(Q63,[83]Listas!$D$6:$E$10,2,0)</f>
        <v>#N/A</v>
      </c>
      <c r="U63" s="269" t="e">
        <f>HLOOKUP(R63,[83]Listas!$F$4:$J$5,2,0)</f>
        <v>#N/A</v>
      </c>
      <c r="V63" s="270" t="e">
        <f>INDEX([83]Listas!$F$6:$J$10,MATCH(Q63,[83]Listas!$D$6:$D$10,0),MATCH(R63,[83]Listas!$F$4:$J$4,0))</f>
        <v>#N/A</v>
      </c>
      <c r="W63" s="268"/>
      <c r="X63" s="1399"/>
      <c r="Y63" s="1408"/>
      <c r="Z63" s="1400"/>
      <c r="AA63" s="1063"/>
      <c r="AB63" s="267"/>
      <c r="AC63" s="259"/>
      <c r="AD63" s="608"/>
      <c r="AE63" s="267"/>
      <c r="AF63" s="268"/>
      <c r="AG63" s="269">
        <f t="shared" si="0"/>
        <v>0</v>
      </c>
      <c r="AH63" s="271" t="e">
        <f t="shared" si="1"/>
        <v>#N/A</v>
      </c>
      <c r="AI63" s="272" t="e">
        <f>IF(AH63&lt;=1,"Remota",VLOOKUP(AH63,[83]Listas!$C$6:$D$10,2,0))</f>
        <v>#N/A</v>
      </c>
      <c r="AJ63" s="271" t="e">
        <f t="shared" si="2"/>
        <v>#N/A</v>
      </c>
      <c r="AK63" s="272" t="e">
        <f>IF(AJ63&lt;=1,"Insignificante",HLOOKUP(AJ63,[83]Listas!$F$3:$J$4,2,0))</f>
        <v>#N/A</v>
      </c>
      <c r="AL63" s="273" t="e">
        <f t="shared" si="3"/>
        <v>#N/A</v>
      </c>
      <c r="AM63" s="270" t="e">
        <f>INDEX([83]Listas!$F$6:$J$10,MATCH(AI63,[83]Listas!$D$6:$D$10,0),MATCH(AK63,[83]Listas!$F$4:$J$4,0))</f>
        <v>#N/A</v>
      </c>
      <c r="AN63" s="259"/>
      <c r="AO63" s="259"/>
      <c r="AP63" s="610"/>
      <c r="AQ63" s="259"/>
      <c r="AR63" s="259" t="s">
        <v>2343</v>
      </c>
      <c r="AS63" s="608"/>
      <c r="AT63" s="259"/>
      <c r="AU63" s="259"/>
      <c r="AV63" s="261"/>
      <c r="AW63" s="261"/>
      <c r="AX63" s="608"/>
      <c r="AY63" s="262"/>
    </row>
    <row r="64" spans="1:51" s="260" customFormat="1" ht="103.5" hidden="1" customHeight="1">
      <c r="A64" s="608"/>
      <c r="B64" s="266"/>
      <c r="C64" s="1399"/>
      <c r="D64" s="1408"/>
      <c r="E64" s="1400"/>
      <c r="F64" s="267"/>
      <c r="G64" s="1399"/>
      <c r="H64" s="1408"/>
      <c r="I64" s="1400"/>
      <c r="J64" s="1380"/>
      <c r="K64" s="1380"/>
      <c r="L64" s="1380"/>
      <c r="M64" s="608"/>
      <c r="N64" s="608"/>
      <c r="O64" s="608"/>
      <c r="P64" s="608"/>
      <c r="Q64" s="266"/>
      <c r="R64" s="266"/>
      <c r="S64" s="268"/>
      <c r="T64" s="269" t="e">
        <f>VLOOKUP(Q64,[83]Listas!$D$6:$E$10,2,0)</f>
        <v>#N/A</v>
      </c>
      <c r="U64" s="269" t="e">
        <f>HLOOKUP(R64,[83]Listas!$F$4:$J$5,2,0)</f>
        <v>#N/A</v>
      </c>
      <c r="V64" s="270" t="e">
        <f>INDEX([83]Listas!$F$6:$J$10,MATCH(Q64,[83]Listas!$D$6:$D$10,0),MATCH(R64,[83]Listas!$F$4:$J$4,0))</f>
        <v>#N/A</v>
      </c>
      <c r="W64" s="268"/>
      <c r="X64" s="1399"/>
      <c r="Y64" s="1408"/>
      <c r="Z64" s="1400"/>
      <c r="AA64" s="1063"/>
      <c r="AB64" s="267"/>
      <c r="AC64" s="259"/>
      <c r="AD64" s="608"/>
      <c r="AE64" s="267"/>
      <c r="AF64" s="268"/>
      <c r="AG64" s="269">
        <f t="shared" si="0"/>
        <v>0</v>
      </c>
      <c r="AH64" s="271" t="e">
        <f t="shared" si="1"/>
        <v>#N/A</v>
      </c>
      <c r="AI64" s="272" t="e">
        <f>IF(AH64&lt;=1,"Remota",VLOOKUP(AH64,[83]Listas!$C$6:$D$10,2,0))</f>
        <v>#N/A</v>
      </c>
      <c r="AJ64" s="271" t="e">
        <f t="shared" si="2"/>
        <v>#N/A</v>
      </c>
      <c r="AK64" s="272" t="e">
        <f>IF(AJ64&lt;=1,"Insignificante",HLOOKUP(AJ64,[83]Listas!$F$3:$J$4,2,0))</f>
        <v>#N/A</v>
      </c>
      <c r="AL64" s="273" t="e">
        <f t="shared" si="3"/>
        <v>#N/A</v>
      </c>
      <c r="AM64" s="270" t="e">
        <f>INDEX([83]Listas!$F$6:$J$10,MATCH(AI64,[83]Listas!$D$6:$D$10,0),MATCH(AK64,[83]Listas!$F$4:$J$4,0))</f>
        <v>#N/A</v>
      </c>
      <c r="AN64" s="259"/>
      <c r="AO64" s="259"/>
      <c r="AP64" s="610"/>
      <c r="AQ64" s="259"/>
      <c r="AR64" s="259" t="s">
        <v>2343</v>
      </c>
      <c r="AS64" s="608"/>
      <c r="AT64" s="259"/>
      <c r="AU64" s="259"/>
      <c r="AV64" s="261"/>
      <c r="AW64" s="261"/>
      <c r="AX64" s="608"/>
      <c r="AY64" s="262"/>
    </row>
    <row r="65" spans="1:51" s="260" customFormat="1" ht="103.5" hidden="1" customHeight="1">
      <c r="A65" s="608"/>
      <c r="B65" s="266"/>
      <c r="C65" s="1399"/>
      <c r="D65" s="1408"/>
      <c r="E65" s="1400"/>
      <c r="F65" s="267"/>
      <c r="G65" s="1399"/>
      <c r="H65" s="1408"/>
      <c r="I65" s="1400"/>
      <c r="J65" s="1380"/>
      <c r="K65" s="1380"/>
      <c r="L65" s="1380"/>
      <c r="M65" s="608"/>
      <c r="N65" s="608"/>
      <c r="O65" s="608"/>
      <c r="P65" s="608"/>
      <c r="Q65" s="266"/>
      <c r="R65" s="266"/>
      <c r="S65" s="268"/>
      <c r="T65" s="269" t="e">
        <f>VLOOKUP(Q65,[83]Listas!$D$6:$E$10,2,0)</f>
        <v>#N/A</v>
      </c>
      <c r="U65" s="269" t="e">
        <f>HLOOKUP(R65,[83]Listas!$F$4:$J$5,2,0)</f>
        <v>#N/A</v>
      </c>
      <c r="V65" s="270" t="e">
        <f>INDEX([83]Listas!$F$6:$J$10,MATCH(Q65,[83]Listas!$D$6:$D$10,0),MATCH(R65,[83]Listas!$F$4:$J$4,0))</f>
        <v>#N/A</v>
      </c>
      <c r="W65" s="268"/>
      <c r="X65" s="1399"/>
      <c r="Y65" s="1408"/>
      <c r="Z65" s="1400"/>
      <c r="AA65" s="1063"/>
      <c r="AB65" s="267"/>
      <c r="AC65" s="259"/>
      <c r="AD65" s="608"/>
      <c r="AE65" s="267"/>
      <c r="AF65" s="268"/>
      <c r="AG65" s="269">
        <f t="shared" si="0"/>
        <v>0</v>
      </c>
      <c r="AH65" s="271" t="e">
        <f t="shared" si="1"/>
        <v>#N/A</v>
      </c>
      <c r="AI65" s="272" t="e">
        <f>IF(AH65&lt;=1,"Remota",VLOOKUP(AH65,[83]Listas!$C$6:$D$10,2,0))</f>
        <v>#N/A</v>
      </c>
      <c r="AJ65" s="271" t="e">
        <f t="shared" si="2"/>
        <v>#N/A</v>
      </c>
      <c r="AK65" s="272" t="e">
        <f>IF(AJ65&lt;=1,"Insignificante",HLOOKUP(AJ65,[83]Listas!$F$3:$J$4,2,0))</f>
        <v>#N/A</v>
      </c>
      <c r="AL65" s="273" t="e">
        <f t="shared" si="3"/>
        <v>#N/A</v>
      </c>
      <c r="AM65" s="270" t="e">
        <f>INDEX([83]Listas!$F$6:$J$10,MATCH(AI65,[83]Listas!$D$6:$D$10,0),MATCH(AK65,[83]Listas!$F$4:$J$4,0))</f>
        <v>#N/A</v>
      </c>
      <c r="AN65" s="259"/>
      <c r="AO65" s="259"/>
      <c r="AP65" s="610"/>
      <c r="AQ65" s="259"/>
      <c r="AR65" s="259" t="s">
        <v>2343</v>
      </c>
      <c r="AS65" s="608"/>
      <c r="AT65" s="259"/>
      <c r="AU65" s="259"/>
      <c r="AV65" s="261"/>
      <c r="AW65" s="261"/>
      <c r="AX65" s="608"/>
      <c r="AY65" s="262"/>
    </row>
    <row r="66" spans="1:51" s="260" customFormat="1" ht="103.5" hidden="1" customHeight="1">
      <c r="A66" s="608"/>
      <c r="B66" s="266"/>
      <c r="C66" s="1399"/>
      <c r="D66" s="1408"/>
      <c r="E66" s="1400"/>
      <c r="F66" s="267"/>
      <c r="G66" s="1399"/>
      <c r="H66" s="1408"/>
      <c r="I66" s="1400"/>
      <c r="J66" s="1380"/>
      <c r="K66" s="1380"/>
      <c r="L66" s="1380"/>
      <c r="M66" s="608"/>
      <c r="N66" s="608"/>
      <c r="O66" s="608"/>
      <c r="P66" s="608"/>
      <c r="Q66" s="266"/>
      <c r="R66" s="266"/>
      <c r="S66" s="268"/>
      <c r="T66" s="269" t="e">
        <f>VLOOKUP(Q66,[83]Listas!$D$6:$E$10,2,0)</f>
        <v>#N/A</v>
      </c>
      <c r="U66" s="269" t="e">
        <f>HLOOKUP(R66,[83]Listas!$F$4:$J$5,2,0)</f>
        <v>#N/A</v>
      </c>
      <c r="V66" s="270" t="e">
        <f>INDEX([83]Listas!$F$6:$J$10,MATCH(Q66,[83]Listas!$D$6:$D$10,0),MATCH(R66,[83]Listas!$F$4:$J$4,0))</f>
        <v>#N/A</v>
      </c>
      <c r="W66" s="268"/>
      <c r="X66" s="1399"/>
      <c r="Y66" s="1408"/>
      <c r="Z66" s="1400"/>
      <c r="AA66" s="1063"/>
      <c r="AB66" s="267"/>
      <c r="AC66" s="259"/>
      <c r="AD66" s="608"/>
      <c r="AE66" s="267"/>
      <c r="AF66" s="268"/>
      <c r="AG66" s="269">
        <f t="shared" si="0"/>
        <v>0</v>
      </c>
      <c r="AH66" s="271" t="e">
        <f t="shared" si="1"/>
        <v>#N/A</v>
      </c>
      <c r="AI66" s="272" t="e">
        <f>IF(AH66&lt;=1,"Remota",VLOOKUP(AH66,[83]Listas!$C$6:$D$10,2,0))</f>
        <v>#N/A</v>
      </c>
      <c r="AJ66" s="271" t="e">
        <f t="shared" si="2"/>
        <v>#N/A</v>
      </c>
      <c r="AK66" s="272" t="e">
        <f>IF(AJ66&lt;=1,"Insignificante",HLOOKUP(AJ66,[83]Listas!$F$3:$J$4,2,0))</f>
        <v>#N/A</v>
      </c>
      <c r="AL66" s="273" t="e">
        <f t="shared" si="3"/>
        <v>#N/A</v>
      </c>
      <c r="AM66" s="270" t="e">
        <f>INDEX([83]Listas!$F$6:$J$10,MATCH(AI66,[83]Listas!$D$6:$D$10,0),MATCH(AK66,[83]Listas!$F$4:$J$4,0))</f>
        <v>#N/A</v>
      </c>
      <c r="AN66" s="259"/>
      <c r="AO66" s="259"/>
      <c r="AP66" s="610"/>
      <c r="AQ66" s="259"/>
      <c r="AR66" s="259" t="s">
        <v>2343</v>
      </c>
      <c r="AS66" s="608"/>
      <c r="AT66" s="259"/>
      <c r="AU66" s="259"/>
      <c r="AV66" s="261"/>
      <c r="AW66" s="261"/>
      <c r="AX66" s="608"/>
      <c r="AY66" s="262"/>
    </row>
    <row r="67" spans="1:51" s="260" customFormat="1" ht="103.5" hidden="1" customHeight="1">
      <c r="A67" s="608"/>
      <c r="B67" s="266"/>
      <c r="C67" s="1399"/>
      <c r="D67" s="1408"/>
      <c r="E67" s="1400"/>
      <c r="F67" s="267"/>
      <c r="G67" s="1399"/>
      <c r="H67" s="1408"/>
      <c r="I67" s="1400"/>
      <c r="J67" s="1380"/>
      <c r="K67" s="1380"/>
      <c r="L67" s="1380"/>
      <c r="M67" s="608"/>
      <c r="N67" s="608"/>
      <c r="O67" s="608"/>
      <c r="P67" s="608"/>
      <c r="Q67" s="266"/>
      <c r="R67" s="266"/>
      <c r="S67" s="268"/>
      <c r="T67" s="269" t="e">
        <f>VLOOKUP(Q67,[83]Listas!$D$6:$E$10,2,0)</f>
        <v>#N/A</v>
      </c>
      <c r="U67" s="269" t="e">
        <f>HLOOKUP(R67,[83]Listas!$F$4:$J$5,2,0)</f>
        <v>#N/A</v>
      </c>
      <c r="V67" s="270" t="e">
        <f>INDEX([83]Listas!$F$6:$J$10,MATCH(Q67,[83]Listas!$D$6:$D$10,0),MATCH(R67,[83]Listas!$F$4:$J$4,0))</f>
        <v>#N/A</v>
      </c>
      <c r="W67" s="268"/>
      <c r="X67" s="1399"/>
      <c r="Y67" s="1408"/>
      <c r="Z67" s="1400"/>
      <c r="AA67" s="1063"/>
      <c r="AB67" s="267"/>
      <c r="AC67" s="259"/>
      <c r="AD67" s="608"/>
      <c r="AE67" s="267"/>
      <c r="AF67" s="268"/>
      <c r="AG67" s="269">
        <f t="shared" si="0"/>
        <v>0</v>
      </c>
      <c r="AH67" s="271" t="e">
        <f t="shared" si="1"/>
        <v>#N/A</v>
      </c>
      <c r="AI67" s="272" t="e">
        <f>IF(AH67&lt;=1,"Remota",VLOOKUP(AH67,[83]Listas!$C$6:$D$10,2,0))</f>
        <v>#N/A</v>
      </c>
      <c r="AJ67" s="271" t="e">
        <f t="shared" si="2"/>
        <v>#N/A</v>
      </c>
      <c r="AK67" s="272" t="e">
        <f>IF(AJ67&lt;=1,"Insignificante",HLOOKUP(AJ67,[83]Listas!$F$3:$J$4,2,0))</f>
        <v>#N/A</v>
      </c>
      <c r="AL67" s="273" t="e">
        <f t="shared" si="3"/>
        <v>#N/A</v>
      </c>
      <c r="AM67" s="270" t="e">
        <f>INDEX([83]Listas!$F$6:$J$10,MATCH(AI67,[83]Listas!$D$6:$D$10,0),MATCH(AK67,[83]Listas!$F$4:$J$4,0))</f>
        <v>#N/A</v>
      </c>
      <c r="AN67" s="259"/>
      <c r="AO67" s="259"/>
      <c r="AP67" s="610"/>
      <c r="AQ67" s="259"/>
      <c r="AR67" s="259" t="s">
        <v>2343</v>
      </c>
      <c r="AS67" s="608"/>
      <c r="AT67" s="259"/>
      <c r="AU67" s="259"/>
      <c r="AV67" s="261"/>
      <c r="AW67" s="261"/>
      <c r="AX67" s="608"/>
      <c r="AY67" s="262"/>
    </row>
    <row r="68" spans="1:51" s="260" customFormat="1" ht="103.5" hidden="1" customHeight="1">
      <c r="A68" s="608"/>
      <c r="B68" s="266"/>
      <c r="C68" s="1399"/>
      <c r="D68" s="1408"/>
      <c r="E68" s="1400"/>
      <c r="F68" s="267"/>
      <c r="G68" s="1399"/>
      <c r="H68" s="1408"/>
      <c r="I68" s="1400"/>
      <c r="J68" s="1380"/>
      <c r="K68" s="1380"/>
      <c r="L68" s="1380"/>
      <c r="M68" s="608"/>
      <c r="N68" s="608"/>
      <c r="O68" s="608"/>
      <c r="P68" s="608"/>
      <c r="Q68" s="266"/>
      <c r="R68" s="266"/>
      <c r="S68" s="268"/>
      <c r="T68" s="269" t="e">
        <f>VLOOKUP(Q68,[83]Listas!$D$6:$E$10,2,0)</f>
        <v>#N/A</v>
      </c>
      <c r="U68" s="269" t="e">
        <f>HLOOKUP(R68,[83]Listas!$F$4:$J$5,2,0)</f>
        <v>#N/A</v>
      </c>
      <c r="V68" s="270" t="e">
        <f>INDEX([83]Listas!$F$6:$J$10,MATCH(Q68,[83]Listas!$D$6:$D$10,0),MATCH(R68,[83]Listas!$F$4:$J$4,0))</f>
        <v>#N/A</v>
      </c>
      <c r="W68" s="268"/>
      <c r="X68" s="1399"/>
      <c r="Y68" s="1408"/>
      <c r="Z68" s="1400"/>
      <c r="AA68" s="1063"/>
      <c r="AB68" s="267"/>
      <c r="AC68" s="259"/>
      <c r="AD68" s="608"/>
      <c r="AE68" s="267"/>
      <c r="AF68" s="268"/>
      <c r="AG68" s="269">
        <f t="shared" si="0"/>
        <v>0</v>
      </c>
      <c r="AH68" s="271" t="e">
        <f t="shared" si="1"/>
        <v>#N/A</v>
      </c>
      <c r="AI68" s="272" t="e">
        <f>IF(AH68&lt;=1,"Remota",VLOOKUP(AH68,[83]Listas!$C$6:$D$10,2,0))</f>
        <v>#N/A</v>
      </c>
      <c r="AJ68" s="271" t="e">
        <f t="shared" si="2"/>
        <v>#N/A</v>
      </c>
      <c r="AK68" s="272" t="e">
        <f>IF(AJ68&lt;=1,"Insignificante",HLOOKUP(AJ68,[83]Listas!$F$3:$J$4,2,0))</f>
        <v>#N/A</v>
      </c>
      <c r="AL68" s="273" t="e">
        <f t="shared" si="3"/>
        <v>#N/A</v>
      </c>
      <c r="AM68" s="270" t="e">
        <f>INDEX([83]Listas!$F$6:$J$10,MATCH(AI68,[83]Listas!$D$6:$D$10,0),MATCH(AK68,[83]Listas!$F$4:$J$4,0))</f>
        <v>#N/A</v>
      </c>
      <c r="AN68" s="259"/>
      <c r="AO68" s="259"/>
      <c r="AP68" s="610"/>
      <c r="AQ68" s="259"/>
      <c r="AR68" s="259" t="s">
        <v>2343</v>
      </c>
      <c r="AS68" s="608"/>
      <c r="AT68" s="259"/>
      <c r="AU68" s="259"/>
      <c r="AV68" s="261"/>
      <c r="AW68" s="261"/>
      <c r="AX68" s="608"/>
      <c r="AY68" s="262"/>
    </row>
    <row r="69" spans="1:51" s="260" customFormat="1" ht="103.5" hidden="1" customHeight="1">
      <c r="A69" s="608"/>
      <c r="B69" s="266"/>
      <c r="C69" s="1399"/>
      <c r="D69" s="1408"/>
      <c r="E69" s="1400"/>
      <c r="F69" s="267"/>
      <c r="G69" s="1399"/>
      <c r="H69" s="1408"/>
      <c r="I69" s="1400"/>
      <c r="J69" s="1380"/>
      <c r="K69" s="1380"/>
      <c r="L69" s="1380"/>
      <c r="M69" s="608"/>
      <c r="N69" s="608"/>
      <c r="O69" s="608"/>
      <c r="P69" s="608"/>
      <c r="Q69" s="266"/>
      <c r="R69" s="266"/>
      <c r="S69" s="268"/>
      <c r="T69" s="269" t="e">
        <f>VLOOKUP(Q69,[83]Listas!$D$6:$E$10,2,0)</f>
        <v>#N/A</v>
      </c>
      <c r="U69" s="269" t="e">
        <f>HLOOKUP(R69,[83]Listas!$F$4:$J$5,2,0)</f>
        <v>#N/A</v>
      </c>
      <c r="V69" s="270" t="e">
        <f>INDEX([83]Listas!$F$6:$J$10,MATCH(Q69,[83]Listas!$D$6:$D$10,0),MATCH(R69,[83]Listas!$F$4:$J$4,0))</f>
        <v>#N/A</v>
      </c>
      <c r="W69" s="268"/>
      <c r="X69" s="1399"/>
      <c r="Y69" s="1408"/>
      <c r="Z69" s="1400"/>
      <c r="AA69" s="1063"/>
      <c r="AB69" s="267"/>
      <c r="AC69" s="259"/>
      <c r="AD69" s="608"/>
      <c r="AE69" s="267"/>
      <c r="AF69" s="268"/>
      <c r="AG69" s="269">
        <f t="shared" si="0"/>
        <v>0</v>
      </c>
      <c r="AH69" s="271" t="e">
        <f t="shared" si="1"/>
        <v>#N/A</v>
      </c>
      <c r="AI69" s="272" t="e">
        <f>IF(AH69&lt;=1,"Remota",VLOOKUP(AH69,[83]Listas!$C$6:$D$10,2,0))</f>
        <v>#N/A</v>
      </c>
      <c r="AJ69" s="271" t="e">
        <f t="shared" si="2"/>
        <v>#N/A</v>
      </c>
      <c r="AK69" s="272" t="e">
        <f>IF(AJ69&lt;=1,"Insignificante",HLOOKUP(AJ69,[83]Listas!$F$3:$J$4,2,0))</f>
        <v>#N/A</v>
      </c>
      <c r="AL69" s="273" t="e">
        <f t="shared" si="3"/>
        <v>#N/A</v>
      </c>
      <c r="AM69" s="270" t="e">
        <f>INDEX([83]Listas!$F$6:$J$10,MATCH(AI69,[83]Listas!$D$6:$D$10,0),MATCH(AK69,[83]Listas!$F$4:$J$4,0))</f>
        <v>#N/A</v>
      </c>
      <c r="AN69" s="259"/>
      <c r="AO69" s="259"/>
      <c r="AP69" s="610"/>
      <c r="AQ69" s="259"/>
      <c r="AR69" s="259" t="s">
        <v>2343</v>
      </c>
      <c r="AS69" s="608"/>
      <c r="AT69" s="259"/>
      <c r="AU69" s="259"/>
      <c r="AV69" s="261"/>
      <c r="AW69" s="261"/>
      <c r="AX69" s="608"/>
      <c r="AY69" s="262"/>
    </row>
    <row r="70" spans="1:51" s="260" customFormat="1" ht="103.5" hidden="1" customHeight="1">
      <c r="A70" s="608"/>
      <c r="B70" s="266"/>
      <c r="C70" s="1399"/>
      <c r="D70" s="1408"/>
      <c r="E70" s="1400"/>
      <c r="F70" s="267"/>
      <c r="G70" s="1399"/>
      <c r="H70" s="1408"/>
      <c r="I70" s="1400"/>
      <c r="J70" s="1380"/>
      <c r="K70" s="1380"/>
      <c r="L70" s="1380"/>
      <c r="M70" s="608"/>
      <c r="N70" s="608"/>
      <c r="O70" s="608"/>
      <c r="P70" s="608"/>
      <c r="Q70" s="266"/>
      <c r="R70" s="266"/>
      <c r="S70" s="268"/>
      <c r="T70" s="269" t="e">
        <f>VLOOKUP(Q70,[83]Listas!$D$6:$E$10,2,0)</f>
        <v>#N/A</v>
      </c>
      <c r="U70" s="269" t="e">
        <f>HLOOKUP(R70,[83]Listas!$F$4:$J$5,2,0)</f>
        <v>#N/A</v>
      </c>
      <c r="V70" s="270" t="e">
        <f>INDEX([83]Listas!$F$6:$J$10,MATCH(Q70,[83]Listas!$D$6:$D$10,0),MATCH(R70,[83]Listas!$F$4:$J$4,0))</f>
        <v>#N/A</v>
      </c>
      <c r="W70" s="268"/>
      <c r="X70" s="1399"/>
      <c r="Y70" s="1408"/>
      <c r="Z70" s="1400"/>
      <c r="AA70" s="1063"/>
      <c r="AB70" s="267"/>
      <c r="AC70" s="259"/>
      <c r="AD70" s="608"/>
      <c r="AE70" s="267"/>
      <c r="AF70" s="268"/>
      <c r="AG70" s="269">
        <f t="shared" si="0"/>
        <v>0</v>
      </c>
      <c r="AH70" s="271" t="e">
        <f t="shared" si="1"/>
        <v>#N/A</v>
      </c>
      <c r="AI70" s="272" t="e">
        <f>IF(AH70&lt;=1,"Remota",VLOOKUP(AH70,[83]Listas!$C$6:$D$10,2,0))</f>
        <v>#N/A</v>
      </c>
      <c r="AJ70" s="271" t="e">
        <f t="shared" si="2"/>
        <v>#N/A</v>
      </c>
      <c r="AK70" s="272" t="e">
        <f>IF(AJ70&lt;=1,"Insignificante",HLOOKUP(AJ70,[83]Listas!$F$3:$J$4,2,0))</f>
        <v>#N/A</v>
      </c>
      <c r="AL70" s="273" t="e">
        <f t="shared" si="3"/>
        <v>#N/A</v>
      </c>
      <c r="AM70" s="270" t="e">
        <f>INDEX([83]Listas!$F$6:$J$10,MATCH(AI70,[83]Listas!$D$6:$D$10,0),MATCH(AK70,[83]Listas!$F$4:$J$4,0))</f>
        <v>#N/A</v>
      </c>
      <c r="AN70" s="259"/>
      <c r="AO70" s="259"/>
      <c r="AP70" s="610"/>
      <c r="AQ70" s="259"/>
      <c r="AR70" s="259" t="s">
        <v>2343</v>
      </c>
      <c r="AS70" s="608"/>
      <c r="AT70" s="259"/>
      <c r="AU70" s="259"/>
      <c r="AV70" s="261"/>
      <c r="AW70" s="261"/>
      <c r="AX70" s="608"/>
      <c r="AY70" s="262"/>
    </row>
    <row r="71" spans="1:51" s="260" customFormat="1" ht="103.5" hidden="1" customHeight="1">
      <c r="A71" s="608"/>
      <c r="B71" s="266"/>
      <c r="C71" s="1399"/>
      <c r="D71" s="1408"/>
      <c r="E71" s="1400"/>
      <c r="F71" s="267"/>
      <c r="G71" s="1399"/>
      <c r="H71" s="1408"/>
      <c r="I71" s="1400"/>
      <c r="J71" s="1380"/>
      <c r="K71" s="1380"/>
      <c r="L71" s="1380"/>
      <c r="M71" s="608"/>
      <c r="N71" s="608"/>
      <c r="O71" s="608"/>
      <c r="P71" s="608"/>
      <c r="Q71" s="266"/>
      <c r="R71" s="266"/>
      <c r="S71" s="268"/>
      <c r="T71" s="269" t="e">
        <f>VLOOKUP(Q71,[83]Listas!$D$6:$E$10,2,0)</f>
        <v>#N/A</v>
      </c>
      <c r="U71" s="269" t="e">
        <f>HLOOKUP(R71,[83]Listas!$F$4:$J$5,2,0)</f>
        <v>#N/A</v>
      </c>
      <c r="V71" s="270" t="e">
        <f>INDEX([83]Listas!$F$6:$J$10,MATCH(Q71,[83]Listas!$D$6:$D$10,0),MATCH(R71,[83]Listas!$F$4:$J$4,0))</f>
        <v>#N/A</v>
      </c>
      <c r="W71" s="268"/>
      <c r="X71" s="1399"/>
      <c r="Y71" s="1408"/>
      <c r="Z71" s="1400"/>
      <c r="AA71" s="1063"/>
      <c r="AB71" s="267"/>
      <c r="AC71" s="259"/>
      <c r="AD71" s="608"/>
      <c r="AE71" s="267"/>
      <c r="AF71" s="268"/>
      <c r="AG71" s="269">
        <f t="shared" si="0"/>
        <v>0</v>
      </c>
      <c r="AH71" s="271" t="e">
        <f t="shared" si="1"/>
        <v>#N/A</v>
      </c>
      <c r="AI71" s="272" t="e">
        <f>IF(AH71&lt;=1,"Remota",VLOOKUP(AH71,[83]Listas!$C$6:$D$10,2,0))</f>
        <v>#N/A</v>
      </c>
      <c r="AJ71" s="271" t="e">
        <f t="shared" si="2"/>
        <v>#N/A</v>
      </c>
      <c r="AK71" s="272" t="e">
        <f>IF(AJ71&lt;=1,"Insignificante",HLOOKUP(AJ71,[83]Listas!$F$3:$J$4,2,0))</f>
        <v>#N/A</v>
      </c>
      <c r="AL71" s="273" t="e">
        <f t="shared" si="3"/>
        <v>#N/A</v>
      </c>
      <c r="AM71" s="270" t="e">
        <f>INDEX([83]Listas!$F$6:$J$10,MATCH(AI71,[83]Listas!$D$6:$D$10,0),MATCH(AK71,[83]Listas!$F$4:$J$4,0))</f>
        <v>#N/A</v>
      </c>
      <c r="AN71" s="259"/>
      <c r="AO71" s="259"/>
      <c r="AP71" s="610"/>
      <c r="AQ71" s="259"/>
      <c r="AR71" s="259" t="s">
        <v>2343</v>
      </c>
      <c r="AS71" s="608"/>
      <c r="AT71" s="259"/>
      <c r="AU71" s="259"/>
      <c r="AV71" s="261"/>
      <c r="AW71" s="261"/>
      <c r="AX71" s="608"/>
      <c r="AY71" s="262"/>
    </row>
    <row r="72" spans="1:51" s="260" customFormat="1" ht="103.5" hidden="1" customHeight="1">
      <c r="A72" s="608"/>
      <c r="B72" s="266"/>
      <c r="C72" s="1399"/>
      <c r="D72" s="1408"/>
      <c r="E72" s="1400"/>
      <c r="F72" s="267"/>
      <c r="G72" s="1399"/>
      <c r="H72" s="1408"/>
      <c r="I72" s="1400"/>
      <c r="J72" s="1380"/>
      <c r="K72" s="1380"/>
      <c r="L72" s="1380"/>
      <c r="M72" s="608"/>
      <c r="N72" s="608"/>
      <c r="O72" s="608"/>
      <c r="P72" s="608"/>
      <c r="Q72" s="266"/>
      <c r="R72" s="266"/>
      <c r="S72" s="268"/>
      <c r="T72" s="269" t="e">
        <f>VLOOKUP(Q72,[83]Listas!$D$6:$E$10,2,0)</f>
        <v>#N/A</v>
      </c>
      <c r="U72" s="269" t="e">
        <f>HLOOKUP(R72,[83]Listas!$F$4:$J$5,2,0)</f>
        <v>#N/A</v>
      </c>
      <c r="V72" s="270" t="e">
        <f>INDEX([83]Listas!$F$6:$J$10,MATCH(Q72,[83]Listas!$D$6:$D$10,0),MATCH(R72,[83]Listas!$F$4:$J$4,0))</f>
        <v>#N/A</v>
      </c>
      <c r="W72" s="268"/>
      <c r="X72" s="1399"/>
      <c r="Y72" s="1408"/>
      <c r="Z72" s="1400"/>
      <c r="AA72" s="1063"/>
      <c r="AB72" s="267"/>
      <c r="AC72" s="259"/>
      <c r="AD72" s="608"/>
      <c r="AE72" s="267"/>
      <c r="AF72" s="268"/>
      <c r="AG72" s="269">
        <f t="shared" si="0"/>
        <v>0</v>
      </c>
      <c r="AH72" s="271" t="e">
        <f t="shared" si="1"/>
        <v>#N/A</v>
      </c>
      <c r="AI72" s="272" t="e">
        <f>IF(AH72&lt;=1,"Remota",VLOOKUP(AH72,[83]Listas!$C$6:$D$10,2,0))</f>
        <v>#N/A</v>
      </c>
      <c r="AJ72" s="271" t="e">
        <f t="shared" si="2"/>
        <v>#N/A</v>
      </c>
      <c r="AK72" s="272" t="e">
        <f>IF(AJ72&lt;=1,"Insignificante",HLOOKUP(AJ72,[83]Listas!$F$3:$J$4,2,0))</f>
        <v>#N/A</v>
      </c>
      <c r="AL72" s="273" t="e">
        <f t="shared" si="3"/>
        <v>#N/A</v>
      </c>
      <c r="AM72" s="270" t="e">
        <f>INDEX([83]Listas!$F$6:$J$10,MATCH(AI72,[83]Listas!$D$6:$D$10,0),MATCH(AK72,[83]Listas!$F$4:$J$4,0))</f>
        <v>#N/A</v>
      </c>
      <c r="AN72" s="259"/>
      <c r="AO72" s="259"/>
      <c r="AP72" s="610"/>
      <c r="AQ72" s="259"/>
      <c r="AR72" s="259" t="s">
        <v>2343</v>
      </c>
      <c r="AS72" s="608"/>
      <c r="AT72" s="259"/>
      <c r="AU72" s="259"/>
      <c r="AV72" s="261"/>
      <c r="AW72" s="261"/>
      <c r="AX72" s="608"/>
      <c r="AY72" s="262"/>
    </row>
    <row r="73" spans="1:51" s="260" customFormat="1" ht="103.5" hidden="1" customHeight="1">
      <c r="A73" s="608"/>
      <c r="B73" s="266"/>
      <c r="C73" s="1399"/>
      <c r="D73" s="1408"/>
      <c r="E73" s="1400"/>
      <c r="F73" s="267"/>
      <c r="G73" s="1399"/>
      <c r="H73" s="1408"/>
      <c r="I73" s="1400"/>
      <c r="J73" s="1380"/>
      <c r="K73" s="1380"/>
      <c r="L73" s="1380"/>
      <c r="M73" s="608"/>
      <c r="N73" s="608"/>
      <c r="O73" s="608"/>
      <c r="P73" s="608"/>
      <c r="Q73" s="266"/>
      <c r="R73" s="266"/>
      <c r="S73" s="268"/>
      <c r="T73" s="269" t="e">
        <f>VLOOKUP(Q73,[83]Listas!$D$6:$E$10,2,0)</f>
        <v>#N/A</v>
      </c>
      <c r="U73" s="269" t="e">
        <f>HLOOKUP(R73,[83]Listas!$F$4:$J$5,2,0)</f>
        <v>#N/A</v>
      </c>
      <c r="V73" s="270" t="e">
        <f>INDEX([83]Listas!$F$6:$J$10,MATCH(Q73,[83]Listas!$D$6:$D$10,0),MATCH(R73,[83]Listas!$F$4:$J$4,0))</f>
        <v>#N/A</v>
      </c>
      <c r="W73" s="268"/>
      <c r="X73" s="1399"/>
      <c r="Y73" s="1408"/>
      <c r="Z73" s="1400"/>
      <c r="AA73" s="1063"/>
      <c r="AB73" s="267"/>
      <c r="AC73" s="259"/>
      <c r="AD73" s="608"/>
      <c r="AE73" s="267"/>
      <c r="AF73" s="268"/>
      <c r="AG73" s="269">
        <f t="shared" ref="AG73:AG87" si="4">IF(AD73&lt;=33,0,IF(AD73&gt;81,2,1))</f>
        <v>0</v>
      </c>
      <c r="AH73" s="271" t="e">
        <f t="shared" ref="AH73:AH87" si="5">IF(OR(AE73="Probabilidad",AE73="Ambos"),T73-AG73,T73)</f>
        <v>#N/A</v>
      </c>
      <c r="AI73" s="272" t="e">
        <f>IF(AH73&lt;=1,"Remota",VLOOKUP(AH73,[83]Listas!$C$6:$D$10,2,0))</f>
        <v>#N/A</v>
      </c>
      <c r="AJ73" s="271" t="e">
        <f t="shared" ref="AJ73:AJ87" si="6">IF(OR(AE73="Impacto",AE73="Ambos"),U73-AG73,U73)</f>
        <v>#N/A</v>
      </c>
      <c r="AK73" s="272" t="e">
        <f>IF(AJ73&lt;=1,"Insignificante",HLOOKUP(AJ73,[83]Listas!$F$3:$J$4,2,0))</f>
        <v>#N/A</v>
      </c>
      <c r="AL73" s="273" t="e">
        <f t="shared" ref="AL73:AL87" si="7">AH73*AJ73</f>
        <v>#N/A</v>
      </c>
      <c r="AM73" s="270" t="e">
        <f>INDEX([83]Listas!$F$6:$J$10,MATCH(AI73,[83]Listas!$D$6:$D$10,0),MATCH(AK73,[83]Listas!$F$4:$J$4,0))</f>
        <v>#N/A</v>
      </c>
      <c r="AN73" s="259"/>
      <c r="AO73" s="259"/>
      <c r="AP73" s="610"/>
      <c r="AQ73" s="259"/>
      <c r="AR73" s="259" t="s">
        <v>2343</v>
      </c>
      <c r="AS73" s="608"/>
      <c r="AT73" s="259"/>
      <c r="AU73" s="259"/>
      <c r="AV73" s="261"/>
      <c r="AW73" s="261"/>
      <c r="AX73" s="608"/>
      <c r="AY73" s="262"/>
    </row>
    <row r="74" spans="1:51" s="260" customFormat="1" ht="103.5" hidden="1" customHeight="1">
      <c r="A74" s="608"/>
      <c r="B74" s="266"/>
      <c r="C74" s="1399"/>
      <c r="D74" s="1408"/>
      <c r="E74" s="1400"/>
      <c r="F74" s="267"/>
      <c r="G74" s="1399"/>
      <c r="H74" s="1408"/>
      <c r="I74" s="1400"/>
      <c r="J74" s="1380"/>
      <c r="K74" s="1380"/>
      <c r="L74" s="1380"/>
      <c r="M74" s="608"/>
      <c r="N74" s="608"/>
      <c r="O74" s="608"/>
      <c r="P74" s="608"/>
      <c r="Q74" s="266"/>
      <c r="R74" s="266"/>
      <c r="S74" s="268"/>
      <c r="T74" s="269" t="e">
        <f>VLOOKUP(Q74,[83]Listas!$D$6:$E$10,2,0)</f>
        <v>#N/A</v>
      </c>
      <c r="U74" s="269" t="e">
        <f>HLOOKUP(R74,[83]Listas!$F$4:$J$5,2,0)</f>
        <v>#N/A</v>
      </c>
      <c r="V74" s="270" t="e">
        <f>INDEX([83]Listas!$F$6:$J$10,MATCH(Q74,[83]Listas!$D$6:$D$10,0),MATCH(R74,[83]Listas!$F$4:$J$4,0))</f>
        <v>#N/A</v>
      </c>
      <c r="W74" s="268"/>
      <c r="X74" s="1399"/>
      <c r="Y74" s="1408"/>
      <c r="Z74" s="1400"/>
      <c r="AA74" s="1063"/>
      <c r="AB74" s="267"/>
      <c r="AC74" s="259"/>
      <c r="AD74" s="608"/>
      <c r="AE74" s="267"/>
      <c r="AF74" s="268"/>
      <c r="AG74" s="269">
        <f t="shared" si="4"/>
        <v>0</v>
      </c>
      <c r="AH74" s="271" t="e">
        <f t="shared" si="5"/>
        <v>#N/A</v>
      </c>
      <c r="AI74" s="272" t="e">
        <f>IF(AH74&lt;=1,"Remota",VLOOKUP(AH74,[83]Listas!$C$6:$D$10,2,0))</f>
        <v>#N/A</v>
      </c>
      <c r="AJ74" s="271" t="e">
        <f t="shared" si="6"/>
        <v>#N/A</v>
      </c>
      <c r="AK74" s="272" t="e">
        <f>IF(AJ74&lt;=1,"Insignificante",HLOOKUP(AJ74,[83]Listas!$F$3:$J$4,2,0))</f>
        <v>#N/A</v>
      </c>
      <c r="AL74" s="273" t="e">
        <f t="shared" si="7"/>
        <v>#N/A</v>
      </c>
      <c r="AM74" s="270" t="e">
        <f>INDEX([83]Listas!$F$6:$J$10,MATCH(AI74,[83]Listas!$D$6:$D$10,0),MATCH(AK74,[83]Listas!$F$4:$J$4,0))</f>
        <v>#N/A</v>
      </c>
      <c r="AN74" s="259"/>
      <c r="AO74" s="259"/>
      <c r="AP74" s="610"/>
      <c r="AQ74" s="259"/>
      <c r="AR74" s="259" t="s">
        <v>2343</v>
      </c>
      <c r="AS74" s="608"/>
      <c r="AT74" s="259"/>
      <c r="AU74" s="259"/>
      <c r="AV74" s="261"/>
      <c r="AW74" s="261"/>
      <c r="AX74" s="608"/>
      <c r="AY74" s="262"/>
    </row>
    <row r="75" spans="1:51" s="260" customFormat="1" ht="103.5" hidden="1" customHeight="1">
      <c r="A75" s="608"/>
      <c r="B75" s="266"/>
      <c r="C75" s="1399"/>
      <c r="D75" s="1408"/>
      <c r="E75" s="1400"/>
      <c r="F75" s="267"/>
      <c r="G75" s="1399"/>
      <c r="H75" s="1408"/>
      <c r="I75" s="1400"/>
      <c r="J75" s="1380"/>
      <c r="K75" s="1380"/>
      <c r="L75" s="1380"/>
      <c r="M75" s="608"/>
      <c r="N75" s="608"/>
      <c r="O75" s="608"/>
      <c r="P75" s="608"/>
      <c r="Q75" s="266"/>
      <c r="R75" s="266"/>
      <c r="S75" s="268"/>
      <c r="T75" s="269" t="e">
        <f>VLOOKUP(Q75,[83]Listas!$D$6:$E$10,2,0)</f>
        <v>#N/A</v>
      </c>
      <c r="U75" s="269" t="e">
        <f>HLOOKUP(R75,[83]Listas!$F$4:$J$5,2,0)</f>
        <v>#N/A</v>
      </c>
      <c r="V75" s="270" t="e">
        <f>INDEX([83]Listas!$F$6:$J$10,MATCH(Q75,[83]Listas!$D$6:$D$10,0),MATCH(R75,[83]Listas!$F$4:$J$4,0))</f>
        <v>#N/A</v>
      </c>
      <c r="W75" s="268"/>
      <c r="X75" s="1399"/>
      <c r="Y75" s="1408"/>
      <c r="Z75" s="1400"/>
      <c r="AA75" s="1063"/>
      <c r="AB75" s="267"/>
      <c r="AC75" s="259"/>
      <c r="AD75" s="608"/>
      <c r="AE75" s="267"/>
      <c r="AF75" s="268"/>
      <c r="AG75" s="269">
        <f t="shared" si="4"/>
        <v>0</v>
      </c>
      <c r="AH75" s="271" t="e">
        <f t="shared" si="5"/>
        <v>#N/A</v>
      </c>
      <c r="AI75" s="272" t="e">
        <f>IF(AH75&lt;=1,"Remota",VLOOKUP(AH75,[83]Listas!$C$6:$D$10,2,0))</f>
        <v>#N/A</v>
      </c>
      <c r="AJ75" s="271" t="e">
        <f t="shared" si="6"/>
        <v>#N/A</v>
      </c>
      <c r="AK75" s="272" t="e">
        <f>IF(AJ75&lt;=1,"Insignificante",HLOOKUP(AJ75,[83]Listas!$F$3:$J$4,2,0))</f>
        <v>#N/A</v>
      </c>
      <c r="AL75" s="273" t="e">
        <f t="shared" si="7"/>
        <v>#N/A</v>
      </c>
      <c r="AM75" s="270" t="e">
        <f>INDEX([83]Listas!$F$6:$J$10,MATCH(AI75,[83]Listas!$D$6:$D$10,0),MATCH(AK75,[83]Listas!$F$4:$J$4,0))</f>
        <v>#N/A</v>
      </c>
      <c r="AN75" s="259"/>
      <c r="AO75" s="259"/>
      <c r="AP75" s="610"/>
      <c r="AQ75" s="259"/>
      <c r="AR75" s="259" t="s">
        <v>2343</v>
      </c>
      <c r="AS75" s="608"/>
      <c r="AT75" s="259"/>
      <c r="AU75" s="259"/>
      <c r="AV75" s="261"/>
      <c r="AW75" s="261"/>
      <c r="AX75" s="608"/>
      <c r="AY75" s="262"/>
    </row>
    <row r="76" spans="1:51" s="260" customFormat="1" ht="103.5" hidden="1" customHeight="1">
      <c r="A76" s="608"/>
      <c r="B76" s="266"/>
      <c r="C76" s="1399"/>
      <c r="D76" s="1408"/>
      <c r="E76" s="1400"/>
      <c r="F76" s="267"/>
      <c r="G76" s="1399"/>
      <c r="H76" s="1408"/>
      <c r="I76" s="1400"/>
      <c r="J76" s="1380"/>
      <c r="K76" s="1380"/>
      <c r="L76" s="1380"/>
      <c r="M76" s="608"/>
      <c r="N76" s="608"/>
      <c r="O76" s="608"/>
      <c r="P76" s="608"/>
      <c r="Q76" s="266"/>
      <c r="R76" s="266"/>
      <c r="S76" s="268"/>
      <c r="T76" s="269" t="e">
        <f>VLOOKUP(Q76,[83]Listas!$D$6:$E$10,2,0)</f>
        <v>#N/A</v>
      </c>
      <c r="U76" s="269" t="e">
        <f>HLOOKUP(R76,[83]Listas!$F$4:$J$5,2,0)</f>
        <v>#N/A</v>
      </c>
      <c r="V76" s="270" t="e">
        <f>INDEX([83]Listas!$F$6:$J$10,MATCH(Q76,[83]Listas!$D$6:$D$10,0),MATCH(R76,[83]Listas!$F$4:$J$4,0))</f>
        <v>#N/A</v>
      </c>
      <c r="W76" s="268"/>
      <c r="X76" s="1399"/>
      <c r="Y76" s="1408"/>
      <c r="Z76" s="1400"/>
      <c r="AA76" s="1063"/>
      <c r="AB76" s="267"/>
      <c r="AC76" s="259"/>
      <c r="AD76" s="608"/>
      <c r="AE76" s="267"/>
      <c r="AF76" s="268"/>
      <c r="AG76" s="269">
        <f t="shared" si="4"/>
        <v>0</v>
      </c>
      <c r="AH76" s="271" t="e">
        <f t="shared" si="5"/>
        <v>#N/A</v>
      </c>
      <c r="AI76" s="272" t="e">
        <f>IF(AH76&lt;=1,"Remota",VLOOKUP(AH76,[83]Listas!$C$6:$D$10,2,0))</f>
        <v>#N/A</v>
      </c>
      <c r="AJ76" s="271" t="e">
        <f t="shared" si="6"/>
        <v>#N/A</v>
      </c>
      <c r="AK76" s="272" t="e">
        <f>IF(AJ76&lt;=1,"Insignificante",HLOOKUP(AJ76,[83]Listas!$F$3:$J$4,2,0))</f>
        <v>#N/A</v>
      </c>
      <c r="AL76" s="273" t="e">
        <f t="shared" si="7"/>
        <v>#N/A</v>
      </c>
      <c r="AM76" s="270" t="e">
        <f>INDEX([83]Listas!$F$6:$J$10,MATCH(AI76,[83]Listas!$D$6:$D$10,0),MATCH(AK76,[83]Listas!$F$4:$J$4,0))</f>
        <v>#N/A</v>
      </c>
      <c r="AN76" s="259"/>
      <c r="AO76" s="259"/>
      <c r="AP76" s="610"/>
      <c r="AQ76" s="259"/>
      <c r="AR76" s="259" t="s">
        <v>2343</v>
      </c>
      <c r="AS76" s="608"/>
      <c r="AT76" s="259"/>
      <c r="AU76" s="259"/>
      <c r="AV76" s="261"/>
      <c r="AW76" s="261"/>
      <c r="AX76" s="608"/>
      <c r="AY76" s="262"/>
    </row>
    <row r="77" spans="1:51" s="260" customFormat="1" ht="103.5" hidden="1" customHeight="1">
      <c r="A77" s="608"/>
      <c r="B77" s="266"/>
      <c r="C77" s="1399"/>
      <c r="D77" s="1408"/>
      <c r="E77" s="1400"/>
      <c r="F77" s="267"/>
      <c r="G77" s="1399"/>
      <c r="H77" s="1408"/>
      <c r="I77" s="1400"/>
      <c r="J77" s="1380"/>
      <c r="K77" s="1380"/>
      <c r="L77" s="1380"/>
      <c r="M77" s="608"/>
      <c r="N77" s="608"/>
      <c r="O77" s="608"/>
      <c r="P77" s="608"/>
      <c r="Q77" s="266"/>
      <c r="R77" s="266"/>
      <c r="S77" s="268"/>
      <c r="T77" s="269" t="e">
        <f>VLOOKUP(Q77,[83]Listas!$D$6:$E$10,2,0)</f>
        <v>#N/A</v>
      </c>
      <c r="U77" s="269" t="e">
        <f>HLOOKUP(R77,[83]Listas!$F$4:$J$5,2,0)</f>
        <v>#N/A</v>
      </c>
      <c r="V77" s="270" t="e">
        <f>INDEX([83]Listas!$F$6:$J$10,MATCH(Q77,[83]Listas!$D$6:$D$10,0),MATCH(R77,[83]Listas!$F$4:$J$4,0))</f>
        <v>#N/A</v>
      </c>
      <c r="W77" s="268"/>
      <c r="X77" s="1399"/>
      <c r="Y77" s="1408"/>
      <c r="Z77" s="1400"/>
      <c r="AA77" s="1063"/>
      <c r="AB77" s="267"/>
      <c r="AC77" s="259"/>
      <c r="AD77" s="608"/>
      <c r="AE77" s="267"/>
      <c r="AF77" s="268"/>
      <c r="AG77" s="269">
        <f t="shared" si="4"/>
        <v>0</v>
      </c>
      <c r="AH77" s="271" t="e">
        <f t="shared" si="5"/>
        <v>#N/A</v>
      </c>
      <c r="AI77" s="272" t="e">
        <f>IF(AH77&lt;=1,"Remota",VLOOKUP(AH77,[83]Listas!$C$6:$D$10,2,0))</f>
        <v>#N/A</v>
      </c>
      <c r="AJ77" s="271" t="e">
        <f t="shared" si="6"/>
        <v>#N/A</v>
      </c>
      <c r="AK77" s="272" t="e">
        <f>IF(AJ77&lt;=1,"Insignificante",HLOOKUP(AJ77,[83]Listas!$F$3:$J$4,2,0))</f>
        <v>#N/A</v>
      </c>
      <c r="AL77" s="273" t="e">
        <f t="shared" si="7"/>
        <v>#N/A</v>
      </c>
      <c r="AM77" s="270" t="e">
        <f>INDEX([83]Listas!$F$6:$J$10,MATCH(AI77,[83]Listas!$D$6:$D$10,0),MATCH(AK77,[83]Listas!$F$4:$J$4,0))</f>
        <v>#N/A</v>
      </c>
      <c r="AN77" s="259"/>
      <c r="AO77" s="259"/>
      <c r="AP77" s="610"/>
      <c r="AQ77" s="259"/>
      <c r="AR77" s="259" t="s">
        <v>2343</v>
      </c>
      <c r="AS77" s="608"/>
      <c r="AT77" s="259"/>
      <c r="AU77" s="259"/>
      <c r="AV77" s="261"/>
      <c r="AW77" s="261"/>
      <c r="AX77" s="608"/>
      <c r="AY77" s="262"/>
    </row>
    <row r="78" spans="1:51" s="260" customFormat="1" ht="103.5" hidden="1" customHeight="1">
      <c r="A78" s="608"/>
      <c r="B78" s="266"/>
      <c r="C78" s="1399"/>
      <c r="D78" s="1408"/>
      <c r="E78" s="1400"/>
      <c r="F78" s="267"/>
      <c r="G78" s="1399"/>
      <c r="H78" s="1408"/>
      <c r="I78" s="1400"/>
      <c r="J78" s="1380"/>
      <c r="K78" s="1380"/>
      <c r="L78" s="1380"/>
      <c r="M78" s="608"/>
      <c r="N78" s="608"/>
      <c r="O78" s="608"/>
      <c r="P78" s="608"/>
      <c r="Q78" s="266"/>
      <c r="R78" s="266"/>
      <c r="S78" s="268"/>
      <c r="T78" s="269" t="e">
        <f>VLOOKUP(Q78,[83]Listas!$D$6:$E$10,2,0)</f>
        <v>#N/A</v>
      </c>
      <c r="U78" s="269" t="e">
        <f>HLOOKUP(R78,[83]Listas!$F$4:$J$5,2,0)</f>
        <v>#N/A</v>
      </c>
      <c r="V78" s="270" t="e">
        <f>INDEX([83]Listas!$F$6:$J$10,MATCH(Q78,[83]Listas!$D$6:$D$10,0),MATCH(R78,[83]Listas!$F$4:$J$4,0))</f>
        <v>#N/A</v>
      </c>
      <c r="W78" s="268"/>
      <c r="X78" s="1399"/>
      <c r="Y78" s="1408"/>
      <c r="Z78" s="1400"/>
      <c r="AA78" s="1063"/>
      <c r="AB78" s="267"/>
      <c r="AC78" s="259"/>
      <c r="AD78" s="608"/>
      <c r="AE78" s="267"/>
      <c r="AF78" s="268"/>
      <c r="AG78" s="269">
        <f t="shared" si="4"/>
        <v>0</v>
      </c>
      <c r="AH78" s="271" t="e">
        <f t="shared" si="5"/>
        <v>#N/A</v>
      </c>
      <c r="AI78" s="272" t="e">
        <f>IF(AH78&lt;=1,"Remota",VLOOKUP(AH78,[83]Listas!$C$6:$D$10,2,0))</f>
        <v>#N/A</v>
      </c>
      <c r="AJ78" s="271" t="e">
        <f t="shared" si="6"/>
        <v>#N/A</v>
      </c>
      <c r="AK78" s="272" t="e">
        <f>IF(AJ78&lt;=1,"Insignificante",HLOOKUP(AJ78,[83]Listas!$F$3:$J$4,2,0))</f>
        <v>#N/A</v>
      </c>
      <c r="AL78" s="273" t="e">
        <f t="shared" si="7"/>
        <v>#N/A</v>
      </c>
      <c r="AM78" s="270" t="e">
        <f>INDEX([83]Listas!$F$6:$J$10,MATCH(AI78,[83]Listas!$D$6:$D$10,0),MATCH(AK78,[83]Listas!$F$4:$J$4,0))</f>
        <v>#N/A</v>
      </c>
      <c r="AN78" s="259"/>
      <c r="AO78" s="259"/>
      <c r="AP78" s="610"/>
      <c r="AQ78" s="259"/>
      <c r="AR78" s="259" t="s">
        <v>2343</v>
      </c>
      <c r="AS78" s="608"/>
      <c r="AT78" s="259"/>
      <c r="AU78" s="259"/>
      <c r="AV78" s="261"/>
      <c r="AW78" s="261"/>
      <c r="AX78" s="608"/>
      <c r="AY78" s="262"/>
    </row>
    <row r="79" spans="1:51" s="260" customFormat="1" ht="103.5" hidden="1" customHeight="1">
      <c r="A79" s="608"/>
      <c r="B79" s="266"/>
      <c r="C79" s="1399"/>
      <c r="D79" s="1408"/>
      <c r="E79" s="1400"/>
      <c r="F79" s="267"/>
      <c r="G79" s="1399"/>
      <c r="H79" s="1408"/>
      <c r="I79" s="1400"/>
      <c r="J79" s="1380"/>
      <c r="K79" s="1380"/>
      <c r="L79" s="1380"/>
      <c r="M79" s="608"/>
      <c r="N79" s="608"/>
      <c r="O79" s="608"/>
      <c r="P79" s="608"/>
      <c r="Q79" s="266"/>
      <c r="R79" s="266"/>
      <c r="S79" s="268"/>
      <c r="T79" s="269" t="e">
        <f>VLOOKUP(Q79,[83]Listas!$D$6:$E$10,2,0)</f>
        <v>#N/A</v>
      </c>
      <c r="U79" s="269" t="e">
        <f>HLOOKUP(R79,[83]Listas!$F$4:$J$5,2,0)</f>
        <v>#N/A</v>
      </c>
      <c r="V79" s="270" t="e">
        <f>INDEX([83]Listas!$F$6:$J$10,MATCH(Q79,[83]Listas!$D$6:$D$10,0),MATCH(R79,[83]Listas!$F$4:$J$4,0))</f>
        <v>#N/A</v>
      </c>
      <c r="W79" s="268"/>
      <c r="X79" s="1399"/>
      <c r="Y79" s="1408"/>
      <c r="Z79" s="1400"/>
      <c r="AA79" s="1063"/>
      <c r="AB79" s="267"/>
      <c r="AC79" s="259"/>
      <c r="AD79" s="608"/>
      <c r="AE79" s="267"/>
      <c r="AF79" s="268"/>
      <c r="AG79" s="269">
        <f t="shared" si="4"/>
        <v>0</v>
      </c>
      <c r="AH79" s="271" t="e">
        <f t="shared" si="5"/>
        <v>#N/A</v>
      </c>
      <c r="AI79" s="272" t="e">
        <f>IF(AH79&lt;=1,"Remota",VLOOKUP(AH79,[83]Listas!$C$6:$D$10,2,0))</f>
        <v>#N/A</v>
      </c>
      <c r="AJ79" s="271" t="e">
        <f t="shared" si="6"/>
        <v>#N/A</v>
      </c>
      <c r="AK79" s="272" t="e">
        <f>IF(AJ79&lt;=1,"Insignificante",HLOOKUP(AJ79,[83]Listas!$F$3:$J$4,2,0))</f>
        <v>#N/A</v>
      </c>
      <c r="AL79" s="273" t="e">
        <f t="shared" si="7"/>
        <v>#N/A</v>
      </c>
      <c r="AM79" s="270" t="e">
        <f>INDEX([83]Listas!$F$6:$J$10,MATCH(AI79,[83]Listas!$D$6:$D$10,0),MATCH(AK79,[83]Listas!$F$4:$J$4,0))</f>
        <v>#N/A</v>
      </c>
      <c r="AN79" s="259"/>
      <c r="AO79" s="259"/>
      <c r="AP79" s="610"/>
      <c r="AQ79" s="259"/>
      <c r="AR79" s="259" t="s">
        <v>2343</v>
      </c>
      <c r="AS79" s="608"/>
      <c r="AT79" s="259"/>
      <c r="AU79" s="259"/>
      <c r="AV79" s="261"/>
      <c r="AW79" s="261"/>
      <c r="AX79" s="608"/>
      <c r="AY79" s="262"/>
    </row>
    <row r="80" spans="1:51" s="260" customFormat="1" ht="103.5" hidden="1" customHeight="1">
      <c r="A80" s="608"/>
      <c r="B80" s="266"/>
      <c r="C80" s="1399"/>
      <c r="D80" s="1408"/>
      <c r="E80" s="1400"/>
      <c r="F80" s="267"/>
      <c r="G80" s="1399"/>
      <c r="H80" s="1408"/>
      <c r="I80" s="1400"/>
      <c r="J80" s="1380"/>
      <c r="K80" s="1380"/>
      <c r="L80" s="1380"/>
      <c r="M80" s="608"/>
      <c r="N80" s="608"/>
      <c r="O80" s="608"/>
      <c r="P80" s="608"/>
      <c r="Q80" s="266"/>
      <c r="R80" s="266"/>
      <c r="S80" s="268"/>
      <c r="T80" s="269" t="e">
        <f>VLOOKUP(Q80,[83]Listas!$D$6:$E$10,2,0)</f>
        <v>#N/A</v>
      </c>
      <c r="U80" s="269" t="e">
        <f>HLOOKUP(R80,[83]Listas!$F$4:$J$5,2,0)</f>
        <v>#N/A</v>
      </c>
      <c r="V80" s="270" t="e">
        <f>INDEX([83]Listas!$F$6:$J$10,MATCH(Q80,[83]Listas!$D$6:$D$10,0),MATCH(R80,[83]Listas!$F$4:$J$4,0))</f>
        <v>#N/A</v>
      </c>
      <c r="W80" s="268"/>
      <c r="X80" s="1399"/>
      <c r="Y80" s="1408"/>
      <c r="Z80" s="1400"/>
      <c r="AA80" s="1063"/>
      <c r="AB80" s="267"/>
      <c r="AC80" s="259"/>
      <c r="AD80" s="608"/>
      <c r="AE80" s="267"/>
      <c r="AF80" s="268"/>
      <c r="AG80" s="269">
        <f t="shared" si="4"/>
        <v>0</v>
      </c>
      <c r="AH80" s="271" t="e">
        <f t="shared" si="5"/>
        <v>#N/A</v>
      </c>
      <c r="AI80" s="272" t="e">
        <f>IF(AH80&lt;=1,"Remota",VLOOKUP(AH80,[83]Listas!$C$6:$D$10,2,0))</f>
        <v>#N/A</v>
      </c>
      <c r="AJ80" s="271" t="e">
        <f t="shared" si="6"/>
        <v>#N/A</v>
      </c>
      <c r="AK80" s="272" t="e">
        <f>IF(AJ80&lt;=1,"Insignificante",HLOOKUP(AJ80,[83]Listas!$F$3:$J$4,2,0))</f>
        <v>#N/A</v>
      </c>
      <c r="AL80" s="273" t="e">
        <f t="shared" si="7"/>
        <v>#N/A</v>
      </c>
      <c r="AM80" s="270" t="e">
        <f>INDEX([83]Listas!$F$6:$J$10,MATCH(AI80,[83]Listas!$D$6:$D$10,0),MATCH(AK80,[83]Listas!$F$4:$J$4,0))</f>
        <v>#N/A</v>
      </c>
      <c r="AN80" s="259"/>
      <c r="AO80" s="259"/>
      <c r="AP80" s="610"/>
      <c r="AQ80" s="259"/>
      <c r="AR80" s="259" t="s">
        <v>2343</v>
      </c>
      <c r="AS80" s="608"/>
      <c r="AT80" s="259"/>
      <c r="AU80" s="259"/>
      <c r="AV80" s="261"/>
      <c r="AW80" s="261"/>
      <c r="AX80" s="608"/>
      <c r="AY80" s="262"/>
    </row>
    <row r="81" spans="1:1027" s="260" customFormat="1" ht="103.5" hidden="1" customHeight="1">
      <c r="A81" s="608"/>
      <c r="B81" s="266"/>
      <c r="C81" s="1399"/>
      <c r="D81" s="1408"/>
      <c r="E81" s="1400"/>
      <c r="F81" s="267"/>
      <c r="G81" s="1399"/>
      <c r="H81" s="1408"/>
      <c r="I81" s="1400"/>
      <c r="J81" s="1380"/>
      <c r="K81" s="1380"/>
      <c r="L81" s="1380"/>
      <c r="M81" s="608"/>
      <c r="N81" s="608"/>
      <c r="O81" s="608"/>
      <c r="P81" s="608"/>
      <c r="Q81" s="266"/>
      <c r="R81" s="266"/>
      <c r="S81" s="268"/>
      <c r="T81" s="269" t="e">
        <f>VLOOKUP(Q81,[83]Listas!$D$6:$E$10,2,0)</f>
        <v>#N/A</v>
      </c>
      <c r="U81" s="269" t="e">
        <f>HLOOKUP(R81,[83]Listas!$F$4:$J$5,2,0)</f>
        <v>#N/A</v>
      </c>
      <c r="V81" s="270" t="e">
        <f>INDEX([83]Listas!$F$6:$J$10,MATCH(Q81,[83]Listas!$D$6:$D$10,0),MATCH(R81,[83]Listas!$F$4:$J$4,0))</f>
        <v>#N/A</v>
      </c>
      <c r="W81" s="268"/>
      <c r="X81" s="1399"/>
      <c r="Y81" s="1408"/>
      <c r="Z81" s="1400"/>
      <c r="AA81" s="1063"/>
      <c r="AB81" s="267"/>
      <c r="AC81" s="259"/>
      <c r="AD81" s="608"/>
      <c r="AE81" s="267"/>
      <c r="AF81" s="268"/>
      <c r="AG81" s="269">
        <f t="shared" si="4"/>
        <v>0</v>
      </c>
      <c r="AH81" s="271" t="e">
        <f t="shared" si="5"/>
        <v>#N/A</v>
      </c>
      <c r="AI81" s="272" t="e">
        <f>IF(AH81&lt;=1,"Remota",VLOOKUP(AH81,[83]Listas!$C$6:$D$10,2,0))</f>
        <v>#N/A</v>
      </c>
      <c r="AJ81" s="271" t="e">
        <f t="shared" si="6"/>
        <v>#N/A</v>
      </c>
      <c r="AK81" s="272" t="e">
        <f>IF(AJ81&lt;=1,"Insignificante",HLOOKUP(AJ81,[83]Listas!$F$3:$J$4,2,0))</f>
        <v>#N/A</v>
      </c>
      <c r="AL81" s="273" t="e">
        <f t="shared" si="7"/>
        <v>#N/A</v>
      </c>
      <c r="AM81" s="270" t="e">
        <f>INDEX([83]Listas!$F$6:$J$10,MATCH(AI81,[83]Listas!$D$6:$D$10,0),MATCH(AK81,[83]Listas!$F$4:$J$4,0))</f>
        <v>#N/A</v>
      </c>
      <c r="AN81" s="259"/>
      <c r="AO81" s="259"/>
      <c r="AP81" s="610"/>
      <c r="AQ81" s="259"/>
      <c r="AR81" s="259" t="s">
        <v>2343</v>
      </c>
      <c r="AS81" s="608"/>
      <c r="AT81" s="259"/>
      <c r="AU81" s="259"/>
      <c r="AV81" s="261"/>
      <c r="AW81" s="261"/>
      <c r="AX81" s="608"/>
      <c r="AY81" s="262"/>
    </row>
    <row r="82" spans="1:1027" s="260" customFormat="1" ht="103.5" hidden="1" customHeight="1">
      <c r="A82" s="608"/>
      <c r="B82" s="266"/>
      <c r="C82" s="1399"/>
      <c r="D82" s="1408"/>
      <c r="E82" s="1400"/>
      <c r="F82" s="267"/>
      <c r="G82" s="1399"/>
      <c r="H82" s="1408"/>
      <c r="I82" s="1400"/>
      <c r="J82" s="1380"/>
      <c r="K82" s="1380"/>
      <c r="L82" s="1380"/>
      <c r="M82" s="608"/>
      <c r="N82" s="608"/>
      <c r="O82" s="608"/>
      <c r="P82" s="608"/>
      <c r="Q82" s="266"/>
      <c r="R82" s="266"/>
      <c r="S82" s="268"/>
      <c r="T82" s="269" t="e">
        <f>VLOOKUP(Q82,[83]Listas!$D$6:$E$10,2,0)</f>
        <v>#N/A</v>
      </c>
      <c r="U82" s="269" t="e">
        <f>HLOOKUP(R82,[83]Listas!$F$4:$J$5,2,0)</f>
        <v>#N/A</v>
      </c>
      <c r="V82" s="270" t="e">
        <f>INDEX([83]Listas!$F$6:$J$10,MATCH(Q82,[83]Listas!$D$6:$D$10,0),MATCH(R82,[83]Listas!$F$4:$J$4,0))</f>
        <v>#N/A</v>
      </c>
      <c r="W82" s="268"/>
      <c r="X82" s="1399"/>
      <c r="Y82" s="1408"/>
      <c r="Z82" s="1400"/>
      <c r="AA82" s="1063"/>
      <c r="AB82" s="267"/>
      <c r="AC82" s="259"/>
      <c r="AD82" s="608"/>
      <c r="AE82" s="267"/>
      <c r="AF82" s="268"/>
      <c r="AG82" s="269">
        <f t="shared" si="4"/>
        <v>0</v>
      </c>
      <c r="AH82" s="271" t="e">
        <f t="shared" si="5"/>
        <v>#N/A</v>
      </c>
      <c r="AI82" s="272" t="e">
        <f>IF(AH82&lt;=1,"Remota",VLOOKUP(AH82,[83]Listas!$C$6:$D$10,2,0))</f>
        <v>#N/A</v>
      </c>
      <c r="AJ82" s="271" t="e">
        <f t="shared" si="6"/>
        <v>#N/A</v>
      </c>
      <c r="AK82" s="272" t="e">
        <f>IF(AJ82&lt;=1,"Insignificante",HLOOKUP(AJ82,[83]Listas!$F$3:$J$4,2,0))</f>
        <v>#N/A</v>
      </c>
      <c r="AL82" s="273" t="e">
        <f t="shared" si="7"/>
        <v>#N/A</v>
      </c>
      <c r="AM82" s="270" t="e">
        <f>INDEX([83]Listas!$F$6:$J$10,MATCH(AI82,[83]Listas!$D$6:$D$10,0),MATCH(AK82,[83]Listas!$F$4:$J$4,0))</f>
        <v>#N/A</v>
      </c>
      <c r="AN82" s="259"/>
      <c r="AO82" s="259"/>
      <c r="AP82" s="610"/>
      <c r="AQ82" s="259"/>
      <c r="AR82" s="259" t="s">
        <v>2343</v>
      </c>
      <c r="AS82" s="608"/>
      <c r="AT82" s="259"/>
      <c r="AU82" s="259"/>
      <c r="AV82" s="261"/>
      <c r="AW82" s="261"/>
      <c r="AX82" s="608"/>
      <c r="AY82" s="262"/>
    </row>
    <row r="83" spans="1:1027" s="260" customFormat="1" ht="103.5" hidden="1" customHeight="1">
      <c r="A83" s="608"/>
      <c r="B83" s="266"/>
      <c r="C83" s="1399"/>
      <c r="D83" s="1408"/>
      <c r="E83" s="1400"/>
      <c r="F83" s="267"/>
      <c r="G83" s="1399"/>
      <c r="H83" s="1408"/>
      <c r="I83" s="1400"/>
      <c r="J83" s="1380"/>
      <c r="K83" s="1380"/>
      <c r="L83" s="1380"/>
      <c r="M83" s="608"/>
      <c r="N83" s="608"/>
      <c r="O83" s="608"/>
      <c r="P83" s="608"/>
      <c r="Q83" s="266"/>
      <c r="R83" s="266"/>
      <c r="S83" s="268"/>
      <c r="T83" s="269" t="e">
        <f>VLOOKUP(Q83,[83]Listas!$D$6:$E$10,2,0)</f>
        <v>#N/A</v>
      </c>
      <c r="U83" s="269" t="e">
        <f>HLOOKUP(R83,[83]Listas!$F$4:$J$5,2,0)</f>
        <v>#N/A</v>
      </c>
      <c r="V83" s="270" t="e">
        <f>INDEX([83]Listas!$F$6:$J$10,MATCH(Q83,[83]Listas!$D$6:$D$10,0),MATCH(R83,[83]Listas!$F$4:$J$4,0))</f>
        <v>#N/A</v>
      </c>
      <c r="W83" s="268"/>
      <c r="X83" s="1399"/>
      <c r="Y83" s="1408"/>
      <c r="Z83" s="1400"/>
      <c r="AA83" s="1063"/>
      <c r="AB83" s="267"/>
      <c r="AC83" s="259"/>
      <c r="AD83" s="608"/>
      <c r="AE83" s="267"/>
      <c r="AF83" s="268"/>
      <c r="AG83" s="269">
        <f t="shared" si="4"/>
        <v>0</v>
      </c>
      <c r="AH83" s="271" t="e">
        <f t="shared" si="5"/>
        <v>#N/A</v>
      </c>
      <c r="AI83" s="272" t="e">
        <f>IF(AH83&lt;=1,"Remota",VLOOKUP(AH83,[83]Listas!$C$6:$D$10,2,0))</f>
        <v>#N/A</v>
      </c>
      <c r="AJ83" s="271" t="e">
        <f t="shared" si="6"/>
        <v>#N/A</v>
      </c>
      <c r="AK83" s="272" t="e">
        <f>IF(AJ83&lt;=1,"Insignificante",HLOOKUP(AJ83,[83]Listas!$F$3:$J$4,2,0))</f>
        <v>#N/A</v>
      </c>
      <c r="AL83" s="273" t="e">
        <f t="shared" si="7"/>
        <v>#N/A</v>
      </c>
      <c r="AM83" s="270" t="e">
        <f>INDEX([83]Listas!$F$6:$J$10,MATCH(AI83,[83]Listas!$D$6:$D$10,0),MATCH(AK83,[83]Listas!$F$4:$J$4,0))</f>
        <v>#N/A</v>
      </c>
      <c r="AN83" s="259"/>
      <c r="AO83" s="259"/>
      <c r="AP83" s="610"/>
      <c r="AQ83" s="259"/>
      <c r="AR83" s="259" t="s">
        <v>2343</v>
      </c>
      <c r="AS83" s="608"/>
      <c r="AT83" s="259"/>
      <c r="AU83" s="259"/>
      <c r="AV83" s="261"/>
      <c r="AW83" s="261"/>
      <c r="AX83" s="608"/>
      <c r="AY83" s="262"/>
    </row>
    <row r="84" spans="1:1027" s="260" customFormat="1" ht="103.5" hidden="1" customHeight="1">
      <c r="A84" s="608"/>
      <c r="B84" s="266"/>
      <c r="C84" s="1399"/>
      <c r="D84" s="1408"/>
      <c r="E84" s="1400"/>
      <c r="F84" s="267"/>
      <c r="G84" s="1399"/>
      <c r="H84" s="1408"/>
      <c r="I84" s="1400"/>
      <c r="J84" s="1380"/>
      <c r="K84" s="1380"/>
      <c r="L84" s="1380"/>
      <c r="M84" s="608"/>
      <c r="N84" s="608"/>
      <c r="O84" s="608"/>
      <c r="P84" s="608"/>
      <c r="Q84" s="266"/>
      <c r="R84" s="266"/>
      <c r="S84" s="268"/>
      <c r="T84" s="269" t="e">
        <f>VLOOKUP(Q84,[83]Listas!$D$6:$E$10,2,0)</f>
        <v>#N/A</v>
      </c>
      <c r="U84" s="269" t="e">
        <f>HLOOKUP(R84,[83]Listas!$F$4:$J$5,2,0)</f>
        <v>#N/A</v>
      </c>
      <c r="V84" s="270" t="e">
        <f>INDEX([83]Listas!$F$6:$J$10,MATCH(Q84,[83]Listas!$D$6:$D$10,0),MATCH(R84,[83]Listas!$F$4:$J$4,0))</f>
        <v>#N/A</v>
      </c>
      <c r="W84" s="268"/>
      <c r="X84" s="1399"/>
      <c r="Y84" s="1408"/>
      <c r="Z84" s="1400"/>
      <c r="AA84" s="1063"/>
      <c r="AB84" s="267"/>
      <c r="AC84" s="259"/>
      <c r="AD84" s="608"/>
      <c r="AE84" s="267"/>
      <c r="AF84" s="268"/>
      <c r="AG84" s="269">
        <f t="shared" si="4"/>
        <v>0</v>
      </c>
      <c r="AH84" s="271" t="e">
        <f t="shared" si="5"/>
        <v>#N/A</v>
      </c>
      <c r="AI84" s="272" t="e">
        <f>IF(AH84&lt;=1,"Remota",VLOOKUP(AH84,[83]Listas!$C$6:$D$10,2,0))</f>
        <v>#N/A</v>
      </c>
      <c r="AJ84" s="271" t="e">
        <f t="shared" si="6"/>
        <v>#N/A</v>
      </c>
      <c r="AK84" s="272" t="e">
        <f>IF(AJ84&lt;=1,"Insignificante",HLOOKUP(AJ84,[83]Listas!$F$3:$J$4,2,0))</f>
        <v>#N/A</v>
      </c>
      <c r="AL84" s="273" t="e">
        <f t="shared" si="7"/>
        <v>#N/A</v>
      </c>
      <c r="AM84" s="270" t="e">
        <f>INDEX([83]Listas!$F$6:$J$10,MATCH(AI84,[83]Listas!$D$6:$D$10,0),MATCH(AK84,[83]Listas!$F$4:$J$4,0))</f>
        <v>#N/A</v>
      </c>
      <c r="AN84" s="259"/>
      <c r="AO84" s="259"/>
      <c r="AP84" s="610"/>
      <c r="AQ84" s="259"/>
      <c r="AR84" s="259" t="s">
        <v>2343</v>
      </c>
      <c r="AS84" s="608"/>
      <c r="AT84" s="259"/>
      <c r="AU84" s="259"/>
      <c r="AV84" s="261"/>
      <c r="AW84" s="261"/>
      <c r="AX84" s="608"/>
      <c r="AY84" s="262"/>
    </row>
    <row r="85" spans="1:1027" s="260" customFormat="1" ht="103.5" hidden="1" customHeight="1">
      <c r="A85" s="608"/>
      <c r="B85" s="266"/>
      <c r="C85" s="1399"/>
      <c r="D85" s="1408"/>
      <c r="E85" s="1400"/>
      <c r="F85" s="267"/>
      <c r="G85" s="1399"/>
      <c r="H85" s="1408"/>
      <c r="I85" s="1400"/>
      <c r="J85" s="1380"/>
      <c r="K85" s="1380"/>
      <c r="L85" s="1380"/>
      <c r="M85" s="608"/>
      <c r="N85" s="608"/>
      <c r="O85" s="608"/>
      <c r="P85" s="608"/>
      <c r="Q85" s="266"/>
      <c r="R85" s="266"/>
      <c r="S85" s="268"/>
      <c r="T85" s="269" t="e">
        <f>VLOOKUP(Q85,[83]Listas!$D$6:$E$10,2,0)</f>
        <v>#N/A</v>
      </c>
      <c r="U85" s="269" t="e">
        <f>HLOOKUP(R85,[83]Listas!$F$4:$J$5,2,0)</f>
        <v>#N/A</v>
      </c>
      <c r="V85" s="270" t="e">
        <f>INDEX([83]Listas!$F$6:$J$10,MATCH(Q85,[83]Listas!$D$6:$D$10,0),MATCH(R85,[83]Listas!$F$4:$J$4,0))</f>
        <v>#N/A</v>
      </c>
      <c r="W85" s="268"/>
      <c r="X85" s="1399"/>
      <c r="Y85" s="1408"/>
      <c r="Z85" s="1400"/>
      <c r="AA85" s="1063"/>
      <c r="AB85" s="267"/>
      <c r="AC85" s="259"/>
      <c r="AD85" s="608"/>
      <c r="AE85" s="267"/>
      <c r="AF85" s="268"/>
      <c r="AG85" s="269">
        <f t="shared" si="4"/>
        <v>0</v>
      </c>
      <c r="AH85" s="271" t="e">
        <f t="shared" si="5"/>
        <v>#N/A</v>
      </c>
      <c r="AI85" s="272" t="e">
        <f>IF(AH85&lt;=1,"Remota",VLOOKUP(AH85,[83]Listas!$C$6:$D$10,2,0))</f>
        <v>#N/A</v>
      </c>
      <c r="AJ85" s="271" t="e">
        <f t="shared" si="6"/>
        <v>#N/A</v>
      </c>
      <c r="AK85" s="272" t="e">
        <f>IF(AJ85&lt;=1,"Insignificante",HLOOKUP(AJ85,[83]Listas!$F$3:$J$4,2,0))</f>
        <v>#N/A</v>
      </c>
      <c r="AL85" s="273" t="e">
        <f t="shared" si="7"/>
        <v>#N/A</v>
      </c>
      <c r="AM85" s="270" t="e">
        <f>INDEX([83]Listas!$F$6:$J$10,MATCH(AI85,[83]Listas!$D$6:$D$10,0),MATCH(AK85,[83]Listas!$F$4:$J$4,0))</f>
        <v>#N/A</v>
      </c>
      <c r="AN85" s="259"/>
      <c r="AO85" s="259"/>
      <c r="AP85" s="610"/>
      <c r="AQ85" s="259"/>
      <c r="AR85" s="259" t="s">
        <v>2343</v>
      </c>
      <c r="AS85" s="608"/>
      <c r="AT85" s="259"/>
      <c r="AU85" s="259"/>
      <c r="AV85" s="261"/>
      <c r="AW85" s="261"/>
      <c r="AX85" s="608"/>
      <c r="AY85" s="262"/>
    </row>
    <row r="86" spans="1:1027" s="260" customFormat="1" ht="103.5" hidden="1" customHeight="1">
      <c r="A86" s="608"/>
      <c r="B86" s="266"/>
      <c r="C86" s="1399"/>
      <c r="D86" s="1408"/>
      <c r="E86" s="1400"/>
      <c r="F86" s="267"/>
      <c r="G86" s="1399"/>
      <c r="H86" s="1408"/>
      <c r="I86" s="1400"/>
      <c r="J86" s="1380"/>
      <c r="K86" s="1380"/>
      <c r="L86" s="1380"/>
      <c r="M86" s="608"/>
      <c r="N86" s="608"/>
      <c r="O86" s="608"/>
      <c r="P86" s="608"/>
      <c r="Q86" s="266"/>
      <c r="R86" s="266"/>
      <c r="S86" s="268"/>
      <c r="T86" s="269" t="e">
        <f>VLOOKUP(Q86,[83]Listas!$D$6:$E$10,2,0)</f>
        <v>#N/A</v>
      </c>
      <c r="U86" s="269" t="e">
        <f>HLOOKUP(R86,[83]Listas!$F$4:$J$5,2,0)</f>
        <v>#N/A</v>
      </c>
      <c r="V86" s="270" t="e">
        <f>INDEX([83]Listas!$F$6:$J$10,MATCH(Q86,[83]Listas!$D$6:$D$10,0),MATCH(R86,[83]Listas!$F$4:$J$4,0))</f>
        <v>#N/A</v>
      </c>
      <c r="W86" s="268"/>
      <c r="X86" s="1399"/>
      <c r="Y86" s="1408"/>
      <c r="Z86" s="1400"/>
      <c r="AA86" s="1063"/>
      <c r="AB86" s="267"/>
      <c r="AC86" s="259"/>
      <c r="AD86" s="608"/>
      <c r="AE86" s="267"/>
      <c r="AF86" s="268"/>
      <c r="AG86" s="269">
        <f t="shared" si="4"/>
        <v>0</v>
      </c>
      <c r="AH86" s="271" t="e">
        <f t="shared" si="5"/>
        <v>#N/A</v>
      </c>
      <c r="AI86" s="272" t="e">
        <f>IF(AH86&lt;=1,"Remota",VLOOKUP(AH86,[83]Listas!$C$6:$D$10,2,0))</f>
        <v>#N/A</v>
      </c>
      <c r="AJ86" s="271" t="e">
        <f t="shared" si="6"/>
        <v>#N/A</v>
      </c>
      <c r="AK86" s="272" t="e">
        <f>IF(AJ86&lt;=1,"Insignificante",HLOOKUP(AJ86,[83]Listas!$F$3:$J$4,2,0))</f>
        <v>#N/A</v>
      </c>
      <c r="AL86" s="273" t="e">
        <f t="shared" si="7"/>
        <v>#N/A</v>
      </c>
      <c r="AM86" s="270" t="e">
        <f>INDEX([83]Listas!$F$6:$J$10,MATCH(AI86,[83]Listas!$D$6:$D$10,0),MATCH(AK86,[83]Listas!$F$4:$J$4,0))</f>
        <v>#N/A</v>
      </c>
      <c r="AN86" s="259"/>
      <c r="AO86" s="259"/>
      <c r="AP86" s="610"/>
      <c r="AQ86" s="259"/>
      <c r="AR86" s="259" t="s">
        <v>2343</v>
      </c>
      <c r="AS86" s="608"/>
      <c r="AT86" s="259"/>
      <c r="AU86" s="259"/>
      <c r="AV86" s="261"/>
      <c r="AW86" s="261"/>
      <c r="AX86" s="608"/>
      <c r="AY86" s="262"/>
    </row>
    <row r="87" spans="1:1027" s="260" customFormat="1" ht="103.5" hidden="1" customHeight="1">
      <c r="A87" s="608"/>
      <c r="B87" s="266"/>
      <c r="C87" s="1399"/>
      <c r="D87" s="1408"/>
      <c r="E87" s="1400"/>
      <c r="F87" s="267"/>
      <c r="G87" s="1399"/>
      <c r="H87" s="1408"/>
      <c r="I87" s="1400"/>
      <c r="J87" s="1380"/>
      <c r="K87" s="1380"/>
      <c r="L87" s="1380"/>
      <c r="M87" s="608"/>
      <c r="N87" s="608"/>
      <c r="O87" s="608"/>
      <c r="P87" s="608"/>
      <c r="Q87" s="266"/>
      <c r="R87" s="266"/>
      <c r="S87" s="268"/>
      <c r="T87" s="269" t="e">
        <f>VLOOKUP(Q87,[83]Listas!$D$6:$E$10,2,0)</f>
        <v>#N/A</v>
      </c>
      <c r="U87" s="269" t="e">
        <f>HLOOKUP(R87,[83]Listas!$F$4:$J$5,2,0)</f>
        <v>#N/A</v>
      </c>
      <c r="V87" s="270" t="e">
        <f>INDEX([83]Listas!$F$6:$J$10,MATCH(Q87,[83]Listas!$D$6:$D$10,0),MATCH(R87,[83]Listas!$F$4:$J$4,0))</f>
        <v>#N/A</v>
      </c>
      <c r="W87" s="268"/>
      <c r="X87" s="1399"/>
      <c r="Y87" s="1408"/>
      <c r="Z87" s="1400"/>
      <c r="AA87" s="1063"/>
      <c r="AB87" s="267"/>
      <c r="AC87" s="259"/>
      <c r="AD87" s="608"/>
      <c r="AE87" s="267"/>
      <c r="AF87" s="268"/>
      <c r="AG87" s="269">
        <f t="shared" si="4"/>
        <v>0</v>
      </c>
      <c r="AH87" s="271" t="e">
        <f t="shared" si="5"/>
        <v>#N/A</v>
      </c>
      <c r="AI87" s="272" t="e">
        <f>IF(AH87&lt;=1,"Remota",VLOOKUP(AH87,[83]Listas!$C$6:$D$10,2,0))</f>
        <v>#N/A</v>
      </c>
      <c r="AJ87" s="271" t="e">
        <f t="shared" si="6"/>
        <v>#N/A</v>
      </c>
      <c r="AK87" s="272" t="e">
        <f>IF(AJ87&lt;=1,"Insignificante",HLOOKUP(AJ87,[83]Listas!$F$3:$J$4,2,0))</f>
        <v>#N/A</v>
      </c>
      <c r="AL87" s="273" t="e">
        <f t="shared" si="7"/>
        <v>#N/A</v>
      </c>
      <c r="AM87" s="270" t="e">
        <f>INDEX([83]Listas!$F$6:$J$10,MATCH(AI87,[83]Listas!$D$6:$D$10,0),MATCH(AK87,[83]Listas!$F$4:$J$4,0))</f>
        <v>#N/A</v>
      </c>
      <c r="AN87" s="259"/>
      <c r="AO87" s="259"/>
      <c r="AP87" s="610"/>
      <c r="AQ87" s="259"/>
      <c r="AR87" s="259" t="s">
        <v>2343</v>
      </c>
      <c r="AS87" s="608"/>
      <c r="AT87" s="259"/>
      <c r="AU87" s="259"/>
      <c r="AV87" s="261"/>
      <c r="AW87" s="261"/>
      <c r="AX87" s="608"/>
      <c r="AY87" s="262"/>
    </row>
    <row r="88" spans="1:1027" ht="5.25" customHeight="1">
      <c r="A88" s="275"/>
      <c r="B88" s="276"/>
      <c r="C88" s="276"/>
      <c r="D88" s="276"/>
      <c r="E88" s="275"/>
      <c r="F88" s="275"/>
      <c r="G88" s="277"/>
      <c r="H88" s="277"/>
      <c r="I88" s="277"/>
      <c r="J88" s="275"/>
      <c r="K88" s="275"/>
      <c r="L88" s="278"/>
      <c r="M88" s="278"/>
      <c r="N88" s="278"/>
      <c r="O88" s="278"/>
      <c r="P88" s="278"/>
      <c r="Q88" s="278"/>
      <c r="R88" s="278"/>
      <c r="S88" s="278"/>
      <c r="T88" s="278"/>
      <c r="U88" s="278"/>
      <c r="V88" s="275"/>
      <c r="W88" s="275"/>
      <c r="X88" s="277"/>
      <c r="Y88" s="277"/>
      <c r="Z88" s="277"/>
      <c r="AA88" s="275"/>
      <c r="AB88" s="277"/>
      <c r="AC88" s="277"/>
      <c r="AD88" s="275"/>
      <c r="AE88" s="275"/>
      <c r="AF88" s="275"/>
      <c r="AG88" s="275"/>
      <c r="AH88" s="275"/>
      <c r="AI88" s="275"/>
      <c r="AJ88" s="275"/>
      <c r="AK88" s="275"/>
      <c r="AL88" s="275"/>
      <c r="AM88" s="279"/>
      <c r="AN88" s="262"/>
      <c r="AO88" s="262"/>
      <c r="AP88" s="262"/>
      <c r="AQ88" s="262"/>
      <c r="AR88" s="262"/>
      <c r="AS88" s="262"/>
      <c r="AT88" s="262"/>
      <c r="AU88" s="262"/>
      <c r="AV88" s="262"/>
      <c r="AW88" s="262"/>
      <c r="AX88" s="262"/>
      <c r="AY88" s="262"/>
      <c r="AZ88" s="236"/>
      <c r="BA88" s="236"/>
      <c r="BB88" s="236"/>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c r="HV88" s="236"/>
      <c r="HW88" s="236"/>
      <c r="HX88" s="236"/>
      <c r="HY88" s="236"/>
      <c r="HZ88" s="236"/>
      <c r="IA88" s="236"/>
      <c r="IB88" s="236"/>
      <c r="IC88" s="236"/>
      <c r="ID88" s="236"/>
      <c r="IE88" s="236"/>
      <c r="IF88" s="236"/>
      <c r="IG88" s="236"/>
      <c r="IH88" s="236"/>
      <c r="II88" s="236"/>
      <c r="IJ88" s="236"/>
      <c r="IK88" s="236"/>
      <c r="IL88" s="236"/>
      <c r="IM88" s="236"/>
      <c r="IN88" s="236"/>
      <c r="IO88" s="236"/>
      <c r="IP88" s="236"/>
      <c r="IQ88" s="236"/>
      <c r="IR88" s="236"/>
      <c r="IS88" s="236"/>
      <c r="IT88" s="236"/>
      <c r="IU88" s="236"/>
      <c r="IV88" s="236"/>
      <c r="IW88" s="236"/>
      <c r="IX88" s="236"/>
      <c r="IY88" s="236"/>
      <c r="IZ88" s="236"/>
      <c r="JA88" s="236"/>
      <c r="JB88" s="236"/>
      <c r="JC88" s="236"/>
      <c r="JD88" s="236"/>
      <c r="JE88" s="236"/>
      <c r="JF88" s="236"/>
      <c r="JG88" s="236"/>
      <c r="JH88" s="236"/>
      <c r="JI88" s="236"/>
      <c r="JJ88" s="236"/>
      <c r="JK88" s="236"/>
      <c r="JL88" s="236"/>
      <c r="JM88" s="236"/>
      <c r="JN88" s="236"/>
      <c r="JO88" s="236"/>
      <c r="JP88" s="236"/>
      <c r="JQ88" s="236"/>
      <c r="JR88" s="236"/>
      <c r="JS88" s="236"/>
      <c r="JT88" s="236"/>
      <c r="JU88" s="236"/>
      <c r="JV88" s="236"/>
      <c r="JW88" s="236"/>
      <c r="JX88" s="236"/>
      <c r="JY88" s="236"/>
      <c r="JZ88" s="236"/>
      <c r="KA88" s="236"/>
      <c r="KB88" s="236"/>
      <c r="KC88" s="236"/>
      <c r="KD88" s="236"/>
      <c r="KE88" s="236"/>
      <c r="KF88" s="236"/>
      <c r="KG88" s="236"/>
      <c r="KH88" s="236"/>
      <c r="KI88" s="236"/>
      <c r="KJ88" s="236"/>
      <c r="KK88" s="236"/>
      <c r="KL88" s="236"/>
      <c r="KM88" s="236"/>
      <c r="KN88" s="236"/>
      <c r="KO88" s="236"/>
      <c r="KP88" s="236"/>
      <c r="KQ88" s="236"/>
      <c r="KR88" s="236"/>
      <c r="KS88" s="236"/>
      <c r="KT88" s="236"/>
      <c r="KU88" s="236"/>
      <c r="KV88" s="236"/>
      <c r="KW88" s="236"/>
      <c r="KX88" s="236"/>
      <c r="KY88" s="236"/>
      <c r="KZ88" s="236"/>
      <c r="LA88" s="236"/>
      <c r="LB88" s="236"/>
      <c r="LC88" s="236"/>
      <c r="LD88" s="236"/>
      <c r="LE88" s="236"/>
      <c r="LF88" s="236"/>
      <c r="LG88" s="236"/>
      <c r="LH88" s="236"/>
      <c r="LI88" s="236"/>
      <c r="LJ88" s="236"/>
      <c r="LK88" s="236"/>
      <c r="LL88" s="236"/>
      <c r="LM88" s="236"/>
      <c r="LN88" s="236"/>
      <c r="LO88" s="236"/>
      <c r="LP88" s="236"/>
      <c r="LQ88" s="236"/>
      <c r="LR88" s="236"/>
      <c r="LS88" s="236"/>
      <c r="LT88" s="236"/>
      <c r="LU88" s="236"/>
      <c r="LV88" s="236"/>
      <c r="LW88" s="236"/>
      <c r="LX88" s="236"/>
      <c r="LY88" s="236"/>
      <c r="LZ88" s="236"/>
      <c r="MA88" s="236"/>
      <c r="MB88" s="236"/>
      <c r="MC88" s="236"/>
      <c r="MD88" s="236"/>
      <c r="ME88" s="236"/>
      <c r="MF88" s="236"/>
      <c r="MG88" s="236"/>
      <c r="MH88" s="236"/>
      <c r="MI88" s="236"/>
      <c r="MJ88" s="236"/>
      <c r="MK88" s="236"/>
      <c r="ML88" s="236"/>
      <c r="MM88" s="236"/>
      <c r="MN88" s="236"/>
      <c r="MO88" s="236"/>
      <c r="MP88" s="236"/>
      <c r="MQ88" s="236"/>
      <c r="MR88" s="236"/>
      <c r="MS88" s="236"/>
      <c r="MT88" s="236"/>
      <c r="MU88" s="236"/>
      <c r="MV88" s="236"/>
      <c r="MW88" s="236"/>
      <c r="MX88" s="236"/>
      <c r="MY88" s="236"/>
      <c r="MZ88" s="236"/>
      <c r="NA88" s="236"/>
      <c r="NB88" s="236"/>
      <c r="NC88" s="236"/>
      <c r="ND88" s="236"/>
      <c r="NE88" s="236"/>
      <c r="NF88" s="236"/>
      <c r="NG88" s="236"/>
      <c r="NH88" s="236"/>
      <c r="NI88" s="236"/>
      <c r="NJ88" s="236"/>
      <c r="NK88" s="236"/>
      <c r="NL88" s="236"/>
      <c r="NM88" s="236"/>
      <c r="NN88" s="236"/>
      <c r="NO88" s="236"/>
      <c r="NP88" s="236"/>
      <c r="NQ88" s="236"/>
      <c r="NR88" s="236"/>
      <c r="NS88" s="236"/>
      <c r="NT88" s="236"/>
      <c r="NU88" s="236"/>
      <c r="NV88" s="236"/>
      <c r="NW88" s="236"/>
      <c r="NX88" s="236"/>
      <c r="NY88" s="236"/>
      <c r="NZ88" s="236"/>
      <c r="OA88" s="236"/>
      <c r="OB88" s="236"/>
      <c r="OC88" s="236"/>
      <c r="OD88" s="236"/>
      <c r="OE88" s="236"/>
      <c r="OF88" s="236"/>
      <c r="OG88" s="236"/>
      <c r="OH88" s="236"/>
      <c r="OI88" s="236"/>
      <c r="OJ88" s="236"/>
      <c r="OK88" s="236"/>
      <c r="OL88" s="236"/>
      <c r="OM88" s="236"/>
      <c r="ON88" s="236"/>
      <c r="OO88" s="236"/>
      <c r="OP88" s="236"/>
      <c r="OQ88" s="236"/>
      <c r="OR88" s="236"/>
      <c r="OS88" s="236"/>
      <c r="OT88" s="236"/>
      <c r="OU88" s="236"/>
      <c r="OV88" s="236"/>
      <c r="OW88" s="236"/>
      <c r="OX88" s="236"/>
      <c r="OY88" s="236"/>
      <c r="OZ88" s="236"/>
      <c r="PA88" s="236"/>
      <c r="PB88" s="236"/>
      <c r="PC88" s="236"/>
      <c r="PD88" s="236"/>
      <c r="PE88" s="236"/>
      <c r="PF88" s="236"/>
      <c r="PG88" s="236"/>
      <c r="PH88" s="236"/>
      <c r="PI88" s="236"/>
      <c r="PJ88" s="236"/>
      <c r="PK88" s="236"/>
      <c r="PL88" s="236"/>
      <c r="PM88" s="236"/>
      <c r="PN88" s="236"/>
      <c r="PO88" s="236"/>
      <c r="PP88" s="236"/>
      <c r="PQ88" s="236"/>
      <c r="PR88" s="236"/>
      <c r="PS88" s="236"/>
      <c r="PT88" s="236"/>
      <c r="PU88" s="236"/>
      <c r="PV88" s="236"/>
      <c r="PW88" s="236"/>
      <c r="PX88" s="236"/>
      <c r="PY88" s="236"/>
      <c r="PZ88" s="236"/>
      <c r="QA88" s="236"/>
      <c r="QB88" s="236"/>
      <c r="QC88" s="236"/>
      <c r="QD88" s="236"/>
      <c r="QE88" s="236"/>
      <c r="QF88" s="236"/>
      <c r="QG88" s="236"/>
      <c r="QH88" s="236"/>
      <c r="QI88" s="236"/>
      <c r="QJ88" s="236"/>
      <c r="QK88" s="236"/>
      <c r="QL88" s="236"/>
      <c r="QM88" s="236"/>
      <c r="QN88" s="236"/>
      <c r="QO88" s="236"/>
      <c r="QP88" s="236"/>
      <c r="QQ88" s="236"/>
      <c r="QR88" s="236"/>
      <c r="QS88" s="236"/>
      <c r="QT88" s="236"/>
      <c r="QU88" s="236"/>
      <c r="QV88" s="236"/>
      <c r="QW88" s="236"/>
      <c r="QX88" s="236"/>
      <c r="QY88" s="236"/>
      <c r="QZ88" s="236"/>
      <c r="RA88" s="236"/>
      <c r="RB88" s="236"/>
      <c r="RC88" s="236"/>
      <c r="RD88" s="236"/>
      <c r="RE88" s="236"/>
      <c r="RF88" s="236"/>
      <c r="RG88" s="236"/>
      <c r="RH88" s="236"/>
      <c r="RI88" s="236"/>
      <c r="RJ88" s="236"/>
      <c r="RK88" s="236"/>
      <c r="RL88" s="236"/>
      <c r="RM88" s="236"/>
      <c r="RN88" s="236"/>
      <c r="RO88" s="236"/>
      <c r="RP88" s="236"/>
      <c r="RQ88" s="236"/>
      <c r="RR88" s="236"/>
      <c r="RS88" s="236"/>
      <c r="RT88" s="236"/>
      <c r="RU88" s="236"/>
      <c r="RV88" s="236"/>
      <c r="RW88" s="236"/>
      <c r="RX88" s="236"/>
      <c r="RY88" s="236"/>
      <c r="RZ88" s="236"/>
      <c r="SA88" s="236"/>
      <c r="SB88" s="236"/>
      <c r="SC88" s="236"/>
      <c r="SD88" s="236"/>
      <c r="SE88" s="236"/>
      <c r="SF88" s="236"/>
      <c r="SG88" s="236"/>
      <c r="SH88" s="236"/>
      <c r="SI88" s="236"/>
      <c r="SJ88" s="236"/>
      <c r="SK88" s="236"/>
      <c r="SL88" s="236"/>
      <c r="SM88" s="236"/>
      <c r="SN88" s="236"/>
      <c r="SO88" s="236"/>
      <c r="SP88" s="236"/>
      <c r="SQ88" s="236"/>
      <c r="SR88" s="236"/>
      <c r="SS88" s="236"/>
      <c r="ST88" s="236"/>
      <c r="SU88" s="236"/>
      <c r="SV88" s="236"/>
      <c r="SW88" s="236"/>
      <c r="SX88" s="236"/>
      <c r="SY88" s="236"/>
      <c r="SZ88" s="236"/>
      <c r="TA88" s="236"/>
      <c r="TB88" s="236"/>
      <c r="TC88" s="236"/>
      <c r="TD88" s="236"/>
      <c r="TE88" s="236"/>
      <c r="TF88" s="236"/>
      <c r="TG88" s="236"/>
      <c r="TH88" s="236"/>
      <c r="TI88" s="236"/>
      <c r="TJ88" s="236"/>
      <c r="TK88" s="236"/>
      <c r="TL88" s="236"/>
      <c r="TM88" s="236"/>
      <c r="TN88" s="236"/>
      <c r="TO88" s="236"/>
      <c r="TP88" s="236"/>
      <c r="TQ88" s="236"/>
      <c r="TR88" s="236"/>
      <c r="TS88" s="236"/>
      <c r="TT88" s="236"/>
      <c r="TU88" s="236"/>
      <c r="TV88" s="236"/>
      <c r="TW88" s="236"/>
      <c r="TX88" s="236"/>
      <c r="TY88" s="236"/>
      <c r="TZ88" s="236"/>
      <c r="UA88" s="236"/>
      <c r="UB88" s="236"/>
      <c r="UC88" s="236"/>
      <c r="UD88" s="236"/>
      <c r="UE88" s="236"/>
      <c r="UF88" s="236"/>
      <c r="UG88" s="236"/>
      <c r="UH88" s="236"/>
      <c r="UI88" s="236"/>
      <c r="UJ88" s="236"/>
      <c r="UK88" s="236"/>
      <c r="UL88" s="236"/>
      <c r="UM88" s="236"/>
      <c r="UN88" s="236"/>
      <c r="UO88" s="236"/>
      <c r="UP88" s="236"/>
      <c r="UQ88" s="236"/>
      <c r="UR88" s="236"/>
      <c r="US88" s="236"/>
      <c r="UT88" s="236"/>
      <c r="UU88" s="236"/>
      <c r="UV88" s="236"/>
      <c r="UW88" s="236"/>
      <c r="UX88" s="236"/>
      <c r="UY88" s="236"/>
      <c r="UZ88" s="236"/>
      <c r="VA88" s="236"/>
      <c r="VB88" s="236"/>
      <c r="VC88" s="236"/>
      <c r="VD88" s="236"/>
      <c r="VE88" s="236"/>
      <c r="VF88" s="236"/>
      <c r="VG88" s="236"/>
      <c r="VH88" s="236"/>
      <c r="VI88" s="236"/>
      <c r="VJ88" s="236"/>
      <c r="VK88" s="236"/>
      <c r="VL88" s="236"/>
      <c r="VM88" s="236"/>
      <c r="VN88" s="236"/>
      <c r="VO88" s="236"/>
      <c r="VP88" s="236"/>
      <c r="VQ88" s="236"/>
      <c r="VR88" s="236"/>
      <c r="VS88" s="236"/>
      <c r="VT88" s="236"/>
      <c r="VU88" s="236"/>
      <c r="VV88" s="236"/>
      <c r="VW88" s="236"/>
      <c r="VX88" s="236"/>
      <c r="VY88" s="236"/>
      <c r="VZ88" s="236"/>
      <c r="WA88" s="236"/>
      <c r="WB88" s="236"/>
      <c r="WC88" s="236"/>
      <c r="WD88" s="236"/>
      <c r="WE88" s="236"/>
      <c r="WF88" s="236"/>
      <c r="WG88" s="236"/>
      <c r="WH88" s="236"/>
      <c r="WI88" s="236"/>
      <c r="WJ88" s="236"/>
      <c r="WK88" s="236"/>
      <c r="WL88" s="236"/>
      <c r="WM88" s="236"/>
      <c r="WN88" s="236"/>
      <c r="WO88" s="236"/>
      <c r="WP88" s="236"/>
      <c r="WQ88" s="236"/>
      <c r="WR88" s="236"/>
      <c r="WS88" s="236"/>
      <c r="WT88" s="236"/>
      <c r="WU88" s="236"/>
      <c r="WV88" s="236"/>
      <c r="WW88" s="236"/>
      <c r="WX88" s="236"/>
      <c r="WY88" s="236"/>
      <c r="WZ88" s="236"/>
      <c r="XA88" s="236"/>
      <c r="XB88" s="236"/>
      <c r="XC88" s="236"/>
      <c r="XD88" s="236"/>
      <c r="XE88" s="236"/>
      <c r="XF88" s="236"/>
      <c r="XG88" s="236"/>
      <c r="XH88" s="236"/>
      <c r="XI88" s="236"/>
      <c r="XJ88" s="236"/>
      <c r="XK88" s="236"/>
      <c r="XL88" s="236"/>
      <c r="XM88" s="236"/>
      <c r="XN88" s="236"/>
      <c r="XO88" s="236"/>
      <c r="XP88" s="236"/>
      <c r="XQ88" s="236"/>
      <c r="XR88" s="236"/>
      <c r="XS88" s="236"/>
      <c r="XT88" s="236"/>
      <c r="XU88" s="236"/>
      <c r="XV88" s="236"/>
      <c r="XW88" s="236"/>
      <c r="XX88" s="236"/>
      <c r="XY88" s="236"/>
      <c r="XZ88" s="236"/>
      <c r="YA88" s="236"/>
      <c r="YB88" s="236"/>
      <c r="YC88" s="236"/>
      <c r="YD88" s="236"/>
      <c r="YE88" s="236"/>
      <c r="YF88" s="236"/>
      <c r="YG88" s="236"/>
      <c r="YH88" s="236"/>
      <c r="YI88" s="236"/>
      <c r="YJ88" s="236"/>
      <c r="YK88" s="236"/>
      <c r="YL88" s="236"/>
      <c r="YM88" s="236"/>
      <c r="YN88" s="236"/>
      <c r="YO88" s="236"/>
      <c r="YP88" s="236"/>
      <c r="YQ88" s="236"/>
      <c r="YR88" s="236"/>
      <c r="YS88" s="236"/>
      <c r="YT88" s="236"/>
      <c r="YU88" s="236"/>
      <c r="YV88" s="236"/>
      <c r="YW88" s="236"/>
      <c r="YX88" s="236"/>
      <c r="YY88" s="236"/>
      <c r="YZ88" s="236"/>
      <c r="ZA88" s="236"/>
      <c r="ZB88" s="236"/>
      <c r="ZC88" s="236"/>
      <c r="ZD88" s="236"/>
      <c r="ZE88" s="236"/>
      <c r="ZF88" s="236"/>
      <c r="ZG88" s="236"/>
      <c r="ZH88" s="236"/>
      <c r="ZI88" s="236"/>
      <c r="ZJ88" s="236"/>
      <c r="ZK88" s="236"/>
      <c r="ZL88" s="236"/>
      <c r="ZM88" s="236"/>
      <c r="ZN88" s="236"/>
      <c r="ZO88" s="236"/>
      <c r="ZP88" s="236"/>
      <c r="ZQ88" s="236"/>
      <c r="ZR88" s="236"/>
      <c r="ZS88" s="236"/>
      <c r="ZT88" s="236"/>
      <c r="ZU88" s="236"/>
      <c r="ZV88" s="236"/>
      <c r="ZW88" s="236"/>
      <c r="ZX88" s="236"/>
      <c r="ZY88" s="236"/>
      <c r="ZZ88" s="236"/>
      <c r="AAA88" s="236"/>
      <c r="AAB88" s="236"/>
      <c r="AAC88" s="236"/>
      <c r="AAD88" s="236"/>
      <c r="AAE88" s="236"/>
      <c r="AAF88" s="236"/>
      <c r="AAG88" s="236"/>
      <c r="AAH88" s="236"/>
      <c r="AAI88" s="236"/>
      <c r="AAJ88" s="236"/>
      <c r="AAK88" s="236"/>
      <c r="AAL88" s="236"/>
      <c r="AAM88" s="236"/>
      <c r="AAN88" s="236"/>
      <c r="AAO88" s="236"/>
      <c r="AAP88" s="236"/>
      <c r="AAQ88" s="236"/>
      <c r="AAR88" s="236"/>
      <c r="AAS88" s="236"/>
      <c r="AAT88" s="236"/>
      <c r="AAU88" s="236"/>
      <c r="AAV88" s="236"/>
      <c r="AAW88" s="236"/>
      <c r="AAX88" s="236"/>
      <c r="AAY88" s="236"/>
      <c r="AAZ88" s="236"/>
      <c r="ABA88" s="236"/>
      <c r="ABB88" s="236"/>
      <c r="ABC88" s="236"/>
      <c r="ABD88" s="236"/>
      <c r="ABE88" s="236"/>
      <c r="ABF88" s="236"/>
      <c r="ABG88" s="236"/>
      <c r="ABH88" s="236"/>
      <c r="ABI88" s="236"/>
      <c r="ABJ88" s="236"/>
      <c r="ABK88" s="236"/>
      <c r="ABL88" s="236"/>
      <c r="ABM88" s="236"/>
      <c r="ABN88" s="236"/>
      <c r="ABO88" s="236"/>
      <c r="ABP88" s="236"/>
      <c r="ABQ88" s="236"/>
      <c r="ABR88" s="236"/>
      <c r="ABS88" s="236"/>
      <c r="ABT88" s="236"/>
      <c r="ABU88" s="236"/>
      <c r="ABV88" s="236"/>
      <c r="ABW88" s="236"/>
      <c r="ABX88" s="236"/>
      <c r="ABY88" s="236"/>
      <c r="ABZ88" s="236"/>
      <c r="ACA88" s="236"/>
      <c r="ACB88" s="236"/>
      <c r="ACC88" s="236"/>
      <c r="ACD88" s="236"/>
      <c r="ACE88" s="236"/>
      <c r="ACF88" s="236"/>
      <c r="ACG88" s="236"/>
      <c r="ACH88" s="236"/>
      <c r="ACI88" s="236"/>
      <c r="ACJ88" s="236"/>
      <c r="ACK88" s="236"/>
      <c r="ACL88" s="236"/>
      <c r="ACM88" s="236"/>
      <c r="ACN88" s="236"/>
      <c r="ACO88" s="236"/>
      <c r="ACP88" s="236"/>
      <c r="ACQ88" s="236"/>
      <c r="ACR88" s="236"/>
      <c r="ACS88" s="236"/>
      <c r="ACT88" s="236"/>
      <c r="ACU88" s="236"/>
      <c r="ACV88" s="236"/>
      <c r="ACW88" s="236"/>
      <c r="ACX88" s="236"/>
      <c r="ACY88" s="236"/>
      <c r="ACZ88" s="236"/>
      <c r="ADA88" s="236"/>
      <c r="ADB88" s="236"/>
      <c r="ADC88" s="236"/>
      <c r="ADD88" s="236"/>
      <c r="ADE88" s="236"/>
      <c r="ADF88" s="236"/>
      <c r="ADG88" s="236"/>
      <c r="ADH88" s="236"/>
      <c r="ADI88" s="236"/>
      <c r="ADJ88" s="236"/>
      <c r="ADK88" s="236"/>
      <c r="ADL88" s="236"/>
      <c r="ADM88" s="236"/>
      <c r="ADN88" s="236"/>
      <c r="ADO88" s="236"/>
      <c r="ADP88" s="236"/>
      <c r="ADQ88" s="236"/>
      <c r="ADR88" s="236"/>
      <c r="ADS88" s="236"/>
      <c r="ADT88" s="236"/>
      <c r="ADU88" s="236"/>
      <c r="ADV88" s="236"/>
      <c r="ADW88" s="236"/>
      <c r="ADX88" s="236"/>
      <c r="ADY88" s="236"/>
      <c r="ADZ88" s="236"/>
      <c r="AEA88" s="236"/>
      <c r="AEB88" s="236"/>
      <c r="AEC88" s="236"/>
      <c r="AED88" s="236"/>
      <c r="AEE88" s="236"/>
      <c r="AEF88" s="236"/>
      <c r="AEG88" s="236"/>
      <c r="AEH88" s="236"/>
      <c r="AEI88" s="236"/>
      <c r="AEJ88" s="236"/>
      <c r="AEK88" s="236"/>
      <c r="AEL88" s="236"/>
      <c r="AEM88" s="236"/>
      <c r="AEN88" s="236"/>
      <c r="AEO88" s="236"/>
      <c r="AEP88" s="236"/>
      <c r="AEQ88" s="236"/>
      <c r="AER88" s="236"/>
      <c r="AES88" s="236"/>
      <c r="AET88" s="236"/>
      <c r="AEU88" s="236"/>
      <c r="AEV88" s="236"/>
      <c r="AEW88" s="236"/>
      <c r="AEX88" s="236"/>
      <c r="AEY88" s="236"/>
      <c r="AEZ88" s="236"/>
      <c r="AFA88" s="236"/>
      <c r="AFB88" s="236"/>
      <c r="AFC88" s="236"/>
      <c r="AFD88" s="236"/>
      <c r="AFE88" s="236"/>
      <c r="AFF88" s="236"/>
      <c r="AFG88" s="236"/>
      <c r="AFH88" s="236"/>
      <c r="AFI88" s="236"/>
      <c r="AFJ88" s="236"/>
      <c r="AFK88" s="236"/>
      <c r="AFL88" s="236"/>
      <c r="AFM88" s="236"/>
      <c r="AFN88" s="236"/>
      <c r="AFO88" s="236"/>
      <c r="AFP88" s="236"/>
      <c r="AFQ88" s="236"/>
      <c r="AFR88" s="236"/>
      <c r="AFS88" s="236"/>
      <c r="AFT88" s="236"/>
      <c r="AFU88" s="236"/>
      <c r="AFV88" s="236"/>
      <c r="AFW88" s="236"/>
      <c r="AFX88" s="236"/>
      <c r="AFY88" s="236"/>
      <c r="AFZ88" s="236"/>
      <c r="AGA88" s="236"/>
      <c r="AGB88" s="236"/>
      <c r="AGC88" s="236"/>
      <c r="AGD88" s="236"/>
      <c r="AGE88" s="236"/>
      <c r="AGF88" s="236"/>
      <c r="AGG88" s="236"/>
      <c r="AGH88" s="236"/>
      <c r="AGI88" s="236"/>
      <c r="AGJ88" s="236"/>
      <c r="AGK88" s="236"/>
      <c r="AGL88" s="236"/>
      <c r="AGM88" s="236"/>
      <c r="AGN88" s="236"/>
      <c r="AGO88" s="236"/>
      <c r="AGP88" s="236"/>
      <c r="AGQ88" s="236"/>
      <c r="AGR88" s="236"/>
      <c r="AGS88" s="236"/>
      <c r="AGT88" s="236"/>
      <c r="AGU88" s="236"/>
      <c r="AGV88" s="236"/>
      <c r="AGW88" s="236"/>
      <c r="AGX88" s="236"/>
      <c r="AGY88" s="236"/>
      <c r="AGZ88" s="236"/>
      <c r="AHA88" s="236"/>
      <c r="AHB88" s="236"/>
      <c r="AHC88" s="236"/>
      <c r="AHD88" s="236"/>
      <c r="AHE88" s="236"/>
      <c r="AHF88" s="236"/>
      <c r="AHG88" s="236"/>
      <c r="AHH88" s="236"/>
      <c r="AHI88" s="236"/>
      <c r="AHJ88" s="236"/>
      <c r="AHK88" s="236"/>
      <c r="AHL88" s="236"/>
      <c r="AHM88" s="236"/>
      <c r="AHN88" s="236"/>
      <c r="AHO88" s="236"/>
      <c r="AHP88" s="236"/>
      <c r="AHQ88" s="236"/>
      <c r="AHR88" s="236"/>
      <c r="AHS88" s="236"/>
      <c r="AHT88" s="236"/>
      <c r="AHU88" s="236"/>
      <c r="AHV88" s="236"/>
      <c r="AHW88" s="236"/>
      <c r="AHX88" s="236"/>
      <c r="AHY88" s="236"/>
      <c r="AHZ88" s="236"/>
      <c r="AIA88" s="236"/>
      <c r="AIB88" s="236"/>
      <c r="AIC88" s="236"/>
      <c r="AID88" s="236"/>
      <c r="AIE88" s="236"/>
      <c r="AIF88" s="236"/>
      <c r="AIG88" s="236"/>
      <c r="AIH88" s="236"/>
      <c r="AII88" s="236"/>
      <c r="AIJ88" s="236"/>
      <c r="AIK88" s="236"/>
      <c r="AIL88" s="236"/>
      <c r="AIM88" s="236"/>
      <c r="AIN88" s="236"/>
      <c r="AIO88" s="236"/>
      <c r="AIP88" s="236"/>
      <c r="AIQ88" s="236"/>
      <c r="AIR88" s="236"/>
      <c r="AIS88" s="236"/>
      <c r="AIT88" s="236"/>
      <c r="AIU88" s="236"/>
      <c r="AIV88" s="236"/>
      <c r="AIW88" s="236"/>
      <c r="AIX88" s="236"/>
      <c r="AIY88" s="236"/>
      <c r="AIZ88" s="236"/>
      <c r="AJA88" s="236"/>
      <c r="AJB88" s="236"/>
      <c r="AJC88" s="236"/>
      <c r="AJD88" s="236"/>
      <c r="AJE88" s="236"/>
      <c r="AJF88" s="236"/>
      <c r="AJG88" s="236"/>
      <c r="AJH88" s="236"/>
      <c r="AJI88" s="236"/>
      <c r="AJJ88" s="236"/>
      <c r="AJK88" s="236"/>
      <c r="AJL88" s="236"/>
      <c r="AJM88" s="236"/>
      <c r="AJN88" s="236"/>
      <c r="AJO88" s="236"/>
      <c r="AJP88" s="236"/>
      <c r="AJQ88" s="236"/>
      <c r="AJR88" s="236"/>
      <c r="AJS88" s="236"/>
      <c r="AJT88" s="236"/>
      <c r="AJU88" s="236"/>
      <c r="AJV88" s="236"/>
      <c r="AJW88" s="236"/>
      <c r="AJX88" s="236"/>
      <c r="AJY88" s="236"/>
      <c r="AJZ88" s="236"/>
      <c r="AKA88" s="236"/>
      <c r="AKB88" s="236"/>
      <c r="AKC88" s="236"/>
      <c r="AKD88" s="236"/>
      <c r="AKE88" s="236"/>
      <c r="AKF88" s="236"/>
      <c r="AKG88" s="236"/>
      <c r="AKH88" s="236"/>
      <c r="AKI88" s="236"/>
      <c r="AKJ88" s="236"/>
      <c r="AKK88" s="236"/>
      <c r="AKL88" s="236"/>
      <c r="AKM88" s="236"/>
      <c r="AKN88" s="236"/>
      <c r="AKO88" s="236"/>
      <c r="AKP88" s="236"/>
      <c r="AKQ88" s="236"/>
      <c r="AKR88" s="236"/>
      <c r="AKS88" s="236"/>
      <c r="AKT88" s="236"/>
      <c r="AKU88" s="236"/>
      <c r="AKV88" s="236"/>
      <c r="AKW88" s="236"/>
      <c r="AKX88" s="236"/>
      <c r="AKY88" s="236"/>
      <c r="AKZ88" s="236"/>
      <c r="ALA88" s="236"/>
      <c r="ALB88" s="236"/>
      <c r="ALC88" s="236"/>
      <c r="ALD88" s="236"/>
      <c r="ALE88" s="236"/>
      <c r="ALF88" s="236"/>
      <c r="ALG88" s="236"/>
      <c r="ALH88" s="236"/>
      <c r="ALI88" s="236"/>
      <c r="ALJ88" s="236"/>
      <c r="ALK88" s="236"/>
      <c r="ALL88" s="236"/>
      <c r="ALM88" s="236"/>
      <c r="ALN88" s="236"/>
      <c r="ALO88" s="236"/>
      <c r="ALP88" s="236"/>
      <c r="ALQ88" s="236"/>
      <c r="ALR88" s="236"/>
      <c r="ALS88" s="236"/>
      <c r="ALT88" s="236"/>
      <c r="ALU88" s="236"/>
      <c r="ALV88" s="236"/>
      <c r="ALW88" s="236"/>
      <c r="ALX88" s="236"/>
      <c r="ALY88" s="236"/>
      <c r="ALZ88" s="236"/>
      <c r="AMA88" s="236"/>
      <c r="AMB88" s="236"/>
      <c r="AMC88" s="236"/>
      <c r="AMD88" s="236"/>
      <c r="AME88" s="236"/>
      <c r="AMF88" s="236"/>
      <c r="AMG88" s="236"/>
      <c r="AMH88" s="236"/>
      <c r="AMI88" s="236"/>
      <c r="AMJ88" s="236"/>
      <c r="AMK88" s="236"/>
      <c r="AML88" s="236"/>
      <c r="AMM88" s="236"/>
    </row>
    <row r="89" spans="1:1027" ht="11.25" customHeight="1">
      <c r="A89" s="1386" t="s">
        <v>717</v>
      </c>
      <c r="B89" s="1387"/>
      <c r="C89" s="1387"/>
      <c r="D89" s="1387"/>
      <c r="E89" s="1387"/>
      <c r="F89" s="1387"/>
      <c r="G89" s="1387"/>
      <c r="H89" s="1387"/>
      <c r="I89" s="1387"/>
      <c r="J89" s="1387"/>
      <c r="K89" s="1387"/>
      <c r="L89" s="1388"/>
      <c r="M89" s="275"/>
      <c r="N89" s="280" t="s">
        <v>650</v>
      </c>
      <c r="O89" s="280"/>
      <c r="P89" s="281"/>
      <c r="Q89" s="281"/>
      <c r="R89" s="281"/>
      <c r="S89" s="281"/>
      <c r="T89" s="281"/>
      <c r="U89" s="281"/>
      <c r="V89" s="281"/>
      <c r="W89" s="281"/>
      <c r="X89" s="282"/>
      <c r="Y89" s="282"/>
      <c r="Z89" s="282"/>
      <c r="AA89" s="281"/>
      <c r="AB89" s="282"/>
      <c r="AC89" s="282"/>
      <c r="AD89" s="281"/>
      <c r="AE89" s="281"/>
      <c r="AF89" s="281"/>
      <c r="AG89" s="281"/>
      <c r="AH89" s="281"/>
      <c r="AI89" s="281"/>
      <c r="AJ89" s="275"/>
      <c r="AK89" s="275"/>
      <c r="AL89" s="275"/>
      <c r="AM89" s="279"/>
      <c r="AN89" s="262"/>
      <c r="AO89" s="262"/>
      <c r="AP89" s="262"/>
      <c r="AQ89" s="262"/>
      <c r="AR89" s="262"/>
      <c r="AS89" s="262"/>
      <c r="AT89" s="262"/>
      <c r="AU89" s="262"/>
      <c r="AV89" s="262"/>
      <c r="AW89" s="262"/>
      <c r="AX89" s="262"/>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c r="HV89" s="236"/>
      <c r="HW89" s="236"/>
      <c r="HX89" s="236"/>
      <c r="HY89" s="236"/>
      <c r="HZ89" s="236"/>
      <c r="IA89" s="236"/>
      <c r="IB89" s="236"/>
      <c r="IC89" s="236"/>
      <c r="ID89" s="236"/>
      <c r="IE89" s="236"/>
      <c r="IF89" s="236"/>
      <c r="IG89" s="236"/>
      <c r="IH89" s="236"/>
      <c r="II89" s="236"/>
      <c r="IJ89" s="236"/>
      <c r="IK89" s="236"/>
      <c r="IL89" s="236"/>
      <c r="IM89" s="236"/>
      <c r="IN89" s="236"/>
      <c r="IO89" s="236"/>
      <c r="IP89" s="236"/>
      <c r="IQ89" s="236"/>
      <c r="IR89" s="236"/>
      <c r="IS89" s="236"/>
      <c r="IT89" s="236"/>
      <c r="IU89" s="236"/>
      <c r="IV89" s="236"/>
      <c r="IW89" s="236"/>
      <c r="IX89" s="236"/>
      <c r="IY89" s="236"/>
      <c r="IZ89" s="236"/>
      <c r="JA89" s="236"/>
      <c r="JB89" s="236"/>
      <c r="JC89" s="236"/>
      <c r="JD89" s="236"/>
      <c r="JE89" s="236"/>
      <c r="JF89" s="236"/>
      <c r="JG89" s="236"/>
      <c r="JH89" s="236"/>
      <c r="JI89" s="236"/>
      <c r="JJ89" s="236"/>
      <c r="JK89" s="236"/>
      <c r="JL89" s="236"/>
      <c r="JM89" s="236"/>
      <c r="JN89" s="236"/>
      <c r="JO89" s="236"/>
      <c r="JP89" s="236"/>
      <c r="JQ89" s="236"/>
      <c r="JR89" s="236"/>
      <c r="JS89" s="236"/>
      <c r="JT89" s="236"/>
      <c r="JU89" s="236"/>
      <c r="JV89" s="236"/>
      <c r="JW89" s="236"/>
      <c r="JX89" s="236"/>
      <c r="JY89" s="236"/>
      <c r="JZ89" s="236"/>
      <c r="KA89" s="236"/>
      <c r="KB89" s="236"/>
      <c r="KC89" s="236"/>
      <c r="KD89" s="236"/>
      <c r="KE89" s="236"/>
      <c r="KF89" s="236"/>
      <c r="KG89" s="236"/>
      <c r="KH89" s="236"/>
      <c r="KI89" s="236"/>
      <c r="KJ89" s="236"/>
      <c r="KK89" s="236"/>
      <c r="KL89" s="236"/>
      <c r="KM89" s="236"/>
      <c r="KN89" s="236"/>
      <c r="KO89" s="236"/>
      <c r="KP89" s="236"/>
      <c r="KQ89" s="236"/>
      <c r="KR89" s="236"/>
      <c r="KS89" s="236"/>
      <c r="KT89" s="236"/>
      <c r="KU89" s="236"/>
      <c r="KV89" s="236"/>
      <c r="KW89" s="236"/>
      <c r="KX89" s="236"/>
      <c r="KY89" s="236"/>
      <c r="KZ89" s="236"/>
      <c r="LA89" s="236"/>
      <c r="LB89" s="236"/>
      <c r="LC89" s="236"/>
      <c r="LD89" s="236"/>
      <c r="LE89" s="236"/>
      <c r="LF89" s="236"/>
      <c r="LG89" s="236"/>
      <c r="LH89" s="236"/>
      <c r="LI89" s="236"/>
      <c r="LJ89" s="236"/>
      <c r="LK89" s="236"/>
      <c r="LL89" s="236"/>
      <c r="LM89" s="236"/>
      <c r="LN89" s="236"/>
      <c r="LO89" s="236"/>
      <c r="LP89" s="236"/>
      <c r="LQ89" s="236"/>
      <c r="LR89" s="236"/>
      <c r="LS89" s="236"/>
      <c r="LT89" s="236"/>
      <c r="LU89" s="236"/>
      <c r="LV89" s="236"/>
      <c r="LW89" s="236"/>
      <c r="LX89" s="236"/>
      <c r="LY89" s="236"/>
      <c r="LZ89" s="236"/>
      <c r="MA89" s="236"/>
      <c r="MB89" s="236"/>
      <c r="MC89" s="236"/>
      <c r="MD89" s="236"/>
      <c r="ME89" s="236"/>
      <c r="MF89" s="236"/>
      <c r="MG89" s="236"/>
      <c r="MH89" s="236"/>
      <c r="MI89" s="236"/>
      <c r="MJ89" s="236"/>
      <c r="MK89" s="236"/>
      <c r="ML89" s="236"/>
      <c r="MM89" s="236"/>
      <c r="MN89" s="236"/>
      <c r="MO89" s="236"/>
      <c r="MP89" s="236"/>
      <c r="MQ89" s="236"/>
      <c r="MR89" s="236"/>
      <c r="MS89" s="236"/>
      <c r="MT89" s="236"/>
      <c r="MU89" s="236"/>
      <c r="MV89" s="236"/>
      <c r="MW89" s="236"/>
      <c r="MX89" s="236"/>
      <c r="MY89" s="236"/>
      <c r="MZ89" s="236"/>
      <c r="NA89" s="236"/>
      <c r="NB89" s="236"/>
      <c r="NC89" s="236"/>
      <c r="ND89" s="236"/>
      <c r="NE89" s="236"/>
      <c r="NF89" s="236"/>
      <c r="NG89" s="236"/>
      <c r="NH89" s="236"/>
      <c r="NI89" s="236"/>
      <c r="NJ89" s="236"/>
      <c r="NK89" s="236"/>
      <c r="NL89" s="236"/>
      <c r="NM89" s="236"/>
      <c r="NN89" s="236"/>
      <c r="NO89" s="236"/>
      <c r="NP89" s="236"/>
      <c r="NQ89" s="236"/>
      <c r="NR89" s="236"/>
      <c r="NS89" s="236"/>
      <c r="NT89" s="236"/>
      <c r="NU89" s="236"/>
      <c r="NV89" s="236"/>
      <c r="NW89" s="236"/>
      <c r="NX89" s="236"/>
      <c r="NY89" s="236"/>
      <c r="NZ89" s="236"/>
      <c r="OA89" s="236"/>
      <c r="OB89" s="236"/>
      <c r="OC89" s="236"/>
      <c r="OD89" s="236"/>
      <c r="OE89" s="236"/>
      <c r="OF89" s="236"/>
      <c r="OG89" s="236"/>
      <c r="OH89" s="236"/>
      <c r="OI89" s="236"/>
      <c r="OJ89" s="236"/>
      <c r="OK89" s="236"/>
      <c r="OL89" s="236"/>
      <c r="OM89" s="236"/>
      <c r="ON89" s="236"/>
      <c r="OO89" s="236"/>
      <c r="OP89" s="236"/>
      <c r="OQ89" s="236"/>
      <c r="OR89" s="236"/>
      <c r="OS89" s="236"/>
      <c r="OT89" s="236"/>
      <c r="OU89" s="236"/>
      <c r="OV89" s="236"/>
      <c r="OW89" s="236"/>
      <c r="OX89" s="236"/>
      <c r="OY89" s="236"/>
      <c r="OZ89" s="236"/>
      <c r="PA89" s="236"/>
      <c r="PB89" s="236"/>
      <c r="PC89" s="236"/>
      <c r="PD89" s="236"/>
      <c r="PE89" s="236"/>
      <c r="PF89" s="236"/>
      <c r="PG89" s="236"/>
      <c r="PH89" s="236"/>
      <c r="PI89" s="236"/>
      <c r="PJ89" s="236"/>
      <c r="PK89" s="236"/>
      <c r="PL89" s="236"/>
      <c r="PM89" s="236"/>
      <c r="PN89" s="236"/>
      <c r="PO89" s="236"/>
      <c r="PP89" s="236"/>
      <c r="PQ89" s="236"/>
      <c r="PR89" s="236"/>
      <c r="PS89" s="236"/>
      <c r="PT89" s="236"/>
      <c r="PU89" s="236"/>
      <c r="PV89" s="236"/>
      <c r="PW89" s="236"/>
      <c r="PX89" s="236"/>
      <c r="PY89" s="236"/>
      <c r="PZ89" s="236"/>
      <c r="QA89" s="236"/>
      <c r="QB89" s="236"/>
      <c r="QC89" s="236"/>
      <c r="QD89" s="236"/>
      <c r="QE89" s="236"/>
      <c r="QF89" s="236"/>
      <c r="QG89" s="236"/>
      <c r="QH89" s="236"/>
      <c r="QI89" s="236"/>
      <c r="QJ89" s="236"/>
      <c r="QK89" s="236"/>
      <c r="QL89" s="236"/>
      <c r="QM89" s="236"/>
      <c r="QN89" s="236"/>
      <c r="QO89" s="236"/>
      <c r="QP89" s="236"/>
      <c r="QQ89" s="236"/>
      <c r="QR89" s="236"/>
      <c r="QS89" s="236"/>
      <c r="QT89" s="236"/>
      <c r="QU89" s="236"/>
      <c r="QV89" s="236"/>
      <c r="QW89" s="236"/>
      <c r="QX89" s="236"/>
      <c r="QY89" s="236"/>
      <c r="QZ89" s="236"/>
      <c r="RA89" s="236"/>
      <c r="RB89" s="236"/>
      <c r="RC89" s="236"/>
      <c r="RD89" s="236"/>
      <c r="RE89" s="236"/>
      <c r="RF89" s="236"/>
      <c r="RG89" s="236"/>
      <c r="RH89" s="236"/>
      <c r="RI89" s="236"/>
      <c r="RJ89" s="236"/>
      <c r="RK89" s="236"/>
      <c r="RL89" s="236"/>
      <c r="RM89" s="236"/>
      <c r="RN89" s="236"/>
      <c r="RO89" s="236"/>
      <c r="RP89" s="236"/>
      <c r="RQ89" s="236"/>
      <c r="RR89" s="236"/>
      <c r="RS89" s="236"/>
      <c r="RT89" s="236"/>
      <c r="RU89" s="236"/>
      <c r="RV89" s="236"/>
      <c r="RW89" s="236"/>
      <c r="RX89" s="236"/>
      <c r="RY89" s="236"/>
      <c r="RZ89" s="236"/>
      <c r="SA89" s="236"/>
      <c r="SB89" s="236"/>
      <c r="SC89" s="236"/>
      <c r="SD89" s="236"/>
      <c r="SE89" s="236"/>
      <c r="SF89" s="236"/>
      <c r="SG89" s="236"/>
      <c r="SH89" s="236"/>
      <c r="SI89" s="236"/>
      <c r="SJ89" s="236"/>
      <c r="SK89" s="236"/>
      <c r="SL89" s="236"/>
      <c r="SM89" s="236"/>
      <c r="SN89" s="236"/>
      <c r="SO89" s="236"/>
      <c r="SP89" s="236"/>
      <c r="SQ89" s="236"/>
      <c r="SR89" s="236"/>
      <c r="SS89" s="236"/>
      <c r="ST89" s="236"/>
      <c r="SU89" s="236"/>
      <c r="SV89" s="236"/>
      <c r="SW89" s="236"/>
      <c r="SX89" s="236"/>
      <c r="SY89" s="236"/>
      <c r="SZ89" s="236"/>
      <c r="TA89" s="236"/>
      <c r="TB89" s="236"/>
      <c r="TC89" s="236"/>
      <c r="TD89" s="236"/>
      <c r="TE89" s="236"/>
      <c r="TF89" s="236"/>
      <c r="TG89" s="236"/>
      <c r="TH89" s="236"/>
      <c r="TI89" s="236"/>
      <c r="TJ89" s="236"/>
      <c r="TK89" s="236"/>
      <c r="TL89" s="236"/>
      <c r="TM89" s="236"/>
      <c r="TN89" s="236"/>
      <c r="TO89" s="236"/>
      <c r="TP89" s="236"/>
      <c r="TQ89" s="236"/>
      <c r="TR89" s="236"/>
      <c r="TS89" s="236"/>
      <c r="TT89" s="236"/>
      <c r="TU89" s="236"/>
      <c r="TV89" s="236"/>
      <c r="TW89" s="236"/>
      <c r="TX89" s="236"/>
      <c r="TY89" s="236"/>
      <c r="TZ89" s="236"/>
      <c r="UA89" s="236"/>
      <c r="UB89" s="236"/>
      <c r="UC89" s="236"/>
      <c r="UD89" s="236"/>
      <c r="UE89" s="236"/>
      <c r="UF89" s="236"/>
      <c r="UG89" s="236"/>
      <c r="UH89" s="236"/>
      <c r="UI89" s="236"/>
      <c r="UJ89" s="236"/>
      <c r="UK89" s="236"/>
      <c r="UL89" s="236"/>
      <c r="UM89" s="236"/>
      <c r="UN89" s="236"/>
      <c r="UO89" s="236"/>
      <c r="UP89" s="236"/>
      <c r="UQ89" s="236"/>
      <c r="UR89" s="236"/>
      <c r="US89" s="236"/>
      <c r="UT89" s="236"/>
      <c r="UU89" s="236"/>
      <c r="UV89" s="236"/>
      <c r="UW89" s="236"/>
      <c r="UX89" s="236"/>
      <c r="UY89" s="236"/>
      <c r="UZ89" s="236"/>
      <c r="VA89" s="236"/>
      <c r="VB89" s="236"/>
      <c r="VC89" s="236"/>
      <c r="VD89" s="236"/>
      <c r="VE89" s="236"/>
      <c r="VF89" s="236"/>
      <c r="VG89" s="236"/>
      <c r="VH89" s="236"/>
      <c r="VI89" s="236"/>
      <c r="VJ89" s="236"/>
      <c r="VK89" s="236"/>
      <c r="VL89" s="236"/>
      <c r="VM89" s="236"/>
      <c r="VN89" s="236"/>
      <c r="VO89" s="236"/>
      <c r="VP89" s="236"/>
      <c r="VQ89" s="236"/>
      <c r="VR89" s="236"/>
      <c r="VS89" s="236"/>
      <c r="VT89" s="236"/>
      <c r="VU89" s="236"/>
      <c r="VV89" s="236"/>
      <c r="VW89" s="236"/>
      <c r="VX89" s="236"/>
      <c r="VY89" s="236"/>
      <c r="VZ89" s="236"/>
      <c r="WA89" s="236"/>
      <c r="WB89" s="236"/>
      <c r="WC89" s="236"/>
      <c r="WD89" s="236"/>
      <c r="WE89" s="236"/>
      <c r="WF89" s="236"/>
      <c r="WG89" s="236"/>
      <c r="WH89" s="236"/>
      <c r="WI89" s="236"/>
      <c r="WJ89" s="236"/>
      <c r="WK89" s="236"/>
      <c r="WL89" s="236"/>
      <c r="WM89" s="236"/>
      <c r="WN89" s="236"/>
      <c r="WO89" s="236"/>
      <c r="WP89" s="236"/>
      <c r="WQ89" s="236"/>
      <c r="WR89" s="236"/>
      <c r="WS89" s="236"/>
      <c r="WT89" s="236"/>
      <c r="WU89" s="236"/>
      <c r="WV89" s="236"/>
      <c r="WW89" s="236"/>
      <c r="WX89" s="236"/>
      <c r="WY89" s="236"/>
      <c r="WZ89" s="236"/>
      <c r="XA89" s="236"/>
      <c r="XB89" s="236"/>
      <c r="XC89" s="236"/>
      <c r="XD89" s="236"/>
      <c r="XE89" s="236"/>
      <c r="XF89" s="236"/>
      <c r="XG89" s="236"/>
      <c r="XH89" s="236"/>
      <c r="XI89" s="236"/>
      <c r="XJ89" s="236"/>
      <c r="XK89" s="236"/>
      <c r="XL89" s="236"/>
      <c r="XM89" s="236"/>
      <c r="XN89" s="236"/>
      <c r="XO89" s="236"/>
      <c r="XP89" s="236"/>
      <c r="XQ89" s="236"/>
      <c r="XR89" s="236"/>
      <c r="XS89" s="236"/>
      <c r="XT89" s="236"/>
      <c r="XU89" s="236"/>
      <c r="XV89" s="236"/>
      <c r="XW89" s="236"/>
      <c r="XX89" s="236"/>
      <c r="XY89" s="236"/>
      <c r="XZ89" s="236"/>
      <c r="YA89" s="236"/>
      <c r="YB89" s="236"/>
      <c r="YC89" s="236"/>
      <c r="YD89" s="236"/>
      <c r="YE89" s="236"/>
      <c r="YF89" s="236"/>
      <c r="YG89" s="236"/>
      <c r="YH89" s="236"/>
      <c r="YI89" s="236"/>
      <c r="YJ89" s="236"/>
      <c r="YK89" s="236"/>
      <c r="YL89" s="236"/>
      <c r="YM89" s="236"/>
      <c r="YN89" s="236"/>
      <c r="YO89" s="236"/>
      <c r="YP89" s="236"/>
      <c r="YQ89" s="236"/>
      <c r="YR89" s="236"/>
      <c r="YS89" s="236"/>
      <c r="YT89" s="236"/>
      <c r="YU89" s="236"/>
      <c r="YV89" s="236"/>
      <c r="YW89" s="236"/>
      <c r="YX89" s="236"/>
      <c r="YY89" s="236"/>
      <c r="YZ89" s="236"/>
      <c r="ZA89" s="236"/>
      <c r="ZB89" s="236"/>
      <c r="ZC89" s="236"/>
      <c r="ZD89" s="236"/>
      <c r="ZE89" s="236"/>
      <c r="ZF89" s="236"/>
      <c r="ZG89" s="236"/>
      <c r="ZH89" s="236"/>
      <c r="ZI89" s="236"/>
      <c r="ZJ89" s="236"/>
      <c r="ZK89" s="236"/>
      <c r="ZL89" s="236"/>
      <c r="ZM89" s="236"/>
      <c r="ZN89" s="236"/>
      <c r="ZO89" s="236"/>
      <c r="ZP89" s="236"/>
      <c r="ZQ89" s="236"/>
      <c r="ZR89" s="236"/>
      <c r="ZS89" s="236"/>
      <c r="ZT89" s="236"/>
      <c r="ZU89" s="236"/>
      <c r="ZV89" s="236"/>
      <c r="ZW89" s="236"/>
      <c r="ZX89" s="236"/>
      <c r="ZY89" s="236"/>
      <c r="ZZ89" s="236"/>
      <c r="AAA89" s="236"/>
      <c r="AAB89" s="236"/>
      <c r="AAC89" s="236"/>
      <c r="AAD89" s="236"/>
      <c r="AAE89" s="236"/>
      <c r="AAF89" s="236"/>
      <c r="AAG89" s="236"/>
      <c r="AAH89" s="236"/>
      <c r="AAI89" s="236"/>
      <c r="AAJ89" s="236"/>
      <c r="AAK89" s="236"/>
      <c r="AAL89" s="236"/>
      <c r="AAM89" s="236"/>
      <c r="AAN89" s="236"/>
      <c r="AAO89" s="236"/>
      <c r="AAP89" s="236"/>
      <c r="AAQ89" s="236"/>
      <c r="AAR89" s="236"/>
      <c r="AAS89" s="236"/>
      <c r="AAT89" s="236"/>
      <c r="AAU89" s="236"/>
      <c r="AAV89" s="236"/>
      <c r="AAW89" s="236"/>
      <c r="AAX89" s="236"/>
      <c r="AAY89" s="236"/>
      <c r="AAZ89" s="236"/>
      <c r="ABA89" s="236"/>
      <c r="ABB89" s="236"/>
      <c r="ABC89" s="236"/>
      <c r="ABD89" s="236"/>
      <c r="ABE89" s="236"/>
      <c r="ABF89" s="236"/>
      <c r="ABG89" s="236"/>
      <c r="ABH89" s="236"/>
      <c r="ABI89" s="236"/>
      <c r="ABJ89" s="236"/>
      <c r="ABK89" s="236"/>
      <c r="ABL89" s="236"/>
      <c r="ABM89" s="236"/>
      <c r="ABN89" s="236"/>
      <c r="ABO89" s="236"/>
      <c r="ABP89" s="236"/>
      <c r="ABQ89" s="236"/>
      <c r="ABR89" s="236"/>
      <c r="ABS89" s="236"/>
      <c r="ABT89" s="236"/>
      <c r="ABU89" s="236"/>
      <c r="ABV89" s="236"/>
      <c r="ABW89" s="236"/>
      <c r="ABX89" s="236"/>
      <c r="ABY89" s="236"/>
      <c r="ABZ89" s="236"/>
      <c r="ACA89" s="236"/>
      <c r="ACB89" s="236"/>
      <c r="ACC89" s="236"/>
      <c r="ACD89" s="236"/>
      <c r="ACE89" s="236"/>
      <c r="ACF89" s="236"/>
      <c r="ACG89" s="236"/>
      <c r="ACH89" s="236"/>
      <c r="ACI89" s="236"/>
      <c r="ACJ89" s="236"/>
      <c r="ACK89" s="236"/>
      <c r="ACL89" s="236"/>
      <c r="ACM89" s="236"/>
      <c r="ACN89" s="236"/>
      <c r="ACO89" s="236"/>
      <c r="ACP89" s="236"/>
      <c r="ACQ89" s="236"/>
      <c r="ACR89" s="236"/>
      <c r="ACS89" s="236"/>
      <c r="ACT89" s="236"/>
      <c r="ACU89" s="236"/>
      <c r="ACV89" s="236"/>
      <c r="ACW89" s="236"/>
      <c r="ACX89" s="236"/>
      <c r="ACY89" s="236"/>
      <c r="ACZ89" s="236"/>
      <c r="ADA89" s="236"/>
      <c r="ADB89" s="236"/>
      <c r="ADC89" s="236"/>
      <c r="ADD89" s="236"/>
      <c r="ADE89" s="236"/>
      <c r="ADF89" s="236"/>
      <c r="ADG89" s="236"/>
      <c r="ADH89" s="236"/>
      <c r="ADI89" s="236"/>
      <c r="ADJ89" s="236"/>
      <c r="ADK89" s="236"/>
      <c r="ADL89" s="236"/>
      <c r="ADM89" s="236"/>
      <c r="ADN89" s="236"/>
      <c r="ADO89" s="236"/>
      <c r="ADP89" s="236"/>
      <c r="ADQ89" s="236"/>
      <c r="ADR89" s="236"/>
      <c r="ADS89" s="236"/>
      <c r="ADT89" s="236"/>
      <c r="ADU89" s="236"/>
      <c r="ADV89" s="236"/>
      <c r="ADW89" s="236"/>
      <c r="ADX89" s="236"/>
      <c r="ADY89" s="236"/>
      <c r="ADZ89" s="236"/>
      <c r="AEA89" s="236"/>
      <c r="AEB89" s="236"/>
      <c r="AEC89" s="236"/>
      <c r="AED89" s="236"/>
      <c r="AEE89" s="236"/>
      <c r="AEF89" s="236"/>
      <c r="AEG89" s="236"/>
      <c r="AEH89" s="236"/>
      <c r="AEI89" s="236"/>
      <c r="AEJ89" s="236"/>
      <c r="AEK89" s="236"/>
      <c r="AEL89" s="236"/>
      <c r="AEM89" s="236"/>
      <c r="AEN89" s="236"/>
      <c r="AEO89" s="236"/>
      <c r="AEP89" s="236"/>
      <c r="AEQ89" s="236"/>
      <c r="AER89" s="236"/>
      <c r="AES89" s="236"/>
      <c r="AET89" s="236"/>
      <c r="AEU89" s="236"/>
      <c r="AEV89" s="236"/>
      <c r="AEW89" s="236"/>
      <c r="AEX89" s="236"/>
      <c r="AEY89" s="236"/>
      <c r="AEZ89" s="236"/>
      <c r="AFA89" s="236"/>
      <c r="AFB89" s="236"/>
      <c r="AFC89" s="236"/>
      <c r="AFD89" s="236"/>
      <c r="AFE89" s="236"/>
      <c r="AFF89" s="236"/>
      <c r="AFG89" s="236"/>
      <c r="AFH89" s="236"/>
      <c r="AFI89" s="236"/>
      <c r="AFJ89" s="236"/>
      <c r="AFK89" s="236"/>
      <c r="AFL89" s="236"/>
      <c r="AFM89" s="236"/>
      <c r="AFN89" s="236"/>
      <c r="AFO89" s="236"/>
      <c r="AFP89" s="236"/>
      <c r="AFQ89" s="236"/>
      <c r="AFR89" s="236"/>
      <c r="AFS89" s="236"/>
      <c r="AFT89" s="236"/>
      <c r="AFU89" s="236"/>
      <c r="AFV89" s="236"/>
      <c r="AFW89" s="236"/>
      <c r="AFX89" s="236"/>
      <c r="AFY89" s="236"/>
      <c r="AFZ89" s="236"/>
      <c r="AGA89" s="236"/>
      <c r="AGB89" s="236"/>
      <c r="AGC89" s="236"/>
      <c r="AGD89" s="236"/>
      <c r="AGE89" s="236"/>
      <c r="AGF89" s="236"/>
      <c r="AGG89" s="236"/>
      <c r="AGH89" s="236"/>
      <c r="AGI89" s="236"/>
      <c r="AGJ89" s="236"/>
      <c r="AGK89" s="236"/>
      <c r="AGL89" s="236"/>
      <c r="AGM89" s="236"/>
      <c r="AGN89" s="236"/>
      <c r="AGO89" s="236"/>
      <c r="AGP89" s="236"/>
      <c r="AGQ89" s="236"/>
      <c r="AGR89" s="236"/>
      <c r="AGS89" s="236"/>
      <c r="AGT89" s="236"/>
      <c r="AGU89" s="236"/>
      <c r="AGV89" s="236"/>
      <c r="AGW89" s="236"/>
      <c r="AGX89" s="236"/>
      <c r="AGY89" s="236"/>
      <c r="AGZ89" s="236"/>
      <c r="AHA89" s="236"/>
      <c r="AHB89" s="236"/>
      <c r="AHC89" s="236"/>
      <c r="AHD89" s="236"/>
      <c r="AHE89" s="236"/>
      <c r="AHF89" s="236"/>
      <c r="AHG89" s="236"/>
      <c r="AHH89" s="236"/>
      <c r="AHI89" s="236"/>
      <c r="AHJ89" s="236"/>
      <c r="AHK89" s="236"/>
      <c r="AHL89" s="236"/>
      <c r="AHM89" s="236"/>
      <c r="AHN89" s="236"/>
      <c r="AHO89" s="236"/>
      <c r="AHP89" s="236"/>
      <c r="AHQ89" s="236"/>
      <c r="AHR89" s="236"/>
      <c r="AHS89" s="236"/>
      <c r="AHT89" s="236"/>
      <c r="AHU89" s="236"/>
      <c r="AHV89" s="236"/>
      <c r="AHW89" s="236"/>
      <c r="AHX89" s="236"/>
      <c r="AHY89" s="236"/>
      <c r="AHZ89" s="236"/>
      <c r="AIA89" s="236"/>
      <c r="AIB89" s="236"/>
      <c r="AIC89" s="236"/>
      <c r="AID89" s="236"/>
      <c r="AIE89" s="236"/>
      <c r="AIF89" s="236"/>
      <c r="AIG89" s="236"/>
      <c r="AIH89" s="236"/>
      <c r="AII89" s="236"/>
      <c r="AIJ89" s="236"/>
      <c r="AIK89" s="236"/>
      <c r="AIL89" s="236"/>
      <c r="AIM89" s="236"/>
      <c r="AIN89" s="236"/>
      <c r="AIO89" s="236"/>
      <c r="AIP89" s="236"/>
      <c r="AIQ89" s="236"/>
      <c r="AIR89" s="236"/>
      <c r="AIS89" s="236"/>
      <c r="AIT89" s="236"/>
      <c r="AIU89" s="236"/>
      <c r="AIV89" s="236"/>
      <c r="AIW89" s="236"/>
      <c r="AIX89" s="236"/>
      <c r="AIY89" s="236"/>
      <c r="AIZ89" s="236"/>
      <c r="AJA89" s="236"/>
      <c r="AJB89" s="236"/>
      <c r="AJC89" s="236"/>
      <c r="AJD89" s="236"/>
      <c r="AJE89" s="236"/>
      <c r="AJF89" s="236"/>
      <c r="AJG89" s="236"/>
      <c r="AJH89" s="236"/>
      <c r="AJI89" s="236"/>
      <c r="AJJ89" s="236"/>
      <c r="AJK89" s="236"/>
      <c r="AJL89" s="236"/>
      <c r="AJM89" s="236"/>
      <c r="AJN89" s="236"/>
      <c r="AJO89" s="236"/>
      <c r="AJP89" s="236"/>
      <c r="AJQ89" s="236"/>
      <c r="AJR89" s="236"/>
      <c r="AJS89" s="236"/>
      <c r="AJT89" s="236"/>
      <c r="AJU89" s="236"/>
      <c r="AJV89" s="236"/>
      <c r="AJW89" s="236"/>
      <c r="AJX89" s="236"/>
      <c r="AJY89" s="236"/>
      <c r="AJZ89" s="236"/>
      <c r="AKA89" s="236"/>
      <c r="AKB89" s="236"/>
      <c r="AKC89" s="236"/>
      <c r="AKD89" s="236"/>
      <c r="AKE89" s="236"/>
      <c r="AKF89" s="236"/>
      <c r="AKG89" s="236"/>
      <c r="AKH89" s="236"/>
      <c r="AKI89" s="236"/>
      <c r="AKJ89" s="236"/>
      <c r="AKK89" s="236"/>
      <c r="AKL89" s="236"/>
      <c r="AKM89" s="236"/>
      <c r="AKN89" s="236"/>
      <c r="AKO89" s="236"/>
      <c r="AKP89" s="236"/>
      <c r="AKQ89" s="236"/>
      <c r="AKR89" s="236"/>
      <c r="AKS89" s="236"/>
      <c r="AKT89" s="236"/>
      <c r="AKU89" s="236"/>
      <c r="AKV89" s="236"/>
      <c r="AKW89" s="236"/>
      <c r="AKX89" s="236"/>
      <c r="AKY89" s="236"/>
      <c r="AKZ89" s="236"/>
      <c r="ALA89" s="236"/>
      <c r="ALB89" s="236"/>
      <c r="ALC89" s="236"/>
      <c r="ALD89" s="236"/>
      <c r="ALE89" s="236"/>
      <c r="ALF89" s="236"/>
      <c r="ALG89" s="236"/>
      <c r="ALH89" s="236"/>
      <c r="ALI89" s="236"/>
      <c r="ALJ89" s="236"/>
      <c r="ALK89" s="236"/>
      <c r="ALL89" s="236"/>
      <c r="ALM89" s="236"/>
      <c r="ALN89" s="236"/>
      <c r="ALO89" s="236"/>
      <c r="ALP89" s="236"/>
      <c r="ALQ89" s="236"/>
      <c r="ALR89" s="236"/>
      <c r="ALS89" s="236"/>
      <c r="ALT89" s="236"/>
      <c r="ALU89" s="236"/>
      <c r="ALV89" s="236"/>
      <c r="ALW89" s="236"/>
      <c r="ALX89" s="236"/>
      <c r="ALY89" s="236"/>
      <c r="ALZ89" s="236"/>
      <c r="AMA89" s="236"/>
      <c r="AMB89" s="236"/>
      <c r="AMC89" s="236"/>
      <c r="AMD89" s="236"/>
      <c r="AME89" s="236"/>
      <c r="AMF89" s="236"/>
      <c r="AMG89" s="236"/>
      <c r="AMH89" s="236"/>
      <c r="AMI89" s="236"/>
      <c r="AMJ89" s="236"/>
      <c r="AMK89" s="236"/>
      <c r="AML89" s="236"/>
      <c r="AMM89" s="236"/>
    </row>
    <row r="90" spans="1:1027">
      <c r="A90" s="1418"/>
      <c r="B90" s="1419"/>
      <c r="C90" s="1419"/>
      <c r="D90" s="1419"/>
      <c r="E90" s="1419"/>
      <c r="F90" s="1419"/>
      <c r="G90" s="1419"/>
      <c r="H90" s="1419"/>
      <c r="I90" s="1419"/>
      <c r="J90" s="1419"/>
      <c r="K90" s="1419"/>
      <c r="L90" s="1420"/>
      <c r="M90" s="283"/>
      <c r="N90" s="1392" t="s">
        <v>278</v>
      </c>
      <c r="O90" s="1393"/>
      <c r="P90" s="1393"/>
      <c r="Q90" s="1393"/>
      <c r="R90" s="1394"/>
      <c r="S90" s="284"/>
      <c r="T90" s="284"/>
      <c r="U90" s="284"/>
      <c r="V90" s="1392" t="s">
        <v>170</v>
      </c>
      <c r="W90" s="1393"/>
      <c r="X90" s="1393"/>
      <c r="Y90" s="1393"/>
      <c r="Z90" s="1394"/>
      <c r="AA90" s="1065"/>
      <c r="AB90" s="1392" t="s">
        <v>171</v>
      </c>
      <c r="AC90" s="1394"/>
      <c r="AD90" s="1392" t="s">
        <v>172</v>
      </c>
      <c r="AE90" s="1393"/>
      <c r="AF90" s="1393"/>
      <c r="AG90" s="1393"/>
      <c r="AH90" s="1393"/>
      <c r="AI90" s="1393"/>
      <c r="AJ90" s="1393"/>
      <c r="AK90" s="1393"/>
      <c r="AL90" s="1393"/>
      <c r="AM90" s="1394"/>
      <c r="AN90" s="262"/>
      <c r="AO90" s="262"/>
      <c r="AP90" s="262"/>
      <c r="AQ90" s="262"/>
      <c r="AR90" s="262"/>
      <c r="AS90" s="262"/>
      <c r="AT90" s="262"/>
      <c r="AU90" s="262"/>
      <c r="AV90" s="262"/>
      <c r="AW90" s="262"/>
      <c r="AX90" s="262"/>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c r="HV90" s="236"/>
      <c r="HW90" s="236"/>
      <c r="HX90" s="236"/>
      <c r="HY90" s="236"/>
      <c r="HZ90" s="236"/>
      <c r="IA90" s="236"/>
      <c r="IB90" s="236"/>
      <c r="IC90" s="236"/>
      <c r="ID90" s="236"/>
      <c r="IE90" s="236"/>
      <c r="IF90" s="236"/>
      <c r="IG90" s="236"/>
      <c r="IH90" s="236"/>
      <c r="II90" s="236"/>
      <c r="IJ90" s="236"/>
      <c r="IK90" s="236"/>
      <c r="IL90" s="236"/>
      <c r="IM90" s="236"/>
      <c r="IN90" s="236"/>
      <c r="IO90" s="236"/>
      <c r="IP90" s="236"/>
      <c r="IQ90" s="236"/>
      <c r="IR90" s="236"/>
      <c r="IS90" s="236"/>
      <c r="IT90" s="236"/>
      <c r="IU90" s="236"/>
      <c r="IV90" s="236"/>
      <c r="IW90" s="236"/>
      <c r="IX90" s="236"/>
      <c r="IY90" s="236"/>
      <c r="IZ90" s="236"/>
      <c r="JA90" s="236"/>
      <c r="JB90" s="236"/>
      <c r="JC90" s="236"/>
      <c r="JD90" s="236"/>
      <c r="JE90" s="236"/>
      <c r="JF90" s="236"/>
      <c r="JG90" s="236"/>
      <c r="JH90" s="236"/>
      <c r="JI90" s="236"/>
      <c r="JJ90" s="236"/>
      <c r="JK90" s="236"/>
      <c r="JL90" s="236"/>
      <c r="JM90" s="236"/>
      <c r="JN90" s="236"/>
      <c r="JO90" s="236"/>
      <c r="JP90" s="236"/>
      <c r="JQ90" s="236"/>
      <c r="JR90" s="236"/>
      <c r="JS90" s="236"/>
      <c r="JT90" s="236"/>
      <c r="JU90" s="236"/>
      <c r="JV90" s="236"/>
      <c r="JW90" s="236"/>
      <c r="JX90" s="236"/>
      <c r="JY90" s="236"/>
      <c r="JZ90" s="236"/>
      <c r="KA90" s="236"/>
      <c r="KB90" s="236"/>
      <c r="KC90" s="236"/>
      <c r="KD90" s="236"/>
      <c r="KE90" s="236"/>
      <c r="KF90" s="236"/>
      <c r="KG90" s="236"/>
      <c r="KH90" s="236"/>
      <c r="KI90" s="236"/>
      <c r="KJ90" s="236"/>
      <c r="KK90" s="236"/>
      <c r="KL90" s="236"/>
      <c r="KM90" s="236"/>
      <c r="KN90" s="236"/>
      <c r="KO90" s="236"/>
      <c r="KP90" s="236"/>
      <c r="KQ90" s="236"/>
      <c r="KR90" s="236"/>
      <c r="KS90" s="236"/>
      <c r="KT90" s="236"/>
      <c r="KU90" s="236"/>
      <c r="KV90" s="236"/>
      <c r="KW90" s="236"/>
      <c r="KX90" s="236"/>
      <c r="KY90" s="236"/>
      <c r="KZ90" s="236"/>
      <c r="LA90" s="236"/>
      <c r="LB90" s="236"/>
      <c r="LC90" s="236"/>
      <c r="LD90" s="236"/>
      <c r="LE90" s="236"/>
      <c r="LF90" s="236"/>
      <c r="LG90" s="236"/>
      <c r="LH90" s="236"/>
      <c r="LI90" s="236"/>
      <c r="LJ90" s="236"/>
      <c r="LK90" s="236"/>
      <c r="LL90" s="236"/>
      <c r="LM90" s="236"/>
      <c r="LN90" s="236"/>
      <c r="LO90" s="236"/>
      <c r="LP90" s="236"/>
      <c r="LQ90" s="236"/>
      <c r="LR90" s="236"/>
      <c r="LS90" s="236"/>
      <c r="LT90" s="236"/>
      <c r="LU90" s="236"/>
      <c r="LV90" s="236"/>
      <c r="LW90" s="236"/>
      <c r="LX90" s="236"/>
      <c r="LY90" s="236"/>
      <c r="LZ90" s="236"/>
      <c r="MA90" s="236"/>
      <c r="MB90" s="236"/>
      <c r="MC90" s="236"/>
      <c r="MD90" s="236"/>
      <c r="ME90" s="236"/>
      <c r="MF90" s="236"/>
      <c r="MG90" s="236"/>
      <c r="MH90" s="236"/>
      <c r="MI90" s="236"/>
      <c r="MJ90" s="236"/>
      <c r="MK90" s="236"/>
      <c r="ML90" s="236"/>
      <c r="MM90" s="236"/>
      <c r="MN90" s="236"/>
      <c r="MO90" s="236"/>
      <c r="MP90" s="236"/>
      <c r="MQ90" s="236"/>
      <c r="MR90" s="236"/>
      <c r="MS90" s="236"/>
      <c r="MT90" s="236"/>
      <c r="MU90" s="236"/>
      <c r="MV90" s="236"/>
      <c r="MW90" s="236"/>
      <c r="MX90" s="236"/>
      <c r="MY90" s="236"/>
      <c r="MZ90" s="236"/>
      <c r="NA90" s="236"/>
      <c r="NB90" s="236"/>
      <c r="NC90" s="236"/>
      <c r="ND90" s="236"/>
      <c r="NE90" s="236"/>
      <c r="NF90" s="236"/>
      <c r="NG90" s="236"/>
      <c r="NH90" s="236"/>
      <c r="NI90" s="236"/>
      <c r="NJ90" s="236"/>
      <c r="NK90" s="236"/>
      <c r="NL90" s="236"/>
      <c r="NM90" s="236"/>
      <c r="NN90" s="236"/>
      <c r="NO90" s="236"/>
      <c r="NP90" s="236"/>
      <c r="NQ90" s="236"/>
      <c r="NR90" s="236"/>
      <c r="NS90" s="236"/>
      <c r="NT90" s="236"/>
      <c r="NU90" s="236"/>
      <c r="NV90" s="236"/>
      <c r="NW90" s="236"/>
      <c r="NX90" s="236"/>
      <c r="NY90" s="236"/>
      <c r="NZ90" s="236"/>
      <c r="OA90" s="236"/>
      <c r="OB90" s="236"/>
      <c r="OC90" s="236"/>
      <c r="OD90" s="236"/>
      <c r="OE90" s="236"/>
      <c r="OF90" s="236"/>
      <c r="OG90" s="236"/>
      <c r="OH90" s="236"/>
      <c r="OI90" s="236"/>
      <c r="OJ90" s="236"/>
      <c r="OK90" s="236"/>
      <c r="OL90" s="236"/>
      <c r="OM90" s="236"/>
      <c r="ON90" s="236"/>
      <c r="OO90" s="236"/>
      <c r="OP90" s="236"/>
      <c r="OQ90" s="236"/>
      <c r="OR90" s="236"/>
      <c r="OS90" s="236"/>
      <c r="OT90" s="236"/>
      <c r="OU90" s="236"/>
      <c r="OV90" s="236"/>
      <c r="OW90" s="236"/>
      <c r="OX90" s="236"/>
      <c r="OY90" s="236"/>
      <c r="OZ90" s="236"/>
      <c r="PA90" s="236"/>
      <c r="PB90" s="236"/>
      <c r="PC90" s="236"/>
      <c r="PD90" s="236"/>
      <c r="PE90" s="236"/>
      <c r="PF90" s="236"/>
      <c r="PG90" s="236"/>
      <c r="PH90" s="236"/>
      <c r="PI90" s="236"/>
      <c r="PJ90" s="236"/>
      <c r="PK90" s="236"/>
      <c r="PL90" s="236"/>
      <c r="PM90" s="236"/>
      <c r="PN90" s="236"/>
      <c r="PO90" s="236"/>
      <c r="PP90" s="236"/>
      <c r="PQ90" s="236"/>
      <c r="PR90" s="236"/>
      <c r="PS90" s="236"/>
      <c r="PT90" s="236"/>
      <c r="PU90" s="236"/>
      <c r="PV90" s="236"/>
      <c r="PW90" s="236"/>
      <c r="PX90" s="236"/>
      <c r="PY90" s="236"/>
      <c r="PZ90" s="236"/>
      <c r="QA90" s="236"/>
      <c r="QB90" s="236"/>
      <c r="QC90" s="236"/>
      <c r="QD90" s="236"/>
      <c r="QE90" s="236"/>
      <c r="QF90" s="236"/>
      <c r="QG90" s="236"/>
      <c r="QH90" s="236"/>
      <c r="QI90" s="236"/>
      <c r="QJ90" s="236"/>
      <c r="QK90" s="236"/>
      <c r="QL90" s="236"/>
      <c r="QM90" s="236"/>
      <c r="QN90" s="236"/>
      <c r="QO90" s="236"/>
      <c r="QP90" s="236"/>
      <c r="QQ90" s="236"/>
      <c r="QR90" s="236"/>
      <c r="QS90" s="236"/>
      <c r="QT90" s="236"/>
      <c r="QU90" s="236"/>
      <c r="QV90" s="236"/>
      <c r="QW90" s="236"/>
      <c r="QX90" s="236"/>
      <c r="QY90" s="236"/>
      <c r="QZ90" s="236"/>
      <c r="RA90" s="236"/>
      <c r="RB90" s="236"/>
      <c r="RC90" s="236"/>
      <c r="RD90" s="236"/>
      <c r="RE90" s="236"/>
      <c r="RF90" s="236"/>
      <c r="RG90" s="236"/>
      <c r="RH90" s="236"/>
      <c r="RI90" s="236"/>
      <c r="RJ90" s="236"/>
      <c r="RK90" s="236"/>
      <c r="RL90" s="236"/>
      <c r="RM90" s="236"/>
      <c r="RN90" s="236"/>
      <c r="RO90" s="236"/>
      <c r="RP90" s="236"/>
      <c r="RQ90" s="236"/>
      <c r="RR90" s="236"/>
      <c r="RS90" s="236"/>
      <c r="RT90" s="236"/>
      <c r="RU90" s="236"/>
      <c r="RV90" s="236"/>
      <c r="RW90" s="236"/>
      <c r="RX90" s="236"/>
      <c r="RY90" s="236"/>
      <c r="RZ90" s="236"/>
      <c r="SA90" s="236"/>
      <c r="SB90" s="236"/>
      <c r="SC90" s="236"/>
      <c r="SD90" s="236"/>
      <c r="SE90" s="236"/>
      <c r="SF90" s="236"/>
      <c r="SG90" s="236"/>
      <c r="SH90" s="236"/>
      <c r="SI90" s="236"/>
      <c r="SJ90" s="236"/>
      <c r="SK90" s="236"/>
      <c r="SL90" s="236"/>
      <c r="SM90" s="236"/>
      <c r="SN90" s="236"/>
      <c r="SO90" s="236"/>
      <c r="SP90" s="236"/>
      <c r="SQ90" s="236"/>
      <c r="SR90" s="236"/>
      <c r="SS90" s="236"/>
      <c r="ST90" s="236"/>
      <c r="SU90" s="236"/>
      <c r="SV90" s="236"/>
      <c r="SW90" s="236"/>
      <c r="SX90" s="236"/>
      <c r="SY90" s="236"/>
      <c r="SZ90" s="236"/>
      <c r="TA90" s="236"/>
      <c r="TB90" s="236"/>
      <c r="TC90" s="236"/>
      <c r="TD90" s="236"/>
      <c r="TE90" s="236"/>
      <c r="TF90" s="236"/>
      <c r="TG90" s="236"/>
      <c r="TH90" s="236"/>
      <c r="TI90" s="236"/>
      <c r="TJ90" s="236"/>
      <c r="TK90" s="236"/>
      <c r="TL90" s="236"/>
      <c r="TM90" s="236"/>
      <c r="TN90" s="236"/>
      <c r="TO90" s="236"/>
      <c r="TP90" s="236"/>
      <c r="TQ90" s="236"/>
      <c r="TR90" s="236"/>
      <c r="TS90" s="236"/>
      <c r="TT90" s="236"/>
      <c r="TU90" s="236"/>
      <c r="TV90" s="236"/>
      <c r="TW90" s="236"/>
      <c r="TX90" s="236"/>
      <c r="TY90" s="236"/>
      <c r="TZ90" s="236"/>
      <c r="UA90" s="236"/>
      <c r="UB90" s="236"/>
      <c r="UC90" s="236"/>
      <c r="UD90" s="236"/>
      <c r="UE90" s="236"/>
      <c r="UF90" s="236"/>
      <c r="UG90" s="236"/>
      <c r="UH90" s="236"/>
      <c r="UI90" s="236"/>
      <c r="UJ90" s="236"/>
      <c r="UK90" s="236"/>
      <c r="UL90" s="236"/>
      <c r="UM90" s="236"/>
      <c r="UN90" s="236"/>
      <c r="UO90" s="236"/>
      <c r="UP90" s="236"/>
      <c r="UQ90" s="236"/>
      <c r="UR90" s="236"/>
      <c r="US90" s="236"/>
      <c r="UT90" s="236"/>
      <c r="UU90" s="236"/>
      <c r="UV90" s="236"/>
      <c r="UW90" s="236"/>
      <c r="UX90" s="236"/>
      <c r="UY90" s="236"/>
      <c r="UZ90" s="236"/>
      <c r="VA90" s="236"/>
      <c r="VB90" s="236"/>
      <c r="VC90" s="236"/>
      <c r="VD90" s="236"/>
      <c r="VE90" s="236"/>
      <c r="VF90" s="236"/>
      <c r="VG90" s="236"/>
      <c r="VH90" s="236"/>
      <c r="VI90" s="236"/>
      <c r="VJ90" s="236"/>
      <c r="VK90" s="236"/>
      <c r="VL90" s="236"/>
      <c r="VM90" s="236"/>
      <c r="VN90" s="236"/>
      <c r="VO90" s="236"/>
      <c r="VP90" s="236"/>
      <c r="VQ90" s="236"/>
      <c r="VR90" s="236"/>
      <c r="VS90" s="236"/>
      <c r="VT90" s="236"/>
      <c r="VU90" s="236"/>
      <c r="VV90" s="236"/>
      <c r="VW90" s="236"/>
      <c r="VX90" s="236"/>
      <c r="VY90" s="236"/>
      <c r="VZ90" s="236"/>
      <c r="WA90" s="236"/>
      <c r="WB90" s="236"/>
      <c r="WC90" s="236"/>
      <c r="WD90" s="236"/>
      <c r="WE90" s="236"/>
      <c r="WF90" s="236"/>
      <c r="WG90" s="236"/>
      <c r="WH90" s="236"/>
      <c r="WI90" s="236"/>
      <c r="WJ90" s="236"/>
      <c r="WK90" s="236"/>
      <c r="WL90" s="236"/>
      <c r="WM90" s="236"/>
      <c r="WN90" s="236"/>
      <c r="WO90" s="236"/>
      <c r="WP90" s="236"/>
      <c r="WQ90" s="236"/>
      <c r="WR90" s="236"/>
      <c r="WS90" s="236"/>
      <c r="WT90" s="236"/>
      <c r="WU90" s="236"/>
      <c r="WV90" s="236"/>
      <c r="WW90" s="236"/>
      <c r="WX90" s="236"/>
      <c r="WY90" s="236"/>
      <c r="WZ90" s="236"/>
      <c r="XA90" s="236"/>
      <c r="XB90" s="236"/>
      <c r="XC90" s="236"/>
      <c r="XD90" s="236"/>
      <c r="XE90" s="236"/>
      <c r="XF90" s="236"/>
      <c r="XG90" s="236"/>
      <c r="XH90" s="236"/>
      <c r="XI90" s="236"/>
      <c r="XJ90" s="236"/>
      <c r="XK90" s="236"/>
      <c r="XL90" s="236"/>
      <c r="XM90" s="236"/>
      <c r="XN90" s="236"/>
      <c r="XO90" s="236"/>
      <c r="XP90" s="236"/>
      <c r="XQ90" s="236"/>
      <c r="XR90" s="236"/>
      <c r="XS90" s="236"/>
      <c r="XT90" s="236"/>
      <c r="XU90" s="236"/>
      <c r="XV90" s="236"/>
      <c r="XW90" s="236"/>
      <c r="XX90" s="236"/>
      <c r="XY90" s="236"/>
      <c r="XZ90" s="236"/>
      <c r="YA90" s="236"/>
      <c r="YB90" s="236"/>
      <c r="YC90" s="236"/>
      <c r="YD90" s="236"/>
      <c r="YE90" s="236"/>
      <c r="YF90" s="236"/>
      <c r="YG90" s="236"/>
      <c r="YH90" s="236"/>
      <c r="YI90" s="236"/>
      <c r="YJ90" s="236"/>
      <c r="YK90" s="236"/>
      <c r="YL90" s="236"/>
      <c r="YM90" s="236"/>
      <c r="YN90" s="236"/>
      <c r="YO90" s="236"/>
      <c r="YP90" s="236"/>
      <c r="YQ90" s="236"/>
      <c r="YR90" s="236"/>
      <c r="YS90" s="236"/>
      <c r="YT90" s="236"/>
      <c r="YU90" s="236"/>
      <c r="YV90" s="236"/>
      <c r="YW90" s="236"/>
      <c r="YX90" s="236"/>
      <c r="YY90" s="236"/>
      <c r="YZ90" s="236"/>
      <c r="ZA90" s="236"/>
      <c r="ZB90" s="236"/>
      <c r="ZC90" s="236"/>
      <c r="ZD90" s="236"/>
      <c r="ZE90" s="236"/>
      <c r="ZF90" s="236"/>
      <c r="ZG90" s="236"/>
      <c r="ZH90" s="236"/>
      <c r="ZI90" s="236"/>
      <c r="ZJ90" s="236"/>
      <c r="ZK90" s="236"/>
      <c r="ZL90" s="236"/>
      <c r="ZM90" s="236"/>
      <c r="ZN90" s="236"/>
      <c r="ZO90" s="236"/>
      <c r="ZP90" s="236"/>
      <c r="ZQ90" s="236"/>
      <c r="ZR90" s="236"/>
      <c r="ZS90" s="236"/>
      <c r="ZT90" s="236"/>
      <c r="ZU90" s="236"/>
      <c r="ZV90" s="236"/>
      <c r="ZW90" s="236"/>
      <c r="ZX90" s="236"/>
      <c r="ZY90" s="236"/>
      <c r="ZZ90" s="236"/>
      <c r="AAA90" s="236"/>
      <c r="AAB90" s="236"/>
      <c r="AAC90" s="236"/>
      <c r="AAD90" s="236"/>
      <c r="AAE90" s="236"/>
      <c r="AAF90" s="236"/>
      <c r="AAG90" s="236"/>
      <c r="AAH90" s="236"/>
      <c r="AAI90" s="236"/>
      <c r="AAJ90" s="236"/>
      <c r="AAK90" s="236"/>
      <c r="AAL90" s="236"/>
      <c r="AAM90" s="236"/>
      <c r="AAN90" s="236"/>
      <c r="AAO90" s="236"/>
      <c r="AAP90" s="236"/>
      <c r="AAQ90" s="236"/>
      <c r="AAR90" s="236"/>
      <c r="AAS90" s="236"/>
      <c r="AAT90" s="236"/>
      <c r="AAU90" s="236"/>
      <c r="AAV90" s="236"/>
      <c r="AAW90" s="236"/>
      <c r="AAX90" s="236"/>
      <c r="AAY90" s="236"/>
      <c r="AAZ90" s="236"/>
      <c r="ABA90" s="236"/>
      <c r="ABB90" s="236"/>
      <c r="ABC90" s="236"/>
      <c r="ABD90" s="236"/>
      <c r="ABE90" s="236"/>
      <c r="ABF90" s="236"/>
      <c r="ABG90" s="236"/>
      <c r="ABH90" s="236"/>
      <c r="ABI90" s="236"/>
      <c r="ABJ90" s="236"/>
      <c r="ABK90" s="236"/>
      <c r="ABL90" s="236"/>
      <c r="ABM90" s="236"/>
      <c r="ABN90" s="236"/>
      <c r="ABO90" s="236"/>
      <c r="ABP90" s="236"/>
      <c r="ABQ90" s="236"/>
      <c r="ABR90" s="236"/>
      <c r="ABS90" s="236"/>
      <c r="ABT90" s="236"/>
      <c r="ABU90" s="236"/>
      <c r="ABV90" s="236"/>
      <c r="ABW90" s="236"/>
      <c r="ABX90" s="236"/>
      <c r="ABY90" s="236"/>
      <c r="ABZ90" s="236"/>
      <c r="ACA90" s="236"/>
      <c r="ACB90" s="236"/>
      <c r="ACC90" s="236"/>
      <c r="ACD90" s="236"/>
      <c r="ACE90" s="236"/>
      <c r="ACF90" s="236"/>
      <c r="ACG90" s="236"/>
      <c r="ACH90" s="236"/>
      <c r="ACI90" s="236"/>
      <c r="ACJ90" s="236"/>
      <c r="ACK90" s="236"/>
      <c r="ACL90" s="236"/>
      <c r="ACM90" s="236"/>
      <c r="ACN90" s="236"/>
      <c r="ACO90" s="236"/>
      <c r="ACP90" s="236"/>
      <c r="ACQ90" s="236"/>
      <c r="ACR90" s="236"/>
      <c r="ACS90" s="236"/>
      <c r="ACT90" s="236"/>
      <c r="ACU90" s="236"/>
      <c r="ACV90" s="236"/>
      <c r="ACW90" s="236"/>
      <c r="ACX90" s="236"/>
      <c r="ACY90" s="236"/>
      <c r="ACZ90" s="236"/>
      <c r="ADA90" s="236"/>
      <c r="ADB90" s="236"/>
      <c r="ADC90" s="236"/>
      <c r="ADD90" s="236"/>
      <c r="ADE90" s="236"/>
      <c r="ADF90" s="236"/>
      <c r="ADG90" s="236"/>
      <c r="ADH90" s="236"/>
      <c r="ADI90" s="236"/>
      <c r="ADJ90" s="236"/>
      <c r="ADK90" s="236"/>
      <c r="ADL90" s="236"/>
      <c r="ADM90" s="236"/>
      <c r="ADN90" s="236"/>
      <c r="ADO90" s="236"/>
      <c r="ADP90" s="236"/>
      <c r="ADQ90" s="236"/>
      <c r="ADR90" s="236"/>
      <c r="ADS90" s="236"/>
      <c r="ADT90" s="236"/>
      <c r="ADU90" s="236"/>
      <c r="ADV90" s="236"/>
      <c r="ADW90" s="236"/>
      <c r="ADX90" s="236"/>
      <c r="ADY90" s="236"/>
      <c r="ADZ90" s="236"/>
      <c r="AEA90" s="236"/>
      <c r="AEB90" s="236"/>
      <c r="AEC90" s="236"/>
      <c r="AED90" s="236"/>
      <c r="AEE90" s="236"/>
      <c r="AEF90" s="236"/>
      <c r="AEG90" s="236"/>
      <c r="AEH90" s="236"/>
      <c r="AEI90" s="236"/>
      <c r="AEJ90" s="236"/>
      <c r="AEK90" s="236"/>
      <c r="AEL90" s="236"/>
      <c r="AEM90" s="236"/>
      <c r="AEN90" s="236"/>
      <c r="AEO90" s="236"/>
      <c r="AEP90" s="236"/>
      <c r="AEQ90" s="236"/>
      <c r="AER90" s="236"/>
      <c r="AES90" s="236"/>
      <c r="AET90" s="236"/>
      <c r="AEU90" s="236"/>
      <c r="AEV90" s="236"/>
      <c r="AEW90" s="236"/>
      <c r="AEX90" s="236"/>
      <c r="AEY90" s="236"/>
      <c r="AEZ90" s="236"/>
      <c r="AFA90" s="236"/>
      <c r="AFB90" s="236"/>
      <c r="AFC90" s="236"/>
      <c r="AFD90" s="236"/>
      <c r="AFE90" s="236"/>
      <c r="AFF90" s="236"/>
      <c r="AFG90" s="236"/>
      <c r="AFH90" s="236"/>
      <c r="AFI90" s="236"/>
      <c r="AFJ90" s="236"/>
      <c r="AFK90" s="236"/>
      <c r="AFL90" s="236"/>
      <c r="AFM90" s="236"/>
      <c r="AFN90" s="236"/>
      <c r="AFO90" s="236"/>
      <c r="AFP90" s="236"/>
      <c r="AFQ90" s="236"/>
      <c r="AFR90" s="236"/>
      <c r="AFS90" s="236"/>
      <c r="AFT90" s="236"/>
      <c r="AFU90" s="236"/>
      <c r="AFV90" s="236"/>
      <c r="AFW90" s="236"/>
      <c r="AFX90" s="236"/>
      <c r="AFY90" s="236"/>
      <c r="AFZ90" s="236"/>
      <c r="AGA90" s="236"/>
      <c r="AGB90" s="236"/>
      <c r="AGC90" s="236"/>
      <c r="AGD90" s="236"/>
      <c r="AGE90" s="236"/>
      <c r="AGF90" s="236"/>
      <c r="AGG90" s="236"/>
      <c r="AGH90" s="236"/>
      <c r="AGI90" s="236"/>
      <c r="AGJ90" s="236"/>
      <c r="AGK90" s="236"/>
      <c r="AGL90" s="236"/>
      <c r="AGM90" s="236"/>
      <c r="AGN90" s="236"/>
      <c r="AGO90" s="236"/>
      <c r="AGP90" s="236"/>
      <c r="AGQ90" s="236"/>
      <c r="AGR90" s="236"/>
      <c r="AGS90" s="236"/>
      <c r="AGT90" s="236"/>
      <c r="AGU90" s="236"/>
      <c r="AGV90" s="236"/>
      <c r="AGW90" s="236"/>
      <c r="AGX90" s="236"/>
      <c r="AGY90" s="236"/>
      <c r="AGZ90" s="236"/>
      <c r="AHA90" s="236"/>
      <c r="AHB90" s="236"/>
      <c r="AHC90" s="236"/>
      <c r="AHD90" s="236"/>
      <c r="AHE90" s="236"/>
      <c r="AHF90" s="236"/>
      <c r="AHG90" s="236"/>
      <c r="AHH90" s="236"/>
      <c r="AHI90" s="236"/>
      <c r="AHJ90" s="236"/>
      <c r="AHK90" s="236"/>
      <c r="AHL90" s="236"/>
      <c r="AHM90" s="236"/>
      <c r="AHN90" s="236"/>
      <c r="AHO90" s="236"/>
      <c r="AHP90" s="236"/>
      <c r="AHQ90" s="236"/>
      <c r="AHR90" s="236"/>
      <c r="AHS90" s="236"/>
      <c r="AHT90" s="236"/>
      <c r="AHU90" s="236"/>
      <c r="AHV90" s="236"/>
      <c r="AHW90" s="236"/>
      <c r="AHX90" s="236"/>
      <c r="AHY90" s="236"/>
      <c r="AHZ90" s="236"/>
      <c r="AIA90" s="236"/>
      <c r="AIB90" s="236"/>
      <c r="AIC90" s="236"/>
      <c r="AID90" s="236"/>
      <c r="AIE90" s="236"/>
      <c r="AIF90" s="236"/>
      <c r="AIG90" s="236"/>
      <c r="AIH90" s="236"/>
      <c r="AII90" s="236"/>
      <c r="AIJ90" s="236"/>
      <c r="AIK90" s="236"/>
      <c r="AIL90" s="236"/>
      <c r="AIM90" s="236"/>
      <c r="AIN90" s="236"/>
      <c r="AIO90" s="236"/>
      <c r="AIP90" s="236"/>
      <c r="AIQ90" s="236"/>
      <c r="AIR90" s="236"/>
      <c r="AIS90" s="236"/>
      <c r="AIT90" s="236"/>
      <c r="AIU90" s="236"/>
      <c r="AIV90" s="236"/>
      <c r="AIW90" s="236"/>
      <c r="AIX90" s="236"/>
      <c r="AIY90" s="236"/>
      <c r="AIZ90" s="236"/>
      <c r="AJA90" s="236"/>
      <c r="AJB90" s="236"/>
      <c r="AJC90" s="236"/>
      <c r="AJD90" s="236"/>
      <c r="AJE90" s="236"/>
      <c r="AJF90" s="236"/>
      <c r="AJG90" s="236"/>
      <c r="AJH90" s="236"/>
      <c r="AJI90" s="236"/>
      <c r="AJJ90" s="236"/>
      <c r="AJK90" s="236"/>
      <c r="AJL90" s="236"/>
      <c r="AJM90" s="236"/>
      <c r="AJN90" s="236"/>
      <c r="AJO90" s="236"/>
      <c r="AJP90" s="236"/>
      <c r="AJQ90" s="236"/>
      <c r="AJR90" s="236"/>
      <c r="AJS90" s="236"/>
      <c r="AJT90" s="236"/>
      <c r="AJU90" s="236"/>
      <c r="AJV90" s="236"/>
      <c r="AJW90" s="236"/>
      <c r="AJX90" s="236"/>
      <c r="AJY90" s="236"/>
      <c r="AJZ90" s="236"/>
      <c r="AKA90" s="236"/>
      <c r="AKB90" s="236"/>
      <c r="AKC90" s="236"/>
      <c r="AKD90" s="236"/>
      <c r="AKE90" s="236"/>
      <c r="AKF90" s="236"/>
      <c r="AKG90" s="236"/>
      <c r="AKH90" s="236"/>
      <c r="AKI90" s="236"/>
      <c r="AKJ90" s="236"/>
      <c r="AKK90" s="236"/>
      <c r="AKL90" s="236"/>
      <c r="AKM90" s="236"/>
      <c r="AKN90" s="236"/>
      <c r="AKO90" s="236"/>
      <c r="AKP90" s="236"/>
      <c r="AKQ90" s="236"/>
      <c r="AKR90" s="236"/>
      <c r="AKS90" s="236"/>
      <c r="AKT90" s="236"/>
      <c r="AKU90" s="236"/>
      <c r="AKV90" s="236"/>
      <c r="AKW90" s="236"/>
      <c r="AKX90" s="236"/>
      <c r="AKY90" s="236"/>
      <c r="AKZ90" s="236"/>
      <c r="ALA90" s="236"/>
      <c r="ALB90" s="236"/>
      <c r="ALC90" s="236"/>
      <c r="ALD90" s="236"/>
      <c r="ALE90" s="236"/>
      <c r="ALF90" s="236"/>
      <c r="ALG90" s="236"/>
      <c r="ALH90" s="236"/>
      <c r="ALI90" s="236"/>
      <c r="ALJ90" s="236"/>
      <c r="ALK90" s="236"/>
      <c r="ALL90" s="236"/>
      <c r="ALM90" s="236"/>
      <c r="ALN90" s="236"/>
      <c r="ALO90" s="236"/>
      <c r="ALP90" s="236"/>
      <c r="ALQ90" s="236"/>
      <c r="ALR90" s="236"/>
      <c r="ALS90" s="236"/>
      <c r="ALT90" s="236"/>
      <c r="ALU90" s="236"/>
      <c r="ALV90" s="236"/>
      <c r="ALW90" s="236"/>
      <c r="ALX90" s="236"/>
      <c r="ALY90" s="236"/>
      <c r="ALZ90" s="236"/>
      <c r="AMA90" s="236"/>
      <c r="AMB90" s="236"/>
      <c r="AMC90" s="236"/>
      <c r="AMD90" s="236"/>
      <c r="AME90" s="236"/>
      <c r="AMF90" s="236"/>
      <c r="AMG90" s="236"/>
      <c r="AMH90" s="236"/>
      <c r="AMI90" s="236"/>
      <c r="AMJ90" s="236"/>
      <c r="AMK90" s="236"/>
      <c r="AML90" s="236"/>
      <c r="AMM90" s="236"/>
    </row>
    <row r="91" spans="1:1027" s="243" customFormat="1" ht="30" customHeight="1">
      <c r="A91" s="1832"/>
      <c r="B91" s="1833"/>
      <c r="C91" s="1833"/>
      <c r="D91" s="1833"/>
      <c r="E91" s="1833"/>
      <c r="F91" s="1833"/>
      <c r="G91" s="1833"/>
      <c r="H91" s="1833"/>
      <c r="I91" s="1833"/>
      <c r="J91" s="1833"/>
      <c r="K91" s="1833"/>
      <c r="L91" s="1834"/>
      <c r="M91" s="285"/>
      <c r="N91" s="1396" t="s">
        <v>173</v>
      </c>
      <c r="O91" s="1397"/>
      <c r="P91" s="1397"/>
      <c r="Q91" s="1397"/>
      <c r="R91" s="1398"/>
      <c r="S91" s="286"/>
      <c r="T91" s="286"/>
      <c r="U91" s="286"/>
      <c r="V91" s="1396" t="s">
        <v>2447</v>
      </c>
      <c r="W91" s="1397"/>
      <c r="X91" s="1397"/>
      <c r="Y91" s="1397"/>
      <c r="Z91" s="1398"/>
      <c r="AA91" s="1062"/>
      <c r="AB91" s="1396" t="s">
        <v>2491</v>
      </c>
      <c r="AC91" s="1398"/>
      <c r="AD91" s="1396"/>
      <c r="AE91" s="1397"/>
      <c r="AF91" s="1397"/>
      <c r="AG91" s="1397"/>
      <c r="AH91" s="1397"/>
      <c r="AI91" s="1397"/>
      <c r="AJ91" s="1397"/>
      <c r="AK91" s="1397"/>
      <c r="AL91" s="1397"/>
      <c r="AM91" s="1398"/>
      <c r="AN91" s="245"/>
      <c r="AO91" s="245"/>
      <c r="AP91" s="245"/>
      <c r="AQ91" s="245"/>
      <c r="AR91" s="245"/>
      <c r="AS91" s="245"/>
      <c r="AT91" s="245"/>
      <c r="AU91" s="245"/>
      <c r="AV91" s="245"/>
      <c r="AW91" s="245"/>
      <c r="AX91" s="245"/>
    </row>
    <row r="92" spans="1:1027" s="243" customFormat="1" ht="30" customHeight="1">
      <c r="A92" s="1832"/>
      <c r="B92" s="1833"/>
      <c r="C92" s="1833"/>
      <c r="D92" s="1833"/>
      <c r="E92" s="1833"/>
      <c r="F92" s="1833"/>
      <c r="G92" s="1833"/>
      <c r="H92" s="1833"/>
      <c r="I92" s="1833"/>
      <c r="J92" s="1833"/>
      <c r="K92" s="1833"/>
      <c r="L92" s="1834"/>
      <c r="M92" s="285"/>
      <c r="N92" s="1396" t="s">
        <v>184</v>
      </c>
      <c r="O92" s="1397"/>
      <c r="P92" s="1397"/>
      <c r="Q92" s="1397"/>
      <c r="R92" s="1398"/>
      <c r="S92" s="286"/>
      <c r="T92" s="286"/>
      <c r="U92" s="286"/>
      <c r="V92" s="1396" t="s">
        <v>597</v>
      </c>
      <c r="W92" s="1397"/>
      <c r="X92" s="1397"/>
      <c r="Y92" s="1397"/>
      <c r="Z92" s="1398"/>
      <c r="AA92" s="1062"/>
      <c r="AB92" s="1396" t="s">
        <v>166</v>
      </c>
      <c r="AC92" s="1398"/>
      <c r="AD92" s="1396"/>
      <c r="AE92" s="1397"/>
      <c r="AF92" s="1397"/>
      <c r="AG92" s="1397"/>
      <c r="AH92" s="1397"/>
      <c r="AI92" s="1397"/>
      <c r="AJ92" s="1397"/>
      <c r="AK92" s="1397"/>
      <c r="AL92" s="1397"/>
      <c r="AM92" s="1398"/>
      <c r="AN92" s="245"/>
      <c r="AO92" s="245"/>
      <c r="AP92" s="245"/>
      <c r="AQ92" s="245"/>
      <c r="AR92" s="245"/>
      <c r="AS92" s="245"/>
      <c r="AT92" s="245"/>
      <c r="AU92" s="245"/>
      <c r="AV92" s="245"/>
      <c r="AW92" s="245"/>
      <c r="AX92" s="245"/>
    </row>
    <row r="93" spans="1:1027" s="243" customFormat="1" ht="30" customHeight="1">
      <c r="A93" s="1832"/>
      <c r="B93" s="1833"/>
      <c r="C93" s="1833"/>
      <c r="D93" s="1833"/>
      <c r="E93" s="1833"/>
      <c r="F93" s="1833"/>
      <c r="G93" s="1833"/>
      <c r="H93" s="1833"/>
      <c r="I93" s="1833"/>
      <c r="J93" s="1833"/>
      <c r="K93" s="1833"/>
      <c r="L93" s="1834"/>
      <c r="M93" s="285"/>
      <c r="N93" s="1396"/>
      <c r="O93" s="1397"/>
      <c r="P93" s="1397"/>
      <c r="Q93" s="1397"/>
      <c r="R93" s="1398"/>
      <c r="S93" s="286"/>
      <c r="T93" s="286"/>
      <c r="U93" s="286"/>
      <c r="V93" s="1396"/>
      <c r="W93" s="1397"/>
      <c r="X93" s="1397"/>
      <c r="Y93" s="1397"/>
      <c r="Z93" s="1398"/>
      <c r="AA93" s="1062"/>
      <c r="AB93" s="1396"/>
      <c r="AC93" s="1398"/>
      <c r="AD93" s="1396"/>
      <c r="AE93" s="1397"/>
      <c r="AF93" s="1397"/>
      <c r="AG93" s="1397"/>
      <c r="AH93" s="1397"/>
      <c r="AI93" s="1397"/>
      <c r="AJ93" s="1397"/>
      <c r="AK93" s="1397"/>
      <c r="AL93" s="1397"/>
      <c r="AM93" s="1398"/>
      <c r="AN93" s="245"/>
      <c r="AO93" s="245"/>
      <c r="AP93" s="245"/>
      <c r="AQ93" s="245"/>
      <c r="AR93" s="245"/>
      <c r="AS93" s="245"/>
      <c r="AT93" s="245"/>
      <c r="AU93" s="245"/>
      <c r="AV93" s="245"/>
      <c r="AW93" s="245"/>
      <c r="AX93" s="245"/>
    </row>
    <row r="94" spans="1:1027" s="243" customFormat="1" ht="30" customHeight="1">
      <c r="A94" s="1835"/>
      <c r="B94" s="1836"/>
      <c r="C94" s="1836"/>
      <c r="D94" s="1836"/>
      <c r="E94" s="1836"/>
      <c r="F94" s="1836"/>
      <c r="G94" s="1836"/>
      <c r="H94" s="1836"/>
      <c r="I94" s="1836"/>
      <c r="J94" s="1836"/>
      <c r="K94" s="1836"/>
      <c r="L94" s="1837"/>
      <c r="M94" s="285"/>
      <c r="N94" s="1396"/>
      <c r="O94" s="1397"/>
      <c r="P94" s="1397"/>
      <c r="Q94" s="1397"/>
      <c r="R94" s="1398"/>
      <c r="S94" s="286"/>
      <c r="T94" s="286"/>
      <c r="U94" s="286"/>
      <c r="V94" s="1396"/>
      <c r="W94" s="1397"/>
      <c r="X94" s="1397"/>
      <c r="Y94" s="1397"/>
      <c r="Z94" s="1398"/>
      <c r="AA94" s="1062"/>
      <c r="AB94" s="1396"/>
      <c r="AC94" s="1398"/>
      <c r="AD94" s="1396"/>
      <c r="AE94" s="1397"/>
      <c r="AF94" s="1397"/>
      <c r="AG94" s="1397"/>
      <c r="AH94" s="1397"/>
      <c r="AI94" s="1397"/>
      <c r="AJ94" s="1397"/>
      <c r="AK94" s="1397"/>
      <c r="AL94" s="1397"/>
      <c r="AM94" s="1398"/>
      <c r="AN94" s="245"/>
      <c r="AO94" s="245"/>
      <c r="AP94" s="245"/>
      <c r="AQ94" s="245"/>
      <c r="AR94" s="245"/>
      <c r="AS94" s="245"/>
      <c r="AT94" s="245"/>
      <c r="AU94" s="245"/>
      <c r="AV94" s="245"/>
      <c r="AW94" s="245"/>
      <c r="AX94" s="245"/>
    </row>
    <row r="95" spans="1:1027" s="243" customFormat="1" ht="30" customHeight="1">
      <c r="A95" s="300"/>
      <c r="B95" s="300"/>
      <c r="C95" s="300"/>
      <c r="D95" s="300"/>
      <c r="E95" s="300"/>
      <c r="F95" s="300"/>
      <c r="G95" s="300"/>
      <c r="H95" s="300"/>
      <c r="I95" s="300"/>
      <c r="J95" s="300"/>
      <c r="K95" s="300"/>
      <c r="L95" s="300"/>
      <c r="M95" s="285"/>
      <c r="N95" s="1403"/>
      <c r="O95" s="1403"/>
      <c r="P95" s="1403"/>
      <c r="Q95" s="1403"/>
      <c r="R95" s="1403"/>
      <c r="S95" s="288"/>
      <c r="T95" s="288"/>
      <c r="U95" s="288"/>
      <c r="V95" s="1403"/>
      <c r="W95" s="1403"/>
      <c r="X95" s="1403"/>
      <c r="Y95" s="1403"/>
      <c r="Z95" s="1403"/>
      <c r="AA95" s="1064"/>
      <c r="AB95" s="611"/>
      <c r="AC95" s="611"/>
      <c r="AD95" s="288"/>
      <c r="AE95" s="288"/>
      <c r="AF95" s="288"/>
      <c r="AG95" s="288"/>
      <c r="AH95" s="288"/>
      <c r="AI95" s="288"/>
      <c r="AJ95" s="288"/>
      <c r="AK95" s="288"/>
      <c r="AL95" s="288"/>
      <c r="AM95" s="288"/>
      <c r="AN95" s="245"/>
      <c r="AO95" s="245"/>
      <c r="AP95" s="245"/>
      <c r="AQ95" s="245"/>
      <c r="AR95" s="245"/>
      <c r="AS95" s="245"/>
      <c r="AT95" s="245"/>
      <c r="AU95" s="245"/>
      <c r="AV95" s="245"/>
      <c r="AW95" s="245"/>
      <c r="AX95" s="245"/>
    </row>
    <row r="96" spans="1:1027">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1076"/>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row>
    <row r="97" spans="1:39">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1076"/>
      <c r="AB97" s="233"/>
      <c r="AC97" s="233"/>
      <c r="AD97" s="233"/>
      <c r="AE97" s="233"/>
      <c r="AF97" s="233"/>
      <c r="AG97" s="233"/>
      <c r="AH97" s="233"/>
      <c r="AI97" s="233"/>
      <c r="AJ97" s="233"/>
      <c r="AK97" s="233"/>
      <c r="AL97" s="233"/>
      <c r="AM97" s="233"/>
    </row>
  </sheetData>
  <sheetProtection formatCells="0" formatColumns="0" formatRows="0" insertRows="0" deleteColumns="0" sort="0" autoFilter="0"/>
  <mergeCells count="394">
    <mergeCell ref="AW1:AX4"/>
    <mergeCell ref="G2:V2"/>
    <mergeCell ref="AP2:AQ2"/>
    <mergeCell ref="AR2:AS2"/>
    <mergeCell ref="A3:A4"/>
    <mergeCell ref="G3:H3"/>
    <mergeCell ref="I3:N3"/>
    <mergeCell ref="O3:V3"/>
    <mergeCell ref="Z3:AB4"/>
    <mergeCell ref="AC3:AC4"/>
    <mergeCell ref="G1:V1"/>
    <mergeCell ref="X1:Y4"/>
    <mergeCell ref="Z1:AB2"/>
    <mergeCell ref="AC1:AC2"/>
    <mergeCell ref="AD1:AN2"/>
    <mergeCell ref="AP1:AS1"/>
    <mergeCell ref="AD3:AN4"/>
    <mergeCell ref="AP3:AQ3"/>
    <mergeCell ref="AR3:AS3"/>
    <mergeCell ref="G4:H4"/>
    <mergeCell ref="I4:N4"/>
    <mergeCell ref="O4:V4"/>
    <mergeCell ref="AP4:AQ4"/>
    <mergeCell ref="AR4:AS4"/>
    <mergeCell ref="AT6:AX6"/>
    <mergeCell ref="A7:A8"/>
    <mergeCell ref="B7:B8"/>
    <mergeCell ref="C7:E8"/>
    <mergeCell ref="F7:F8"/>
    <mergeCell ref="G7:I8"/>
    <mergeCell ref="J7:L8"/>
    <mergeCell ref="M7:P7"/>
    <mergeCell ref="Q7:V7"/>
    <mergeCell ref="X7:Z8"/>
    <mergeCell ref="AV7:AV8"/>
    <mergeCell ref="AW7:AW8"/>
    <mergeCell ref="AX7:AX8"/>
    <mergeCell ref="AT7:AT8"/>
    <mergeCell ref="A6:P6"/>
    <mergeCell ref="Q6:V6"/>
    <mergeCell ref="X6:AM6"/>
    <mergeCell ref="AA7:AA8"/>
    <mergeCell ref="C10:E10"/>
    <mergeCell ref="G10:I10"/>
    <mergeCell ref="J10:L10"/>
    <mergeCell ref="X10:Z10"/>
    <mergeCell ref="C11:E11"/>
    <mergeCell ref="G11:I11"/>
    <mergeCell ref="J11:L11"/>
    <mergeCell ref="X11:Z11"/>
    <mergeCell ref="AU7:AU8"/>
    <mergeCell ref="C9:E9"/>
    <mergeCell ref="G9:I9"/>
    <mergeCell ref="J9:L9"/>
    <mergeCell ref="X9:Z9"/>
    <mergeCell ref="AO7:AO8"/>
    <mergeCell ref="AP7:AP8"/>
    <mergeCell ref="AQ7:AQ8"/>
    <mergeCell ref="AR7:AR8"/>
    <mergeCell ref="AS7:AS8"/>
    <mergeCell ref="AB7:AB8"/>
    <mergeCell ref="AC7:AC8"/>
    <mergeCell ref="AD7:AD8"/>
    <mergeCell ref="AE7:AE8"/>
    <mergeCell ref="AI7:AM7"/>
    <mergeCell ref="AN7:AN8"/>
    <mergeCell ref="C14:E14"/>
    <mergeCell ref="G14:I14"/>
    <mergeCell ref="J14:L14"/>
    <mergeCell ref="X14:Z14"/>
    <mergeCell ref="C15:E15"/>
    <mergeCell ref="G15:I15"/>
    <mergeCell ref="J15:L15"/>
    <mergeCell ref="X15:Z15"/>
    <mergeCell ref="C12:E12"/>
    <mergeCell ref="G12:I12"/>
    <mergeCell ref="J12:L12"/>
    <mergeCell ref="X12:Z12"/>
    <mergeCell ref="C13:E13"/>
    <mergeCell ref="G13:I13"/>
    <mergeCell ref="J13:L13"/>
    <mergeCell ref="X13:Z13"/>
    <mergeCell ref="C18:E18"/>
    <mergeCell ref="G18:I18"/>
    <mergeCell ref="J18:L18"/>
    <mergeCell ref="X18:Z18"/>
    <mergeCell ref="C19:E19"/>
    <mergeCell ref="G19:I19"/>
    <mergeCell ref="J19:L19"/>
    <mergeCell ref="X19:Z19"/>
    <mergeCell ref="C16:E16"/>
    <mergeCell ref="G16:I16"/>
    <mergeCell ref="J16:L16"/>
    <mergeCell ref="X16:Z16"/>
    <mergeCell ref="C17:E17"/>
    <mergeCell ref="G17:I17"/>
    <mergeCell ref="J17:L17"/>
    <mergeCell ref="X17:Z17"/>
    <mergeCell ref="C22:E22"/>
    <mergeCell ref="G22:I22"/>
    <mergeCell ref="J22:L22"/>
    <mergeCell ref="X22:Z22"/>
    <mergeCell ref="C23:E23"/>
    <mergeCell ref="G23:I23"/>
    <mergeCell ref="J23:L23"/>
    <mergeCell ref="X23:Z23"/>
    <mergeCell ref="C20:E20"/>
    <mergeCell ref="G20:I20"/>
    <mergeCell ref="J20:L20"/>
    <mergeCell ref="X20:Z20"/>
    <mergeCell ref="C21:E21"/>
    <mergeCell ref="G21:I21"/>
    <mergeCell ref="J21:L21"/>
    <mergeCell ref="X21:Z21"/>
    <mergeCell ref="C26:E26"/>
    <mergeCell ref="G26:I26"/>
    <mergeCell ref="J26:L26"/>
    <mergeCell ref="X26:Z26"/>
    <mergeCell ref="C27:E27"/>
    <mergeCell ref="G27:I27"/>
    <mergeCell ref="J27:L27"/>
    <mergeCell ref="X27:Z27"/>
    <mergeCell ref="C24:E24"/>
    <mergeCell ref="G24:I24"/>
    <mergeCell ref="J24:L24"/>
    <mergeCell ref="X24:Z24"/>
    <mergeCell ref="C25:E25"/>
    <mergeCell ref="G25:I25"/>
    <mergeCell ref="J25:L25"/>
    <mergeCell ref="X25:Z25"/>
    <mergeCell ref="C30:E30"/>
    <mergeCell ref="G30:I30"/>
    <mergeCell ref="J30:L30"/>
    <mergeCell ref="X30:Z30"/>
    <mergeCell ref="C31:E31"/>
    <mergeCell ref="G31:I31"/>
    <mergeCell ref="J31:L31"/>
    <mergeCell ref="X31:Z31"/>
    <mergeCell ref="C28:E28"/>
    <mergeCell ref="G28:I28"/>
    <mergeCell ref="J28:L28"/>
    <mergeCell ref="X28:Z28"/>
    <mergeCell ref="C29:E29"/>
    <mergeCell ref="G29:I29"/>
    <mergeCell ref="J29:L29"/>
    <mergeCell ref="X29:Z29"/>
    <mergeCell ref="C34:E34"/>
    <mergeCell ref="G34:I34"/>
    <mergeCell ref="J34:L34"/>
    <mergeCell ref="X34:Z34"/>
    <mergeCell ref="C35:E35"/>
    <mergeCell ref="G35:I35"/>
    <mergeCell ref="J35:L35"/>
    <mergeCell ref="X35:Z35"/>
    <mergeCell ref="C32:E32"/>
    <mergeCell ref="G32:I32"/>
    <mergeCell ref="J32:L32"/>
    <mergeCell ref="X32:Z32"/>
    <mergeCell ref="C33:E33"/>
    <mergeCell ref="G33:I33"/>
    <mergeCell ref="J33:L33"/>
    <mergeCell ref="X33:Z33"/>
    <mergeCell ref="C38:E38"/>
    <mergeCell ref="G38:I38"/>
    <mergeCell ref="J38:L38"/>
    <mergeCell ref="X38:Z38"/>
    <mergeCell ref="C39:E39"/>
    <mergeCell ref="G39:I39"/>
    <mergeCell ref="J39:L39"/>
    <mergeCell ref="X39:Z39"/>
    <mergeCell ref="C36:E36"/>
    <mergeCell ref="G36:I36"/>
    <mergeCell ref="J36:L36"/>
    <mergeCell ref="X36:Z36"/>
    <mergeCell ref="C37:E37"/>
    <mergeCell ref="G37:I37"/>
    <mergeCell ref="J37:L37"/>
    <mergeCell ref="X37:Z37"/>
    <mergeCell ref="C42:E42"/>
    <mergeCell ref="G42:I42"/>
    <mergeCell ref="J42:L42"/>
    <mergeCell ref="X42:Z42"/>
    <mergeCell ref="C43:E43"/>
    <mergeCell ref="G43:I43"/>
    <mergeCell ref="J43:L43"/>
    <mergeCell ref="X43:Z43"/>
    <mergeCell ref="C40:E40"/>
    <mergeCell ref="G40:I40"/>
    <mergeCell ref="J40:L40"/>
    <mergeCell ref="X40:Z40"/>
    <mergeCell ref="C41:E41"/>
    <mergeCell ref="G41:I41"/>
    <mergeCell ref="J41:L41"/>
    <mergeCell ref="X41:Z41"/>
    <mergeCell ref="C46:E46"/>
    <mergeCell ref="G46:I46"/>
    <mergeCell ref="J46:L46"/>
    <mergeCell ref="X46:Z46"/>
    <mergeCell ref="C47:E47"/>
    <mergeCell ref="G47:I47"/>
    <mergeCell ref="J47:L47"/>
    <mergeCell ref="X47:Z47"/>
    <mergeCell ref="C44:E44"/>
    <mergeCell ref="G44:I44"/>
    <mergeCell ref="J44:L44"/>
    <mergeCell ref="X44:Z44"/>
    <mergeCell ref="C45:E45"/>
    <mergeCell ref="G45:I45"/>
    <mergeCell ref="J45:L45"/>
    <mergeCell ref="X45:Z45"/>
    <mergeCell ref="C50:E50"/>
    <mergeCell ref="G50:I50"/>
    <mergeCell ref="J50:L50"/>
    <mergeCell ref="X50:Z50"/>
    <mergeCell ref="C51:E51"/>
    <mergeCell ref="G51:I51"/>
    <mergeCell ref="J51:L51"/>
    <mergeCell ref="X51:Z51"/>
    <mergeCell ref="C48:E48"/>
    <mergeCell ref="G48:I48"/>
    <mergeCell ref="J48:L48"/>
    <mergeCell ref="X48:Z48"/>
    <mergeCell ref="C49:E49"/>
    <mergeCell ref="G49:I49"/>
    <mergeCell ref="J49:L49"/>
    <mergeCell ref="X49:Z49"/>
    <mergeCell ref="C54:E54"/>
    <mergeCell ref="G54:I54"/>
    <mergeCell ref="J54:L54"/>
    <mergeCell ref="X54:Z54"/>
    <mergeCell ref="C55:E55"/>
    <mergeCell ref="G55:I55"/>
    <mergeCell ref="J55:L55"/>
    <mergeCell ref="X55:Z55"/>
    <mergeCell ref="C52:E52"/>
    <mergeCell ref="G52:I52"/>
    <mergeCell ref="J52:L52"/>
    <mergeCell ref="X52:Z52"/>
    <mergeCell ref="C53:E53"/>
    <mergeCell ref="G53:I53"/>
    <mergeCell ref="J53:L53"/>
    <mergeCell ref="X53:Z53"/>
    <mergeCell ref="C58:E58"/>
    <mergeCell ref="G58:I58"/>
    <mergeCell ref="J58:L58"/>
    <mergeCell ref="X58:Z58"/>
    <mergeCell ref="C59:E59"/>
    <mergeCell ref="G59:I59"/>
    <mergeCell ref="J59:L59"/>
    <mergeCell ref="X59:Z59"/>
    <mergeCell ref="C56:E56"/>
    <mergeCell ref="G56:I56"/>
    <mergeCell ref="J56:L56"/>
    <mergeCell ref="X56:Z56"/>
    <mergeCell ref="C57:E57"/>
    <mergeCell ref="G57:I57"/>
    <mergeCell ref="J57:L57"/>
    <mergeCell ref="X57:Z57"/>
    <mergeCell ref="C62:E62"/>
    <mergeCell ref="G62:I62"/>
    <mergeCell ref="J62:L62"/>
    <mergeCell ref="X62:Z62"/>
    <mergeCell ref="C63:E63"/>
    <mergeCell ref="G63:I63"/>
    <mergeCell ref="J63:L63"/>
    <mergeCell ref="X63:Z63"/>
    <mergeCell ref="C60:E60"/>
    <mergeCell ref="G60:I60"/>
    <mergeCell ref="J60:L60"/>
    <mergeCell ref="X60:Z60"/>
    <mergeCell ref="C61:E61"/>
    <mergeCell ref="G61:I61"/>
    <mergeCell ref="J61:L61"/>
    <mergeCell ref="X61:Z61"/>
    <mergeCell ref="C66:E66"/>
    <mergeCell ref="G66:I66"/>
    <mergeCell ref="J66:L66"/>
    <mergeCell ref="X66:Z66"/>
    <mergeCell ref="C67:E67"/>
    <mergeCell ref="G67:I67"/>
    <mergeCell ref="J67:L67"/>
    <mergeCell ref="X67:Z67"/>
    <mergeCell ref="C64:E64"/>
    <mergeCell ref="G64:I64"/>
    <mergeCell ref="J64:L64"/>
    <mergeCell ref="X64:Z64"/>
    <mergeCell ref="C65:E65"/>
    <mergeCell ref="G65:I65"/>
    <mergeCell ref="J65:L65"/>
    <mergeCell ref="X65:Z65"/>
    <mergeCell ref="C70:E70"/>
    <mergeCell ref="G70:I70"/>
    <mergeCell ref="J70:L70"/>
    <mergeCell ref="X70:Z70"/>
    <mergeCell ref="C71:E71"/>
    <mergeCell ref="G71:I71"/>
    <mergeCell ref="J71:L71"/>
    <mergeCell ref="X71:Z71"/>
    <mergeCell ref="C68:E68"/>
    <mergeCell ref="G68:I68"/>
    <mergeCell ref="J68:L68"/>
    <mergeCell ref="X68:Z68"/>
    <mergeCell ref="C69:E69"/>
    <mergeCell ref="G69:I69"/>
    <mergeCell ref="J69:L69"/>
    <mergeCell ref="X69:Z69"/>
    <mergeCell ref="C74:E74"/>
    <mergeCell ref="G74:I74"/>
    <mergeCell ref="J74:L74"/>
    <mergeCell ref="X74:Z74"/>
    <mergeCell ref="C75:E75"/>
    <mergeCell ref="G75:I75"/>
    <mergeCell ref="J75:L75"/>
    <mergeCell ref="X75:Z75"/>
    <mergeCell ref="C72:E72"/>
    <mergeCell ref="G72:I72"/>
    <mergeCell ref="J72:L72"/>
    <mergeCell ref="X72:Z72"/>
    <mergeCell ref="C73:E73"/>
    <mergeCell ref="G73:I73"/>
    <mergeCell ref="J73:L73"/>
    <mergeCell ref="X73:Z73"/>
    <mergeCell ref="C78:E78"/>
    <mergeCell ref="G78:I78"/>
    <mergeCell ref="J78:L78"/>
    <mergeCell ref="X78:Z78"/>
    <mergeCell ref="C79:E79"/>
    <mergeCell ref="G79:I79"/>
    <mergeCell ref="J79:L79"/>
    <mergeCell ref="X79:Z79"/>
    <mergeCell ref="C76:E76"/>
    <mergeCell ref="G76:I76"/>
    <mergeCell ref="J76:L76"/>
    <mergeCell ref="X76:Z76"/>
    <mergeCell ref="C77:E77"/>
    <mergeCell ref="G77:I77"/>
    <mergeCell ref="J77:L77"/>
    <mergeCell ref="X77:Z77"/>
    <mergeCell ref="C82:E82"/>
    <mergeCell ref="G82:I82"/>
    <mergeCell ref="J82:L82"/>
    <mergeCell ref="X82:Z82"/>
    <mergeCell ref="C83:E83"/>
    <mergeCell ref="G83:I83"/>
    <mergeCell ref="J83:L83"/>
    <mergeCell ref="X83:Z83"/>
    <mergeCell ref="C80:E80"/>
    <mergeCell ref="G80:I80"/>
    <mergeCell ref="J80:L80"/>
    <mergeCell ref="X80:Z80"/>
    <mergeCell ref="C81:E81"/>
    <mergeCell ref="G81:I81"/>
    <mergeCell ref="J81:L81"/>
    <mergeCell ref="X81:Z81"/>
    <mergeCell ref="C86:E86"/>
    <mergeCell ref="G86:I86"/>
    <mergeCell ref="J86:L86"/>
    <mergeCell ref="X86:Z86"/>
    <mergeCell ref="C87:E87"/>
    <mergeCell ref="G87:I87"/>
    <mergeCell ref="J87:L87"/>
    <mergeCell ref="X87:Z87"/>
    <mergeCell ref="C84:E84"/>
    <mergeCell ref="G84:I84"/>
    <mergeCell ref="J84:L84"/>
    <mergeCell ref="X84:Z84"/>
    <mergeCell ref="C85:E85"/>
    <mergeCell ref="G85:I85"/>
    <mergeCell ref="J85:L85"/>
    <mergeCell ref="X85:Z85"/>
    <mergeCell ref="A89:L90"/>
    <mergeCell ref="N90:R90"/>
    <mergeCell ref="V90:Z90"/>
    <mergeCell ref="AB90:AC90"/>
    <mergeCell ref="AD90:AM90"/>
    <mergeCell ref="A91:L94"/>
    <mergeCell ref="N91:R91"/>
    <mergeCell ref="V91:Z91"/>
    <mergeCell ref="AB91:AC91"/>
    <mergeCell ref="AD91:AM91"/>
    <mergeCell ref="N94:R94"/>
    <mergeCell ref="V94:Z94"/>
    <mergeCell ref="AB94:AC94"/>
    <mergeCell ref="AD94:AM94"/>
    <mergeCell ref="N95:R95"/>
    <mergeCell ref="V95:Z95"/>
    <mergeCell ref="N92:R92"/>
    <mergeCell ref="V92:Z92"/>
    <mergeCell ref="AB92:AC92"/>
    <mergeCell ref="AD92:AM92"/>
    <mergeCell ref="N93:R93"/>
    <mergeCell ref="V93:Z93"/>
    <mergeCell ref="AB93:AC93"/>
    <mergeCell ref="AD93:AM93"/>
  </mergeCells>
  <dataValidations count="6">
    <dataValidation type="list" allowBlank="1" showInputMessage="1" showErrorMessage="1" sqref="Q9:Q87 WVZ9:WVZ87 WMD9:WMD87 WCH9:WCH87 VSL9:VSL87 VIP9:VIP87 UYT9:UYT87 UOX9:UOX87 UFB9:UFB87 TVF9:TVF87 TLJ9:TLJ87 TBN9:TBN87 SRR9:SRR87 SHV9:SHV87 RXZ9:RXZ87 ROD9:ROD87 REH9:REH87 QUL9:QUL87 QKP9:QKP87 QAT9:QAT87 PQX9:PQX87 PHB9:PHB87 OXF9:OXF87 ONJ9:ONJ87 ODN9:ODN87 NTR9:NTR87 NJV9:NJV87 MZZ9:MZZ87 MQD9:MQD87 MGH9:MGH87 LWL9:LWL87 LMP9:LMP87 LCT9:LCT87 KSX9:KSX87 KJB9:KJB87 JZF9:JZF87 JPJ9:JPJ87 JFN9:JFN87 IVR9:IVR87 ILV9:ILV87 IBZ9:IBZ87 HSD9:HSD87 HIH9:HIH87 GYL9:GYL87 GOP9:GOP87 GET9:GET87 FUX9:FUX87 FLB9:FLB87 FBF9:FBF87 ERJ9:ERJ87 EHN9:EHN87 DXR9:DXR87 DNV9:DNV87 DDZ9:DDZ87 CUD9:CUD87 CKH9:CKH87 CAL9:CAL87 BQP9:BQP87 BGT9:BGT87 AWX9:AWX87 ANB9:ANB87 ADF9:ADF87 TJ9:TJ87 JN9:JN87">
      <formula1>PROBAB</formula1>
    </dataValidation>
    <dataValidation type="list" allowBlank="1" showInputMessage="1" showErrorMessage="1" sqref="R9:R87 WWA9:WWA87 WME9:WME87 WCI9:WCI87 VSM9:VSM87 VIQ9:VIQ87 UYU9:UYU87 UOY9:UOY87 UFC9:UFC87 TVG9:TVG87 TLK9:TLK87 TBO9:TBO87 SRS9:SRS87 SHW9:SHW87 RYA9:RYA87 ROE9:ROE87 REI9:REI87 QUM9:QUM87 QKQ9:QKQ87 QAU9:QAU87 PQY9:PQY87 PHC9:PHC87 OXG9:OXG87 ONK9:ONK87 ODO9:ODO87 NTS9:NTS87 NJW9:NJW87 NAA9:NAA87 MQE9:MQE87 MGI9:MGI87 LWM9:LWM87 LMQ9:LMQ87 LCU9:LCU87 KSY9:KSY87 KJC9:KJC87 JZG9:JZG87 JPK9:JPK87 JFO9:JFO87 IVS9:IVS87 ILW9:ILW87 ICA9:ICA87 HSE9:HSE87 HII9:HII87 GYM9:GYM87 GOQ9:GOQ87 GEU9:GEU87 FUY9:FUY87 FLC9:FLC87 FBG9:FBG87 ERK9:ERK87 EHO9:EHO87 DXS9:DXS87 DNW9:DNW87 DEA9:DEA87 CUE9:CUE87 CKI9:CKI87 CAM9:CAM87 BQQ9:BQQ87 BGU9:BGU87 AWY9:AWY87 ANC9:ANC87 ADG9:ADG87 TK9:TK87 JO9:JO87">
      <formula1>IMPACTO</formula1>
    </dataValidation>
    <dataValidation type="list" showInputMessage="1" showErrorMessage="1" errorTitle="Rechazado" error="Solo son validadas las opciones de la lista" sqref="AE9:AE87 WWM9:WWM87 WMQ9:WMQ87 WCU9:WCU87 VSY9:VSY87 VJC9:VJC87 UZG9:UZG87 UPK9:UPK87 UFO9:UFO87 TVS9:TVS87 TLW9:TLW87 TCA9:TCA87 SSE9:SSE87 SII9:SII87 RYM9:RYM87 ROQ9:ROQ87 REU9:REU87 QUY9:QUY87 QLC9:QLC87 QBG9:QBG87 PRK9:PRK87 PHO9:PHO87 OXS9:OXS87 ONW9:ONW87 OEA9:OEA87 NUE9:NUE87 NKI9:NKI87 NAM9:NAM87 MQQ9:MQQ87 MGU9:MGU87 LWY9:LWY87 LNC9:LNC87 LDG9:LDG87 KTK9:KTK87 KJO9:KJO87 JZS9:JZS87 JPW9:JPW87 JGA9:JGA87 IWE9:IWE87 IMI9:IMI87 ICM9:ICM87 HSQ9:HSQ87 HIU9:HIU87 GYY9:GYY87 GPC9:GPC87 GFG9:GFG87 FVK9:FVK87 FLO9:FLO87 FBS9:FBS87 ERW9:ERW87 EIA9:EIA87 DYE9:DYE87 DOI9:DOI87 DEM9:DEM87 CUQ9:CUQ87 CKU9:CKU87 CAY9:CAY87 BRC9:BRC87 BHG9:BHG87 AXK9:AXK87 ANO9:ANO87 ADS9:ADS87 TW9:TW87 KA9:KA87">
      <formula1>Efecto</formula1>
    </dataValidation>
    <dataValidation showInputMessage="1" showErrorMessage="1" sqref="AG9:AK87 WWO9:WWS87 WMS9:WMW87 WCW9:WDA87 VTA9:VTE87 VJE9:VJI87 UZI9:UZM87 UPM9:UPQ87 UFQ9:UFU87 TVU9:TVY87 TLY9:TMC87 TCC9:TCG87 SSG9:SSK87 SIK9:SIO87 RYO9:RYS87 ROS9:ROW87 REW9:RFA87 QVA9:QVE87 QLE9:QLI87 QBI9:QBM87 PRM9:PRQ87 PHQ9:PHU87 OXU9:OXY87 ONY9:OOC87 OEC9:OEG87 NUG9:NUK87 NKK9:NKO87 NAO9:NAS87 MQS9:MQW87 MGW9:MHA87 LXA9:LXE87 LNE9:LNI87 LDI9:LDM87 KTM9:KTQ87 KJQ9:KJU87 JZU9:JZY87 JPY9:JQC87 JGC9:JGG87 IWG9:IWK87 IMK9:IMO87 ICO9:ICS87 HSS9:HSW87 HIW9:HJA87 GZA9:GZE87 GPE9:GPI87 GFI9:GFM87 FVM9:FVQ87 FLQ9:FLU87 FBU9:FBY87 ERY9:ESC87 EIC9:EIG87 DYG9:DYK87 DOK9:DOO87 DEO9:DES87 CUS9:CUW87 CKW9:CLA87 CBA9:CBE87 BRE9:BRI87 BHI9:BHM87 AXM9:AXQ87 ANQ9:ANU87 ADU9:ADY87 TY9:UC87 KC9:KG87"/>
    <dataValidation type="whole" allowBlank="1" showInputMessage="1" showErrorMessage="1" sqref="AD9:AD87 WWL9:WWL87 WMP9:WMP87 WCT9:WCT87 VSX9:VSX87 VJB9:VJB87 UZF9:UZF87 UPJ9:UPJ87 UFN9:UFN87 TVR9:TVR87 TLV9:TLV87 TBZ9:TBZ87 SSD9:SSD87 SIH9:SIH87 RYL9:RYL87 ROP9:ROP87 RET9:RET87 QUX9:QUX87 QLB9:QLB87 QBF9:QBF87 PRJ9:PRJ87 PHN9:PHN87 OXR9:OXR87 ONV9:ONV87 ODZ9:ODZ87 NUD9:NUD87 NKH9:NKH87 NAL9:NAL87 MQP9:MQP87 MGT9:MGT87 LWX9:LWX87 LNB9:LNB87 LDF9:LDF87 KTJ9:KTJ87 KJN9:KJN87 JZR9:JZR87 JPV9:JPV87 JFZ9:JFZ87 IWD9:IWD87 IMH9:IMH87 ICL9:ICL87 HSP9:HSP87 HIT9:HIT87 GYX9:GYX87 GPB9:GPB87 GFF9:GFF87 FVJ9:FVJ87 FLN9:FLN87 FBR9:FBR87 ERV9:ERV87 EHZ9:EHZ87 DYD9:DYD87 DOH9:DOH87 DEL9:DEL87 CUP9:CUP87 CKT9:CKT87 CAX9:CAX87 BRB9:BRB87 BHF9:BHF87 AXJ9:AXJ87 ANN9:ANN87 ADR9:ADR87 TV9:TV87 JZ9:JZ87">
      <formula1>0</formula1>
      <formula2>100</formula2>
    </dataValidation>
    <dataValidation type="list" allowBlank="1" showInputMessage="1" showErrorMessage="1" sqref="AS9:AS87 WXA9:WXA87 WNE9:WNE87 WDI9:WDI87 VTM9:VTM87 VJQ9:VJQ87 UZU9:UZU87 UPY9:UPY87 UGC9:UGC87 TWG9:TWG87 TMK9:TMK87 TCO9:TCO87 SSS9:SSS87 SIW9:SIW87 RZA9:RZA87 RPE9:RPE87 RFI9:RFI87 QVM9:QVM87 QLQ9:QLQ87 QBU9:QBU87 PRY9:PRY87 PIC9:PIC87 OYG9:OYG87 OOK9:OOK87 OEO9:OEO87 NUS9:NUS87 NKW9:NKW87 NBA9:NBA87 MRE9:MRE87 MHI9:MHI87 LXM9:LXM87 LNQ9:LNQ87 LDU9:LDU87 KTY9:KTY87 KKC9:KKC87 KAG9:KAG87 JQK9:JQK87 JGO9:JGO87 IWS9:IWS87 IMW9:IMW87 IDA9:IDA87 HTE9:HTE87 HJI9:HJI87 GZM9:GZM87 GPQ9:GPQ87 GFU9:GFU87 FVY9:FVY87 FMC9:FMC87 FCG9:FCG87 ESK9:ESK87 EIO9:EIO87 DYS9:DYS87 DOW9:DOW87 DFA9:DFA87 CVE9:CVE87 CLI9:CLI87 CBM9:CBM87 BRQ9:BRQ87 BHU9:BHU87 AXY9:AXY87 AOC9:AOC87 AEG9:AEG87 UK9:UK87 KO9:KO87">
      <formula1>SINO</formula1>
    </dataValidation>
  </dataValidations>
  <printOptions horizontalCentered="1" verticalCentered="1"/>
  <pageMargins left="0.19685039370078741" right="0.19685039370078741" top="0.19685039370078741" bottom="0.19685039370078741" header="0" footer="0"/>
  <pageSetup paperSize="14" scale="60" firstPageNumber="0" orientation="landscape" r:id="rId1"/>
  <headerFooter>
    <oddFooter>&amp;L&amp;9Formato: FO-AC-07 Versión: 3&amp;C&amp;9Página &amp;P</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AMM115"/>
  <sheetViews>
    <sheetView zoomScale="80" zoomScaleNormal="80" zoomScaleSheetLayoutView="100" zoomScalePageLayoutView="95" workbookViewId="0">
      <pane xSplit="5" ySplit="8" topLeftCell="L9" activePane="bottomRight" state="frozen"/>
      <selection pane="topRight" activeCell="F1" sqref="F1"/>
      <selection pane="bottomLeft" activeCell="A9" sqref="A9"/>
      <selection pane="bottomRight"/>
    </sheetView>
  </sheetViews>
  <sheetFormatPr baseColWidth="10" defaultRowHeight="12.75"/>
  <cols>
    <col min="1" max="1" width="12" style="235" customWidth="1"/>
    <col min="2" max="2" width="2.7109375" style="235" customWidth="1"/>
    <col min="3" max="4" width="6.5703125" style="235" customWidth="1"/>
    <col min="5" max="5" width="3" style="235" customWidth="1"/>
    <col min="6" max="6" width="6.5703125" style="235" customWidth="1"/>
    <col min="7" max="8" width="8.42578125" style="235" customWidth="1"/>
    <col min="9" max="9" width="15.5703125" style="235" customWidth="1"/>
    <col min="10" max="10" width="2.5703125" style="235" customWidth="1"/>
    <col min="11" max="11" width="9.5703125" style="235" customWidth="1"/>
    <col min="12" max="12" width="8.85546875" style="235" customWidth="1"/>
    <col min="13" max="15" width="3.7109375" style="235" customWidth="1"/>
    <col min="16" max="16" width="3.5703125" style="235" customWidth="1"/>
    <col min="17" max="17" width="2.85546875" style="235" customWidth="1"/>
    <col min="18" max="18" width="3" style="235" customWidth="1"/>
    <col min="19" max="21" width="0" style="235" hidden="1" customWidth="1"/>
    <col min="22" max="22" width="4.42578125" style="235" customWidth="1"/>
    <col min="23" max="23" width="0" style="235" hidden="1" customWidth="1"/>
    <col min="24" max="27" width="14.28515625" style="235" customWidth="1"/>
    <col min="28" max="28" width="6.42578125" style="235" customWidth="1"/>
    <col min="29" max="29" width="18.7109375" style="235" customWidth="1"/>
    <col min="30" max="30" width="4.140625" style="235" customWidth="1"/>
    <col min="31" max="31" width="3" style="235" customWidth="1"/>
    <col min="32" max="34" width="0" style="235" hidden="1" customWidth="1"/>
    <col min="35" max="35" width="3" style="235" customWidth="1"/>
    <col min="36" max="36" width="0" style="235" hidden="1" customWidth="1"/>
    <col min="37" max="37" width="3" style="235" customWidth="1"/>
    <col min="38" max="38" width="0" style="235" hidden="1" customWidth="1"/>
    <col min="39" max="39" width="4.42578125" style="235" customWidth="1"/>
    <col min="40" max="40" width="26" style="235" customWidth="1"/>
    <col min="41" max="41" width="19.42578125" style="235" customWidth="1"/>
    <col min="42" max="42" width="9.140625" style="235" customWidth="1"/>
    <col min="43" max="43" width="13.7109375" style="235" customWidth="1"/>
    <col min="44" max="44" width="22.5703125" style="235" customWidth="1"/>
    <col min="45" max="45" width="5.85546875" style="235" customWidth="1"/>
    <col min="46" max="46" width="20.28515625" style="235" customWidth="1"/>
    <col min="47" max="47" width="13" style="235" customWidth="1"/>
    <col min="48" max="48" width="7.7109375" style="235" customWidth="1"/>
    <col min="49" max="49" width="8" style="235" customWidth="1"/>
    <col min="50" max="50" width="11.140625" style="235" customWidth="1"/>
    <col min="51" max="51" width="2.140625" style="235" customWidth="1"/>
    <col min="52"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11.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1260" t="s">
        <v>120</v>
      </c>
      <c r="AE1" s="1260"/>
      <c r="AF1" s="1260"/>
      <c r="AG1" s="1260"/>
      <c r="AH1" s="1260"/>
      <c r="AI1" s="1260"/>
      <c r="AJ1" s="1260"/>
      <c r="AK1" s="1260"/>
      <c r="AL1" s="1260"/>
      <c r="AM1" s="1260"/>
      <c r="AN1" s="1260"/>
      <c r="AP1" s="1247" t="s">
        <v>2320</v>
      </c>
      <c r="AQ1" s="1247"/>
      <c r="AR1" s="1247"/>
      <c r="AS1" s="1247"/>
      <c r="AT1" s="233"/>
      <c r="AU1" s="233"/>
      <c r="AV1" s="233"/>
      <c r="AW1" s="1246"/>
      <c r="AX1" s="1246"/>
      <c r="AY1" s="233"/>
    </row>
    <row r="2" spans="1:1027" ht="14.25" customHeight="1">
      <c r="A2" s="237" t="s">
        <v>2348</v>
      </c>
      <c r="B2" s="233"/>
      <c r="C2" s="233"/>
      <c r="D2" s="233"/>
      <c r="E2" s="233"/>
      <c r="F2" s="233"/>
      <c r="G2" s="1214" t="str">
        <f>UPPER([39]Control!A2)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1260"/>
      <c r="AE2" s="1260"/>
      <c r="AF2" s="1260"/>
      <c r="AG2" s="1260"/>
      <c r="AH2" s="1260"/>
      <c r="AI2" s="1260"/>
      <c r="AJ2" s="1260"/>
      <c r="AK2" s="1260"/>
      <c r="AL2" s="1260"/>
      <c r="AM2" s="1260"/>
      <c r="AN2" s="1260"/>
      <c r="AP2" s="1268" t="s">
        <v>138</v>
      </c>
      <c r="AQ2" s="1269"/>
      <c r="AR2" s="1270" t="str">
        <f>AD1</f>
        <v>COMUNICACIONES</v>
      </c>
      <c r="AS2" s="1271"/>
      <c r="AT2" s="233"/>
      <c r="AU2" s="233"/>
      <c r="AV2" s="233"/>
      <c r="AW2" s="1246"/>
      <c r="AX2" s="1246"/>
      <c r="AY2" s="233"/>
    </row>
    <row r="3" spans="1:1027" ht="11.25" customHeight="1">
      <c r="A3" s="1435">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1436">
        <v>43455</v>
      </c>
      <c r="AA3" s="1437"/>
      <c r="AB3" s="1438"/>
      <c r="AC3" s="1259" t="s">
        <v>2349</v>
      </c>
      <c r="AD3" s="1261" t="s">
        <v>47</v>
      </c>
      <c r="AE3" s="1261"/>
      <c r="AF3" s="1261"/>
      <c r="AG3" s="1261"/>
      <c r="AH3" s="1261"/>
      <c r="AI3" s="1261"/>
      <c r="AJ3" s="1261"/>
      <c r="AK3" s="1261"/>
      <c r="AL3" s="1261"/>
      <c r="AM3" s="1261"/>
      <c r="AN3" s="1261"/>
      <c r="AP3" s="1265" t="s">
        <v>2322</v>
      </c>
      <c r="AQ3" s="1266"/>
      <c r="AR3" s="1266" t="s">
        <v>2323</v>
      </c>
      <c r="AS3" s="1267"/>
      <c r="AT3" s="233"/>
      <c r="AU3" s="233"/>
      <c r="AV3" s="233"/>
      <c r="AW3" s="1246"/>
      <c r="AX3" s="1246"/>
      <c r="AY3" s="233"/>
    </row>
    <row r="4" spans="1:1027" ht="14.25" customHeight="1" thickBot="1">
      <c r="A4" s="1435"/>
      <c r="B4" s="233"/>
      <c r="C4" s="233"/>
      <c r="D4" s="233"/>
      <c r="E4" s="233"/>
      <c r="F4" s="233"/>
      <c r="G4" s="1236" t="str">
        <f>[39]Control!A4</f>
        <v>FO-PE-06</v>
      </c>
      <c r="H4" s="1237"/>
      <c r="I4" s="1238" t="str">
        <f>[39]Control!C4</f>
        <v>Planeación Estratégica</v>
      </c>
      <c r="J4" s="1237"/>
      <c r="K4" s="1237"/>
      <c r="L4" s="1237"/>
      <c r="M4" s="1237"/>
      <c r="N4" s="1239"/>
      <c r="O4" s="1238">
        <f>[39]Control!H4</f>
        <v>5</v>
      </c>
      <c r="P4" s="1237"/>
      <c r="Q4" s="1237"/>
      <c r="R4" s="1237"/>
      <c r="S4" s="1237"/>
      <c r="T4" s="1237"/>
      <c r="U4" s="1237"/>
      <c r="V4" s="1239"/>
      <c r="W4" s="239"/>
      <c r="X4" s="1255"/>
      <c r="Y4" s="1256"/>
      <c r="Z4" s="1439"/>
      <c r="AA4" s="1440"/>
      <c r="AB4" s="1441"/>
      <c r="AC4" s="1259"/>
      <c r="AD4" s="1261"/>
      <c r="AE4" s="1261"/>
      <c r="AF4" s="1261"/>
      <c r="AG4" s="1261"/>
      <c r="AH4" s="1261"/>
      <c r="AI4" s="1261"/>
      <c r="AJ4" s="1261"/>
      <c r="AK4" s="1261"/>
      <c r="AL4" s="1261"/>
      <c r="AM4" s="1261"/>
      <c r="AN4" s="1261"/>
      <c r="AP4" s="1240">
        <v>43712</v>
      </c>
      <c r="AQ4" s="1241"/>
      <c r="AR4" s="2150" t="s">
        <v>3678</v>
      </c>
      <c r="AS4" s="2151"/>
      <c r="AT4" s="233"/>
      <c r="AU4" s="233"/>
      <c r="AV4" s="233"/>
      <c r="AW4" s="1246"/>
      <c r="AX4" s="1246"/>
      <c r="AY4" s="233"/>
    </row>
    <row r="5" spans="1:1027"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2"/>
      <c r="AB5" s="242"/>
      <c r="AC5" s="242"/>
      <c r="AD5" s="241"/>
      <c r="AE5" s="241"/>
      <c r="AF5" s="241"/>
      <c r="AG5" s="241"/>
      <c r="AH5" s="241"/>
      <c r="AI5" s="241"/>
      <c r="AJ5" s="241"/>
      <c r="AK5" s="241"/>
      <c r="AL5" s="241"/>
      <c r="AM5" s="240"/>
      <c r="AN5" s="240"/>
      <c r="AO5" s="240"/>
      <c r="AQ5" s="244"/>
      <c r="AY5" s="245"/>
    </row>
    <row r="6" spans="1:1027" s="243" customFormat="1" ht="11.2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602" t="s">
        <v>268</v>
      </c>
      <c r="AO6" s="294"/>
      <c r="AP6" s="247" t="s">
        <v>2325</v>
      </c>
      <c r="AQ6" s="248"/>
      <c r="AR6" s="248"/>
      <c r="AS6" s="249"/>
      <c r="AT6" s="1244" t="s">
        <v>2326</v>
      </c>
      <c r="AU6" s="1244"/>
      <c r="AV6" s="1244"/>
      <c r="AW6" s="1244"/>
      <c r="AX6" s="1245"/>
      <c r="AY6" s="245"/>
    </row>
    <row r="7" spans="1:1027" s="243" customFormat="1" ht="33" customHeight="1">
      <c r="A7" s="1217" t="s">
        <v>1002</v>
      </c>
      <c r="B7" s="1218" t="s">
        <v>640</v>
      </c>
      <c r="C7" s="1219" t="s">
        <v>1001</v>
      </c>
      <c r="D7" s="1220"/>
      <c r="E7" s="1221"/>
      <c r="F7" s="1217" t="s">
        <v>1000</v>
      </c>
      <c r="G7" s="1219" t="s">
        <v>999</v>
      </c>
      <c r="H7" s="1220"/>
      <c r="I7" s="1221"/>
      <c r="J7" s="1217" t="s">
        <v>145</v>
      </c>
      <c r="K7" s="1217"/>
      <c r="L7" s="1217"/>
      <c r="M7" s="1225" t="s">
        <v>144</v>
      </c>
      <c r="N7" s="1226"/>
      <c r="O7" s="1226"/>
      <c r="P7" s="1226"/>
      <c r="Q7" s="1227" t="s">
        <v>637</v>
      </c>
      <c r="R7" s="1228"/>
      <c r="S7" s="1228"/>
      <c r="T7" s="1228"/>
      <c r="U7" s="1228"/>
      <c r="V7" s="1229"/>
      <c r="W7" s="250"/>
      <c r="X7" s="1217" t="s">
        <v>2351</v>
      </c>
      <c r="Y7" s="1217"/>
      <c r="Z7" s="1217"/>
      <c r="AA7" s="1284" t="s">
        <v>4175</v>
      </c>
      <c r="AB7" s="1221" t="s">
        <v>998</v>
      </c>
      <c r="AC7" s="1284" t="s">
        <v>641</v>
      </c>
      <c r="AD7" s="1286" t="s">
        <v>546</v>
      </c>
      <c r="AE7" s="1286" t="s">
        <v>638</v>
      </c>
      <c r="AF7" s="251"/>
      <c r="AG7" s="252"/>
      <c r="AH7" s="253"/>
      <c r="AI7" s="1288" t="s">
        <v>639</v>
      </c>
      <c r="AJ7" s="1288"/>
      <c r="AK7" s="1288"/>
      <c r="AL7" s="1288"/>
      <c r="AM7" s="1288"/>
      <c r="AN7" s="1288" t="s">
        <v>2327</v>
      </c>
      <c r="AO7" s="1431" t="s">
        <v>2328</v>
      </c>
      <c r="AP7" s="1432" t="s">
        <v>2353</v>
      </c>
      <c r="AQ7" s="1431" t="s">
        <v>2330</v>
      </c>
      <c r="AR7" s="1432" t="s">
        <v>2354</v>
      </c>
      <c r="AS7" s="1432" t="s">
        <v>2332</v>
      </c>
      <c r="AT7" s="1432" t="s">
        <v>2333</v>
      </c>
      <c r="AU7" s="1432" t="s">
        <v>2334</v>
      </c>
      <c r="AV7" s="1432" t="s">
        <v>2335</v>
      </c>
      <c r="AW7" s="1432" t="s">
        <v>2336</v>
      </c>
      <c r="AX7" s="1432" t="s">
        <v>2337</v>
      </c>
      <c r="AY7" s="245"/>
    </row>
    <row r="8" spans="1:1027" ht="22.5" customHeight="1">
      <c r="A8" s="1217"/>
      <c r="B8" s="1218"/>
      <c r="C8" s="1222"/>
      <c r="D8" s="1223"/>
      <c r="E8" s="1224"/>
      <c r="F8" s="1217"/>
      <c r="G8" s="1222"/>
      <c r="H8" s="1223"/>
      <c r="I8" s="1224"/>
      <c r="J8" s="1217"/>
      <c r="K8" s="1217"/>
      <c r="L8" s="1217"/>
      <c r="M8" s="254" t="s">
        <v>146</v>
      </c>
      <c r="N8" s="254" t="s">
        <v>997</v>
      </c>
      <c r="O8" s="254" t="s">
        <v>65</v>
      </c>
      <c r="P8" s="254" t="s">
        <v>996</v>
      </c>
      <c r="Q8" s="601" t="s">
        <v>147</v>
      </c>
      <c r="R8" s="601" t="s">
        <v>148</v>
      </c>
      <c r="S8" s="255"/>
      <c r="T8" s="255" t="s">
        <v>239</v>
      </c>
      <c r="U8" s="255" t="s">
        <v>242</v>
      </c>
      <c r="V8" s="601" t="s">
        <v>149</v>
      </c>
      <c r="W8" s="256"/>
      <c r="X8" s="1217"/>
      <c r="Y8" s="1217"/>
      <c r="Z8" s="1217"/>
      <c r="AA8" s="1285"/>
      <c r="AB8" s="1224"/>
      <c r="AC8" s="1285"/>
      <c r="AD8" s="1287"/>
      <c r="AE8" s="1287"/>
      <c r="AF8" s="256"/>
      <c r="AG8" s="257" t="s">
        <v>642</v>
      </c>
      <c r="AH8" s="257" t="s">
        <v>264</v>
      </c>
      <c r="AI8" s="601" t="s">
        <v>147</v>
      </c>
      <c r="AJ8" s="258" t="s">
        <v>265</v>
      </c>
      <c r="AK8" s="601" t="s">
        <v>148</v>
      </c>
      <c r="AL8" s="255" t="s">
        <v>150</v>
      </c>
      <c r="AM8" s="601" t="s">
        <v>150</v>
      </c>
      <c r="AN8" s="1288"/>
      <c r="AO8" s="1431"/>
      <c r="AP8" s="1432"/>
      <c r="AQ8" s="1432"/>
      <c r="AR8" s="1432"/>
      <c r="AS8" s="1432"/>
      <c r="AT8" s="1432"/>
      <c r="AU8" s="1432"/>
      <c r="AV8" s="1432"/>
      <c r="AW8" s="1432"/>
      <c r="AX8" s="1432"/>
      <c r="AY8" s="245"/>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103.5" customHeight="1">
      <c r="A9" s="2152" t="s">
        <v>186</v>
      </c>
      <c r="B9" s="2155" t="s">
        <v>2011</v>
      </c>
      <c r="C9" s="2158" t="s">
        <v>121</v>
      </c>
      <c r="D9" s="2159"/>
      <c r="E9" s="2160"/>
      <c r="F9" s="1175" t="s">
        <v>47</v>
      </c>
      <c r="G9" s="2167" t="s">
        <v>122</v>
      </c>
      <c r="H9" s="2168"/>
      <c r="I9" s="2169"/>
      <c r="J9" s="2170" t="s">
        <v>123</v>
      </c>
      <c r="K9" s="2171"/>
      <c r="L9" s="2172"/>
      <c r="M9" s="2152" t="s">
        <v>8</v>
      </c>
      <c r="N9" s="1296"/>
      <c r="O9" s="1296"/>
      <c r="P9" s="1296" t="s">
        <v>8</v>
      </c>
      <c r="Q9" s="1175" t="s">
        <v>64</v>
      </c>
      <c r="R9" s="1175" t="s">
        <v>643</v>
      </c>
      <c r="S9" s="301"/>
      <c r="T9" s="638">
        <f>VLOOKUP(Q9,[84]Listas!$D$6:$E$10,2,0)</f>
        <v>3</v>
      </c>
      <c r="U9" s="638">
        <f>HLOOKUP(R9,[84]Listas!$F$4:$J$5,2,0)</f>
        <v>2</v>
      </c>
      <c r="V9" s="2094" t="str">
        <f>INDEX([84]Listas!$F$6:$J$10,MATCH(Q9,[84]Listas!$D$6:$D$10,0),MATCH(R9,[84]Listas!$F$4:$J$4,0))</f>
        <v>6
MODERADO</v>
      </c>
      <c r="W9" s="301"/>
      <c r="X9" s="2179" t="s">
        <v>1044</v>
      </c>
      <c r="Y9" s="2179"/>
      <c r="Z9" s="2179"/>
      <c r="AA9" s="2152" t="s">
        <v>4013</v>
      </c>
      <c r="AB9" s="1321" t="s">
        <v>1045</v>
      </c>
      <c r="AC9" s="603" t="s">
        <v>1046</v>
      </c>
      <c r="AD9" s="1296">
        <v>79</v>
      </c>
      <c r="AE9" s="1321" t="s">
        <v>153</v>
      </c>
      <c r="AF9" s="301"/>
      <c r="AG9" s="638">
        <f t="shared" ref="AG9:AG27" si="0">IF(AD9&lt;=33,0,IF(AD9&gt;81,2,1))</f>
        <v>1</v>
      </c>
      <c r="AH9" s="323">
        <f t="shared" ref="AH9:AH27" si="1">IF(OR(AE9="Probabilidad",AE9="Ambos"),T9-AG9,T9)</f>
        <v>2</v>
      </c>
      <c r="AI9" s="2102" t="str">
        <f>IF(AH9&lt;=1,"Remota",VLOOKUP(AH9,[84]Listas!$C$6:$D$10,2,0))</f>
        <v>Baja</v>
      </c>
      <c r="AJ9" s="323">
        <f t="shared" ref="AJ9:AJ27" si="2">IF(OR(AE9="Impacto",AE9="Ambos"),U9-AG9,U9)</f>
        <v>2</v>
      </c>
      <c r="AK9" s="2102" t="str">
        <f>IF(AJ9&lt;=1,"Insignificante",HLOOKUP(AJ9,[84]Listas!$F$3:$J$4,2,0))</f>
        <v>Menor</v>
      </c>
      <c r="AL9" s="640">
        <f t="shared" ref="AL9:AL27" si="3">AH9*AJ9</f>
        <v>4</v>
      </c>
      <c r="AM9" s="2094" t="str">
        <f>INDEX([84]Listas!$F$6:$J$10,MATCH(AI9,[84]Listas!$D$6:$D$10,0),MATCH(AK9,[84]Listas!$F$4:$J$4,0))</f>
        <v>4
INFERIOR</v>
      </c>
      <c r="AN9" s="1325" t="s">
        <v>2478</v>
      </c>
      <c r="AO9" s="1886" t="s">
        <v>2479</v>
      </c>
      <c r="AP9" s="1353">
        <v>1</v>
      </c>
      <c r="AQ9" s="1325" t="s">
        <v>3677</v>
      </c>
      <c r="AR9" s="1329" t="s">
        <v>3229</v>
      </c>
      <c r="AS9" s="1325" t="s">
        <v>36</v>
      </c>
      <c r="AT9" s="1325" t="s">
        <v>3230</v>
      </c>
      <c r="AU9" s="1325" t="s">
        <v>3230</v>
      </c>
      <c r="AV9" s="1375" t="s">
        <v>3230</v>
      </c>
      <c r="AW9" s="1375" t="s">
        <v>3230</v>
      </c>
      <c r="AX9" s="1325" t="s">
        <v>3230</v>
      </c>
      <c r="AY9" s="262"/>
    </row>
    <row r="10" spans="1:1027" s="260" customFormat="1" ht="103.5" customHeight="1">
      <c r="A10" s="2153"/>
      <c r="B10" s="2156"/>
      <c r="C10" s="2161"/>
      <c r="D10" s="2162"/>
      <c r="E10" s="2163"/>
      <c r="F10" s="1176"/>
      <c r="G10" s="2167" t="s">
        <v>644</v>
      </c>
      <c r="H10" s="2168"/>
      <c r="I10" s="2169"/>
      <c r="J10" s="2173"/>
      <c r="K10" s="2174"/>
      <c r="L10" s="2175"/>
      <c r="M10" s="2153"/>
      <c r="N10" s="1297"/>
      <c r="O10" s="1297"/>
      <c r="P10" s="1297"/>
      <c r="Q10" s="1176"/>
      <c r="R10" s="1176"/>
      <c r="S10" s="301"/>
      <c r="T10" s="638" t="e">
        <f>VLOOKUP(Q10,[84]Listas!$D$6:$E$10,2,0)</f>
        <v>#N/A</v>
      </c>
      <c r="U10" s="638" t="e">
        <f>HLOOKUP(R10,[84]Listas!$F$4:$J$5,2,0)</f>
        <v>#N/A</v>
      </c>
      <c r="V10" s="2095"/>
      <c r="W10" s="301"/>
      <c r="X10" s="2179" t="s">
        <v>421</v>
      </c>
      <c r="Y10" s="2179"/>
      <c r="Z10" s="2179"/>
      <c r="AA10" s="2153"/>
      <c r="AB10" s="1322"/>
      <c r="AC10" s="603" t="s">
        <v>1047</v>
      </c>
      <c r="AD10" s="1297"/>
      <c r="AE10" s="1322"/>
      <c r="AF10" s="301"/>
      <c r="AG10" s="638">
        <f t="shared" si="0"/>
        <v>0</v>
      </c>
      <c r="AH10" s="323" t="e">
        <f t="shared" si="1"/>
        <v>#N/A</v>
      </c>
      <c r="AI10" s="2103"/>
      <c r="AJ10" s="323" t="e">
        <f t="shared" si="2"/>
        <v>#N/A</v>
      </c>
      <c r="AK10" s="2103"/>
      <c r="AL10" s="640" t="e">
        <f t="shared" si="3"/>
        <v>#N/A</v>
      </c>
      <c r="AM10" s="2095"/>
      <c r="AN10" s="1326"/>
      <c r="AO10" s="1887"/>
      <c r="AP10" s="1354"/>
      <c r="AQ10" s="1326"/>
      <c r="AR10" s="1330"/>
      <c r="AS10" s="1326"/>
      <c r="AT10" s="1326"/>
      <c r="AU10" s="1326"/>
      <c r="AV10" s="1376"/>
      <c r="AW10" s="1376"/>
      <c r="AX10" s="1326"/>
      <c r="AY10" s="262"/>
    </row>
    <row r="11" spans="1:1027" s="260" customFormat="1" ht="103.5" customHeight="1">
      <c r="A11" s="2153"/>
      <c r="B11" s="2156"/>
      <c r="C11" s="2161"/>
      <c r="D11" s="2162"/>
      <c r="E11" s="2163"/>
      <c r="F11" s="1176"/>
      <c r="G11" s="2167" t="s">
        <v>645</v>
      </c>
      <c r="H11" s="2168"/>
      <c r="I11" s="2169"/>
      <c r="J11" s="2173"/>
      <c r="K11" s="2174"/>
      <c r="L11" s="2175"/>
      <c r="M11" s="2153"/>
      <c r="N11" s="1297"/>
      <c r="O11" s="1297"/>
      <c r="P11" s="1297"/>
      <c r="Q11" s="1176"/>
      <c r="R11" s="1176"/>
      <c r="S11" s="301"/>
      <c r="T11" s="638" t="e">
        <f>VLOOKUP(Q11,[84]Listas!$D$6:$E$10,2,0)</f>
        <v>#N/A</v>
      </c>
      <c r="U11" s="638" t="e">
        <f>HLOOKUP(R11,[84]Listas!$F$4:$J$5,2,0)</f>
        <v>#N/A</v>
      </c>
      <c r="V11" s="2095"/>
      <c r="W11" s="301"/>
      <c r="X11" s="2179" t="s">
        <v>422</v>
      </c>
      <c r="Y11" s="2179"/>
      <c r="Z11" s="2179"/>
      <c r="AA11" s="2153"/>
      <c r="AB11" s="1322"/>
      <c r="AC11" s="603" t="s">
        <v>187</v>
      </c>
      <c r="AD11" s="1297"/>
      <c r="AE11" s="1322"/>
      <c r="AF11" s="301"/>
      <c r="AG11" s="638">
        <f t="shared" si="0"/>
        <v>0</v>
      </c>
      <c r="AH11" s="323" t="e">
        <f t="shared" si="1"/>
        <v>#N/A</v>
      </c>
      <c r="AI11" s="2103"/>
      <c r="AJ11" s="323" t="e">
        <f t="shared" si="2"/>
        <v>#N/A</v>
      </c>
      <c r="AK11" s="2103"/>
      <c r="AL11" s="640" t="e">
        <f t="shared" si="3"/>
        <v>#N/A</v>
      </c>
      <c r="AM11" s="2095"/>
      <c r="AN11" s="1326"/>
      <c r="AO11" s="1887"/>
      <c r="AP11" s="1354"/>
      <c r="AQ11" s="1326"/>
      <c r="AR11" s="1330"/>
      <c r="AS11" s="1326"/>
      <c r="AT11" s="1326"/>
      <c r="AU11" s="1326"/>
      <c r="AV11" s="1376"/>
      <c r="AW11" s="1376"/>
      <c r="AX11" s="1326"/>
      <c r="AY11" s="262"/>
    </row>
    <row r="12" spans="1:1027" s="260" customFormat="1" ht="103.5" customHeight="1">
      <c r="A12" s="2154"/>
      <c r="B12" s="2157"/>
      <c r="C12" s="2164"/>
      <c r="D12" s="2165"/>
      <c r="E12" s="2166"/>
      <c r="F12" s="1520"/>
      <c r="G12" s="2167" t="s">
        <v>89</v>
      </c>
      <c r="H12" s="2168"/>
      <c r="I12" s="2169"/>
      <c r="J12" s="2176"/>
      <c r="K12" s="2177"/>
      <c r="L12" s="2178"/>
      <c r="M12" s="2154"/>
      <c r="N12" s="1328"/>
      <c r="O12" s="1328"/>
      <c r="P12" s="1328"/>
      <c r="Q12" s="1520"/>
      <c r="R12" s="1520"/>
      <c r="S12" s="301"/>
      <c r="T12" s="638" t="e">
        <f>VLOOKUP(Q12,[84]Listas!$D$6:$E$10,2,0)</f>
        <v>#N/A</v>
      </c>
      <c r="U12" s="638" t="e">
        <f>HLOOKUP(R12,[84]Listas!$F$4:$J$5,2,0)</f>
        <v>#N/A</v>
      </c>
      <c r="V12" s="2096"/>
      <c r="W12" s="301"/>
      <c r="X12" s="2179" t="s">
        <v>1048</v>
      </c>
      <c r="Y12" s="2179"/>
      <c r="Z12" s="2179"/>
      <c r="AA12" s="2154"/>
      <c r="AB12" s="1515"/>
      <c r="AC12" s="603" t="s">
        <v>1049</v>
      </c>
      <c r="AD12" s="1328"/>
      <c r="AE12" s="1515"/>
      <c r="AF12" s="301"/>
      <c r="AG12" s="638">
        <f t="shared" si="0"/>
        <v>0</v>
      </c>
      <c r="AH12" s="323" t="e">
        <f t="shared" si="1"/>
        <v>#N/A</v>
      </c>
      <c r="AI12" s="2104"/>
      <c r="AJ12" s="323" t="e">
        <f t="shared" si="2"/>
        <v>#N/A</v>
      </c>
      <c r="AK12" s="2104"/>
      <c r="AL12" s="640" t="e">
        <f t="shared" si="3"/>
        <v>#N/A</v>
      </c>
      <c r="AM12" s="2096"/>
      <c r="AN12" s="1327"/>
      <c r="AO12" s="1888"/>
      <c r="AP12" s="1355"/>
      <c r="AQ12" s="1327"/>
      <c r="AR12" s="1331"/>
      <c r="AS12" s="1327"/>
      <c r="AT12" s="1327"/>
      <c r="AU12" s="1327"/>
      <c r="AV12" s="1377"/>
      <c r="AW12" s="1377"/>
      <c r="AX12" s="1327"/>
      <c r="AY12" s="262"/>
    </row>
    <row r="13" spans="1:1027" s="260" customFormat="1" ht="103.5" customHeight="1">
      <c r="A13" s="1296" t="s">
        <v>186</v>
      </c>
      <c r="B13" s="2155" t="s">
        <v>2012</v>
      </c>
      <c r="C13" s="1275" t="s">
        <v>88</v>
      </c>
      <c r="D13" s="1276"/>
      <c r="E13" s="1277"/>
      <c r="F13" s="1321" t="s">
        <v>47</v>
      </c>
      <c r="G13" s="1272" t="s">
        <v>423</v>
      </c>
      <c r="H13" s="1273"/>
      <c r="I13" s="1274"/>
      <c r="J13" s="1345" t="s">
        <v>123</v>
      </c>
      <c r="K13" s="1346"/>
      <c r="L13" s="1347"/>
      <c r="M13" s="1296" t="s">
        <v>8</v>
      </c>
      <c r="N13" s="1296"/>
      <c r="O13" s="1296" t="s">
        <v>8</v>
      </c>
      <c r="P13" s="1296" t="s">
        <v>8</v>
      </c>
      <c r="Q13" s="1175" t="s">
        <v>64</v>
      </c>
      <c r="R13" s="1175" t="s">
        <v>643</v>
      </c>
      <c r="S13" s="301"/>
      <c r="T13" s="638">
        <f>VLOOKUP(Q13,[84]Listas!$D$6:$E$10,2,0)</f>
        <v>3</v>
      </c>
      <c r="U13" s="638">
        <f>HLOOKUP(R13,[84]Listas!$F$4:$J$5,2,0)</f>
        <v>2</v>
      </c>
      <c r="V13" s="2094" t="str">
        <f>INDEX([84]Listas!$F$6:$J$10,MATCH(Q13,[84]Listas!$D$6:$D$10,0),MATCH(R13,[84]Listas!$F$4:$J$4,0))</f>
        <v>6
MODERADO</v>
      </c>
      <c r="W13" s="301"/>
      <c r="X13" s="1545" t="s">
        <v>646</v>
      </c>
      <c r="Y13" s="1545"/>
      <c r="Z13" s="1545"/>
      <c r="AA13" s="1296" t="s">
        <v>4190</v>
      </c>
      <c r="AB13" s="1321" t="s">
        <v>1045</v>
      </c>
      <c r="AC13" s="603" t="s">
        <v>1049</v>
      </c>
      <c r="AD13" s="1296">
        <v>71</v>
      </c>
      <c r="AE13" s="1321" t="s">
        <v>153</v>
      </c>
      <c r="AF13" s="301"/>
      <c r="AG13" s="638">
        <f t="shared" si="0"/>
        <v>1</v>
      </c>
      <c r="AH13" s="323">
        <f t="shared" si="1"/>
        <v>2</v>
      </c>
      <c r="AI13" s="2102" t="str">
        <f>IF(AH13&lt;=1,"Remota",VLOOKUP(AH13,[84]Listas!$C$6:$D$10,2,0))</f>
        <v>Baja</v>
      </c>
      <c r="AJ13" s="323">
        <f t="shared" si="2"/>
        <v>2</v>
      </c>
      <c r="AK13" s="2102" t="str">
        <f>IF(AJ13&lt;=1,"Insignificante",HLOOKUP(AJ13,[84]Listas!$F$3:$J$4,2,0))</f>
        <v>Menor</v>
      </c>
      <c r="AL13" s="640">
        <f t="shared" si="3"/>
        <v>4</v>
      </c>
      <c r="AM13" s="2094" t="str">
        <f>INDEX([84]Listas!$F$6:$J$10,MATCH(AI13,[84]Listas!$D$6:$D$10,0),MATCH(AK13,[84]Listas!$F$4:$J$4,0))</f>
        <v>4
INFERIOR</v>
      </c>
      <c r="AN13" s="1325" t="s">
        <v>2480</v>
      </c>
      <c r="AO13" s="1886" t="s">
        <v>2481</v>
      </c>
      <c r="AP13" s="1353">
        <v>0</v>
      </c>
      <c r="AQ13" s="1325" t="s">
        <v>3231</v>
      </c>
      <c r="AR13" s="1329" t="s">
        <v>3229</v>
      </c>
      <c r="AS13" s="1325" t="s">
        <v>36</v>
      </c>
      <c r="AT13" s="1325" t="s">
        <v>3230</v>
      </c>
      <c r="AU13" s="1325" t="s">
        <v>3230</v>
      </c>
      <c r="AV13" s="1325" t="s">
        <v>3230</v>
      </c>
      <c r="AW13" s="1375" t="s">
        <v>3230</v>
      </c>
      <c r="AX13" s="1325" t="s">
        <v>3230</v>
      </c>
      <c r="AY13" s="262"/>
    </row>
    <row r="14" spans="1:1027" s="260" customFormat="1" ht="103.5" customHeight="1">
      <c r="A14" s="1297"/>
      <c r="B14" s="2156"/>
      <c r="C14" s="2125"/>
      <c r="D14" s="2126"/>
      <c r="E14" s="2127"/>
      <c r="F14" s="1515"/>
      <c r="G14" s="1272" t="s">
        <v>647</v>
      </c>
      <c r="H14" s="1273"/>
      <c r="I14" s="1274"/>
      <c r="J14" s="1348"/>
      <c r="K14" s="1349"/>
      <c r="L14" s="1350"/>
      <c r="M14" s="1328"/>
      <c r="N14" s="1328"/>
      <c r="O14" s="1328"/>
      <c r="P14" s="1328"/>
      <c r="Q14" s="1520"/>
      <c r="R14" s="1520"/>
      <c r="S14" s="301"/>
      <c r="T14" s="638" t="e">
        <f>VLOOKUP(Q14,[84]Listas!$D$6:$E$10,2,0)</f>
        <v>#N/A</v>
      </c>
      <c r="U14" s="638" t="e">
        <f>HLOOKUP(R14,[84]Listas!$F$4:$J$5,2,0)</f>
        <v>#N/A</v>
      </c>
      <c r="V14" s="2096"/>
      <c r="W14" s="301"/>
      <c r="X14" s="1545" t="s">
        <v>424</v>
      </c>
      <c r="Y14" s="1545"/>
      <c r="Z14" s="1545"/>
      <c r="AA14" s="1328"/>
      <c r="AB14" s="1515"/>
      <c r="AC14" s="603" t="s">
        <v>1047</v>
      </c>
      <c r="AD14" s="1328"/>
      <c r="AE14" s="1515"/>
      <c r="AF14" s="301"/>
      <c r="AG14" s="638">
        <f t="shared" si="0"/>
        <v>0</v>
      </c>
      <c r="AH14" s="323" t="e">
        <f t="shared" si="1"/>
        <v>#N/A</v>
      </c>
      <c r="AI14" s="2104"/>
      <c r="AJ14" s="323" t="e">
        <f t="shared" si="2"/>
        <v>#N/A</v>
      </c>
      <c r="AK14" s="2104"/>
      <c r="AL14" s="640" t="e">
        <f t="shared" si="3"/>
        <v>#N/A</v>
      </c>
      <c r="AM14" s="2096"/>
      <c r="AN14" s="1327"/>
      <c r="AO14" s="1888"/>
      <c r="AP14" s="1355"/>
      <c r="AQ14" s="1327"/>
      <c r="AR14" s="1331"/>
      <c r="AS14" s="1327"/>
      <c r="AT14" s="1327"/>
      <c r="AU14" s="1326"/>
      <c r="AV14" s="1326"/>
      <c r="AW14" s="1377"/>
      <c r="AX14" s="1327"/>
      <c r="AY14" s="262"/>
    </row>
    <row r="15" spans="1:1027" s="260" customFormat="1" ht="134.25" customHeight="1">
      <c r="A15" s="603" t="s">
        <v>186</v>
      </c>
      <c r="B15" s="619" t="s">
        <v>2013</v>
      </c>
      <c r="C15" s="1317" t="s">
        <v>3232</v>
      </c>
      <c r="D15" s="1318"/>
      <c r="E15" s="1319"/>
      <c r="F15" s="606"/>
      <c r="G15" s="1272" t="s">
        <v>3233</v>
      </c>
      <c r="H15" s="1273"/>
      <c r="I15" s="1274"/>
      <c r="J15" s="1342" t="s">
        <v>3234</v>
      </c>
      <c r="K15" s="1343"/>
      <c r="L15" s="1344"/>
      <c r="M15" s="603"/>
      <c r="N15" s="603"/>
      <c r="O15" s="603"/>
      <c r="P15" s="603" t="s">
        <v>8</v>
      </c>
      <c r="Q15" s="607" t="s">
        <v>655</v>
      </c>
      <c r="R15" s="607" t="s">
        <v>274</v>
      </c>
      <c r="S15" s="301"/>
      <c r="T15" s="638">
        <f>VLOOKUP(Q15,[84]Listas!$D$6:$E$10,2,0)</f>
        <v>2</v>
      </c>
      <c r="U15" s="638">
        <f>HLOOKUP(R15,[84]Listas!$F$4:$J$5,2,0)</f>
        <v>3</v>
      </c>
      <c r="V15" s="621" t="str">
        <f>INDEX([84]Listas!$F$6:$J$10,MATCH(Q15,[84]Listas!$D$6:$D$10,0),MATCH(R15,[84]Listas!$F$4:$J$4,0))</f>
        <v>6
MODERADO</v>
      </c>
      <c r="W15" s="301"/>
      <c r="X15" s="1545" t="s">
        <v>3235</v>
      </c>
      <c r="Y15" s="1545"/>
      <c r="Z15" s="1545"/>
      <c r="AA15" s="1068" t="s">
        <v>4013</v>
      </c>
      <c r="AB15" s="606" t="s">
        <v>1045</v>
      </c>
      <c r="AC15" s="603" t="s">
        <v>3236</v>
      </c>
      <c r="AD15" s="603">
        <v>84</v>
      </c>
      <c r="AE15" s="606" t="s">
        <v>153</v>
      </c>
      <c r="AF15" s="301"/>
      <c r="AG15" s="638">
        <f t="shared" si="0"/>
        <v>2</v>
      </c>
      <c r="AH15" s="323">
        <f t="shared" si="1"/>
        <v>0</v>
      </c>
      <c r="AI15" s="639" t="str">
        <f>IF(AH15&lt;=1,"Remota",VLOOKUP(AH15,[84]Listas!$C$6:$D$10,2,0))</f>
        <v>Remota</v>
      </c>
      <c r="AJ15" s="323">
        <f t="shared" si="2"/>
        <v>3</v>
      </c>
      <c r="AK15" s="639" t="str">
        <f>IF(AJ15&lt;=1,"Insignificante",HLOOKUP(AJ15,[84]Listas!$F$3:$J$4,2,0))</f>
        <v>Moderado</v>
      </c>
      <c r="AL15" s="640">
        <f t="shared" si="3"/>
        <v>0</v>
      </c>
      <c r="AM15" s="621" t="str">
        <f>INDEX([84]Listas!$F$6:$J$10,MATCH(AI15,[84]Listas!$D$6:$D$10,0),MATCH(AK15,[84]Listas!$F$4:$J$4,0))</f>
        <v>3
INFERIOR</v>
      </c>
      <c r="AN15" s="259" t="s">
        <v>3237</v>
      </c>
      <c r="AO15" s="263" t="s">
        <v>2482</v>
      </c>
      <c r="AP15" s="610">
        <v>1</v>
      </c>
      <c r="AQ15" s="259" t="s">
        <v>3676</v>
      </c>
      <c r="AR15" s="259" t="s">
        <v>3229</v>
      </c>
      <c r="AS15" s="608" t="s">
        <v>36</v>
      </c>
      <c r="AT15" s="259" t="s">
        <v>3230</v>
      </c>
      <c r="AU15" s="259" t="s">
        <v>3230</v>
      </c>
      <c r="AV15" s="261" t="s">
        <v>3230</v>
      </c>
      <c r="AW15" s="261" t="s">
        <v>3230</v>
      </c>
      <c r="AX15" s="608" t="s">
        <v>3230</v>
      </c>
      <c r="AY15" s="262"/>
    </row>
    <row r="16" spans="1:1027" s="260" customFormat="1" ht="103.5" customHeight="1">
      <c r="A16" s="2107" t="s">
        <v>1050</v>
      </c>
      <c r="B16" s="2181" t="s">
        <v>1051</v>
      </c>
      <c r="C16" s="2112" t="s">
        <v>729</v>
      </c>
      <c r="D16" s="2113"/>
      <c r="E16" s="2114"/>
      <c r="F16" s="1321" t="s">
        <v>47</v>
      </c>
      <c r="G16" s="2091" t="s">
        <v>994</v>
      </c>
      <c r="H16" s="2092"/>
      <c r="I16" s="2093"/>
      <c r="J16" s="2107" t="s">
        <v>993</v>
      </c>
      <c r="K16" s="2121"/>
      <c r="L16" s="2122"/>
      <c r="M16" s="1296"/>
      <c r="N16" s="1296"/>
      <c r="O16" s="1296" t="s">
        <v>8</v>
      </c>
      <c r="P16" s="1296"/>
      <c r="Q16" s="1175" t="s">
        <v>655</v>
      </c>
      <c r="R16" s="1175" t="s">
        <v>274</v>
      </c>
      <c r="S16" s="301"/>
      <c r="T16" s="638">
        <f>VLOOKUP(Q16,[84]Listas!$D$6:$E$10,2,0)</f>
        <v>2</v>
      </c>
      <c r="U16" s="638">
        <f>HLOOKUP(R16,[84]Listas!$F$4:$J$5,2,0)</f>
        <v>3</v>
      </c>
      <c r="V16" s="2094" t="str">
        <f>INDEX([84]Listas!$F$6:$J$10,MATCH(Q16,[84]Listas!$D$6:$D$10,0),MATCH(R16,[84]Listas!$F$4:$J$4,0))</f>
        <v>6
MODERADO</v>
      </c>
      <c r="W16" s="301"/>
      <c r="X16" s="1896" t="s">
        <v>1052</v>
      </c>
      <c r="Y16" s="1896"/>
      <c r="Z16" s="1896"/>
      <c r="AA16" s="1892" t="s">
        <v>4196</v>
      </c>
      <c r="AB16" s="1321" t="s">
        <v>1045</v>
      </c>
      <c r="AC16" s="2107" t="s">
        <v>1053</v>
      </c>
      <c r="AD16" s="1296">
        <v>42</v>
      </c>
      <c r="AE16" s="1321" t="s">
        <v>152</v>
      </c>
      <c r="AF16" s="301"/>
      <c r="AG16" s="638">
        <f t="shared" si="0"/>
        <v>1</v>
      </c>
      <c r="AH16" s="323">
        <f t="shared" si="1"/>
        <v>1</v>
      </c>
      <c r="AI16" s="2102" t="str">
        <f>IF(AH16&lt;=1,"Remota",VLOOKUP(AH16,[84]Listas!$C$6:$D$10,2,0))</f>
        <v>Remota</v>
      </c>
      <c r="AJ16" s="323">
        <f t="shared" si="2"/>
        <v>2</v>
      </c>
      <c r="AK16" s="2102" t="str">
        <f>IF(AJ16&lt;=1,"Insignificante",HLOOKUP(AJ16,[84]Listas!$F$3:$J$4,2,0))</f>
        <v>Menor</v>
      </c>
      <c r="AL16" s="640">
        <f t="shared" si="3"/>
        <v>2</v>
      </c>
      <c r="AM16" s="2094" t="str">
        <f>INDEX([84]Listas!$F$6:$J$10,MATCH(AI16,[84]Listas!$D$6:$D$10,0),MATCH(AK16,[84]Listas!$F$4:$J$4,0))</f>
        <v>2
INFERIOR</v>
      </c>
      <c r="AN16" s="1325" t="s">
        <v>2483</v>
      </c>
      <c r="AO16" s="1325" t="s">
        <v>2484</v>
      </c>
      <c r="AP16" s="1353">
        <v>0</v>
      </c>
      <c r="AQ16" s="1325" t="s">
        <v>3238</v>
      </c>
      <c r="AR16" s="1329" t="s">
        <v>3229</v>
      </c>
      <c r="AS16" s="1325" t="s">
        <v>36</v>
      </c>
      <c r="AT16" s="1325" t="s">
        <v>3230</v>
      </c>
      <c r="AU16" s="1325" t="s">
        <v>3230</v>
      </c>
      <c r="AV16" s="1375" t="s">
        <v>3230</v>
      </c>
      <c r="AW16" s="1375" t="s">
        <v>3230</v>
      </c>
      <c r="AX16" s="1325" t="s">
        <v>3230</v>
      </c>
      <c r="AY16" s="262"/>
    </row>
    <row r="17" spans="1:51" s="260" customFormat="1" ht="103.5" customHeight="1">
      <c r="A17" s="2108"/>
      <c r="B17" s="2182"/>
      <c r="C17" s="2115"/>
      <c r="D17" s="2116"/>
      <c r="E17" s="2117"/>
      <c r="F17" s="1322"/>
      <c r="G17" s="635" t="s">
        <v>992</v>
      </c>
      <c r="H17" s="636"/>
      <c r="I17" s="637"/>
      <c r="J17" s="2108"/>
      <c r="K17" s="2123"/>
      <c r="L17" s="2124"/>
      <c r="M17" s="1297"/>
      <c r="N17" s="1297"/>
      <c r="O17" s="1297"/>
      <c r="P17" s="1297"/>
      <c r="Q17" s="1176"/>
      <c r="R17" s="1176"/>
      <c r="S17" s="301"/>
      <c r="T17" s="638" t="e">
        <f>VLOOKUP(Q17,[84]Listas!$D$6:$E$10,2,0)</f>
        <v>#N/A</v>
      </c>
      <c r="U17" s="638" t="e">
        <f>HLOOKUP(R17,[84]Listas!$F$4:$J$5,2,0)</f>
        <v>#N/A</v>
      </c>
      <c r="V17" s="2095"/>
      <c r="W17" s="301"/>
      <c r="X17" s="1896" t="s">
        <v>1052</v>
      </c>
      <c r="Y17" s="1896"/>
      <c r="Z17" s="1896"/>
      <c r="AA17" s="1893"/>
      <c r="AB17" s="1322"/>
      <c r="AC17" s="2108"/>
      <c r="AD17" s="1297"/>
      <c r="AE17" s="1322"/>
      <c r="AF17" s="301"/>
      <c r="AG17" s="638">
        <f t="shared" si="0"/>
        <v>0</v>
      </c>
      <c r="AH17" s="323" t="e">
        <f t="shared" si="1"/>
        <v>#N/A</v>
      </c>
      <c r="AI17" s="2103"/>
      <c r="AJ17" s="323" t="e">
        <f t="shared" si="2"/>
        <v>#N/A</v>
      </c>
      <c r="AK17" s="2103"/>
      <c r="AL17" s="640" t="e">
        <f t="shared" si="3"/>
        <v>#N/A</v>
      </c>
      <c r="AM17" s="2095"/>
      <c r="AN17" s="1326"/>
      <c r="AO17" s="1326"/>
      <c r="AP17" s="1354"/>
      <c r="AQ17" s="1326"/>
      <c r="AR17" s="1330"/>
      <c r="AS17" s="1326"/>
      <c r="AT17" s="1326"/>
      <c r="AU17" s="1326"/>
      <c r="AV17" s="1376"/>
      <c r="AW17" s="1376"/>
      <c r="AX17" s="1326"/>
      <c r="AY17" s="262"/>
    </row>
    <row r="18" spans="1:51" s="260" customFormat="1" ht="103.5" customHeight="1">
      <c r="A18" s="2108"/>
      <c r="B18" s="2182"/>
      <c r="C18" s="2115"/>
      <c r="D18" s="2116"/>
      <c r="E18" s="2117"/>
      <c r="F18" s="1322"/>
      <c r="G18" s="2091" t="s">
        <v>1054</v>
      </c>
      <c r="H18" s="2092"/>
      <c r="I18" s="2093"/>
      <c r="J18" s="2108"/>
      <c r="K18" s="2123"/>
      <c r="L18" s="2124"/>
      <c r="M18" s="1297"/>
      <c r="N18" s="1297"/>
      <c r="O18" s="1297"/>
      <c r="P18" s="1297"/>
      <c r="Q18" s="1176"/>
      <c r="R18" s="1176"/>
      <c r="S18" s="301"/>
      <c r="T18" s="638" t="e">
        <f>VLOOKUP(Q18,[84]Listas!$D$6:$E$10,2,0)</f>
        <v>#N/A</v>
      </c>
      <c r="U18" s="638" t="e">
        <f>HLOOKUP(R18,[84]Listas!$F$4:$J$5,2,0)</f>
        <v>#N/A</v>
      </c>
      <c r="V18" s="2095"/>
      <c r="W18" s="301"/>
      <c r="X18" s="1896" t="s">
        <v>1055</v>
      </c>
      <c r="Y18" s="1896"/>
      <c r="Z18" s="1896"/>
      <c r="AA18" s="1893"/>
      <c r="AB18" s="1322"/>
      <c r="AC18" s="2108"/>
      <c r="AD18" s="1297"/>
      <c r="AE18" s="1322"/>
      <c r="AF18" s="301"/>
      <c r="AG18" s="638">
        <f t="shared" si="0"/>
        <v>0</v>
      </c>
      <c r="AH18" s="323" t="e">
        <f t="shared" si="1"/>
        <v>#N/A</v>
      </c>
      <c r="AI18" s="2103"/>
      <c r="AJ18" s="323" t="e">
        <f t="shared" si="2"/>
        <v>#N/A</v>
      </c>
      <c r="AK18" s="2103"/>
      <c r="AL18" s="640" t="e">
        <f t="shared" si="3"/>
        <v>#N/A</v>
      </c>
      <c r="AM18" s="2095"/>
      <c r="AN18" s="1326"/>
      <c r="AO18" s="1326"/>
      <c r="AP18" s="1354"/>
      <c r="AQ18" s="1326"/>
      <c r="AR18" s="1330"/>
      <c r="AS18" s="1326"/>
      <c r="AT18" s="1326"/>
      <c r="AU18" s="1326"/>
      <c r="AV18" s="1376"/>
      <c r="AW18" s="1376"/>
      <c r="AX18" s="1326"/>
      <c r="AY18" s="262"/>
    </row>
    <row r="19" spans="1:51" s="260" customFormat="1" ht="103.5" customHeight="1">
      <c r="A19" s="2108"/>
      <c r="B19" s="2182"/>
      <c r="C19" s="2115"/>
      <c r="D19" s="2116"/>
      <c r="E19" s="2117"/>
      <c r="F19" s="1322"/>
      <c r="G19" s="2091" t="s">
        <v>1056</v>
      </c>
      <c r="H19" s="2092"/>
      <c r="I19" s="2093"/>
      <c r="J19" s="2108"/>
      <c r="K19" s="2123"/>
      <c r="L19" s="2124"/>
      <c r="M19" s="1297"/>
      <c r="N19" s="1297"/>
      <c r="O19" s="1297"/>
      <c r="P19" s="1297"/>
      <c r="Q19" s="1176"/>
      <c r="R19" s="1176"/>
      <c r="S19" s="301"/>
      <c r="T19" s="638" t="e">
        <f>VLOOKUP(Q19,[84]Listas!$D$6:$E$10,2,0)</f>
        <v>#N/A</v>
      </c>
      <c r="U19" s="638" t="e">
        <f>HLOOKUP(R19,[84]Listas!$F$4:$J$5,2,0)</f>
        <v>#N/A</v>
      </c>
      <c r="V19" s="2095"/>
      <c r="W19" s="301"/>
      <c r="X19" s="1896" t="s">
        <v>1057</v>
      </c>
      <c r="Y19" s="1896"/>
      <c r="Z19" s="1896"/>
      <c r="AA19" s="1893"/>
      <c r="AB19" s="1322"/>
      <c r="AC19" s="2108"/>
      <c r="AD19" s="1297"/>
      <c r="AE19" s="1322"/>
      <c r="AF19" s="301"/>
      <c r="AG19" s="638">
        <f t="shared" si="0"/>
        <v>0</v>
      </c>
      <c r="AH19" s="323" t="e">
        <f t="shared" si="1"/>
        <v>#N/A</v>
      </c>
      <c r="AI19" s="2103"/>
      <c r="AJ19" s="323" t="e">
        <f t="shared" si="2"/>
        <v>#N/A</v>
      </c>
      <c r="AK19" s="2103"/>
      <c r="AL19" s="640" t="e">
        <f t="shared" si="3"/>
        <v>#N/A</v>
      </c>
      <c r="AM19" s="2095"/>
      <c r="AN19" s="1326"/>
      <c r="AO19" s="1326"/>
      <c r="AP19" s="1354"/>
      <c r="AQ19" s="1326"/>
      <c r="AR19" s="1330"/>
      <c r="AS19" s="1326"/>
      <c r="AT19" s="1326"/>
      <c r="AU19" s="1326"/>
      <c r="AV19" s="1376"/>
      <c r="AW19" s="1376"/>
      <c r="AX19" s="1326"/>
      <c r="AY19" s="262"/>
    </row>
    <row r="20" spans="1:51" s="260" customFormat="1" ht="103.5" customHeight="1">
      <c r="A20" s="2180"/>
      <c r="B20" s="2183"/>
      <c r="C20" s="2118"/>
      <c r="D20" s="2119"/>
      <c r="E20" s="2120"/>
      <c r="F20" s="1515"/>
      <c r="G20" s="2091" t="s">
        <v>989</v>
      </c>
      <c r="H20" s="2092"/>
      <c r="I20" s="2093"/>
      <c r="J20" s="2180"/>
      <c r="K20" s="2184"/>
      <c r="L20" s="2185"/>
      <c r="M20" s="1328"/>
      <c r="N20" s="1328"/>
      <c r="O20" s="1328"/>
      <c r="P20" s="1328"/>
      <c r="Q20" s="1520"/>
      <c r="R20" s="1520"/>
      <c r="S20" s="301"/>
      <c r="T20" s="638" t="e">
        <f>VLOOKUP(Q20,[84]Listas!$D$6:$E$10,2,0)</f>
        <v>#N/A</v>
      </c>
      <c r="U20" s="638" t="e">
        <f>HLOOKUP(R20,[84]Listas!$F$4:$J$5,2,0)</f>
        <v>#N/A</v>
      </c>
      <c r="V20" s="2096"/>
      <c r="W20" s="301"/>
      <c r="X20" s="1896" t="s">
        <v>1058</v>
      </c>
      <c r="Y20" s="1896"/>
      <c r="Z20" s="1896"/>
      <c r="AA20" s="1894"/>
      <c r="AB20" s="1515"/>
      <c r="AC20" s="2180"/>
      <c r="AD20" s="1328"/>
      <c r="AE20" s="1515"/>
      <c r="AF20" s="301"/>
      <c r="AG20" s="638">
        <f t="shared" si="0"/>
        <v>0</v>
      </c>
      <c r="AH20" s="323" t="e">
        <f t="shared" si="1"/>
        <v>#N/A</v>
      </c>
      <c r="AI20" s="2104"/>
      <c r="AJ20" s="323" t="e">
        <f t="shared" si="2"/>
        <v>#N/A</v>
      </c>
      <c r="AK20" s="2104"/>
      <c r="AL20" s="640" t="e">
        <f t="shared" si="3"/>
        <v>#N/A</v>
      </c>
      <c r="AM20" s="2096"/>
      <c r="AN20" s="1327"/>
      <c r="AO20" s="1327"/>
      <c r="AP20" s="1355"/>
      <c r="AQ20" s="1327"/>
      <c r="AR20" s="1331"/>
      <c r="AS20" s="1327"/>
      <c r="AT20" s="1327"/>
      <c r="AU20" s="1327"/>
      <c r="AV20" s="1377"/>
      <c r="AW20" s="1377"/>
      <c r="AX20" s="1327"/>
      <c r="AY20" s="262"/>
    </row>
    <row r="21" spans="1:51" s="260" customFormat="1" ht="103.5" customHeight="1">
      <c r="A21" s="1296" t="s">
        <v>1050</v>
      </c>
      <c r="B21" s="1334" t="s">
        <v>2015</v>
      </c>
      <c r="C21" s="2115" t="s">
        <v>988</v>
      </c>
      <c r="D21" s="2116"/>
      <c r="E21" s="2117"/>
      <c r="F21" s="1321" t="s">
        <v>47</v>
      </c>
      <c r="G21" s="1369" t="s">
        <v>985</v>
      </c>
      <c r="H21" s="1370"/>
      <c r="I21" s="1371"/>
      <c r="J21" s="2108" t="s">
        <v>986</v>
      </c>
      <c r="K21" s="2123"/>
      <c r="L21" s="2124"/>
      <c r="M21" s="1296"/>
      <c r="N21" s="1296"/>
      <c r="O21" s="1296" t="s">
        <v>8</v>
      </c>
      <c r="P21" s="1296"/>
      <c r="Q21" s="1175" t="s">
        <v>655</v>
      </c>
      <c r="R21" s="1175" t="s">
        <v>274</v>
      </c>
      <c r="S21" s="301"/>
      <c r="T21" s="638">
        <f>VLOOKUP(Q21,[84]Listas!$D$6:$E$10,2,0)</f>
        <v>2</v>
      </c>
      <c r="U21" s="638">
        <f>HLOOKUP(R21,[84]Listas!$F$4:$J$5,2,0)</f>
        <v>3</v>
      </c>
      <c r="V21" s="2094" t="str">
        <f>INDEX([84]Listas!$F$6:$J$10,MATCH(Q21,[84]Listas!$D$6:$D$10,0),MATCH(R21,[84]Listas!$F$4:$J$4,0))</f>
        <v>6
MODERADO</v>
      </c>
      <c r="W21" s="301"/>
      <c r="X21" s="1768" t="s">
        <v>1059</v>
      </c>
      <c r="Y21" s="1768"/>
      <c r="Z21" s="1768"/>
      <c r="AA21" s="1332" t="s">
        <v>4197</v>
      </c>
      <c r="AB21" s="1321" t="s">
        <v>1045</v>
      </c>
      <c r="AC21" s="2108" t="s">
        <v>1060</v>
      </c>
      <c r="AD21" s="1296">
        <v>34</v>
      </c>
      <c r="AE21" s="1321" t="s">
        <v>152</v>
      </c>
      <c r="AF21" s="301"/>
      <c r="AG21" s="638">
        <f t="shared" si="0"/>
        <v>1</v>
      </c>
      <c r="AH21" s="323">
        <f t="shared" si="1"/>
        <v>1</v>
      </c>
      <c r="AI21" s="2102" t="str">
        <f>IF(AH21&lt;=1,"Remota",VLOOKUP(AH21,[84]Listas!$C$6:$D$10,2,0))</f>
        <v>Remota</v>
      </c>
      <c r="AJ21" s="323">
        <f t="shared" si="2"/>
        <v>2</v>
      </c>
      <c r="AK21" s="2102" t="str">
        <f>IF(AJ21&lt;=1,"Insignificante",HLOOKUP(AJ21,[84]Listas!$F$3:$J$4,2,0))</f>
        <v>Menor</v>
      </c>
      <c r="AL21" s="640">
        <f t="shared" si="3"/>
        <v>2</v>
      </c>
      <c r="AM21" s="2094" t="str">
        <f>INDEX([84]Listas!$F$6:$J$10,MATCH(AI21,[84]Listas!$D$6:$D$10,0),MATCH(AK21,[84]Listas!$F$4:$J$4,0))</f>
        <v>2
INFERIOR</v>
      </c>
      <c r="AN21" s="1325" t="s">
        <v>2483</v>
      </c>
      <c r="AO21" s="1325" t="s">
        <v>2484</v>
      </c>
      <c r="AP21" s="1353">
        <v>0</v>
      </c>
      <c r="AQ21" s="1325" t="s">
        <v>3238</v>
      </c>
      <c r="AR21" s="1329" t="s">
        <v>3229</v>
      </c>
      <c r="AS21" s="1325" t="s">
        <v>36</v>
      </c>
      <c r="AT21" s="1325" t="s">
        <v>3230</v>
      </c>
      <c r="AU21" s="1325" t="s">
        <v>3230</v>
      </c>
      <c r="AV21" s="1375" t="s">
        <v>3230</v>
      </c>
      <c r="AW21" s="1375" t="s">
        <v>3230</v>
      </c>
      <c r="AX21" s="1325" t="s">
        <v>3230</v>
      </c>
      <c r="AY21" s="262"/>
    </row>
    <row r="22" spans="1:51" s="260" customFormat="1" ht="103.5" customHeight="1">
      <c r="A22" s="1297"/>
      <c r="B22" s="1335"/>
      <c r="C22" s="2115"/>
      <c r="D22" s="2116"/>
      <c r="E22" s="2117"/>
      <c r="F22" s="1322"/>
      <c r="G22" s="1369" t="s">
        <v>1061</v>
      </c>
      <c r="H22" s="1370"/>
      <c r="I22" s="1371"/>
      <c r="J22" s="2108"/>
      <c r="K22" s="2123"/>
      <c r="L22" s="2124"/>
      <c r="M22" s="1297"/>
      <c r="N22" s="1297"/>
      <c r="O22" s="1297"/>
      <c r="P22" s="1297"/>
      <c r="Q22" s="1176"/>
      <c r="R22" s="1176"/>
      <c r="S22" s="301"/>
      <c r="T22" s="638" t="e">
        <f>VLOOKUP(Q22,[84]Listas!$D$6:$E$10,2,0)</f>
        <v>#N/A</v>
      </c>
      <c r="U22" s="638" t="e">
        <f>HLOOKUP(R22,[84]Listas!$F$4:$J$5,2,0)</f>
        <v>#N/A</v>
      </c>
      <c r="V22" s="2095"/>
      <c r="W22" s="301"/>
      <c r="X22" s="1768" t="s">
        <v>1062</v>
      </c>
      <c r="Y22" s="1768"/>
      <c r="Z22" s="1768"/>
      <c r="AA22" s="1333"/>
      <c r="AB22" s="1322"/>
      <c r="AC22" s="2108"/>
      <c r="AD22" s="1297"/>
      <c r="AE22" s="1322"/>
      <c r="AF22" s="301"/>
      <c r="AG22" s="638">
        <f t="shared" si="0"/>
        <v>0</v>
      </c>
      <c r="AH22" s="323" t="e">
        <f t="shared" si="1"/>
        <v>#N/A</v>
      </c>
      <c r="AI22" s="2103"/>
      <c r="AJ22" s="323" t="e">
        <f t="shared" si="2"/>
        <v>#N/A</v>
      </c>
      <c r="AK22" s="2103"/>
      <c r="AL22" s="640" t="e">
        <f t="shared" si="3"/>
        <v>#N/A</v>
      </c>
      <c r="AM22" s="2095"/>
      <c r="AN22" s="1326"/>
      <c r="AO22" s="1326"/>
      <c r="AP22" s="1354"/>
      <c r="AQ22" s="1326"/>
      <c r="AR22" s="1330"/>
      <c r="AS22" s="1326"/>
      <c r="AT22" s="1326"/>
      <c r="AU22" s="1326"/>
      <c r="AV22" s="1376"/>
      <c r="AW22" s="1376"/>
      <c r="AX22" s="1326"/>
      <c r="AY22" s="262"/>
    </row>
    <row r="23" spans="1:51" s="260" customFormat="1" ht="103.5" customHeight="1">
      <c r="A23" s="1328"/>
      <c r="B23" s="2186"/>
      <c r="C23" s="2118"/>
      <c r="D23" s="2119"/>
      <c r="E23" s="2120"/>
      <c r="F23" s="1515"/>
      <c r="G23" s="1369" t="s">
        <v>983</v>
      </c>
      <c r="H23" s="1370"/>
      <c r="I23" s="1371"/>
      <c r="J23" s="2180"/>
      <c r="K23" s="2184"/>
      <c r="L23" s="2185"/>
      <c r="M23" s="1328"/>
      <c r="N23" s="1328"/>
      <c r="O23" s="1328"/>
      <c r="P23" s="1328"/>
      <c r="Q23" s="1520"/>
      <c r="R23" s="1520"/>
      <c r="S23" s="301"/>
      <c r="T23" s="638" t="e">
        <f>VLOOKUP(Q23,[84]Listas!$D$6:$E$10,2,0)</f>
        <v>#N/A</v>
      </c>
      <c r="U23" s="638" t="e">
        <f>HLOOKUP(R23,[84]Listas!$F$4:$J$5,2,0)</f>
        <v>#N/A</v>
      </c>
      <c r="V23" s="2096"/>
      <c r="W23" s="301"/>
      <c r="X23" s="1768" t="s">
        <v>1063</v>
      </c>
      <c r="Y23" s="1768"/>
      <c r="Z23" s="1768"/>
      <c r="AA23" s="1402"/>
      <c r="AB23" s="1515"/>
      <c r="AC23" s="2180"/>
      <c r="AD23" s="1328"/>
      <c r="AE23" s="1515"/>
      <c r="AF23" s="301"/>
      <c r="AG23" s="638">
        <f t="shared" si="0"/>
        <v>0</v>
      </c>
      <c r="AH23" s="323" t="e">
        <f t="shared" si="1"/>
        <v>#N/A</v>
      </c>
      <c r="AI23" s="2104"/>
      <c r="AJ23" s="323" t="e">
        <f t="shared" si="2"/>
        <v>#N/A</v>
      </c>
      <c r="AK23" s="2104"/>
      <c r="AL23" s="640" t="e">
        <f t="shared" si="3"/>
        <v>#N/A</v>
      </c>
      <c r="AM23" s="2096"/>
      <c r="AN23" s="1327"/>
      <c r="AO23" s="1327"/>
      <c r="AP23" s="1355"/>
      <c r="AQ23" s="1327"/>
      <c r="AR23" s="1331"/>
      <c r="AS23" s="1327"/>
      <c r="AT23" s="1327"/>
      <c r="AU23" s="1327"/>
      <c r="AV23" s="1377"/>
      <c r="AW23" s="1377"/>
      <c r="AX23" s="1327"/>
      <c r="AY23" s="262"/>
    </row>
    <row r="24" spans="1:51" s="260" customFormat="1" ht="103.5" customHeight="1">
      <c r="A24" s="1296" t="s">
        <v>1050</v>
      </c>
      <c r="B24" s="1334" t="s">
        <v>2016</v>
      </c>
      <c r="C24" s="2112" t="s">
        <v>982</v>
      </c>
      <c r="D24" s="2113"/>
      <c r="E24" s="2114"/>
      <c r="F24" s="1321" t="s">
        <v>47</v>
      </c>
      <c r="G24" s="2091" t="s">
        <v>981</v>
      </c>
      <c r="H24" s="2092"/>
      <c r="I24" s="2093"/>
      <c r="J24" s="2107" t="s">
        <v>1064</v>
      </c>
      <c r="K24" s="2121"/>
      <c r="L24" s="2122"/>
      <c r="M24" s="1296"/>
      <c r="N24" s="1296"/>
      <c r="O24" s="1296" t="s">
        <v>8</v>
      </c>
      <c r="P24" s="1296"/>
      <c r="Q24" s="1175" t="s">
        <v>655</v>
      </c>
      <c r="R24" s="1175" t="s">
        <v>274</v>
      </c>
      <c r="S24" s="301"/>
      <c r="T24" s="638">
        <f>VLOOKUP(Q24,[84]Listas!$D$6:$E$10,2,0)</f>
        <v>2</v>
      </c>
      <c r="U24" s="638">
        <f>HLOOKUP(R24,[84]Listas!$F$4:$J$5,2,0)</f>
        <v>3</v>
      </c>
      <c r="V24" s="2094" t="str">
        <f>INDEX([84]Listas!$F$6:$J$10,MATCH(Q24,[84]Listas!$D$6:$D$10,0),MATCH(R24,[84]Listas!$F$4:$J$4,0))</f>
        <v>6
MODERADO</v>
      </c>
      <c r="W24" s="301"/>
      <c r="X24" s="1768" t="s">
        <v>1065</v>
      </c>
      <c r="Y24" s="1768"/>
      <c r="Z24" s="1768"/>
      <c r="AA24" s="1332" t="s">
        <v>4198</v>
      </c>
      <c r="AB24" s="1321" t="s">
        <v>1045</v>
      </c>
      <c r="AC24" s="2107" t="s">
        <v>1053</v>
      </c>
      <c r="AD24" s="1296">
        <v>34</v>
      </c>
      <c r="AE24" s="1321" t="s">
        <v>152</v>
      </c>
      <c r="AF24" s="301"/>
      <c r="AG24" s="638">
        <f t="shared" si="0"/>
        <v>1</v>
      </c>
      <c r="AH24" s="323">
        <f t="shared" si="1"/>
        <v>1</v>
      </c>
      <c r="AI24" s="2102" t="str">
        <f>IF(AH24&lt;=1,"Remota",VLOOKUP(AH24,[84]Listas!$C$6:$D$10,2,0))</f>
        <v>Remota</v>
      </c>
      <c r="AJ24" s="323">
        <f t="shared" si="2"/>
        <v>2</v>
      </c>
      <c r="AK24" s="2102" t="str">
        <f>IF(AJ24&lt;=1,"Insignificante",HLOOKUP(AJ24,[84]Listas!$F$3:$J$4,2,0))</f>
        <v>Menor</v>
      </c>
      <c r="AL24" s="640">
        <f t="shared" si="3"/>
        <v>2</v>
      </c>
      <c r="AM24" s="2094" t="str">
        <f>INDEX([84]Listas!$F$6:$J$10,MATCH(AI24,[84]Listas!$D$6:$D$10,0),MATCH(AK24,[84]Listas!$F$4:$J$4,0))</f>
        <v>2
INFERIOR</v>
      </c>
      <c r="AN24" s="1325" t="s">
        <v>2483</v>
      </c>
      <c r="AO24" s="1325" t="s">
        <v>2484</v>
      </c>
      <c r="AP24" s="1353">
        <v>0</v>
      </c>
      <c r="AQ24" s="1325" t="s">
        <v>3238</v>
      </c>
      <c r="AR24" s="1329" t="s">
        <v>3229</v>
      </c>
      <c r="AS24" s="1325" t="s">
        <v>36</v>
      </c>
      <c r="AT24" s="1325" t="s">
        <v>3230</v>
      </c>
      <c r="AU24" s="1325" t="s">
        <v>3230</v>
      </c>
      <c r="AV24" s="1375" t="s">
        <v>3230</v>
      </c>
      <c r="AW24" s="1375" t="s">
        <v>3230</v>
      </c>
      <c r="AX24" s="1325" t="s">
        <v>3230</v>
      </c>
      <c r="AY24" s="262"/>
    </row>
    <row r="25" spans="1:51" s="260" customFormat="1" ht="103.5" customHeight="1">
      <c r="A25" s="1297"/>
      <c r="B25" s="1335"/>
      <c r="C25" s="2115"/>
      <c r="D25" s="2116"/>
      <c r="E25" s="2117"/>
      <c r="F25" s="1322"/>
      <c r="G25" s="2091" t="s">
        <v>976</v>
      </c>
      <c r="H25" s="2092"/>
      <c r="I25" s="2093"/>
      <c r="J25" s="2108"/>
      <c r="K25" s="2123"/>
      <c r="L25" s="2124"/>
      <c r="M25" s="1297"/>
      <c r="N25" s="1297"/>
      <c r="O25" s="1297"/>
      <c r="P25" s="1297"/>
      <c r="Q25" s="1176"/>
      <c r="R25" s="1176"/>
      <c r="S25" s="301"/>
      <c r="T25" s="638" t="e">
        <f>VLOOKUP(Q25,[84]Listas!$D$6:$E$10,2,0)</f>
        <v>#N/A</v>
      </c>
      <c r="U25" s="638" t="e">
        <f>HLOOKUP(R25,[84]Listas!$F$4:$J$5,2,0)</f>
        <v>#N/A</v>
      </c>
      <c r="V25" s="2095"/>
      <c r="W25" s="301"/>
      <c r="X25" s="1768" t="s">
        <v>1066</v>
      </c>
      <c r="Y25" s="1768"/>
      <c r="Z25" s="1768"/>
      <c r="AA25" s="1333"/>
      <c r="AB25" s="1322"/>
      <c r="AC25" s="2108"/>
      <c r="AD25" s="1297"/>
      <c r="AE25" s="1322"/>
      <c r="AF25" s="301"/>
      <c r="AG25" s="638">
        <f t="shared" si="0"/>
        <v>0</v>
      </c>
      <c r="AH25" s="323" t="e">
        <f t="shared" si="1"/>
        <v>#N/A</v>
      </c>
      <c r="AI25" s="2103"/>
      <c r="AJ25" s="323" t="e">
        <f t="shared" si="2"/>
        <v>#N/A</v>
      </c>
      <c r="AK25" s="2103"/>
      <c r="AL25" s="640" t="e">
        <f t="shared" si="3"/>
        <v>#N/A</v>
      </c>
      <c r="AM25" s="2095"/>
      <c r="AN25" s="1326"/>
      <c r="AO25" s="1326"/>
      <c r="AP25" s="1354"/>
      <c r="AQ25" s="1326"/>
      <c r="AR25" s="1330"/>
      <c r="AS25" s="1326"/>
      <c r="AT25" s="1326"/>
      <c r="AU25" s="1326"/>
      <c r="AV25" s="1376"/>
      <c r="AW25" s="1376"/>
      <c r="AX25" s="1326"/>
      <c r="AY25" s="262"/>
    </row>
    <row r="26" spans="1:51" s="260" customFormat="1" ht="103.5" customHeight="1">
      <c r="A26" s="1297"/>
      <c r="B26" s="1335"/>
      <c r="C26" s="2115"/>
      <c r="D26" s="2116"/>
      <c r="E26" s="2117"/>
      <c r="F26" s="1322"/>
      <c r="G26" s="2091" t="s">
        <v>1067</v>
      </c>
      <c r="H26" s="2092"/>
      <c r="I26" s="2093"/>
      <c r="J26" s="2108"/>
      <c r="K26" s="2123"/>
      <c r="L26" s="2124"/>
      <c r="M26" s="1297"/>
      <c r="N26" s="1297"/>
      <c r="O26" s="1297"/>
      <c r="P26" s="1297"/>
      <c r="Q26" s="1176"/>
      <c r="R26" s="1176"/>
      <c r="S26" s="301"/>
      <c r="T26" s="638" t="e">
        <f>VLOOKUP(Q26,[84]Listas!$D$6:$E$10,2,0)</f>
        <v>#N/A</v>
      </c>
      <c r="U26" s="638" t="e">
        <f>HLOOKUP(R26,[84]Listas!$F$4:$J$5,2,0)</f>
        <v>#N/A</v>
      </c>
      <c r="V26" s="2095"/>
      <c r="W26" s="301"/>
      <c r="X26" s="1896" t="s">
        <v>1068</v>
      </c>
      <c r="Y26" s="1896"/>
      <c r="Z26" s="1896"/>
      <c r="AA26" s="1333"/>
      <c r="AB26" s="1322"/>
      <c r="AC26" s="2108"/>
      <c r="AD26" s="1297"/>
      <c r="AE26" s="1322"/>
      <c r="AF26" s="301"/>
      <c r="AG26" s="638">
        <f t="shared" si="0"/>
        <v>0</v>
      </c>
      <c r="AH26" s="323" t="e">
        <f t="shared" si="1"/>
        <v>#N/A</v>
      </c>
      <c r="AI26" s="2103"/>
      <c r="AJ26" s="323" t="e">
        <f t="shared" si="2"/>
        <v>#N/A</v>
      </c>
      <c r="AK26" s="2103"/>
      <c r="AL26" s="640" t="e">
        <f t="shared" si="3"/>
        <v>#N/A</v>
      </c>
      <c r="AM26" s="2095"/>
      <c r="AN26" s="1326"/>
      <c r="AO26" s="1326"/>
      <c r="AP26" s="1354"/>
      <c r="AQ26" s="1326"/>
      <c r="AR26" s="1330"/>
      <c r="AS26" s="1326"/>
      <c r="AT26" s="1326"/>
      <c r="AU26" s="1326"/>
      <c r="AV26" s="1376"/>
      <c r="AW26" s="1376"/>
      <c r="AX26" s="1326"/>
      <c r="AY26" s="262"/>
    </row>
    <row r="27" spans="1:51" s="260" customFormat="1" ht="103.5" customHeight="1">
      <c r="A27" s="1328"/>
      <c r="B27" s="2186"/>
      <c r="C27" s="2118"/>
      <c r="D27" s="2119"/>
      <c r="E27" s="2120"/>
      <c r="F27" s="1515"/>
      <c r="G27" s="2091" t="s">
        <v>974</v>
      </c>
      <c r="H27" s="2092"/>
      <c r="I27" s="2093"/>
      <c r="J27" s="2180"/>
      <c r="K27" s="2184"/>
      <c r="L27" s="2185"/>
      <c r="M27" s="1328"/>
      <c r="N27" s="1328"/>
      <c r="O27" s="1328"/>
      <c r="P27" s="1328"/>
      <c r="Q27" s="1520"/>
      <c r="R27" s="1520"/>
      <c r="S27" s="301"/>
      <c r="T27" s="638" t="e">
        <f>VLOOKUP(Q27,[84]Listas!$D$6:$E$10,2,0)</f>
        <v>#N/A</v>
      </c>
      <c r="U27" s="638" t="e">
        <f>HLOOKUP(R27,[84]Listas!$F$4:$J$5,2,0)</f>
        <v>#N/A</v>
      </c>
      <c r="V27" s="2096"/>
      <c r="W27" s="301"/>
      <c r="X27" s="1768" t="s">
        <v>1069</v>
      </c>
      <c r="Y27" s="1768"/>
      <c r="Z27" s="1768"/>
      <c r="AA27" s="1402"/>
      <c r="AB27" s="1515"/>
      <c r="AC27" s="2180"/>
      <c r="AD27" s="1328"/>
      <c r="AE27" s="1515"/>
      <c r="AF27" s="301"/>
      <c r="AG27" s="638">
        <f t="shared" si="0"/>
        <v>0</v>
      </c>
      <c r="AH27" s="323" t="e">
        <f t="shared" si="1"/>
        <v>#N/A</v>
      </c>
      <c r="AI27" s="2104"/>
      <c r="AJ27" s="323" t="e">
        <f t="shared" si="2"/>
        <v>#N/A</v>
      </c>
      <c r="AK27" s="2104"/>
      <c r="AL27" s="640" t="e">
        <f t="shared" si="3"/>
        <v>#N/A</v>
      </c>
      <c r="AM27" s="2096"/>
      <c r="AN27" s="1327"/>
      <c r="AO27" s="1327"/>
      <c r="AP27" s="1355"/>
      <c r="AQ27" s="1327"/>
      <c r="AR27" s="1331"/>
      <c r="AS27" s="1327"/>
      <c r="AT27" s="1327"/>
      <c r="AU27" s="1327"/>
      <c r="AV27" s="1377"/>
      <c r="AW27" s="1377"/>
      <c r="AX27" s="1327"/>
      <c r="AY27" s="262"/>
    </row>
    <row r="28" spans="1:51" s="260" customFormat="1" ht="103.5" customHeight="1">
      <c r="A28" s="1296" t="s">
        <v>1070</v>
      </c>
      <c r="B28" s="1334" t="s">
        <v>2017</v>
      </c>
      <c r="C28" s="2112" t="s">
        <v>1071</v>
      </c>
      <c r="D28" s="2113"/>
      <c r="E28" s="2114"/>
      <c r="F28" s="1321" t="s">
        <v>47</v>
      </c>
      <c r="G28" s="2091" t="s">
        <v>1072</v>
      </c>
      <c r="H28" s="2092"/>
      <c r="I28" s="2093"/>
      <c r="J28" s="2107" t="s">
        <v>1073</v>
      </c>
      <c r="K28" s="2121"/>
      <c r="L28" s="2122"/>
      <c r="M28" s="1320"/>
      <c r="N28" s="1320"/>
      <c r="O28" s="1320" t="s">
        <v>8</v>
      </c>
      <c r="P28" s="1320"/>
      <c r="Q28" s="1404" t="s">
        <v>1074</v>
      </c>
      <c r="R28" s="1404" t="s">
        <v>274</v>
      </c>
      <c r="S28" s="324"/>
      <c r="T28" s="638">
        <f>VLOOKUP(Q28,[84]Listas!$D$6:$E$10,2,0)</f>
        <v>2</v>
      </c>
      <c r="U28" s="638">
        <f>HLOOKUP(R28,[84]Listas!$F$4:$J$5,2,0)</f>
        <v>3</v>
      </c>
      <c r="V28" s="1902" t="str">
        <f>INDEX([84]Listas!$F$6:$J$10,MATCH(Q28,[84]Listas!$D$6:$D$10,0),MATCH(R28,[84]Listas!$F$4:$J$4,0))</f>
        <v>6
MODERADO</v>
      </c>
      <c r="W28" s="301"/>
      <c r="X28" s="1768" t="s">
        <v>1075</v>
      </c>
      <c r="Y28" s="1768"/>
      <c r="Z28" s="1768"/>
      <c r="AA28" s="1332" t="s">
        <v>4199</v>
      </c>
      <c r="AB28" s="1321" t="s">
        <v>1045</v>
      </c>
      <c r="AC28" s="2107" t="s">
        <v>1076</v>
      </c>
      <c r="AD28" s="1296">
        <v>42</v>
      </c>
      <c r="AE28" s="1321" t="s">
        <v>153</v>
      </c>
      <c r="AF28" s="301"/>
      <c r="AG28" s="638"/>
      <c r="AH28" s="323"/>
      <c r="AI28" s="2102" t="s">
        <v>654</v>
      </c>
      <c r="AJ28" s="323"/>
      <c r="AK28" s="2102" t="s">
        <v>274</v>
      </c>
      <c r="AL28" s="640"/>
      <c r="AM28" s="2094" t="str">
        <f>INDEX([84]Listas!$F$6:$J$10,MATCH(AI28,[84]Listas!$D$6:$D$10,0),MATCH(AK28,[84]Listas!$F$4:$J$4,0))</f>
        <v>3
INFERIOR</v>
      </c>
      <c r="AN28" s="1325" t="s">
        <v>2485</v>
      </c>
      <c r="AO28" s="1325" t="s">
        <v>2484</v>
      </c>
      <c r="AP28" s="1353">
        <v>0</v>
      </c>
      <c r="AQ28" s="1325" t="s">
        <v>3238</v>
      </c>
      <c r="AR28" s="1329" t="s">
        <v>3229</v>
      </c>
      <c r="AS28" s="1325" t="s">
        <v>36</v>
      </c>
      <c r="AT28" s="1325" t="s">
        <v>3230</v>
      </c>
      <c r="AU28" s="1325" t="s">
        <v>3230</v>
      </c>
      <c r="AV28" s="1375" t="s">
        <v>3230</v>
      </c>
      <c r="AW28" s="1375" t="s">
        <v>3230</v>
      </c>
      <c r="AX28" s="1325" t="s">
        <v>3230</v>
      </c>
      <c r="AY28" s="262"/>
    </row>
    <row r="29" spans="1:51" s="260" customFormat="1" ht="103.5" customHeight="1">
      <c r="A29" s="1297"/>
      <c r="B29" s="1335"/>
      <c r="C29" s="2115"/>
      <c r="D29" s="2116"/>
      <c r="E29" s="2117"/>
      <c r="F29" s="1322"/>
      <c r="G29" s="2091" t="s">
        <v>1077</v>
      </c>
      <c r="H29" s="2092"/>
      <c r="I29" s="2093"/>
      <c r="J29" s="2108"/>
      <c r="K29" s="2123"/>
      <c r="L29" s="2124"/>
      <c r="M29" s="1320"/>
      <c r="N29" s="1320"/>
      <c r="O29" s="1320"/>
      <c r="P29" s="1320"/>
      <c r="Q29" s="1404"/>
      <c r="R29" s="1404"/>
      <c r="S29" s="324"/>
      <c r="T29" s="638" t="e">
        <f>VLOOKUP(Q29,[84]Listas!$D$6:$E$10,2,0)</f>
        <v>#N/A</v>
      </c>
      <c r="U29" s="638" t="e">
        <f>HLOOKUP(R29,[84]Listas!$F$4:$J$5,2,0)</f>
        <v>#N/A</v>
      </c>
      <c r="V29" s="1902"/>
      <c r="W29" s="301"/>
      <c r="X29" s="1768" t="s">
        <v>1078</v>
      </c>
      <c r="Y29" s="1768"/>
      <c r="Z29" s="1768"/>
      <c r="AA29" s="1333"/>
      <c r="AB29" s="1322"/>
      <c r="AC29" s="2108"/>
      <c r="AD29" s="1297"/>
      <c r="AE29" s="1322"/>
      <c r="AF29" s="301"/>
      <c r="AG29" s="638"/>
      <c r="AH29" s="323"/>
      <c r="AI29" s="2103"/>
      <c r="AJ29" s="323"/>
      <c r="AK29" s="2103"/>
      <c r="AL29" s="640"/>
      <c r="AM29" s="2095"/>
      <c r="AN29" s="1326"/>
      <c r="AO29" s="1326"/>
      <c r="AP29" s="1354"/>
      <c r="AQ29" s="1326"/>
      <c r="AR29" s="1330"/>
      <c r="AS29" s="1326"/>
      <c r="AT29" s="1326"/>
      <c r="AU29" s="1326"/>
      <c r="AV29" s="1376"/>
      <c r="AW29" s="1376"/>
      <c r="AX29" s="1326"/>
      <c r="AY29" s="262"/>
    </row>
    <row r="30" spans="1:51" s="260" customFormat="1" ht="103.5" customHeight="1">
      <c r="A30" s="1328"/>
      <c r="B30" s="2186"/>
      <c r="C30" s="2118"/>
      <c r="D30" s="2119"/>
      <c r="E30" s="2120"/>
      <c r="F30" s="1515"/>
      <c r="G30" s="2091" t="s">
        <v>1079</v>
      </c>
      <c r="H30" s="2092"/>
      <c r="I30" s="2093"/>
      <c r="J30" s="2180"/>
      <c r="K30" s="2184"/>
      <c r="L30" s="2185"/>
      <c r="M30" s="1320"/>
      <c r="N30" s="1320"/>
      <c r="O30" s="1320"/>
      <c r="P30" s="1320"/>
      <c r="Q30" s="1404"/>
      <c r="R30" s="1404"/>
      <c r="S30" s="324"/>
      <c r="T30" s="638" t="e">
        <f>VLOOKUP(Q30,[84]Listas!$D$6:$E$10,2,0)</f>
        <v>#N/A</v>
      </c>
      <c r="U30" s="638" t="e">
        <f>HLOOKUP(R30,[84]Listas!$F$4:$J$5,2,0)</f>
        <v>#N/A</v>
      </c>
      <c r="V30" s="1902"/>
      <c r="W30" s="301"/>
      <c r="X30" s="1768" t="s">
        <v>1080</v>
      </c>
      <c r="Y30" s="1768"/>
      <c r="Z30" s="1768"/>
      <c r="AA30" s="1402"/>
      <c r="AB30" s="1515"/>
      <c r="AC30" s="2180"/>
      <c r="AD30" s="1328"/>
      <c r="AE30" s="1515"/>
      <c r="AF30" s="301"/>
      <c r="AG30" s="638">
        <f t="shared" ref="AG30:AG61" si="4">IF(AD30&lt;=33,0,IF(AD30&gt;81,2,1))</f>
        <v>0</v>
      </c>
      <c r="AH30" s="323" t="e">
        <f t="shared" ref="AH30:AH61" si="5">IF(OR(AE30="Probabilidad",AE30="Ambos"),T30-AG30,T30)</f>
        <v>#N/A</v>
      </c>
      <c r="AI30" s="2104"/>
      <c r="AJ30" s="323" t="e">
        <f t="shared" ref="AJ30:AJ61" si="6">IF(OR(AE30="Impacto",AE30="Ambos"),U30-AG30,U30)</f>
        <v>#N/A</v>
      </c>
      <c r="AK30" s="2104"/>
      <c r="AL30" s="640" t="e">
        <f t="shared" ref="AL30:AL61" si="7">AH30*AJ30</f>
        <v>#N/A</v>
      </c>
      <c r="AM30" s="2096"/>
      <c r="AN30" s="1327"/>
      <c r="AO30" s="1327"/>
      <c r="AP30" s="1355"/>
      <c r="AQ30" s="1327"/>
      <c r="AR30" s="1331"/>
      <c r="AS30" s="1327"/>
      <c r="AT30" s="1327"/>
      <c r="AU30" s="1327"/>
      <c r="AV30" s="1377"/>
      <c r="AW30" s="1377"/>
      <c r="AX30" s="1327"/>
      <c r="AY30" s="262"/>
    </row>
    <row r="31" spans="1:51" s="260" customFormat="1" ht="103.5" hidden="1" customHeight="1">
      <c r="A31" s="608"/>
      <c r="B31" s="266"/>
      <c r="C31" s="1399"/>
      <c r="D31" s="1408"/>
      <c r="E31" s="1400"/>
      <c r="F31" s="267"/>
      <c r="G31" s="1399"/>
      <c r="H31" s="1408"/>
      <c r="I31" s="1400"/>
      <c r="J31" s="1380"/>
      <c r="K31" s="1380"/>
      <c r="L31" s="1380"/>
      <c r="M31" s="608"/>
      <c r="N31" s="608"/>
      <c r="O31" s="608"/>
      <c r="P31" s="608"/>
      <c r="Q31" s="266"/>
      <c r="R31" s="266"/>
      <c r="S31" s="268"/>
      <c r="T31" s="269" t="e">
        <f>VLOOKUP(Q31,[71]Listas!$D$6:$E$10,2,0)</f>
        <v>#N/A</v>
      </c>
      <c r="U31" s="269" t="e">
        <f>HLOOKUP(R31,[71]Listas!$F$4:$J$5,2,0)</f>
        <v>#N/A</v>
      </c>
      <c r="V31" s="270" t="e">
        <f>INDEX([71]Listas!$F$6:$J$10,MATCH(Q31,[71]Listas!$D$6:$D$10,0),MATCH(R31,[71]Listas!$F$4:$J$4,0))</f>
        <v>#N/A</v>
      </c>
      <c r="W31" s="268"/>
      <c r="X31" s="1399"/>
      <c r="Y31" s="1408"/>
      <c r="Z31" s="1400"/>
      <c r="AA31" s="1063"/>
      <c r="AB31" s="267"/>
      <c r="AC31" s="259"/>
      <c r="AD31" s="608"/>
      <c r="AE31" s="267"/>
      <c r="AF31" s="268"/>
      <c r="AG31" s="269">
        <f t="shared" si="4"/>
        <v>0</v>
      </c>
      <c r="AH31" s="271" t="e">
        <f t="shared" si="5"/>
        <v>#N/A</v>
      </c>
      <c r="AI31" s="272" t="e">
        <f>IF(AH31&lt;=1,"Remota",VLOOKUP(AH31,[71]Listas!$C$6:$D$10,2,0))</f>
        <v>#N/A</v>
      </c>
      <c r="AJ31" s="271" t="e">
        <f t="shared" si="6"/>
        <v>#N/A</v>
      </c>
      <c r="AK31" s="272" t="e">
        <f>IF(AJ31&lt;=1,"Insignificante",HLOOKUP(AJ31,[71]Listas!$F$3:$J$4,2,0))</f>
        <v>#N/A</v>
      </c>
      <c r="AL31" s="273" t="e">
        <f t="shared" si="7"/>
        <v>#N/A</v>
      </c>
      <c r="AM31" s="270" t="e">
        <f>INDEX([71]Listas!$F$6:$J$10,MATCH(AI31,[71]Listas!$D$6:$D$10,0),MATCH(AK31,[71]Listas!$F$4:$J$4,0))</f>
        <v>#N/A</v>
      </c>
      <c r="AN31" s="259"/>
      <c r="AO31" s="259"/>
      <c r="AP31" s="610"/>
      <c r="AQ31" s="259"/>
      <c r="AR31" s="259" t="s">
        <v>2343</v>
      </c>
      <c r="AS31" s="608"/>
      <c r="AT31" s="259"/>
      <c r="AU31" s="259"/>
      <c r="AV31" s="261"/>
      <c r="AW31" s="261"/>
      <c r="AX31" s="608"/>
      <c r="AY31" s="262"/>
    </row>
    <row r="32" spans="1:51" s="260" customFormat="1" ht="103.5" hidden="1" customHeight="1">
      <c r="A32" s="608"/>
      <c r="B32" s="266"/>
      <c r="C32" s="1399"/>
      <c r="D32" s="1408"/>
      <c r="E32" s="1400"/>
      <c r="F32" s="267"/>
      <c r="G32" s="1399"/>
      <c r="H32" s="1408"/>
      <c r="I32" s="1400"/>
      <c r="J32" s="1380"/>
      <c r="K32" s="1380"/>
      <c r="L32" s="1380"/>
      <c r="M32" s="608"/>
      <c r="N32" s="608"/>
      <c r="O32" s="608"/>
      <c r="P32" s="608"/>
      <c r="Q32" s="266"/>
      <c r="R32" s="266"/>
      <c r="S32" s="268"/>
      <c r="T32" s="269" t="e">
        <f>VLOOKUP(Q32,[71]Listas!$D$6:$E$10,2,0)</f>
        <v>#N/A</v>
      </c>
      <c r="U32" s="269" t="e">
        <f>HLOOKUP(R32,[71]Listas!$F$4:$J$5,2,0)</f>
        <v>#N/A</v>
      </c>
      <c r="V32" s="270" t="e">
        <f>INDEX([71]Listas!$F$6:$J$10,MATCH(Q32,[71]Listas!$D$6:$D$10,0),MATCH(R32,[71]Listas!$F$4:$J$4,0))</f>
        <v>#N/A</v>
      </c>
      <c r="W32" s="268"/>
      <c r="X32" s="1399"/>
      <c r="Y32" s="1408"/>
      <c r="Z32" s="1400"/>
      <c r="AA32" s="1063"/>
      <c r="AB32" s="267"/>
      <c r="AC32" s="259"/>
      <c r="AD32" s="608"/>
      <c r="AE32" s="267"/>
      <c r="AF32" s="268"/>
      <c r="AG32" s="269">
        <f t="shared" si="4"/>
        <v>0</v>
      </c>
      <c r="AH32" s="271" t="e">
        <f t="shared" si="5"/>
        <v>#N/A</v>
      </c>
      <c r="AI32" s="272" t="e">
        <f>IF(AH32&lt;=1,"Remota",VLOOKUP(AH32,[71]Listas!$C$6:$D$10,2,0))</f>
        <v>#N/A</v>
      </c>
      <c r="AJ32" s="271" t="e">
        <f t="shared" si="6"/>
        <v>#N/A</v>
      </c>
      <c r="AK32" s="272" t="e">
        <f>IF(AJ32&lt;=1,"Insignificante",HLOOKUP(AJ32,[71]Listas!$F$3:$J$4,2,0))</f>
        <v>#N/A</v>
      </c>
      <c r="AL32" s="273" t="e">
        <f t="shared" si="7"/>
        <v>#N/A</v>
      </c>
      <c r="AM32" s="270" t="e">
        <f>INDEX([71]Listas!$F$6:$J$10,MATCH(AI32,[71]Listas!$D$6:$D$10,0),MATCH(AK32,[71]Listas!$F$4:$J$4,0))</f>
        <v>#N/A</v>
      </c>
      <c r="AN32" s="259"/>
      <c r="AO32" s="259"/>
      <c r="AP32" s="610"/>
      <c r="AQ32" s="259"/>
      <c r="AR32" s="259" t="s">
        <v>2343</v>
      </c>
      <c r="AS32" s="608"/>
      <c r="AT32" s="259"/>
      <c r="AU32" s="259"/>
      <c r="AV32" s="261"/>
      <c r="AW32" s="261"/>
      <c r="AX32" s="608"/>
      <c r="AY32" s="262"/>
    </row>
    <row r="33" spans="1:51" s="260" customFormat="1" ht="103.5" hidden="1" customHeight="1">
      <c r="A33" s="608"/>
      <c r="B33" s="266"/>
      <c r="C33" s="1399"/>
      <c r="D33" s="1408"/>
      <c r="E33" s="1400"/>
      <c r="F33" s="267"/>
      <c r="G33" s="1399"/>
      <c r="H33" s="1408"/>
      <c r="I33" s="1400"/>
      <c r="J33" s="1380"/>
      <c r="K33" s="1380"/>
      <c r="L33" s="1380"/>
      <c r="M33" s="608"/>
      <c r="N33" s="608"/>
      <c r="O33" s="608"/>
      <c r="P33" s="608"/>
      <c r="Q33" s="266"/>
      <c r="R33" s="266"/>
      <c r="S33" s="268"/>
      <c r="T33" s="269" t="e">
        <f>VLOOKUP(Q33,[71]Listas!$D$6:$E$10,2,0)</f>
        <v>#N/A</v>
      </c>
      <c r="U33" s="269" t="e">
        <f>HLOOKUP(R33,[71]Listas!$F$4:$J$5,2,0)</f>
        <v>#N/A</v>
      </c>
      <c r="V33" s="270" t="e">
        <f>INDEX([71]Listas!$F$6:$J$10,MATCH(Q33,[71]Listas!$D$6:$D$10,0),MATCH(R33,[71]Listas!$F$4:$J$4,0))</f>
        <v>#N/A</v>
      </c>
      <c r="W33" s="268"/>
      <c r="X33" s="1399"/>
      <c r="Y33" s="1408"/>
      <c r="Z33" s="1400"/>
      <c r="AA33" s="1063"/>
      <c r="AB33" s="267"/>
      <c r="AC33" s="259"/>
      <c r="AD33" s="608"/>
      <c r="AE33" s="267"/>
      <c r="AF33" s="268"/>
      <c r="AG33" s="269">
        <f t="shared" si="4"/>
        <v>0</v>
      </c>
      <c r="AH33" s="271" t="e">
        <f t="shared" si="5"/>
        <v>#N/A</v>
      </c>
      <c r="AI33" s="272" t="e">
        <f>IF(AH33&lt;=1,"Remota",VLOOKUP(AH33,[71]Listas!$C$6:$D$10,2,0))</f>
        <v>#N/A</v>
      </c>
      <c r="AJ33" s="271" t="e">
        <f t="shared" si="6"/>
        <v>#N/A</v>
      </c>
      <c r="AK33" s="272" t="e">
        <f>IF(AJ33&lt;=1,"Insignificante",HLOOKUP(AJ33,[71]Listas!$F$3:$J$4,2,0))</f>
        <v>#N/A</v>
      </c>
      <c r="AL33" s="273" t="e">
        <f t="shared" si="7"/>
        <v>#N/A</v>
      </c>
      <c r="AM33" s="270" t="e">
        <f>INDEX([71]Listas!$F$6:$J$10,MATCH(AI33,[71]Listas!$D$6:$D$10,0),MATCH(AK33,[71]Listas!$F$4:$J$4,0))</f>
        <v>#N/A</v>
      </c>
      <c r="AN33" s="259"/>
      <c r="AO33" s="259"/>
      <c r="AP33" s="610"/>
      <c r="AQ33" s="259"/>
      <c r="AR33" s="259" t="s">
        <v>2343</v>
      </c>
      <c r="AS33" s="608"/>
      <c r="AT33" s="259"/>
      <c r="AU33" s="259"/>
      <c r="AV33" s="261"/>
      <c r="AW33" s="261"/>
      <c r="AX33" s="608"/>
      <c r="AY33" s="262"/>
    </row>
    <row r="34" spans="1:51" s="260" customFormat="1" ht="103.5" hidden="1" customHeight="1">
      <c r="A34" s="608"/>
      <c r="B34" s="266"/>
      <c r="C34" s="1399"/>
      <c r="D34" s="1408"/>
      <c r="E34" s="1400"/>
      <c r="F34" s="267"/>
      <c r="G34" s="1399"/>
      <c r="H34" s="1408"/>
      <c r="I34" s="1400"/>
      <c r="J34" s="1380"/>
      <c r="K34" s="1380"/>
      <c r="L34" s="1380"/>
      <c r="M34" s="608"/>
      <c r="N34" s="608"/>
      <c r="O34" s="608"/>
      <c r="P34" s="608"/>
      <c r="Q34" s="266"/>
      <c r="R34" s="266"/>
      <c r="S34" s="268"/>
      <c r="T34" s="269" t="e">
        <f>VLOOKUP(Q34,[71]Listas!$D$6:$E$10,2,0)</f>
        <v>#N/A</v>
      </c>
      <c r="U34" s="269" t="e">
        <f>HLOOKUP(R34,[71]Listas!$F$4:$J$5,2,0)</f>
        <v>#N/A</v>
      </c>
      <c r="V34" s="270" t="e">
        <f>INDEX([71]Listas!$F$6:$J$10,MATCH(Q34,[71]Listas!$D$6:$D$10,0),MATCH(R34,[71]Listas!$F$4:$J$4,0))</f>
        <v>#N/A</v>
      </c>
      <c r="W34" s="268"/>
      <c r="X34" s="1399"/>
      <c r="Y34" s="1408"/>
      <c r="Z34" s="1400"/>
      <c r="AA34" s="1063"/>
      <c r="AB34" s="267"/>
      <c r="AC34" s="259"/>
      <c r="AD34" s="608"/>
      <c r="AE34" s="267"/>
      <c r="AF34" s="268"/>
      <c r="AG34" s="269">
        <f t="shared" si="4"/>
        <v>0</v>
      </c>
      <c r="AH34" s="271" t="e">
        <f t="shared" si="5"/>
        <v>#N/A</v>
      </c>
      <c r="AI34" s="272" t="e">
        <f>IF(AH34&lt;=1,"Remota",VLOOKUP(AH34,[71]Listas!$C$6:$D$10,2,0))</f>
        <v>#N/A</v>
      </c>
      <c r="AJ34" s="271" t="e">
        <f t="shared" si="6"/>
        <v>#N/A</v>
      </c>
      <c r="AK34" s="272" t="e">
        <f>IF(AJ34&lt;=1,"Insignificante",HLOOKUP(AJ34,[71]Listas!$F$3:$J$4,2,0))</f>
        <v>#N/A</v>
      </c>
      <c r="AL34" s="273" t="e">
        <f t="shared" si="7"/>
        <v>#N/A</v>
      </c>
      <c r="AM34" s="270" t="e">
        <f>INDEX([71]Listas!$F$6:$J$10,MATCH(AI34,[71]Listas!$D$6:$D$10,0),MATCH(AK34,[71]Listas!$F$4:$J$4,0))</f>
        <v>#N/A</v>
      </c>
      <c r="AN34" s="259"/>
      <c r="AO34" s="259"/>
      <c r="AP34" s="610"/>
      <c r="AQ34" s="259"/>
      <c r="AR34" s="259" t="s">
        <v>2343</v>
      </c>
      <c r="AS34" s="608"/>
      <c r="AT34" s="259"/>
      <c r="AU34" s="259"/>
      <c r="AV34" s="261"/>
      <c r="AW34" s="261"/>
      <c r="AX34" s="608"/>
      <c r="AY34" s="262"/>
    </row>
    <row r="35" spans="1:51" s="260" customFormat="1" ht="103.5" hidden="1" customHeight="1">
      <c r="A35" s="608"/>
      <c r="B35" s="266"/>
      <c r="C35" s="1399"/>
      <c r="D35" s="1408"/>
      <c r="E35" s="1400"/>
      <c r="F35" s="267"/>
      <c r="G35" s="1399"/>
      <c r="H35" s="1408"/>
      <c r="I35" s="1400"/>
      <c r="J35" s="1380"/>
      <c r="K35" s="1380"/>
      <c r="L35" s="1380"/>
      <c r="M35" s="608"/>
      <c r="N35" s="608"/>
      <c r="O35" s="608"/>
      <c r="P35" s="608"/>
      <c r="Q35" s="266"/>
      <c r="R35" s="266"/>
      <c r="S35" s="268"/>
      <c r="T35" s="269" t="e">
        <f>VLOOKUP(Q35,[71]Listas!$D$6:$E$10,2,0)</f>
        <v>#N/A</v>
      </c>
      <c r="U35" s="269" t="e">
        <f>HLOOKUP(R35,[71]Listas!$F$4:$J$5,2,0)</f>
        <v>#N/A</v>
      </c>
      <c r="V35" s="270" t="e">
        <f>INDEX([71]Listas!$F$6:$J$10,MATCH(Q35,[71]Listas!$D$6:$D$10,0),MATCH(R35,[71]Listas!$F$4:$J$4,0))</f>
        <v>#N/A</v>
      </c>
      <c r="W35" s="268"/>
      <c r="X35" s="1399"/>
      <c r="Y35" s="1408"/>
      <c r="Z35" s="1400"/>
      <c r="AA35" s="1063"/>
      <c r="AB35" s="267"/>
      <c r="AC35" s="259"/>
      <c r="AD35" s="608"/>
      <c r="AE35" s="267"/>
      <c r="AF35" s="268"/>
      <c r="AG35" s="269">
        <f t="shared" si="4"/>
        <v>0</v>
      </c>
      <c r="AH35" s="271" t="e">
        <f t="shared" si="5"/>
        <v>#N/A</v>
      </c>
      <c r="AI35" s="272" t="e">
        <f>IF(AH35&lt;=1,"Remota",VLOOKUP(AH35,[71]Listas!$C$6:$D$10,2,0))</f>
        <v>#N/A</v>
      </c>
      <c r="AJ35" s="271" t="e">
        <f t="shared" si="6"/>
        <v>#N/A</v>
      </c>
      <c r="AK35" s="272" t="e">
        <f>IF(AJ35&lt;=1,"Insignificante",HLOOKUP(AJ35,[71]Listas!$F$3:$J$4,2,0))</f>
        <v>#N/A</v>
      </c>
      <c r="AL35" s="273" t="e">
        <f t="shared" si="7"/>
        <v>#N/A</v>
      </c>
      <c r="AM35" s="270" t="e">
        <f>INDEX([71]Listas!$F$6:$J$10,MATCH(AI35,[71]Listas!$D$6:$D$10,0),MATCH(AK35,[71]Listas!$F$4:$J$4,0))</f>
        <v>#N/A</v>
      </c>
      <c r="AN35" s="259"/>
      <c r="AO35" s="259"/>
      <c r="AP35" s="610"/>
      <c r="AQ35" s="259"/>
      <c r="AR35" s="259" t="s">
        <v>2343</v>
      </c>
      <c r="AS35" s="608"/>
      <c r="AT35" s="259"/>
      <c r="AU35" s="259"/>
      <c r="AV35" s="261"/>
      <c r="AW35" s="261"/>
      <c r="AX35" s="608"/>
      <c r="AY35" s="262"/>
    </row>
    <row r="36" spans="1:51" s="260" customFormat="1" ht="103.5" hidden="1" customHeight="1">
      <c r="A36" s="608"/>
      <c r="B36" s="266"/>
      <c r="C36" s="1399"/>
      <c r="D36" s="1408"/>
      <c r="E36" s="1400"/>
      <c r="F36" s="267"/>
      <c r="G36" s="1399"/>
      <c r="H36" s="1408"/>
      <c r="I36" s="1400"/>
      <c r="J36" s="1380"/>
      <c r="K36" s="1380"/>
      <c r="L36" s="1380"/>
      <c r="M36" s="608"/>
      <c r="N36" s="608"/>
      <c r="O36" s="608"/>
      <c r="P36" s="608"/>
      <c r="Q36" s="266"/>
      <c r="R36" s="266"/>
      <c r="S36" s="268"/>
      <c r="T36" s="269" t="e">
        <f>VLOOKUP(Q36,[71]Listas!$D$6:$E$10,2,0)</f>
        <v>#N/A</v>
      </c>
      <c r="U36" s="269" t="e">
        <f>HLOOKUP(R36,[71]Listas!$F$4:$J$5,2,0)</f>
        <v>#N/A</v>
      </c>
      <c r="V36" s="270" t="e">
        <f>INDEX([71]Listas!$F$6:$J$10,MATCH(Q36,[71]Listas!$D$6:$D$10,0),MATCH(R36,[71]Listas!$F$4:$J$4,0))</f>
        <v>#N/A</v>
      </c>
      <c r="W36" s="268"/>
      <c r="X36" s="1399"/>
      <c r="Y36" s="1408"/>
      <c r="Z36" s="1400"/>
      <c r="AA36" s="1063"/>
      <c r="AB36" s="267"/>
      <c r="AC36" s="259"/>
      <c r="AD36" s="608"/>
      <c r="AE36" s="267"/>
      <c r="AF36" s="268"/>
      <c r="AG36" s="269">
        <f t="shared" si="4"/>
        <v>0</v>
      </c>
      <c r="AH36" s="271" t="e">
        <f t="shared" si="5"/>
        <v>#N/A</v>
      </c>
      <c r="AI36" s="272" t="e">
        <f>IF(AH36&lt;=1,"Remota",VLOOKUP(AH36,[71]Listas!$C$6:$D$10,2,0))</f>
        <v>#N/A</v>
      </c>
      <c r="AJ36" s="271" t="e">
        <f t="shared" si="6"/>
        <v>#N/A</v>
      </c>
      <c r="AK36" s="272" t="e">
        <f>IF(AJ36&lt;=1,"Insignificante",HLOOKUP(AJ36,[71]Listas!$F$3:$J$4,2,0))</f>
        <v>#N/A</v>
      </c>
      <c r="AL36" s="273" t="e">
        <f t="shared" si="7"/>
        <v>#N/A</v>
      </c>
      <c r="AM36" s="270" t="e">
        <f>INDEX([71]Listas!$F$6:$J$10,MATCH(AI36,[71]Listas!$D$6:$D$10,0),MATCH(AK36,[71]Listas!$F$4:$J$4,0))</f>
        <v>#N/A</v>
      </c>
      <c r="AN36" s="259"/>
      <c r="AO36" s="259"/>
      <c r="AP36" s="610"/>
      <c r="AQ36" s="259"/>
      <c r="AR36" s="259" t="s">
        <v>2343</v>
      </c>
      <c r="AS36" s="608"/>
      <c r="AT36" s="259"/>
      <c r="AU36" s="259"/>
      <c r="AV36" s="261"/>
      <c r="AW36" s="261"/>
      <c r="AX36" s="608"/>
      <c r="AY36" s="262"/>
    </row>
    <row r="37" spans="1:51" s="260" customFormat="1" ht="103.5" hidden="1" customHeight="1">
      <c r="A37" s="620"/>
      <c r="B37" s="274"/>
      <c r="C37" s="1399"/>
      <c r="D37" s="1408"/>
      <c r="E37" s="1400"/>
      <c r="F37" s="267"/>
      <c r="G37" s="1399"/>
      <c r="H37" s="1408"/>
      <c r="I37" s="1400"/>
      <c r="J37" s="1380"/>
      <c r="K37" s="1380"/>
      <c r="L37" s="1380"/>
      <c r="M37" s="608"/>
      <c r="N37" s="608"/>
      <c r="O37" s="608"/>
      <c r="P37" s="608"/>
      <c r="Q37" s="266"/>
      <c r="R37" s="266"/>
      <c r="S37" s="268"/>
      <c r="T37" s="269" t="e">
        <f>VLOOKUP(Q37,[71]Listas!$D$6:$E$10,2,0)</f>
        <v>#N/A</v>
      </c>
      <c r="U37" s="269" t="e">
        <f>HLOOKUP(R37,[71]Listas!$F$4:$J$5,2,0)</f>
        <v>#N/A</v>
      </c>
      <c r="V37" s="270" t="e">
        <f>INDEX([71]Listas!$F$6:$J$10,MATCH(Q37,[71]Listas!$D$6:$D$10,0),MATCH(R37,[71]Listas!$F$4:$J$4,0))</f>
        <v>#N/A</v>
      </c>
      <c r="W37" s="268"/>
      <c r="X37" s="1399"/>
      <c r="Y37" s="1408"/>
      <c r="Z37" s="1400"/>
      <c r="AA37" s="1063"/>
      <c r="AB37" s="267"/>
      <c r="AC37" s="259"/>
      <c r="AD37" s="608"/>
      <c r="AE37" s="267"/>
      <c r="AF37" s="268"/>
      <c r="AG37" s="269">
        <f t="shared" si="4"/>
        <v>0</v>
      </c>
      <c r="AH37" s="271" t="e">
        <f t="shared" si="5"/>
        <v>#N/A</v>
      </c>
      <c r="AI37" s="272" t="e">
        <f>IF(AH37&lt;=1,"Remota",VLOOKUP(AH37,[71]Listas!$C$6:$D$10,2,0))</f>
        <v>#N/A</v>
      </c>
      <c r="AJ37" s="271" t="e">
        <f t="shared" si="6"/>
        <v>#N/A</v>
      </c>
      <c r="AK37" s="272" t="e">
        <f>IF(AJ37&lt;=1,"Insignificante",HLOOKUP(AJ37,[71]Listas!$F$3:$J$4,2,0))</f>
        <v>#N/A</v>
      </c>
      <c r="AL37" s="273" t="e">
        <f t="shared" si="7"/>
        <v>#N/A</v>
      </c>
      <c r="AM37" s="270" t="e">
        <f>INDEX([71]Listas!$F$6:$J$10,MATCH(AI37,[71]Listas!$D$6:$D$10,0),MATCH(AK37,[71]Listas!$F$4:$J$4,0))</f>
        <v>#N/A</v>
      </c>
      <c r="AN37" s="259"/>
      <c r="AO37" s="259"/>
      <c r="AP37" s="610"/>
      <c r="AQ37" s="259"/>
      <c r="AR37" s="259" t="s">
        <v>2343</v>
      </c>
      <c r="AS37" s="608"/>
      <c r="AT37" s="259"/>
      <c r="AU37" s="259"/>
      <c r="AV37" s="261"/>
      <c r="AW37" s="261"/>
      <c r="AX37" s="608"/>
      <c r="AY37" s="262"/>
    </row>
    <row r="38" spans="1:51" s="260" customFormat="1" ht="103.5" hidden="1" customHeight="1">
      <c r="A38" s="608"/>
      <c r="B38" s="266"/>
      <c r="C38" s="1399"/>
      <c r="D38" s="1408"/>
      <c r="E38" s="1400"/>
      <c r="F38" s="267"/>
      <c r="G38" s="1399"/>
      <c r="H38" s="1408"/>
      <c r="I38" s="1400"/>
      <c r="J38" s="1380"/>
      <c r="K38" s="1380"/>
      <c r="L38" s="1380"/>
      <c r="M38" s="608"/>
      <c r="N38" s="608"/>
      <c r="O38" s="608"/>
      <c r="P38" s="608"/>
      <c r="Q38" s="266"/>
      <c r="R38" s="266"/>
      <c r="S38" s="268"/>
      <c r="T38" s="269" t="e">
        <f>VLOOKUP(Q38,[71]Listas!$D$6:$E$10,2,0)</f>
        <v>#N/A</v>
      </c>
      <c r="U38" s="269" t="e">
        <f>HLOOKUP(R38,[71]Listas!$F$4:$J$5,2,0)</f>
        <v>#N/A</v>
      </c>
      <c r="V38" s="270" t="e">
        <f>INDEX([71]Listas!$F$6:$J$10,MATCH(Q38,[71]Listas!$D$6:$D$10,0),MATCH(R38,[71]Listas!$F$4:$J$4,0))</f>
        <v>#N/A</v>
      </c>
      <c r="W38" s="268"/>
      <c r="X38" s="1399"/>
      <c r="Y38" s="1408"/>
      <c r="Z38" s="1400"/>
      <c r="AA38" s="1063"/>
      <c r="AB38" s="267"/>
      <c r="AC38" s="259"/>
      <c r="AD38" s="608"/>
      <c r="AE38" s="267"/>
      <c r="AF38" s="268"/>
      <c r="AG38" s="269">
        <f t="shared" si="4"/>
        <v>0</v>
      </c>
      <c r="AH38" s="271" t="e">
        <f t="shared" si="5"/>
        <v>#N/A</v>
      </c>
      <c r="AI38" s="272" t="e">
        <f>IF(AH38&lt;=1,"Remota",VLOOKUP(AH38,[71]Listas!$C$6:$D$10,2,0))</f>
        <v>#N/A</v>
      </c>
      <c r="AJ38" s="271" t="e">
        <f t="shared" si="6"/>
        <v>#N/A</v>
      </c>
      <c r="AK38" s="272" t="e">
        <f>IF(AJ38&lt;=1,"Insignificante",HLOOKUP(AJ38,[71]Listas!$F$3:$J$4,2,0))</f>
        <v>#N/A</v>
      </c>
      <c r="AL38" s="273" t="e">
        <f t="shared" si="7"/>
        <v>#N/A</v>
      </c>
      <c r="AM38" s="270" t="e">
        <f>INDEX([71]Listas!$F$6:$J$10,MATCH(AI38,[71]Listas!$D$6:$D$10,0),MATCH(AK38,[71]Listas!$F$4:$J$4,0))</f>
        <v>#N/A</v>
      </c>
      <c r="AN38" s="259"/>
      <c r="AO38" s="259"/>
      <c r="AP38" s="610"/>
      <c r="AQ38" s="259"/>
      <c r="AR38" s="259" t="s">
        <v>2343</v>
      </c>
      <c r="AS38" s="608"/>
      <c r="AT38" s="259"/>
      <c r="AU38" s="259"/>
      <c r="AV38" s="261"/>
      <c r="AW38" s="261"/>
      <c r="AX38" s="608"/>
      <c r="AY38" s="262"/>
    </row>
    <row r="39" spans="1:51" s="260" customFormat="1" ht="103.5" hidden="1" customHeight="1">
      <c r="A39" s="608"/>
      <c r="B39" s="266"/>
      <c r="C39" s="1399"/>
      <c r="D39" s="1408"/>
      <c r="E39" s="1400"/>
      <c r="F39" s="267"/>
      <c r="G39" s="1399"/>
      <c r="H39" s="1408"/>
      <c r="I39" s="1400"/>
      <c r="J39" s="1380"/>
      <c r="K39" s="1380"/>
      <c r="L39" s="1380"/>
      <c r="M39" s="608"/>
      <c r="N39" s="608"/>
      <c r="O39" s="608"/>
      <c r="P39" s="608"/>
      <c r="Q39" s="266"/>
      <c r="R39" s="266"/>
      <c r="S39" s="268"/>
      <c r="T39" s="269" t="e">
        <f>VLOOKUP(Q39,[71]Listas!$D$6:$E$10,2,0)</f>
        <v>#N/A</v>
      </c>
      <c r="U39" s="269" t="e">
        <f>HLOOKUP(R39,[71]Listas!$F$4:$J$5,2,0)</f>
        <v>#N/A</v>
      </c>
      <c r="V39" s="270" t="e">
        <f>INDEX([71]Listas!$F$6:$J$10,MATCH(Q39,[71]Listas!$D$6:$D$10,0),MATCH(R39,[71]Listas!$F$4:$J$4,0))</f>
        <v>#N/A</v>
      </c>
      <c r="W39" s="268"/>
      <c r="X39" s="1399"/>
      <c r="Y39" s="1408"/>
      <c r="Z39" s="1400"/>
      <c r="AA39" s="1063"/>
      <c r="AB39" s="267"/>
      <c r="AC39" s="259"/>
      <c r="AD39" s="608"/>
      <c r="AE39" s="267"/>
      <c r="AF39" s="268"/>
      <c r="AG39" s="269">
        <f t="shared" si="4"/>
        <v>0</v>
      </c>
      <c r="AH39" s="271" t="e">
        <f t="shared" si="5"/>
        <v>#N/A</v>
      </c>
      <c r="AI39" s="272" t="e">
        <f>IF(AH39&lt;=1,"Remota",VLOOKUP(AH39,[71]Listas!$C$6:$D$10,2,0))</f>
        <v>#N/A</v>
      </c>
      <c r="AJ39" s="271" t="e">
        <f t="shared" si="6"/>
        <v>#N/A</v>
      </c>
      <c r="AK39" s="272" t="e">
        <f>IF(AJ39&lt;=1,"Insignificante",HLOOKUP(AJ39,[71]Listas!$F$3:$J$4,2,0))</f>
        <v>#N/A</v>
      </c>
      <c r="AL39" s="273" t="e">
        <f t="shared" si="7"/>
        <v>#N/A</v>
      </c>
      <c r="AM39" s="270" t="e">
        <f>INDEX([71]Listas!$F$6:$J$10,MATCH(AI39,[71]Listas!$D$6:$D$10,0),MATCH(AK39,[71]Listas!$F$4:$J$4,0))</f>
        <v>#N/A</v>
      </c>
      <c r="AN39" s="259"/>
      <c r="AO39" s="259"/>
      <c r="AP39" s="610"/>
      <c r="AQ39" s="259"/>
      <c r="AR39" s="259" t="s">
        <v>2343</v>
      </c>
      <c r="AS39" s="608"/>
      <c r="AT39" s="259"/>
      <c r="AU39" s="259"/>
      <c r="AV39" s="261"/>
      <c r="AW39" s="261"/>
      <c r="AX39" s="608"/>
      <c r="AY39" s="262"/>
    </row>
    <row r="40" spans="1:51" s="260" customFormat="1" ht="103.5" hidden="1" customHeight="1">
      <c r="A40" s="608"/>
      <c r="B40" s="266"/>
      <c r="C40" s="1399"/>
      <c r="D40" s="1408"/>
      <c r="E40" s="1400"/>
      <c r="F40" s="267"/>
      <c r="G40" s="1399"/>
      <c r="H40" s="1408"/>
      <c r="I40" s="1400"/>
      <c r="J40" s="1380"/>
      <c r="K40" s="1380"/>
      <c r="L40" s="1380"/>
      <c r="M40" s="608"/>
      <c r="N40" s="608"/>
      <c r="O40" s="608"/>
      <c r="P40" s="608"/>
      <c r="Q40" s="266"/>
      <c r="R40" s="266"/>
      <c r="S40" s="268"/>
      <c r="T40" s="269" t="e">
        <f>VLOOKUP(Q40,[71]Listas!$D$6:$E$10,2,0)</f>
        <v>#N/A</v>
      </c>
      <c r="U40" s="269" t="e">
        <f>HLOOKUP(R40,[71]Listas!$F$4:$J$5,2,0)</f>
        <v>#N/A</v>
      </c>
      <c r="V40" s="270" t="e">
        <f>INDEX([71]Listas!$F$6:$J$10,MATCH(Q40,[71]Listas!$D$6:$D$10,0),MATCH(R40,[71]Listas!$F$4:$J$4,0))</f>
        <v>#N/A</v>
      </c>
      <c r="W40" s="268"/>
      <c r="X40" s="1399"/>
      <c r="Y40" s="1408"/>
      <c r="Z40" s="1400"/>
      <c r="AA40" s="1063"/>
      <c r="AB40" s="267"/>
      <c r="AC40" s="259"/>
      <c r="AD40" s="608"/>
      <c r="AE40" s="267"/>
      <c r="AF40" s="268"/>
      <c r="AG40" s="269">
        <f t="shared" si="4"/>
        <v>0</v>
      </c>
      <c r="AH40" s="271" t="e">
        <f t="shared" si="5"/>
        <v>#N/A</v>
      </c>
      <c r="AI40" s="272" t="e">
        <f>IF(AH40&lt;=1,"Remota",VLOOKUP(AH40,[71]Listas!$C$6:$D$10,2,0))</f>
        <v>#N/A</v>
      </c>
      <c r="AJ40" s="271" t="e">
        <f t="shared" si="6"/>
        <v>#N/A</v>
      </c>
      <c r="AK40" s="272" t="e">
        <f>IF(AJ40&lt;=1,"Insignificante",HLOOKUP(AJ40,[71]Listas!$F$3:$J$4,2,0))</f>
        <v>#N/A</v>
      </c>
      <c r="AL40" s="273" t="e">
        <f t="shared" si="7"/>
        <v>#N/A</v>
      </c>
      <c r="AM40" s="270" t="e">
        <f>INDEX([71]Listas!$F$6:$J$10,MATCH(AI40,[71]Listas!$D$6:$D$10,0),MATCH(AK40,[71]Listas!$F$4:$J$4,0))</f>
        <v>#N/A</v>
      </c>
      <c r="AN40" s="259"/>
      <c r="AO40" s="259"/>
      <c r="AP40" s="610"/>
      <c r="AQ40" s="259"/>
      <c r="AR40" s="259" t="s">
        <v>2343</v>
      </c>
      <c r="AS40" s="608"/>
      <c r="AT40" s="259"/>
      <c r="AU40" s="259"/>
      <c r="AV40" s="261"/>
      <c r="AW40" s="261"/>
      <c r="AX40" s="608"/>
      <c r="AY40" s="262"/>
    </row>
    <row r="41" spans="1:51" s="260" customFormat="1" ht="103.5" hidden="1" customHeight="1">
      <c r="A41" s="608"/>
      <c r="B41" s="266"/>
      <c r="C41" s="1399"/>
      <c r="D41" s="1408"/>
      <c r="E41" s="1400"/>
      <c r="F41" s="267"/>
      <c r="G41" s="1399"/>
      <c r="H41" s="1408"/>
      <c r="I41" s="1400"/>
      <c r="J41" s="1380"/>
      <c r="K41" s="1380"/>
      <c r="L41" s="1380"/>
      <c r="M41" s="608"/>
      <c r="N41" s="608"/>
      <c r="O41" s="608"/>
      <c r="P41" s="608"/>
      <c r="Q41" s="266"/>
      <c r="R41" s="266"/>
      <c r="S41" s="268"/>
      <c r="T41" s="269" t="e">
        <f>VLOOKUP(Q41,[71]Listas!$D$6:$E$10,2,0)</f>
        <v>#N/A</v>
      </c>
      <c r="U41" s="269" t="e">
        <f>HLOOKUP(R41,[71]Listas!$F$4:$J$5,2,0)</f>
        <v>#N/A</v>
      </c>
      <c r="V41" s="270" t="e">
        <f>INDEX([71]Listas!$F$6:$J$10,MATCH(Q41,[71]Listas!$D$6:$D$10,0),MATCH(R41,[71]Listas!$F$4:$J$4,0))</f>
        <v>#N/A</v>
      </c>
      <c r="W41" s="268"/>
      <c r="X41" s="1399"/>
      <c r="Y41" s="1408"/>
      <c r="Z41" s="1400"/>
      <c r="AA41" s="1063"/>
      <c r="AB41" s="267"/>
      <c r="AC41" s="259"/>
      <c r="AD41" s="608"/>
      <c r="AE41" s="267"/>
      <c r="AF41" s="268"/>
      <c r="AG41" s="269">
        <f t="shared" si="4"/>
        <v>0</v>
      </c>
      <c r="AH41" s="271" t="e">
        <f t="shared" si="5"/>
        <v>#N/A</v>
      </c>
      <c r="AI41" s="272" t="e">
        <f>IF(AH41&lt;=1,"Remota",VLOOKUP(AH41,[71]Listas!$C$6:$D$10,2,0))</f>
        <v>#N/A</v>
      </c>
      <c r="AJ41" s="271" t="e">
        <f t="shared" si="6"/>
        <v>#N/A</v>
      </c>
      <c r="AK41" s="272" t="e">
        <f>IF(AJ41&lt;=1,"Insignificante",HLOOKUP(AJ41,[71]Listas!$F$3:$J$4,2,0))</f>
        <v>#N/A</v>
      </c>
      <c r="AL41" s="273" t="e">
        <f t="shared" si="7"/>
        <v>#N/A</v>
      </c>
      <c r="AM41" s="270" t="e">
        <f>INDEX([71]Listas!$F$6:$J$10,MATCH(AI41,[71]Listas!$D$6:$D$10,0),MATCH(AK41,[71]Listas!$F$4:$J$4,0))</f>
        <v>#N/A</v>
      </c>
      <c r="AN41" s="259"/>
      <c r="AO41" s="259"/>
      <c r="AP41" s="610"/>
      <c r="AQ41" s="259"/>
      <c r="AR41" s="259" t="s">
        <v>2343</v>
      </c>
      <c r="AS41" s="608"/>
      <c r="AT41" s="259"/>
      <c r="AU41" s="259"/>
      <c r="AV41" s="261"/>
      <c r="AW41" s="261"/>
      <c r="AX41" s="608"/>
      <c r="AY41" s="262"/>
    </row>
    <row r="42" spans="1:51" s="260" customFormat="1" ht="103.5" hidden="1" customHeight="1">
      <c r="A42" s="608"/>
      <c r="B42" s="266"/>
      <c r="C42" s="1399"/>
      <c r="D42" s="1408"/>
      <c r="E42" s="1400"/>
      <c r="F42" s="267"/>
      <c r="G42" s="1399"/>
      <c r="H42" s="1408"/>
      <c r="I42" s="1400"/>
      <c r="J42" s="1380"/>
      <c r="K42" s="1380"/>
      <c r="L42" s="1380"/>
      <c r="M42" s="608"/>
      <c r="N42" s="608"/>
      <c r="O42" s="608"/>
      <c r="P42" s="608"/>
      <c r="Q42" s="266"/>
      <c r="R42" s="266"/>
      <c r="S42" s="268"/>
      <c r="T42" s="269" t="e">
        <f>VLOOKUP(Q42,[71]Listas!$D$6:$E$10,2,0)</f>
        <v>#N/A</v>
      </c>
      <c r="U42" s="269" t="e">
        <f>HLOOKUP(R42,[71]Listas!$F$4:$J$5,2,0)</f>
        <v>#N/A</v>
      </c>
      <c r="V42" s="270" t="e">
        <f>INDEX([71]Listas!$F$6:$J$10,MATCH(Q42,[71]Listas!$D$6:$D$10,0),MATCH(R42,[71]Listas!$F$4:$J$4,0))</f>
        <v>#N/A</v>
      </c>
      <c r="W42" s="268"/>
      <c r="X42" s="1399"/>
      <c r="Y42" s="1408"/>
      <c r="Z42" s="1400"/>
      <c r="AA42" s="1063"/>
      <c r="AB42" s="267"/>
      <c r="AC42" s="259"/>
      <c r="AD42" s="608"/>
      <c r="AE42" s="267"/>
      <c r="AF42" s="268"/>
      <c r="AG42" s="269">
        <f t="shared" si="4"/>
        <v>0</v>
      </c>
      <c r="AH42" s="271" t="e">
        <f t="shared" si="5"/>
        <v>#N/A</v>
      </c>
      <c r="AI42" s="272" t="e">
        <f>IF(AH42&lt;=1,"Remota",VLOOKUP(AH42,[71]Listas!$C$6:$D$10,2,0))</f>
        <v>#N/A</v>
      </c>
      <c r="AJ42" s="271" t="e">
        <f t="shared" si="6"/>
        <v>#N/A</v>
      </c>
      <c r="AK42" s="272" t="e">
        <f>IF(AJ42&lt;=1,"Insignificante",HLOOKUP(AJ42,[71]Listas!$F$3:$J$4,2,0))</f>
        <v>#N/A</v>
      </c>
      <c r="AL42" s="273" t="e">
        <f t="shared" si="7"/>
        <v>#N/A</v>
      </c>
      <c r="AM42" s="270" t="e">
        <f>INDEX([71]Listas!$F$6:$J$10,MATCH(AI42,[71]Listas!$D$6:$D$10,0),MATCH(AK42,[71]Listas!$F$4:$J$4,0))</f>
        <v>#N/A</v>
      </c>
      <c r="AN42" s="259"/>
      <c r="AO42" s="259"/>
      <c r="AP42" s="610"/>
      <c r="AQ42" s="259"/>
      <c r="AR42" s="259" t="s">
        <v>2343</v>
      </c>
      <c r="AS42" s="608"/>
      <c r="AT42" s="259"/>
      <c r="AU42" s="259"/>
      <c r="AV42" s="261"/>
      <c r="AW42" s="261"/>
      <c r="AX42" s="608"/>
      <c r="AY42" s="262"/>
    </row>
    <row r="43" spans="1:51" s="260" customFormat="1" ht="103.5" hidden="1" customHeight="1">
      <c r="A43" s="608"/>
      <c r="B43" s="266"/>
      <c r="C43" s="1399"/>
      <c r="D43" s="1408"/>
      <c r="E43" s="1400"/>
      <c r="F43" s="267"/>
      <c r="G43" s="1399"/>
      <c r="H43" s="1408"/>
      <c r="I43" s="1400"/>
      <c r="J43" s="1380"/>
      <c r="K43" s="1380"/>
      <c r="L43" s="1380"/>
      <c r="M43" s="608"/>
      <c r="N43" s="608"/>
      <c r="O43" s="608"/>
      <c r="P43" s="608"/>
      <c r="Q43" s="266"/>
      <c r="R43" s="266"/>
      <c r="S43" s="268"/>
      <c r="T43" s="269" t="e">
        <f>VLOOKUP(Q43,[71]Listas!$D$6:$E$10,2,0)</f>
        <v>#N/A</v>
      </c>
      <c r="U43" s="269" t="e">
        <f>HLOOKUP(R43,[71]Listas!$F$4:$J$5,2,0)</f>
        <v>#N/A</v>
      </c>
      <c r="V43" s="270" t="e">
        <f>INDEX([71]Listas!$F$6:$J$10,MATCH(Q43,[71]Listas!$D$6:$D$10,0),MATCH(R43,[71]Listas!$F$4:$J$4,0))</f>
        <v>#N/A</v>
      </c>
      <c r="W43" s="268"/>
      <c r="X43" s="1399"/>
      <c r="Y43" s="1408"/>
      <c r="Z43" s="1400"/>
      <c r="AA43" s="1063"/>
      <c r="AB43" s="267"/>
      <c r="AC43" s="259"/>
      <c r="AD43" s="608"/>
      <c r="AE43" s="267"/>
      <c r="AF43" s="268"/>
      <c r="AG43" s="269">
        <f t="shared" si="4"/>
        <v>0</v>
      </c>
      <c r="AH43" s="271" t="e">
        <f t="shared" si="5"/>
        <v>#N/A</v>
      </c>
      <c r="AI43" s="272" t="e">
        <f>IF(AH43&lt;=1,"Remota",VLOOKUP(AH43,[71]Listas!$C$6:$D$10,2,0))</f>
        <v>#N/A</v>
      </c>
      <c r="AJ43" s="271" t="e">
        <f t="shared" si="6"/>
        <v>#N/A</v>
      </c>
      <c r="AK43" s="272" t="e">
        <f>IF(AJ43&lt;=1,"Insignificante",HLOOKUP(AJ43,[71]Listas!$F$3:$J$4,2,0))</f>
        <v>#N/A</v>
      </c>
      <c r="AL43" s="273" t="e">
        <f t="shared" si="7"/>
        <v>#N/A</v>
      </c>
      <c r="AM43" s="270" t="e">
        <f>INDEX([71]Listas!$F$6:$J$10,MATCH(AI43,[71]Listas!$D$6:$D$10,0),MATCH(AK43,[71]Listas!$F$4:$J$4,0))</f>
        <v>#N/A</v>
      </c>
      <c r="AN43" s="259"/>
      <c r="AO43" s="259"/>
      <c r="AP43" s="610"/>
      <c r="AQ43" s="259"/>
      <c r="AR43" s="259" t="s">
        <v>2343</v>
      </c>
      <c r="AS43" s="608"/>
      <c r="AT43" s="259"/>
      <c r="AU43" s="259"/>
      <c r="AV43" s="261"/>
      <c r="AW43" s="261"/>
      <c r="AX43" s="608"/>
      <c r="AY43" s="262"/>
    </row>
    <row r="44" spans="1:51" s="260" customFormat="1" ht="103.5" hidden="1" customHeight="1">
      <c r="A44" s="608"/>
      <c r="B44" s="266"/>
      <c r="C44" s="1399"/>
      <c r="D44" s="1408"/>
      <c r="E44" s="1400"/>
      <c r="F44" s="267"/>
      <c r="G44" s="1399"/>
      <c r="H44" s="1408"/>
      <c r="I44" s="1400"/>
      <c r="J44" s="1380"/>
      <c r="K44" s="1380"/>
      <c r="L44" s="1380"/>
      <c r="M44" s="608"/>
      <c r="N44" s="608"/>
      <c r="O44" s="608"/>
      <c r="P44" s="608"/>
      <c r="Q44" s="266"/>
      <c r="R44" s="266"/>
      <c r="S44" s="268"/>
      <c r="T44" s="269" t="e">
        <f>VLOOKUP(Q44,[71]Listas!$D$6:$E$10,2,0)</f>
        <v>#N/A</v>
      </c>
      <c r="U44" s="269" t="e">
        <f>HLOOKUP(R44,[71]Listas!$F$4:$J$5,2,0)</f>
        <v>#N/A</v>
      </c>
      <c r="V44" s="270" t="e">
        <f>INDEX([71]Listas!$F$6:$J$10,MATCH(Q44,[71]Listas!$D$6:$D$10,0),MATCH(R44,[71]Listas!$F$4:$J$4,0))</f>
        <v>#N/A</v>
      </c>
      <c r="W44" s="268"/>
      <c r="X44" s="1399"/>
      <c r="Y44" s="1408"/>
      <c r="Z44" s="1400"/>
      <c r="AA44" s="1063"/>
      <c r="AB44" s="267"/>
      <c r="AC44" s="259"/>
      <c r="AD44" s="608"/>
      <c r="AE44" s="267"/>
      <c r="AF44" s="268"/>
      <c r="AG44" s="269">
        <f t="shared" si="4"/>
        <v>0</v>
      </c>
      <c r="AH44" s="271" t="e">
        <f t="shared" si="5"/>
        <v>#N/A</v>
      </c>
      <c r="AI44" s="272" t="e">
        <f>IF(AH44&lt;=1,"Remota",VLOOKUP(AH44,[71]Listas!$C$6:$D$10,2,0))</f>
        <v>#N/A</v>
      </c>
      <c r="AJ44" s="271" t="e">
        <f t="shared" si="6"/>
        <v>#N/A</v>
      </c>
      <c r="AK44" s="272" t="e">
        <f>IF(AJ44&lt;=1,"Insignificante",HLOOKUP(AJ44,[71]Listas!$F$3:$J$4,2,0))</f>
        <v>#N/A</v>
      </c>
      <c r="AL44" s="273" t="e">
        <f t="shared" si="7"/>
        <v>#N/A</v>
      </c>
      <c r="AM44" s="270" t="e">
        <f>INDEX([71]Listas!$F$6:$J$10,MATCH(AI44,[71]Listas!$D$6:$D$10,0),MATCH(AK44,[71]Listas!$F$4:$J$4,0))</f>
        <v>#N/A</v>
      </c>
      <c r="AN44" s="259"/>
      <c r="AO44" s="259"/>
      <c r="AP44" s="610"/>
      <c r="AQ44" s="259"/>
      <c r="AR44" s="259" t="s">
        <v>2343</v>
      </c>
      <c r="AS44" s="608"/>
      <c r="AT44" s="259"/>
      <c r="AU44" s="259"/>
      <c r="AV44" s="261"/>
      <c r="AW44" s="261"/>
      <c r="AX44" s="608"/>
      <c r="AY44" s="262"/>
    </row>
    <row r="45" spans="1:51" s="260" customFormat="1" ht="103.5" hidden="1" customHeight="1">
      <c r="A45" s="608"/>
      <c r="B45" s="266"/>
      <c r="C45" s="1399"/>
      <c r="D45" s="1408"/>
      <c r="E45" s="1400"/>
      <c r="F45" s="267"/>
      <c r="G45" s="1399"/>
      <c r="H45" s="1408"/>
      <c r="I45" s="1400"/>
      <c r="J45" s="1380"/>
      <c r="K45" s="1380"/>
      <c r="L45" s="1380"/>
      <c r="M45" s="608"/>
      <c r="N45" s="608"/>
      <c r="O45" s="608"/>
      <c r="P45" s="608"/>
      <c r="Q45" s="266"/>
      <c r="R45" s="266"/>
      <c r="S45" s="268"/>
      <c r="T45" s="269" t="e">
        <f>VLOOKUP(Q45,[71]Listas!$D$6:$E$10,2,0)</f>
        <v>#N/A</v>
      </c>
      <c r="U45" s="269" t="e">
        <f>HLOOKUP(R45,[71]Listas!$F$4:$J$5,2,0)</f>
        <v>#N/A</v>
      </c>
      <c r="V45" s="270" t="e">
        <f>INDEX([71]Listas!$F$6:$J$10,MATCH(Q45,[71]Listas!$D$6:$D$10,0),MATCH(R45,[71]Listas!$F$4:$J$4,0))</f>
        <v>#N/A</v>
      </c>
      <c r="W45" s="268"/>
      <c r="X45" s="1399"/>
      <c r="Y45" s="1408"/>
      <c r="Z45" s="1400"/>
      <c r="AA45" s="1063"/>
      <c r="AB45" s="267"/>
      <c r="AC45" s="259"/>
      <c r="AD45" s="608"/>
      <c r="AE45" s="267"/>
      <c r="AF45" s="268"/>
      <c r="AG45" s="269">
        <f t="shared" si="4"/>
        <v>0</v>
      </c>
      <c r="AH45" s="271" t="e">
        <f t="shared" si="5"/>
        <v>#N/A</v>
      </c>
      <c r="AI45" s="272" t="e">
        <f>IF(AH45&lt;=1,"Remota",VLOOKUP(AH45,[71]Listas!$C$6:$D$10,2,0))</f>
        <v>#N/A</v>
      </c>
      <c r="AJ45" s="271" t="e">
        <f t="shared" si="6"/>
        <v>#N/A</v>
      </c>
      <c r="AK45" s="272" t="e">
        <f>IF(AJ45&lt;=1,"Insignificante",HLOOKUP(AJ45,[71]Listas!$F$3:$J$4,2,0))</f>
        <v>#N/A</v>
      </c>
      <c r="AL45" s="273" t="e">
        <f t="shared" si="7"/>
        <v>#N/A</v>
      </c>
      <c r="AM45" s="270" t="e">
        <f>INDEX([71]Listas!$F$6:$J$10,MATCH(AI45,[71]Listas!$D$6:$D$10,0),MATCH(AK45,[71]Listas!$F$4:$J$4,0))</f>
        <v>#N/A</v>
      </c>
      <c r="AN45" s="259"/>
      <c r="AO45" s="259"/>
      <c r="AP45" s="610"/>
      <c r="AQ45" s="259"/>
      <c r="AR45" s="259" t="s">
        <v>2343</v>
      </c>
      <c r="AS45" s="608"/>
      <c r="AT45" s="259"/>
      <c r="AU45" s="259"/>
      <c r="AV45" s="261"/>
      <c r="AW45" s="261"/>
      <c r="AX45" s="608"/>
      <c r="AY45" s="262"/>
    </row>
    <row r="46" spans="1:51" s="260" customFormat="1" ht="103.5" hidden="1" customHeight="1">
      <c r="A46" s="608"/>
      <c r="B46" s="266"/>
      <c r="C46" s="1399"/>
      <c r="D46" s="1408"/>
      <c r="E46" s="1400"/>
      <c r="F46" s="267"/>
      <c r="G46" s="1399"/>
      <c r="H46" s="1408"/>
      <c r="I46" s="1400"/>
      <c r="J46" s="1380"/>
      <c r="K46" s="1380"/>
      <c r="L46" s="1380"/>
      <c r="M46" s="608"/>
      <c r="N46" s="608"/>
      <c r="O46" s="608"/>
      <c r="P46" s="608"/>
      <c r="Q46" s="266"/>
      <c r="R46" s="266"/>
      <c r="S46" s="268"/>
      <c r="T46" s="269" t="e">
        <f>VLOOKUP(Q46,[71]Listas!$D$6:$E$10,2,0)</f>
        <v>#N/A</v>
      </c>
      <c r="U46" s="269" t="e">
        <f>HLOOKUP(R46,[71]Listas!$F$4:$J$5,2,0)</f>
        <v>#N/A</v>
      </c>
      <c r="V46" s="270" t="e">
        <f>INDEX([71]Listas!$F$6:$J$10,MATCH(Q46,[71]Listas!$D$6:$D$10,0),MATCH(R46,[71]Listas!$F$4:$J$4,0))</f>
        <v>#N/A</v>
      </c>
      <c r="W46" s="268"/>
      <c r="X46" s="1399"/>
      <c r="Y46" s="1408"/>
      <c r="Z46" s="1400"/>
      <c r="AA46" s="1063"/>
      <c r="AB46" s="267"/>
      <c r="AC46" s="259"/>
      <c r="AD46" s="608"/>
      <c r="AE46" s="267"/>
      <c r="AF46" s="268"/>
      <c r="AG46" s="269">
        <f t="shared" si="4"/>
        <v>0</v>
      </c>
      <c r="AH46" s="271" t="e">
        <f t="shared" si="5"/>
        <v>#N/A</v>
      </c>
      <c r="AI46" s="272" t="e">
        <f>IF(AH46&lt;=1,"Remota",VLOOKUP(AH46,[71]Listas!$C$6:$D$10,2,0))</f>
        <v>#N/A</v>
      </c>
      <c r="AJ46" s="271" t="e">
        <f t="shared" si="6"/>
        <v>#N/A</v>
      </c>
      <c r="AK46" s="272" t="e">
        <f>IF(AJ46&lt;=1,"Insignificante",HLOOKUP(AJ46,[71]Listas!$F$3:$J$4,2,0))</f>
        <v>#N/A</v>
      </c>
      <c r="AL46" s="273" t="e">
        <f t="shared" si="7"/>
        <v>#N/A</v>
      </c>
      <c r="AM46" s="270" t="e">
        <f>INDEX([71]Listas!$F$6:$J$10,MATCH(AI46,[71]Listas!$D$6:$D$10,0),MATCH(AK46,[71]Listas!$F$4:$J$4,0))</f>
        <v>#N/A</v>
      </c>
      <c r="AN46" s="259"/>
      <c r="AO46" s="259"/>
      <c r="AP46" s="610"/>
      <c r="AQ46" s="259"/>
      <c r="AR46" s="259" t="s">
        <v>2343</v>
      </c>
      <c r="AS46" s="608"/>
      <c r="AT46" s="259"/>
      <c r="AU46" s="259"/>
      <c r="AV46" s="261"/>
      <c r="AW46" s="261"/>
      <c r="AX46" s="608"/>
      <c r="AY46" s="262"/>
    </row>
    <row r="47" spans="1:51" s="260" customFormat="1" ht="103.5" hidden="1" customHeight="1">
      <c r="A47" s="608"/>
      <c r="B47" s="266"/>
      <c r="C47" s="1399"/>
      <c r="D47" s="1408"/>
      <c r="E47" s="1400"/>
      <c r="F47" s="267"/>
      <c r="G47" s="1399"/>
      <c r="H47" s="1408"/>
      <c r="I47" s="1400"/>
      <c r="J47" s="1380"/>
      <c r="K47" s="1380"/>
      <c r="L47" s="1380"/>
      <c r="M47" s="608"/>
      <c r="N47" s="608"/>
      <c r="O47" s="608"/>
      <c r="P47" s="608"/>
      <c r="Q47" s="266"/>
      <c r="R47" s="266"/>
      <c r="S47" s="268"/>
      <c r="T47" s="269" t="e">
        <f>VLOOKUP(Q47,[71]Listas!$D$6:$E$10,2,0)</f>
        <v>#N/A</v>
      </c>
      <c r="U47" s="269" t="e">
        <f>HLOOKUP(R47,[71]Listas!$F$4:$J$5,2,0)</f>
        <v>#N/A</v>
      </c>
      <c r="V47" s="270" t="e">
        <f>INDEX([71]Listas!$F$6:$J$10,MATCH(Q47,[71]Listas!$D$6:$D$10,0),MATCH(R47,[71]Listas!$F$4:$J$4,0))</f>
        <v>#N/A</v>
      </c>
      <c r="W47" s="268"/>
      <c r="X47" s="1399"/>
      <c r="Y47" s="1408"/>
      <c r="Z47" s="1400"/>
      <c r="AA47" s="1063"/>
      <c r="AB47" s="267"/>
      <c r="AC47" s="259"/>
      <c r="AD47" s="608"/>
      <c r="AE47" s="267"/>
      <c r="AF47" s="268"/>
      <c r="AG47" s="269">
        <f t="shared" si="4"/>
        <v>0</v>
      </c>
      <c r="AH47" s="271" t="e">
        <f t="shared" si="5"/>
        <v>#N/A</v>
      </c>
      <c r="AI47" s="272" t="e">
        <f>IF(AH47&lt;=1,"Remota",VLOOKUP(AH47,[71]Listas!$C$6:$D$10,2,0))</f>
        <v>#N/A</v>
      </c>
      <c r="AJ47" s="271" t="e">
        <f t="shared" si="6"/>
        <v>#N/A</v>
      </c>
      <c r="AK47" s="272" t="e">
        <f>IF(AJ47&lt;=1,"Insignificante",HLOOKUP(AJ47,[71]Listas!$F$3:$J$4,2,0))</f>
        <v>#N/A</v>
      </c>
      <c r="AL47" s="273" t="e">
        <f t="shared" si="7"/>
        <v>#N/A</v>
      </c>
      <c r="AM47" s="270" t="e">
        <f>INDEX([71]Listas!$F$6:$J$10,MATCH(AI47,[71]Listas!$D$6:$D$10,0),MATCH(AK47,[71]Listas!$F$4:$J$4,0))</f>
        <v>#N/A</v>
      </c>
      <c r="AN47" s="259"/>
      <c r="AO47" s="259"/>
      <c r="AP47" s="610"/>
      <c r="AQ47" s="259"/>
      <c r="AR47" s="259" t="s">
        <v>2343</v>
      </c>
      <c r="AS47" s="608"/>
      <c r="AT47" s="259"/>
      <c r="AU47" s="259"/>
      <c r="AV47" s="261"/>
      <c r="AW47" s="261"/>
      <c r="AX47" s="608"/>
      <c r="AY47" s="262"/>
    </row>
    <row r="48" spans="1:51" s="260" customFormat="1" ht="103.5" hidden="1" customHeight="1">
      <c r="A48" s="608"/>
      <c r="B48" s="266"/>
      <c r="C48" s="1399"/>
      <c r="D48" s="1408"/>
      <c r="E48" s="1400"/>
      <c r="F48" s="267"/>
      <c r="G48" s="1399"/>
      <c r="H48" s="1408"/>
      <c r="I48" s="1400"/>
      <c r="J48" s="1380"/>
      <c r="K48" s="1380"/>
      <c r="L48" s="1380"/>
      <c r="M48" s="608"/>
      <c r="N48" s="608"/>
      <c r="O48" s="608"/>
      <c r="P48" s="608"/>
      <c r="Q48" s="266"/>
      <c r="R48" s="266"/>
      <c r="S48" s="268"/>
      <c r="T48" s="269" t="e">
        <f>VLOOKUP(Q48,[71]Listas!$D$6:$E$10,2,0)</f>
        <v>#N/A</v>
      </c>
      <c r="U48" s="269" t="e">
        <f>HLOOKUP(R48,[71]Listas!$F$4:$J$5,2,0)</f>
        <v>#N/A</v>
      </c>
      <c r="V48" s="270" t="e">
        <f>INDEX([71]Listas!$F$6:$J$10,MATCH(Q48,[71]Listas!$D$6:$D$10,0),MATCH(R48,[71]Listas!$F$4:$J$4,0))</f>
        <v>#N/A</v>
      </c>
      <c r="W48" s="268"/>
      <c r="X48" s="1399"/>
      <c r="Y48" s="1408"/>
      <c r="Z48" s="1400"/>
      <c r="AA48" s="1063"/>
      <c r="AB48" s="267"/>
      <c r="AC48" s="259"/>
      <c r="AD48" s="608"/>
      <c r="AE48" s="267"/>
      <c r="AF48" s="268"/>
      <c r="AG48" s="269">
        <f t="shared" si="4"/>
        <v>0</v>
      </c>
      <c r="AH48" s="271" t="e">
        <f t="shared" si="5"/>
        <v>#N/A</v>
      </c>
      <c r="AI48" s="272" t="e">
        <f>IF(AH48&lt;=1,"Remota",VLOOKUP(AH48,[71]Listas!$C$6:$D$10,2,0))</f>
        <v>#N/A</v>
      </c>
      <c r="AJ48" s="271" t="e">
        <f t="shared" si="6"/>
        <v>#N/A</v>
      </c>
      <c r="AK48" s="272" t="e">
        <f>IF(AJ48&lt;=1,"Insignificante",HLOOKUP(AJ48,[71]Listas!$F$3:$J$4,2,0))</f>
        <v>#N/A</v>
      </c>
      <c r="AL48" s="273" t="e">
        <f t="shared" si="7"/>
        <v>#N/A</v>
      </c>
      <c r="AM48" s="270" t="e">
        <f>INDEX([71]Listas!$F$6:$J$10,MATCH(AI48,[71]Listas!$D$6:$D$10,0),MATCH(AK48,[71]Listas!$F$4:$J$4,0))</f>
        <v>#N/A</v>
      </c>
      <c r="AN48" s="259"/>
      <c r="AO48" s="259"/>
      <c r="AP48" s="610"/>
      <c r="AQ48" s="259"/>
      <c r="AR48" s="259" t="s">
        <v>2343</v>
      </c>
      <c r="AS48" s="608"/>
      <c r="AT48" s="259"/>
      <c r="AU48" s="259"/>
      <c r="AV48" s="261"/>
      <c r="AW48" s="261"/>
      <c r="AX48" s="608"/>
      <c r="AY48" s="262"/>
    </row>
    <row r="49" spans="1:51" s="260" customFormat="1" ht="103.5" hidden="1" customHeight="1">
      <c r="A49" s="608"/>
      <c r="B49" s="266"/>
      <c r="C49" s="1399"/>
      <c r="D49" s="1408"/>
      <c r="E49" s="1400"/>
      <c r="F49" s="267"/>
      <c r="G49" s="1399"/>
      <c r="H49" s="1408"/>
      <c r="I49" s="1400"/>
      <c r="J49" s="1380"/>
      <c r="K49" s="1380"/>
      <c r="L49" s="1380"/>
      <c r="M49" s="608"/>
      <c r="N49" s="608"/>
      <c r="O49" s="608"/>
      <c r="P49" s="608"/>
      <c r="Q49" s="266"/>
      <c r="R49" s="266"/>
      <c r="S49" s="268"/>
      <c r="T49" s="269" t="e">
        <f>VLOOKUP(Q49,[71]Listas!$D$6:$E$10,2,0)</f>
        <v>#N/A</v>
      </c>
      <c r="U49" s="269" t="e">
        <f>HLOOKUP(R49,[71]Listas!$F$4:$J$5,2,0)</f>
        <v>#N/A</v>
      </c>
      <c r="V49" s="270" t="e">
        <f>INDEX([71]Listas!$F$6:$J$10,MATCH(Q49,[71]Listas!$D$6:$D$10,0),MATCH(R49,[71]Listas!$F$4:$J$4,0))</f>
        <v>#N/A</v>
      </c>
      <c r="W49" s="268"/>
      <c r="X49" s="1399"/>
      <c r="Y49" s="1408"/>
      <c r="Z49" s="1400"/>
      <c r="AA49" s="1063"/>
      <c r="AB49" s="267"/>
      <c r="AC49" s="259"/>
      <c r="AD49" s="608"/>
      <c r="AE49" s="267"/>
      <c r="AF49" s="268"/>
      <c r="AG49" s="269">
        <f t="shared" si="4"/>
        <v>0</v>
      </c>
      <c r="AH49" s="271" t="e">
        <f t="shared" si="5"/>
        <v>#N/A</v>
      </c>
      <c r="AI49" s="272" t="e">
        <f>IF(AH49&lt;=1,"Remota",VLOOKUP(AH49,[71]Listas!$C$6:$D$10,2,0))</f>
        <v>#N/A</v>
      </c>
      <c r="AJ49" s="271" t="e">
        <f t="shared" si="6"/>
        <v>#N/A</v>
      </c>
      <c r="AK49" s="272" t="e">
        <f>IF(AJ49&lt;=1,"Insignificante",HLOOKUP(AJ49,[71]Listas!$F$3:$J$4,2,0))</f>
        <v>#N/A</v>
      </c>
      <c r="AL49" s="273" t="e">
        <f t="shared" si="7"/>
        <v>#N/A</v>
      </c>
      <c r="AM49" s="270" t="e">
        <f>INDEX([71]Listas!$F$6:$J$10,MATCH(AI49,[71]Listas!$D$6:$D$10,0),MATCH(AK49,[71]Listas!$F$4:$J$4,0))</f>
        <v>#N/A</v>
      </c>
      <c r="AN49" s="259"/>
      <c r="AO49" s="259"/>
      <c r="AP49" s="610"/>
      <c r="AQ49" s="259"/>
      <c r="AR49" s="259" t="s">
        <v>2343</v>
      </c>
      <c r="AS49" s="608"/>
      <c r="AT49" s="259"/>
      <c r="AU49" s="259"/>
      <c r="AV49" s="261"/>
      <c r="AW49" s="261"/>
      <c r="AX49" s="608"/>
      <c r="AY49" s="262"/>
    </row>
    <row r="50" spans="1:51" s="260" customFormat="1" ht="103.5" hidden="1" customHeight="1">
      <c r="A50" s="608"/>
      <c r="B50" s="266"/>
      <c r="C50" s="1399"/>
      <c r="D50" s="1408"/>
      <c r="E50" s="1400"/>
      <c r="F50" s="267"/>
      <c r="G50" s="1399"/>
      <c r="H50" s="1408"/>
      <c r="I50" s="1400"/>
      <c r="J50" s="1380"/>
      <c r="K50" s="1380"/>
      <c r="L50" s="1380"/>
      <c r="M50" s="608"/>
      <c r="N50" s="608"/>
      <c r="O50" s="608"/>
      <c r="P50" s="608"/>
      <c r="Q50" s="266"/>
      <c r="R50" s="266"/>
      <c r="S50" s="268"/>
      <c r="T50" s="269" t="e">
        <f>VLOOKUP(Q50,[71]Listas!$D$6:$E$10,2,0)</f>
        <v>#N/A</v>
      </c>
      <c r="U50" s="269" t="e">
        <f>HLOOKUP(R50,[71]Listas!$F$4:$J$5,2,0)</f>
        <v>#N/A</v>
      </c>
      <c r="V50" s="270" t="e">
        <f>INDEX([71]Listas!$F$6:$J$10,MATCH(Q50,[71]Listas!$D$6:$D$10,0),MATCH(R50,[71]Listas!$F$4:$J$4,0))</f>
        <v>#N/A</v>
      </c>
      <c r="W50" s="268"/>
      <c r="X50" s="1399"/>
      <c r="Y50" s="1408"/>
      <c r="Z50" s="1400"/>
      <c r="AA50" s="1063"/>
      <c r="AB50" s="267"/>
      <c r="AC50" s="259"/>
      <c r="AD50" s="608"/>
      <c r="AE50" s="267"/>
      <c r="AF50" s="268"/>
      <c r="AG50" s="269">
        <f t="shared" si="4"/>
        <v>0</v>
      </c>
      <c r="AH50" s="271" t="e">
        <f t="shared" si="5"/>
        <v>#N/A</v>
      </c>
      <c r="AI50" s="272" t="e">
        <f>IF(AH50&lt;=1,"Remota",VLOOKUP(AH50,[71]Listas!$C$6:$D$10,2,0))</f>
        <v>#N/A</v>
      </c>
      <c r="AJ50" s="271" t="e">
        <f t="shared" si="6"/>
        <v>#N/A</v>
      </c>
      <c r="AK50" s="272" t="e">
        <f>IF(AJ50&lt;=1,"Insignificante",HLOOKUP(AJ50,[71]Listas!$F$3:$J$4,2,0))</f>
        <v>#N/A</v>
      </c>
      <c r="AL50" s="273" t="e">
        <f t="shared" si="7"/>
        <v>#N/A</v>
      </c>
      <c r="AM50" s="270" t="e">
        <f>INDEX([71]Listas!$F$6:$J$10,MATCH(AI50,[71]Listas!$D$6:$D$10,0),MATCH(AK50,[71]Listas!$F$4:$J$4,0))</f>
        <v>#N/A</v>
      </c>
      <c r="AN50" s="259"/>
      <c r="AO50" s="259"/>
      <c r="AP50" s="610"/>
      <c r="AQ50" s="259"/>
      <c r="AR50" s="259" t="s">
        <v>2343</v>
      </c>
      <c r="AS50" s="608"/>
      <c r="AT50" s="259"/>
      <c r="AU50" s="259"/>
      <c r="AV50" s="261"/>
      <c r="AW50" s="261"/>
      <c r="AX50" s="608"/>
      <c r="AY50" s="262"/>
    </row>
    <row r="51" spans="1:51" s="260" customFormat="1" ht="103.5" hidden="1" customHeight="1">
      <c r="A51" s="608"/>
      <c r="B51" s="266"/>
      <c r="C51" s="1399"/>
      <c r="D51" s="1408"/>
      <c r="E51" s="1400"/>
      <c r="F51" s="267"/>
      <c r="G51" s="1399"/>
      <c r="H51" s="1408"/>
      <c r="I51" s="1400"/>
      <c r="J51" s="1380"/>
      <c r="K51" s="1380"/>
      <c r="L51" s="1380"/>
      <c r="M51" s="608"/>
      <c r="N51" s="608"/>
      <c r="O51" s="608"/>
      <c r="P51" s="608"/>
      <c r="Q51" s="266"/>
      <c r="R51" s="266"/>
      <c r="S51" s="268"/>
      <c r="T51" s="269" t="e">
        <f>VLOOKUP(Q51,[71]Listas!$D$6:$E$10,2,0)</f>
        <v>#N/A</v>
      </c>
      <c r="U51" s="269" t="e">
        <f>HLOOKUP(R51,[71]Listas!$F$4:$J$5,2,0)</f>
        <v>#N/A</v>
      </c>
      <c r="V51" s="270" t="e">
        <f>INDEX([71]Listas!$F$6:$J$10,MATCH(Q51,[71]Listas!$D$6:$D$10,0),MATCH(R51,[71]Listas!$F$4:$J$4,0))</f>
        <v>#N/A</v>
      </c>
      <c r="W51" s="268"/>
      <c r="X51" s="1399"/>
      <c r="Y51" s="1408"/>
      <c r="Z51" s="1400"/>
      <c r="AA51" s="1063"/>
      <c r="AB51" s="267"/>
      <c r="AC51" s="259"/>
      <c r="AD51" s="608"/>
      <c r="AE51" s="267"/>
      <c r="AF51" s="268"/>
      <c r="AG51" s="269">
        <f t="shared" si="4"/>
        <v>0</v>
      </c>
      <c r="AH51" s="271" t="e">
        <f t="shared" si="5"/>
        <v>#N/A</v>
      </c>
      <c r="AI51" s="272" t="e">
        <f>IF(AH51&lt;=1,"Remota",VLOOKUP(AH51,[71]Listas!$C$6:$D$10,2,0))</f>
        <v>#N/A</v>
      </c>
      <c r="AJ51" s="271" t="e">
        <f t="shared" si="6"/>
        <v>#N/A</v>
      </c>
      <c r="AK51" s="272" t="e">
        <f>IF(AJ51&lt;=1,"Insignificante",HLOOKUP(AJ51,[71]Listas!$F$3:$J$4,2,0))</f>
        <v>#N/A</v>
      </c>
      <c r="AL51" s="273" t="e">
        <f t="shared" si="7"/>
        <v>#N/A</v>
      </c>
      <c r="AM51" s="270" t="e">
        <f>INDEX([71]Listas!$F$6:$J$10,MATCH(AI51,[71]Listas!$D$6:$D$10,0),MATCH(AK51,[71]Listas!$F$4:$J$4,0))</f>
        <v>#N/A</v>
      </c>
      <c r="AN51" s="259"/>
      <c r="AO51" s="259"/>
      <c r="AP51" s="610"/>
      <c r="AQ51" s="259"/>
      <c r="AR51" s="259" t="s">
        <v>2343</v>
      </c>
      <c r="AS51" s="608"/>
      <c r="AT51" s="259"/>
      <c r="AU51" s="259"/>
      <c r="AV51" s="261"/>
      <c r="AW51" s="261"/>
      <c r="AX51" s="608"/>
      <c r="AY51" s="262"/>
    </row>
    <row r="52" spans="1:51" s="260" customFormat="1" ht="103.5" hidden="1" customHeight="1">
      <c r="A52" s="608"/>
      <c r="B52" s="266"/>
      <c r="C52" s="1399"/>
      <c r="D52" s="1408"/>
      <c r="E52" s="1400"/>
      <c r="F52" s="267"/>
      <c r="G52" s="1399"/>
      <c r="H52" s="1408"/>
      <c r="I52" s="1400"/>
      <c r="J52" s="1380"/>
      <c r="K52" s="1380"/>
      <c r="L52" s="1380"/>
      <c r="M52" s="608"/>
      <c r="N52" s="608"/>
      <c r="O52" s="608"/>
      <c r="P52" s="608"/>
      <c r="Q52" s="266"/>
      <c r="R52" s="266"/>
      <c r="S52" s="268"/>
      <c r="T52" s="269" t="e">
        <f>VLOOKUP(Q52,[71]Listas!$D$6:$E$10,2,0)</f>
        <v>#N/A</v>
      </c>
      <c r="U52" s="269" t="e">
        <f>HLOOKUP(R52,[71]Listas!$F$4:$J$5,2,0)</f>
        <v>#N/A</v>
      </c>
      <c r="V52" s="270" t="e">
        <f>INDEX([71]Listas!$F$6:$J$10,MATCH(Q52,[71]Listas!$D$6:$D$10,0),MATCH(R52,[71]Listas!$F$4:$J$4,0))</f>
        <v>#N/A</v>
      </c>
      <c r="W52" s="268"/>
      <c r="X52" s="1399"/>
      <c r="Y52" s="1408"/>
      <c r="Z52" s="1400"/>
      <c r="AA52" s="1063"/>
      <c r="AB52" s="267"/>
      <c r="AC52" s="259"/>
      <c r="AD52" s="608"/>
      <c r="AE52" s="267"/>
      <c r="AF52" s="268"/>
      <c r="AG52" s="269">
        <f t="shared" si="4"/>
        <v>0</v>
      </c>
      <c r="AH52" s="271" t="e">
        <f t="shared" si="5"/>
        <v>#N/A</v>
      </c>
      <c r="AI52" s="272" t="e">
        <f>IF(AH52&lt;=1,"Remota",VLOOKUP(AH52,[71]Listas!$C$6:$D$10,2,0))</f>
        <v>#N/A</v>
      </c>
      <c r="AJ52" s="271" t="e">
        <f t="shared" si="6"/>
        <v>#N/A</v>
      </c>
      <c r="AK52" s="272" t="e">
        <f>IF(AJ52&lt;=1,"Insignificante",HLOOKUP(AJ52,[71]Listas!$F$3:$J$4,2,0))</f>
        <v>#N/A</v>
      </c>
      <c r="AL52" s="273" t="e">
        <f t="shared" si="7"/>
        <v>#N/A</v>
      </c>
      <c r="AM52" s="270" t="e">
        <f>INDEX([71]Listas!$F$6:$J$10,MATCH(AI52,[71]Listas!$D$6:$D$10,0),MATCH(AK52,[71]Listas!$F$4:$J$4,0))</f>
        <v>#N/A</v>
      </c>
      <c r="AN52" s="259"/>
      <c r="AO52" s="259"/>
      <c r="AP52" s="610"/>
      <c r="AQ52" s="259"/>
      <c r="AR52" s="259" t="s">
        <v>2343</v>
      </c>
      <c r="AS52" s="608"/>
      <c r="AT52" s="259"/>
      <c r="AU52" s="259"/>
      <c r="AV52" s="261"/>
      <c r="AW52" s="261"/>
      <c r="AX52" s="608"/>
      <c r="AY52" s="262"/>
    </row>
    <row r="53" spans="1:51" s="260" customFormat="1" ht="103.5" hidden="1" customHeight="1">
      <c r="A53" s="608"/>
      <c r="B53" s="266"/>
      <c r="C53" s="1399"/>
      <c r="D53" s="1408"/>
      <c r="E53" s="1400"/>
      <c r="F53" s="267"/>
      <c r="G53" s="1399"/>
      <c r="H53" s="1408"/>
      <c r="I53" s="1400"/>
      <c r="J53" s="1380"/>
      <c r="K53" s="1380"/>
      <c r="L53" s="1380"/>
      <c r="M53" s="608"/>
      <c r="N53" s="608"/>
      <c r="O53" s="608"/>
      <c r="P53" s="608"/>
      <c r="Q53" s="266"/>
      <c r="R53" s="266"/>
      <c r="S53" s="268"/>
      <c r="T53" s="269" t="e">
        <f>VLOOKUP(Q53,[71]Listas!$D$6:$E$10,2,0)</f>
        <v>#N/A</v>
      </c>
      <c r="U53" s="269" t="e">
        <f>HLOOKUP(R53,[71]Listas!$F$4:$J$5,2,0)</f>
        <v>#N/A</v>
      </c>
      <c r="V53" s="270" t="e">
        <f>INDEX([71]Listas!$F$6:$J$10,MATCH(Q53,[71]Listas!$D$6:$D$10,0),MATCH(R53,[71]Listas!$F$4:$J$4,0))</f>
        <v>#N/A</v>
      </c>
      <c r="W53" s="268"/>
      <c r="X53" s="1399"/>
      <c r="Y53" s="1408"/>
      <c r="Z53" s="1400"/>
      <c r="AA53" s="1063"/>
      <c r="AB53" s="267"/>
      <c r="AC53" s="259"/>
      <c r="AD53" s="608"/>
      <c r="AE53" s="267"/>
      <c r="AF53" s="268"/>
      <c r="AG53" s="269">
        <f t="shared" si="4"/>
        <v>0</v>
      </c>
      <c r="AH53" s="271" t="e">
        <f t="shared" si="5"/>
        <v>#N/A</v>
      </c>
      <c r="AI53" s="272" t="e">
        <f>IF(AH53&lt;=1,"Remota",VLOOKUP(AH53,[71]Listas!$C$6:$D$10,2,0))</f>
        <v>#N/A</v>
      </c>
      <c r="AJ53" s="271" t="e">
        <f t="shared" si="6"/>
        <v>#N/A</v>
      </c>
      <c r="AK53" s="272" t="e">
        <f>IF(AJ53&lt;=1,"Insignificante",HLOOKUP(AJ53,[71]Listas!$F$3:$J$4,2,0))</f>
        <v>#N/A</v>
      </c>
      <c r="AL53" s="273" t="e">
        <f t="shared" si="7"/>
        <v>#N/A</v>
      </c>
      <c r="AM53" s="270" t="e">
        <f>INDEX([71]Listas!$F$6:$J$10,MATCH(AI53,[71]Listas!$D$6:$D$10,0),MATCH(AK53,[71]Listas!$F$4:$J$4,0))</f>
        <v>#N/A</v>
      </c>
      <c r="AN53" s="259"/>
      <c r="AO53" s="259"/>
      <c r="AP53" s="610"/>
      <c r="AQ53" s="259"/>
      <c r="AR53" s="259" t="s">
        <v>2343</v>
      </c>
      <c r="AS53" s="608"/>
      <c r="AT53" s="259"/>
      <c r="AU53" s="259"/>
      <c r="AV53" s="261"/>
      <c r="AW53" s="261"/>
      <c r="AX53" s="608"/>
      <c r="AY53" s="262"/>
    </row>
    <row r="54" spans="1:51" s="260" customFormat="1" ht="103.5" hidden="1" customHeight="1">
      <c r="A54" s="608"/>
      <c r="B54" s="266"/>
      <c r="C54" s="1399"/>
      <c r="D54" s="1408"/>
      <c r="E54" s="1400"/>
      <c r="F54" s="267"/>
      <c r="G54" s="1399"/>
      <c r="H54" s="1408"/>
      <c r="I54" s="1400"/>
      <c r="J54" s="1380"/>
      <c r="K54" s="1380"/>
      <c r="L54" s="1380"/>
      <c r="M54" s="608"/>
      <c r="N54" s="608"/>
      <c r="O54" s="608"/>
      <c r="P54" s="608"/>
      <c r="Q54" s="266"/>
      <c r="R54" s="266"/>
      <c r="S54" s="268"/>
      <c r="T54" s="269" t="e">
        <f>VLOOKUP(Q54,[71]Listas!$D$6:$E$10,2,0)</f>
        <v>#N/A</v>
      </c>
      <c r="U54" s="269" t="e">
        <f>HLOOKUP(R54,[71]Listas!$F$4:$J$5,2,0)</f>
        <v>#N/A</v>
      </c>
      <c r="V54" s="270" t="e">
        <f>INDEX([71]Listas!$F$6:$J$10,MATCH(Q54,[71]Listas!$D$6:$D$10,0),MATCH(R54,[71]Listas!$F$4:$J$4,0))</f>
        <v>#N/A</v>
      </c>
      <c r="W54" s="268"/>
      <c r="X54" s="1399"/>
      <c r="Y54" s="1408"/>
      <c r="Z54" s="1400"/>
      <c r="AA54" s="1063"/>
      <c r="AB54" s="267"/>
      <c r="AC54" s="259"/>
      <c r="AD54" s="608"/>
      <c r="AE54" s="267"/>
      <c r="AF54" s="268"/>
      <c r="AG54" s="269">
        <f t="shared" si="4"/>
        <v>0</v>
      </c>
      <c r="AH54" s="271" t="e">
        <f t="shared" si="5"/>
        <v>#N/A</v>
      </c>
      <c r="AI54" s="272" t="e">
        <f>IF(AH54&lt;=1,"Remota",VLOOKUP(AH54,[71]Listas!$C$6:$D$10,2,0))</f>
        <v>#N/A</v>
      </c>
      <c r="AJ54" s="271" t="e">
        <f t="shared" si="6"/>
        <v>#N/A</v>
      </c>
      <c r="AK54" s="272" t="e">
        <f>IF(AJ54&lt;=1,"Insignificante",HLOOKUP(AJ54,[71]Listas!$F$3:$J$4,2,0))</f>
        <v>#N/A</v>
      </c>
      <c r="AL54" s="273" t="e">
        <f t="shared" si="7"/>
        <v>#N/A</v>
      </c>
      <c r="AM54" s="270" t="e">
        <f>INDEX([71]Listas!$F$6:$J$10,MATCH(AI54,[71]Listas!$D$6:$D$10,0),MATCH(AK54,[71]Listas!$F$4:$J$4,0))</f>
        <v>#N/A</v>
      </c>
      <c r="AN54" s="259"/>
      <c r="AO54" s="259"/>
      <c r="AP54" s="610"/>
      <c r="AQ54" s="259"/>
      <c r="AR54" s="259" t="s">
        <v>2343</v>
      </c>
      <c r="AS54" s="608"/>
      <c r="AT54" s="259"/>
      <c r="AU54" s="259"/>
      <c r="AV54" s="261"/>
      <c r="AW54" s="261"/>
      <c r="AX54" s="608"/>
      <c r="AY54" s="262"/>
    </row>
    <row r="55" spans="1:51" s="260" customFormat="1" ht="103.5" hidden="1" customHeight="1">
      <c r="A55" s="608"/>
      <c r="B55" s="266"/>
      <c r="C55" s="1399"/>
      <c r="D55" s="1408"/>
      <c r="E55" s="1400"/>
      <c r="F55" s="267"/>
      <c r="G55" s="1399"/>
      <c r="H55" s="1408"/>
      <c r="I55" s="1400"/>
      <c r="J55" s="1380"/>
      <c r="K55" s="1380"/>
      <c r="L55" s="1380"/>
      <c r="M55" s="608"/>
      <c r="N55" s="608"/>
      <c r="O55" s="608"/>
      <c r="P55" s="608"/>
      <c r="Q55" s="266"/>
      <c r="R55" s="266"/>
      <c r="S55" s="268"/>
      <c r="T55" s="269" t="e">
        <f>VLOOKUP(Q55,[71]Listas!$D$6:$E$10,2,0)</f>
        <v>#N/A</v>
      </c>
      <c r="U55" s="269" t="e">
        <f>HLOOKUP(R55,[71]Listas!$F$4:$J$5,2,0)</f>
        <v>#N/A</v>
      </c>
      <c r="V55" s="270" t="e">
        <f>INDEX([71]Listas!$F$6:$J$10,MATCH(Q55,[71]Listas!$D$6:$D$10,0),MATCH(R55,[71]Listas!$F$4:$J$4,0))</f>
        <v>#N/A</v>
      </c>
      <c r="W55" s="268"/>
      <c r="X55" s="1399"/>
      <c r="Y55" s="1408"/>
      <c r="Z55" s="1400"/>
      <c r="AA55" s="1063"/>
      <c r="AB55" s="267"/>
      <c r="AC55" s="259"/>
      <c r="AD55" s="608"/>
      <c r="AE55" s="267"/>
      <c r="AF55" s="268"/>
      <c r="AG55" s="269">
        <f t="shared" si="4"/>
        <v>0</v>
      </c>
      <c r="AH55" s="271" t="e">
        <f t="shared" si="5"/>
        <v>#N/A</v>
      </c>
      <c r="AI55" s="272" t="e">
        <f>IF(AH55&lt;=1,"Remota",VLOOKUP(AH55,[71]Listas!$C$6:$D$10,2,0))</f>
        <v>#N/A</v>
      </c>
      <c r="AJ55" s="271" t="e">
        <f t="shared" si="6"/>
        <v>#N/A</v>
      </c>
      <c r="AK55" s="272" t="e">
        <f>IF(AJ55&lt;=1,"Insignificante",HLOOKUP(AJ55,[71]Listas!$F$3:$J$4,2,0))</f>
        <v>#N/A</v>
      </c>
      <c r="AL55" s="273" t="e">
        <f t="shared" si="7"/>
        <v>#N/A</v>
      </c>
      <c r="AM55" s="270" t="e">
        <f>INDEX([71]Listas!$F$6:$J$10,MATCH(AI55,[71]Listas!$D$6:$D$10,0),MATCH(AK55,[71]Listas!$F$4:$J$4,0))</f>
        <v>#N/A</v>
      </c>
      <c r="AN55" s="259"/>
      <c r="AO55" s="259"/>
      <c r="AP55" s="610"/>
      <c r="AQ55" s="259"/>
      <c r="AR55" s="259" t="s">
        <v>2343</v>
      </c>
      <c r="AS55" s="608"/>
      <c r="AT55" s="259"/>
      <c r="AU55" s="259"/>
      <c r="AV55" s="261"/>
      <c r="AW55" s="261"/>
      <c r="AX55" s="608"/>
      <c r="AY55" s="262"/>
    </row>
    <row r="56" spans="1:51" s="260" customFormat="1" ht="103.5" hidden="1" customHeight="1">
      <c r="A56" s="608"/>
      <c r="B56" s="266"/>
      <c r="C56" s="1399"/>
      <c r="D56" s="1408"/>
      <c r="E56" s="1400"/>
      <c r="F56" s="267"/>
      <c r="G56" s="1399"/>
      <c r="H56" s="1408"/>
      <c r="I56" s="1400"/>
      <c r="J56" s="1380"/>
      <c r="K56" s="1380"/>
      <c r="L56" s="1380"/>
      <c r="M56" s="608"/>
      <c r="N56" s="608"/>
      <c r="O56" s="608"/>
      <c r="P56" s="608"/>
      <c r="Q56" s="266"/>
      <c r="R56" s="266"/>
      <c r="S56" s="268"/>
      <c r="T56" s="269" t="e">
        <f>VLOOKUP(Q56,[71]Listas!$D$6:$E$10,2,0)</f>
        <v>#N/A</v>
      </c>
      <c r="U56" s="269" t="e">
        <f>HLOOKUP(R56,[71]Listas!$F$4:$J$5,2,0)</f>
        <v>#N/A</v>
      </c>
      <c r="V56" s="270" t="e">
        <f>INDEX([71]Listas!$F$6:$J$10,MATCH(Q56,[71]Listas!$D$6:$D$10,0),MATCH(R56,[71]Listas!$F$4:$J$4,0))</f>
        <v>#N/A</v>
      </c>
      <c r="W56" s="268"/>
      <c r="X56" s="1399"/>
      <c r="Y56" s="1408"/>
      <c r="Z56" s="1400"/>
      <c r="AA56" s="1063"/>
      <c r="AB56" s="267"/>
      <c r="AC56" s="259"/>
      <c r="AD56" s="608"/>
      <c r="AE56" s="267"/>
      <c r="AF56" s="268"/>
      <c r="AG56" s="269">
        <f t="shared" si="4"/>
        <v>0</v>
      </c>
      <c r="AH56" s="271" t="e">
        <f t="shared" si="5"/>
        <v>#N/A</v>
      </c>
      <c r="AI56" s="272" t="e">
        <f>IF(AH56&lt;=1,"Remota",VLOOKUP(AH56,[71]Listas!$C$6:$D$10,2,0))</f>
        <v>#N/A</v>
      </c>
      <c r="AJ56" s="271" t="e">
        <f t="shared" si="6"/>
        <v>#N/A</v>
      </c>
      <c r="AK56" s="272" t="e">
        <f>IF(AJ56&lt;=1,"Insignificante",HLOOKUP(AJ56,[71]Listas!$F$3:$J$4,2,0))</f>
        <v>#N/A</v>
      </c>
      <c r="AL56" s="273" t="e">
        <f t="shared" si="7"/>
        <v>#N/A</v>
      </c>
      <c r="AM56" s="270" t="e">
        <f>INDEX([71]Listas!$F$6:$J$10,MATCH(AI56,[71]Listas!$D$6:$D$10,0),MATCH(AK56,[71]Listas!$F$4:$J$4,0))</f>
        <v>#N/A</v>
      </c>
      <c r="AN56" s="259"/>
      <c r="AO56" s="259"/>
      <c r="AP56" s="610"/>
      <c r="AQ56" s="259"/>
      <c r="AR56" s="259" t="s">
        <v>2343</v>
      </c>
      <c r="AS56" s="608"/>
      <c r="AT56" s="259"/>
      <c r="AU56" s="259"/>
      <c r="AV56" s="261"/>
      <c r="AW56" s="261"/>
      <c r="AX56" s="608"/>
      <c r="AY56" s="262"/>
    </row>
    <row r="57" spans="1:51" s="260" customFormat="1" ht="103.5" hidden="1" customHeight="1">
      <c r="A57" s="608"/>
      <c r="B57" s="266"/>
      <c r="C57" s="1399"/>
      <c r="D57" s="1408"/>
      <c r="E57" s="1400"/>
      <c r="F57" s="267"/>
      <c r="G57" s="1399"/>
      <c r="H57" s="1408"/>
      <c r="I57" s="1400"/>
      <c r="J57" s="1380"/>
      <c r="K57" s="1380"/>
      <c r="L57" s="1380"/>
      <c r="M57" s="608"/>
      <c r="N57" s="608"/>
      <c r="O57" s="608"/>
      <c r="P57" s="608"/>
      <c r="Q57" s="266"/>
      <c r="R57" s="266"/>
      <c r="S57" s="268"/>
      <c r="T57" s="269" t="e">
        <f>VLOOKUP(Q57,[71]Listas!$D$6:$E$10,2,0)</f>
        <v>#N/A</v>
      </c>
      <c r="U57" s="269" t="e">
        <f>HLOOKUP(R57,[71]Listas!$F$4:$J$5,2,0)</f>
        <v>#N/A</v>
      </c>
      <c r="V57" s="270" t="e">
        <f>INDEX([71]Listas!$F$6:$J$10,MATCH(Q57,[71]Listas!$D$6:$D$10,0),MATCH(R57,[71]Listas!$F$4:$J$4,0))</f>
        <v>#N/A</v>
      </c>
      <c r="W57" s="268"/>
      <c r="X57" s="1399"/>
      <c r="Y57" s="1408"/>
      <c r="Z57" s="1400"/>
      <c r="AA57" s="1063"/>
      <c r="AB57" s="267"/>
      <c r="AC57" s="259"/>
      <c r="AD57" s="608"/>
      <c r="AE57" s="267"/>
      <c r="AF57" s="268"/>
      <c r="AG57" s="269">
        <f t="shared" si="4"/>
        <v>0</v>
      </c>
      <c r="AH57" s="271" t="e">
        <f t="shared" si="5"/>
        <v>#N/A</v>
      </c>
      <c r="AI57" s="272" t="e">
        <f>IF(AH57&lt;=1,"Remota",VLOOKUP(AH57,[71]Listas!$C$6:$D$10,2,0))</f>
        <v>#N/A</v>
      </c>
      <c r="AJ57" s="271" t="e">
        <f t="shared" si="6"/>
        <v>#N/A</v>
      </c>
      <c r="AK57" s="272" t="e">
        <f>IF(AJ57&lt;=1,"Insignificante",HLOOKUP(AJ57,[71]Listas!$F$3:$J$4,2,0))</f>
        <v>#N/A</v>
      </c>
      <c r="AL57" s="273" t="e">
        <f t="shared" si="7"/>
        <v>#N/A</v>
      </c>
      <c r="AM57" s="270" t="e">
        <f>INDEX([71]Listas!$F$6:$J$10,MATCH(AI57,[71]Listas!$D$6:$D$10,0),MATCH(AK57,[71]Listas!$F$4:$J$4,0))</f>
        <v>#N/A</v>
      </c>
      <c r="AN57" s="259"/>
      <c r="AO57" s="259"/>
      <c r="AP57" s="610"/>
      <c r="AQ57" s="259"/>
      <c r="AR57" s="259" t="s">
        <v>2343</v>
      </c>
      <c r="AS57" s="608"/>
      <c r="AT57" s="259"/>
      <c r="AU57" s="259"/>
      <c r="AV57" s="261"/>
      <c r="AW57" s="261"/>
      <c r="AX57" s="608"/>
      <c r="AY57" s="262"/>
    </row>
    <row r="58" spans="1:51" s="260" customFormat="1" ht="103.5" hidden="1" customHeight="1">
      <c r="A58" s="608"/>
      <c r="B58" s="266"/>
      <c r="C58" s="1399"/>
      <c r="D58" s="1408"/>
      <c r="E58" s="1400"/>
      <c r="F58" s="267"/>
      <c r="G58" s="1399"/>
      <c r="H58" s="1408"/>
      <c r="I58" s="1400"/>
      <c r="J58" s="1380"/>
      <c r="K58" s="1380"/>
      <c r="L58" s="1380"/>
      <c r="M58" s="608"/>
      <c r="N58" s="608"/>
      <c r="O58" s="608"/>
      <c r="P58" s="608"/>
      <c r="Q58" s="266"/>
      <c r="R58" s="266"/>
      <c r="S58" s="268"/>
      <c r="T58" s="269" t="e">
        <f>VLOOKUP(Q58,[71]Listas!$D$6:$E$10,2,0)</f>
        <v>#N/A</v>
      </c>
      <c r="U58" s="269" t="e">
        <f>HLOOKUP(R58,[71]Listas!$F$4:$J$5,2,0)</f>
        <v>#N/A</v>
      </c>
      <c r="V58" s="270" t="e">
        <f>INDEX([71]Listas!$F$6:$J$10,MATCH(Q58,[71]Listas!$D$6:$D$10,0),MATCH(R58,[71]Listas!$F$4:$J$4,0))</f>
        <v>#N/A</v>
      </c>
      <c r="W58" s="268"/>
      <c r="X58" s="1399"/>
      <c r="Y58" s="1408"/>
      <c r="Z58" s="1400"/>
      <c r="AA58" s="1063"/>
      <c r="AB58" s="267"/>
      <c r="AC58" s="259"/>
      <c r="AD58" s="608"/>
      <c r="AE58" s="267"/>
      <c r="AF58" s="268"/>
      <c r="AG58" s="269">
        <f t="shared" si="4"/>
        <v>0</v>
      </c>
      <c r="AH58" s="271" t="e">
        <f t="shared" si="5"/>
        <v>#N/A</v>
      </c>
      <c r="AI58" s="272" t="e">
        <f>IF(AH58&lt;=1,"Remota",VLOOKUP(AH58,[71]Listas!$C$6:$D$10,2,0))</f>
        <v>#N/A</v>
      </c>
      <c r="AJ58" s="271" t="e">
        <f t="shared" si="6"/>
        <v>#N/A</v>
      </c>
      <c r="AK58" s="272" t="e">
        <f>IF(AJ58&lt;=1,"Insignificante",HLOOKUP(AJ58,[71]Listas!$F$3:$J$4,2,0))</f>
        <v>#N/A</v>
      </c>
      <c r="AL58" s="273" t="e">
        <f t="shared" si="7"/>
        <v>#N/A</v>
      </c>
      <c r="AM58" s="270" t="e">
        <f>INDEX([71]Listas!$F$6:$J$10,MATCH(AI58,[71]Listas!$D$6:$D$10,0),MATCH(AK58,[71]Listas!$F$4:$J$4,0))</f>
        <v>#N/A</v>
      </c>
      <c r="AN58" s="259"/>
      <c r="AO58" s="259"/>
      <c r="AP58" s="610"/>
      <c r="AQ58" s="259"/>
      <c r="AR58" s="259" t="s">
        <v>2343</v>
      </c>
      <c r="AS58" s="608"/>
      <c r="AT58" s="259"/>
      <c r="AU58" s="259"/>
      <c r="AV58" s="261"/>
      <c r="AW58" s="261"/>
      <c r="AX58" s="608"/>
      <c r="AY58" s="262"/>
    </row>
    <row r="59" spans="1:51" s="260" customFormat="1" ht="103.5" hidden="1" customHeight="1">
      <c r="A59" s="608"/>
      <c r="B59" s="266"/>
      <c r="C59" s="1399"/>
      <c r="D59" s="1408"/>
      <c r="E59" s="1400"/>
      <c r="F59" s="267"/>
      <c r="G59" s="1399"/>
      <c r="H59" s="1408"/>
      <c r="I59" s="1400"/>
      <c r="J59" s="1380"/>
      <c r="K59" s="1380"/>
      <c r="L59" s="1380"/>
      <c r="M59" s="608"/>
      <c r="N59" s="608"/>
      <c r="O59" s="608"/>
      <c r="P59" s="608"/>
      <c r="Q59" s="266"/>
      <c r="R59" s="266"/>
      <c r="S59" s="268"/>
      <c r="T59" s="269" t="e">
        <f>VLOOKUP(Q59,[71]Listas!$D$6:$E$10,2,0)</f>
        <v>#N/A</v>
      </c>
      <c r="U59" s="269" t="e">
        <f>HLOOKUP(R59,[71]Listas!$F$4:$J$5,2,0)</f>
        <v>#N/A</v>
      </c>
      <c r="V59" s="270" t="e">
        <f>INDEX([71]Listas!$F$6:$J$10,MATCH(Q59,[71]Listas!$D$6:$D$10,0),MATCH(R59,[71]Listas!$F$4:$J$4,0))</f>
        <v>#N/A</v>
      </c>
      <c r="W59" s="268"/>
      <c r="X59" s="1399"/>
      <c r="Y59" s="1408"/>
      <c r="Z59" s="1400"/>
      <c r="AA59" s="1063"/>
      <c r="AB59" s="267"/>
      <c r="AC59" s="259"/>
      <c r="AD59" s="608"/>
      <c r="AE59" s="267"/>
      <c r="AF59" s="268"/>
      <c r="AG59" s="269">
        <f t="shared" si="4"/>
        <v>0</v>
      </c>
      <c r="AH59" s="271" t="e">
        <f t="shared" si="5"/>
        <v>#N/A</v>
      </c>
      <c r="AI59" s="272" t="e">
        <f>IF(AH59&lt;=1,"Remota",VLOOKUP(AH59,[71]Listas!$C$6:$D$10,2,0))</f>
        <v>#N/A</v>
      </c>
      <c r="AJ59" s="271" t="e">
        <f t="shared" si="6"/>
        <v>#N/A</v>
      </c>
      <c r="AK59" s="272" t="e">
        <f>IF(AJ59&lt;=1,"Insignificante",HLOOKUP(AJ59,[71]Listas!$F$3:$J$4,2,0))</f>
        <v>#N/A</v>
      </c>
      <c r="AL59" s="273" t="e">
        <f t="shared" si="7"/>
        <v>#N/A</v>
      </c>
      <c r="AM59" s="270" t="e">
        <f>INDEX([71]Listas!$F$6:$J$10,MATCH(AI59,[71]Listas!$D$6:$D$10,0),MATCH(AK59,[71]Listas!$F$4:$J$4,0))</f>
        <v>#N/A</v>
      </c>
      <c r="AN59" s="259"/>
      <c r="AO59" s="259"/>
      <c r="AP59" s="610"/>
      <c r="AQ59" s="259"/>
      <c r="AR59" s="259" t="s">
        <v>2343</v>
      </c>
      <c r="AS59" s="608"/>
      <c r="AT59" s="259"/>
      <c r="AU59" s="259"/>
      <c r="AV59" s="261"/>
      <c r="AW59" s="261"/>
      <c r="AX59" s="608"/>
      <c r="AY59" s="262"/>
    </row>
    <row r="60" spans="1:51" s="260" customFormat="1" ht="103.5" hidden="1" customHeight="1">
      <c r="A60" s="608"/>
      <c r="B60" s="266"/>
      <c r="C60" s="1399"/>
      <c r="D60" s="1408"/>
      <c r="E60" s="1400"/>
      <c r="F60" s="267"/>
      <c r="G60" s="1399"/>
      <c r="H60" s="1408"/>
      <c r="I60" s="1400"/>
      <c r="J60" s="1380"/>
      <c r="K60" s="1380"/>
      <c r="L60" s="1380"/>
      <c r="M60" s="608"/>
      <c r="N60" s="608"/>
      <c r="O60" s="608"/>
      <c r="P60" s="608"/>
      <c r="Q60" s="266"/>
      <c r="R60" s="266"/>
      <c r="S60" s="268"/>
      <c r="T60" s="269" t="e">
        <f>VLOOKUP(Q60,[71]Listas!$D$6:$E$10,2,0)</f>
        <v>#N/A</v>
      </c>
      <c r="U60" s="269" t="e">
        <f>HLOOKUP(R60,[71]Listas!$F$4:$J$5,2,0)</f>
        <v>#N/A</v>
      </c>
      <c r="V60" s="270" t="e">
        <f>INDEX([71]Listas!$F$6:$J$10,MATCH(Q60,[71]Listas!$D$6:$D$10,0),MATCH(R60,[71]Listas!$F$4:$J$4,0))</f>
        <v>#N/A</v>
      </c>
      <c r="W60" s="268"/>
      <c r="X60" s="1399"/>
      <c r="Y60" s="1408"/>
      <c r="Z60" s="1400"/>
      <c r="AA60" s="1063"/>
      <c r="AB60" s="267"/>
      <c r="AC60" s="259"/>
      <c r="AD60" s="608"/>
      <c r="AE60" s="267"/>
      <c r="AF60" s="268"/>
      <c r="AG60" s="269">
        <f t="shared" si="4"/>
        <v>0</v>
      </c>
      <c r="AH60" s="271" t="e">
        <f t="shared" si="5"/>
        <v>#N/A</v>
      </c>
      <c r="AI60" s="272" t="e">
        <f>IF(AH60&lt;=1,"Remota",VLOOKUP(AH60,[71]Listas!$C$6:$D$10,2,0))</f>
        <v>#N/A</v>
      </c>
      <c r="AJ60" s="271" t="e">
        <f t="shared" si="6"/>
        <v>#N/A</v>
      </c>
      <c r="AK60" s="272" t="e">
        <f>IF(AJ60&lt;=1,"Insignificante",HLOOKUP(AJ60,[71]Listas!$F$3:$J$4,2,0))</f>
        <v>#N/A</v>
      </c>
      <c r="AL60" s="273" t="e">
        <f t="shared" si="7"/>
        <v>#N/A</v>
      </c>
      <c r="AM60" s="270" t="e">
        <f>INDEX([71]Listas!$F$6:$J$10,MATCH(AI60,[71]Listas!$D$6:$D$10,0),MATCH(AK60,[71]Listas!$F$4:$J$4,0))</f>
        <v>#N/A</v>
      </c>
      <c r="AN60" s="259"/>
      <c r="AO60" s="259"/>
      <c r="AP60" s="610"/>
      <c r="AQ60" s="259"/>
      <c r="AR60" s="259" t="s">
        <v>2343</v>
      </c>
      <c r="AS60" s="608"/>
      <c r="AT60" s="259"/>
      <c r="AU60" s="259"/>
      <c r="AV60" s="261"/>
      <c r="AW60" s="261"/>
      <c r="AX60" s="608"/>
      <c r="AY60" s="262"/>
    </row>
    <row r="61" spans="1:51" s="260" customFormat="1" ht="103.5" hidden="1" customHeight="1">
      <c r="A61" s="608"/>
      <c r="B61" s="266"/>
      <c r="C61" s="1399"/>
      <c r="D61" s="1408"/>
      <c r="E61" s="1400"/>
      <c r="F61" s="267"/>
      <c r="G61" s="1399"/>
      <c r="H61" s="1408"/>
      <c r="I61" s="1400"/>
      <c r="J61" s="1380"/>
      <c r="K61" s="1380"/>
      <c r="L61" s="1380"/>
      <c r="M61" s="608"/>
      <c r="N61" s="608"/>
      <c r="O61" s="608"/>
      <c r="P61" s="608"/>
      <c r="Q61" s="266"/>
      <c r="R61" s="266"/>
      <c r="S61" s="268"/>
      <c r="T61" s="269" t="e">
        <f>VLOOKUP(Q61,[71]Listas!$D$6:$E$10,2,0)</f>
        <v>#N/A</v>
      </c>
      <c r="U61" s="269" t="e">
        <f>HLOOKUP(R61,[71]Listas!$F$4:$J$5,2,0)</f>
        <v>#N/A</v>
      </c>
      <c r="V61" s="270" t="e">
        <f>INDEX([71]Listas!$F$6:$J$10,MATCH(Q61,[71]Listas!$D$6:$D$10,0),MATCH(R61,[71]Listas!$F$4:$J$4,0))</f>
        <v>#N/A</v>
      </c>
      <c r="W61" s="268"/>
      <c r="X61" s="1399"/>
      <c r="Y61" s="1408"/>
      <c r="Z61" s="1400"/>
      <c r="AA61" s="1063"/>
      <c r="AB61" s="267"/>
      <c r="AC61" s="259"/>
      <c r="AD61" s="608"/>
      <c r="AE61" s="267"/>
      <c r="AF61" s="268"/>
      <c r="AG61" s="269">
        <f t="shared" si="4"/>
        <v>0</v>
      </c>
      <c r="AH61" s="271" t="e">
        <f t="shared" si="5"/>
        <v>#N/A</v>
      </c>
      <c r="AI61" s="272" t="e">
        <f>IF(AH61&lt;=1,"Remota",VLOOKUP(AH61,[71]Listas!$C$6:$D$10,2,0))</f>
        <v>#N/A</v>
      </c>
      <c r="AJ61" s="271" t="e">
        <f t="shared" si="6"/>
        <v>#N/A</v>
      </c>
      <c r="AK61" s="272" t="e">
        <f>IF(AJ61&lt;=1,"Insignificante",HLOOKUP(AJ61,[71]Listas!$F$3:$J$4,2,0))</f>
        <v>#N/A</v>
      </c>
      <c r="AL61" s="273" t="e">
        <f t="shared" si="7"/>
        <v>#N/A</v>
      </c>
      <c r="AM61" s="270" t="e">
        <f>INDEX([71]Listas!$F$6:$J$10,MATCH(AI61,[71]Listas!$D$6:$D$10,0),MATCH(AK61,[71]Listas!$F$4:$J$4,0))</f>
        <v>#N/A</v>
      </c>
      <c r="AN61" s="259"/>
      <c r="AO61" s="259"/>
      <c r="AP61" s="610"/>
      <c r="AQ61" s="259"/>
      <c r="AR61" s="259" t="s">
        <v>2343</v>
      </c>
      <c r="AS61" s="608"/>
      <c r="AT61" s="259"/>
      <c r="AU61" s="259"/>
      <c r="AV61" s="261"/>
      <c r="AW61" s="261"/>
      <c r="AX61" s="608"/>
      <c r="AY61" s="262"/>
    </row>
    <row r="62" spans="1:51" s="260" customFormat="1" ht="103.5" hidden="1" customHeight="1">
      <c r="A62" s="608"/>
      <c r="B62" s="266"/>
      <c r="C62" s="1399"/>
      <c r="D62" s="1408"/>
      <c r="E62" s="1400"/>
      <c r="F62" s="267"/>
      <c r="G62" s="1399"/>
      <c r="H62" s="1408"/>
      <c r="I62" s="1400"/>
      <c r="J62" s="1380"/>
      <c r="K62" s="1380"/>
      <c r="L62" s="1380"/>
      <c r="M62" s="608"/>
      <c r="N62" s="608"/>
      <c r="O62" s="608"/>
      <c r="P62" s="608"/>
      <c r="Q62" s="266"/>
      <c r="R62" s="266"/>
      <c r="S62" s="268"/>
      <c r="T62" s="269" t="e">
        <f>VLOOKUP(Q62,[71]Listas!$D$6:$E$10,2,0)</f>
        <v>#N/A</v>
      </c>
      <c r="U62" s="269" t="e">
        <f>HLOOKUP(R62,[71]Listas!$F$4:$J$5,2,0)</f>
        <v>#N/A</v>
      </c>
      <c r="V62" s="270" t="e">
        <f>INDEX([71]Listas!$F$6:$J$10,MATCH(Q62,[71]Listas!$D$6:$D$10,0),MATCH(R62,[71]Listas!$F$4:$J$4,0))</f>
        <v>#N/A</v>
      </c>
      <c r="W62" s="268"/>
      <c r="X62" s="1399"/>
      <c r="Y62" s="1408"/>
      <c r="Z62" s="1400"/>
      <c r="AA62" s="1063"/>
      <c r="AB62" s="267"/>
      <c r="AC62" s="259"/>
      <c r="AD62" s="608"/>
      <c r="AE62" s="267"/>
      <c r="AF62" s="268"/>
      <c r="AG62" s="269">
        <f t="shared" ref="AG62:AG93" si="8">IF(AD62&lt;=33,0,IF(AD62&gt;81,2,1))</f>
        <v>0</v>
      </c>
      <c r="AH62" s="271" t="e">
        <f t="shared" ref="AH62:AH93" si="9">IF(OR(AE62="Probabilidad",AE62="Ambos"),T62-AG62,T62)</f>
        <v>#N/A</v>
      </c>
      <c r="AI62" s="272" t="e">
        <f>IF(AH62&lt;=1,"Remota",VLOOKUP(AH62,[71]Listas!$C$6:$D$10,2,0))</f>
        <v>#N/A</v>
      </c>
      <c r="AJ62" s="271" t="e">
        <f t="shared" ref="AJ62:AJ93" si="10">IF(OR(AE62="Impacto",AE62="Ambos"),U62-AG62,U62)</f>
        <v>#N/A</v>
      </c>
      <c r="AK62" s="272" t="e">
        <f>IF(AJ62&lt;=1,"Insignificante",HLOOKUP(AJ62,[71]Listas!$F$3:$J$4,2,0))</f>
        <v>#N/A</v>
      </c>
      <c r="AL62" s="273" t="e">
        <f t="shared" ref="AL62:AL93" si="11">AH62*AJ62</f>
        <v>#N/A</v>
      </c>
      <c r="AM62" s="270" t="e">
        <f>INDEX([71]Listas!$F$6:$J$10,MATCH(AI62,[71]Listas!$D$6:$D$10,0),MATCH(AK62,[71]Listas!$F$4:$J$4,0))</f>
        <v>#N/A</v>
      </c>
      <c r="AN62" s="259"/>
      <c r="AO62" s="259"/>
      <c r="AP62" s="610"/>
      <c r="AQ62" s="259"/>
      <c r="AR62" s="259" t="s">
        <v>2343</v>
      </c>
      <c r="AS62" s="608"/>
      <c r="AT62" s="259"/>
      <c r="AU62" s="259"/>
      <c r="AV62" s="261"/>
      <c r="AW62" s="261"/>
      <c r="AX62" s="608"/>
      <c r="AY62" s="262"/>
    </row>
    <row r="63" spans="1:51" s="260" customFormat="1" ht="103.5" hidden="1" customHeight="1">
      <c r="A63" s="608"/>
      <c r="B63" s="266"/>
      <c r="C63" s="1399"/>
      <c r="D63" s="1408"/>
      <c r="E63" s="1400"/>
      <c r="F63" s="267"/>
      <c r="G63" s="1399"/>
      <c r="H63" s="1408"/>
      <c r="I63" s="1400"/>
      <c r="J63" s="1380"/>
      <c r="K63" s="1380"/>
      <c r="L63" s="1380"/>
      <c r="M63" s="608"/>
      <c r="N63" s="608"/>
      <c r="O63" s="608"/>
      <c r="P63" s="608"/>
      <c r="Q63" s="266"/>
      <c r="R63" s="266"/>
      <c r="S63" s="268"/>
      <c r="T63" s="269" t="e">
        <f>VLOOKUP(Q63,[71]Listas!$D$6:$E$10,2,0)</f>
        <v>#N/A</v>
      </c>
      <c r="U63" s="269" t="e">
        <f>HLOOKUP(R63,[71]Listas!$F$4:$J$5,2,0)</f>
        <v>#N/A</v>
      </c>
      <c r="V63" s="270" t="e">
        <f>INDEX([71]Listas!$F$6:$J$10,MATCH(Q63,[71]Listas!$D$6:$D$10,0),MATCH(R63,[71]Listas!$F$4:$J$4,0))</f>
        <v>#N/A</v>
      </c>
      <c r="W63" s="268"/>
      <c r="X63" s="1399"/>
      <c r="Y63" s="1408"/>
      <c r="Z63" s="1400"/>
      <c r="AA63" s="1063"/>
      <c r="AB63" s="267"/>
      <c r="AC63" s="259"/>
      <c r="AD63" s="608"/>
      <c r="AE63" s="267"/>
      <c r="AF63" s="268"/>
      <c r="AG63" s="269">
        <f t="shared" si="8"/>
        <v>0</v>
      </c>
      <c r="AH63" s="271" t="e">
        <f t="shared" si="9"/>
        <v>#N/A</v>
      </c>
      <c r="AI63" s="272" t="e">
        <f>IF(AH63&lt;=1,"Remota",VLOOKUP(AH63,[71]Listas!$C$6:$D$10,2,0))</f>
        <v>#N/A</v>
      </c>
      <c r="AJ63" s="271" t="e">
        <f t="shared" si="10"/>
        <v>#N/A</v>
      </c>
      <c r="AK63" s="272" t="e">
        <f>IF(AJ63&lt;=1,"Insignificante",HLOOKUP(AJ63,[71]Listas!$F$3:$J$4,2,0))</f>
        <v>#N/A</v>
      </c>
      <c r="AL63" s="273" t="e">
        <f t="shared" si="11"/>
        <v>#N/A</v>
      </c>
      <c r="AM63" s="270" t="e">
        <f>INDEX([71]Listas!$F$6:$J$10,MATCH(AI63,[71]Listas!$D$6:$D$10,0),MATCH(AK63,[71]Listas!$F$4:$J$4,0))</f>
        <v>#N/A</v>
      </c>
      <c r="AN63" s="259"/>
      <c r="AO63" s="259"/>
      <c r="AP63" s="610"/>
      <c r="AQ63" s="259"/>
      <c r="AR63" s="259" t="s">
        <v>2343</v>
      </c>
      <c r="AS63" s="608"/>
      <c r="AT63" s="259"/>
      <c r="AU63" s="259"/>
      <c r="AV63" s="261"/>
      <c r="AW63" s="261"/>
      <c r="AX63" s="608"/>
      <c r="AY63" s="262"/>
    </row>
    <row r="64" spans="1:51" s="260" customFormat="1" ht="103.5" hidden="1" customHeight="1">
      <c r="A64" s="608"/>
      <c r="B64" s="266"/>
      <c r="C64" s="1399"/>
      <c r="D64" s="1408"/>
      <c r="E64" s="1400"/>
      <c r="F64" s="267"/>
      <c r="G64" s="1399"/>
      <c r="H64" s="1408"/>
      <c r="I64" s="1400"/>
      <c r="J64" s="1380"/>
      <c r="K64" s="1380"/>
      <c r="L64" s="1380"/>
      <c r="M64" s="608"/>
      <c r="N64" s="608"/>
      <c r="O64" s="608"/>
      <c r="P64" s="608"/>
      <c r="Q64" s="266"/>
      <c r="R64" s="266"/>
      <c r="S64" s="268"/>
      <c r="T64" s="269" t="e">
        <f>VLOOKUP(Q64,[71]Listas!$D$6:$E$10,2,0)</f>
        <v>#N/A</v>
      </c>
      <c r="U64" s="269" t="e">
        <f>HLOOKUP(R64,[71]Listas!$F$4:$J$5,2,0)</f>
        <v>#N/A</v>
      </c>
      <c r="V64" s="270" t="e">
        <f>INDEX([71]Listas!$F$6:$J$10,MATCH(Q64,[71]Listas!$D$6:$D$10,0),MATCH(R64,[71]Listas!$F$4:$J$4,0))</f>
        <v>#N/A</v>
      </c>
      <c r="W64" s="268"/>
      <c r="X64" s="1399"/>
      <c r="Y64" s="1408"/>
      <c r="Z64" s="1400"/>
      <c r="AA64" s="1063"/>
      <c r="AB64" s="267"/>
      <c r="AC64" s="259"/>
      <c r="AD64" s="608"/>
      <c r="AE64" s="267"/>
      <c r="AF64" s="268"/>
      <c r="AG64" s="269">
        <f t="shared" si="8"/>
        <v>0</v>
      </c>
      <c r="AH64" s="271" t="e">
        <f t="shared" si="9"/>
        <v>#N/A</v>
      </c>
      <c r="AI64" s="272" t="e">
        <f>IF(AH64&lt;=1,"Remota",VLOOKUP(AH64,[71]Listas!$C$6:$D$10,2,0))</f>
        <v>#N/A</v>
      </c>
      <c r="AJ64" s="271" t="e">
        <f t="shared" si="10"/>
        <v>#N/A</v>
      </c>
      <c r="AK64" s="272" t="e">
        <f>IF(AJ64&lt;=1,"Insignificante",HLOOKUP(AJ64,[71]Listas!$F$3:$J$4,2,0))</f>
        <v>#N/A</v>
      </c>
      <c r="AL64" s="273" t="e">
        <f t="shared" si="11"/>
        <v>#N/A</v>
      </c>
      <c r="AM64" s="270" t="e">
        <f>INDEX([71]Listas!$F$6:$J$10,MATCH(AI64,[71]Listas!$D$6:$D$10,0),MATCH(AK64,[71]Listas!$F$4:$J$4,0))</f>
        <v>#N/A</v>
      </c>
      <c r="AN64" s="259"/>
      <c r="AO64" s="259"/>
      <c r="AP64" s="610"/>
      <c r="AQ64" s="259"/>
      <c r="AR64" s="259" t="s">
        <v>2343</v>
      </c>
      <c r="AS64" s="608"/>
      <c r="AT64" s="259"/>
      <c r="AU64" s="259"/>
      <c r="AV64" s="261"/>
      <c r="AW64" s="261"/>
      <c r="AX64" s="608"/>
      <c r="AY64" s="262"/>
    </row>
    <row r="65" spans="1:51" s="260" customFormat="1" ht="103.5" hidden="1" customHeight="1">
      <c r="A65" s="608"/>
      <c r="B65" s="266"/>
      <c r="C65" s="1399"/>
      <c r="D65" s="1408"/>
      <c r="E65" s="1400"/>
      <c r="F65" s="267"/>
      <c r="G65" s="1399"/>
      <c r="H65" s="1408"/>
      <c r="I65" s="1400"/>
      <c r="J65" s="1380"/>
      <c r="K65" s="1380"/>
      <c r="L65" s="1380"/>
      <c r="M65" s="608"/>
      <c r="N65" s="608"/>
      <c r="O65" s="608"/>
      <c r="P65" s="608"/>
      <c r="Q65" s="266"/>
      <c r="R65" s="266"/>
      <c r="S65" s="268"/>
      <c r="T65" s="269" t="e">
        <f>VLOOKUP(Q65,[71]Listas!$D$6:$E$10,2,0)</f>
        <v>#N/A</v>
      </c>
      <c r="U65" s="269" t="e">
        <f>HLOOKUP(R65,[71]Listas!$F$4:$J$5,2,0)</f>
        <v>#N/A</v>
      </c>
      <c r="V65" s="270" t="e">
        <f>INDEX([71]Listas!$F$6:$J$10,MATCH(Q65,[71]Listas!$D$6:$D$10,0),MATCH(R65,[71]Listas!$F$4:$J$4,0))</f>
        <v>#N/A</v>
      </c>
      <c r="W65" s="268"/>
      <c r="X65" s="1399"/>
      <c r="Y65" s="1408"/>
      <c r="Z65" s="1400"/>
      <c r="AA65" s="1063"/>
      <c r="AB65" s="267"/>
      <c r="AC65" s="259"/>
      <c r="AD65" s="608"/>
      <c r="AE65" s="267"/>
      <c r="AF65" s="268"/>
      <c r="AG65" s="269">
        <f t="shared" si="8"/>
        <v>0</v>
      </c>
      <c r="AH65" s="271" t="e">
        <f t="shared" si="9"/>
        <v>#N/A</v>
      </c>
      <c r="AI65" s="272" t="e">
        <f>IF(AH65&lt;=1,"Remota",VLOOKUP(AH65,[71]Listas!$C$6:$D$10,2,0))</f>
        <v>#N/A</v>
      </c>
      <c r="AJ65" s="271" t="e">
        <f t="shared" si="10"/>
        <v>#N/A</v>
      </c>
      <c r="AK65" s="272" t="e">
        <f>IF(AJ65&lt;=1,"Insignificante",HLOOKUP(AJ65,[71]Listas!$F$3:$J$4,2,0))</f>
        <v>#N/A</v>
      </c>
      <c r="AL65" s="273" t="e">
        <f t="shared" si="11"/>
        <v>#N/A</v>
      </c>
      <c r="AM65" s="270" t="e">
        <f>INDEX([71]Listas!$F$6:$J$10,MATCH(AI65,[71]Listas!$D$6:$D$10,0),MATCH(AK65,[71]Listas!$F$4:$J$4,0))</f>
        <v>#N/A</v>
      </c>
      <c r="AN65" s="259"/>
      <c r="AO65" s="259"/>
      <c r="AP65" s="610"/>
      <c r="AQ65" s="259"/>
      <c r="AR65" s="259" t="s">
        <v>2343</v>
      </c>
      <c r="AS65" s="608"/>
      <c r="AT65" s="259"/>
      <c r="AU65" s="259"/>
      <c r="AV65" s="261"/>
      <c r="AW65" s="261"/>
      <c r="AX65" s="608"/>
      <c r="AY65" s="262"/>
    </row>
    <row r="66" spans="1:51" s="260" customFormat="1" ht="103.5" hidden="1" customHeight="1">
      <c r="A66" s="608"/>
      <c r="B66" s="266"/>
      <c r="C66" s="1399"/>
      <c r="D66" s="1408"/>
      <c r="E66" s="1400"/>
      <c r="F66" s="267"/>
      <c r="G66" s="1399"/>
      <c r="H66" s="1408"/>
      <c r="I66" s="1400"/>
      <c r="J66" s="1380"/>
      <c r="K66" s="1380"/>
      <c r="L66" s="1380"/>
      <c r="M66" s="608"/>
      <c r="N66" s="608"/>
      <c r="O66" s="608"/>
      <c r="P66" s="608"/>
      <c r="Q66" s="266"/>
      <c r="R66" s="266"/>
      <c r="S66" s="268"/>
      <c r="T66" s="269" t="e">
        <f>VLOOKUP(Q66,[71]Listas!$D$6:$E$10,2,0)</f>
        <v>#N/A</v>
      </c>
      <c r="U66" s="269" t="e">
        <f>HLOOKUP(R66,[71]Listas!$F$4:$J$5,2,0)</f>
        <v>#N/A</v>
      </c>
      <c r="V66" s="270" t="e">
        <f>INDEX([71]Listas!$F$6:$J$10,MATCH(Q66,[71]Listas!$D$6:$D$10,0),MATCH(R66,[71]Listas!$F$4:$J$4,0))</f>
        <v>#N/A</v>
      </c>
      <c r="W66" s="268"/>
      <c r="X66" s="1399"/>
      <c r="Y66" s="1408"/>
      <c r="Z66" s="1400"/>
      <c r="AA66" s="1063"/>
      <c r="AB66" s="267"/>
      <c r="AC66" s="259"/>
      <c r="AD66" s="608"/>
      <c r="AE66" s="267"/>
      <c r="AF66" s="268"/>
      <c r="AG66" s="269">
        <f t="shared" si="8"/>
        <v>0</v>
      </c>
      <c r="AH66" s="271" t="e">
        <f t="shared" si="9"/>
        <v>#N/A</v>
      </c>
      <c r="AI66" s="272" t="e">
        <f>IF(AH66&lt;=1,"Remota",VLOOKUP(AH66,[71]Listas!$C$6:$D$10,2,0))</f>
        <v>#N/A</v>
      </c>
      <c r="AJ66" s="271" t="e">
        <f t="shared" si="10"/>
        <v>#N/A</v>
      </c>
      <c r="AK66" s="272" t="e">
        <f>IF(AJ66&lt;=1,"Insignificante",HLOOKUP(AJ66,[71]Listas!$F$3:$J$4,2,0))</f>
        <v>#N/A</v>
      </c>
      <c r="AL66" s="273" t="e">
        <f t="shared" si="11"/>
        <v>#N/A</v>
      </c>
      <c r="AM66" s="270" t="e">
        <f>INDEX([71]Listas!$F$6:$J$10,MATCH(AI66,[71]Listas!$D$6:$D$10,0),MATCH(AK66,[71]Listas!$F$4:$J$4,0))</f>
        <v>#N/A</v>
      </c>
      <c r="AN66" s="259"/>
      <c r="AO66" s="259"/>
      <c r="AP66" s="610"/>
      <c r="AQ66" s="259"/>
      <c r="AR66" s="259" t="s">
        <v>2343</v>
      </c>
      <c r="AS66" s="608"/>
      <c r="AT66" s="259"/>
      <c r="AU66" s="259"/>
      <c r="AV66" s="261"/>
      <c r="AW66" s="261"/>
      <c r="AX66" s="608"/>
      <c r="AY66" s="262"/>
    </row>
    <row r="67" spans="1:51" s="260" customFormat="1" ht="103.5" hidden="1" customHeight="1">
      <c r="A67" s="608"/>
      <c r="B67" s="266"/>
      <c r="C67" s="1399"/>
      <c r="D67" s="1408"/>
      <c r="E67" s="1400"/>
      <c r="F67" s="267"/>
      <c r="G67" s="1399"/>
      <c r="H67" s="1408"/>
      <c r="I67" s="1400"/>
      <c r="J67" s="1380"/>
      <c r="K67" s="1380"/>
      <c r="L67" s="1380"/>
      <c r="M67" s="608"/>
      <c r="N67" s="608"/>
      <c r="O67" s="608"/>
      <c r="P67" s="608"/>
      <c r="Q67" s="266"/>
      <c r="R67" s="266"/>
      <c r="S67" s="268"/>
      <c r="T67" s="269" t="e">
        <f>VLOOKUP(Q67,[71]Listas!$D$6:$E$10,2,0)</f>
        <v>#N/A</v>
      </c>
      <c r="U67" s="269" t="e">
        <f>HLOOKUP(R67,[71]Listas!$F$4:$J$5,2,0)</f>
        <v>#N/A</v>
      </c>
      <c r="V67" s="270" t="e">
        <f>INDEX([71]Listas!$F$6:$J$10,MATCH(Q67,[71]Listas!$D$6:$D$10,0),MATCH(R67,[71]Listas!$F$4:$J$4,0))</f>
        <v>#N/A</v>
      </c>
      <c r="W67" s="268"/>
      <c r="X67" s="1399"/>
      <c r="Y67" s="1408"/>
      <c r="Z67" s="1400"/>
      <c r="AA67" s="1063"/>
      <c r="AB67" s="267"/>
      <c r="AC67" s="259"/>
      <c r="AD67" s="608"/>
      <c r="AE67" s="267"/>
      <c r="AF67" s="268"/>
      <c r="AG67" s="269">
        <f t="shared" si="8"/>
        <v>0</v>
      </c>
      <c r="AH67" s="271" t="e">
        <f t="shared" si="9"/>
        <v>#N/A</v>
      </c>
      <c r="AI67" s="272" t="e">
        <f>IF(AH67&lt;=1,"Remota",VLOOKUP(AH67,[71]Listas!$C$6:$D$10,2,0))</f>
        <v>#N/A</v>
      </c>
      <c r="AJ67" s="271" t="e">
        <f t="shared" si="10"/>
        <v>#N/A</v>
      </c>
      <c r="AK67" s="272" t="e">
        <f>IF(AJ67&lt;=1,"Insignificante",HLOOKUP(AJ67,[71]Listas!$F$3:$J$4,2,0))</f>
        <v>#N/A</v>
      </c>
      <c r="AL67" s="273" t="e">
        <f t="shared" si="11"/>
        <v>#N/A</v>
      </c>
      <c r="AM67" s="270" t="e">
        <f>INDEX([71]Listas!$F$6:$J$10,MATCH(AI67,[71]Listas!$D$6:$D$10,0),MATCH(AK67,[71]Listas!$F$4:$J$4,0))</f>
        <v>#N/A</v>
      </c>
      <c r="AN67" s="259"/>
      <c r="AO67" s="259"/>
      <c r="AP67" s="610"/>
      <c r="AQ67" s="259"/>
      <c r="AR67" s="259" t="s">
        <v>2343</v>
      </c>
      <c r="AS67" s="608"/>
      <c r="AT67" s="259"/>
      <c r="AU67" s="259"/>
      <c r="AV67" s="261"/>
      <c r="AW67" s="261"/>
      <c r="AX67" s="608"/>
      <c r="AY67" s="262"/>
    </row>
    <row r="68" spans="1:51" s="260" customFormat="1" ht="103.5" hidden="1" customHeight="1">
      <c r="A68" s="608"/>
      <c r="B68" s="266"/>
      <c r="C68" s="1399"/>
      <c r="D68" s="1408"/>
      <c r="E68" s="1400"/>
      <c r="F68" s="267"/>
      <c r="G68" s="1399"/>
      <c r="H68" s="1408"/>
      <c r="I68" s="1400"/>
      <c r="J68" s="1380"/>
      <c r="K68" s="1380"/>
      <c r="L68" s="1380"/>
      <c r="M68" s="608"/>
      <c r="N68" s="608"/>
      <c r="O68" s="608"/>
      <c r="P68" s="608"/>
      <c r="Q68" s="266"/>
      <c r="R68" s="266"/>
      <c r="S68" s="268"/>
      <c r="T68" s="269" t="e">
        <f>VLOOKUP(Q68,[71]Listas!$D$6:$E$10,2,0)</f>
        <v>#N/A</v>
      </c>
      <c r="U68" s="269" t="e">
        <f>HLOOKUP(R68,[71]Listas!$F$4:$J$5,2,0)</f>
        <v>#N/A</v>
      </c>
      <c r="V68" s="270" t="e">
        <f>INDEX([71]Listas!$F$6:$J$10,MATCH(Q68,[71]Listas!$D$6:$D$10,0),MATCH(R68,[71]Listas!$F$4:$J$4,0))</f>
        <v>#N/A</v>
      </c>
      <c r="W68" s="268"/>
      <c r="X68" s="1399"/>
      <c r="Y68" s="1408"/>
      <c r="Z68" s="1400"/>
      <c r="AA68" s="1063"/>
      <c r="AB68" s="267"/>
      <c r="AC68" s="259"/>
      <c r="AD68" s="608"/>
      <c r="AE68" s="267"/>
      <c r="AF68" s="268"/>
      <c r="AG68" s="269">
        <f t="shared" si="8"/>
        <v>0</v>
      </c>
      <c r="AH68" s="271" t="e">
        <f t="shared" si="9"/>
        <v>#N/A</v>
      </c>
      <c r="AI68" s="272" t="e">
        <f>IF(AH68&lt;=1,"Remota",VLOOKUP(AH68,[71]Listas!$C$6:$D$10,2,0))</f>
        <v>#N/A</v>
      </c>
      <c r="AJ68" s="271" t="e">
        <f t="shared" si="10"/>
        <v>#N/A</v>
      </c>
      <c r="AK68" s="272" t="e">
        <f>IF(AJ68&lt;=1,"Insignificante",HLOOKUP(AJ68,[71]Listas!$F$3:$J$4,2,0))</f>
        <v>#N/A</v>
      </c>
      <c r="AL68" s="273" t="e">
        <f t="shared" si="11"/>
        <v>#N/A</v>
      </c>
      <c r="AM68" s="270" t="e">
        <f>INDEX([71]Listas!$F$6:$J$10,MATCH(AI68,[71]Listas!$D$6:$D$10,0),MATCH(AK68,[71]Listas!$F$4:$J$4,0))</f>
        <v>#N/A</v>
      </c>
      <c r="AN68" s="259"/>
      <c r="AO68" s="259"/>
      <c r="AP68" s="610"/>
      <c r="AQ68" s="259"/>
      <c r="AR68" s="259" t="s">
        <v>2343</v>
      </c>
      <c r="AS68" s="608"/>
      <c r="AT68" s="259"/>
      <c r="AU68" s="259"/>
      <c r="AV68" s="261"/>
      <c r="AW68" s="261"/>
      <c r="AX68" s="608"/>
      <c r="AY68" s="262"/>
    </row>
    <row r="69" spans="1:51" s="260" customFormat="1" ht="103.5" hidden="1" customHeight="1">
      <c r="A69" s="608"/>
      <c r="B69" s="266"/>
      <c r="C69" s="1399"/>
      <c r="D69" s="1408"/>
      <c r="E69" s="1400"/>
      <c r="F69" s="267"/>
      <c r="G69" s="1399"/>
      <c r="H69" s="1408"/>
      <c r="I69" s="1400"/>
      <c r="J69" s="1380"/>
      <c r="K69" s="1380"/>
      <c r="L69" s="1380"/>
      <c r="M69" s="608"/>
      <c r="N69" s="608"/>
      <c r="O69" s="608"/>
      <c r="P69" s="608"/>
      <c r="Q69" s="266"/>
      <c r="R69" s="266"/>
      <c r="S69" s="268"/>
      <c r="T69" s="269" t="e">
        <f>VLOOKUP(Q69,[71]Listas!$D$6:$E$10,2,0)</f>
        <v>#N/A</v>
      </c>
      <c r="U69" s="269" t="e">
        <f>HLOOKUP(R69,[71]Listas!$F$4:$J$5,2,0)</f>
        <v>#N/A</v>
      </c>
      <c r="V69" s="270" t="e">
        <f>INDEX([71]Listas!$F$6:$J$10,MATCH(Q69,[71]Listas!$D$6:$D$10,0),MATCH(R69,[71]Listas!$F$4:$J$4,0))</f>
        <v>#N/A</v>
      </c>
      <c r="W69" s="268"/>
      <c r="X69" s="1399"/>
      <c r="Y69" s="1408"/>
      <c r="Z69" s="1400"/>
      <c r="AA69" s="1063"/>
      <c r="AB69" s="267"/>
      <c r="AC69" s="259"/>
      <c r="AD69" s="608"/>
      <c r="AE69" s="267"/>
      <c r="AF69" s="268"/>
      <c r="AG69" s="269">
        <f t="shared" si="8"/>
        <v>0</v>
      </c>
      <c r="AH69" s="271" t="e">
        <f t="shared" si="9"/>
        <v>#N/A</v>
      </c>
      <c r="AI69" s="272" t="e">
        <f>IF(AH69&lt;=1,"Remota",VLOOKUP(AH69,[71]Listas!$C$6:$D$10,2,0))</f>
        <v>#N/A</v>
      </c>
      <c r="AJ69" s="271" t="e">
        <f t="shared" si="10"/>
        <v>#N/A</v>
      </c>
      <c r="AK69" s="272" t="e">
        <f>IF(AJ69&lt;=1,"Insignificante",HLOOKUP(AJ69,[71]Listas!$F$3:$J$4,2,0))</f>
        <v>#N/A</v>
      </c>
      <c r="AL69" s="273" t="e">
        <f t="shared" si="11"/>
        <v>#N/A</v>
      </c>
      <c r="AM69" s="270" t="e">
        <f>INDEX([71]Listas!$F$6:$J$10,MATCH(AI69,[71]Listas!$D$6:$D$10,0),MATCH(AK69,[71]Listas!$F$4:$J$4,0))</f>
        <v>#N/A</v>
      </c>
      <c r="AN69" s="259"/>
      <c r="AO69" s="259"/>
      <c r="AP69" s="610"/>
      <c r="AQ69" s="259"/>
      <c r="AR69" s="259" t="s">
        <v>2343</v>
      </c>
      <c r="AS69" s="608"/>
      <c r="AT69" s="259"/>
      <c r="AU69" s="259"/>
      <c r="AV69" s="261"/>
      <c r="AW69" s="261"/>
      <c r="AX69" s="608"/>
      <c r="AY69" s="262"/>
    </row>
    <row r="70" spans="1:51" s="260" customFormat="1" ht="103.5" hidden="1" customHeight="1">
      <c r="A70" s="608"/>
      <c r="B70" s="266"/>
      <c r="C70" s="1399"/>
      <c r="D70" s="1408"/>
      <c r="E70" s="1400"/>
      <c r="F70" s="267"/>
      <c r="G70" s="1399"/>
      <c r="H70" s="1408"/>
      <c r="I70" s="1400"/>
      <c r="J70" s="1380"/>
      <c r="K70" s="1380"/>
      <c r="L70" s="1380"/>
      <c r="M70" s="608"/>
      <c r="N70" s="608"/>
      <c r="O70" s="608"/>
      <c r="P70" s="608"/>
      <c r="Q70" s="266"/>
      <c r="R70" s="266"/>
      <c r="S70" s="268"/>
      <c r="T70" s="269" t="e">
        <f>VLOOKUP(Q70,[71]Listas!$D$6:$E$10,2,0)</f>
        <v>#N/A</v>
      </c>
      <c r="U70" s="269" t="e">
        <f>HLOOKUP(R70,[71]Listas!$F$4:$J$5,2,0)</f>
        <v>#N/A</v>
      </c>
      <c r="V70" s="270" t="e">
        <f>INDEX([71]Listas!$F$6:$J$10,MATCH(Q70,[71]Listas!$D$6:$D$10,0),MATCH(R70,[71]Listas!$F$4:$J$4,0))</f>
        <v>#N/A</v>
      </c>
      <c r="W70" s="268"/>
      <c r="X70" s="1399"/>
      <c r="Y70" s="1408"/>
      <c r="Z70" s="1400"/>
      <c r="AA70" s="1063"/>
      <c r="AB70" s="267"/>
      <c r="AC70" s="259"/>
      <c r="AD70" s="608"/>
      <c r="AE70" s="267"/>
      <c r="AF70" s="268"/>
      <c r="AG70" s="269">
        <f t="shared" si="8"/>
        <v>0</v>
      </c>
      <c r="AH70" s="271" t="e">
        <f t="shared" si="9"/>
        <v>#N/A</v>
      </c>
      <c r="AI70" s="272" t="e">
        <f>IF(AH70&lt;=1,"Remota",VLOOKUP(AH70,[71]Listas!$C$6:$D$10,2,0))</f>
        <v>#N/A</v>
      </c>
      <c r="AJ70" s="271" t="e">
        <f t="shared" si="10"/>
        <v>#N/A</v>
      </c>
      <c r="AK70" s="272" t="e">
        <f>IF(AJ70&lt;=1,"Insignificante",HLOOKUP(AJ70,[71]Listas!$F$3:$J$4,2,0))</f>
        <v>#N/A</v>
      </c>
      <c r="AL70" s="273" t="e">
        <f t="shared" si="11"/>
        <v>#N/A</v>
      </c>
      <c r="AM70" s="270" t="e">
        <f>INDEX([71]Listas!$F$6:$J$10,MATCH(AI70,[71]Listas!$D$6:$D$10,0),MATCH(AK70,[71]Listas!$F$4:$J$4,0))</f>
        <v>#N/A</v>
      </c>
      <c r="AN70" s="259"/>
      <c r="AO70" s="259"/>
      <c r="AP70" s="610"/>
      <c r="AQ70" s="259"/>
      <c r="AR70" s="259" t="s">
        <v>2343</v>
      </c>
      <c r="AS70" s="608"/>
      <c r="AT70" s="259"/>
      <c r="AU70" s="259"/>
      <c r="AV70" s="261"/>
      <c r="AW70" s="261"/>
      <c r="AX70" s="608"/>
      <c r="AY70" s="262"/>
    </row>
    <row r="71" spans="1:51" s="260" customFormat="1" ht="103.5" hidden="1" customHeight="1">
      <c r="A71" s="608"/>
      <c r="B71" s="266"/>
      <c r="C71" s="1399"/>
      <c r="D71" s="1408"/>
      <c r="E71" s="1400"/>
      <c r="F71" s="267"/>
      <c r="G71" s="1399"/>
      <c r="H71" s="1408"/>
      <c r="I71" s="1400"/>
      <c r="J71" s="1380"/>
      <c r="K71" s="1380"/>
      <c r="L71" s="1380"/>
      <c r="M71" s="608"/>
      <c r="N71" s="608"/>
      <c r="O71" s="608"/>
      <c r="P71" s="608"/>
      <c r="Q71" s="266"/>
      <c r="R71" s="266"/>
      <c r="S71" s="268"/>
      <c r="T71" s="269" t="e">
        <f>VLOOKUP(Q71,[71]Listas!$D$6:$E$10,2,0)</f>
        <v>#N/A</v>
      </c>
      <c r="U71" s="269" t="e">
        <f>HLOOKUP(R71,[71]Listas!$F$4:$J$5,2,0)</f>
        <v>#N/A</v>
      </c>
      <c r="V71" s="270" t="e">
        <f>INDEX([71]Listas!$F$6:$J$10,MATCH(Q71,[71]Listas!$D$6:$D$10,0),MATCH(R71,[71]Listas!$F$4:$J$4,0))</f>
        <v>#N/A</v>
      </c>
      <c r="W71" s="268"/>
      <c r="X71" s="1399"/>
      <c r="Y71" s="1408"/>
      <c r="Z71" s="1400"/>
      <c r="AA71" s="1063"/>
      <c r="AB71" s="267"/>
      <c r="AC71" s="259"/>
      <c r="AD71" s="608"/>
      <c r="AE71" s="267"/>
      <c r="AF71" s="268"/>
      <c r="AG71" s="269">
        <f t="shared" si="8"/>
        <v>0</v>
      </c>
      <c r="AH71" s="271" t="e">
        <f t="shared" si="9"/>
        <v>#N/A</v>
      </c>
      <c r="AI71" s="272" t="e">
        <f>IF(AH71&lt;=1,"Remota",VLOOKUP(AH71,[71]Listas!$C$6:$D$10,2,0))</f>
        <v>#N/A</v>
      </c>
      <c r="AJ71" s="271" t="e">
        <f t="shared" si="10"/>
        <v>#N/A</v>
      </c>
      <c r="AK71" s="272" t="e">
        <f>IF(AJ71&lt;=1,"Insignificante",HLOOKUP(AJ71,[71]Listas!$F$3:$J$4,2,0))</f>
        <v>#N/A</v>
      </c>
      <c r="AL71" s="273" t="e">
        <f t="shared" si="11"/>
        <v>#N/A</v>
      </c>
      <c r="AM71" s="270" t="e">
        <f>INDEX([71]Listas!$F$6:$J$10,MATCH(AI71,[71]Listas!$D$6:$D$10,0),MATCH(AK71,[71]Listas!$F$4:$J$4,0))</f>
        <v>#N/A</v>
      </c>
      <c r="AN71" s="259"/>
      <c r="AO71" s="259"/>
      <c r="AP71" s="610"/>
      <c r="AQ71" s="259"/>
      <c r="AR71" s="259" t="s">
        <v>2343</v>
      </c>
      <c r="AS71" s="608"/>
      <c r="AT71" s="259"/>
      <c r="AU71" s="259"/>
      <c r="AV71" s="261"/>
      <c r="AW71" s="261"/>
      <c r="AX71" s="608"/>
      <c r="AY71" s="262"/>
    </row>
    <row r="72" spans="1:51" s="260" customFormat="1" ht="103.5" hidden="1" customHeight="1">
      <c r="A72" s="608"/>
      <c r="B72" s="266"/>
      <c r="C72" s="1399"/>
      <c r="D72" s="1408"/>
      <c r="E72" s="1400"/>
      <c r="F72" s="267"/>
      <c r="G72" s="1399"/>
      <c r="H72" s="1408"/>
      <c r="I72" s="1400"/>
      <c r="J72" s="1380"/>
      <c r="K72" s="1380"/>
      <c r="L72" s="1380"/>
      <c r="M72" s="608"/>
      <c r="N72" s="608"/>
      <c r="O72" s="608"/>
      <c r="P72" s="608"/>
      <c r="Q72" s="266"/>
      <c r="R72" s="266"/>
      <c r="S72" s="268"/>
      <c r="T72" s="269" t="e">
        <f>VLOOKUP(Q72,[71]Listas!$D$6:$E$10,2,0)</f>
        <v>#N/A</v>
      </c>
      <c r="U72" s="269" t="e">
        <f>HLOOKUP(R72,[71]Listas!$F$4:$J$5,2,0)</f>
        <v>#N/A</v>
      </c>
      <c r="V72" s="270" t="e">
        <f>INDEX([71]Listas!$F$6:$J$10,MATCH(Q72,[71]Listas!$D$6:$D$10,0),MATCH(R72,[71]Listas!$F$4:$J$4,0))</f>
        <v>#N/A</v>
      </c>
      <c r="W72" s="268"/>
      <c r="X72" s="1399"/>
      <c r="Y72" s="1408"/>
      <c r="Z72" s="1400"/>
      <c r="AA72" s="1063"/>
      <c r="AB72" s="267"/>
      <c r="AC72" s="259"/>
      <c r="AD72" s="608"/>
      <c r="AE72" s="267"/>
      <c r="AF72" s="268"/>
      <c r="AG72" s="269">
        <f t="shared" si="8"/>
        <v>0</v>
      </c>
      <c r="AH72" s="271" t="e">
        <f t="shared" si="9"/>
        <v>#N/A</v>
      </c>
      <c r="AI72" s="272" t="e">
        <f>IF(AH72&lt;=1,"Remota",VLOOKUP(AH72,[71]Listas!$C$6:$D$10,2,0))</f>
        <v>#N/A</v>
      </c>
      <c r="AJ72" s="271" t="e">
        <f t="shared" si="10"/>
        <v>#N/A</v>
      </c>
      <c r="AK72" s="272" t="e">
        <f>IF(AJ72&lt;=1,"Insignificante",HLOOKUP(AJ72,[71]Listas!$F$3:$J$4,2,0))</f>
        <v>#N/A</v>
      </c>
      <c r="AL72" s="273" t="e">
        <f t="shared" si="11"/>
        <v>#N/A</v>
      </c>
      <c r="AM72" s="270" t="e">
        <f>INDEX([71]Listas!$F$6:$J$10,MATCH(AI72,[71]Listas!$D$6:$D$10,0),MATCH(AK72,[71]Listas!$F$4:$J$4,0))</f>
        <v>#N/A</v>
      </c>
      <c r="AN72" s="259"/>
      <c r="AO72" s="259"/>
      <c r="AP72" s="610"/>
      <c r="AQ72" s="259"/>
      <c r="AR72" s="259" t="s">
        <v>2343</v>
      </c>
      <c r="AS72" s="608"/>
      <c r="AT72" s="259"/>
      <c r="AU72" s="259"/>
      <c r="AV72" s="261"/>
      <c r="AW72" s="261"/>
      <c r="AX72" s="608"/>
      <c r="AY72" s="262"/>
    </row>
    <row r="73" spans="1:51" s="260" customFormat="1" ht="103.5" hidden="1" customHeight="1">
      <c r="A73" s="608"/>
      <c r="B73" s="266"/>
      <c r="C73" s="1399"/>
      <c r="D73" s="1408"/>
      <c r="E73" s="1400"/>
      <c r="F73" s="267"/>
      <c r="G73" s="1399"/>
      <c r="H73" s="1408"/>
      <c r="I73" s="1400"/>
      <c r="J73" s="1380"/>
      <c r="K73" s="1380"/>
      <c r="L73" s="1380"/>
      <c r="M73" s="608"/>
      <c r="N73" s="608"/>
      <c r="O73" s="608"/>
      <c r="P73" s="608"/>
      <c r="Q73" s="266"/>
      <c r="R73" s="266"/>
      <c r="S73" s="268"/>
      <c r="T73" s="269" t="e">
        <f>VLOOKUP(Q73,[71]Listas!$D$6:$E$10,2,0)</f>
        <v>#N/A</v>
      </c>
      <c r="U73" s="269" t="e">
        <f>HLOOKUP(R73,[71]Listas!$F$4:$J$5,2,0)</f>
        <v>#N/A</v>
      </c>
      <c r="V73" s="270" t="e">
        <f>INDEX([71]Listas!$F$6:$J$10,MATCH(Q73,[71]Listas!$D$6:$D$10,0),MATCH(R73,[71]Listas!$F$4:$J$4,0))</f>
        <v>#N/A</v>
      </c>
      <c r="W73" s="268"/>
      <c r="X73" s="1399"/>
      <c r="Y73" s="1408"/>
      <c r="Z73" s="1400"/>
      <c r="AA73" s="1063"/>
      <c r="AB73" s="267"/>
      <c r="AC73" s="259"/>
      <c r="AD73" s="608"/>
      <c r="AE73" s="267"/>
      <c r="AF73" s="268"/>
      <c r="AG73" s="269">
        <f t="shared" si="8"/>
        <v>0</v>
      </c>
      <c r="AH73" s="271" t="e">
        <f t="shared" si="9"/>
        <v>#N/A</v>
      </c>
      <c r="AI73" s="272" t="e">
        <f>IF(AH73&lt;=1,"Remota",VLOOKUP(AH73,[71]Listas!$C$6:$D$10,2,0))</f>
        <v>#N/A</v>
      </c>
      <c r="AJ73" s="271" t="e">
        <f t="shared" si="10"/>
        <v>#N/A</v>
      </c>
      <c r="AK73" s="272" t="e">
        <f>IF(AJ73&lt;=1,"Insignificante",HLOOKUP(AJ73,[71]Listas!$F$3:$J$4,2,0))</f>
        <v>#N/A</v>
      </c>
      <c r="AL73" s="273" t="e">
        <f t="shared" si="11"/>
        <v>#N/A</v>
      </c>
      <c r="AM73" s="270" t="e">
        <f>INDEX([71]Listas!$F$6:$J$10,MATCH(AI73,[71]Listas!$D$6:$D$10,0),MATCH(AK73,[71]Listas!$F$4:$J$4,0))</f>
        <v>#N/A</v>
      </c>
      <c r="AN73" s="259"/>
      <c r="AO73" s="259"/>
      <c r="AP73" s="610"/>
      <c r="AQ73" s="259"/>
      <c r="AR73" s="259" t="s">
        <v>2343</v>
      </c>
      <c r="AS73" s="608"/>
      <c r="AT73" s="259"/>
      <c r="AU73" s="259"/>
      <c r="AV73" s="261"/>
      <c r="AW73" s="261"/>
      <c r="AX73" s="608"/>
      <c r="AY73" s="262"/>
    </row>
    <row r="74" spans="1:51" s="260" customFormat="1" ht="103.5" hidden="1" customHeight="1">
      <c r="A74" s="608"/>
      <c r="B74" s="266"/>
      <c r="C74" s="1399"/>
      <c r="D74" s="1408"/>
      <c r="E74" s="1400"/>
      <c r="F74" s="267"/>
      <c r="G74" s="1399"/>
      <c r="H74" s="1408"/>
      <c r="I74" s="1400"/>
      <c r="J74" s="1380"/>
      <c r="K74" s="1380"/>
      <c r="L74" s="1380"/>
      <c r="M74" s="608"/>
      <c r="N74" s="608"/>
      <c r="O74" s="608"/>
      <c r="P74" s="608"/>
      <c r="Q74" s="266"/>
      <c r="R74" s="266"/>
      <c r="S74" s="268"/>
      <c r="T74" s="269" t="e">
        <f>VLOOKUP(Q74,[71]Listas!$D$6:$E$10,2,0)</f>
        <v>#N/A</v>
      </c>
      <c r="U74" s="269" t="e">
        <f>HLOOKUP(R74,[71]Listas!$F$4:$J$5,2,0)</f>
        <v>#N/A</v>
      </c>
      <c r="V74" s="270" t="e">
        <f>INDEX([71]Listas!$F$6:$J$10,MATCH(Q74,[71]Listas!$D$6:$D$10,0),MATCH(R74,[71]Listas!$F$4:$J$4,0))</f>
        <v>#N/A</v>
      </c>
      <c r="W74" s="268"/>
      <c r="X74" s="1399"/>
      <c r="Y74" s="1408"/>
      <c r="Z74" s="1400"/>
      <c r="AA74" s="1063"/>
      <c r="AB74" s="267"/>
      <c r="AC74" s="259"/>
      <c r="AD74" s="608"/>
      <c r="AE74" s="267"/>
      <c r="AF74" s="268"/>
      <c r="AG74" s="269">
        <f t="shared" si="8"/>
        <v>0</v>
      </c>
      <c r="AH74" s="271" t="e">
        <f t="shared" si="9"/>
        <v>#N/A</v>
      </c>
      <c r="AI74" s="272" t="e">
        <f>IF(AH74&lt;=1,"Remota",VLOOKUP(AH74,[71]Listas!$C$6:$D$10,2,0))</f>
        <v>#N/A</v>
      </c>
      <c r="AJ74" s="271" t="e">
        <f t="shared" si="10"/>
        <v>#N/A</v>
      </c>
      <c r="AK74" s="272" t="e">
        <f>IF(AJ74&lt;=1,"Insignificante",HLOOKUP(AJ74,[71]Listas!$F$3:$J$4,2,0))</f>
        <v>#N/A</v>
      </c>
      <c r="AL74" s="273" t="e">
        <f t="shared" si="11"/>
        <v>#N/A</v>
      </c>
      <c r="AM74" s="270" t="e">
        <f>INDEX([71]Listas!$F$6:$J$10,MATCH(AI74,[71]Listas!$D$6:$D$10,0),MATCH(AK74,[71]Listas!$F$4:$J$4,0))</f>
        <v>#N/A</v>
      </c>
      <c r="AN74" s="259"/>
      <c r="AO74" s="259"/>
      <c r="AP74" s="610"/>
      <c r="AQ74" s="259"/>
      <c r="AR74" s="259" t="s">
        <v>2343</v>
      </c>
      <c r="AS74" s="608"/>
      <c r="AT74" s="259"/>
      <c r="AU74" s="259"/>
      <c r="AV74" s="261"/>
      <c r="AW74" s="261"/>
      <c r="AX74" s="608"/>
      <c r="AY74" s="262"/>
    </row>
    <row r="75" spans="1:51" s="260" customFormat="1" ht="103.5" hidden="1" customHeight="1">
      <c r="A75" s="608"/>
      <c r="B75" s="266"/>
      <c r="C75" s="1399"/>
      <c r="D75" s="1408"/>
      <c r="E75" s="1400"/>
      <c r="F75" s="267"/>
      <c r="G75" s="1399"/>
      <c r="H75" s="1408"/>
      <c r="I75" s="1400"/>
      <c r="J75" s="1380"/>
      <c r="K75" s="1380"/>
      <c r="L75" s="1380"/>
      <c r="M75" s="608"/>
      <c r="N75" s="608"/>
      <c r="O75" s="608"/>
      <c r="P75" s="608"/>
      <c r="Q75" s="266"/>
      <c r="R75" s="266"/>
      <c r="S75" s="268"/>
      <c r="T75" s="269" t="e">
        <f>VLOOKUP(Q75,[71]Listas!$D$6:$E$10,2,0)</f>
        <v>#N/A</v>
      </c>
      <c r="U75" s="269" t="e">
        <f>HLOOKUP(R75,[71]Listas!$F$4:$J$5,2,0)</f>
        <v>#N/A</v>
      </c>
      <c r="V75" s="270" t="e">
        <f>INDEX([71]Listas!$F$6:$J$10,MATCH(Q75,[71]Listas!$D$6:$D$10,0),MATCH(R75,[71]Listas!$F$4:$J$4,0))</f>
        <v>#N/A</v>
      </c>
      <c r="W75" s="268"/>
      <c r="X75" s="1399"/>
      <c r="Y75" s="1408"/>
      <c r="Z75" s="1400"/>
      <c r="AA75" s="1063"/>
      <c r="AB75" s="267"/>
      <c r="AC75" s="259"/>
      <c r="AD75" s="608"/>
      <c r="AE75" s="267"/>
      <c r="AF75" s="268"/>
      <c r="AG75" s="269">
        <f t="shared" si="8"/>
        <v>0</v>
      </c>
      <c r="AH75" s="271" t="e">
        <f t="shared" si="9"/>
        <v>#N/A</v>
      </c>
      <c r="AI75" s="272" t="e">
        <f>IF(AH75&lt;=1,"Remota",VLOOKUP(AH75,[71]Listas!$C$6:$D$10,2,0))</f>
        <v>#N/A</v>
      </c>
      <c r="AJ75" s="271" t="e">
        <f t="shared" si="10"/>
        <v>#N/A</v>
      </c>
      <c r="AK75" s="272" t="e">
        <f>IF(AJ75&lt;=1,"Insignificante",HLOOKUP(AJ75,[71]Listas!$F$3:$J$4,2,0))</f>
        <v>#N/A</v>
      </c>
      <c r="AL75" s="273" t="e">
        <f t="shared" si="11"/>
        <v>#N/A</v>
      </c>
      <c r="AM75" s="270" t="e">
        <f>INDEX([71]Listas!$F$6:$J$10,MATCH(AI75,[71]Listas!$D$6:$D$10,0),MATCH(AK75,[71]Listas!$F$4:$J$4,0))</f>
        <v>#N/A</v>
      </c>
      <c r="AN75" s="259"/>
      <c r="AO75" s="259"/>
      <c r="AP75" s="610"/>
      <c r="AQ75" s="259"/>
      <c r="AR75" s="259" t="s">
        <v>2343</v>
      </c>
      <c r="AS75" s="608"/>
      <c r="AT75" s="259"/>
      <c r="AU75" s="259"/>
      <c r="AV75" s="261"/>
      <c r="AW75" s="261"/>
      <c r="AX75" s="608"/>
      <c r="AY75" s="262"/>
    </row>
    <row r="76" spans="1:51" s="260" customFormat="1" ht="103.5" hidden="1" customHeight="1">
      <c r="A76" s="608"/>
      <c r="B76" s="266"/>
      <c r="C76" s="1399"/>
      <c r="D76" s="1408"/>
      <c r="E76" s="1400"/>
      <c r="F76" s="267"/>
      <c r="G76" s="1399"/>
      <c r="H76" s="1408"/>
      <c r="I76" s="1400"/>
      <c r="J76" s="1380"/>
      <c r="K76" s="1380"/>
      <c r="L76" s="1380"/>
      <c r="M76" s="608"/>
      <c r="N76" s="608"/>
      <c r="O76" s="608"/>
      <c r="P76" s="608"/>
      <c r="Q76" s="266"/>
      <c r="R76" s="266"/>
      <c r="S76" s="268"/>
      <c r="T76" s="269" t="e">
        <f>VLOOKUP(Q76,[71]Listas!$D$6:$E$10,2,0)</f>
        <v>#N/A</v>
      </c>
      <c r="U76" s="269" t="e">
        <f>HLOOKUP(R76,[71]Listas!$F$4:$J$5,2,0)</f>
        <v>#N/A</v>
      </c>
      <c r="V76" s="270" t="e">
        <f>INDEX([71]Listas!$F$6:$J$10,MATCH(Q76,[71]Listas!$D$6:$D$10,0),MATCH(R76,[71]Listas!$F$4:$J$4,0))</f>
        <v>#N/A</v>
      </c>
      <c r="W76" s="268"/>
      <c r="X76" s="1399"/>
      <c r="Y76" s="1408"/>
      <c r="Z76" s="1400"/>
      <c r="AA76" s="1063"/>
      <c r="AB76" s="267"/>
      <c r="AC76" s="259"/>
      <c r="AD76" s="608"/>
      <c r="AE76" s="267"/>
      <c r="AF76" s="268"/>
      <c r="AG76" s="269">
        <f t="shared" si="8"/>
        <v>0</v>
      </c>
      <c r="AH76" s="271" t="e">
        <f t="shared" si="9"/>
        <v>#N/A</v>
      </c>
      <c r="AI76" s="272" t="e">
        <f>IF(AH76&lt;=1,"Remota",VLOOKUP(AH76,[71]Listas!$C$6:$D$10,2,0))</f>
        <v>#N/A</v>
      </c>
      <c r="AJ76" s="271" t="e">
        <f t="shared" si="10"/>
        <v>#N/A</v>
      </c>
      <c r="AK76" s="272" t="e">
        <f>IF(AJ76&lt;=1,"Insignificante",HLOOKUP(AJ76,[71]Listas!$F$3:$J$4,2,0))</f>
        <v>#N/A</v>
      </c>
      <c r="AL76" s="273" t="e">
        <f t="shared" si="11"/>
        <v>#N/A</v>
      </c>
      <c r="AM76" s="270" t="e">
        <f>INDEX([71]Listas!$F$6:$J$10,MATCH(AI76,[71]Listas!$D$6:$D$10,0),MATCH(AK76,[71]Listas!$F$4:$J$4,0))</f>
        <v>#N/A</v>
      </c>
      <c r="AN76" s="259"/>
      <c r="AO76" s="259"/>
      <c r="AP76" s="610"/>
      <c r="AQ76" s="259"/>
      <c r="AR76" s="259" t="s">
        <v>2343</v>
      </c>
      <c r="AS76" s="608"/>
      <c r="AT76" s="259"/>
      <c r="AU76" s="259"/>
      <c r="AV76" s="261"/>
      <c r="AW76" s="261"/>
      <c r="AX76" s="608"/>
      <c r="AY76" s="262"/>
    </row>
    <row r="77" spans="1:51" s="260" customFormat="1" ht="103.5" hidden="1" customHeight="1">
      <c r="A77" s="608"/>
      <c r="B77" s="266"/>
      <c r="C77" s="1399"/>
      <c r="D77" s="1408"/>
      <c r="E77" s="1400"/>
      <c r="F77" s="267"/>
      <c r="G77" s="1399"/>
      <c r="H77" s="1408"/>
      <c r="I77" s="1400"/>
      <c r="J77" s="1380"/>
      <c r="K77" s="1380"/>
      <c r="L77" s="1380"/>
      <c r="M77" s="608"/>
      <c r="N77" s="608"/>
      <c r="O77" s="608"/>
      <c r="P77" s="608"/>
      <c r="Q77" s="266"/>
      <c r="R77" s="266"/>
      <c r="S77" s="268"/>
      <c r="T77" s="269" t="e">
        <f>VLOOKUP(Q77,[71]Listas!$D$6:$E$10,2,0)</f>
        <v>#N/A</v>
      </c>
      <c r="U77" s="269" t="e">
        <f>HLOOKUP(R77,[71]Listas!$F$4:$J$5,2,0)</f>
        <v>#N/A</v>
      </c>
      <c r="V77" s="270" t="e">
        <f>INDEX([71]Listas!$F$6:$J$10,MATCH(Q77,[71]Listas!$D$6:$D$10,0),MATCH(R77,[71]Listas!$F$4:$J$4,0))</f>
        <v>#N/A</v>
      </c>
      <c r="W77" s="268"/>
      <c r="X77" s="1399"/>
      <c r="Y77" s="1408"/>
      <c r="Z77" s="1400"/>
      <c r="AA77" s="1063"/>
      <c r="AB77" s="267"/>
      <c r="AC77" s="259"/>
      <c r="AD77" s="608"/>
      <c r="AE77" s="267"/>
      <c r="AF77" s="268"/>
      <c r="AG77" s="269">
        <f t="shared" si="8"/>
        <v>0</v>
      </c>
      <c r="AH77" s="271" t="e">
        <f t="shared" si="9"/>
        <v>#N/A</v>
      </c>
      <c r="AI77" s="272" t="e">
        <f>IF(AH77&lt;=1,"Remota",VLOOKUP(AH77,[71]Listas!$C$6:$D$10,2,0))</f>
        <v>#N/A</v>
      </c>
      <c r="AJ77" s="271" t="e">
        <f t="shared" si="10"/>
        <v>#N/A</v>
      </c>
      <c r="AK77" s="272" t="e">
        <f>IF(AJ77&lt;=1,"Insignificante",HLOOKUP(AJ77,[71]Listas!$F$3:$J$4,2,0))</f>
        <v>#N/A</v>
      </c>
      <c r="AL77" s="273" t="e">
        <f t="shared" si="11"/>
        <v>#N/A</v>
      </c>
      <c r="AM77" s="270" t="e">
        <f>INDEX([71]Listas!$F$6:$J$10,MATCH(AI77,[71]Listas!$D$6:$D$10,0),MATCH(AK77,[71]Listas!$F$4:$J$4,0))</f>
        <v>#N/A</v>
      </c>
      <c r="AN77" s="259"/>
      <c r="AO77" s="259"/>
      <c r="AP77" s="610"/>
      <c r="AQ77" s="259"/>
      <c r="AR77" s="259" t="s">
        <v>2343</v>
      </c>
      <c r="AS77" s="608"/>
      <c r="AT77" s="259"/>
      <c r="AU77" s="259"/>
      <c r="AV77" s="261"/>
      <c r="AW77" s="261"/>
      <c r="AX77" s="608"/>
      <c r="AY77" s="262"/>
    </row>
    <row r="78" spans="1:51" s="260" customFormat="1" ht="103.5" hidden="1" customHeight="1">
      <c r="A78" s="608"/>
      <c r="B78" s="266"/>
      <c r="C78" s="1399"/>
      <c r="D78" s="1408"/>
      <c r="E78" s="1400"/>
      <c r="F78" s="267"/>
      <c r="G78" s="1399"/>
      <c r="H78" s="1408"/>
      <c r="I78" s="1400"/>
      <c r="J78" s="1380"/>
      <c r="K78" s="1380"/>
      <c r="L78" s="1380"/>
      <c r="M78" s="608"/>
      <c r="N78" s="608"/>
      <c r="O78" s="608"/>
      <c r="P78" s="608"/>
      <c r="Q78" s="266"/>
      <c r="R78" s="266"/>
      <c r="S78" s="268"/>
      <c r="T78" s="269" t="e">
        <f>VLOOKUP(Q78,[71]Listas!$D$6:$E$10,2,0)</f>
        <v>#N/A</v>
      </c>
      <c r="U78" s="269" t="e">
        <f>HLOOKUP(R78,[71]Listas!$F$4:$J$5,2,0)</f>
        <v>#N/A</v>
      </c>
      <c r="V78" s="270" t="e">
        <f>INDEX([71]Listas!$F$6:$J$10,MATCH(Q78,[71]Listas!$D$6:$D$10,0),MATCH(R78,[71]Listas!$F$4:$J$4,0))</f>
        <v>#N/A</v>
      </c>
      <c r="W78" s="268"/>
      <c r="X78" s="1399"/>
      <c r="Y78" s="1408"/>
      <c r="Z78" s="1400"/>
      <c r="AA78" s="1063"/>
      <c r="AB78" s="267"/>
      <c r="AC78" s="259"/>
      <c r="AD78" s="608"/>
      <c r="AE78" s="267"/>
      <c r="AF78" s="268"/>
      <c r="AG78" s="269">
        <f t="shared" si="8"/>
        <v>0</v>
      </c>
      <c r="AH78" s="271" t="e">
        <f t="shared" si="9"/>
        <v>#N/A</v>
      </c>
      <c r="AI78" s="272" t="e">
        <f>IF(AH78&lt;=1,"Remota",VLOOKUP(AH78,[71]Listas!$C$6:$D$10,2,0))</f>
        <v>#N/A</v>
      </c>
      <c r="AJ78" s="271" t="e">
        <f t="shared" si="10"/>
        <v>#N/A</v>
      </c>
      <c r="AK78" s="272" t="e">
        <f>IF(AJ78&lt;=1,"Insignificante",HLOOKUP(AJ78,[71]Listas!$F$3:$J$4,2,0))</f>
        <v>#N/A</v>
      </c>
      <c r="AL78" s="273" t="e">
        <f t="shared" si="11"/>
        <v>#N/A</v>
      </c>
      <c r="AM78" s="270" t="e">
        <f>INDEX([71]Listas!$F$6:$J$10,MATCH(AI78,[71]Listas!$D$6:$D$10,0),MATCH(AK78,[71]Listas!$F$4:$J$4,0))</f>
        <v>#N/A</v>
      </c>
      <c r="AN78" s="259"/>
      <c r="AO78" s="259"/>
      <c r="AP78" s="610"/>
      <c r="AQ78" s="259"/>
      <c r="AR78" s="259" t="s">
        <v>2343</v>
      </c>
      <c r="AS78" s="608"/>
      <c r="AT78" s="259"/>
      <c r="AU78" s="259"/>
      <c r="AV78" s="261"/>
      <c r="AW78" s="261"/>
      <c r="AX78" s="608"/>
      <c r="AY78" s="262"/>
    </row>
    <row r="79" spans="1:51" s="260" customFormat="1" ht="103.5" hidden="1" customHeight="1">
      <c r="A79" s="608"/>
      <c r="B79" s="266"/>
      <c r="C79" s="1399"/>
      <c r="D79" s="1408"/>
      <c r="E79" s="1400"/>
      <c r="F79" s="267"/>
      <c r="G79" s="1399"/>
      <c r="H79" s="1408"/>
      <c r="I79" s="1400"/>
      <c r="J79" s="1380"/>
      <c r="K79" s="1380"/>
      <c r="L79" s="1380"/>
      <c r="M79" s="608"/>
      <c r="N79" s="608"/>
      <c r="O79" s="608"/>
      <c r="P79" s="608"/>
      <c r="Q79" s="266"/>
      <c r="R79" s="266"/>
      <c r="S79" s="268"/>
      <c r="T79" s="269" t="e">
        <f>VLOOKUP(Q79,[71]Listas!$D$6:$E$10,2,0)</f>
        <v>#N/A</v>
      </c>
      <c r="U79" s="269" t="e">
        <f>HLOOKUP(R79,[71]Listas!$F$4:$J$5,2,0)</f>
        <v>#N/A</v>
      </c>
      <c r="V79" s="270" t="e">
        <f>INDEX([71]Listas!$F$6:$J$10,MATCH(Q79,[71]Listas!$D$6:$D$10,0),MATCH(R79,[71]Listas!$F$4:$J$4,0))</f>
        <v>#N/A</v>
      </c>
      <c r="W79" s="268"/>
      <c r="X79" s="1399"/>
      <c r="Y79" s="1408"/>
      <c r="Z79" s="1400"/>
      <c r="AA79" s="1063"/>
      <c r="AB79" s="267"/>
      <c r="AC79" s="259"/>
      <c r="AD79" s="608"/>
      <c r="AE79" s="267"/>
      <c r="AF79" s="268"/>
      <c r="AG79" s="269">
        <f t="shared" si="8"/>
        <v>0</v>
      </c>
      <c r="AH79" s="271" t="e">
        <f t="shared" si="9"/>
        <v>#N/A</v>
      </c>
      <c r="AI79" s="272" t="e">
        <f>IF(AH79&lt;=1,"Remota",VLOOKUP(AH79,[71]Listas!$C$6:$D$10,2,0))</f>
        <v>#N/A</v>
      </c>
      <c r="AJ79" s="271" t="e">
        <f t="shared" si="10"/>
        <v>#N/A</v>
      </c>
      <c r="AK79" s="272" t="e">
        <f>IF(AJ79&lt;=1,"Insignificante",HLOOKUP(AJ79,[71]Listas!$F$3:$J$4,2,0))</f>
        <v>#N/A</v>
      </c>
      <c r="AL79" s="273" t="e">
        <f t="shared" si="11"/>
        <v>#N/A</v>
      </c>
      <c r="AM79" s="270" t="e">
        <f>INDEX([71]Listas!$F$6:$J$10,MATCH(AI79,[71]Listas!$D$6:$D$10,0),MATCH(AK79,[71]Listas!$F$4:$J$4,0))</f>
        <v>#N/A</v>
      </c>
      <c r="AN79" s="259"/>
      <c r="AO79" s="259"/>
      <c r="AP79" s="610"/>
      <c r="AQ79" s="259"/>
      <c r="AR79" s="259" t="s">
        <v>2343</v>
      </c>
      <c r="AS79" s="608"/>
      <c r="AT79" s="259"/>
      <c r="AU79" s="259"/>
      <c r="AV79" s="261"/>
      <c r="AW79" s="261"/>
      <c r="AX79" s="608"/>
      <c r="AY79" s="262"/>
    </row>
    <row r="80" spans="1:51" s="260" customFormat="1" ht="103.5" hidden="1" customHeight="1">
      <c r="A80" s="608"/>
      <c r="B80" s="266"/>
      <c r="C80" s="1399"/>
      <c r="D80" s="1408"/>
      <c r="E80" s="1400"/>
      <c r="F80" s="267"/>
      <c r="G80" s="1399"/>
      <c r="H80" s="1408"/>
      <c r="I80" s="1400"/>
      <c r="J80" s="1380"/>
      <c r="K80" s="1380"/>
      <c r="L80" s="1380"/>
      <c r="M80" s="608"/>
      <c r="N80" s="608"/>
      <c r="O80" s="608"/>
      <c r="P80" s="608"/>
      <c r="Q80" s="266"/>
      <c r="R80" s="266"/>
      <c r="S80" s="268"/>
      <c r="T80" s="269" t="e">
        <f>VLOOKUP(Q80,[71]Listas!$D$6:$E$10,2,0)</f>
        <v>#N/A</v>
      </c>
      <c r="U80" s="269" t="e">
        <f>HLOOKUP(R80,[71]Listas!$F$4:$J$5,2,0)</f>
        <v>#N/A</v>
      </c>
      <c r="V80" s="270" t="e">
        <f>INDEX([71]Listas!$F$6:$J$10,MATCH(Q80,[71]Listas!$D$6:$D$10,0),MATCH(R80,[71]Listas!$F$4:$J$4,0))</f>
        <v>#N/A</v>
      </c>
      <c r="W80" s="268"/>
      <c r="X80" s="1399"/>
      <c r="Y80" s="1408"/>
      <c r="Z80" s="1400"/>
      <c r="AA80" s="1063"/>
      <c r="AB80" s="267"/>
      <c r="AC80" s="259"/>
      <c r="AD80" s="608"/>
      <c r="AE80" s="267"/>
      <c r="AF80" s="268"/>
      <c r="AG80" s="269">
        <f t="shared" si="8"/>
        <v>0</v>
      </c>
      <c r="AH80" s="271" t="e">
        <f t="shared" si="9"/>
        <v>#N/A</v>
      </c>
      <c r="AI80" s="272" t="e">
        <f>IF(AH80&lt;=1,"Remota",VLOOKUP(AH80,[71]Listas!$C$6:$D$10,2,0))</f>
        <v>#N/A</v>
      </c>
      <c r="AJ80" s="271" t="e">
        <f t="shared" si="10"/>
        <v>#N/A</v>
      </c>
      <c r="AK80" s="272" t="e">
        <f>IF(AJ80&lt;=1,"Insignificante",HLOOKUP(AJ80,[71]Listas!$F$3:$J$4,2,0))</f>
        <v>#N/A</v>
      </c>
      <c r="AL80" s="273" t="e">
        <f t="shared" si="11"/>
        <v>#N/A</v>
      </c>
      <c r="AM80" s="270" t="e">
        <f>INDEX([71]Listas!$F$6:$J$10,MATCH(AI80,[71]Listas!$D$6:$D$10,0),MATCH(AK80,[71]Listas!$F$4:$J$4,0))</f>
        <v>#N/A</v>
      </c>
      <c r="AN80" s="259"/>
      <c r="AO80" s="259"/>
      <c r="AP80" s="610"/>
      <c r="AQ80" s="259"/>
      <c r="AR80" s="259" t="s">
        <v>2343</v>
      </c>
      <c r="AS80" s="608"/>
      <c r="AT80" s="259"/>
      <c r="AU80" s="259"/>
      <c r="AV80" s="261"/>
      <c r="AW80" s="261"/>
      <c r="AX80" s="608"/>
      <c r="AY80" s="262"/>
    </row>
    <row r="81" spans="1:51" s="260" customFormat="1" ht="103.5" hidden="1" customHeight="1">
      <c r="A81" s="608"/>
      <c r="B81" s="266"/>
      <c r="C81" s="1399"/>
      <c r="D81" s="1408"/>
      <c r="E81" s="1400"/>
      <c r="F81" s="267"/>
      <c r="G81" s="1399"/>
      <c r="H81" s="1408"/>
      <c r="I81" s="1400"/>
      <c r="J81" s="1380"/>
      <c r="K81" s="1380"/>
      <c r="L81" s="1380"/>
      <c r="M81" s="608"/>
      <c r="N81" s="608"/>
      <c r="O81" s="608"/>
      <c r="P81" s="608"/>
      <c r="Q81" s="266"/>
      <c r="R81" s="266"/>
      <c r="S81" s="268"/>
      <c r="T81" s="269" t="e">
        <f>VLOOKUP(Q81,[71]Listas!$D$6:$E$10,2,0)</f>
        <v>#N/A</v>
      </c>
      <c r="U81" s="269" t="e">
        <f>HLOOKUP(R81,[71]Listas!$F$4:$J$5,2,0)</f>
        <v>#N/A</v>
      </c>
      <c r="V81" s="270" t="e">
        <f>INDEX([71]Listas!$F$6:$J$10,MATCH(Q81,[71]Listas!$D$6:$D$10,0),MATCH(R81,[71]Listas!$F$4:$J$4,0))</f>
        <v>#N/A</v>
      </c>
      <c r="W81" s="268"/>
      <c r="X81" s="1399"/>
      <c r="Y81" s="1408"/>
      <c r="Z81" s="1400"/>
      <c r="AA81" s="1063"/>
      <c r="AB81" s="267"/>
      <c r="AC81" s="259"/>
      <c r="AD81" s="608"/>
      <c r="AE81" s="267"/>
      <c r="AF81" s="268"/>
      <c r="AG81" s="269">
        <f t="shared" si="8"/>
        <v>0</v>
      </c>
      <c r="AH81" s="271" t="e">
        <f t="shared" si="9"/>
        <v>#N/A</v>
      </c>
      <c r="AI81" s="272" t="e">
        <f>IF(AH81&lt;=1,"Remota",VLOOKUP(AH81,[71]Listas!$C$6:$D$10,2,0))</f>
        <v>#N/A</v>
      </c>
      <c r="AJ81" s="271" t="e">
        <f t="shared" si="10"/>
        <v>#N/A</v>
      </c>
      <c r="AK81" s="272" t="e">
        <f>IF(AJ81&lt;=1,"Insignificante",HLOOKUP(AJ81,[71]Listas!$F$3:$J$4,2,0))</f>
        <v>#N/A</v>
      </c>
      <c r="AL81" s="273" t="e">
        <f t="shared" si="11"/>
        <v>#N/A</v>
      </c>
      <c r="AM81" s="270" t="e">
        <f>INDEX([71]Listas!$F$6:$J$10,MATCH(AI81,[71]Listas!$D$6:$D$10,0),MATCH(AK81,[71]Listas!$F$4:$J$4,0))</f>
        <v>#N/A</v>
      </c>
      <c r="AN81" s="259"/>
      <c r="AO81" s="259"/>
      <c r="AP81" s="610"/>
      <c r="AQ81" s="259"/>
      <c r="AR81" s="259" t="s">
        <v>2343</v>
      </c>
      <c r="AS81" s="608"/>
      <c r="AT81" s="259"/>
      <c r="AU81" s="259"/>
      <c r="AV81" s="261"/>
      <c r="AW81" s="261"/>
      <c r="AX81" s="608"/>
      <c r="AY81" s="262"/>
    </row>
    <row r="82" spans="1:51" s="260" customFormat="1" ht="103.5" hidden="1" customHeight="1">
      <c r="A82" s="608"/>
      <c r="B82" s="266"/>
      <c r="C82" s="1399"/>
      <c r="D82" s="1408"/>
      <c r="E82" s="1400"/>
      <c r="F82" s="267"/>
      <c r="G82" s="1399"/>
      <c r="H82" s="1408"/>
      <c r="I82" s="1400"/>
      <c r="J82" s="1380"/>
      <c r="K82" s="1380"/>
      <c r="L82" s="1380"/>
      <c r="M82" s="608"/>
      <c r="N82" s="608"/>
      <c r="O82" s="608"/>
      <c r="P82" s="608"/>
      <c r="Q82" s="266"/>
      <c r="R82" s="266"/>
      <c r="S82" s="268"/>
      <c r="T82" s="269" t="e">
        <f>VLOOKUP(Q82,[71]Listas!$D$6:$E$10,2,0)</f>
        <v>#N/A</v>
      </c>
      <c r="U82" s="269" t="e">
        <f>HLOOKUP(R82,[71]Listas!$F$4:$J$5,2,0)</f>
        <v>#N/A</v>
      </c>
      <c r="V82" s="270" t="e">
        <f>INDEX([71]Listas!$F$6:$J$10,MATCH(Q82,[71]Listas!$D$6:$D$10,0),MATCH(R82,[71]Listas!$F$4:$J$4,0))</f>
        <v>#N/A</v>
      </c>
      <c r="W82" s="268"/>
      <c r="X82" s="1399"/>
      <c r="Y82" s="1408"/>
      <c r="Z82" s="1400"/>
      <c r="AA82" s="1063"/>
      <c r="AB82" s="267"/>
      <c r="AC82" s="259"/>
      <c r="AD82" s="608"/>
      <c r="AE82" s="267"/>
      <c r="AF82" s="268"/>
      <c r="AG82" s="269">
        <f t="shared" si="8"/>
        <v>0</v>
      </c>
      <c r="AH82" s="271" t="e">
        <f t="shared" si="9"/>
        <v>#N/A</v>
      </c>
      <c r="AI82" s="272" t="e">
        <f>IF(AH82&lt;=1,"Remota",VLOOKUP(AH82,[71]Listas!$C$6:$D$10,2,0))</f>
        <v>#N/A</v>
      </c>
      <c r="AJ82" s="271" t="e">
        <f t="shared" si="10"/>
        <v>#N/A</v>
      </c>
      <c r="AK82" s="272" t="e">
        <f>IF(AJ82&lt;=1,"Insignificante",HLOOKUP(AJ82,[71]Listas!$F$3:$J$4,2,0))</f>
        <v>#N/A</v>
      </c>
      <c r="AL82" s="273" t="e">
        <f t="shared" si="11"/>
        <v>#N/A</v>
      </c>
      <c r="AM82" s="270" t="e">
        <f>INDEX([71]Listas!$F$6:$J$10,MATCH(AI82,[71]Listas!$D$6:$D$10,0),MATCH(AK82,[71]Listas!$F$4:$J$4,0))</f>
        <v>#N/A</v>
      </c>
      <c r="AN82" s="259"/>
      <c r="AO82" s="259"/>
      <c r="AP82" s="610"/>
      <c r="AQ82" s="259"/>
      <c r="AR82" s="259" t="s">
        <v>2343</v>
      </c>
      <c r="AS82" s="608"/>
      <c r="AT82" s="259"/>
      <c r="AU82" s="259"/>
      <c r="AV82" s="261"/>
      <c r="AW82" s="261"/>
      <c r="AX82" s="608"/>
      <c r="AY82" s="262"/>
    </row>
    <row r="83" spans="1:51" s="260" customFormat="1" ht="103.5" hidden="1" customHeight="1">
      <c r="A83" s="608"/>
      <c r="B83" s="266"/>
      <c r="C83" s="1399"/>
      <c r="D83" s="1408"/>
      <c r="E83" s="1400"/>
      <c r="F83" s="267"/>
      <c r="G83" s="1399"/>
      <c r="H83" s="1408"/>
      <c r="I83" s="1400"/>
      <c r="J83" s="1380"/>
      <c r="K83" s="1380"/>
      <c r="L83" s="1380"/>
      <c r="M83" s="608"/>
      <c r="N83" s="608"/>
      <c r="O83" s="608"/>
      <c r="P83" s="608"/>
      <c r="Q83" s="266"/>
      <c r="R83" s="266"/>
      <c r="S83" s="268"/>
      <c r="T83" s="269" t="e">
        <f>VLOOKUP(Q83,[71]Listas!$D$6:$E$10,2,0)</f>
        <v>#N/A</v>
      </c>
      <c r="U83" s="269" t="e">
        <f>HLOOKUP(R83,[71]Listas!$F$4:$J$5,2,0)</f>
        <v>#N/A</v>
      </c>
      <c r="V83" s="270" t="e">
        <f>INDEX([71]Listas!$F$6:$J$10,MATCH(Q83,[71]Listas!$D$6:$D$10,0),MATCH(R83,[71]Listas!$F$4:$J$4,0))</f>
        <v>#N/A</v>
      </c>
      <c r="W83" s="268"/>
      <c r="X83" s="1399"/>
      <c r="Y83" s="1408"/>
      <c r="Z83" s="1400"/>
      <c r="AA83" s="1063"/>
      <c r="AB83" s="267"/>
      <c r="AC83" s="259"/>
      <c r="AD83" s="608"/>
      <c r="AE83" s="267"/>
      <c r="AF83" s="268"/>
      <c r="AG83" s="269">
        <f t="shared" si="8"/>
        <v>0</v>
      </c>
      <c r="AH83" s="271" t="e">
        <f t="shared" si="9"/>
        <v>#N/A</v>
      </c>
      <c r="AI83" s="272" t="e">
        <f>IF(AH83&lt;=1,"Remota",VLOOKUP(AH83,[71]Listas!$C$6:$D$10,2,0))</f>
        <v>#N/A</v>
      </c>
      <c r="AJ83" s="271" t="e">
        <f t="shared" si="10"/>
        <v>#N/A</v>
      </c>
      <c r="AK83" s="272" t="e">
        <f>IF(AJ83&lt;=1,"Insignificante",HLOOKUP(AJ83,[71]Listas!$F$3:$J$4,2,0))</f>
        <v>#N/A</v>
      </c>
      <c r="AL83" s="273" t="e">
        <f t="shared" si="11"/>
        <v>#N/A</v>
      </c>
      <c r="AM83" s="270" t="e">
        <f>INDEX([71]Listas!$F$6:$J$10,MATCH(AI83,[71]Listas!$D$6:$D$10,0),MATCH(AK83,[71]Listas!$F$4:$J$4,0))</f>
        <v>#N/A</v>
      </c>
      <c r="AN83" s="259"/>
      <c r="AO83" s="259"/>
      <c r="AP83" s="610"/>
      <c r="AQ83" s="259"/>
      <c r="AR83" s="259" t="s">
        <v>2343</v>
      </c>
      <c r="AS83" s="608"/>
      <c r="AT83" s="259"/>
      <c r="AU83" s="259"/>
      <c r="AV83" s="261"/>
      <c r="AW83" s="261"/>
      <c r="AX83" s="608"/>
      <c r="AY83" s="262"/>
    </row>
    <row r="84" spans="1:51" s="260" customFormat="1" ht="103.5" hidden="1" customHeight="1">
      <c r="A84" s="608"/>
      <c r="B84" s="266"/>
      <c r="C84" s="1399"/>
      <c r="D84" s="1408"/>
      <c r="E84" s="1400"/>
      <c r="F84" s="267"/>
      <c r="G84" s="1399"/>
      <c r="H84" s="1408"/>
      <c r="I84" s="1400"/>
      <c r="J84" s="1380"/>
      <c r="K84" s="1380"/>
      <c r="L84" s="1380"/>
      <c r="M84" s="608"/>
      <c r="N84" s="608"/>
      <c r="O84" s="608"/>
      <c r="P84" s="608"/>
      <c r="Q84" s="266"/>
      <c r="R84" s="266"/>
      <c r="S84" s="268"/>
      <c r="T84" s="269" t="e">
        <f>VLOOKUP(Q84,[71]Listas!$D$6:$E$10,2,0)</f>
        <v>#N/A</v>
      </c>
      <c r="U84" s="269" t="e">
        <f>HLOOKUP(R84,[71]Listas!$F$4:$J$5,2,0)</f>
        <v>#N/A</v>
      </c>
      <c r="V84" s="270" t="e">
        <f>INDEX([71]Listas!$F$6:$J$10,MATCH(Q84,[71]Listas!$D$6:$D$10,0),MATCH(R84,[71]Listas!$F$4:$J$4,0))</f>
        <v>#N/A</v>
      </c>
      <c r="W84" s="268"/>
      <c r="X84" s="1399"/>
      <c r="Y84" s="1408"/>
      <c r="Z84" s="1400"/>
      <c r="AA84" s="1063"/>
      <c r="AB84" s="267"/>
      <c r="AC84" s="259"/>
      <c r="AD84" s="608"/>
      <c r="AE84" s="267"/>
      <c r="AF84" s="268"/>
      <c r="AG84" s="269">
        <f t="shared" si="8"/>
        <v>0</v>
      </c>
      <c r="AH84" s="271" t="e">
        <f t="shared" si="9"/>
        <v>#N/A</v>
      </c>
      <c r="AI84" s="272" t="e">
        <f>IF(AH84&lt;=1,"Remota",VLOOKUP(AH84,[71]Listas!$C$6:$D$10,2,0))</f>
        <v>#N/A</v>
      </c>
      <c r="AJ84" s="271" t="e">
        <f t="shared" si="10"/>
        <v>#N/A</v>
      </c>
      <c r="AK84" s="272" t="e">
        <f>IF(AJ84&lt;=1,"Insignificante",HLOOKUP(AJ84,[71]Listas!$F$3:$J$4,2,0))</f>
        <v>#N/A</v>
      </c>
      <c r="AL84" s="273" t="e">
        <f t="shared" si="11"/>
        <v>#N/A</v>
      </c>
      <c r="AM84" s="270" t="e">
        <f>INDEX([71]Listas!$F$6:$J$10,MATCH(AI84,[71]Listas!$D$6:$D$10,0),MATCH(AK84,[71]Listas!$F$4:$J$4,0))</f>
        <v>#N/A</v>
      </c>
      <c r="AN84" s="259"/>
      <c r="AO84" s="259"/>
      <c r="AP84" s="610"/>
      <c r="AQ84" s="259"/>
      <c r="AR84" s="259" t="s">
        <v>2343</v>
      </c>
      <c r="AS84" s="608"/>
      <c r="AT84" s="259"/>
      <c r="AU84" s="259"/>
      <c r="AV84" s="261"/>
      <c r="AW84" s="261"/>
      <c r="AX84" s="608"/>
      <c r="AY84" s="262"/>
    </row>
    <row r="85" spans="1:51" s="260" customFormat="1" ht="103.5" hidden="1" customHeight="1">
      <c r="A85" s="608"/>
      <c r="B85" s="266"/>
      <c r="C85" s="1399"/>
      <c r="D85" s="1408"/>
      <c r="E85" s="1400"/>
      <c r="F85" s="267"/>
      <c r="G85" s="1399"/>
      <c r="H85" s="1408"/>
      <c r="I85" s="1400"/>
      <c r="J85" s="1380"/>
      <c r="K85" s="1380"/>
      <c r="L85" s="1380"/>
      <c r="M85" s="608"/>
      <c r="N85" s="608"/>
      <c r="O85" s="608"/>
      <c r="P85" s="608"/>
      <c r="Q85" s="266"/>
      <c r="R85" s="266"/>
      <c r="S85" s="268"/>
      <c r="T85" s="269" t="e">
        <f>VLOOKUP(Q85,[71]Listas!$D$6:$E$10,2,0)</f>
        <v>#N/A</v>
      </c>
      <c r="U85" s="269" t="e">
        <f>HLOOKUP(R85,[71]Listas!$F$4:$J$5,2,0)</f>
        <v>#N/A</v>
      </c>
      <c r="V85" s="270" t="e">
        <f>INDEX([71]Listas!$F$6:$J$10,MATCH(Q85,[71]Listas!$D$6:$D$10,0),MATCH(R85,[71]Listas!$F$4:$J$4,0))</f>
        <v>#N/A</v>
      </c>
      <c r="W85" s="268"/>
      <c r="X85" s="1399"/>
      <c r="Y85" s="1408"/>
      <c r="Z85" s="1400"/>
      <c r="AA85" s="1063"/>
      <c r="AB85" s="267"/>
      <c r="AC85" s="259"/>
      <c r="AD85" s="608"/>
      <c r="AE85" s="267"/>
      <c r="AF85" s="268"/>
      <c r="AG85" s="269">
        <f t="shared" si="8"/>
        <v>0</v>
      </c>
      <c r="AH85" s="271" t="e">
        <f t="shared" si="9"/>
        <v>#N/A</v>
      </c>
      <c r="AI85" s="272" t="e">
        <f>IF(AH85&lt;=1,"Remota",VLOOKUP(AH85,[71]Listas!$C$6:$D$10,2,0))</f>
        <v>#N/A</v>
      </c>
      <c r="AJ85" s="271" t="e">
        <f t="shared" si="10"/>
        <v>#N/A</v>
      </c>
      <c r="AK85" s="272" t="e">
        <f>IF(AJ85&lt;=1,"Insignificante",HLOOKUP(AJ85,[71]Listas!$F$3:$J$4,2,0))</f>
        <v>#N/A</v>
      </c>
      <c r="AL85" s="273" t="e">
        <f t="shared" si="11"/>
        <v>#N/A</v>
      </c>
      <c r="AM85" s="270" t="e">
        <f>INDEX([71]Listas!$F$6:$J$10,MATCH(AI85,[71]Listas!$D$6:$D$10,0),MATCH(AK85,[71]Listas!$F$4:$J$4,0))</f>
        <v>#N/A</v>
      </c>
      <c r="AN85" s="259"/>
      <c r="AO85" s="259"/>
      <c r="AP85" s="610"/>
      <c r="AQ85" s="259"/>
      <c r="AR85" s="259" t="s">
        <v>2343</v>
      </c>
      <c r="AS85" s="608"/>
      <c r="AT85" s="259"/>
      <c r="AU85" s="259"/>
      <c r="AV85" s="261"/>
      <c r="AW85" s="261"/>
      <c r="AX85" s="608"/>
      <c r="AY85" s="262"/>
    </row>
    <row r="86" spans="1:51" s="260" customFormat="1" ht="103.5" hidden="1" customHeight="1">
      <c r="A86" s="608"/>
      <c r="B86" s="266"/>
      <c r="C86" s="1399"/>
      <c r="D86" s="1408"/>
      <c r="E86" s="1400"/>
      <c r="F86" s="267"/>
      <c r="G86" s="1399"/>
      <c r="H86" s="1408"/>
      <c r="I86" s="1400"/>
      <c r="J86" s="1380"/>
      <c r="K86" s="1380"/>
      <c r="L86" s="1380"/>
      <c r="M86" s="608"/>
      <c r="N86" s="608"/>
      <c r="O86" s="608"/>
      <c r="P86" s="608"/>
      <c r="Q86" s="266"/>
      <c r="R86" s="266"/>
      <c r="S86" s="268"/>
      <c r="T86" s="269" t="e">
        <f>VLOOKUP(Q86,[71]Listas!$D$6:$E$10,2,0)</f>
        <v>#N/A</v>
      </c>
      <c r="U86" s="269" t="e">
        <f>HLOOKUP(R86,[71]Listas!$F$4:$J$5,2,0)</f>
        <v>#N/A</v>
      </c>
      <c r="V86" s="270" t="e">
        <f>INDEX([71]Listas!$F$6:$J$10,MATCH(Q86,[71]Listas!$D$6:$D$10,0),MATCH(R86,[71]Listas!$F$4:$J$4,0))</f>
        <v>#N/A</v>
      </c>
      <c r="W86" s="268"/>
      <c r="X86" s="1399"/>
      <c r="Y86" s="1408"/>
      <c r="Z86" s="1400"/>
      <c r="AA86" s="1063"/>
      <c r="AB86" s="267"/>
      <c r="AC86" s="259"/>
      <c r="AD86" s="608"/>
      <c r="AE86" s="267"/>
      <c r="AF86" s="268"/>
      <c r="AG86" s="269">
        <f t="shared" si="8"/>
        <v>0</v>
      </c>
      <c r="AH86" s="271" t="e">
        <f t="shared" si="9"/>
        <v>#N/A</v>
      </c>
      <c r="AI86" s="272" t="e">
        <f>IF(AH86&lt;=1,"Remota",VLOOKUP(AH86,[71]Listas!$C$6:$D$10,2,0))</f>
        <v>#N/A</v>
      </c>
      <c r="AJ86" s="271" t="e">
        <f t="shared" si="10"/>
        <v>#N/A</v>
      </c>
      <c r="AK86" s="272" t="e">
        <f>IF(AJ86&lt;=1,"Insignificante",HLOOKUP(AJ86,[71]Listas!$F$3:$J$4,2,0))</f>
        <v>#N/A</v>
      </c>
      <c r="AL86" s="273" t="e">
        <f t="shared" si="11"/>
        <v>#N/A</v>
      </c>
      <c r="AM86" s="270" t="e">
        <f>INDEX([71]Listas!$F$6:$J$10,MATCH(AI86,[71]Listas!$D$6:$D$10,0),MATCH(AK86,[71]Listas!$F$4:$J$4,0))</f>
        <v>#N/A</v>
      </c>
      <c r="AN86" s="259"/>
      <c r="AO86" s="259"/>
      <c r="AP86" s="610"/>
      <c r="AQ86" s="259"/>
      <c r="AR86" s="259" t="s">
        <v>2343</v>
      </c>
      <c r="AS86" s="608"/>
      <c r="AT86" s="259"/>
      <c r="AU86" s="259"/>
      <c r="AV86" s="261"/>
      <c r="AW86" s="261"/>
      <c r="AX86" s="608"/>
      <c r="AY86" s="262"/>
    </row>
    <row r="87" spans="1:51" s="260" customFormat="1" ht="103.5" hidden="1" customHeight="1">
      <c r="A87" s="608"/>
      <c r="B87" s="266"/>
      <c r="C87" s="1399"/>
      <c r="D87" s="1408"/>
      <c r="E87" s="1400"/>
      <c r="F87" s="267"/>
      <c r="G87" s="1399"/>
      <c r="H87" s="1408"/>
      <c r="I87" s="1400"/>
      <c r="J87" s="1380"/>
      <c r="K87" s="1380"/>
      <c r="L87" s="1380"/>
      <c r="M87" s="608"/>
      <c r="N87" s="608"/>
      <c r="O87" s="608"/>
      <c r="P87" s="608"/>
      <c r="Q87" s="266"/>
      <c r="R87" s="266"/>
      <c r="S87" s="268"/>
      <c r="T87" s="269" t="e">
        <f>VLOOKUP(Q87,[71]Listas!$D$6:$E$10,2,0)</f>
        <v>#N/A</v>
      </c>
      <c r="U87" s="269" t="e">
        <f>HLOOKUP(R87,[71]Listas!$F$4:$J$5,2,0)</f>
        <v>#N/A</v>
      </c>
      <c r="V87" s="270" t="e">
        <f>INDEX([71]Listas!$F$6:$J$10,MATCH(Q87,[71]Listas!$D$6:$D$10,0),MATCH(R87,[71]Listas!$F$4:$J$4,0))</f>
        <v>#N/A</v>
      </c>
      <c r="W87" s="268"/>
      <c r="X87" s="1399"/>
      <c r="Y87" s="1408"/>
      <c r="Z87" s="1400"/>
      <c r="AA87" s="1063"/>
      <c r="AB87" s="267"/>
      <c r="AC87" s="259"/>
      <c r="AD87" s="608"/>
      <c r="AE87" s="267"/>
      <c r="AF87" s="268"/>
      <c r="AG87" s="269">
        <f t="shared" si="8"/>
        <v>0</v>
      </c>
      <c r="AH87" s="271" t="e">
        <f t="shared" si="9"/>
        <v>#N/A</v>
      </c>
      <c r="AI87" s="272" t="e">
        <f>IF(AH87&lt;=1,"Remota",VLOOKUP(AH87,[71]Listas!$C$6:$D$10,2,0))</f>
        <v>#N/A</v>
      </c>
      <c r="AJ87" s="271" t="e">
        <f t="shared" si="10"/>
        <v>#N/A</v>
      </c>
      <c r="AK87" s="272" t="e">
        <f>IF(AJ87&lt;=1,"Insignificante",HLOOKUP(AJ87,[71]Listas!$F$3:$J$4,2,0))</f>
        <v>#N/A</v>
      </c>
      <c r="AL87" s="273" t="e">
        <f t="shared" si="11"/>
        <v>#N/A</v>
      </c>
      <c r="AM87" s="270" t="e">
        <f>INDEX([71]Listas!$F$6:$J$10,MATCH(AI87,[71]Listas!$D$6:$D$10,0),MATCH(AK87,[71]Listas!$F$4:$J$4,0))</f>
        <v>#N/A</v>
      </c>
      <c r="AN87" s="259"/>
      <c r="AO87" s="259"/>
      <c r="AP87" s="610"/>
      <c r="AQ87" s="259"/>
      <c r="AR87" s="259" t="s">
        <v>2343</v>
      </c>
      <c r="AS87" s="608"/>
      <c r="AT87" s="259"/>
      <c r="AU87" s="259"/>
      <c r="AV87" s="261"/>
      <c r="AW87" s="261"/>
      <c r="AX87" s="608"/>
      <c r="AY87" s="262"/>
    </row>
    <row r="88" spans="1:51" s="260" customFormat="1" ht="103.5" hidden="1" customHeight="1">
      <c r="A88" s="608"/>
      <c r="B88" s="266"/>
      <c r="C88" s="1399"/>
      <c r="D88" s="1408"/>
      <c r="E88" s="1400"/>
      <c r="F88" s="267"/>
      <c r="G88" s="1399"/>
      <c r="H88" s="1408"/>
      <c r="I88" s="1400"/>
      <c r="J88" s="1380"/>
      <c r="K88" s="1380"/>
      <c r="L88" s="1380"/>
      <c r="M88" s="608"/>
      <c r="N88" s="608"/>
      <c r="O88" s="608"/>
      <c r="P88" s="608"/>
      <c r="Q88" s="266"/>
      <c r="R88" s="266"/>
      <c r="S88" s="268"/>
      <c r="T88" s="269" t="e">
        <f>VLOOKUP(Q88,[71]Listas!$D$6:$E$10,2,0)</f>
        <v>#N/A</v>
      </c>
      <c r="U88" s="269" t="e">
        <f>HLOOKUP(R88,[71]Listas!$F$4:$J$5,2,0)</f>
        <v>#N/A</v>
      </c>
      <c r="V88" s="270" t="e">
        <f>INDEX([71]Listas!$F$6:$J$10,MATCH(Q88,[71]Listas!$D$6:$D$10,0),MATCH(R88,[71]Listas!$F$4:$J$4,0))</f>
        <v>#N/A</v>
      </c>
      <c r="W88" s="268"/>
      <c r="X88" s="1399"/>
      <c r="Y88" s="1408"/>
      <c r="Z88" s="1400"/>
      <c r="AA88" s="1063"/>
      <c r="AB88" s="267"/>
      <c r="AC88" s="259"/>
      <c r="AD88" s="608"/>
      <c r="AE88" s="267"/>
      <c r="AF88" s="268"/>
      <c r="AG88" s="269">
        <f t="shared" si="8"/>
        <v>0</v>
      </c>
      <c r="AH88" s="271" t="e">
        <f t="shared" si="9"/>
        <v>#N/A</v>
      </c>
      <c r="AI88" s="272" t="e">
        <f>IF(AH88&lt;=1,"Remota",VLOOKUP(AH88,[71]Listas!$C$6:$D$10,2,0))</f>
        <v>#N/A</v>
      </c>
      <c r="AJ88" s="271" t="e">
        <f t="shared" si="10"/>
        <v>#N/A</v>
      </c>
      <c r="AK88" s="272" t="e">
        <f>IF(AJ88&lt;=1,"Insignificante",HLOOKUP(AJ88,[71]Listas!$F$3:$J$4,2,0))</f>
        <v>#N/A</v>
      </c>
      <c r="AL88" s="273" t="e">
        <f t="shared" si="11"/>
        <v>#N/A</v>
      </c>
      <c r="AM88" s="270" t="e">
        <f>INDEX([71]Listas!$F$6:$J$10,MATCH(AI88,[71]Listas!$D$6:$D$10,0),MATCH(AK88,[71]Listas!$F$4:$J$4,0))</f>
        <v>#N/A</v>
      </c>
      <c r="AN88" s="259"/>
      <c r="AO88" s="259"/>
      <c r="AP88" s="610"/>
      <c r="AQ88" s="259"/>
      <c r="AR88" s="259" t="s">
        <v>2343</v>
      </c>
      <c r="AS88" s="608"/>
      <c r="AT88" s="259"/>
      <c r="AU88" s="259"/>
      <c r="AV88" s="261"/>
      <c r="AW88" s="261"/>
      <c r="AX88" s="608"/>
      <c r="AY88" s="262"/>
    </row>
    <row r="89" spans="1:51" s="260" customFormat="1" ht="103.5" hidden="1" customHeight="1">
      <c r="A89" s="608"/>
      <c r="B89" s="266"/>
      <c r="C89" s="1399"/>
      <c r="D89" s="1408"/>
      <c r="E89" s="1400"/>
      <c r="F89" s="267"/>
      <c r="G89" s="1399"/>
      <c r="H89" s="1408"/>
      <c r="I89" s="1400"/>
      <c r="J89" s="1380"/>
      <c r="K89" s="1380"/>
      <c r="L89" s="1380"/>
      <c r="M89" s="608"/>
      <c r="N89" s="608"/>
      <c r="O89" s="608"/>
      <c r="P89" s="608"/>
      <c r="Q89" s="266"/>
      <c r="R89" s="266"/>
      <c r="S89" s="268"/>
      <c r="T89" s="269" t="e">
        <f>VLOOKUP(Q89,[71]Listas!$D$6:$E$10,2,0)</f>
        <v>#N/A</v>
      </c>
      <c r="U89" s="269" t="e">
        <f>HLOOKUP(R89,[71]Listas!$F$4:$J$5,2,0)</f>
        <v>#N/A</v>
      </c>
      <c r="V89" s="270" t="e">
        <f>INDEX([71]Listas!$F$6:$J$10,MATCH(Q89,[71]Listas!$D$6:$D$10,0),MATCH(R89,[71]Listas!$F$4:$J$4,0))</f>
        <v>#N/A</v>
      </c>
      <c r="W89" s="268"/>
      <c r="X89" s="1399"/>
      <c r="Y89" s="1408"/>
      <c r="Z89" s="1400"/>
      <c r="AA89" s="1063"/>
      <c r="AB89" s="267"/>
      <c r="AC89" s="259"/>
      <c r="AD89" s="608"/>
      <c r="AE89" s="267"/>
      <c r="AF89" s="268"/>
      <c r="AG89" s="269">
        <f t="shared" si="8"/>
        <v>0</v>
      </c>
      <c r="AH89" s="271" t="e">
        <f t="shared" si="9"/>
        <v>#N/A</v>
      </c>
      <c r="AI89" s="272" t="e">
        <f>IF(AH89&lt;=1,"Remota",VLOOKUP(AH89,[71]Listas!$C$6:$D$10,2,0))</f>
        <v>#N/A</v>
      </c>
      <c r="AJ89" s="271" t="e">
        <f t="shared" si="10"/>
        <v>#N/A</v>
      </c>
      <c r="AK89" s="272" t="e">
        <f>IF(AJ89&lt;=1,"Insignificante",HLOOKUP(AJ89,[71]Listas!$F$3:$J$4,2,0))</f>
        <v>#N/A</v>
      </c>
      <c r="AL89" s="273" t="e">
        <f t="shared" si="11"/>
        <v>#N/A</v>
      </c>
      <c r="AM89" s="270" t="e">
        <f>INDEX([71]Listas!$F$6:$J$10,MATCH(AI89,[71]Listas!$D$6:$D$10,0),MATCH(AK89,[71]Listas!$F$4:$J$4,0))</f>
        <v>#N/A</v>
      </c>
      <c r="AN89" s="259"/>
      <c r="AO89" s="259"/>
      <c r="AP89" s="610"/>
      <c r="AQ89" s="259"/>
      <c r="AR89" s="259" t="s">
        <v>2343</v>
      </c>
      <c r="AS89" s="608"/>
      <c r="AT89" s="259"/>
      <c r="AU89" s="259"/>
      <c r="AV89" s="261"/>
      <c r="AW89" s="261"/>
      <c r="AX89" s="608"/>
      <c r="AY89" s="262"/>
    </row>
    <row r="90" spans="1:51" s="260" customFormat="1" ht="103.5" hidden="1" customHeight="1">
      <c r="A90" s="608"/>
      <c r="B90" s="266"/>
      <c r="C90" s="1399"/>
      <c r="D90" s="1408"/>
      <c r="E90" s="1400"/>
      <c r="F90" s="267"/>
      <c r="G90" s="1399"/>
      <c r="H90" s="1408"/>
      <c r="I90" s="1400"/>
      <c r="J90" s="1380"/>
      <c r="K90" s="1380"/>
      <c r="L90" s="1380"/>
      <c r="M90" s="608"/>
      <c r="N90" s="608"/>
      <c r="O90" s="608"/>
      <c r="P90" s="608"/>
      <c r="Q90" s="266"/>
      <c r="R90" s="266"/>
      <c r="S90" s="268"/>
      <c r="T90" s="269" t="e">
        <f>VLOOKUP(Q90,[71]Listas!$D$6:$E$10,2,0)</f>
        <v>#N/A</v>
      </c>
      <c r="U90" s="269" t="e">
        <f>HLOOKUP(R90,[71]Listas!$F$4:$J$5,2,0)</f>
        <v>#N/A</v>
      </c>
      <c r="V90" s="270" t="e">
        <f>INDEX([71]Listas!$F$6:$J$10,MATCH(Q90,[71]Listas!$D$6:$D$10,0),MATCH(R90,[71]Listas!$F$4:$J$4,0))</f>
        <v>#N/A</v>
      </c>
      <c r="W90" s="268"/>
      <c r="X90" s="1399"/>
      <c r="Y90" s="1408"/>
      <c r="Z90" s="1400"/>
      <c r="AA90" s="1063"/>
      <c r="AB90" s="267"/>
      <c r="AC90" s="259"/>
      <c r="AD90" s="608"/>
      <c r="AE90" s="267"/>
      <c r="AF90" s="268"/>
      <c r="AG90" s="269">
        <f t="shared" si="8"/>
        <v>0</v>
      </c>
      <c r="AH90" s="271" t="e">
        <f t="shared" si="9"/>
        <v>#N/A</v>
      </c>
      <c r="AI90" s="272" t="e">
        <f>IF(AH90&lt;=1,"Remota",VLOOKUP(AH90,[71]Listas!$C$6:$D$10,2,0))</f>
        <v>#N/A</v>
      </c>
      <c r="AJ90" s="271" t="e">
        <f t="shared" si="10"/>
        <v>#N/A</v>
      </c>
      <c r="AK90" s="272" t="e">
        <f>IF(AJ90&lt;=1,"Insignificante",HLOOKUP(AJ90,[71]Listas!$F$3:$J$4,2,0))</f>
        <v>#N/A</v>
      </c>
      <c r="AL90" s="273" t="e">
        <f t="shared" si="11"/>
        <v>#N/A</v>
      </c>
      <c r="AM90" s="270" t="e">
        <f>INDEX([71]Listas!$F$6:$J$10,MATCH(AI90,[71]Listas!$D$6:$D$10,0),MATCH(AK90,[71]Listas!$F$4:$J$4,0))</f>
        <v>#N/A</v>
      </c>
      <c r="AN90" s="259"/>
      <c r="AO90" s="259"/>
      <c r="AP90" s="610"/>
      <c r="AQ90" s="259"/>
      <c r="AR90" s="259" t="s">
        <v>2343</v>
      </c>
      <c r="AS90" s="608"/>
      <c r="AT90" s="259"/>
      <c r="AU90" s="259"/>
      <c r="AV90" s="261"/>
      <c r="AW90" s="261"/>
      <c r="AX90" s="608"/>
      <c r="AY90" s="262"/>
    </row>
    <row r="91" spans="1:51" s="260" customFormat="1" ht="103.5" hidden="1" customHeight="1">
      <c r="A91" s="608"/>
      <c r="B91" s="266"/>
      <c r="C91" s="1399"/>
      <c r="D91" s="1408"/>
      <c r="E91" s="1400"/>
      <c r="F91" s="267"/>
      <c r="G91" s="1399"/>
      <c r="H91" s="1408"/>
      <c r="I91" s="1400"/>
      <c r="J91" s="1380"/>
      <c r="K91" s="1380"/>
      <c r="L91" s="1380"/>
      <c r="M91" s="608"/>
      <c r="N91" s="608"/>
      <c r="O91" s="608"/>
      <c r="P91" s="608"/>
      <c r="Q91" s="266"/>
      <c r="R91" s="266"/>
      <c r="S91" s="268"/>
      <c r="T91" s="269" t="e">
        <f>VLOOKUP(Q91,[71]Listas!$D$6:$E$10,2,0)</f>
        <v>#N/A</v>
      </c>
      <c r="U91" s="269" t="e">
        <f>HLOOKUP(R91,[71]Listas!$F$4:$J$5,2,0)</f>
        <v>#N/A</v>
      </c>
      <c r="V91" s="270" t="e">
        <f>INDEX([71]Listas!$F$6:$J$10,MATCH(Q91,[71]Listas!$D$6:$D$10,0),MATCH(R91,[71]Listas!$F$4:$J$4,0))</f>
        <v>#N/A</v>
      </c>
      <c r="W91" s="268"/>
      <c r="X91" s="1399"/>
      <c r="Y91" s="1408"/>
      <c r="Z91" s="1400"/>
      <c r="AA91" s="1063"/>
      <c r="AB91" s="267"/>
      <c r="AC91" s="259"/>
      <c r="AD91" s="608"/>
      <c r="AE91" s="267"/>
      <c r="AF91" s="268"/>
      <c r="AG91" s="269">
        <f t="shared" si="8"/>
        <v>0</v>
      </c>
      <c r="AH91" s="271" t="e">
        <f t="shared" si="9"/>
        <v>#N/A</v>
      </c>
      <c r="AI91" s="272" t="e">
        <f>IF(AH91&lt;=1,"Remota",VLOOKUP(AH91,[71]Listas!$C$6:$D$10,2,0))</f>
        <v>#N/A</v>
      </c>
      <c r="AJ91" s="271" t="e">
        <f t="shared" si="10"/>
        <v>#N/A</v>
      </c>
      <c r="AK91" s="272" t="e">
        <f>IF(AJ91&lt;=1,"Insignificante",HLOOKUP(AJ91,[71]Listas!$F$3:$J$4,2,0))</f>
        <v>#N/A</v>
      </c>
      <c r="AL91" s="273" t="e">
        <f t="shared" si="11"/>
        <v>#N/A</v>
      </c>
      <c r="AM91" s="270" t="e">
        <f>INDEX([71]Listas!$F$6:$J$10,MATCH(AI91,[71]Listas!$D$6:$D$10,0),MATCH(AK91,[71]Listas!$F$4:$J$4,0))</f>
        <v>#N/A</v>
      </c>
      <c r="AN91" s="259"/>
      <c r="AO91" s="259"/>
      <c r="AP91" s="610"/>
      <c r="AQ91" s="259"/>
      <c r="AR91" s="259" t="s">
        <v>2343</v>
      </c>
      <c r="AS91" s="608"/>
      <c r="AT91" s="259"/>
      <c r="AU91" s="259"/>
      <c r="AV91" s="261"/>
      <c r="AW91" s="261"/>
      <c r="AX91" s="608"/>
      <c r="AY91" s="262"/>
    </row>
    <row r="92" spans="1:51" s="260" customFormat="1" ht="103.5" hidden="1" customHeight="1">
      <c r="A92" s="608"/>
      <c r="B92" s="266"/>
      <c r="C92" s="1399"/>
      <c r="D92" s="1408"/>
      <c r="E92" s="1400"/>
      <c r="F92" s="267"/>
      <c r="G92" s="1399"/>
      <c r="H92" s="1408"/>
      <c r="I92" s="1400"/>
      <c r="J92" s="1380"/>
      <c r="K92" s="1380"/>
      <c r="L92" s="1380"/>
      <c r="M92" s="608"/>
      <c r="N92" s="608"/>
      <c r="O92" s="608"/>
      <c r="P92" s="608"/>
      <c r="Q92" s="266"/>
      <c r="R92" s="266"/>
      <c r="S92" s="268"/>
      <c r="T92" s="269" t="e">
        <f>VLOOKUP(Q92,[71]Listas!$D$6:$E$10,2,0)</f>
        <v>#N/A</v>
      </c>
      <c r="U92" s="269" t="e">
        <f>HLOOKUP(R92,[71]Listas!$F$4:$J$5,2,0)</f>
        <v>#N/A</v>
      </c>
      <c r="V92" s="270" t="e">
        <f>INDEX([71]Listas!$F$6:$J$10,MATCH(Q92,[71]Listas!$D$6:$D$10,0),MATCH(R92,[71]Listas!$F$4:$J$4,0))</f>
        <v>#N/A</v>
      </c>
      <c r="W92" s="268"/>
      <c r="X92" s="1399"/>
      <c r="Y92" s="1408"/>
      <c r="Z92" s="1400"/>
      <c r="AA92" s="1063"/>
      <c r="AB92" s="267"/>
      <c r="AC92" s="259"/>
      <c r="AD92" s="608"/>
      <c r="AE92" s="267"/>
      <c r="AF92" s="268"/>
      <c r="AG92" s="269">
        <f t="shared" si="8"/>
        <v>0</v>
      </c>
      <c r="AH92" s="271" t="e">
        <f t="shared" si="9"/>
        <v>#N/A</v>
      </c>
      <c r="AI92" s="272" t="e">
        <f>IF(AH92&lt;=1,"Remota",VLOOKUP(AH92,[71]Listas!$C$6:$D$10,2,0))</f>
        <v>#N/A</v>
      </c>
      <c r="AJ92" s="271" t="e">
        <f t="shared" si="10"/>
        <v>#N/A</v>
      </c>
      <c r="AK92" s="272" t="e">
        <f>IF(AJ92&lt;=1,"Insignificante",HLOOKUP(AJ92,[71]Listas!$F$3:$J$4,2,0))</f>
        <v>#N/A</v>
      </c>
      <c r="AL92" s="273" t="e">
        <f t="shared" si="11"/>
        <v>#N/A</v>
      </c>
      <c r="AM92" s="270" t="e">
        <f>INDEX([71]Listas!$F$6:$J$10,MATCH(AI92,[71]Listas!$D$6:$D$10,0),MATCH(AK92,[71]Listas!$F$4:$J$4,0))</f>
        <v>#N/A</v>
      </c>
      <c r="AN92" s="259"/>
      <c r="AO92" s="259"/>
      <c r="AP92" s="610"/>
      <c r="AQ92" s="259"/>
      <c r="AR92" s="259" t="s">
        <v>2343</v>
      </c>
      <c r="AS92" s="608"/>
      <c r="AT92" s="259"/>
      <c r="AU92" s="259"/>
      <c r="AV92" s="261"/>
      <c r="AW92" s="261"/>
      <c r="AX92" s="608"/>
      <c r="AY92" s="262"/>
    </row>
    <row r="93" spans="1:51" s="260" customFormat="1" ht="103.5" hidden="1" customHeight="1">
      <c r="A93" s="608"/>
      <c r="B93" s="266"/>
      <c r="C93" s="1399"/>
      <c r="D93" s="1408"/>
      <c r="E93" s="1400"/>
      <c r="F93" s="267"/>
      <c r="G93" s="1399"/>
      <c r="H93" s="1408"/>
      <c r="I93" s="1400"/>
      <c r="J93" s="1380"/>
      <c r="K93" s="1380"/>
      <c r="L93" s="1380"/>
      <c r="M93" s="608"/>
      <c r="N93" s="608"/>
      <c r="O93" s="608"/>
      <c r="P93" s="608"/>
      <c r="Q93" s="266"/>
      <c r="R93" s="266"/>
      <c r="S93" s="268"/>
      <c r="T93" s="269" t="e">
        <f>VLOOKUP(Q93,[71]Listas!$D$6:$E$10,2,0)</f>
        <v>#N/A</v>
      </c>
      <c r="U93" s="269" t="e">
        <f>HLOOKUP(R93,[71]Listas!$F$4:$J$5,2,0)</f>
        <v>#N/A</v>
      </c>
      <c r="V93" s="270" t="e">
        <f>INDEX([71]Listas!$F$6:$J$10,MATCH(Q93,[71]Listas!$D$6:$D$10,0),MATCH(R93,[71]Listas!$F$4:$J$4,0))</f>
        <v>#N/A</v>
      </c>
      <c r="W93" s="268"/>
      <c r="X93" s="1399"/>
      <c r="Y93" s="1408"/>
      <c r="Z93" s="1400"/>
      <c r="AA93" s="1063"/>
      <c r="AB93" s="267"/>
      <c r="AC93" s="259"/>
      <c r="AD93" s="608"/>
      <c r="AE93" s="267"/>
      <c r="AF93" s="268"/>
      <c r="AG93" s="269">
        <f t="shared" si="8"/>
        <v>0</v>
      </c>
      <c r="AH93" s="271" t="e">
        <f t="shared" si="9"/>
        <v>#N/A</v>
      </c>
      <c r="AI93" s="272" t="e">
        <f>IF(AH93&lt;=1,"Remota",VLOOKUP(AH93,[71]Listas!$C$6:$D$10,2,0))</f>
        <v>#N/A</v>
      </c>
      <c r="AJ93" s="271" t="e">
        <f t="shared" si="10"/>
        <v>#N/A</v>
      </c>
      <c r="AK93" s="272" t="e">
        <f>IF(AJ93&lt;=1,"Insignificante",HLOOKUP(AJ93,[71]Listas!$F$3:$J$4,2,0))</f>
        <v>#N/A</v>
      </c>
      <c r="AL93" s="273" t="e">
        <f t="shared" si="11"/>
        <v>#N/A</v>
      </c>
      <c r="AM93" s="270" t="e">
        <f>INDEX([71]Listas!$F$6:$J$10,MATCH(AI93,[71]Listas!$D$6:$D$10,0),MATCH(AK93,[71]Listas!$F$4:$J$4,0))</f>
        <v>#N/A</v>
      </c>
      <c r="AN93" s="259"/>
      <c r="AO93" s="259"/>
      <c r="AP93" s="610"/>
      <c r="AQ93" s="259"/>
      <c r="AR93" s="259" t="s">
        <v>2343</v>
      </c>
      <c r="AS93" s="608"/>
      <c r="AT93" s="259"/>
      <c r="AU93" s="259"/>
      <c r="AV93" s="261"/>
      <c r="AW93" s="261"/>
      <c r="AX93" s="608"/>
      <c r="AY93" s="262"/>
    </row>
    <row r="94" spans="1:51" s="260" customFormat="1" ht="103.5" hidden="1" customHeight="1">
      <c r="A94" s="608"/>
      <c r="B94" s="266"/>
      <c r="C94" s="1399"/>
      <c r="D94" s="1408"/>
      <c r="E94" s="1400"/>
      <c r="F94" s="267"/>
      <c r="G94" s="1399"/>
      <c r="H94" s="1408"/>
      <c r="I94" s="1400"/>
      <c r="J94" s="1380"/>
      <c r="K94" s="1380"/>
      <c r="L94" s="1380"/>
      <c r="M94" s="608"/>
      <c r="N94" s="608"/>
      <c r="O94" s="608"/>
      <c r="P94" s="608"/>
      <c r="Q94" s="266"/>
      <c r="R94" s="266"/>
      <c r="S94" s="268"/>
      <c r="T94" s="269" t="e">
        <f>VLOOKUP(Q94,[71]Listas!$D$6:$E$10,2,0)</f>
        <v>#N/A</v>
      </c>
      <c r="U94" s="269" t="e">
        <f>HLOOKUP(R94,[71]Listas!$F$4:$J$5,2,0)</f>
        <v>#N/A</v>
      </c>
      <c r="V94" s="270" t="e">
        <f>INDEX([71]Listas!$F$6:$J$10,MATCH(Q94,[71]Listas!$D$6:$D$10,0),MATCH(R94,[71]Listas!$F$4:$J$4,0))</f>
        <v>#N/A</v>
      </c>
      <c r="W94" s="268"/>
      <c r="X94" s="1399"/>
      <c r="Y94" s="1408"/>
      <c r="Z94" s="1400"/>
      <c r="AA94" s="1063"/>
      <c r="AB94" s="267"/>
      <c r="AC94" s="259"/>
      <c r="AD94" s="608"/>
      <c r="AE94" s="267"/>
      <c r="AF94" s="268"/>
      <c r="AG94" s="269">
        <f t="shared" ref="AG94:AG105" si="12">IF(AD94&lt;=33,0,IF(AD94&gt;81,2,1))</f>
        <v>0</v>
      </c>
      <c r="AH94" s="271" t="e">
        <f t="shared" ref="AH94:AH105" si="13">IF(OR(AE94="Probabilidad",AE94="Ambos"),T94-AG94,T94)</f>
        <v>#N/A</v>
      </c>
      <c r="AI94" s="272" t="e">
        <f>IF(AH94&lt;=1,"Remota",VLOOKUP(AH94,[71]Listas!$C$6:$D$10,2,0))</f>
        <v>#N/A</v>
      </c>
      <c r="AJ94" s="271" t="e">
        <f t="shared" ref="AJ94:AJ105" si="14">IF(OR(AE94="Impacto",AE94="Ambos"),U94-AG94,U94)</f>
        <v>#N/A</v>
      </c>
      <c r="AK94" s="272" t="e">
        <f>IF(AJ94&lt;=1,"Insignificante",HLOOKUP(AJ94,[71]Listas!$F$3:$J$4,2,0))</f>
        <v>#N/A</v>
      </c>
      <c r="AL94" s="273" t="e">
        <f t="shared" ref="AL94:AL105" si="15">AH94*AJ94</f>
        <v>#N/A</v>
      </c>
      <c r="AM94" s="270" t="e">
        <f>INDEX([71]Listas!$F$6:$J$10,MATCH(AI94,[71]Listas!$D$6:$D$10,0),MATCH(AK94,[71]Listas!$F$4:$J$4,0))</f>
        <v>#N/A</v>
      </c>
      <c r="AN94" s="259"/>
      <c r="AO94" s="259"/>
      <c r="AP94" s="610"/>
      <c r="AQ94" s="259"/>
      <c r="AR94" s="259" t="s">
        <v>2343</v>
      </c>
      <c r="AS94" s="608"/>
      <c r="AT94" s="259"/>
      <c r="AU94" s="259"/>
      <c r="AV94" s="261"/>
      <c r="AW94" s="261"/>
      <c r="AX94" s="608"/>
      <c r="AY94" s="262"/>
    </row>
    <row r="95" spans="1:51" s="260" customFormat="1" ht="103.5" hidden="1" customHeight="1">
      <c r="A95" s="608"/>
      <c r="B95" s="266"/>
      <c r="C95" s="1399"/>
      <c r="D95" s="1408"/>
      <c r="E95" s="1400"/>
      <c r="F95" s="267"/>
      <c r="G95" s="1399"/>
      <c r="H95" s="1408"/>
      <c r="I95" s="1400"/>
      <c r="J95" s="1380"/>
      <c r="K95" s="1380"/>
      <c r="L95" s="1380"/>
      <c r="M95" s="608"/>
      <c r="N95" s="608"/>
      <c r="O95" s="608"/>
      <c r="P95" s="608"/>
      <c r="Q95" s="266"/>
      <c r="R95" s="266"/>
      <c r="S95" s="268"/>
      <c r="T95" s="269" t="e">
        <f>VLOOKUP(Q95,[71]Listas!$D$6:$E$10,2,0)</f>
        <v>#N/A</v>
      </c>
      <c r="U95" s="269" t="e">
        <f>HLOOKUP(R95,[71]Listas!$F$4:$J$5,2,0)</f>
        <v>#N/A</v>
      </c>
      <c r="V95" s="270" t="e">
        <f>INDEX([71]Listas!$F$6:$J$10,MATCH(Q95,[71]Listas!$D$6:$D$10,0),MATCH(R95,[71]Listas!$F$4:$J$4,0))</f>
        <v>#N/A</v>
      </c>
      <c r="W95" s="268"/>
      <c r="X95" s="1399"/>
      <c r="Y95" s="1408"/>
      <c r="Z95" s="1400"/>
      <c r="AA95" s="1063"/>
      <c r="AB95" s="267"/>
      <c r="AC95" s="259"/>
      <c r="AD95" s="608"/>
      <c r="AE95" s="267"/>
      <c r="AF95" s="268"/>
      <c r="AG95" s="269">
        <f t="shared" si="12"/>
        <v>0</v>
      </c>
      <c r="AH95" s="271" t="e">
        <f t="shared" si="13"/>
        <v>#N/A</v>
      </c>
      <c r="AI95" s="272" t="e">
        <f>IF(AH95&lt;=1,"Remota",VLOOKUP(AH95,[71]Listas!$C$6:$D$10,2,0))</f>
        <v>#N/A</v>
      </c>
      <c r="AJ95" s="271" t="e">
        <f t="shared" si="14"/>
        <v>#N/A</v>
      </c>
      <c r="AK95" s="272" t="e">
        <f>IF(AJ95&lt;=1,"Insignificante",HLOOKUP(AJ95,[71]Listas!$F$3:$J$4,2,0))</f>
        <v>#N/A</v>
      </c>
      <c r="AL95" s="273" t="e">
        <f t="shared" si="15"/>
        <v>#N/A</v>
      </c>
      <c r="AM95" s="270" t="e">
        <f>INDEX([71]Listas!$F$6:$J$10,MATCH(AI95,[71]Listas!$D$6:$D$10,0),MATCH(AK95,[71]Listas!$F$4:$J$4,0))</f>
        <v>#N/A</v>
      </c>
      <c r="AN95" s="259"/>
      <c r="AO95" s="259"/>
      <c r="AP95" s="610"/>
      <c r="AQ95" s="259"/>
      <c r="AR95" s="259" t="s">
        <v>2343</v>
      </c>
      <c r="AS95" s="608"/>
      <c r="AT95" s="259"/>
      <c r="AU95" s="259"/>
      <c r="AV95" s="261"/>
      <c r="AW95" s="261"/>
      <c r="AX95" s="608"/>
      <c r="AY95" s="262"/>
    </row>
    <row r="96" spans="1:51" s="260" customFormat="1" ht="103.5" hidden="1" customHeight="1">
      <c r="A96" s="608"/>
      <c r="B96" s="266"/>
      <c r="C96" s="1399"/>
      <c r="D96" s="1408"/>
      <c r="E96" s="1400"/>
      <c r="F96" s="267"/>
      <c r="G96" s="1399"/>
      <c r="H96" s="1408"/>
      <c r="I96" s="1400"/>
      <c r="J96" s="1380"/>
      <c r="K96" s="1380"/>
      <c r="L96" s="1380"/>
      <c r="M96" s="608"/>
      <c r="N96" s="608"/>
      <c r="O96" s="608"/>
      <c r="P96" s="608"/>
      <c r="Q96" s="266"/>
      <c r="R96" s="266"/>
      <c r="S96" s="268"/>
      <c r="T96" s="269" t="e">
        <f>VLOOKUP(Q96,[71]Listas!$D$6:$E$10,2,0)</f>
        <v>#N/A</v>
      </c>
      <c r="U96" s="269" t="e">
        <f>HLOOKUP(R96,[71]Listas!$F$4:$J$5,2,0)</f>
        <v>#N/A</v>
      </c>
      <c r="V96" s="270" t="e">
        <f>INDEX([71]Listas!$F$6:$J$10,MATCH(Q96,[71]Listas!$D$6:$D$10,0),MATCH(R96,[71]Listas!$F$4:$J$4,0))</f>
        <v>#N/A</v>
      </c>
      <c r="W96" s="268"/>
      <c r="X96" s="1399"/>
      <c r="Y96" s="1408"/>
      <c r="Z96" s="1400"/>
      <c r="AA96" s="1063"/>
      <c r="AB96" s="267"/>
      <c r="AC96" s="259"/>
      <c r="AD96" s="608"/>
      <c r="AE96" s="267"/>
      <c r="AF96" s="268"/>
      <c r="AG96" s="269">
        <f t="shared" si="12"/>
        <v>0</v>
      </c>
      <c r="AH96" s="271" t="e">
        <f t="shared" si="13"/>
        <v>#N/A</v>
      </c>
      <c r="AI96" s="272" t="e">
        <f>IF(AH96&lt;=1,"Remota",VLOOKUP(AH96,[71]Listas!$C$6:$D$10,2,0))</f>
        <v>#N/A</v>
      </c>
      <c r="AJ96" s="271" t="e">
        <f t="shared" si="14"/>
        <v>#N/A</v>
      </c>
      <c r="AK96" s="272" t="e">
        <f>IF(AJ96&lt;=1,"Insignificante",HLOOKUP(AJ96,[71]Listas!$F$3:$J$4,2,0))</f>
        <v>#N/A</v>
      </c>
      <c r="AL96" s="273" t="e">
        <f t="shared" si="15"/>
        <v>#N/A</v>
      </c>
      <c r="AM96" s="270" t="e">
        <f>INDEX([71]Listas!$F$6:$J$10,MATCH(AI96,[71]Listas!$D$6:$D$10,0),MATCH(AK96,[71]Listas!$F$4:$J$4,0))</f>
        <v>#N/A</v>
      </c>
      <c r="AN96" s="259"/>
      <c r="AO96" s="259"/>
      <c r="AP96" s="610"/>
      <c r="AQ96" s="259"/>
      <c r="AR96" s="259" t="s">
        <v>2343</v>
      </c>
      <c r="AS96" s="608"/>
      <c r="AT96" s="259"/>
      <c r="AU96" s="259"/>
      <c r="AV96" s="261"/>
      <c r="AW96" s="261"/>
      <c r="AX96" s="608"/>
      <c r="AY96" s="262"/>
    </row>
    <row r="97" spans="1:1027" s="260" customFormat="1" ht="103.5" hidden="1" customHeight="1">
      <c r="A97" s="608"/>
      <c r="B97" s="266"/>
      <c r="C97" s="1399"/>
      <c r="D97" s="1408"/>
      <c r="E97" s="1400"/>
      <c r="F97" s="267"/>
      <c r="G97" s="1399"/>
      <c r="H97" s="1408"/>
      <c r="I97" s="1400"/>
      <c r="J97" s="1380"/>
      <c r="K97" s="1380"/>
      <c r="L97" s="1380"/>
      <c r="M97" s="608"/>
      <c r="N97" s="608"/>
      <c r="O97" s="608"/>
      <c r="P97" s="608"/>
      <c r="Q97" s="266"/>
      <c r="R97" s="266"/>
      <c r="S97" s="268"/>
      <c r="T97" s="269" t="e">
        <f>VLOOKUP(Q97,[71]Listas!$D$6:$E$10,2,0)</f>
        <v>#N/A</v>
      </c>
      <c r="U97" s="269" t="e">
        <f>HLOOKUP(R97,[71]Listas!$F$4:$J$5,2,0)</f>
        <v>#N/A</v>
      </c>
      <c r="V97" s="270" t="e">
        <f>INDEX([71]Listas!$F$6:$J$10,MATCH(Q97,[71]Listas!$D$6:$D$10,0),MATCH(R97,[71]Listas!$F$4:$J$4,0))</f>
        <v>#N/A</v>
      </c>
      <c r="W97" s="268"/>
      <c r="X97" s="1399"/>
      <c r="Y97" s="1408"/>
      <c r="Z97" s="1400"/>
      <c r="AA97" s="1063"/>
      <c r="AB97" s="267"/>
      <c r="AC97" s="259"/>
      <c r="AD97" s="608"/>
      <c r="AE97" s="267"/>
      <c r="AF97" s="268"/>
      <c r="AG97" s="269">
        <f t="shared" si="12"/>
        <v>0</v>
      </c>
      <c r="AH97" s="271" t="e">
        <f t="shared" si="13"/>
        <v>#N/A</v>
      </c>
      <c r="AI97" s="272" t="e">
        <f>IF(AH97&lt;=1,"Remota",VLOOKUP(AH97,[71]Listas!$C$6:$D$10,2,0))</f>
        <v>#N/A</v>
      </c>
      <c r="AJ97" s="271" t="e">
        <f t="shared" si="14"/>
        <v>#N/A</v>
      </c>
      <c r="AK97" s="272" t="e">
        <f>IF(AJ97&lt;=1,"Insignificante",HLOOKUP(AJ97,[71]Listas!$F$3:$J$4,2,0))</f>
        <v>#N/A</v>
      </c>
      <c r="AL97" s="273" t="e">
        <f t="shared" si="15"/>
        <v>#N/A</v>
      </c>
      <c r="AM97" s="270" t="e">
        <f>INDEX([71]Listas!$F$6:$J$10,MATCH(AI97,[71]Listas!$D$6:$D$10,0),MATCH(AK97,[71]Listas!$F$4:$J$4,0))</f>
        <v>#N/A</v>
      </c>
      <c r="AN97" s="259"/>
      <c r="AO97" s="259"/>
      <c r="AP97" s="610"/>
      <c r="AQ97" s="259"/>
      <c r="AR97" s="259" t="s">
        <v>2343</v>
      </c>
      <c r="AS97" s="608"/>
      <c r="AT97" s="259"/>
      <c r="AU97" s="259"/>
      <c r="AV97" s="261"/>
      <c r="AW97" s="261"/>
      <c r="AX97" s="608"/>
      <c r="AY97" s="262"/>
    </row>
    <row r="98" spans="1:1027" s="260" customFormat="1" ht="103.5" hidden="1" customHeight="1">
      <c r="A98" s="608"/>
      <c r="B98" s="266"/>
      <c r="C98" s="1399"/>
      <c r="D98" s="1408"/>
      <c r="E98" s="1400"/>
      <c r="F98" s="267"/>
      <c r="G98" s="1399"/>
      <c r="H98" s="1408"/>
      <c r="I98" s="1400"/>
      <c r="J98" s="1380"/>
      <c r="K98" s="1380"/>
      <c r="L98" s="1380"/>
      <c r="M98" s="608"/>
      <c r="N98" s="608"/>
      <c r="O98" s="608"/>
      <c r="P98" s="608"/>
      <c r="Q98" s="266"/>
      <c r="R98" s="266"/>
      <c r="S98" s="268"/>
      <c r="T98" s="269" t="e">
        <f>VLOOKUP(Q98,[71]Listas!$D$6:$E$10,2,0)</f>
        <v>#N/A</v>
      </c>
      <c r="U98" s="269" t="e">
        <f>HLOOKUP(R98,[71]Listas!$F$4:$J$5,2,0)</f>
        <v>#N/A</v>
      </c>
      <c r="V98" s="270" t="e">
        <f>INDEX([71]Listas!$F$6:$J$10,MATCH(Q98,[71]Listas!$D$6:$D$10,0),MATCH(R98,[71]Listas!$F$4:$J$4,0))</f>
        <v>#N/A</v>
      </c>
      <c r="W98" s="268"/>
      <c r="X98" s="1399"/>
      <c r="Y98" s="1408"/>
      <c r="Z98" s="1400"/>
      <c r="AA98" s="1063"/>
      <c r="AB98" s="267"/>
      <c r="AC98" s="259"/>
      <c r="AD98" s="608"/>
      <c r="AE98" s="267"/>
      <c r="AF98" s="268"/>
      <c r="AG98" s="269">
        <f t="shared" si="12"/>
        <v>0</v>
      </c>
      <c r="AH98" s="271" t="e">
        <f t="shared" si="13"/>
        <v>#N/A</v>
      </c>
      <c r="AI98" s="272" t="e">
        <f>IF(AH98&lt;=1,"Remota",VLOOKUP(AH98,[71]Listas!$C$6:$D$10,2,0))</f>
        <v>#N/A</v>
      </c>
      <c r="AJ98" s="271" t="e">
        <f t="shared" si="14"/>
        <v>#N/A</v>
      </c>
      <c r="AK98" s="272" t="e">
        <f>IF(AJ98&lt;=1,"Insignificante",HLOOKUP(AJ98,[71]Listas!$F$3:$J$4,2,0))</f>
        <v>#N/A</v>
      </c>
      <c r="AL98" s="273" t="e">
        <f t="shared" si="15"/>
        <v>#N/A</v>
      </c>
      <c r="AM98" s="270" t="e">
        <f>INDEX([71]Listas!$F$6:$J$10,MATCH(AI98,[71]Listas!$D$6:$D$10,0),MATCH(AK98,[71]Listas!$F$4:$J$4,0))</f>
        <v>#N/A</v>
      </c>
      <c r="AN98" s="259"/>
      <c r="AO98" s="259"/>
      <c r="AP98" s="610"/>
      <c r="AQ98" s="259"/>
      <c r="AR98" s="259" t="s">
        <v>2343</v>
      </c>
      <c r="AS98" s="608"/>
      <c r="AT98" s="259"/>
      <c r="AU98" s="259"/>
      <c r="AV98" s="261"/>
      <c r="AW98" s="261"/>
      <c r="AX98" s="608"/>
      <c r="AY98" s="262"/>
    </row>
    <row r="99" spans="1:1027" s="260" customFormat="1" ht="103.5" hidden="1" customHeight="1">
      <c r="A99" s="608"/>
      <c r="B99" s="266"/>
      <c r="C99" s="1399"/>
      <c r="D99" s="1408"/>
      <c r="E99" s="1400"/>
      <c r="F99" s="267"/>
      <c r="G99" s="1399"/>
      <c r="H99" s="1408"/>
      <c r="I99" s="1400"/>
      <c r="J99" s="1380"/>
      <c r="K99" s="1380"/>
      <c r="L99" s="1380"/>
      <c r="M99" s="608"/>
      <c r="N99" s="608"/>
      <c r="O99" s="608"/>
      <c r="P99" s="608"/>
      <c r="Q99" s="266"/>
      <c r="R99" s="266"/>
      <c r="S99" s="268"/>
      <c r="T99" s="269" t="e">
        <f>VLOOKUP(Q99,[71]Listas!$D$6:$E$10,2,0)</f>
        <v>#N/A</v>
      </c>
      <c r="U99" s="269" t="e">
        <f>HLOOKUP(R99,[71]Listas!$F$4:$J$5,2,0)</f>
        <v>#N/A</v>
      </c>
      <c r="V99" s="270" t="e">
        <f>INDEX([71]Listas!$F$6:$J$10,MATCH(Q99,[71]Listas!$D$6:$D$10,0),MATCH(R99,[71]Listas!$F$4:$J$4,0))</f>
        <v>#N/A</v>
      </c>
      <c r="W99" s="268"/>
      <c r="X99" s="1399"/>
      <c r="Y99" s="1408"/>
      <c r="Z99" s="1400"/>
      <c r="AA99" s="1063"/>
      <c r="AB99" s="267"/>
      <c r="AC99" s="259"/>
      <c r="AD99" s="608"/>
      <c r="AE99" s="267"/>
      <c r="AF99" s="268"/>
      <c r="AG99" s="269">
        <f t="shared" si="12"/>
        <v>0</v>
      </c>
      <c r="AH99" s="271" t="e">
        <f t="shared" si="13"/>
        <v>#N/A</v>
      </c>
      <c r="AI99" s="272" t="e">
        <f>IF(AH99&lt;=1,"Remota",VLOOKUP(AH99,[71]Listas!$C$6:$D$10,2,0))</f>
        <v>#N/A</v>
      </c>
      <c r="AJ99" s="271" t="e">
        <f t="shared" si="14"/>
        <v>#N/A</v>
      </c>
      <c r="AK99" s="272" t="e">
        <f>IF(AJ99&lt;=1,"Insignificante",HLOOKUP(AJ99,[71]Listas!$F$3:$J$4,2,0))</f>
        <v>#N/A</v>
      </c>
      <c r="AL99" s="273" t="e">
        <f t="shared" si="15"/>
        <v>#N/A</v>
      </c>
      <c r="AM99" s="270" t="e">
        <f>INDEX([71]Listas!$F$6:$J$10,MATCH(AI99,[71]Listas!$D$6:$D$10,0),MATCH(AK99,[71]Listas!$F$4:$J$4,0))</f>
        <v>#N/A</v>
      </c>
      <c r="AN99" s="259"/>
      <c r="AO99" s="259"/>
      <c r="AP99" s="610"/>
      <c r="AQ99" s="259"/>
      <c r="AR99" s="259" t="s">
        <v>2343</v>
      </c>
      <c r="AS99" s="608"/>
      <c r="AT99" s="259"/>
      <c r="AU99" s="259"/>
      <c r="AV99" s="261"/>
      <c r="AW99" s="261"/>
      <c r="AX99" s="608"/>
      <c r="AY99" s="262"/>
    </row>
    <row r="100" spans="1:1027" s="260" customFormat="1" ht="103.5" hidden="1" customHeight="1">
      <c r="A100" s="608"/>
      <c r="B100" s="266"/>
      <c r="C100" s="1399"/>
      <c r="D100" s="1408"/>
      <c r="E100" s="1400"/>
      <c r="F100" s="267"/>
      <c r="G100" s="1399"/>
      <c r="H100" s="1408"/>
      <c r="I100" s="1400"/>
      <c r="J100" s="1380"/>
      <c r="K100" s="1380"/>
      <c r="L100" s="1380"/>
      <c r="M100" s="608"/>
      <c r="N100" s="608"/>
      <c r="O100" s="608"/>
      <c r="P100" s="608"/>
      <c r="Q100" s="266"/>
      <c r="R100" s="266"/>
      <c r="S100" s="268"/>
      <c r="T100" s="269" t="e">
        <f>VLOOKUP(Q100,[71]Listas!$D$6:$E$10,2,0)</f>
        <v>#N/A</v>
      </c>
      <c r="U100" s="269" t="e">
        <f>HLOOKUP(R100,[71]Listas!$F$4:$J$5,2,0)</f>
        <v>#N/A</v>
      </c>
      <c r="V100" s="270" t="e">
        <f>INDEX([71]Listas!$F$6:$J$10,MATCH(Q100,[71]Listas!$D$6:$D$10,0),MATCH(R100,[71]Listas!$F$4:$J$4,0))</f>
        <v>#N/A</v>
      </c>
      <c r="W100" s="268"/>
      <c r="X100" s="1399"/>
      <c r="Y100" s="1408"/>
      <c r="Z100" s="1400"/>
      <c r="AA100" s="1063"/>
      <c r="AB100" s="267"/>
      <c r="AC100" s="259"/>
      <c r="AD100" s="608"/>
      <c r="AE100" s="267"/>
      <c r="AF100" s="268"/>
      <c r="AG100" s="269">
        <f t="shared" si="12"/>
        <v>0</v>
      </c>
      <c r="AH100" s="271" t="e">
        <f t="shared" si="13"/>
        <v>#N/A</v>
      </c>
      <c r="AI100" s="272" t="e">
        <f>IF(AH100&lt;=1,"Remota",VLOOKUP(AH100,[71]Listas!$C$6:$D$10,2,0))</f>
        <v>#N/A</v>
      </c>
      <c r="AJ100" s="271" t="e">
        <f t="shared" si="14"/>
        <v>#N/A</v>
      </c>
      <c r="AK100" s="272" t="e">
        <f>IF(AJ100&lt;=1,"Insignificante",HLOOKUP(AJ100,[71]Listas!$F$3:$J$4,2,0))</f>
        <v>#N/A</v>
      </c>
      <c r="AL100" s="273" t="e">
        <f t="shared" si="15"/>
        <v>#N/A</v>
      </c>
      <c r="AM100" s="270" t="e">
        <f>INDEX([71]Listas!$F$6:$J$10,MATCH(AI100,[71]Listas!$D$6:$D$10,0),MATCH(AK100,[71]Listas!$F$4:$J$4,0))</f>
        <v>#N/A</v>
      </c>
      <c r="AN100" s="259"/>
      <c r="AO100" s="259"/>
      <c r="AP100" s="610"/>
      <c r="AQ100" s="259"/>
      <c r="AR100" s="259" t="s">
        <v>2343</v>
      </c>
      <c r="AS100" s="608"/>
      <c r="AT100" s="259"/>
      <c r="AU100" s="259"/>
      <c r="AV100" s="261"/>
      <c r="AW100" s="261"/>
      <c r="AX100" s="608"/>
      <c r="AY100" s="262"/>
    </row>
    <row r="101" spans="1:1027" s="260" customFormat="1" ht="103.5" hidden="1" customHeight="1">
      <c r="A101" s="608"/>
      <c r="B101" s="266"/>
      <c r="C101" s="1399"/>
      <c r="D101" s="1408"/>
      <c r="E101" s="1400"/>
      <c r="F101" s="267"/>
      <c r="G101" s="1399"/>
      <c r="H101" s="1408"/>
      <c r="I101" s="1400"/>
      <c r="J101" s="1380"/>
      <c r="K101" s="1380"/>
      <c r="L101" s="1380"/>
      <c r="M101" s="608"/>
      <c r="N101" s="608"/>
      <c r="O101" s="608"/>
      <c r="P101" s="608"/>
      <c r="Q101" s="266"/>
      <c r="R101" s="266"/>
      <c r="S101" s="268"/>
      <c r="T101" s="269" t="e">
        <f>VLOOKUP(Q101,[71]Listas!$D$6:$E$10,2,0)</f>
        <v>#N/A</v>
      </c>
      <c r="U101" s="269" t="e">
        <f>HLOOKUP(R101,[71]Listas!$F$4:$J$5,2,0)</f>
        <v>#N/A</v>
      </c>
      <c r="V101" s="270" t="e">
        <f>INDEX([71]Listas!$F$6:$J$10,MATCH(Q101,[71]Listas!$D$6:$D$10,0),MATCH(R101,[71]Listas!$F$4:$J$4,0))</f>
        <v>#N/A</v>
      </c>
      <c r="W101" s="268"/>
      <c r="X101" s="1399"/>
      <c r="Y101" s="1408"/>
      <c r="Z101" s="1400"/>
      <c r="AA101" s="1063"/>
      <c r="AB101" s="267"/>
      <c r="AC101" s="259"/>
      <c r="AD101" s="608"/>
      <c r="AE101" s="267"/>
      <c r="AF101" s="268"/>
      <c r="AG101" s="269">
        <f t="shared" si="12"/>
        <v>0</v>
      </c>
      <c r="AH101" s="271" t="e">
        <f t="shared" si="13"/>
        <v>#N/A</v>
      </c>
      <c r="AI101" s="272" t="e">
        <f>IF(AH101&lt;=1,"Remota",VLOOKUP(AH101,[71]Listas!$C$6:$D$10,2,0))</f>
        <v>#N/A</v>
      </c>
      <c r="AJ101" s="271" t="e">
        <f t="shared" si="14"/>
        <v>#N/A</v>
      </c>
      <c r="AK101" s="272" t="e">
        <f>IF(AJ101&lt;=1,"Insignificante",HLOOKUP(AJ101,[71]Listas!$F$3:$J$4,2,0))</f>
        <v>#N/A</v>
      </c>
      <c r="AL101" s="273" t="e">
        <f t="shared" si="15"/>
        <v>#N/A</v>
      </c>
      <c r="AM101" s="270" t="e">
        <f>INDEX([71]Listas!$F$6:$J$10,MATCH(AI101,[71]Listas!$D$6:$D$10,0),MATCH(AK101,[71]Listas!$F$4:$J$4,0))</f>
        <v>#N/A</v>
      </c>
      <c r="AN101" s="259"/>
      <c r="AO101" s="259"/>
      <c r="AP101" s="610"/>
      <c r="AQ101" s="259"/>
      <c r="AR101" s="259" t="s">
        <v>2343</v>
      </c>
      <c r="AS101" s="608"/>
      <c r="AT101" s="259"/>
      <c r="AU101" s="259"/>
      <c r="AV101" s="261"/>
      <c r="AW101" s="261"/>
      <c r="AX101" s="608"/>
      <c r="AY101" s="262"/>
    </row>
    <row r="102" spans="1:1027" s="260" customFormat="1" ht="103.5" hidden="1" customHeight="1">
      <c r="A102" s="608"/>
      <c r="B102" s="266"/>
      <c r="C102" s="1399"/>
      <c r="D102" s="1408"/>
      <c r="E102" s="1400"/>
      <c r="F102" s="267"/>
      <c r="G102" s="1399"/>
      <c r="H102" s="1408"/>
      <c r="I102" s="1400"/>
      <c r="J102" s="1380"/>
      <c r="K102" s="1380"/>
      <c r="L102" s="1380"/>
      <c r="M102" s="608"/>
      <c r="N102" s="608"/>
      <c r="O102" s="608"/>
      <c r="P102" s="608"/>
      <c r="Q102" s="266"/>
      <c r="R102" s="266"/>
      <c r="S102" s="268"/>
      <c r="T102" s="269" t="e">
        <f>VLOOKUP(Q102,[71]Listas!$D$6:$E$10,2,0)</f>
        <v>#N/A</v>
      </c>
      <c r="U102" s="269" t="e">
        <f>HLOOKUP(R102,[71]Listas!$F$4:$J$5,2,0)</f>
        <v>#N/A</v>
      </c>
      <c r="V102" s="270" t="e">
        <f>INDEX([71]Listas!$F$6:$J$10,MATCH(Q102,[71]Listas!$D$6:$D$10,0),MATCH(R102,[71]Listas!$F$4:$J$4,0))</f>
        <v>#N/A</v>
      </c>
      <c r="W102" s="268"/>
      <c r="X102" s="1399"/>
      <c r="Y102" s="1408"/>
      <c r="Z102" s="1400"/>
      <c r="AA102" s="1063"/>
      <c r="AB102" s="267"/>
      <c r="AC102" s="259"/>
      <c r="AD102" s="608"/>
      <c r="AE102" s="267"/>
      <c r="AF102" s="268"/>
      <c r="AG102" s="269">
        <f t="shared" si="12"/>
        <v>0</v>
      </c>
      <c r="AH102" s="271" t="e">
        <f t="shared" si="13"/>
        <v>#N/A</v>
      </c>
      <c r="AI102" s="272" t="e">
        <f>IF(AH102&lt;=1,"Remota",VLOOKUP(AH102,[71]Listas!$C$6:$D$10,2,0))</f>
        <v>#N/A</v>
      </c>
      <c r="AJ102" s="271" t="e">
        <f t="shared" si="14"/>
        <v>#N/A</v>
      </c>
      <c r="AK102" s="272" t="e">
        <f>IF(AJ102&lt;=1,"Insignificante",HLOOKUP(AJ102,[71]Listas!$F$3:$J$4,2,0))</f>
        <v>#N/A</v>
      </c>
      <c r="AL102" s="273" t="e">
        <f t="shared" si="15"/>
        <v>#N/A</v>
      </c>
      <c r="AM102" s="270" t="e">
        <f>INDEX([71]Listas!$F$6:$J$10,MATCH(AI102,[71]Listas!$D$6:$D$10,0),MATCH(AK102,[71]Listas!$F$4:$J$4,0))</f>
        <v>#N/A</v>
      </c>
      <c r="AN102" s="259"/>
      <c r="AO102" s="259"/>
      <c r="AP102" s="610"/>
      <c r="AQ102" s="259"/>
      <c r="AR102" s="259" t="s">
        <v>2343</v>
      </c>
      <c r="AS102" s="608"/>
      <c r="AT102" s="259"/>
      <c r="AU102" s="259"/>
      <c r="AV102" s="261"/>
      <c r="AW102" s="261"/>
      <c r="AX102" s="608"/>
      <c r="AY102" s="262"/>
    </row>
    <row r="103" spans="1:1027" s="260" customFormat="1" ht="103.5" hidden="1" customHeight="1">
      <c r="A103" s="608"/>
      <c r="B103" s="266"/>
      <c r="C103" s="1399"/>
      <c r="D103" s="1408"/>
      <c r="E103" s="1400"/>
      <c r="F103" s="267"/>
      <c r="G103" s="1399"/>
      <c r="H103" s="1408"/>
      <c r="I103" s="1400"/>
      <c r="J103" s="1380"/>
      <c r="K103" s="1380"/>
      <c r="L103" s="1380"/>
      <c r="M103" s="608"/>
      <c r="N103" s="608"/>
      <c r="O103" s="608"/>
      <c r="P103" s="608"/>
      <c r="Q103" s="266"/>
      <c r="R103" s="266"/>
      <c r="S103" s="268"/>
      <c r="T103" s="269" t="e">
        <f>VLOOKUP(Q103,[71]Listas!$D$6:$E$10,2,0)</f>
        <v>#N/A</v>
      </c>
      <c r="U103" s="269" t="e">
        <f>HLOOKUP(R103,[71]Listas!$F$4:$J$5,2,0)</f>
        <v>#N/A</v>
      </c>
      <c r="V103" s="270" t="e">
        <f>INDEX([71]Listas!$F$6:$J$10,MATCH(Q103,[71]Listas!$D$6:$D$10,0),MATCH(R103,[71]Listas!$F$4:$J$4,0))</f>
        <v>#N/A</v>
      </c>
      <c r="W103" s="268"/>
      <c r="X103" s="1399"/>
      <c r="Y103" s="1408"/>
      <c r="Z103" s="1400"/>
      <c r="AA103" s="1063"/>
      <c r="AB103" s="267"/>
      <c r="AC103" s="259"/>
      <c r="AD103" s="608"/>
      <c r="AE103" s="267"/>
      <c r="AF103" s="268"/>
      <c r="AG103" s="269">
        <f t="shared" si="12"/>
        <v>0</v>
      </c>
      <c r="AH103" s="271" t="e">
        <f t="shared" si="13"/>
        <v>#N/A</v>
      </c>
      <c r="AI103" s="272" t="e">
        <f>IF(AH103&lt;=1,"Remota",VLOOKUP(AH103,[71]Listas!$C$6:$D$10,2,0))</f>
        <v>#N/A</v>
      </c>
      <c r="AJ103" s="271" t="e">
        <f t="shared" si="14"/>
        <v>#N/A</v>
      </c>
      <c r="AK103" s="272" t="e">
        <f>IF(AJ103&lt;=1,"Insignificante",HLOOKUP(AJ103,[71]Listas!$F$3:$J$4,2,0))</f>
        <v>#N/A</v>
      </c>
      <c r="AL103" s="273" t="e">
        <f t="shared" si="15"/>
        <v>#N/A</v>
      </c>
      <c r="AM103" s="270" t="e">
        <f>INDEX([71]Listas!$F$6:$J$10,MATCH(AI103,[71]Listas!$D$6:$D$10,0),MATCH(AK103,[71]Listas!$F$4:$J$4,0))</f>
        <v>#N/A</v>
      </c>
      <c r="AN103" s="259"/>
      <c r="AO103" s="259"/>
      <c r="AP103" s="610"/>
      <c r="AQ103" s="259"/>
      <c r="AR103" s="259" t="s">
        <v>2343</v>
      </c>
      <c r="AS103" s="608"/>
      <c r="AT103" s="259"/>
      <c r="AU103" s="259"/>
      <c r="AV103" s="261"/>
      <c r="AW103" s="261"/>
      <c r="AX103" s="608"/>
      <c r="AY103" s="262"/>
    </row>
    <row r="104" spans="1:1027" s="260" customFormat="1" ht="103.5" hidden="1" customHeight="1">
      <c r="A104" s="608"/>
      <c r="B104" s="266"/>
      <c r="C104" s="1399"/>
      <c r="D104" s="1408"/>
      <c r="E104" s="1400"/>
      <c r="F104" s="267"/>
      <c r="G104" s="1399"/>
      <c r="H104" s="1408"/>
      <c r="I104" s="1400"/>
      <c r="J104" s="1380"/>
      <c r="K104" s="1380"/>
      <c r="L104" s="1380"/>
      <c r="M104" s="608"/>
      <c r="N104" s="608"/>
      <c r="O104" s="608"/>
      <c r="P104" s="608"/>
      <c r="Q104" s="266"/>
      <c r="R104" s="266"/>
      <c r="S104" s="268"/>
      <c r="T104" s="269" t="e">
        <f>VLOOKUP(Q104,[71]Listas!$D$6:$E$10,2,0)</f>
        <v>#N/A</v>
      </c>
      <c r="U104" s="269" t="e">
        <f>HLOOKUP(R104,[71]Listas!$F$4:$J$5,2,0)</f>
        <v>#N/A</v>
      </c>
      <c r="V104" s="270" t="e">
        <f>INDEX([71]Listas!$F$6:$J$10,MATCH(Q104,[71]Listas!$D$6:$D$10,0),MATCH(R104,[71]Listas!$F$4:$J$4,0))</f>
        <v>#N/A</v>
      </c>
      <c r="W104" s="268"/>
      <c r="X104" s="1399"/>
      <c r="Y104" s="1408"/>
      <c r="Z104" s="1400"/>
      <c r="AA104" s="1063"/>
      <c r="AB104" s="267"/>
      <c r="AC104" s="259"/>
      <c r="AD104" s="608"/>
      <c r="AE104" s="267"/>
      <c r="AF104" s="268"/>
      <c r="AG104" s="269">
        <f t="shared" si="12"/>
        <v>0</v>
      </c>
      <c r="AH104" s="271" t="e">
        <f t="shared" si="13"/>
        <v>#N/A</v>
      </c>
      <c r="AI104" s="272" t="e">
        <f>IF(AH104&lt;=1,"Remota",VLOOKUP(AH104,[71]Listas!$C$6:$D$10,2,0))</f>
        <v>#N/A</v>
      </c>
      <c r="AJ104" s="271" t="e">
        <f t="shared" si="14"/>
        <v>#N/A</v>
      </c>
      <c r="AK104" s="272" t="e">
        <f>IF(AJ104&lt;=1,"Insignificante",HLOOKUP(AJ104,[71]Listas!$F$3:$J$4,2,0))</f>
        <v>#N/A</v>
      </c>
      <c r="AL104" s="273" t="e">
        <f t="shared" si="15"/>
        <v>#N/A</v>
      </c>
      <c r="AM104" s="270" t="e">
        <f>INDEX([71]Listas!$F$6:$J$10,MATCH(AI104,[71]Listas!$D$6:$D$10,0),MATCH(AK104,[71]Listas!$F$4:$J$4,0))</f>
        <v>#N/A</v>
      </c>
      <c r="AN104" s="259"/>
      <c r="AO104" s="259"/>
      <c r="AP104" s="610"/>
      <c r="AQ104" s="259"/>
      <c r="AR104" s="259" t="s">
        <v>2343</v>
      </c>
      <c r="AS104" s="608"/>
      <c r="AT104" s="259"/>
      <c r="AU104" s="259"/>
      <c r="AV104" s="261"/>
      <c r="AW104" s="261"/>
      <c r="AX104" s="608"/>
      <c r="AY104" s="262"/>
    </row>
    <row r="105" spans="1:1027" s="260" customFormat="1" ht="103.5" hidden="1" customHeight="1">
      <c r="A105" s="608"/>
      <c r="B105" s="266"/>
      <c r="C105" s="1399"/>
      <c r="D105" s="1408"/>
      <c r="E105" s="1400"/>
      <c r="F105" s="267"/>
      <c r="G105" s="1399"/>
      <c r="H105" s="1408"/>
      <c r="I105" s="1400"/>
      <c r="J105" s="1380"/>
      <c r="K105" s="1380"/>
      <c r="L105" s="1380"/>
      <c r="M105" s="608"/>
      <c r="N105" s="608"/>
      <c r="O105" s="608"/>
      <c r="P105" s="608"/>
      <c r="Q105" s="266"/>
      <c r="R105" s="266"/>
      <c r="S105" s="268"/>
      <c r="T105" s="269" t="e">
        <f>VLOOKUP(Q105,[71]Listas!$D$6:$E$10,2,0)</f>
        <v>#N/A</v>
      </c>
      <c r="U105" s="269" t="e">
        <f>HLOOKUP(R105,[71]Listas!$F$4:$J$5,2,0)</f>
        <v>#N/A</v>
      </c>
      <c r="V105" s="270" t="e">
        <f>INDEX([71]Listas!$F$6:$J$10,MATCH(Q105,[71]Listas!$D$6:$D$10,0),MATCH(R105,[71]Listas!$F$4:$J$4,0))</f>
        <v>#N/A</v>
      </c>
      <c r="W105" s="268"/>
      <c r="X105" s="1399"/>
      <c r="Y105" s="1408"/>
      <c r="Z105" s="1400"/>
      <c r="AA105" s="1063"/>
      <c r="AB105" s="267"/>
      <c r="AC105" s="259"/>
      <c r="AD105" s="608"/>
      <c r="AE105" s="267"/>
      <c r="AF105" s="268"/>
      <c r="AG105" s="269">
        <f t="shared" si="12"/>
        <v>0</v>
      </c>
      <c r="AH105" s="271" t="e">
        <f t="shared" si="13"/>
        <v>#N/A</v>
      </c>
      <c r="AI105" s="272" t="e">
        <f>IF(AH105&lt;=1,"Remota",VLOOKUP(AH105,[71]Listas!$C$6:$D$10,2,0))</f>
        <v>#N/A</v>
      </c>
      <c r="AJ105" s="271" t="e">
        <f t="shared" si="14"/>
        <v>#N/A</v>
      </c>
      <c r="AK105" s="272" t="e">
        <f>IF(AJ105&lt;=1,"Insignificante",HLOOKUP(AJ105,[71]Listas!$F$3:$J$4,2,0))</f>
        <v>#N/A</v>
      </c>
      <c r="AL105" s="273" t="e">
        <f t="shared" si="15"/>
        <v>#N/A</v>
      </c>
      <c r="AM105" s="270" t="e">
        <f>INDEX([71]Listas!$F$6:$J$10,MATCH(AI105,[71]Listas!$D$6:$D$10,0),MATCH(AK105,[71]Listas!$F$4:$J$4,0))</f>
        <v>#N/A</v>
      </c>
      <c r="AN105" s="259"/>
      <c r="AO105" s="259"/>
      <c r="AP105" s="610"/>
      <c r="AQ105" s="259"/>
      <c r="AR105" s="259" t="s">
        <v>2343</v>
      </c>
      <c r="AS105" s="608"/>
      <c r="AT105" s="259"/>
      <c r="AU105" s="259"/>
      <c r="AV105" s="261"/>
      <c r="AW105" s="261"/>
      <c r="AX105" s="608"/>
      <c r="AY105" s="262"/>
    </row>
    <row r="106" spans="1:1027" ht="5.25" customHeight="1">
      <c r="A106" s="275"/>
      <c r="B106" s="276"/>
      <c r="C106" s="276"/>
      <c r="D106" s="276"/>
      <c r="E106" s="275"/>
      <c r="F106" s="275"/>
      <c r="G106" s="277"/>
      <c r="H106" s="277"/>
      <c r="I106" s="277"/>
      <c r="J106" s="275"/>
      <c r="K106" s="275"/>
      <c r="L106" s="278"/>
      <c r="M106" s="278"/>
      <c r="N106" s="278"/>
      <c r="O106" s="278"/>
      <c r="P106" s="278"/>
      <c r="Q106" s="278"/>
      <c r="R106" s="278"/>
      <c r="S106" s="278"/>
      <c r="T106" s="278"/>
      <c r="U106" s="278"/>
      <c r="V106" s="275"/>
      <c r="W106" s="275"/>
      <c r="X106" s="277"/>
      <c r="Y106" s="277"/>
      <c r="Z106" s="277"/>
      <c r="AA106" s="277"/>
      <c r="AB106" s="277"/>
      <c r="AC106" s="277"/>
      <c r="AD106" s="275"/>
      <c r="AE106" s="275"/>
      <c r="AF106" s="275"/>
      <c r="AG106" s="275"/>
      <c r="AH106" s="275"/>
      <c r="AI106" s="275"/>
      <c r="AJ106" s="275"/>
      <c r="AK106" s="275"/>
      <c r="AL106" s="275"/>
      <c r="AM106" s="279"/>
      <c r="AN106" s="262"/>
      <c r="AO106" s="262"/>
      <c r="AP106" s="262"/>
      <c r="AQ106" s="262"/>
      <c r="AR106" s="262"/>
      <c r="AS106" s="262"/>
      <c r="AT106" s="262"/>
      <c r="AU106" s="262"/>
      <c r="AV106" s="262"/>
      <c r="AW106" s="262"/>
      <c r="AX106" s="262"/>
      <c r="AY106" s="262"/>
      <c r="AZ106" s="236"/>
      <c r="BA106" s="236"/>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c r="HV106" s="236"/>
      <c r="HW106" s="236"/>
      <c r="HX106" s="236"/>
      <c r="HY106" s="236"/>
      <c r="HZ106" s="236"/>
      <c r="IA106" s="236"/>
      <c r="IB106" s="236"/>
      <c r="IC106" s="236"/>
      <c r="ID106" s="236"/>
      <c r="IE106" s="236"/>
      <c r="IF106" s="236"/>
      <c r="IG106" s="236"/>
      <c r="IH106" s="236"/>
      <c r="II106" s="236"/>
      <c r="IJ106" s="236"/>
      <c r="IK106" s="236"/>
      <c r="IL106" s="236"/>
      <c r="IM106" s="236"/>
      <c r="IN106" s="236"/>
      <c r="IO106" s="236"/>
      <c r="IP106" s="236"/>
      <c r="IQ106" s="236"/>
      <c r="IR106" s="236"/>
      <c r="IS106" s="236"/>
      <c r="IT106" s="236"/>
      <c r="IU106" s="236"/>
      <c r="IV106" s="236"/>
      <c r="IW106" s="236"/>
      <c r="IX106" s="236"/>
      <c r="IY106" s="236"/>
      <c r="IZ106" s="236"/>
      <c r="JA106" s="236"/>
      <c r="JB106" s="236"/>
      <c r="JC106" s="236"/>
      <c r="JD106" s="236"/>
      <c r="JE106" s="236"/>
      <c r="JF106" s="236"/>
      <c r="JG106" s="236"/>
      <c r="JH106" s="236"/>
      <c r="JI106" s="236"/>
      <c r="JJ106" s="236"/>
      <c r="JK106" s="236"/>
      <c r="JL106" s="236"/>
      <c r="JM106" s="236"/>
      <c r="JN106" s="236"/>
      <c r="JO106" s="236"/>
      <c r="JP106" s="236"/>
      <c r="JQ106" s="236"/>
      <c r="JR106" s="236"/>
      <c r="JS106" s="236"/>
      <c r="JT106" s="236"/>
      <c r="JU106" s="236"/>
      <c r="JV106" s="236"/>
      <c r="JW106" s="236"/>
      <c r="JX106" s="236"/>
      <c r="JY106" s="236"/>
      <c r="JZ106" s="236"/>
      <c r="KA106" s="236"/>
      <c r="KB106" s="236"/>
      <c r="KC106" s="236"/>
      <c r="KD106" s="236"/>
      <c r="KE106" s="236"/>
      <c r="KF106" s="236"/>
      <c r="KG106" s="236"/>
      <c r="KH106" s="236"/>
      <c r="KI106" s="236"/>
      <c r="KJ106" s="236"/>
      <c r="KK106" s="236"/>
      <c r="KL106" s="236"/>
      <c r="KM106" s="236"/>
      <c r="KN106" s="236"/>
      <c r="KO106" s="236"/>
      <c r="KP106" s="236"/>
      <c r="KQ106" s="236"/>
      <c r="KR106" s="236"/>
      <c r="KS106" s="236"/>
      <c r="KT106" s="236"/>
      <c r="KU106" s="236"/>
      <c r="KV106" s="236"/>
      <c r="KW106" s="236"/>
      <c r="KX106" s="236"/>
      <c r="KY106" s="236"/>
      <c r="KZ106" s="236"/>
      <c r="LA106" s="236"/>
      <c r="LB106" s="236"/>
      <c r="LC106" s="236"/>
      <c r="LD106" s="236"/>
      <c r="LE106" s="236"/>
      <c r="LF106" s="236"/>
      <c r="LG106" s="236"/>
      <c r="LH106" s="236"/>
      <c r="LI106" s="236"/>
      <c r="LJ106" s="236"/>
      <c r="LK106" s="236"/>
      <c r="LL106" s="236"/>
      <c r="LM106" s="236"/>
      <c r="LN106" s="236"/>
      <c r="LO106" s="236"/>
      <c r="LP106" s="236"/>
      <c r="LQ106" s="236"/>
      <c r="LR106" s="236"/>
      <c r="LS106" s="236"/>
      <c r="LT106" s="236"/>
      <c r="LU106" s="236"/>
      <c r="LV106" s="236"/>
      <c r="LW106" s="236"/>
      <c r="LX106" s="236"/>
      <c r="LY106" s="236"/>
      <c r="LZ106" s="236"/>
      <c r="MA106" s="236"/>
      <c r="MB106" s="236"/>
      <c r="MC106" s="236"/>
      <c r="MD106" s="236"/>
      <c r="ME106" s="236"/>
      <c r="MF106" s="236"/>
      <c r="MG106" s="236"/>
      <c r="MH106" s="236"/>
      <c r="MI106" s="236"/>
      <c r="MJ106" s="236"/>
      <c r="MK106" s="236"/>
      <c r="ML106" s="236"/>
      <c r="MM106" s="236"/>
      <c r="MN106" s="236"/>
      <c r="MO106" s="236"/>
      <c r="MP106" s="236"/>
      <c r="MQ106" s="236"/>
      <c r="MR106" s="236"/>
      <c r="MS106" s="236"/>
      <c r="MT106" s="236"/>
      <c r="MU106" s="236"/>
      <c r="MV106" s="236"/>
      <c r="MW106" s="236"/>
      <c r="MX106" s="236"/>
      <c r="MY106" s="236"/>
      <c r="MZ106" s="236"/>
      <c r="NA106" s="236"/>
      <c r="NB106" s="236"/>
      <c r="NC106" s="236"/>
      <c r="ND106" s="236"/>
      <c r="NE106" s="236"/>
      <c r="NF106" s="236"/>
      <c r="NG106" s="236"/>
      <c r="NH106" s="236"/>
      <c r="NI106" s="236"/>
      <c r="NJ106" s="236"/>
      <c r="NK106" s="236"/>
      <c r="NL106" s="236"/>
      <c r="NM106" s="236"/>
      <c r="NN106" s="236"/>
      <c r="NO106" s="236"/>
      <c r="NP106" s="236"/>
      <c r="NQ106" s="236"/>
      <c r="NR106" s="236"/>
      <c r="NS106" s="236"/>
      <c r="NT106" s="236"/>
      <c r="NU106" s="236"/>
      <c r="NV106" s="236"/>
      <c r="NW106" s="236"/>
      <c r="NX106" s="236"/>
      <c r="NY106" s="236"/>
      <c r="NZ106" s="236"/>
      <c r="OA106" s="236"/>
      <c r="OB106" s="236"/>
      <c r="OC106" s="236"/>
      <c r="OD106" s="236"/>
      <c r="OE106" s="236"/>
      <c r="OF106" s="236"/>
      <c r="OG106" s="236"/>
      <c r="OH106" s="236"/>
      <c r="OI106" s="236"/>
      <c r="OJ106" s="236"/>
      <c r="OK106" s="236"/>
      <c r="OL106" s="236"/>
      <c r="OM106" s="236"/>
      <c r="ON106" s="236"/>
      <c r="OO106" s="236"/>
      <c r="OP106" s="236"/>
      <c r="OQ106" s="236"/>
      <c r="OR106" s="236"/>
      <c r="OS106" s="236"/>
      <c r="OT106" s="236"/>
      <c r="OU106" s="236"/>
      <c r="OV106" s="236"/>
      <c r="OW106" s="236"/>
      <c r="OX106" s="236"/>
      <c r="OY106" s="236"/>
      <c r="OZ106" s="236"/>
      <c r="PA106" s="236"/>
      <c r="PB106" s="236"/>
      <c r="PC106" s="236"/>
      <c r="PD106" s="236"/>
      <c r="PE106" s="236"/>
      <c r="PF106" s="236"/>
      <c r="PG106" s="236"/>
      <c r="PH106" s="236"/>
      <c r="PI106" s="236"/>
      <c r="PJ106" s="236"/>
      <c r="PK106" s="236"/>
      <c r="PL106" s="236"/>
      <c r="PM106" s="236"/>
      <c r="PN106" s="236"/>
      <c r="PO106" s="236"/>
      <c r="PP106" s="236"/>
      <c r="PQ106" s="236"/>
      <c r="PR106" s="236"/>
      <c r="PS106" s="236"/>
      <c r="PT106" s="236"/>
      <c r="PU106" s="236"/>
      <c r="PV106" s="236"/>
      <c r="PW106" s="236"/>
      <c r="PX106" s="236"/>
      <c r="PY106" s="236"/>
      <c r="PZ106" s="236"/>
      <c r="QA106" s="236"/>
      <c r="QB106" s="236"/>
      <c r="QC106" s="236"/>
      <c r="QD106" s="236"/>
      <c r="QE106" s="236"/>
      <c r="QF106" s="236"/>
      <c r="QG106" s="236"/>
      <c r="QH106" s="236"/>
      <c r="QI106" s="236"/>
      <c r="QJ106" s="236"/>
      <c r="QK106" s="236"/>
      <c r="QL106" s="236"/>
      <c r="QM106" s="236"/>
      <c r="QN106" s="236"/>
      <c r="QO106" s="236"/>
      <c r="QP106" s="236"/>
      <c r="QQ106" s="236"/>
      <c r="QR106" s="236"/>
      <c r="QS106" s="236"/>
      <c r="QT106" s="236"/>
      <c r="QU106" s="236"/>
      <c r="QV106" s="236"/>
      <c r="QW106" s="236"/>
      <c r="QX106" s="236"/>
      <c r="QY106" s="236"/>
      <c r="QZ106" s="236"/>
      <c r="RA106" s="236"/>
      <c r="RB106" s="236"/>
      <c r="RC106" s="236"/>
      <c r="RD106" s="236"/>
      <c r="RE106" s="236"/>
      <c r="RF106" s="236"/>
      <c r="RG106" s="236"/>
      <c r="RH106" s="236"/>
      <c r="RI106" s="236"/>
      <c r="RJ106" s="236"/>
      <c r="RK106" s="236"/>
      <c r="RL106" s="236"/>
      <c r="RM106" s="236"/>
      <c r="RN106" s="236"/>
      <c r="RO106" s="236"/>
      <c r="RP106" s="236"/>
      <c r="RQ106" s="236"/>
      <c r="RR106" s="236"/>
      <c r="RS106" s="236"/>
      <c r="RT106" s="236"/>
      <c r="RU106" s="236"/>
      <c r="RV106" s="236"/>
      <c r="RW106" s="236"/>
      <c r="RX106" s="236"/>
      <c r="RY106" s="236"/>
      <c r="RZ106" s="236"/>
      <c r="SA106" s="236"/>
      <c r="SB106" s="236"/>
      <c r="SC106" s="236"/>
      <c r="SD106" s="236"/>
      <c r="SE106" s="236"/>
      <c r="SF106" s="236"/>
      <c r="SG106" s="236"/>
      <c r="SH106" s="236"/>
      <c r="SI106" s="236"/>
      <c r="SJ106" s="236"/>
      <c r="SK106" s="236"/>
      <c r="SL106" s="236"/>
      <c r="SM106" s="236"/>
      <c r="SN106" s="236"/>
      <c r="SO106" s="236"/>
      <c r="SP106" s="236"/>
      <c r="SQ106" s="236"/>
      <c r="SR106" s="236"/>
      <c r="SS106" s="236"/>
      <c r="ST106" s="236"/>
      <c r="SU106" s="236"/>
      <c r="SV106" s="236"/>
      <c r="SW106" s="236"/>
      <c r="SX106" s="236"/>
      <c r="SY106" s="236"/>
      <c r="SZ106" s="236"/>
      <c r="TA106" s="236"/>
      <c r="TB106" s="236"/>
      <c r="TC106" s="236"/>
      <c r="TD106" s="236"/>
      <c r="TE106" s="236"/>
      <c r="TF106" s="236"/>
      <c r="TG106" s="236"/>
      <c r="TH106" s="236"/>
      <c r="TI106" s="236"/>
      <c r="TJ106" s="236"/>
      <c r="TK106" s="236"/>
      <c r="TL106" s="236"/>
      <c r="TM106" s="236"/>
      <c r="TN106" s="236"/>
      <c r="TO106" s="236"/>
      <c r="TP106" s="236"/>
      <c r="TQ106" s="236"/>
      <c r="TR106" s="236"/>
      <c r="TS106" s="236"/>
      <c r="TT106" s="236"/>
      <c r="TU106" s="236"/>
      <c r="TV106" s="236"/>
      <c r="TW106" s="236"/>
      <c r="TX106" s="236"/>
      <c r="TY106" s="236"/>
      <c r="TZ106" s="236"/>
      <c r="UA106" s="236"/>
      <c r="UB106" s="236"/>
      <c r="UC106" s="236"/>
      <c r="UD106" s="236"/>
      <c r="UE106" s="236"/>
      <c r="UF106" s="236"/>
      <c r="UG106" s="236"/>
      <c r="UH106" s="236"/>
      <c r="UI106" s="236"/>
      <c r="UJ106" s="236"/>
      <c r="UK106" s="236"/>
      <c r="UL106" s="236"/>
      <c r="UM106" s="236"/>
      <c r="UN106" s="236"/>
      <c r="UO106" s="236"/>
      <c r="UP106" s="236"/>
      <c r="UQ106" s="236"/>
      <c r="UR106" s="236"/>
      <c r="US106" s="236"/>
      <c r="UT106" s="236"/>
      <c r="UU106" s="236"/>
      <c r="UV106" s="236"/>
      <c r="UW106" s="236"/>
      <c r="UX106" s="236"/>
      <c r="UY106" s="236"/>
      <c r="UZ106" s="236"/>
      <c r="VA106" s="236"/>
      <c r="VB106" s="236"/>
      <c r="VC106" s="236"/>
      <c r="VD106" s="236"/>
      <c r="VE106" s="236"/>
      <c r="VF106" s="236"/>
      <c r="VG106" s="236"/>
      <c r="VH106" s="236"/>
      <c r="VI106" s="236"/>
      <c r="VJ106" s="236"/>
      <c r="VK106" s="236"/>
      <c r="VL106" s="236"/>
      <c r="VM106" s="236"/>
      <c r="VN106" s="236"/>
      <c r="VO106" s="236"/>
      <c r="VP106" s="236"/>
      <c r="VQ106" s="236"/>
      <c r="VR106" s="236"/>
      <c r="VS106" s="236"/>
      <c r="VT106" s="236"/>
      <c r="VU106" s="236"/>
      <c r="VV106" s="236"/>
      <c r="VW106" s="236"/>
      <c r="VX106" s="236"/>
      <c r="VY106" s="236"/>
      <c r="VZ106" s="236"/>
      <c r="WA106" s="236"/>
      <c r="WB106" s="236"/>
      <c r="WC106" s="236"/>
      <c r="WD106" s="236"/>
      <c r="WE106" s="236"/>
      <c r="WF106" s="236"/>
      <c r="WG106" s="236"/>
      <c r="WH106" s="236"/>
      <c r="WI106" s="236"/>
      <c r="WJ106" s="236"/>
      <c r="WK106" s="236"/>
      <c r="WL106" s="236"/>
      <c r="WM106" s="236"/>
      <c r="WN106" s="236"/>
      <c r="WO106" s="236"/>
      <c r="WP106" s="236"/>
      <c r="WQ106" s="236"/>
      <c r="WR106" s="236"/>
      <c r="WS106" s="236"/>
      <c r="WT106" s="236"/>
      <c r="WU106" s="236"/>
      <c r="WV106" s="236"/>
      <c r="WW106" s="236"/>
      <c r="WX106" s="236"/>
      <c r="WY106" s="236"/>
      <c r="WZ106" s="236"/>
      <c r="XA106" s="236"/>
      <c r="XB106" s="236"/>
      <c r="XC106" s="236"/>
      <c r="XD106" s="236"/>
      <c r="XE106" s="236"/>
      <c r="XF106" s="236"/>
      <c r="XG106" s="236"/>
      <c r="XH106" s="236"/>
      <c r="XI106" s="236"/>
      <c r="XJ106" s="236"/>
      <c r="XK106" s="236"/>
      <c r="XL106" s="236"/>
      <c r="XM106" s="236"/>
      <c r="XN106" s="236"/>
      <c r="XO106" s="236"/>
      <c r="XP106" s="236"/>
      <c r="XQ106" s="236"/>
      <c r="XR106" s="236"/>
      <c r="XS106" s="236"/>
      <c r="XT106" s="236"/>
      <c r="XU106" s="236"/>
      <c r="XV106" s="236"/>
      <c r="XW106" s="236"/>
      <c r="XX106" s="236"/>
      <c r="XY106" s="236"/>
      <c r="XZ106" s="236"/>
      <c r="YA106" s="236"/>
      <c r="YB106" s="236"/>
      <c r="YC106" s="236"/>
      <c r="YD106" s="236"/>
      <c r="YE106" s="236"/>
      <c r="YF106" s="236"/>
      <c r="YG106" s="236"/>
      <c r="YH106" s="236"/>
      <c r="YI106" s="236"/>
      <c r="YJ106" s="236"/>
      <c r="YK106" s="236"/>
      <c r="YL106" s="236"/>
      <c r="YM106" s="236"/>
      <c r="YN106" s="236"/>
      <c r="YO106" s="236"/>
      <c r="YP106" s="236"/>
      <c r="YQ106" s="236"/>
      <c r="YR106" s="236"/>
      <c r="YS106" s="236"/>
      <c r="YT106" s="236"/>
      <c r="YU106" s="236"/>
      <c r="YV106" s="236"/>
      <c r="YW106" s="236"/>
      <c r="YX106" s="236"/>
      <c r="YY106" s="236"/>
      <c r="YZ106" s="236"/>
      <c r="ZA106" s="236"/>
      <c r="ZB106" s="236"/>
      <c r="ZC106" s="236"/>
      <c r="ZD106" s="236"/>
      <c r="ZE106" s="236"/>
      <c r="ZF106" s="236"/>
      <c r="ZG106" s="236"/>
      <c r="ZH106" s="236"/>
      <c r="ZI106" s="236"/>
      <c r="ZJ106" s="236"/>
      <c r="ZK106" s="236"/>
      <c r="ZL106" s="236"/>
      <c r="ZM106" s="236"/>
      <c r="ZN106" s="236"/>
      <c r="ZO106" s="236"/>
      <c r="ZP106" s="236"/>
      <c r="ZQ106" s="236"/>
      <c r="ZR106" s="236"/>
      <c r="ZS106" s="236"/>
      <c r="ZT106" s="236"/>
      <c r="ZU106" s="236"/>
      <c r="ZV106" s="236"/>
      <c r="ZW106" s="236"/>
      <c r="ZX106" s="236"/>
      <c r="ZY106" s="236"/>
      <c r="ZZ106" s="236"/>
      <c r="AAA106" s="236"/>
      <c r="AAB106" s="236"/>
      <c r="AAC106" s="236"/>
      <c r="AAD106" s="236"/>
      <c r="AAE106" s="236"/>
      <c r="AAF106" s="236"/>
      <c r="AAG106" s="236"/>
      <c r="AAH106" s="236"/>
      <c r="AAI106" s="236"/>
      <c r="AAJ106" s="236"/>
      <c r="AAK106" s="236"/>
      <c r="AAL106" s="236"/>
      <c r="AAM106" s="236"/>
      <c r="AAN106" s="236"/>
      <c r="AAO106" s="236"/>
      <c r="AAP106" s="236"/>
      <c r="AAQ106" s="236"/>
      <c r="AAR106" s="236"/>
      <c r="AAS106" s="236"/>
      <c r="AAT106" s="236"/>
      <c r="AAU106" s="236"/>
      <c r="AAV106" s="236"/>
      <c r="AAW106" s="236"/>
      <c r="AAX106" s="236"/>
      <c r="AAY106" s="236"/>
      <c r="AAZ106" s="236"/>
      <c r="ABA106" s="236"/>
      <c r="ABB106" s="236"/>
      <c r="ABC106" s="236"/>
      <c r="ABD106" s="236"/>
      <c r="ABE106" s="236"/>
      <c r="ABF106" s="236"/>
      <c r="ABG106" s="236"/>
      <c r="ABH106" s="236"/>
      <c r="ABI106" s="236"/>
      <c r="ABJ106" s="236"/>
      <c r="ABK106" s="236"/>
      <c r="ABL106" s="236"/>
      <c r="ABM106" s="236"/>
      <c r="ABN106" s="236"/>
      <c r="ABO106" s="236"/>
      <c r="ABP106" s="236"/>
      <c r="ABQ106" s="236"/>
      <c r="ABR106" s="236"/>
      <c r="ABS106" s="236"/>
      <c r="ABT106" s="236"/>
      <c r="ABU106" s="236"/>
      <c r="ABV106" s="236"/>
      <c r="ABW106" s="236"/>
      <c r="ABX106" s="236"/>
      <c r="ABY106" s="236"/>
      <c r="ABZ106" s="236"/>
      <c r="ACA106" s="236"/>
      <c r="ACB106" s="236"/>
      <c r="ACC106" s="236"/>
      <c r="ACD106" s="236"/>
      <c r="ACE106" s="236"/>
      <c r="ACF106" s="236"/>
      <c r="ACG106" s="236"/>
      <c r="ACH106" s="236"/>
      <c r="ACI106" s="236"/>
      <c r="ACJ106" s="236"/>
      <c r="ACK106" s="236"/>
      <c r="ACL106" s="236"/>
      <c r="ACM106" s="236"/>
      <c r="ACN106" s="236"/>
      <c r="ACO106" s="236"/>
      <c r="ACP106" s="236"/>
      <c r="ACQ106" s="236"/>
      <c r="ACR106" s="236"/>
      <c r="ACS106" s="236"/>
      <c r="ACT106" s="236"/>
      <c r="ACU106" s="236"/>
      <c r="ACV106" s="236"/>
      <c r="ACW106" s="236"/>
      <c r="ACX106" s="236"/>
      <c r="ACY106" s="236"/>
      <c r="ACZ106" s="236"/>
      <c r="ADA106" s="236"/>
      <c r="ADB106" s="236"/>
      <c r="ADC106" s="236"/>
      <c r="ADD106" s="236"/>
      <c r="ADE106" s="236"/>
      <c r="ADF106" s="236"/>
      <c r="ADG106" s="236"/>
      <c r="ADH106" s="236"/>
      <c r="ADI106" s="236"/>
      <c r="ADJ106" s="236"/>
      <c r="ADK106" s="236"/>
      <c r="ADL106" s="236"/>
      <c r="ADM106" s="236"/>
      <c r="ADN106" s="236"/>
      <c r="ADO106" s="236"/>
      <c r="ADP106" s="236"/>
      <c r="ADQ106" s="236"/>
      <c r="ADR106" s="236"/>
      <c r="ADS106" s="236"/>
      <c r="ADT106" s="236"/>
      <c r="ADU106" s="236"/>
      <c r="ADV106" s="236"/>
      <c r="ADW106" s="236"/>
      <c r="ADX106" s="236"/>
      <c r="ADY106" s="236"/>
      <c r="ADZ106" s="236"/>
      <c r="AEA106" s="236"/>
      <c r="AEB106" s="236"/>
      <c r="AEC106" s="236"/>
      <c r="AED106" s="236"/>
      <c r="AEE106" s="236"/>
      <c r="AEF106" s="236"/>
      <c r="AEG106" s="236"/>
      <c r="AEH106" s="236"/>
      <c r="AEI106" s="236"/>
      <c r="AEJ106" s="236"/>
      <c r="AEK106" s="236"/>
      <c r="AEL106" s="236"/>
      <c r="AEM106" s="236"/>
      <c r="AEN106" s="236"/>
      <c r="AEO106" s="236"/>
      <c r="AEP106" s="236"/>
      <c r="AEQ106" s="236"/>
      <c r="AER106" s="236"/>
      <c r="AES106" s="236"/>
      <c r="AET106" s="236"/>
      <c r="AEU106" s="236"/>
      <c r="AEV106" s="236"/>
      <c r="AEW106" s="236"/>
      <c r="AEX106" s="236"/>
      <c r="AEY106" s="236"/>
      <c r="AEZ106" s="236"/>
      <c r="AFA106" s="236"/>
      <c r="AFB106" s="236"/>
      <c r="AFC106" s="236"/>
      <c r="AFD106" s="236"/>
      <c r="AFE106" s="236"/>
      <c r="AFF106" s="236"/>
      <c r="AFG106" s="236"/>
      <c r="AFH106" s="236"/>
      <c r="AFI106" s="236"/>
      <c r="AFJ106" s="236"/>
      <c r="AFK106" s="236"/>
      <c r="AFL106" s="236"/>
      <c r="AFM106" s="236"/>
      <c r="AFN106" s="236"/>
      <c r="AFO106" s="236"/>
      <c r="AFP106" s="236"/>
      <c r="AFQ106" s="236"/>
      <c r="AFR106" s="236"/>
      <c r="AFS106" s="236"/>
      <c r="AFT106" s="236"/>
      <c r="AFU106" s="236"/>
      <c r="AFV106" s="236"/>
      <c r="AFW106" s="236"/>
      <c r="AFX106" s="236"/>
      <c r="AFY106" s="236"/>
      <c r="AFZ106" s="236"/>
      <c r="AGA106" s="236"/>
      <c r="AGB106" s="236"/>
      <c r="AGC106" s="236"/>
      <c r="AGD106" s="236"/>
      <c r="AGE106" s="236"/>
      <c r="AGF106" s="236"/>
      <c r="AGG106" s="236"/>
      <c r="AGH106" s="236"/>
      <c r="AGI106" s="236"/>
      <c r="AGJ106" s="236"/>
      <c r="AGK106" s="236"/>
      <c r="AGL106" s="236"/>
      <c r="AGM106" s="236"/>
      <c r="AGN106" s="236"/>
      <c r="AGO106" s="236"/>
      <c r="AGP106" s="236"/>
      <c r="AGQ106" s="236"/>
      <c r="AGR106" s="236"/>
      <c r="AGS106" s="236"/>
      <c r="AGT106" s="236"/>
      <c r="AGU106" s="236"/>
      <c r="AGV106" s="236"/>
      <c r="AGW106" s="236"/>
      <c r="AGX106" s="236"/>
      <c r="AGY106" s="236"/>
      <c r="AGZ106" s="236"/>
      <c r="AHA106" s="236"/>
      <c r="AHB106" s="236"/>
      <c r="AHC106" s="236"/>
      <c r="AHD106" s="236"/>
      <c r="AHE106" s="236"/>
      <c r="AHF106" s="236"/>
      <c r="AHG106" s="236"/>
      <c r="AHH106" s="236"/>
      <c r="AHI106" s="236"/>
      <c r="AHJ106" s="236"/>
      <c r="AHK106" s="236"/>
      <c r="AHL106" s="236"/>
      <c r="AHM106" s="236"/>
      <c r="AHN106" s="236"/>
      <c r="AHO106" s="236"/>
      <c r="AHP106" s="236"/>
      <c r="AHQ106" s="236"/>
      <c r="AHR106" s="236"/>
      <c r="AHS106" s="236"/>
      <c r="AHT106" s="236"/>
      <c r="AHU106" s="236"/>
      <c r="AHV106" s="236"/>
      <c r="AHW106" s="236"/>
      <c r="AHX106" s="236"/>
      <c r="AHY106" s="236"/>
      <c r="AHZ106" s="236"/>
      <c r="AIA106" s="236"/>
      <c r="AIB106" s="236"/>
      <c r="AIC106" s="236"/>
      <c r="AID106" s="236"/>
      <c r="AIE106" s="236"/>
      <c r="AIF106" s="236"/>
      <c r="AIG106" s="236"/>
      <c r="AIH106" s="236"/>
      <c r="AII106" s="236"/>
      <c r="AIJ106" s="236"/>
      <c r="AIK106" s="236"/>
      <c r="AIL106" s="236"/>
      <c r="AIM106" s="236"/>
      <c r="AIN106" s="236"/>
      <c r="AIO106" s="236"/>
      <c r="AIP106" s="236"/>
      <c r="AIQ106" s="236"/>
      <c r="AIR106" s="236"/>
      <c r="AIS106" s="236"/>
      <c r="AIT106" s="236"/>
      <c r="AIU106" s="236"/>
      <c r="AIV106" s="236"/>
      <c r="AIW106" s="236"/>
      <c r="AIX106" s="236"/>
      <c r="AIY106" s="236"/>
      <c r="AIZ106" s="236"/>
      <c r="AJA106" s="236"/>
      <c r="AJB106" s="236"/>
      <c r="AJC106" s="236"/>
      <c r="AJD106" s="236"/>
      <c r="AJE106" s="236"/>
      <c r="AJF106" s="236"/>
      <c r="AJG106" s="236"/>
      <c r="AJH106" s="236"/>
      <c r="AJI106" s="236"/>
      <c r="AJJ106" s="236"/>
      <c r="AJK106" s="236"/>
      <c r="AJL106" s="236"/>
      <c r="AJM106" s="236"/>
      <c r="AJN106" s="236"/>
      <c r="AJO106" s="236"/>
      <c r="AJP106" s="236"/>
      <c r="AJQ106" s="236"/>
      <c r="AJR106" s="236"/>
      <c r="AJS106" s="236"/>
      <c r="AJT106" s="236"/>
      <c r="AJU106" s="236"/>
      <c r="AJV106" s="236"/>
      <c r="AJW106" s="236"/>
      <c r="AJX106" s="236"/>
      <c r="AJY106" s="236"/>
      <c r="AJZ106" s="236"/>
      <c r="AKA106" s="236"/>
      <c r="AKB106" s="236"/>
      <c r="AKC106" s="236"/>
      <c r="AKD106" s="236"/>
      <c r="AKE106" s="236"/>
      <c r="AKF106" s="236"/>
      <c r="AKG106" s="236"/>
      <c r="AKH106" s="236"/>
      <c r="AKI106" s="236"/>
      <c r="AKJ106" s="236"/>
      <c r="AKK106" s="236"/>
      <c r="AKL106" s="236"/>
      <c r="AKM106" s="236"/>
      <c r="AKN106" s="236"/>
      <c r="AKO106" s="236"/>
      <c r="AKP106" s="236"/>
      <c r="AKQ106" s="236"/>
      <c r="AKR106" s="236"/>
      <c r="AKS106" s="236"/>
      <c r="AKT106" s="236"/>
      <c r="AKU106" s="236"/>
      <c r="AKV106" s="236"/>
      <c r="AKW106" s="236"/>
      <c r="AKX106" s="236"/>
      <c r="AKY106" s="236"/>
      <c r="AKZ106" s="236"/>
      <c r="ALA106" s="236"/>
      <c r="ALB106" s="236"/>
      <c r="ALC106" s="236"/>
      <c r="ALD106" s="236"/>
      <c r="ALE106" s="236"/>
      <c r="ALF106" s="236"/>
      <c r="ALG106" s="236"/>
      <c r="ALH106" s="236"/>
      <c r="ALI106" s="236"/>
      <c r="ALJ106" s="236"/>
      <c r="ALK106" s="236"/>
      <c r="ALL106" s="236"/>
      <c r="ALM106" s="236"/>
      <c r="ALN106" s="236"/>
      <c r="ALO106" s="236"/>
      <c r="ALP106" s="236"/>
      <c r="ALQ106" s="236"/>
      <c r="ALR106" s="236"/>
      <c r="ALS106" s="236"/>
      <c r="ALT106" s="236"/>
      <c r="ALU106" s="236"/>
      <c r="ALV106" s="236"/>
      <c r="ALW106" s="236"/>
      <c r="ALX106" s="236"/>
      <c r="ALY106" s="236"/>
      <c r="ALZ106" s="236"/>
      <c r="AMA106" s="236"/>
      <c r="AMB106" s="236"/>
      <c r="AMC106" s="236"/>
      <c r="AMD106" s="236"/>
      <c r="AME106" s="236"/>
      <c r="AMF106" s="236"/>
      <c r="AMG106" s="236"/>
      <c r="AMH106" s="236"/>
      <c r="AMI106" s="236"/>
      <c r="AMJ106" s="236"/>
      <c r="AMK106" s="236"/>
      <c r="AML106" s="236"/>
      <c r="AMM106" s="236"/>
    </row>
    <row r="107" spans="1:1027" ht="11.25" customHeight="1">
      <c r="A107" s="1386" t="s">
        <v>649</v>
      </c>
      <c r="B107" s="1387"/>
      <c r="C107" s="1387"/>
      <c r="D107" s="1387"/>
      <c r="E107" s="1387"/>
      <c r="F107" s="1387"/>
      <c r="G107" s="1387"/>
      <c r="H107" s="1387"/>
      <c r="I107" s="1387"/>
      <c r="J107" s="1387"/>
      <c r="K107" s="1387"/>
      <c r="L107" s="1388"/>
      <c r="M107" s="275"/>
      <c r="N107" s="280" t="s">
        <v>650</v>
      </c>
      <c r="O107" s="280"/>
      <c r="P107" s="281"/>
      <c r="Q107" s="281"/>
      <c r="R107" s="281"/>
      <c r="S107" s="281"/>
      <c r="T107" s="281"/>
      <c r="U107" s="281"/>
      <c r="V107" s="281"/>
      <c r="W107" s="281"/>
      <c r="X107" s="282"/>
      <c r="Y107" s="282"/>
      <c r="Z107" s="282"/>
      <c r="AA107" s="282"/>
      <c r="AB107" s="282"/>
      <c r="AC107" s="282"/>
      <c r="AD107" s="281"/>
      <c r="AE107" s="281"/>
      <c r="AF107" s="281"/>
      <c r="AG107" s="281"/>
      <c r="AH107" s="281"/>
      <c r="AI107" s="281"/>
      <c r="AJ107" s="275"/>
      <c r="AK107" s="275"/>
      <c r="AL107" s="275"/>
      <c r="AM107" s="279"/>
      <c r="AN107" s="262"/>
      <c r="AO107" s="262"/>
      <c r="AP107" s="262"/>
      <c r="AQ107" s="262"/>
      <c r="AR107" s="262"/>
      <c r="AS107" s="262"/>
      <c r="AT107" s="262"/>
      <c r="AU107" s="262"/>
      <c r="AV107" s="262"/>
      <c r="AW107" s="262"/>
      <c r="AX107" s="262"/>
      <c r="AY107" s="236"/>
      <c r="AZ107" s="236"/>
      <c r="BA107" s="236"/>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c r="HV107" s="236"/>
      <c r="HW107" s="236"/>
      <c r="HX107" s="236"/>
      <c r="HY107" s="236"/>
      <c r="HZ107" s="236"/>
      <c r="IA107" s="236"/>
      <c r="IB107" s="236"/>
      <c r="IC107" s="236"/>
      <c r="ID107" s="236"/>
      <c r="IE107" s="236"/>
      <c r="IF107" s="236"/>
      <c r="IG107" s="236"/>
      <c r="IH107" s="236"/>
      <c r="II107" s="236"/>
      <c r="IJ107" s="236"/>
      <c r="IK107" s="236"/>
      <c r="IL107" s="236"/>
      <c r="IM107" s="236"/>
      <c r="IN107" s="236"/>
      <c r="IO107" s="236"/>
      <c r="IP107" s="236"/>
      <c r="IQ107" s="236"/>
      <c r="IR107" s="236"/>
      <c r="IS107" s="236"/>
      <c r="IT107" s="236"/>
      <c r="IU107" s="236"/>
      <c r="IV107" s="236"/>
      <c r="IW107" s="236"/>
      <c r="IX107" s="236"/>
      <c r="IY107" s="236"/>
      <c r="IZ107" s="236"/>
      <c r="JA107" s="236"/>
      <c r="JB107" s="236"/>
      <c r="JC107" s="236"/>
      <c r="JD107" s="236"/>
      <c r="JE107" s="236"/>
      <c r="JF107" s="236"/>
      <c r="JG107" s="236"/>
      <c r="JH107" s="236"/>
      <c r="JI107" s="236"/>
      <c r="JJ107" s="236"/>
      <c r="JK107" s="236"/>
      <c r="JL107" s="236"/>
      <c r="JM107" s="236"/>
      <c r="JN107" s="236"/>
      <c r="JO107" s="236"/>
      <c r="JP107" s="236"/>
      <c r="JQ107" s="236"/>
      <c r="JR107" s="236"/>
      <c r="JS107" s="236"/>
      <c r="JT107" s="236"/>
      <c r="JU107" s="236"/>
      <c r="JV107" s="236"/>
      <c r="JW107" s="236"/>
      <c r="JX107" s="236"/>
      <c r="JY107" s="236"/>
      <c r="JZ107" s="236"/>
      <c r="KA107" s="236"/>
      <c r="KB107" s="236"/>
      <c r="KC107" s="236"/>
      <c r="KD107" s="236"/>
      <c r="KE107" s="236"/>
      <c r="KF107" s="236"/>
      <c r="KG107" s="236"/>
      <c r="KH107" s="236"/>
      <c r="KI107" s="236"/>
      <c r="KJ107" s="236"/>
      <c r="KK107" s="236"/>
      <c r="KL107" s="236"/>
      <c r="KM107" s="236"/>
      <c r="KN107" s="236"/>
      <c r="KO107" s="236"/>
      <c r="KP107" s="236"/>
      <c r="KQ107" s="236"/>
      <c r="KR107" s="236"/>
      <c r="KS107" s="236"/>
      <c r="KT107" s="236"/>
      <c r="KU107" s="236"/>
      <c r="KV107" s="236"/>
      <c r="KW107" s="236"/>
      <c r="KX107" s="236"/>
      <c r="KY107" s="236"/>
      <c r="KZ107" s="236"/>
      <c r="LA107" s="236"/>
      <c r="LB107" s="236"/>
      <c r="LC107" s="236"/>
      <c r="LD107" s="236"/>
      <c r="LE107" s="236"/>
      <c r="LF107" s="236"/>
      <c r="LG107" s="236"/>
      <c r="LH107" s="236"/>
      <c r="LI107" s="236"/>
      <c r="LJ107" s="236"/>
      <c r="LK107" s="236"/>
      <c r="LL107" s="236"/>
      <c r="LM107" s="236"/>
      <c r="LN107" s="236"/>
      <c r="LO107" s="236"/>
      <c r="LP107" s="236"/>
      <c r="LQ107" s="236"/>
      <c r="LR107" s="236"/>
      <c r="LS107" s="236"/>
      <c r="LT107" s="236"/>
      <c r="LU107" s="236"/>
      <c r="LV107" s="236"/>
      <c r="LW107" s="236"/>
      <c r="LX107" s="236"/>
      <c r="LY107" s="236"/>
      <c r="LZ107" s="236"/>
      <c r="MA107" s="236"/>
      <c r="MB107" s="236"/>
      <c r="MC107" s="236"/>
      <c r="MD107" s="236"/>
      <c r="ME107" s="236"/>
      <c r="MF107" s="236"/>
      <c r="MG107" s="236"/>
      <c r="MH107" s="236"/>
      <c r="MI107" s="236"/>
      <c r="MJ107" s="236"/>
      <c r="MK107" s="236"/>
      <c r="ML107" s="236"/>
      <c r="MM107" s="236"/>
      <c r="MN107" s="236"/>
      <c r="MO107" s="236"/>
      <c r="MP107" s="236"/>
      <c r="MQ107" s="236"/>
      <c r="MR107" s="236"/>
      <c r="MS107" s="236"/>
      <c r="MT107" s="236"/>
      <c r="MU107" s="236"/>
      <c r="MV107" s="236"/>
      <c r="MW107" s="236"/>
      <c r="MX107" s="236"/>
      <c r="MY107" s="236"/>
      <c r="MZ107" s="236"/>
      <c r="NA107" s="236"/>
      <c r="NB107" s="236"/>
      <c r="NC107" s="236"/>
      <c r="ND107" s="236"/>
      <c r="NE107" s="236"/>
      <c r="NF107" s="236"/>
      <c r="NG107" s="236"/>
      <c r="NH107" s="236"/>
      <c r="NI107" s="236"/>
      <c r="NJ107" s="236"/>
      <c r="NK107" s="236"/>
      <c r="NL107" s="236"/>
      <c r="NM107" s="236"/>
      <c r="NN107" s="236"/>
      <c r="NO107" s="236"/>
      <c r="NP107" s="236"/>
      <c r="NQ107" s="236"/>
      <c r="NR107" s="236"/>
      <c r="NS107" s="236"/>
      <c r="NT107" s="236"/>
      <c r="NU107" s="236"/>
      <c r="NV107" s="236"/>
      <c r="NW107" s="236"/>
      <c r="NX107" s="236"/>
      <c r="NY107" s="236"/>
      <c r="NZ107" s="236"/>
      <c r="OA107" s="236"/>
      <c r="OB107" s="236"/>
      <c r="OC107" s="236"/>
      <c r="OD107" s="236"/>
      <c r="OE107" s="236"/>
      <c r="OF107" s="236"/>
      <c r="OG107" s="236"/>
      <c r="OH107" s="236"/>
      <c r="OI107" s="236"/>
      <c r="OJ107" s="236"/>
      <c r="OK107" s="236"/>
      <c r="OL107" s="236"/>
      <c r="OM107" s="236"/>
      <c r="ON107" s="236"/>
      <c r="OO107" s="236"/>
      <c r="OP107" s="236"/>
      <c r="OQ107" s="236"/>
      <c r="OR107" s="236"/>
      <c r="OS107" s="236"/>
      <c r="OT107" s="236"/>
      <c r="OU107" s="236"/>
      <c r="OV107" s="236"/>
      <c r="OW107" s="236"/>
      <c r="OX107" s="236"/>
      <c r="OY107" s="236"/>
      <c r="OZ107" s="236"/>
      <c r="PA107" s="236"/>
      <c r="PB107" s="236"/>
      <c r="PC107" s="236"/>
      <c r="PD107" s="236"/>
      <c r="PE107" s="236"/>
      <c r="PF107" s="236"/>
      <c r="PG107" s="236"/>
      <c r="PH107" s="236"/>
      <c r="PI107" s="236"/>
      <c r="PJ107" s="236"/>
      <c r="PK107" s="236"/>
      <c r="PL107" s="236"/>
      <c r="PM107" s="236"/>
      <c r="PN107" s="236"/>
      <c r="PO107" s="236"/>
      <c r="PP107" s="236"/>
      <c r="PQ107" s="236"/>
      <c r="PR107" s="236"/>
      <c r="PS107" s="236"/>
      <c r="PT107" s="236"/>
      <c r="PU107" s="236"/>
      <c r="PV107" s="236"/>
      <c r="PW107" s="236"/>
      <c r="PX107" s="236"/>
      <c r="PY107" s="236"/>
      <c r="PZ107" s="236"/>
      <c r="QA107" s="236"/>
      <c r="QB107" s="236"/>
      <c r="QC107" s="236"/>
      <c r="QD107" s="236"/>
      <c r="QE107" s="236"/>
      <c r="QF107" s="236"/>
      <c r="QG107" s="236"/>
      <c r="QH107" s="236"/>
      <c r="QI107" s="236"/>
      <c r="QJ107" s="236"/>
      <c r="QK107" s="236"/>
      <c r="QL107" s="236"/>
      <c r="QM107" s="236"/>
      <c r="QN107" s="236"/>
      <c r="QO107" s="236"/>
      <c r="QP107" s="236"/>
      <c r="QQ107" s="236"/>
      <c r="QR107" s="236"/>
      <c r="QS107" s="236"/>
      <c r="QT107" s="236"/>
      <c r="QU107" s="236"/>
      <c r="QV107" s="236"/>
      <c r="QW107" s="236"/>
      <c r="QX107" s="236"/>
      <c r="QY107" s="236"/>
      <c r="QZ107" s="236"/>
      <c r="RA107" s="236"/>
      <c r="RB107" s="236"/>
      <c r="RC107" s="236"/>
      <c r="RD107" s="236"/>
      <c r="RE107" s="236"/>
      <c r="RF107" s="236"/>
      <c r="RG107" s="236"/>
      <c r="RH107" s="236"/>
      <c r="RI107" s="236"/>
      <c r="RJ107" s="236"/>
      <c r="RK107" s="236"/>
      <c r="RL107" s="236"/>
      <c r="RM107" s="236"/>
      <c r="RN107" s="236"/>
      <c r="RO107" s="236"/>
      <c r="RP107" s="236"/>
      <c r="RQ107" s="236"/>
      <c r="RR107" s="236"/>
      <c r="RS107" s="236"/>
      <c r="RT107" s="236"/>
      <c r="RU107" s="236"/>
      <c r="RV107" s="236"/>
      <c r="RW107" s="236"/>
      <c r="RX107" s="236"/>
      <c r="RY107" s="236"/>
      <c r="RZ107" s="236"/>
      <c r="SA107" s="236"/>
      <c r="SB107" s="236"/>
      <c r="SC107" s="236"/>
      <c r="SD107" s="236"/>
      <c r="SE107" s="236"/>
      <c r="SF107" s="236"/>
      <c r="SG107" s="236"/>
      <c r="SH107" s="236"/>
      <c r="SI107" s="236"/>
      <c r="SJ107" s="236"/>
      <c r="SK107" s="236"/>
      <c r="SL107" s="236"/>
      <c r="SM107" s="236"/>
      <c r="SN107" s="236"/>
      <c r="SO107" s="236"/>
      <c r="SP107" s="236"/>
      <c r="SQ107" s="236"/>
      <c r="SR107" s="236"/>
      <c r="SS107" s="236"/>
      <c r="ST107" s="236"/>
      <c r="SU107" s="236"/>
      <c r="SV107" s="236"/>
      <c r="SW107" s="236"/>
      <c r="SX107" s="236"/>
      <c r="SY107" s="236"/>
      <c r="SZ107" s="236"/>
      <c r="TA107" s="236"/>
      <c r="TB107" s="236"/>
      <c r="TC107" s="236"/>
      <c r="TD107" s="236"/>
      <c r="TE107" s="236"/>
      <c r="TF107" s="236"/>
      <c r="TG107" s="236"/>
      <c r="TH107" s="236"/>
      <c r="TI107" s="236"/>
      <c r="TJ107" s="236"/>
      <c r="TK107" s="236"/>
      <c r="TL107" s="236"/>
      <c r="TM107" s="236"/>
      <c r="TN107" s="236"/>
      <c r="TO107" s="236"/>
      <c r="TP107" s="236"/>
      <c r="TQ107" s="236"/>
      <c r="TR107" s="236"/>
      <c r="TS107" s="236"/>
      <c r="TT107" s="236"/>
      <c r="TU107" s="236"/>
      <c r="TV107" s="236"/>
      <c r="TW107" s="236"/>
      <c r="TX107" s="236"/>
      <c r="TY107" s="236"/>
      <c r="TZ107" s="236"/>
      <c r="UA107" s="236"/>
      <c r="UB107" s="236"/>
      <c r="UC107" s="236"/>
      <c r="UD107" s="236"/>
      <c r="UE107" s="236"/>
      <c r="UF107" s="236"/>
      <c r="UG107" s="236"/>
      <c r="UH107" s="236"/>
      <c r="UI107" s="236"/>
      <c r="UJ107" s="236"/>
      <c r="UK107" s="236"/>
      <c r="UL107" s="236"/>
      <c r="UM107" s="236"/>
      <c r="UN107" s="236"/>
      <c r="UO107" s="236"/>
      <c r="UP107" s="236"/>
      <c r="UQ107" s="236"/>
      <c r="UR107" s="236"/>
      <c r="US107" s="236"/>
      <c r="UT107" s="236"/>
      <c r="UU107" s="236"/>
      <c r="UV107" s="236"/>
      <c r="UW107" s="236"/>
      <c r="UX107" s="236"/>
      <c r="UY107" s="236"/>
      <c r="UZ107" s="236"/>
      <c r="VA107" s="236"/>
      <c r="VB107" s="236"/>
      <c r="VC107" s="236"/>
      <c r="VD107" s="236"/>
      <c r="VE107" s="236"/>
      <c r="VF107" s="236"/>
      <c r="VG107" s="236"/>
      <c r="VH107" s="236"/>
      <c r="VI107" s="236"/>
      <c r="VJ107" s="236"/>
      <c r="VK107" s="236"/>
      <c r="VL107" s="236"/>
      <c r="VM107" s="236"/>
      <c r="VN107" s="236"/>
      <c r="VO107" s="236"/>
      <c r="VP107" s="236"/>
      <c r="VQ107" s="236"/>
      <c r="VR107" s="236"/>
      <c r="VS107" s="236"/>
      <c r="VT107" s="236"/>
      <c r="VU107" s="236"/>
      <c r="VV107" s="236"/>
      <c r="VW107" s="236"/>
      <c r="VX107" s="236"/>
      <c r="VY107" s="236"/>
      <c r="VZ107" s="236"/>
      <c r="WA107" s="236"/>
      <c r="WB107" s="236"/>
      <c r="WC107" s="236"/>
      <c r="WD107" s="236"/>
      <c r="WE107" s="236"/>
      <c r="WF107" s="236"/>
      <c r="WG107" s="236"/>
      <c r="WH107" s="236"/>
      <c r="WI107" s="236"/>
      <c r="WJ107" s="236"/>
      <c r="WK107" s="236"/>
      <c r="WL107" s="236"/>
      <c r="WM107" s="236"/>
      <c r="WN107" s="236"/>
      <c r="WO107" s="236"/>
      <c r="WP107" s="236"/>
      <c r="WQ107" s="236"/>
      <c r="WR107" s="236"/>
      <c r="WS107" s="236"/>
      <c r="WT107" s="236"/>
      <c r="WU107" s="236"/>
      <c r="WV107" s="236"/>
      <c r="WW107" s="236"/>
      <c r="WX107" s="236"/>
      <c r="WY107" s="236"/>
      <c r="WZ107" s="236"/>
      <c r="XA107" s="236"/>
      <c r="XB107" s="236"/>
      <c r="XC107" s="236"/>
      <c r="XD107" s="236"/>
      <c r="XE107" s="236"/>
      <c r="XF107" s="236"/>
      <c r="XG107" s="236"/>
      <c r="XH107" s="236"/>
      <c r="XI107" s="236"/>
      <c r="XJ107" s="236"/>
      <c r="XK107" s="236"/>
      <c r="XL107" s="236"/>
      <c r="XM107" s="236"/>
      <c r="XN107" s="236"/>
      <c r="XO107" s="236"/>
      <c r="XP107" s="236"/>
      <c r="XQ107" s="236"/>
      <c r="XR107" s="236"/>
      <c r="XS107" s="236"/>
      <c r="XT107" s="236"/>
      <c r="XU107" s="236"/>
      <c r="XV107" s="236"/>
      <c r="XW107" s="236"/>
      <c r="XX107" s="236"/>
      <c r="XY107" s="236"/>
      <c r="XZ107" s="236"/>
      <c r="YA107" s="236"/>
      <c r="YB107" s="236"/>
      <c r="YC107" s="236"/>
      <c r="YD107" s="236"/>
      <c r="YE107" s="236"/>
      <c r="YF107" s="236"/>
      <c r="YG107" s="236"/>
      <c r="YH107" s="236"/>
      <c r="YI107" s="236"/>
      <c r="YJ107" s="236"/>
      <c r="YK107" s="236"/>
      <c r="YL107" s="236"/>
      <c r="YM107" s="236"/>
      <c r="YN107" s="236"/>
      <c r="YO107" s="236"/>
      <c r="YP107" s="236"/>
      <c r="YQ107" s="236"/>
      <c r="YR107" s="236"/>
      <c r="YS107" s="236"/>
      <c r="YT107" s="236"/>
      <c r="YU107" s="236"/>
      <c r="YV107" s="236"/>
      <c r="YW107" s="236"/>
      <c r="YX107" s="236"/>
      <c r="YY107" s="236"/>
      <c r="YZ107" s="236"/>
      <c r="ZA107" s="236"/>
      <c r="ZB107" s="236"/>
      <c r="ZC107" s="236"/>
      <c r="ZD107" s="236"/>
      <c r="ZE107" s="236"/>
      <c r="ZF107" s="236"/>
      <c r="ZG107" s="236"/>
      <c r="ZH107" s="236"/>
      <c r="ZI107" s="236"/>
      <c r="ZJ107" s="236"/>
      <c r="ZK107" s="236"/>
      <c r="ZL107" s="236"/>
      <c r="ZM107" s="236"/>
      <c r="ZN107" s="236"/>
      <c r="ZO107" s="236"/>
      <c r="ZP107" s="236"/>
      <c r="ZQ107" s="236"/>
      <c r="ZR107" s="236"/>
      <c r="ZS107" s="236"/>
      <c r="ZT107" s="236"/>
      <c r="ZU107" s="236"/>
      <c r="ZV107" s="236"/>
      <c r="ZW107" s="236"/>
      <c r="ZX107" s="236"/>
      <c r="ZY107" s="236"/>
      <c r="ZZ107" s="236"/>
      <c r="AAA107" s="236"/>
      <c r="AAB107" s="236"/>
      <c r="AAC107" s="236"/>
      <c r="AAD107" s="236"/>
      <c r="AAE107" s="236"/>
      <c r="AAF107" s="236"/>
      <c r="AAG107" s="236"/>
      <c r="AAH107" s="236"/>
      <c r="AAI107" s="236"/>
      <c r="AAJ107" s="236"/>
      <c r="AAK107" s="236"/>
      <c r="AAL107" s="236"/>
      <c r="AAM107" s="236"/>
      <c r="AAN107" s="236"/>
      <c r="AAO107" s="236"/>
      <c r="AAP107" s="236"/>
      <c r="AAQ107" s="236"/>
      <c r="AAR107" s="236"/>
      <c r="AAS107" s="236"/>
      <c r="AAT107" s="236"/>
      <c r="AAU107" s="236"/>
      <c r="AAV107" s="236"/>
      <c r="AAW107" s="236"/>
      <c r="AAX107" s="236"/>
      <c r="AAY107" s="236"/>
      <c r="AAZ107" s="236"/>
      <c r="ABA107" s="236"/>
      <c r="ABB107" s="236"/>
      <c r="ABC107" s="236"/>
      <c r="ABD107" s="236"/>
      <c r="ABE107" s="236"/>
      <c r="ABF107" s="236"/>
      <c r="ABG107" s="236"/>
      <c r="ABH107" s="236"/>
      <c r="ABI107" s="236"/>
      <c r="ABJ107" s="236"/>
      <c r="ABK107" s="236"/>
      <c r="ABL107" s="236"/>
      <c r="ABM107" s="236"/>
      <c r="ABN107" s="236"/>
      <c r="ABO107" s="236"/>
      <c r="ABP107" s="236"/>
      <c r="ABQ107" s="236"/>
      <c r="ABR107" s="236"/>
      <c r="ABS107" s="236"/>
      <c r="ABT107" s="236"/>
      <c r="ABU107" s="236"/>
      <c r="ABV107" s="236"/>
      <c r="ABW107" s="236"/>
      <c r="ABX107" s="236"/>
      <c r="ABY107" s="236"/>
      <c r="ABZ107" s="236"/>
      <c r="ACA107" s="236"/>
      <c r="ACB107" s="236"/>
      <c r="ACC107" s="236"/>
      <c r="ACD107" s="236"/>
      <c r="ACE107" s="236"/>
      <c r="ACF107" s="236"/>
      <c r="ACG107" s="236"/>
      <c r="ACH107" s="236"/>
      <c r="ACI107" s="236"/>
      <c r="ACJ107" s="236"/>
      <c r="ACK107" s="236"/>
      <c r="ACL107" s="236"/>
      <c r="ACM107" s="236"/>
      <c r="ACN107" s="236"/>
      <c r="ACO107" s="236"/>
      <c r="ACP107" s="236"/>
      <c r="ACQ107" s="236"/>
      <c r="ACR107" s="236"/>
      <c r="ACS107" s="236"/>
      <c r="ACT107" s="236"/>
      <c r="ACU107" s="236"/>
      <c r="ACV107" s="236"/>
      <c r="ACW107" s="236"/>
      <c r="ACX107" s="236"/>
      <c r="ACY107" s="236"/>
      <c r="ACZ107" s="236"/>
      <c r="ADA107" s="236"/>
      <c r="ADB107" s="236"/>
      <c r="ADC107" s="236"/>
      <c r="ADD107" s="236"/>
      <c r="ADE107" s="236"/>
      <c r="ADF107" s="236"/>
      <c r="ADG107" s="236"/>
      <c r="ADH107" s="236"/>
      <c r="ADI107" s="236"/>
      <c r="ADJ107" s="236"/>
      <c r="ADK107" s="236"/>
      <c r="ADL107" s="236"/>
      <c r="ADM107" s="236"/>
      <c r="ADN107" s="236"/>
      <c r="ADO107" s="236"/>
      <c r="ADP107" s="236"/>
      <c r="ADQ107" s="236"/>
      <c r="ADR107" s="236"/>
      <c r="ADS107" s="236"/>
      <c r="ADT107" s="236"/>
      <c r="ADU107" s="236"/>
      <c r="ADV107" s="236"/>
      <c r="ADW107" s="236"/>
      <c r="ADX107" s="236"/>
      <c r="ADY107" s="236"/>
      <c r="ADZ107" s="236"/>
      <c r="AEA107" s="236"/>
      <c r="AEB107" s="236"/>
      <c r="AEC107" s="236"/>
      <c r="AED107" s="236"/>
      <c r="AEE107" s="236"/>
      <c r="AEF107" s="236"/>
      <c r="AEG107" s="236"/>
      <c r="AEH107" s="236"/>
      <c r="AEI107" s="236"/>
      <c r="AEJ107" s="236"/>
      <c r="AEK107" s="236"/>
      <c r="AEL107" s="236"/>
      <c r="AEM107" s="236"/>
      <c r="AEN107" s="236"/>
      <c r="AEO107" s="236"/>
      <c r="AEP107" s="236"/>
      <c r="AEQ107" s="236"/>
      <c r="AER107" s="236"/>
      <c r="AES107" s="236"/>
      <c r="AET107" s="236"/>
      <c r="AEU107" s="236"/>
      <c r="AEV107" s="236"/>
      <c r="AEW107" s="236"/>
      <c r="AEX107" s="236"/>
      <c r="AEY107" s="236"/>
      <c r="AEZ107" s="236"/>
      <c r="AFA107" s="236"/>
      <c r="AFB107" s="236"/>
      <c r="AFC107" s="236"/>
      <c r="AFD107" s="236"/>
      <c r="AFE107" s="236"/>
      <c r="AFF107" s="236"/>
      <c r="AFG107" s="236"/>
      <c r="AFH107" s="236"/>
      <c r="AFI107" s="236"/>
      <c r="AFJ107" s="236"/>
      <c r="AFK107" s="236"/>
      <c r="AFL107" s="236"/>
      <c r="AFM107" s="236"/>
      <c r="AFN107" s="236"/>
      <c r="AFO107" s="236"/>
      <c r="AFP107" s="236"/>
      <c r="AFQ107" s="236"/>
      <c r="AFR107" s="236"/>
      <c r="AFS107" s="236"/>
      <c r="AFT107" s="236"/>
      <c r="AFU107" s="236"/>
      <c r="AFV107" s="236"/>
      <c r="AFW107" s="236"/>
      <c r="AFX107" s="236"/>
      <c r="AFY107" s="236"/>
      <c r="AFZ107" s="236"/>
      <c r="AGA107" s="236"/>
      <c r="AGB107" s="236"/>
      <c r="AGC107" s="236"/>
      <c r="AGD107" s="236"/>
      <c r="AGE107" s="236"/>
      <c r="AGF107" s="236"/>
      <c r="AGG107" s="236"/>
      <c r="AGH107" s="236"/>
      <c r="AGI107" s="236"/>
      <c r="AGJ107" s="236"/>
      <c r="AGK107" s="236"/>
      <c r="AGL107" s="236"/>
      <c r="AGM107" s="236"/>
      <c r="AGN107" s="236"/>
      <c r="AGO107" s="236"/>
      <c r="AGP107" s="236"/>
      <c r="AGQ107" s="236"/>
      <c r="AGR107" s="236"/>
      <c r="AGS107" s="236"/>
      <c r="AGT107" s="236"/>
      <c r="AGU107" s="236"/>
      <c r="AGV107" s="236"/>
      <c r="AGW107" s="236"/>
      <c r="AGX107" s="236"/>
      <c r="AGY107" s="236"/>
      <c r="AGZ107" s="236"/>
      <c r="AHA107" s="236"/>
      <c r="AHB107" s="236"/>
      <c r="AHC107" s="236"/>
      <c r="AHD107" s="236"/>
      <c r="AHE107" s="236"/>
      <c r="AHF107" s="236"/>
      <c r="AHG107" s="236"/>
      <c r="AHH107" s="236"/>
      <c r="AHI107" s="236"/>
      <c r="AHJ107" s="236"/>
      <c r="AHK107" s="236"/>
      <c r="AHL107" s="236"/>
      <c r="AHM107" s="236"/>
      <c r="AHN107" s="236"/>
      <c r="AHO107" s="236"/>
      <c r="AHP107" s="236"/>
      <c r="AHQ107" s="236"/>
      <c r="AHR107" s="236"/>
      <c r="AHS107" s="236"/>
      <c r="AHT107" s="236"/>
      <c r="AHU107" s="236"/>
      <c r="AHV107" s="236"/>
      <c r="AHW107" s="236"/>
      <c r="AHX107" s="236"/>
      <c r="AHY107" s="236"/>
      <c r="AHZ107" s="236"/>
      <c r="AIA107" s="236"/>
      <c r="AIB107" s="236"/>
      <c r="AIC107" s="236"/>
      <c r="AID107" s="236"/>
      <c r="AIE107" s="236"/>
      <c r="AIF107" s="236"/>
      <c r="AIG107" s="236"/>
      <c r="AIH107" s="236"/>
      <c r="AII107" s="236"/>
      <c r="AIJ107" s="236"/>
      <c r="AIK107" s="236"/>
      <c r="AIL107" s="236"/>
      <c r="AIM107" s="236"/>
      <c r="AIN107" s="236"/>
      <c r="AIO107" s="236"/>
      <c r="AIP107" s="236"/>
      <c r="AIQ107" s="236"/>
      <c r="AIR107" s="236"/>
      <c r="AIS107" s="236"/>
      <c r="AIT107" s="236"/>
      <c r="AIU107" s="236"/>
      <c r="AIV107" s="236"/>
      <c r="AIW107" s="236"/>
      <c r="AIX107" s="236"/>
      <c r="AIY107" s="236"/>
      <c r="AIZ107" s="236"/>
      <c r="AJA107" s="236"/>
      <c r="AJB107" s="236"/>
      <c r="AJC107" s="236"/>
      <c r="AJD107" s="236"/>
      <c r="AJE107" s="236"/>
      <c r="AJF107" s="236"/>
      <c r="AJG107" s="236"/>
      <c r="AJH107" s="236"/>
      <c r="AJI107" s="236"/>
      <c r="AJJ107" s="236"/>
      <c r="AJK107" s="236"/>
      <c r="AJL107" s="236"/>
      <c r="AJM107" s="236"/>
      <c r="AJN107" s="236"/>
      <c r="AJO107" s="236"/>
      <c r="AJP107" s="236"/>
      <c r="AJQ107" s="236"/>
      <c r="AJR107" s="236"/>
      <c r="AJS107" s="236"/>
      <c r="AJT107" s="236"/>
      <c r="AJU107" s="236"/>
      <c r="AJV107" s="236"/>
      <c r="AJW107" s="236"/>
      <c r="AJX107" s="236"/>
      <c r="AJY107" s="236"/>
      <c r="AJZ107" s="236"/>
      <c r="AKA107" s="236"/>
      <c r="AKB107" s="236"/>
      <c r="AKC107" s="236"/>
      <c r="AKD107" s="236"/>
      <c r="AKE107" s="236"/>
      <c r="AKF107" s="236"/>
      <c r="AKG107" s="236"/>
      <c r="AKH107" s="236"/>
      <c r="AKI107" s="236"/>
      <c r="AKJ107" s="236"/>
      <c r="AKK107" s="236"/>
      <c r="AKL107" s="236"/>
      <c r="AKM107" s="236"/>
      <c r="AKN107" s="236"/>
      <c r="AKO107" s="236"/>
      <c r="AKP107" s="236"/>
      <c r="AKQ107" s="236"/>
      <c r="AKR107" s="236"/>
      <c r="AKS107" s="236"/>
      <c r="AKT107" s="236"/>
      <c r="AKU107" s="236"/>
      <c r="AKV107" s="236"/>
      <c r="AKW107" s="236"/>
      <c r="AKX107" s="236"/>
      <c r="AKY107" s="236"/>
      <c r="AKZ107" s="236"/>
      <c r="ALA107" s="236"/>
      <c r="ALB107" s="236"/>
      <c r="ALC107" s="236"/>
      <c r="ALD107" s="236"/>
      <c r="ALE107" s="236"/>
      <c r="ALF107" s="236"/>
      <c r="ALG107" s="236"/>
      <c r="ALH107" s="236"/>
      <c r="ALI107" s="236"/>
      <c r="ALJ107" s="236"/>
      <c r="ALK107" s="236"/>
      <c r="ALL107" s="236"/>
      <c r="ALM107" s="236"/>
      <c r="ALN107" s="236"/>
      <c r="ALO107" s="236"/>
      <c r="ALP107" s="236"/>
      <c r="ALQ107" s="236"/>
      <c r="ALR107" s="236"/>
      <c r="ALS107" s="236"/>
      <c r="ALT107" s="236"/>
      <c r="ALU107" s="236"/>
      <c r="ALV107" s="236"/>
      <c r="ALW107" s="236"/>
      <c r="ALX107" s="236"/>
      <c r="ALY107" s="236"/>
      <c r="ALZ107" s="236"/>
      <c r="AMA107" s="236"/>
      <c r="AMB107" s="236"/>
      <c r="AMC107" s="236"/>
      <c r="AMD107" s="236"/>
      <c r="AME107" s="236"/>
      <c r="AMF107" s="236"/>
      <c r="AMG107" s="236"/>
      <c r="AMH107" s="236"/>
      <c r="AMI107" s="236"/>
      <c r="AMJ107" s="236"/>
      <c r="AMK107" s="236"/>
      <c r="AML107" s="236"/>
      <c r="AMM107" s="236"/>
    </row>
    <row r="108" spans="1:1027">
      <c r="A108" s="1418"/>
      <c r="B108" s="1419"/>
      <c r="C108" s="1419"/>
      <c r="D108" s="1419"/>
      <c r="E108" s="1419"/>
      <c r="F108" s="1419"/>
      <c r="G108" s="1419"/>
      <c r="H108" s="1419"/>
      <c r="I108" s="1419"/>
      <c r="J108" s="1419"/>
      <c r="K108" s="1419"/>
      <c r="L108" s="1420"/>
      <c r="M108" s="283"/>
      <c r="N108" s="1392" t="s">
        <v>278</v>
      </c>
      <c r="O108" s="1393"/>
      <c r="P108" s="1393"/>
      <c r="Q108" s="1393"/>
      <c r="R108" s="1394"/>
      <c r="S108" s="284"/>
      <c r="T108" s="284"/>
      <c r="U108" s="284"/>
      <c r="V108" s="1392" t="s">
        <v>170</v>
      </c>
      <c r="W108" s="1393"/>
      <c r="X108" s="1393"/>
      <c r="Y108" s="1393"/>
      <c r="Z108" s="1394"/>
      <c r="AA108" s="1065"/>
      <c r="AB108" s="1392" t="s">
        <v>171</v>
      </c>
      <c r="AC108" s="1394"/>
      <c r="AD108" s="1392" t="s">
        <v>172</v>
      </c>
      <c r="AE108" s="1393"/>
      <c r="AF108" s="1393"/>
      <c r="AG108" s="1393"/>
      <c r="AH108" s="1393"/>
      <c r="AI108" s="1393"/>
      <c r="AJ108" s="1393"/>
      <c r="AK108" s="1393"/>
      <c r="AL108" s="1393"/>
      <c r="AM108" s="1394"/>
      <c r="AN108" s="262"/>
      <c r="AO108" s="262"/>
      <c r="AP108" s="262"/>
      <c r="AQ108" s="262"/>
      <c r="AR108" s="262"/>
      <c r="AS108" s="262"/>
      <c r="AT108" s="262"/>
      <c r="AU108" s="262"/>
      <c r="AV108" s="262"/>
      <c r="AW108" s="262"/>
      <c r="AX108" s="262"/>
      <c r="AY108" s="236"/>
      <c r="AZ108" s="236"/>
      <c r="BA108" s="236"/>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c r="HV108" s="236"/>
      <c r="HW108" s="236"/>
      <c r="HX108" s="236"/>
      <c r="HY108" s="236"/>
      <c r="HZ108" s="236"/>
      <c r="IA108" s="236"/>
      <c r="IB108" s="236"/>
      <c r="IC108" s="236"/>
      <c r="ID108" s="236"/>
      <c r="IE108" s="236"/>
      <c r="IF108" s="236"/>
      <c r="IG108" s="236"/>
      <c r="IH108" s="236"/>
      <c r="II108" s="236"/>
      <c r="IJ108" s="236"/>
      <c r="IK108" s="236"/>
      <c r="IL108" s="236"/>
      <c r="IM108" s="236"/>
      <c r="IN108" s="236"/>
      <c r="IO108" s="236"/>
      <c r="IP108" s="236"/>
      <c r="IQ108" s="236"/>
      <c r="IR108" s="236"/>
      <c r="IS108" s="236"/>
      <c r="IT108" s="236"/>
      <c r="IU108" s="236"/>
      <c r="IV108" s="236"/>
      <c r="IW108" s="236"/>
      <c r="IX108" s="236"/>
      <c r="IY108" s="236"/>
      <c r="IZ108" s="236"/>
      <c r="JA108" s="236"/>
      <c r="JB108" s="236"/>
      <c r="JC108" s="236"/>
      <c r="JD108" s="236"/>
      <c r="JE108" s="236"/>
      <c r="JF108" s="236"/>
      <c r="JG108" s="236"/>
      <c r="JH108" s="236"/>
      <c r="JI108" s="236"/>
      <c r="JJ108" s="236"/>
      <c r="JK108" s="236"/>
      <c r="JL108" s="236"/>
      <c r="JM108" s="236"/>
      <c r="JN108" s="236"/>
      <c r="JO108" s="236"/>
      <c r="JP108" s="236"/>
      <c r="JQ108" s="236"/>
      <c r="JR108" s="236"/>
      <c r="JS108" s="236"/>
      <c r="JT108" s="236"/>
      <c r="JU108" s="236"/>
      <c r="JV108" s="236"/>
      <c r="JW108" s="236"/>
      <c r="JX108" s="236"/>
      <c r="JY108" s="236"/>
      <c r="JZ108" s="236"/>
      <c r="KA108" s="236"/>
      <c r="KB108" s="236"/>
      <c r="KC108" s="236"/>
      <c r="KD108" s="236"/>
      <c r="KE108" s="236"/>
      <c r="KF108" s="236"/>
      <c r="KG108" s="236"/>
      <c r="KH108" s="236"/>
      <c r="KI108" s="236"/>
      <c r="KJ108" s="236"/>
      <c r="KK108" s="236"/>
      <c r="KL108" s="236"/>
      <c r="KM108" s="236"/>
      <c r="KN108" s="236"/>
      <c r="KO108" s="236"/>
      <c r="KP108" s="236"/>
      <c r="KQ108" s="236"/>
      <c r="KR108" s="236"/>
      <c r="KS108" s="236"/>
      <c r="KT108" s="236"/>
      <c r="KU108" s="236"/>
      <c r="KV108" s="236"/>
      <c r="KW108" s="236"/>
      <c r="KX108" s="236"/>
      <c r="KY108" s="236"/>
      <c r="KZ108" s="236"/>
      <c r="LA108" s="236"/>
      <c r="LB108" s="236"/>
      <c r="LC108" s="236"/>
      <c r="LD108" s="236"/>
      <c r="LE108" s="236"/>
      <c r="LF108" s="236"/>
      <c r="LG108" s="236"/>
      <c r="LH108" s="236"/>
      <c r="LI108" s="236"/>
      <c r="LJ108" s="236"/>
      <c r="LK108" s="236"/>
      <c r="LL108" s="236"/>
      <c r="LM108" s="236"/>
      <c r="LN108" s="236"/>
      <c r="LO108" s="236"/>
      <c r="LP108" s="236"/>
      <c r="LQ108" s="236"/>
      <c r="LR108" s="236"/>
      <c r="LS108" s="236"/>
      <c r="LT108" s="236"/>
      <c r="LU108" s="236"/>
      <c r="LV108" s="236"/>
      <c r="LW108" s="236"/>
      <c r="LX108" s="236"/>
      <c r="LY108" s="236"/>
      <c r="LZ108" s="236"/>
      <c r="MA108" s="236"/>
      <c r="MB108" s="236"/>
      <c r="MC108" s="236"/>
      <c r="MD108" s="236"/>
      <c r="ME108" s="236"/>
      <c r="MF108" s="236"/>
      <c r="MG108" s="236"/>
      <c r="MH108" s="236"/>
      <c r="MI108" s="236"/>
      <c r="MJ108" s="236"/>
      <c r="MK108" s="236"/>
      <c r="ML108" s="236"/>
      <c r="MM108" s="236"/>
      <c r="MN108" s="236"/>
      <c r="MO108" s="236"/>
      <c r="MP108" s="236"/>
      <c r="MQ108" s="236"/>
      <c r="MR108" s="236"/>
      <c r="MS108" s="236"/>
      <c r="MT108" s="236"/>
      <c r="MU108" s="236"/>
      <c r="MV108" s="236"/>
      <c r="MW108" s="236"/>
      <c r="MX108" s="236"/>
      <c r="MY108" s="236"/>
      <c r="MZ108" s="236"/>
      <c r="NA108" s="236"/>
      <c r="NB108" s="236"/>
      <c r="NC108" s="236"/>
      <c r="ND108" s="236"/>
      <c r="NE108" s="236"/>
      <c r="NF108" s="236"/>
      <c r="NG108" s="236"/>
      <c r="NH108" s="236"/>
      <c r="NI108" s="236"/>
      <c r="NJ108" s="236"/>
      <c r="NK108" s="236"/>
      <c r="NL108" s="236"/>
      <c r="NM108" s="236"/>
      <c r="NN108" s="236"/>
      <c r="NO108" s="236"/>
      <c r="NP108" s="236"/>
      <c r="NQ108" s="236"/>
      <c r="NR108" s="236"/>
      <c r="NS108" s="236"/>
      <c r="NT108" s="236"/>
      <c r="NU108" s="236"/>
      <c r="NV108" s="236"/>
      <c r="NW108" s="236"/>
      <c r="NX108" s="236"/>
      <c r="NY108" s="236"/>
      <c r="NZ108" s="236"/>
      <c r="OA108" s="236"/>
      <c r="OB108" s="236"/>
      <c r="OC108" s="236"/>
      <c r="OD108" s="236"/>
      <c r="OE108" s="236"/>
      <c r="OF108" s="236"/>
      <c r="OG108" s="236"/>
      <c r="OH108" s="236"/>
      <c r="OI108" s="236"/>
      <c r="OJ108" s="236"/>
      <c r="OK108" s="236"/>
      <c r="OL108" s="236"/>
      <c r="OM108" s="236"/>
      <c r="ON108" s="236"/>
      <c r="OO108" s="236"/>
      <c r="OP108" s="236"/>
      <c r="OQ108" s="236"/>
      <c r="OR108" s="236"/>
      <c r="OS108" s="236"/>
      <c r="OT108" s="236"/>
      <c r="OU108" s="236"/>
      <c r="OV108" s="236"/>
      <c r="OW108" s="236"/>
      <c r="OX108" s="236"/>
      <c r="OY108" s="236"/>
      <c r="OZ108" s="236"/>
      <c r="PA108" s="236"/>
      <c r="PB108" s="236"/>
      <c r="PC108" s="236"/>
      <c r="PD108" s="236"/>
      <c r="PE108" s="236"/>
      <c r="PF108" s="236"/>
      <c r="PG108" s="236"/>
      <c r="PH108" s="236"/>
      <c r="PI108" s="236"/>
      <c r="PJ108" s="236"/>
      <c r="PK108" s="236"/>
      <c r="PL108" s="236"/>
      <c r="PM108" s="236"/>
      <c r="PN108" s="236"/>
      <c r="PO108" s="236"/>
      <c r="PP108" s="236"/>
      <c r="PQ108" s="236"/>
      <c r="PR108" s="236"/>
      <c r="PS108" s="236"/>
      <c r="PT108" s="236"/>
      <c r="PU108" s="236"/>
      <c r="PV108" s="236"/>
      <c r="PW108" s="236"/>
      <c r="PX108" s="236"/>
      <c r="PY108" s="236"/>
      <c r="PZ108" s="236"/>
      <c r="QA108" s="236"/>
      <c r="QB108" s="236"/>
      <c r="QC108" s="236"/>
      <c r="QD108" s="236"/>
      <c r="QE108" s="236"/>
      <c r="QF108" s="236"/>
      <c r="QG108" s="236"/>
      <c r="QH108" s="236"/>
      <c r="QI108" s="236"/>
      <c r="QJ108" s="236"/>
      <c r="QK108" s="236"/>
      <c r="QL108" s="236"/>
      <c r="QM108" s="236"/>
      <c r="QN108" s="236"/>
      <c r="QO108" s="236"/>
      <c r="QP108" s="236"/>
      <c r="QQ108" s="236"/>
      <c r="QR108" s="236"/>
      <c r="QS108" s="236"/>
      <c r="QT108" s="236"/>
      <c r="QU108" s="236"/>
      <c r="QV108" s="236"/>
      <c r="QW108" s="236"/>
      <c r="QX108" s="236"/>
      <c r="QY108" s="236"/>
      <c r="QZ108" s="236"/>
      <c r="RA108" s="236"/>
      <c r="RB108" s="236"/>
      <c r="RC108" s="236"/>
      <c r="RD108" s="236"/>
      <c r="RE108" s="236"/>
      <c r="RF108" s="236"/>
      <c r="RG108" s="236"/>
      <c r="RH108" s="236"/>
      <c r="RI108" s="236"/>
      <c r="RJ108" s="236"/>
      <c r="RK108" s="236"/>
      <c r="RL108" s="236"/>
      <c r="RM108" s="236"/>
      <c r="RN108" s="236"/>
      <c r="RO108" s="236"/>
      <c r="RP108" s="236"/>
      <c r="RQ108" s="236"/>
      <c r="RR108" s="236"/>
      <c r="RS108" s="236"/>
      <c r="RT108" s="236"/>
      <c r="RU108" s="236"/>
      <c r="RV108" s="236"/>
      <c r="RW108" s="236"/>
      <c r="RX108" s="236"/>
      <c r="RY108" s="236"/>
      <c r="RZ108" s="236"/>
      <c r="SA108" s="236"/>
      <c r="SB108" s="236"/>
      <c r="SC108" s="236"/>
      <c r="SD108" s="236"/>
      <c r="SE108" s="236"/>
      <c r="SF108" s="236"/>
      <c r="SG108" s="236"/>
      <c r="SH108" s="236"/>
      <c r="SI108" s="236"/>
      <c r="SJ108" s="236"/>
      <c r="SK108" s="236"/>
      <c r="SL108" s="236"/>
      <c r="SM108" s="236"/>
      <c r="SN108" s="236"/>
      <c r="SO108" s="236"/>
      <c r="SP108" s="236"/>
      <c r="SQ108" s="236"/>
      <c r="SR108" s="236"/>
      <c r="SS108" s="236"/>
      <c r="ST108" s="236"/>
      <c r="SU108" s="236"/>
      <c r="SV108" s="236"/>
      <c r="SW108" s="236"/>
      <c r="SX108" s="236"/>
      <c r="SY108" s="236"/>
      <c r="SZ108" s="236"/>
      <c r="TA108" s="236"/>
      <c r="TB108" s="236"/>
      <c r="TC108" s="236"/>
      <c r="TD108" s="236"/>
      <c r="TE108" s="236"/>
      <c r="TF108" s="236"/>
      <c r="TG108" s="236"/>
      <c r="TH108" s="236"/>
      <c r="TI108" s="236"/>
      <c r="TJ108" s="236"/>
      <c r="TK108" s="236"/>
      <c r="TL108" s="236"/>
      <c r="TM108" s="236"/>
      <c r="TN108" s="236"/>
      <c r="TO108" s="236"/>
      <c r="TP108" s="236"/>
      <c r="TQ108" s="236"/>
      <c r="TR108" s="236"/>
      <c r="TS108" s="236"/>
      <c r="TT108" s="236"/>
      <c r="TU108" s="236"/>
      <c r="TV108" s="236"/>
      <c r="TW108" s="236"/>
      <c r="TX108" s="236"/>
      <c r="TY108" s="236"/>
      <c r="TZ108" s="236"/>
      <c r="UA108" s="236"/>
      <c r="UB108" s="236"/>
      <c r="UC108" s="236"/>
      <c r="UD108" s="236"/>
      <c r="UE108" s="236"/>
      <c r="UF108" s="236"/>
      <c r="UG108" s="236"/>
      <c r="UH108" s="236"/>
      <c r="UI108" s="236"/>
      <c r="UJ108" s="236"/>
      <c r="UK108" s="236"/>
      <c r="UL108" s="236"/>
      <c r="UM108" s="236"/>
      <c r="UN108" s="236"/>
      <c r="UO108" s="236"/>
      <c r="UP108" s="236"/>
      <c r="UQ108" s="236"/>
      <c r="UR108" s="236"/>
      <c r="US108" s="236"/>
      <c r="UT108" s="236"/>
      <c r="UU108" s="236"/>
      <c r="UV108" s="236"/>
      <c r="UW108" s="236"/>
      <c r="UX108" s="236"/>
      <c r="UY108" s="236"/>
      <c r="UZ108" s="236"/>
      <c r="VA108" s="236"/>
      <c r="VB108" s="236"/>
      <c r="VC108" s="236"/>
      <c r="VD108" s="236"/>
      <c r="VE108" s="236"/>
      <c r="VF108" s="236"/>
      <c r="VG108" s="236"/>
      <c r="VH108" s="236"/>
      <c r="VI108" s="236"/>
      <c r="VJ108" s="236"/>
      <c r="VK108" s="236"/>
      <c r="VL108" s="236"/>
      <c r="VM108" s="236"/>
      <c r="VN108" s="236"/>
      <c r="VO108" s="236"/>
      <c r="VP108" s="236"/>
      <c r="VQ108" s="236"/>
      <c r="VR108" s="236"/>
      <c r="VS108" s="236"/>
      <c r="VT108" s="236"/>
      <c r="VU108" s="236"/>
      <c r="VV108" s="236"/>
      <c r="VW108" s="236"/>
      <c r="VX108" s="236"/>
      <c r="VY108" s="236"/>
      <c r="VZ108" s="236"/>
      <c r="WA108" s="236"/>
      <c r="WB108" s="236"/>
      <c r="WC108" s="236"/>
      <c r="WD108" s="236"/>
      <c r="WE108" s="236"/>
      <c r="WF108" s="236"/>
      <c r="WG108" s="236"/>
      <c r="WH108" s="236"/>
      <c r="WI108" s="236"/>
      <c r="WJ108" s="236"/>
      <c r="WK108" s="236"/>
      <c r="WL108" s="236"/>
      <c r="WM108" s="236"/>
      <c r="WN108" s="236"/>
      <c r="WO108" s="236"/>
      <c r="WP108" s="236"/>
      <c r="WQ108" s="236"/>
      <c r="WR108" s="236"/>
      <c r="WS108" s="236"/>
      <c r="WT108" s="236"/>
      <c r="WU108" s="236"/>
      <c r="WV108" s="236"/>
      <c r="WW108" s="236"/>
      <c r="WX108" s="236"/>
      <c r="WY108" s="236"/>
      <c r="WZ108" s="236"/>
      <c r="XA108" s="236"/>
      <c r="XB108" s="236"/>
      <c r="XC108" s="236"/>
      <c r="XD108" s="236"/>
      <c r="XE108" s="236"/>
      <c r="XF108" s="236"/>
      <c r="XG108" s="236"/>
      <c r="XH108" s="236"/>
      <c r="XI108" s="236"/>
      <c r="XJ108" s="236"/>
      <c r="XK108" s="236"/>
      <c r="XL108" s="236"/>
      <c r="XM108" s="236"/>
      <c r="XN108" s="236"/>
      <c r="XO108" s="236"/>
      <c r="XP108" s="236"/>
      <c r="XQ108" s="236"/>
      <c r="XR108" s="236"/>
      <c r="XS108" s="236"/>
      <c r="XT108" s="236"/>
      <c r="XU108" s="236"/>
      <c r="XV108" s="236"/>
      <c r="XW108" s="236"/>
      <c r="XX108" s="236"/>
      <c r="XY108" s="236"/>
      <c r="XZ108" s="236"/>
      <c r="YA108" s="236"/>
      <c r="YB108" s="236"/>
      <c r="YC108" s="236"/>
      <c r="YD108" s="236"/>
      <c r="YE108" s="236"/>
      <c r="YF108" s="236"/>
      <c r="YG108" s="236"/>
      <c r="YH108" s="236"/>
      <c r="YI108" s="236"/>
      <c r="YJ108" s="236"/>
      <c r="YK108" s="236"/>
      <c r="YL108" s="236"/>
      <c r="YM108" s="236"/>
      <c r="YN108" s="236"/>
      <c r="YO108" s="236"/>
      <c r="YP108" s="236"/>
      <c r="YQ108" s="236"/>
      <c r="YR108" s="236"/>
      <c r="YS108" s="236"/>
      <c r="YT108" s="236"/>
      <c r="YU108" s="236"/>
      <c r="YV108" s="236"/>
      <c r="YW108" s="236"/>
      <c r="YX108" s="236"/>
      <c r="YY108" s="236"/>
      <c r="YZ108" s="236"/>
      <c r="ZA108" s="236"/>
      <c r="ZB108" s="236"/>
      <c r="ZC108" s="236"/>
      <c r="ZD108" s="236"/>
      <c r="ZE108" s="236"/>
      <c r="ZF108" s="236"/>
      <c r="ZG108" s="236"/>
      <c r="ZH108" s="236"/>
      <c r="ZI108" s="236"/>
      <c r="ZJ108" s="236"/>
      <c r="ZK108" s="236"/>
      <c r="ZL108" s="236"/>
      <c r="ZM108" s="236"/>
      <c r="ZN108" s="236"/>
      <c r="ZO108" s="236"/>
      <c r="ZP108" s="236"/>
      <c r="ZQ108" s="236"/>
      <c r="ZR108" s="236"/>
      <c r="ZS108" s="236"/>
      <c r="ZT108" s="236"/>
      <c r="ZU108" s="236"/>
      <c r="ZV108" s="236"/>
      <c r="ZW108" s="236"/>
      <c r="ZX108" s="236"/>
      <c r="ZY108" s="236"/>
      <c r="ZZ108" s="236"/>
      <c r="AAA108" s="236"/>
      <c r="AAB108" s="236"/>
      <c r="AAC108" s="236"/>
      <c r="AAD108" s="236"/>
      <c r="AAE108" s="236"/>
      <c r="AAF108" s="236"/>
      <c r="AAG108" s="236"/>
      <c r="AAH108" s="236"/>
      <c r="AAI108" s="236"/>
      <c r="AAJ108" s="236"/>
      <c r="AAK108" s="236"/>
      <c r="AAL108" s="236"/>
      <c r="AAM108" s="236"/>
      <c r="AAN108" s="236"/>
      <c r="AAO108" s="236"/>
      <c r="AAP108" s="236"/>
      <c r="AAQ108" s="236"/>
      <c r="AAR108" s="236"/>
      <c r="AAS108" s="236"/>
      <c r="AAT108" s="236"/>
      <c r="AAU108" s="236"/>
      <c r="AAV108" s="236"/>
      <c r="AAW108" s="236"/>
      <c r="AAX108" s="236"/>
      <c r="AAY108" s="236"/>
      <c r="AAZ108" s="236"/>
      <c r="ABA108" s="236"/>
      <c r="ABB108" s="236"/>
      <c r="ABC108" s="236"/>
      <c r="ABD108" s="236"/>
      <c r="ABE108" s="236"/>
      <c r="ABF108" s="236"/>
      <c r="ABG108" s="236"/>
      <c r="ABH108" s="236"/>
      <c r="ABI108" s="236"/>
      <c r="ABJ108" s="236"/>
      <c r="ABK108" s="236"/>
      <c r="ABL108" s="236"/>
      <c r="ABM108" s="236"/>
      <c r="ABN108" s="236"/>
      <c r="ABO108" s="236"/>
      <c r="ABP108" s="236"/>
      <c r="ABQ108" s="236"/>
      <c r="ABR108" s="236"/>
      <c r="ABS108" s="236"/>
      <c r="ABT108" s="236"/>
      <c r="ABU108" s="236"/>
      <c r="ABV108" s="236"/>
      <c r="ABW108" s="236"/>
      <c r="ABX108" s="236"/>
      <c r="ABY108" s="236"/>
      <c r="ABZ108" s="236"/>
      <c r="ACA108" s="236"/>
      <c r="ACB108" s="236"/>
      <c r="ACC108" s="236"/>
      <c r="ACD108" s="236"/>
      <c r="ACE108" s="236"/>
      <c r="ACF108" s="236"/>
      <c r="ACG108" s="236"/>
      <c r="ACH108" s="236"/>
      <c r="ACI108" s="236"/>
      <c r="ACJ108" s="236"/>
      <c r="ACK108" s="236"/>
      <c r="ACL108" s="236"/>
      <c r="ACM108" s="236"/>
      <c r="ACN108" s="236"/>
      <c r="ACO108" s="236"/>
      <c r="ACP108" s="236"/>
      <c r="ACQ108" s="236"/>
      <c r="ACR108" s="236"/>
      <c r="ACS108" s="236"/>
      <c r="ACT108" s="236"/>
      <c r="ACU108" s="236"/>
      <c r="ACV108" s="236"/>
      <c r="ACW108" s="236"/>
      <c r="ACX108" s="236"/>
      <c r="ACY108" s="236"/>
      <c r="ACZ108" s="236"/>
      <c r="ADA108" s="236"/>
      <c r="ADB108" s="236"/>
      <c r="ADC108" s="236"/>
      <c r="ADD108" s="236"/>
      <c r="ADE108" s="236"/>
      <c r="ADF108" s="236"/>
      <c r="ADG108" s="236"/>
      <c r="ADH108" s="236"/>
      <c r="ADI108" s="236"/>
      <c r="ADJ108" s="236"/>
      <c r="ADK108" s="236"/>
      <c r="ADL108" s="236"/>
      <c r="ADM108" s="236"/>
      <c r="ADN108" s="236"/>
      <c r="ADO108" s="236"/>
      <c r="ADP108" s="236"/>
      <c r="ADQ108" s="236"/>
      <c r="ADR108" s="236"/>
      <c r="ADS108" s="236"/>
      <c r="ADT108" s="236"/>
      <c r="ADU108" s="236"/>
      <c r="ADV108" s="236"/>
      <c r="ADW108" s="236"/>
      <c r="ADX108" s="236"/>
      <c r="ADY108" s="236"/>
      <c r="ADZ108" s="236"/>
      <c r="AEA108" s="236"/>
      <c r="AEB108" s="236"/>
      <c r="AEC108" s="236"/>
      <c r="AED108" s="236"/>
      <c r="AEE108" s="236"/>
      <c r="AEF108" s="236"/>
      <c r="AEG108" s="236"/>
      <c r="AEH108" s="236"/>
      <c r="AEI108" s="236"/>
      <c r="AEJ108" s="236"/>
      <c r="AEK108" s="236"/>
      <c r="AEL108" s="236"/>
      <c r="AEM108" s="236"/>
      <c r="AEN108" s="236"/>
      <c r="AEO108" s="236"/>
      <c r="AEP108" s="236"/>
      <c r="AEQ108" s="236"/>
      <c r="AER108" s="236"/>
      <c r="AES108" s="236"/>
      <c r="AET108" s="236"/>
      <c r="AEU108" s="236"/>
      <c r="AEV108" s="236"/>
      <c r="AEW108" s="236"/>
      <c r="AEX108" s="236"/>
      <c r="AEY108" s="236"/>
      <c r="AEZ108" s="236"/>
      <c r="AFA108" s="236"/>
      <c r="AFB108" s="236"/>
      <c r="AFC108" s="236"/>
      <c r="AFD108" s="236"/>
      <c r="AFE108" s="236"/>
      <c r="AFF108" s="236"/>
      <c r="AFG108" s="236"/>
      <c r="AFH108" s="236"/>
      <c r="AFI108" s="236"/>
      <c r="AFJ108" s="236"/>
      <c r="AFK108" s="236"/>
      <c r="AFL108" s="236"/>
      <c r="AFM108" s="236"/>
      <c r="AFN108" s="236"/>
      <c r="AFO108" s="236"/>
      <c r="AFP108" s="236"/>
      <c r="AFQ108" s="236"/>
      <c r="AFR108" s="236"/>
      <c r="AFS108" s="236"/>
      <c r="AFT108" s="236"/>
      <c r="AFU108" s="236"/>
      <c r="AFV108" s="236"/>
      <c r="AFW108" s="236"/>
      <c r="AFX108" s="236"/>
      <c r="AFY108" s="236"/>
      <c r="AFZ108" s="236"/>
      <c r="AGA108" s="236"/>
      <c r="AGB108" s="236"/>
      <c r="AGC108" s="236"/>
      <c r="AGD108" s="236"/>
      <c r="AGE108" s="236"/>
      <c r="AGF108" s="236"/>
      <c r="AGG108" s="236"/>
      <c r="AGH108" s="236"/>
      <c r="AGI108" s="236"/>
      <c r="AGJ108" s="236"/>
      <c r="AGK108" s="236"/>
      <c r="AGL108" s="236"/>
      <c r="AGM108" s="236"/>
      <c r="AGN108" s="236"/>
      <c r="AGO108" s="236"/>
      <c r="AGP108" s="236"/>
      <c r="AGQ108" s="236"/>
      <c r="AGR108" s="236"/>
      <c r="AGS108" s="236"/>
      <c r="AGT108" s="236"/>
      <c r="AGU108" s="236"/>
      <c r="AGV108" s="236"/>
      <c r="AGW108" s="236"/>
      <c r="AGX108" s="236"/>
      <c r="AGY108" s="236"/>
      <c r="AGZ108" s="236"/>
      <c r="AHA108" s="236"/>
      <c r="AHB108" s="236"/>
      <c r="AHC108" s="236"/>
      <c r="AHD108" s="236"/>
      <c r="AHE108" s="236"/>
      <c r="AHF108" s="236"/>
      <c r="AHG108" s="236"/>
      <c r="AHH108" s="236"/>
      <c r="AHI108" s="236"/>
      <c r="AHJ108" s="236"/>
      <c r="AHK108" s="236"/>
      <c r="AHL108" s="236"/>
      <c r="AHM108" s="236"/>
      <c r="AHN108" s="236"/>
      <c r="AHO108" s="236"/>
      <c r="AHP108" s="236"/>
      <c r="AHQ108" s="236"/>
      <c r="AHR108" s="236"/>
      <c r="AHS108" s="236"/>
      <c r="AHT108" s="236"/>
      <c r="AHU108" s="236"/>
      <c r="AHV108" s="236"/>
      <c r="AHW108" s="236"/>
      <c r="AHX108" s="236"/>
      <c r="AHY108" s="236"/>
      <c r="AHZ108" s="236"/>
      <c r="AIA108" s="236"/>
      <c r="AIB108" s="236"/>
      <c r="AIC108" s="236"/>
      <c r="AID108" s="236"/>
      <c r="AIE108" s="236"/>
      <c r="AIF108" s="236"/>
      <c r="AIG108" s="236"/>
      <c r="AIH108" s="236"/>
      <c r="AII108" s="236"/>
      <c r="AIJ108" s="236"/>
      <c r="AIK108" s="236"/>
      <c r="AIL108" s="236"/>
      <c r="AIM108" s="236"/>
      <c r="AIN108" s="236"/>
      <c r="AIO108" s="236"/>
      <c r="AIP108" s="236"/>
      <c r="AIQ108" s="236"/>
      <c r="AIR108" s="236"/>
      <c r="AIS108" s="236"/>
      <c r="AIT108" s="236"/>
      <c r="AIU108" s="236"/>
      <c r="AIV108" s="236"/>
      <c r="AIW108" s="236"/>
      <c r="AIX108" s="236"/>
      <c r="AIY108" s="236"/>
      <c r="AIZ108" s="236"/>
      <c r="AJA108" s="236"/>
      <c r="AJB108" s="236"/>
      <c r="AJC108" s="236"/>
      <c r="AJD108" s="236"/>
      <c r="AJE108" s="236"/>
      <c r="AJF108" s="236"/>
      <c r="AJG108" s="236"/>
      <c r="AJH108" s="236"/>
      <c r="AJI108" s="236"/>
      <c r="AJJ108" s="236"/>
      <c r="AJK108" s="236"/>
      <c r="AJL108" s="236"/>
      <c r="AJM108" s="236"/>
      <c r="AJN108" s="236"/>
      <c r="AJO108" s="236"/>
      <c r="AJP108" s="236"/>
      <c r="AJQ108" s="236"/>
      <c r="AJR108" s="236"/>
      <c r="AJS108" s="236"/>
      <c r="AJT108" s="236"/>
      <c r="AJU108" s="236"/>
      <c r="AJV108" s="236"/>
      <c r="AJW108" s="236"/>
      <c r="AJX108" s="236"/>
      <c r="AJY108" s="236"/>
      <c r="AJZ108" s="236"/>
      <c r="AKA108" s="236"/>
      <c r="AKB108" s="236"/>
      <c r="AKC108" s="236"/>
      <c r="AKD108" s="236"/>
      <c r="AKE108" s="236"/>
      <c r="AKF108" s="236"/>
      <c r="AKG108" s="236"/>
      <c r="AKH108" s="236"/>
      <c r="AKI108" s="236"/>
      <c r="AKJ108" s="236"/>
      <c r="AKK108" s="236"/>
      <c r="AKL108" s="236"/>
      <c r="AKM108" s="236"/>
      <c r="AKN108" s="236"/>
      <c r="AKO108" s="236"/>
      <c r="AKP108" s="236"/>
      <c r="AKQ108" s="236"/>
      <c r="AKR108" s="236"/>
      <c r="AKS108" s="236"/>
      <c r="AKT108" s="236"/>
      <c r="AKU108" s="236"/>
      <c r="AKV108" s="236"/>
      <c r="AKW108" s="236"/>
      <c r="AKX108" s="236"/>
      <c r="AKY108" s="236"/>
      <c r="AKZ108" s="236"/>
      <c r="ALA108" s="236"/>
      <c r="ALB108" s="236"/>
      <c r="ALC108" s="236"/>
      <c r="ALD108" s="236"/>
      <c r="ALE108" s="236"/>
      <c r="ALF108" s="236"/>
      <c r="ALG108" s="236"/>
      <c r="ALH108" s="236"/>
      <c r="ALI108" s="236"/>
      <c r="ALJ108" s="236"/>
      <c r="ALK108" s="236"/>
      <c r="ALL108" s="236"/>
      <c r="ALM108" s="236"/>
      <c r="ALN108" s="236"/>
      <c r="ALO108" s="236"/>
      <c r="ALP108" s="236"/>
      <c r="ALQ108" s="236"/>
      <c r="ALR108" s="236"/>
      <c r="ALS108" s="236"/>
      <c r="ALT108" s="236"/>
      <c r="ALU108" s="236"/>
      <c r="ALV108" s="236"/>
      <c r="ALW108" s="236"/>
      <c r="ALX108" s="236"/>
      <c r="ALY108" s="236"/>
      <c r="ALZ108" s="236"/>
      <c r="AMA108" s="236"/>
      <c r="AMB108" s="236"/>
      <c r="AMC108" s="236"/>
      <c r="AMD108" s="236"/>
      <c r="AME108" s="236"/>
      <c r="AMF108" s="236"/>
      <c r="AMG108" s="236"/>
      <c r="AMH108" s="236"/>
      <c r="AMI108" s="236"/>
      <c r="AMJ108" s="236"/>
      <c r="AMK108" s="236"/>
      <c r="AML108" s="236"/>
      <c r="AMM108" s="236"/>
    </row>
    <row r="109" spans="1:1027" s="243" customFormat="1" ht="30" customHeight="1">
      <c r="A109" s="2085" t="s">
        <v>1081</v>
      </c>
      <c r="B109" s="1833"/>
      <c r="C109" s="1833"/>
      <c r="D109" s="1833"/>
      <c r="E109" s="1833"/>
      <c r="F109" s="1833"/>
      <c r="G109" s="1833"/>
      <c r="H109" s="1833"/>
      <c r="I109" s="1833"/>
      <c r="J109" s="1833"/>
      <c r="K109" s="1833"/>
      <c r="L109" s="1834"/>
      <c r="M109" s="285"/>
      <c r="N109" s="1396" t="s">
        <v>47</v>
      </c>
      <c r="O109" s="1397"/>
      <c r="P109" s="1397"/>
      <c r="Q109" s="1397"/>
      <c r="R109" s="1398"/>
      <c r="S109" s="286"/>
      <c r="T109" s="286"/>
      <c r="U109" s="286"/>
      <c r="V109" s="1396" t="s">
        <v>591</v>
      </c>
      <c r="W109" s="1397"/>
      <c r="X109" s="1397"/>
      <c r="Y109" s="1397"/>
      <c r="Z109" s="1398"/>
      <c r="AA109" s="1062"/>
      <c r="AB109" s="1396" t="s">
        <v>580</v>
      </c>
      <c r="AC109" s="1398"/>
      <c r="AD109" s="1396"/>
      <c r="AE109" s="1397"/>
      <c r="AF109" s="1397"/>
      <c r="AG109" s="1397"/>
      <c r="AH109" s="1397"/>
      <c r="AI109" s="1397"/>
      <c r="AJ109" s="1397"/>
      <c r="AK109" s="1397"/>
      <c r="AL109" s="1397"/>
      <c r="AM109" s="1398"/>
      <c r="AN109" s="245"/>
      <c r="AO109" s="245"/>
      <c r="AP109" s="245"/>
      <c r="AQ109" s="245"/>
      <c r="AR109" s="245"/>
      <c r="AS109" s="245"/>
      <c r="AT109" s="245"/>
      <c r="AU109" s="245"/>
      <c r="AV109" s="245"/>
      <c r="AW109" s="245"/>
      <c r="AX109" s="245"/>
    </row>
    <row r="110" spans="1:1027" s="243" customFormat="1" ht="30" customHeight="1">
      <c r="A110" s="1832"/>
      <c r="B110" s="1833"/>
      <c r="C110" s="1833"/>
      <c r="D110" s="1833"/>
      <c r="E110" s="1833"/>
      <c r="F110" s="1833"/>
      <c r="G110" s="1833"/>
      <c r="H110" s="1833"/>
      <c r="I110" s="1833"/>
      <c r="J110" s="1833"/>
      <c r="K110" s="1833"/>
      <c r="L110" s="1834"/>
      <c r="M110" s="285"/>
      <c r="N110" s="1396"/>
      <c r="O110" s="1397"/>
      <c r="P110" s="1397"/>
      <c r="Q110" s="1397"/>
      <c r="R110" s="1398"/>
      <c r="S110" s="286"/>
      <c r="T110" s="286"/>
      <c r="U110" s="286"/>
      <c r="V110" s="1396"/>
      <c r="W110" s="1397"/>
      <c r="X110" s="1397"/>
      <c r="Y110" s="1397"/>
      <c r="Z110" s="1398"/>
      <c r="AA110" s="1062"/>
      <c r="AB110" s="1396"/>
      <c r="AC110" s="1398"/>
      <c r="AD110" s="1396"/>
      <c r="AE110" s="1397"/>
      <c r="AF110" s="1397"/>
      <c r="AG110" s="1397"/>
      <c r="AH110" s="1397"/>
      <c r="AI110" s="1397"/>
      <c r="AJ110" s="1397"/>
      <c r="AK110" s="1397"/>
      <c r="AL110" s="1397"/>
      <c r="AM110" s="1398"/>
      <c r="AN110" s="245"/>
      <c r="AO110" s="245"/>
      <c r="AP110" s="245"/>
      <c r="AQ110" s="245"/>
      <c r="AR110" s="245"/>
      <c r="AS110" s="245"/>
      <c r="AT110" s="245"/>
      <c r="AU110" s="245"/>
      <c r="AV110" s="245"/>
      <c r="AW110" s="245"/>
      <c r="AX110" s="245"/>
    </row>
    <row r="111" spans="1:1027" s="243" customFormat="1" ht="30" customHeight="1">
      <c r="A111" s="1832"/>
      <c r="B111" s="1833"/>
      <c r="C111" s="1833"/>
      <c r="D111" s="1833"/>
      <c r="E111" s="1833"/>
      <c r="F111" s="1833"/>
      <c r="G111" s="1833"/>
      <c r="H111" s="1833"/>
      <c r="I111" s="1833"/>
      <c r="J111" s="1833"/>
      <c r="K111" s="1833"/>
      <c r="L111" s="1834"/>
      <c r="M111" s="285"/>
      <c r="N111" s="1396"/>
      <c r="O111" s="1397"/>
      <c r="P111" s="1397"/>
      <c r="Q111" s="1397"/>
      <c r="R111" s="1398"/>
      <c r="S111" s="286"/>
      <c r="T111" s="286"/>
      <c r="U111" s="286"/>
      <c r="V111" s="1396"/>
      <c r="W111" s="1397"/>
      <c r="X111" s="1397"/>
      <c r="Y111" s="1397"/>
      <c r="Z111" s="1398"/>
      <c r="AA111" s="1062"/>
      <c r="AB111" s="1396"/>
      <c r="AC111" s="1398"/>
      <c r="AD111" s="1396"/>
      <c r="AE111" s="1397"/>
      <c r="AF111" s="1397"/>
      <c r="AG111" s="1397"/>
      <c r="AH111" s="1397"/>
      <c r="AI111" s="1397"/>
      <c r="AJ111" s="1397"/>
      <c r="AK111" s="1397"/>
      <c r="AL111" s="1397"/>
      <c r="AM111" s="1398"/>
      <c r="AN111" s="245"/>
      <c r="AO111" s="245"/>
      <c r="AP111" s="245"/>
      <c r="AQ111" s="245"/>
      <c r="AR111" s="245"/>
      <c r="AS111" s="245"/>
      <c r="AT111" s="245"/>
      <c r="AU111" s="245"/>
      <c r="AV111" s="245"/>
      <c r="AW111" s="245"/>
      <c r="AX111" s="245"/>
    </row>
    <row r="112" spans="1:1027" s="243" customFormat="1" ht="39.75" customHeight="1">
      <c r="A112" s="1835"/>
      <c r="B112" s="1836"/>
      <c r="C112" s="1836"/>
      <c r="D112" s="1836"/>
      <c r="E112" s="1836"/>
      <c r="F112" s="1836"/>
      <c r="G112" s="1836"/>
      <c r="H112" s="1836"/>
      <c r="I112" s="1836"/>
      <c r="J112" s="1836"/>
      <c r="K112" s="1836"/>
      <c r="L112" s="1837"/>
      <c r="M112" s="285"/>
      <c r="N112" s="1396"/>
      <c r="O112" s="1397"/>
      <c r="P112" s="1397"/>
      <c r="Q112" s="1397"/>
      <c r="R112" s="1398"/>
      <c r="S112" s="286"/>
      <c r="T112" s="286"/>
      <c r="U112" s="286"/>
      <c r="V112" s="1396"/>
      <c r="W112" s="1397"/>
      <c r="X112" s="1397"/>
      <c r="Y112" s="1397"/>
      <c r="Z112" s="1398"/>
      <c r="AA112" s="1062"/>
      <c r="AB112" s="1396"/>
      <c r="AC112" s="1398"/>
      <c r="AD112" s="1396"/>
      <c r="AE112" s="1397"/>
      <c r="AF112" s="1397"/>
      <c r="AG112" s="1397"/>
      <c r="AH112" s="1397"/>
      <c r="AI112" s="1397"/>
      <c r="AJ112" s="1397"/>
      <c r="AK112" s="1397"/>
      <c r="AL112" s="1397"/>
      <c r="AM112" s="1398"/>
      <c r="AN112" s="245"/>
      <c r="AO112" s="245"/>
      <c r="AP112" s="245"/>
      <c r="AQ112" s="245"/>
      <c r="AR112" s="245"/>
      <c r="AS112" s="245"/>
      <c r="AT112" s="245"/>
      <c r="AU112" s="245"/>
      <c r="AV112" s="245"/>
      <c r="AW112" s="245"/>
      <c r="AX112" s="245"/>
    </row>
    <row r="113" spans="1:50" s="243" customFormat="1" ht="30" customHeight="1">
      <c r="A113" s="300"/>
      <c r="B113" s="300"/>
      <c r="C113" s="300"/>
      <c r="D113" s="300"/>
      <c r="E113" s="300"/>
      <c r="F113" s="300"/>
      <c r="G113" s="300"/>
      <c r="H113" s="300"/>
      <c r="I113" s="300"/>
      <c r="J113" s="300"/>
      <c r="K113" s="300"/>
      <c r="L113" s="300"/>
      <c r="M113" s="285"/>
      <c r="N113" s="1403"/>
      <c r="O113" s="1403"/>
      <c r="P113" s="1403"/>
      <c r="Q113" s="1403"/>
      <c r="R113" s="1403"/>
      <c r="S113" s="288"/>
      <c r="T113" s="288"/>
      <c r="U113" s="288"/>
      <c r="V113" s="1403"/>
      <c r="W113" s="1403"/>
      <c r="X113" s="1403"/>
      <c r="Y113" s="1403"/>
      <c r="Z113" s="1403"/>
      <c r="AA113" s="1064"/>
      <c r="AB113" s="611"/>
      <c r="AC113" s="611"/>
      <c r="AD113" s="288"/>
      <c r="AE113" s="288"/>
      <c r="AF113" s="288"/>
      <c r="AG113" s="288"/>
      <c r="AH113" s="288"/>
      <c r="AI113" s="288"/>
      <c r="AJ113" s="288"/>
      <c r="AK113" s="288"/>
      <c r="AL113" s="288"/>
      <c r="AM113" s="288"/>
      <c r="AN113" s="245"/>
      <c r="AO113" s="245"/>
      <c r="AP113" s="245"/>
      <c r="AQ113" s="245"/>
      <c r="AR113" s="245"/>
      <c r="AS113" s="245"/>
      <c r="AT113" s="245"/>
      <c r="AU113" s="245"/>
      <c r="AV113" s="245"/>
      <c r="AW113" s="245"/>
      <c r="AX113" s="245"/>
    </row>
    <row r="114" spans="1:50">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row>
    <row r="115" spans="1:50">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row>
  </sheetData>
  <sheetProtection formatCells="0" formatColumns="0" formatRows="0" insertRows="0" deleteColumns="0" sort="0" autoFilter="0"/>
  <mergeCells count="607">
    <mergeCell ref="AA7:AA8"/>
    <mergeCell ref="AA9:AA12"/>
    <mergeCell ref="AA13:AA14"/>
    <mergeCell ref="AA16:AA20"/>
    <mergeCell ref="AA21:AA23"/>
    <mergeCell ref="AA24:AA27"/>
    <mergeCell ref="AA28:AA30"/>
    <mergeCell ref="AD108:AM108"/>
    <mergeCell ref="A109:L112"/>
    <mergeCell ref="N109:R109"/>
    <mergeCell ref="V109:Z109"/>
    <mergeCell ref="AB109:AC109"/>
    <mergeCell ref="AD109:AM109"/>
    <mergeCell ref="N110:R110"/>
    <mergeCell ref="V110:Z110"/>
    <mergeCell ref="C103:E103"/>
    <mergeCell ref="G103:I103"/>
    <mergeCell ref="J103:L103"/>
    <mergeCell ref="X103:Z103"/>
    <mergeCell ref="C104:E104"/>
    <mergeCell ref="G104:I104"/>
    <mergeCell ref="J104:L104"/>
    <mergeCell ref="X104:Z104"/>
    <mergeCell ref="C105:E105"/>
    <mergeCell ref="N113:R113"/>
    <mergeCell ref="V113:Z113"/>
    <mergeCell ref="AD110:AM110"/>
    <mergeCell ref="N111:R111"/>
    <mergeCell ref="V111:Z111"/>
    <mergeCell ref="AB111:AC111"/>
    <mergeCell ref="AD111:AM111"/>
    <mergeCell ref="N112:R112"/>
    <mergeCell ref="V112:Z112"/>
    <mergeCell ref="AB112:AC112"/>
    <mergeCell ref="AD112:AM112"/>
    <mergeCell ref="AB110:AC110"/>
    <mergeCell ref="G105:I105"/>
    <mergeCell ref="J105:L105"/>
    <mergeCell ref="X105:Z105"/>
    <mergeCell ref="A107:L108"/>
    <mergeCell ref="N108:R108"/>
    <mergeCell ref="V108:Z108"/>
    <mergeCell ref="AB108:AC108"/>
    <mergeCell ref="C100:E100"/>
    <mergeCell ref="G100:I100"/>
    <mergeCell ref="J100:L100"/>
    <mergeCell ref="X100:Z100"/>
    <mergeCell ref="C101:E101"/>
    <mergeCell ref="G101:I101"/>
    <mergeCell ref="J101:L101"/>
    <mergeCell ref="X101:Z101"/>
    <mergeCell ref="C102:E102"/>
    <mergeCell ref="G102:I102"/>
    <mergeCell ref="J102:L102"/>
    <mergeCell ref="X102:Z102"/>
    <mergeCell ref="C97:E97"/>
    <mergeCell ref="G97:I97"/>
    <mergeCell ref="J97:L97"/>
    <mergeCell ref="X97:Z97"/>
    <mergeCell ref="C98:E98"/>
    <mergeCell ref="G98:I98"/>
    <mergeCell ref="J98:L98"/>
    <mergeCell ref="X98:Z98"/>
    <mergeCell ref="C99:E99"/>
    <mergeCell ref="G99:I99"/>
    <mergeCell ref="J99:L99"/>
    <mergeCell ref="X99:Z99"/>
    <mergeCell ref="C94:E94"/>
    <mergeCell ref="G94:I94"/>
    <mergeCell ref="J94:L94"/>
    <mergeCell ref="X94:Z94"/>
    <mergeCell ref="C95:E95"/>
    <mergeCell ref="G95:I95"/>
    <mergeCell ref="J95:L95"/>
    <mergeCell ref="X95:Z95"/>
    <mergeCell ref="C96:E96"/>
    <mergeCell ref="G96:I96"/>
    <mergeCell ref="J96:L96"/>
    <mergeCell ref="X96:Z96"/>
    <mergeCell ref="C91:E91"/>
    <mergeCell ref="G91:I91"/>
    <mergeCell ref="J91:L91"/>
    <mergeCell ref="X91:Z91"/>
    <mergeCell ref="C92:E92"/>
    <mergeCell ref="G92:I92"/>
    <mergeCell ref="J92:L92"/>
    <mergeCell ref="X92:Z92"/>
    <mergeCell ref="C93:E93"/>
    <mergeCell ref="G93:I93"/>
    <mergeCell ref="J93:L93"/>
    <mergeCell ref="X93:Z93"/>
    <mergeCell ref="C88:E88"/>
    <mergeCell ref="G88:I88"/>
    <mergeCell ref="J88:L88"/>
    <mergeCell ref="X88:Z88"/>
    <mergeCell ref="C89:E89"/>
    <mergeCell ref="G89:I89"/>
    <mergeCell ref="J89:L89"/>
    <mergeCell ref="X89:Z89"/>
    <mergeCell ref="C90:E90"/>
    <mergeCell ref="G90:I90"/>
    <mergeCell ref="J90:L90"/>
    <mergeCell ref="X90:Z90"/>
    <mergeCell ref="C85:E85"/>
    <mergeCell ref="G85:I85"/>
    <mergeCell ref="J85:L85"/>
    <mergeCell ref="X85:Z85"/>
    <mergeCell ref="C86:E86"/>
    <mergeCell ref="G86:I86"/>
    <mergeCell ref="J86:L86"/>
    <mergeCell ref="X86:Z86"/>
    <mergeCell ref="C87:E87"/>
    <mergeCell ref="G87:I87"/>
    <mergeCell ref="J87:L87"/>
    <mergeCell ref="X87:Z87"/>
    <mergeCell ref="C82:E82"/>
    <mergeCell ref="G82:I82"/>
    <mergeCell ref="J82:L82"/>
    <mergeCell ref="X82:Z82"/>
    <mergeCell ref="C83:E83"/>
    <mergeCell ref="G83:I83"/>
    <mergeCell ref="J83:L83"/>
    <mergeCell ref="X83:Z83"/>
    <mergeCell ref="C84:E84"/>
    <mergeCell ref="G84:I84"/>
    <mergeCell ref="J84:L84"/>
    <mergeCell ref="X84:Z84"/>
    <mergeCell ref="C79:E79"/>
    <mergeCell ref="G79:I79"/>
    <mergeCell ref="J79:L79"/>
    <mergeCell ref="X79:Z79"/>
    <mergeCell ref="C80:E80"/>
    <mergeCell ref="G80:I80"/>
    <mergeCell ref="J80:L80"/>
    <mergeCell ref="X80:Z80"/>
    <mergeCell ref="C81:E81"/>
    <mergeCell ref="G81:I81"/>
    <mergeCell ref="J81:L81"/>
    <mergeCell ref="X81:Z81"/>
    <mergeCell ref="C76:E76"/>
    <mergeCell ref="G76:I76"/>
    <mergeCell ref="J76:L76"/>
    <mergeCell ref="X76:Z76"/>
    <mergeCell ref="C77:E77"/>
    <mergeCell ref="G77:I77"/>
    <mergeCell ref="J77:L77"/>
    <mergeCell ref="X77:Z77"/>
    <mergeCell ref="C78:E78"/>
    <mergeCell ref="G78:I78"/>
    <mergeCell ref="J78:L78"/>
    <mergeCell ref="X78:Z78"/>
    <mergeCell ref="C73:E73"/>
    <mergeCell ref="G73:I73"/>
    <mergeCell ref="J73:L73"/>
    <mergeCell ref="X73:Z73"/>
    <mergeCell ref="C74:E74"/>
    <mergeCell ref="G74:I74"/>
    <mergeCell ref="J74:L74"/>
    <mergeCell ref="X74:Z74"/>
    <mergeCell ref="C75:E75"/>
    <mergeCell ref="G75:I75"/>
    <mergeCell ref="J75:L75"/>
    <mergeCell ref="X75:Z75"/>
    <mergeCell ref="C70:E70"/>
    <mergeCell ref="G70:I70"/>
    <mergeCell ref="J70:L70"/>
    <mergeCell ref="X70:Z70"/>
    <mergeCell ref="C71:E71"/>
    <mergeCell ref="G71:I71"/>
    <mergeCell ref="J71:L71"/>
    <mergeCell ref="X71:Z71"/>
    <mergeCell ref="C72:E72"/>
    <mergeCell ref="G72:I72"/>
    <mergeCell ref="J72:L72"/>
    <mergeCell ref="X72:Z72"/>
    <mergeCell ref="C67:E67"/>
    <mergeCell ref="G67:I67"/>
    <mergeCell ref="J67:L67"/>
    <mergeCell ref="X67:Z67"/>
    <mergeCell ref="C68:E68"/>
    <mergeCell ref="G68:I68"/>
    <mergeCell ref="J68:L68"/>
    <mergeCell ref="X68:Z68"/>
    <mergeCell ref="C69:E69"/>
    <mergeCell ref="G69:I69"/>
    <mergeCell ref="J69:L69"/>
    <mergeCell ref="X69:Z69"/>
    <mergeCell ref="C64:E64"/>
    <mergeCell ref="G64:I64"/>
    <mergeCell ref="J64:L64"/>
    <mergeCell ref="X64:Z64"/>
    <mergeCell ref="C65:E65"/>
    <mergeCell ref="G65:I65"/>
    <mergeCell ref="J65:L65"/>
    <mergeCell ref="X65:Z65"/>
    <mergeCell ref="C66:E66"/>
    <mergeCell ref="G66:I66"/>
    <mergeCell ref="J66:L66"/>
    <mergeCell ref="X66:Z66"/>
    <mergeCell ref="C61:E61"/>
    <mergeCell ref="G61:I61"/>
    <mergeCell ref="J61:L61"/>
    <mergeCell ref="X61:Z61"/>
    <mergeCell ref="C62:E62"/>
    <mergeCell ref="G62:I62"/>
    <mergeCell ref="J62:L62"/>
    <mergeCell ref="X62:Z62"/>
    <mergeCell ref="C63:E63"/>
    <mergeCell ref="G63:I63"/>
    <mergeCell ref="J63:L63"/>
    <mergeCell ref="X63:Z63"/>
    <mergeCell ref="C58:E58"/>
    <mergeCell ref="G58:I58"/>
    <mergeCell ref="J58:L58"/>
    <mergeCell ref="X58:Z58"/>
    <mergeCell ref="C59:E59"/>
    <mergeCell ref="G59:I59"/>
    <mergeCell ref="J59:L59"/>
    <mergeCell ref="X59:Z59"/>
    <mergeCell ref="C60:E60"/>
    <mergeCell ref="G60:I60"/>
    <mergeCell ref="J60:L60"/>
    <mergeCell ref="X60:Z60"/>
    <mergeCell ref="C55:E55"/>
    <mergeCell ref="G55:I55"/>
    <mergeCell ref="J55:L55"/>
    <mergeCell ref="X55:Z55"/>
    <mergeCell ref="C56:E56"/>
    <mergeCell ref="G56:I56"/>
    <mergeCell ref="J56:L56"/>
    <mergeCell ref="X56:Z56"/>
    <mergeCell ref="C57:E57"/>
    <mergeCell ref="G57:I57"/>
    <mergeCell ref="J57:L57"/>
    <mergeCell ref="X57:Z57"/>
    <mergeCell ref="C52:E52"/>
    <mergeCell ref="G52:I52"/>
    <mergeCell ref="J52:L52"/>
    <mergeCell ref="X52:Z52"/>
    <mergeCell ref="C53:E53"/>
    <mergeCell ref="G53:I53"/>
    <mergeCell ref="J53:L53"/>
    <mergeCell ref="X53:Z53"/>
    <mergeCell ref="C54:E54"/>
    <mergeCell ref="G54:I54"/>
    <mergeCell ref="J54:L54"/>
    <mergeCell ref="X54:Z54"/>
    <mergeCell ref="C49:E49"/>
    <mergeCell ref="G49:I49"/>
    <mergeCell ref="J49:L49"/>
    <mergeCell ref="X49:Z49"/>
    <mergeCell ref="C50:E50"/>
    <mergeCell ref="G50:I50"/>
    <mergeCell ref="J50:L50"/>
    <mergeCell ref="X50:Z50"/>
    <mergeCell ref="C51:E51"/>
    <mergeCell ref="G51:I51"/>
    <mergeCell ref="J51:L51"/>
    <mergeCell ref="X51:Z51"/>
    <mergeCell ref="C46:E46"/>
    <mergeCell ref="G46:I46"/>
    <mergeCell ref="J46:L46"/>
    <mergeCell ref="X46:Z46"/>
    <mergeCell ref="C47:E47"/>
    <mergeCell ref="G47:I47"/>
    <mergeCell ref="J47:L47"/>
    <mergeCell ref="X47:Z47"/>
    <mergeCell ref="C48:E48"/>
    <mergeCell ref="G48:I48"/>
    <mergeCell ref="J48:L48"/>
    <mergeCell ref="X48:Z48"/>
    <mergeCell ref="C43:E43"/>
    <mergeCell ref="G43:I43"/>
    <mergeCell ref="J43:L43"/>
    <mergeCell ref="X43:Z43"/>
    <mergeCell ref="C44:E44"/>
    <mergeCell ref="G44:I44"/>
    <mergeCell ref="J44:L44"/>
    <mergeCell ref="X44:Z44"/>
    <mergeCell ref="C45:E45"/>
    <mergeCell ref="G45:I45"/>
    <mergeCell ref="J45:L45"/>
    <mergeCell ref="X45:Z45"/>
    <mergeCell ref="C40:E40"/>
    <mergeCell ref="G40:I40"/>
    <mergeCell ref="J40:L40"/>
    <mergeCell ref="X40:Z40"/>
    <mergeCell ref="C41:E41"/>
    <mergeCell ref="G41:I41"/>
    <mergeCell ref="J41:L41"/>
    <mergeCell ref="X41:Z41"/>
    <mergeCell ref="C42:E42"/>
    <mergeCell ref="G42:I42"/>
    <mergeCell ref="J42:L42"/>
    <mergeCell ref="X42:Z42"/>
    <mergeCell ref="C37:E37"/>
    <mergeCell ref="G37:I37"/>
    <mergeCell ref="J37:L37"/>
    <mergeCell ref="X37:Z37"/>
    <mergeCell ref="C38:E38"/>
    <mergeCell ref="G38:I38"/>
    <mergeCell ref="J38:L38"/>
    <mergeCell ref="X38:Z38"/>
    <mergeCell ref="C39:E39"/>
    <mergeCell ref="G39:I39"/>
    <mergeCell ref="J39:L39"/>
    <mergeCell ref="X39:Z39"/>
    <mergeCell ref="C34:E34"/>
    <mergeCell ref="G34:I34"/>
    <mergeCell ref="J34:L34"/>
    <mergeCell ref="X34:Z34"/>
    <mergeCell ref="C35:E35"/>
    <mergeCell ref="G35:I35"/>
    <mergeCell ref="J35:L35"/>
    <mergeCell ref="X35:Z35"/>
    <mergeCell ref="C36:E36"/>
    <mergeCell ref="G36:I36"/>
    <mergeCell ref="J36:L36"/>
    <mergeCell ref="X36:Z36"/>
    <mergeCell ref="C31:E31"/>
    <mergeCell ref="G31:I31"/>
    <mergeCell ref="J31:L31"/>
    <mergeCell ref="X31:Z31"/>
    <mergeCell ref="C32:E32"/>
    <mergeCell ref="G32:I32"/>
    <mergeCell ref="J32:L32"/>
    <mergeCell ref="X32:Z32"/>
    <mergeCell ref="C33:E33"/>
    <mergeCell ref="G33:I33"/>
    <mergeCell ref="J33:L33"/>
    <mergeCell ref="X33:Z33"/>
    <mergeCell ref="AX28:AX30"/>
    <mergeCell ref="G29:I29"/>
    <mergeCell ref="X29:Z29"/>
    <mergeCell ref="G30:I30"/>
    <mergeCell ref="X30:Z30"/>
    <mergeCell ref="AQ28:AQ30"/>
    <mergeCell ref="AR28:AR30"/>
    <mergeCell ref="AS28:AS30"/>
    <mergeCell ref="AT28:AT30"/>
    <mergeCell ref="AU28:AU30"/>
    <mergeCell ref="AV28:AV30"/>
    <mergeCell ref="AI28:AI30"/>
    <mergeCell ref="AK28:AK30"/>
    <mergeCell ref="AM28:AM30"/>
    <mergeCell ref="AN28:AN30"/>
    <mergeCell ref="AO28:AO30"/>
    <mergeCell ref="AP28:AP30"/>
    <mergeCell ref="AW28:AW30"/>
    <mergeCell ref="P28:P30"/>
    <mergeCell ref="Q28:Q30"/>
    <mergeCell ref="R28:R30"/>
    <mergeCell ref="V28:V30"/>
    <mergeCell ref="X28:Z28"/>
    <mergeCell ref="AB28:AB30"/>
    <mergeCell ref="AC28:AC30"/>
    <mergeCell ref="AD28:AD30"/>
    <mergeCell ref="AE28:AE30"/>
    <mergeCell ref="A28:A30"/>
    <mergeCell ref="B28:B30"/>
    <mergeCell ref="C28:E30"/>
    <mergeCell ref="F28:F30"/>
    <mergeCell ref="G28:I28"/>
    <mergeCell ref="J28:L30"/>
    <mergeCell ref="M28:M30"/>
    <mergeCell ref="N28:N30"/>
    <mergeCell ref="O28:O30"/>
    <mergeCell ref="AW24:AW27"/>
    <mergeCell ref="AX24:AX27"/>
    <mergeCell ref="G25:I25"/>
    <mergeCell ref="X25:Z25"/>
    <mergeCell ref="G26:I26"/>
    <mergeCell ref="X26:Z26"/>
    <mergeCell ref="G27:I27"/>
    <mergeCell ref="X27:Z27"/>
    <mergeCell ref="AQ24:AQ27"/>
    <mergeCell ref="AR24:AR27"/>
    <mergeCell ref="AS24:AS27"/>
    <mergeCell ref="AT24:AT27"/>
    <mergeCell ref="AU24:AU27"/>
    <mergeCell ref="AV24:AV27"/>
    <mergeCell ref="AI24:AI27"/>
    <mergeCell ref="AK24:AK27"/>
    <mergeCell ref="AM24:AM27"/>
    <mergeCell ref="AN24:AN27"/>
    <mergeCell ref="AO24:AO27"/>
    <mergeCell ref="AP24:AP27"/>
    <mergeCell ref="P24:P27"/>
    <mergeCell ref="Q24:Q27"/>
    <mergeCell ref="R24:R27"/>
    <mergeCell ref="V24:V27"/>
    <mergeCell ref="X24:Z24"/>
    <mergeCell ref="AB24:AB27"/>
    <mergeCell ref="AC24:AC27"/>
    <mergeCell ref="AD24:AD27"/>
    <mergeCell ref="AE24:AE27"/>
    <mergeCell ref="A24:A27"/>
    <mergeCell ref="B24:B27"/>
    <mergeCell ref="C24:E27"/>
    <mergeCell ref="F24:F27"/>
    <mergeCell ref="G24:I24"/>
    <mergeCell ref="J24:L27"/>
    <mergeCell ref="M24:M27"/>
    <mergeCell ref="N24:N27"/>
    <mergeCell ref="O24:O27"/>
    <mergeCell ref="AX21:AX23"/>
    <mergeCell ref="G22:I22"/>
    <mergeCell ref="X22:Z22"/>
    <mergeCell ref="G23:I23"/>
    <mergeCell ref="X23:Z23"/>
    <mergeCell ref="AQ21:AQ23"/>
    <mergeCell ref="AR21:AR23"/>
    <mergeCell ref="AS21:AS23"/>
    <mergeCell ref="AT21:AT23"/>
    <mergeCell ref="AU21:AU23"/>
    <mergeCell ref="AV21:AV23"/>
    <mergeCell ref="AI21:AI23"/>
    <mergeCell ref="AK21:AK23"/>
    <mergeCell ref="AM21:AM23"/>
    <mergeCell ref="AN21:AN23"/>
    <mergeCell ref="AO21:AO23"/>
    <mergeCell ref="AP21:AP23"/>
    <mergeCell ref="AW21:AW23"/>
    <mergeCell ref="P21:P23"/>
    <mergeCell ref="Q21:Q23"/>
    <mergeCell ref="R21:R23"/>
    <mergeCell ref="V21:V23"/>
    <mergeCell ref="X21:Z21"/>
    <mergeCell ref="AB21:AB23"/>
    <mergeCell ref="AC21:AC23"/>
    <mergeCell ref="AD21:AD23"/>
    <mergeCell ref="AE21:AE23"/>
    <mergeCell ref="A21:A23"/>
    <mergeCell ref="B21:B23"/>
    <mergeCell ref="C21:E23"/>
    <mergeCell ref="F21:F23"/>
    <mergeCell ref="G21:I21"/>
    <mergeCell ref="J21:L23"/>
    <mergeCell ref="M21:M23"/>
    <mergeCell ref="N21:N23"/>
    <mergeCell ref="O21:O23"/>
    <mergeCell ref="AW16:AW20"/>
    <mergeCell ref="AX16:AX20"/>
    <mergeCell ref="X17:Z17"/>
    <mergeCell ref="G18:I18"/>
    <mergeCell ref="X18:Z18"/>
    <mergeCell ref="G19:I19"/>
    <mergeCell ref="X19:Z19"/>
    <mergeCell ref="G20:I20"/>
    <mergeCell ref="X20:Z20"/>
    <mergeCell ref="AQ16:AQ20"/>
    <mergeCell ref="AR16:AR20"/>
    <mergeCell ref="AS16:AS20"/>
    <mergeCell ref="AT16:AT20"/>
    <mergeCell ref="AU16:AU20"/>
    <mergeCell ref="AV16:AV20"/>
    <mergeCell ref="AI16:AI20"/>
    <mergeCell ref="AK16:AK20"/>
    <mergeCell ref="AM16:AM20"/>
    <mergeCell ref="AN16:AN20"/>
    <mergeCell ref="AO16:AO20"/>
    <mergeCell ref="P16:P20"/>
    <mergeCell ref="Q16:Q20"/>
    <mergeCell ref="R16:R20"/>
    <mergeCell ref="AP16:AP20"/>
    <mergeCell ref="V16:V20"/>
    <mergeCell ref="X16:Z16"/>
    <mergeCell ref="AB16:AB20"/>
    <mergeCell ref="AC16:AC20"/>
    <mergeCell ref="AD16:AD20"/>
    <mergeCell ref="AE16:AE20"/>
    <mergeCell ref="A16:A20"/>
    <mergeCell ref="B16:B20"/>
    <mergeCell ref="C16:E20"/>
    <mergeCell ref="F16:F20"/>
    <mergeCell ref="G16:I16"/>
    <mergeCell ref="J16:L20"/>
    <mergeCell ref="M16:M20"/>
    <mergeCell ref="N16:N20"/>
    <mergeCell ref="O16:O20"/>
    <mergeCell ref="AX13:AX14"/>
    <mergeCell ref="G14:I14"/>
    <mergeCell ref="X14:Z14"/>
    <mergeCell ref="C15:E15"/>
    <mergeCell ref="G15:I15"/>
    <mergeCell ref="J15:L15"/>
    <mergeCell ref="X15:Z15"/>
    <mergeCell ref="AR13:AR14"/>
    <mergeCell ref="AS13:AS14"/>
    <mergeCell ref="AT13:AT14"/>
    <mergeCell ref="AD13:AD14"/>
    <mergeCell ref="AE13:AE14"/>
    <mergeCell ref="AI13:AI14"/>
    <mergeCell ref="AU13:AU14"/>
    <mergeCell ref="AV13:AV14"/>
    <mergeCell ref="AW13:AW14"/>
    <mergeCell ref="AK13:AK14"/>
    <mergeCell ref="AM13:AM14"/>
    <mergeCell ref="AN13:AN14"/>
    <mergeCell ref="AO13:AO14"/>
    <mergeCell ref="AP13:AP14"/>
    <mergeCell ref="AQ13:AQ14"/>
    <mergeCell ref="M13:M14"/>
    <mergeCell ref="N13:N14"/>
    <mergeCell ref="X13:Z13"/>
    <mergeCell ref="AB13:AB14"/>
    <mergeCell ref="AV9:AV12"/>
    <mergeCell ref="AW9:AW12"/>
    <mergeCell ref="AK9:AK12"/>
    <mergeCell ref="AM9:AM12"/>
    <mergeCell ref="AN9:AN12"/>
    <mergeCell ref="AO9:AO12"/>
    <mergeCell ref="AP9:AP12"/>
    <mergeCell ref="AX9:AX12"/>
    <mergeCell ref="G10:I10"/>
    <mergeCell ref="X10:Z10"/>
    <mergeCell ref="G11:I11"/>
    <mergeCell ref="X11:Z11"/>
    <mergeCell ref="G12:I12"/>
    <mergeCell ref="X12:Z12"/>
    <mergeCell ref="AR9:AR12"/>
    <mergeCell ref="AS9:AS12"/>
    <mergeCell ref="AT9:AT12"/>
    <mergeCell ref="Q9:Q12"/>
    <mergeCell ref="R9:R12"/>
    <mergeCell ref="AQ9:AQ12"/>
    <mergeCell ref="V9:V12"/>
    <mergeCell ref="X9:Z9"/>
    <mergeCell ref="AB9:AB12"/>
    <mergeCell ref="AD9:AD12"/>
    <mergeCell ref="AE9:AE12"/>
    <mergeCell ref="AU9:AU12"/>
    <mergeCell ref="AI9:AI12"/>
    <mergeCell ref="M9:M12"/>
    <mergeCell ref="N9:N12"/>
    <mergeCell ref="M7:P7"/>
    <mergeCell ref="Q7:V7"/>
    <mergeCell ref="A9:A12"/>
    <mergeCell ref="B9:B12"/>
    <mergeCell ref="C9:E12"/>
    <mergeCell ref="F9:F12"/>
    <mergeCell ref="G9:I9"/>
    <mergeCell ref="J9:L12"/>
    <mergeCell ref="A13:A14"/>
    <mergeCell ref="B13:B14"/>
    <mergeCell ref="C13:E14"/>
    <mergeCell ref="F13:F14"/>
    <mergeCell ref="G13:I13"/>
    <mergeCell ref="J13:L14"/>
    <mergeCell ref="O13:O14"/>
    <mergeCell ref="P13:P14"/>
    <mergeCell ref="Q13:Q14"/>
    <mergeCell ref="R13:R14"/>
    <mergeCell ref="V13:V14"/>
    <mergeCell ref="AN7:AN8"/>
    <mergeCell ref="AC7:AC8"/>
    <mergeCell ref="AD7:AD8"/>
    <mergeCell ref="AE7:AE8"/>
    <mergeCell ref="AX7:AX8"/>
    <mergeCell ref="AR7:AR8"/>
    <mergeCell ref="AS7:AS8"/>
    <mergeCell ref="AT7:AT8"/>
    <mergeCell ref="AO7:AO8"/>
    <mergeCell ref="AP7:AP8"/>
    <mergeCell ref="AQ7:AQ8"/>
    <mergeCell ref="X7:Z8"/>
    <mergeCell ref="AU7:AU8"/>
    <mergeCell ref="AV7:AV8"/>
    <mergeCell ref="AW7:AW8"/>
    <mergeCell ref="AB7:AB8"/>
    <mergeCell ref="O9:O12"/>
    <mergeCell ref="P9:P12"/>
    <mergeCell ref="AW1:AX4"/>
    <mergeCell ref="G2:V2"/>
    <mergeCell ref="AP2:AQ2"/>
    <mergeCell ref="AR2:AS2"/>
    <mergeCell ref="AR4:AS4"/>
    <mergeCell ref="G1:V1"/>
    <mergeCell ref="A6:P6"/>
    <mergeCell ref="Q6:V6"/>
    <mergeCell ref="X6:AM6"/>
    <mergeCell ref="AT6:AX6"/>
    <mergeCell ref="A7:A8"/>
    <mergeCell ref="B7:B8"/>
    <mergeCell ref="C7:E8"/>
    <mergeCell ref="F7:F8"/>
    <mergeCell ref="G7:I8"/>
    <mergeCell ref="J7:L8"/>
    <mergeCell ref="AI7:AM7"/>
    <mergeCell ref="A3:A4"/>
    <mergeCell ref="G3:H3"/>
    <mergeCell ref="I3:N3"/>
    <mergeCell ref="O3:V3"/>
    <mergeCell ref="Z3:AB4"/>
    <mergeCell ref="AC3:AC4"/>
    <mergeCell ref="I4:N4"/>
    <mergeCell ref="O4:V4"/>
    <mergeCell ref="AP4:AQ4"/>
    <mergeCell ref="X1:Y4"/>
    <mergeCell ref="Z1:AB2"/>
    <mergeCell ref="AC1:AC2"/>
    <mergeCell ref="AD1:AN2"/>
    <mergeCell ref="AP1:AS1"/>
    <mergeCell ref="AD3:AN4"/>
    <mergeCell ref="AP3:AQ3"/>
    <mergeCell ref="AR3:AS3"/>
    <mergeCell ref="G4:H4"/>
  </mergeCells>
  <dataValidations count="6">
    <dataValidation type="whole" allowBlank="1" showInputMessage="1" showErrorMessage="1" sqref="AD31:AD105 AD9 AD13 AD24 AD21 WWL9:WWL105 WMP9:WMP105 JZ9:JZ105 TV9:TV105 ADR9:ADR105 ANN9:ANN105 AXJ9:AXJ105 BHF9:BHF105 BRB9:BRB105 CAX9:CAX105 CKT9:CKT105 CUP9:CUP105 DEL9:DEL105 DOH9:DOH105 DYD9:DYD105 EHZ9:EHZ105 ERV9:ERV105 FBR9:FBR105 FLN9:FLN105 FVJ9:FVJ105 GFF9:GFF105 GPB9:GPB105 GYX9:GYX105 HIT9:HIT105 HSP9:HSP105 ICL9:ICL105 IMH9:IMH105 IWD9:IWD105 JFZ9:JFZ105 JPV9:JPV105 JZR9:JZR105 KJN9:KJN105 KTJ9:KTJ105 LDF9:LDF105 LNB9:LNB105 LWX9:LWX105 MGT9:MGT105 MQP9:MQP105 NAL9:NAL105 NKH9:NKH105 NUD9:NUD105 ODZ9:ODZ105 ONV9:ONV105 OXR9:OXR105 PHN9:PHN105 PRJ9:PRJ105 QBF9:QBF105 QLB9:QLB105 QUX9:QUX105 RET9:RET105 ROP9:ROP105 RYL9:RYL105 SIH9:SIH105 SSD9:SSD105 TBZ9:TBZ105 TLV9:TLV105 TVR9:TVR105 UFN9:UFN105 UPJ9:UPJ105 UZF9:UZF105 VJB9:VJB105 VSX9:VSX105 WCT9:WCT105 AD15:AD16">
      <formula1>0</formula1>
      <formula2>100</formula2>
    </dataValidation>
    <dataValidation showInputMessage="1" showErrorMessage="1" sqref="AG31:AK105 AI9 AK9 AK13 AI13 AI28 AI24 AK24 AK28 AK21 AI21 WWO9:WWS105 WMS9:WMW105 KC9:KG105 TY9:UC105 ADU9:ADY105 ANQ9:ANU105 AXM9:AXQ105 BHI9:BHM105 BRE9:BRI105 CBA9:CBE105 CKW9:CLA105 CUS9:CUW105 DEO9:DES105 DOK9:DOO105 DYG9:DYK105 EIC9:EIG105 ERY9:ESC105 FBU9:FBY105 FLQ9:FLU105 FVM9:FVQ105 GFI9:GFM105 GPE9:GPI105 GZA9:GZE105 HIW9:HJA105 HSS9:HSW105 ICO9:ICS105 IMK9:IMO105 IWG9:IWK105 JGC9:JGG105 JPY9:JQC105 JZU9:JZY105 KJQ9:KJU105 KTM9:KTQ105 LDI9:LDM105 LNE9:LNI105 LXA9:LXE105 MGW9:MHA105 MQS9:MQW105 NAO9:NAS105 NKK9:NKO105 NUG9:NUK105 OEC9:OEG105 ONY9:OOC105 OXU9:OXY105 PHQ9:PHU105 PRM9:PRQ105 QBI9:QBM105 QLE9:QLI105 QVA9:QVE105 REW9:RFA105 ROS9:ROW105 RYO9:RYS105 SIK9:SIO105 SSG9:SSK105 TCC9:TCG105 TLY9:TMC105 TVU9:TVY105 UFQ9:UFU105 UPM9:UPQ105 UZI9:UZM105 VJE9:VJI105 VTA9:VTE105 WCW9:WDA105 AG9:AH30 AJ9:AJ30 AK15:AK16 AI15:AI16"/>
    <dataValidation type="list" showInputMessage="1" showErrorMessage="1" errorTitle="Rechazado" error="Solo son validadas las opciones de la lista" sqref="AE31:AE105 AE9 AE13 AE24 AE21 WWM9:WWM105 WMQ9:WMQ105 KA9:KA105 TW9:TW105 ADS9:ADS105 ANO9:ANO105 AXK9:AXK105 BHG9:BHG105 BRC9:BRC105 CAY9:CAY105 CKU9:CKU105 CUQ9:CUQ105 DEM9:DEM105 DOI9:DOI105 DYE9:DYE105 EIA9:EIA105 ERW9:ERW105 FBS9:FBS105 FLO9:FLO105 FVK9:FVK105 GFG9:GFG105 GPC9:GPC105 GYY9:GYY105 HIU9:HIU105 HSQ9:HSQ105 ICM9:ICM105 IMI9:IMI105 IWE9:IWE105 JGA9:JGA105 JPW9:JPW105 JZS9:JZS105 KJO9:KJO105 KTK9:KTK105 LDG9:LDG105 LNC9:LNC105 LWY9:LWY105 MGU9:MGU105 MQQ9:MQQ105 NAM9:NAM105 NKI9:NKI105 NUE9:NUE105 OEA9:OEA105 ONW9:ONW105 OXS9:OXS105 PHO9:PHO105 PRK9:PRK105 QBG9:QBG105 QLC9:QLC105 QUY9:QUY105 REU9:REU105 ROQ9:ROQ105 RYM9:RYM105 SII9:SII105 SSE9:SSE105 TCA9:TCA105 TLW9:TLW105 TVS9:TVS105 UFO9:UFO105 UPK9:UPK105 UZG9:UZG105 VJC9:VJC105 VSY9:VSY105 WCU9:WCU105 AE15:AE16">
      <formula1>Efecto</formula1>
    </dataValidation>
    <dataValidation type="list" allowBlank="1" showInputMessage="1" showErrorMessage="1" sqref="R31:R105 R9 R13 R24 R28 R21 WWA9:WWA105 WME9:WME105 JO9:JO105 TK9:TK105 ADG9:ADG105 ANC9:ANC105 AWY9:AWY105 BGU9:BGU105 BQQ9:BQQ105 CAM9:CAM105 CKI9:CKI105 CUE9:CUE105 DEA9:DEA105 DNW9:DNW105 DXS9:DXS105 EHO9:EHO105 ERK9:ERK105 FBG9:FBG105 FLC9:FLC105 FUY9:FUY105 GEU9:GEU105 GOQ9:GOQ105 GYM9:GYM105 HII9:HII105 HSE9:HSE105 ICA9:ICA105 ILW9:ILW105 IVS9:IVS105 JFO9:JFO105 JPK9:JPK105 JZG9:JZG105 KJC9:KJC105 KSY9:KSY105 LCU9:LCU105 LMQ9:LMQ105 LWM9:LWM105 MGI9:MGI105 MQE9:MQE105 NAA9:NAA105 NJW9:NJW105 NTS9:NTS105 ODO9:ODO105 ONK9:ONK105 OXG9:OXG105 PHC9:PHC105 PQY9:PQY105 QAU9:QAU105 QKQ9:QKQ105 QUM9:QUM105 REI9:REI105 ROE9:ROE105 RYA9:RYA105 SHW9:SHW105 SRS9:SRS105 TBO9:TBO105 TLK9:TLK105 TVG9:TVG105 UFC9:UFC105 UOY9:UOY105 UYU9:UYU105 VIQ9:VIQ105 VSM9:VSM105 WCI9:WCI105 R15:R16">
      <formula1>IMPACTO</formula1>
    </dataValidation>
    <dataValidation type="list" allowBlank="1" showInputMessage="1" showErrorMessage="1" sqref="Q31:Q105 Q9 Q13 Q24 Q28 Q21 WVZ9:WVZ105 WMD9:WMD105 JN9:JN105 TJ9:TJ105 ADF9:ADF105 ANB9:ANB105 AWX9:AWX105 BGT9:BGT105 BQP9:BQP105 CAL9:CAL105 CKH9:CKH105 CUD9:CUD105 DDZ9:DDZ105 DNV9:DNV105 DXR9:DXR105 EHN9:EHN105 ERJ9:ERJ105 FBF9:FBF105 FLB9:FLB105 FUX9:FUX105 GET9:GET105 GOP9:GOP105 GYL9:GYL105 HIH9:HIH105 HSD9:HSD105 IBZ9:IBZ105 ILV9:ILV105 IVR9:IVR105 JFN9:JFN105 JPJ9:JPJ105 JZF9:JZF105 KJB9:KJB105 KSX9:KSX105 LCT9:LCT105 LMP9:LMP105 LWL9:LWL105 MGH9:MGH105 MQD9:MQD105 MZZ9:MZZ105 NJV9:NJV105 NTR9:NTR105 ODN9:ODN105 ONJ9:ONJ105 OXF9:OXF105 PHB9:PHB105 PQX9:PQX105 QAT9:QAT105 QKP9:QKP105 QUL9:QUL105 REH9:REH105 ROD9:ROD105 RXZ9:RXZ105 SHV9:SHV105 SRR9:SRR105 TBN9:TBN105 TLJ9:TLJ105 TVF9:TVF105 UFB9:UFB105 UOX9:UOX105 UYT9:UYT105 VIP9:VIP105 VSL9:VSL105 WCH9:WCH105 Q15:Q16">
      <formula1>PROBAB</formula1>
    </dataValidation>
    <dataValidation type="list" allowBlank="1" showInputMessage="1" showErrorMessage="1" sqref="WNE9:WNE105 WXA9:WXA105 KO9:KO105 UK9:UK105 AEG9:AEG105 AOC9:AOC105 AXY9:AXY105 BHU9:BHU105 BRQ9:BRQ105 CBM9:CBM105 CLI9:CLI105 CVE9:CVE105 DFA9:DFA105 DOW9:DOW105 DYS9:DYS105 EIO9:EIO105 ESK9:ESK105 FCG9:FCG105 FMC9:FMC105 FVY9:FVY105 GFU9:GFU105 GPQ9:GPQ105 GZM9:GZM105 HJI9:HJI105 HTE9:HTE105 IDA9:IDA105 IMW9:IMW105 IWS9:IWS105 JGO9:JGO105 JQK9:JQK105 KAG9:KAG105 KKC9:KKC105 KTY9:KTY105 LDU9:LDU105 LNQ9:LNQ105 LXM9:LXM105 MHI9:MHI105 MRE9:MRE105 NBA9:NBA105 NKW9:NKW105 NUS9:NUS105 OEO9:OEO105 OOK9:OOK105 OYG9:OYG105 PIC9:PIC105 PRY9:PRY105 QBU9:QBU105 QLQ9:QLQ105 QVM9:QVM105 RFI9:RFI105 RPE9:RPE105 RZA9:RZA105 SIW9:SIW105 SSS9:SSS105 TCO9:TCO105 TMK9:TMK105 TWG9:TWG105 UGC9:UGC105 UPY9:UPY105 UZU9:UZU105 VJQ9:VJQ105 VTM9:VTM105 WDI9:WDI105 AS9 AS13 AS15:AS16 AS21 AS24 AS28 AS31:AS105">
      <formula1>SINO</formula1>
    </dataValidation>
  </dataValidations>
  <printOptions horizontalCentered="1" verticalCentered="1"/>
  <pageMargins left="0.62992125984251968" right="0.23622047244094491" top="0.74803149606299213" bottom="0.74803149606299213" header="0.31496062992125984" footer="0.31496062992125984"/>
  <pageSetup paperSize="5" scale="45" firstPageNumber="0" orientation="landscape" r:id="rId1"/>
  <headerFooter>
    <oddFooter>&amp;L&amp;9Formato: FO-AC-07 Versión: 3&amp;C&amp;9Página &amp;P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workbookViewId="0">
      <selection activeCell="A11" sqref="A11"/>
    </sheetView>
  </sheetViews>
  <sheetFormatPr baseColWidth="10" defaultRowHeight="15"/>
  <cols>
    <col min="1" max="1" width="95.140625" bestFit="1" customWidth="1"/>
    <col min="2" max="2" width="20.42578125" bestFit="1" customWidth="1"/>
    <col min="3" max="3" width="23.7109375" bestFit="1" customWidth="1"/>
    <col min="4" max="4" width="23.42578125" bestFit="1" customWidth="1"/>
    <col min="5" max="5" width="24.140625" bestFit="1" customWidth="1"/>
    <col min="6" max="6" width="23.5703125" bestFit="1" customWidth="1"/>
    <col min="7" max="7" width="5.5703125" customWidth="1"/>
    <col min="8" max="8" width="11" customWidth="1"/>
    <col min="9" max="9" width="12.5703125" customWidth="1"/>
    <col min="10" max="18" width="7.28515625" customWidth="1"/>
    <col min="19" max="21" width="8.140625" customWidth="1"/>
    <col min="22" max="25" width="8.28515625" customWidth="1"/>
    <col min="26" max="30" width="8" customWidth="1"/>
    <col min="31" max="40" width="7.7109375" customWidth="1"/>
    <col min="41" max="49" width="8" customWidth="1"/>
    <col min="50" max="51" width="7.7109375" customWidth="1"/>
    <col min="52" max="56" width="8.140625" customWidth="1"/>
    <col min="57" max="68" width="8" customWidth="1"/>
    <col min="69" max="70" width="7.5703125" customWidth="1"/>
    <col min="71" max="77" width="7.85546875" customWidth="1"/>
    <col min="78" max="85" width="8.140625" customWidth="1"/>
    <col min="86" max="88" width="7.5703125" customWidth="1"/>
    <col min="89" max="93" width="8.5703125" customWidth="1"/>
    <col min="94" max="115" width="7.7109375" customWidth="1"/>
    <col min="116" max="123" width="7.85546875" customWidth="1"/>
    <col min="124" max="135" width="7.140625" customWidth="1"/>
    <col min="136" max="150" width="7.85546875" customWidth="1"/>
    <col min="151" max="151" width="11" customWidth="1"/>
    <col min="152" max="152" width="12.5703125" bestFit="1" customWidth="1"/>
  </cols>
  <sheetData>
    <row r="1" spans="1:6">
      <c r="A1" s="137" t="s">
        <v>1909</v>
      </c>
      <c r="B1" t="s">
        <v>1929</v>
      </c>
    </row>
    <row r="2" spans="1:6">
      <c r="A2" s="137" t="s">
        <v>1908</v>
      </c>
      <c r="B2" t="s">
        <v>2280</v>
      </c>
    </row>
    <row r="3" spans="1:6">
      <c r="A3" s="137" t="s">
        <v>1932</v>
      </c>
      <c r="B3" t="s">
        <v>2154</v>
      </c>
    </row>
    <row r="5" spans="1:6">
      <c r="A5" s="137" t="s">
        <v>2277</v>
      </c>
      <c r="B5" t="s">
        <v>2279</v>
      </c>
      <c r="C5" t="s">
        <v>2285</v>
      </c>
      <c r="D5" t="s">
        <v>2286</v>
      </c>
      <c r="E5" t="s">
        <v>2287</v>
      </c>
      <c r="F5" t="s">
        <v>2288</v>
      </c>
    </row>
    <row r="6" spans="1:6">
      <c r="A6" s="45" t="s">
        <v>2158</v>
      </c>
      <c r="B6" s="138">
        <v>8</v>
      </c>
      <c r="C6" s="139">
        <v>2.625</v>
      </c>
      <c r="D6" s="139">
        <v>2.375</v>
      </c>
      <c r="E6" s="139">
        <v>1.375</v>
      </c>
      <c r="F6" s="139">
        <v>2</v>
      </c>
    </row>
    <row r="7" spans="1:6">
      <c r="A7" s="45" t="s">
        <v>1917</v>
      </c>
      <c r="B7" s="138">
        <v>2</v>
      </c>
      <c r="C7" s="139">
        <v>3.5</v>
      </c>
      <c r="D7" s="139">
        <v>3</v>
      </c>
      <c r="E7" s="139">
        <v>2.5</v>
      </c>
      <c r="F7" s="139">
        <v>2</v>
      </c>
    </row>
    <row r="8" spans="1:6">
      <c r="A8" s="45" t="s">
        <v>1918</v>
      </c>
      <c r="B8" s="138">
        <v>6</v>
      </c>
      <c r="C8" s="139">
        <v>2.8333333333333335</v>
      </c>
      <c r="D8" s="139">
        <v>3.5</v>
      </c>
      <c r="E8" s="139">
        <v>1</v>
      </c>
      <c r="F8" s="139">
        <v>2.5</v>
      </c>
    </row>
    <row r="9" spans="1:6">
      <c r="A9" s="45" t="s">
        <v>1919</v>
      </c>
      <c r="B9" s="138">
        <v>3</v>
      </c>
      <c r="C9" s="139">
        <v>4.333333333333333</v>
      </c>
      <c r="D9" s="139">
        <v>3</v>
      </c>
      <c r="E9" s="139">
        <v>3.3333333333333335</v>
      </c>
      <c r="F9" s="139">
        <v>2</v>
      </c>
    </row>
    <row r="10" spans="1:6">
      <c r="A10" s="45" t="s">
        <v>1920</v>
      </c>
      <c r="B10" s="138">
        <v>6</v>
      </c>
      <c r="C10" s="139">
        <v>3.3333333333333335</v>
      </c>
      <c r="D10" s="139">
        <v>2.5</v>
      </c>
      <c r="E10" s="139">
        <v>2.5</v>
      </c>
      <c r="F10" s="139">
        <v>1.5</v>
      </c>
    </row>
    <row r="11" spans="1:6">
      <c r="A11" s="45" t="s">
        <v>1933</v>
      </c>
      <c r="B11" s="138">
        <v>14</v>
      </c>
      <c r="C11" s="139">
        <v>2.4285714285714284</v>
      </c>
      <c r="D11" s="139">
        <v>2.7142857142857144</v>
      </c>
      <c r="E11" s="139">
        <v>1.0714285714285714</v>
      </c>
      <c r="F11" s="139">
        <v>1.3571428571428572</v>
      </c>
    </row>
    <row r="12" spans="1:6">
      <c r="A12" s="45" t="s">
        <v>1921</v>
      </c>
      <c r="B12" s="138">
        <v>5</v>
      </c>
      <c r="C12" s="139">
        <v>3</v>
      </c>
      <c r="D12" s="139">
        <v>3.2</v>
      </c>
      <c r="E12" s="139">
        <v>2</v>
      </c>
      <c r="F12" s="139">
        <v>2.8</v>
      </c>
    </row>
    <row r="13" spans="1:6">
      <c r="A13" s="45" t="s">
        <v>1922</v>
      </c>
      <c r="B13" s="138">
        <v>7</v>
      </c>
      <c r="C13" s="139">
        <v>3.2857142857142856</v>
      </c>
      <c r="D13" s="139">
        <v>2.2857142857142856</v>
      </c>
      <c r="E13" s="139">
        <v>2.1428571428571428</v>
      </c>
      <c r="F13" s="139">
        <v>2.1428571428571428</v>
      </c>
    </row>
    <row r="14" spans="1:6">
      <c r="A14" s="45" t="s">
        <v>1923</v>
      </c>
      <c r="B14" s="138">
        <v>11</v>
      </c>
      <c r="C14" s="139">
        <v>2.1818181818181817</v>
      </c>
      <c r="D14" s="139">
        <v>2.3636363636363638</v>
      </c>
      <c r="E14" s="139">
        <v>1.2727272727272727</v>
      </c>
      <c r="F14" s="139">
        <v>1</v>
      </c>
    </row>
    <row r="15" spans="1:6">
      <c r="A15" s="45" t="s">
        <v>1924</v>
      </c>
      <c r="B15" s="138">
        <v>7</v>
      </c>
      <c r="C15" s="139">
        <v>2.4285714285714284</v>
      </c>
      <c r="D15" s="139">
        <v>2.1428571428571428</v>
      </c>
      <c r="E15" s="139">
        <v>1.4285714285714286</v>
      </c>
      <c r="F15" s="139">
        <v>1.4285714285714286</v>
      </c>
    </row>
    <row r="16" spans="1:6">
      <c r="A16" s="45" t="s">
        <v>1925</v>
      </c>
      <c r="B16" s="138">
        <v>10</v>
      </c>
      <c r="C16" s="139">
        <v>3.3</v>
      </c>
      <c r="D16" s="139">
        <v>2.6</v>
      </c>
      <c r="E16" s="139">
        <v>2.1</v>
      </c>
      <c r="F16" s="139">
        <v>2.1</v>
      </c>
    </row>
    <row r="17" spans="1:6">
      <c r="A17" s="45" t="s">
        <v>1931</v>
      </c>
      <c r="B17" s="138">
        <v>3</v>
      </c>
      <c r="C17" s="139">
        <v>3</v>
      </c>
      <c r="D17" s="139">
        <v>2.6666666666666665</v>
      </c>
      <c r="E17" s="139">
        <v>1.6666666666666667</v>
      </c>
      <c r="F17" s="139">
        <v>1.6666666666666667</v>
      </c>
    </row>
    <row r="18" spans="1:6">
      <c r="A18" s="45" t="s">
        <v>1926</v>
      </c>
      <c r="B18" s="138">
        <v>4</v>
      </c>
      <c r="C18" s="139">
        <v>3.5</v>
      </c>
      <c r="D18" s="139">
        <v>3</v>
      </c>
      <c r="E18" s="139">
        <v>2.5</v>
      </c>
      <c r="F18" s="139">
        <v>2.25</v>
      </c>
    </row>
    <row r="19" spans="1:6">
      <c r="A19" s="45" t="s">
        <v>1927</v>
      </c>
      <c r="B19" s="138">
        <v>12</v>
      </c>
      <c r="C19" s="139">
        <v>1.5</v>
      </c>
      <c r="D19" s="139">
        <v>1.5833333333333333</v>
      </c>
      <c r="E19" s="139">
        <v>1.25</v>
      </c>
      <c r="F19" s="139">
        <v>1.4166666666666667</v>
      </c>
    </row>
    <row r="20" spans="1:6">
      <c r="A20" s="45" t="s">
        <v>1928</v>
      </c>
      <c r="B20" s="138">
        <v>7</v>
      </c>
      <c r="C20" s="139">
        <v>2.2857142857142856</v>
      </c>
      <c r="D20" s="139">
        <v>3.4285714285714284</v>
      </c>
      <c r="E20" s="139">
        <v>1</v>
      </c>
      <c r="F20" s="139">
        <v>1.4285714285714286</v>
      </c>
    </row>
    <row r="21" spans="1:6">
      <c r="A21" s="45" t="s">
        <v>1910</v>
      </c>
      <c r="B21" s="138">
        <v>2</v>
      </c>
      <c r="C21" s="139">
        <v>2.5</v>
      </c>
      <c r="D21" s="139">
        <v>3</v>
      </c>
      <c r="E21" s="139">
        <v>2</v>
      </c>
      <c r="F21" s="139">
        <v>2</v>
      </c>
    </row>
    <row r="22" spans="1:6">
      <c r="A22" s="45" t="s">
        <v>1911</v>
      </c>
      <c r="B22" s="138">
        <v>5</v>
      </c>
      <c r="C22" s="139">
        <v>3.8</v>
      </c>
      <c r="D22" s="139">
        <v>2</v>
      </c>
      <c r="E22" s="139">
        <v>2.6</v>
      </c>
      <c r="F22" s="139">
        <v>1.2</v>
      </c>
    </row>
    <row r="23" spans="1:6">
      <c r="A23" s="45" t="s">
        <v>1912</v>
      </c>
      <c r="B23" s="138">
        <v>3</v>
      </c>
      <c r="C23" s="139">
        <v>3.3333333333333335</v>
      </c>
      <c r="D23" s="139">
        <v>3</v>
      </c>
      <c r="E23" s="139">
        <v>1.6666666666666667</v>
      </c>
      <c r="F23" s="139">
        <v>2.3333333333333335</v>
      </c>
    </row>
    <row r="24" spans="1:6">
      <c r="A24" s="45" t="s">
        <v>1913</v>
      </c>
      <c r="B24" s="138">
        <v>3</v>
      </c>
      <c r="C24" s="139">
        <v>2.6666666666666665</v>
      </c>
      <c r="D24" s="139">
        <v>2.3333333333333335</v>
      </c>
      <c r="E24" s="139">
        <v>1.6666666666666667</v>
      </c>
      <c r="F24" s="139">
        <v>2.3333333333333335</v>
      </c>
    </row>
    <row r="25" spans="1:6">
      <c r="A25" s="45" t="s">
        <v>1914</v>
      </c>
      <c r="B25" s="138">
        <v>9</v>
      </c>
      <c r="C25" s="139">
        <v>2.5555555555555554</v>
      </c>
      <c r="D25" s="139">
        <v>2</v>
      </c>
      <c r="E25" s="139">
        <v>1.5555555555555556</v>
      </c>
      <c r="F25" s="139">
        <v>1.3333333333333333</v>
      </c>
    </row>
    <row r="26" spans="1:6">
      <c r="A26" s="45" t="s">
        <v>1915</v>
      </c>
      <c r="B26" s="138">
        <v>3</v>
      </c>
      <c r="C26" s="139">
        <v>3.3333333333333335</v>
      </c>
      <c r="D26" s="139">
        <v>2.3333333333333335</v>
      </c>
      <c r="E26" s="139">
        <v>2.3333333333333335</v>
      </c>
      <c r="F26" s="139">
        <v>1.3333333333333333</v>
      </c>
    </row>
    <row r="27" spans="1:6">
      <c r="A27" s="45" t="s">
        <v>1916</v>
      </c>
      <c r="B27" s="138">
        <v>1</v>
      </c>
      <c r="C27" s="139">
        <v>3</v>
      </c>
      <c r="D27" s="139">
        <v>2</v>
      </c>
      <c r="E27" s="139">
        <v>1</v>
      </c>
      <c r="F27" s="139">
        <v>2</v>
      </c>
    </row>
    <row r="28" spans="1:6">
      <c r="A28" s="45" t="s">
        <v>2278</v>
      </c>
      <c r="B28" s="138">
        <v>131</v>
      </c>
      <c r="C28" s="139">
        <v>2.7404580152671754</v>
      </c>
      <c r="D28" s="139">
        <v>2.5114503816793894</v>
      </c>
      <c r="E28" s="139">
        <v>1.6641221374045803</v>
      </c>
      <c r="F28" s="139">
        <v>1.7022900763358779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M173"/>
  <sheetViews>
    <sheetView view="pageBreakPreview" zoomScaleNormal="55" zoomScaleSheetLayoutView="100" zoomScalePageLayoutView="95" workbookViewId="0">
      <pane xSplit="5" ySplit="8" topLeftCell="F9" activePane="bottomRight" state="frozen"/>
      <selection pane="topRight" activeCell="F1" sqref="F1"/>
      <selection pane="bottomLeft" activeCell="A9" sqref="A9"/>
      <selection pane="bottomRight"/>
    </sheetView>
  </sheetViews>
  <sheetFormatPr baseColWidth="10" defaultRowHeight="12.75"/>
  <cols>
    <col min="1" max="1" width="11.7109375" style="235" customWidth="1"/>
    <col min="2" max="2" width="2.7109375" style="235" customWidth="1"/>
    <col min="3" max="3" width="4.7109375" style="235" customWidth="1"/>
    <col min="4" max="4" width="1.5703125" style="235" customWidth="1"/>
    <col min="5" max="5" width="4.85546875" style="235" customWidth="1"/>
    <col min="6" max="6" width="7" style="235" customWidth="1"/>
    <col min="7" max="7" width="5.7109375" style="235" customWidth="1"/>
    <col min="8" max="8" width="7" style="235" customWidth="1"/>
    <col min="9" max="9" width="4.7109375" style="235" customWidth="1"/>
    <col min="10" max="10" width="2.5703125" style="235" customWidth="1"/>
    <col min="11" max="11" width="8.7109375" style="235" customWidth="1"/>
    <col min="12" max="12" width="6.7109375" style="235" customWidth="1"/>
    <col min="13" max="15" width="3.7109375" style="235" customWidth="1"/>
    <col min="16" max="16" width="3.5703125" style="235" customWidth="1"/>
    <col min="17" max="17" width="2.85546875" style="235" customWidth="1"/>
    <col min="18" max="18" width="3" style="235" customWidth="1"/>
    <col min="19" max="21" width="0" style="235" hidden="1" customWidth="1"/>
    <col min="22" max="22" width="4.42578125" style="235" customWidth="1"/>
    <col min="23" max="23" width="0" style="235" hidden="1" customWidth="1"/>
    <col min="24" max="24" width="12.7109375" style="235" customWidth="1"/>
    <col min="25" max="25" width="8.28515625" style="235" customWidth="1"/>
    <col min="26" max="27" width="19.28515625" style="235" customWidth="1"/>
    <col min="28" max="28" width="6.42578125" style="235" customWidth="1"/>
    <col min="29" max="29" width="17.42578125" style="235" customWidth="1"/>
    <col min="30" max="30" width="4.140625" style="235" customWidth="1"/>
    <col min="31" max="31" width="4" style="235" customWidth="1"/>
    <col min="32" max="34" width="0" style="235" hidden="1" customWidth="1"/>
    <col min="35" max="35" width="3" style="235" customWidth="1"/>
    <col min="36" max="36" width="0" style="235" hidden="1" customWidth="1"/>
    <col min="37" max="37" width="5.28515625" style="235" customWidth="1"/>
    <col min="38" max="38" width="0" style="235" hidden="1" customWidth="1"/>
    <col min="39" max="39" width="5.5703125" style="235" customWidth="1"/>
    <col min="40" max="40" width="17.140625" style="235" customWidth="1"/>
    <col min="41" max="41" width="13.85546875" style="235" customWidth="1"/>
    <col min="42" max="42" width="9.140625" style="235" customWidth="1"/>
    <col min="43" max="43" width="19.5703125" style="235" customWidth="1"/>
    <col min="44" max="44" width="25.85546875" style="235" customWidth="1"/>
    <col min="45" max="45" width="5.85546875" style="235" customWidth="1"/>
    <col min="46" max="46" width="31.5703125" style="235" customWidth="1"/>
    <col min="47" max="47" width="16.140625" style="235" customWidth="1"/>
    <col min="48" max="48" width="10.28515625" style="235" customWidth="1"/>
    <col min="49" max="49" width="9.7109375" style="235" bestFit="1" customWidth="1"/>
    <col min="50" max="50" width="11.140625" style="235" customWidth="1"/>
    <col min="51" max="51" width="2.140625" style="235" customWidth="1"/>
    <col min="52"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11.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1260" t="s">
        <v>379</v>
      </c>
      <c r="AE1" s="1260"/>
      <c r="AF1" s="1260"/>
      <c r="AG1" s="1260"/>
      <c r="AH1" s="1260"/>
      <c r="AI1" s="1260"/>
      <c r="AJ1" s="1260"/>
      <c r="AK1" s="1260"/>
      <c r="AL1" s="1260"/>
      <c r="AM1" s="1260"/>
      <c r="AN1" s="1260"/>
      <c r="AP1" s="1247" t="s">
        <v>2320</v>
      </c>
      <c r="AQ1" s="1247"/>
      <c r="AR1" s="1247"/>
      <c r="AS1" s="1247"/>
      <c r="AT1" s="233"/>
      <c r="AU1" s="233"/>
      <c r="AV1" s="233"/>
      <c r="AW1" s="1246"/>
      <c r="AX1" s="1246"/>
      <c r="AY1" s="233"/>
    </row>
    <row r="2" spans="1:1027" ht="14.25" customHeight="1">
      <c r="A2" s="237" t="s">
        <v>2348</v>
      </c>
      <c r="B2" s="233"/>
      <c r="C2" s="233"/>
      <c r="D2" s="233"/>
      <c r="E2" s="233"/>
      <c r="F2" s="233"/>
      <c r="G2" s="1214" t="str">
        <f>UPPER([41]Control!A2)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1260"/>
      <c r="AE2" s="1260"/>
      <c r="AF2" s="1260"/>
      <c r="AG2" s="1260"/>
      <c r="AH2" s="1260"/>
      <c r="AI2" s="1260"/>
      <c r="AJ2" s="1260"/>
      <c r="AK2" s="1260"/>
      <c r="AL2" s="1260"/>
      <c r="AM2" s="1260"/>
      <c r="AN2" s="1260"/>
      <c r="AP2" s="1268" t="s">
        <v>138</v>
      </c>
      <c r="AQ2" s="1269"/>
      <c r="AR2" s="1270" t="str">
        <f>AD1</f>
        <v>GESTIÓN INTEGRAL DE PROYECTOS</v>
      </c>
      <c r="AS2" s="1271"/>
      <c r="AT2" s="233"/>
      <c r="AU2" s="233"/>
      <c r="AV2" s="233"/>
      <c r="AW2" s="1246"/>
      <c r="AX2" s="1246"/>
      <c r="AY2" s="233"/>
    </row>
    <row r="3" spans="1:1027" ht="11.25" customHeight="1">
      <c r="A3" s="1435">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1436">
        <v>43448</v>
      </c>
      <c r="AA3" s="1437"/>
      <c r="AB3" s="1438"/>
      <c r="AC3" s="1259" t="s">
        <v>2349</v>
      </c>
      <c r="AD3" s="1261" t="s">
        <v>99</v>
      </c>
      <c r="AE3" s="1261"/>
      <c r="AF3" s="1261"/>
      <c r="AG3" s="1261"/>
      <c r="AH3" s="1261"/>
      <c r="AI3" s="1261"/>
      <c r="AJ3" s="1261"/>
      <c r="AK3" s="1261"/>
      <c r="AL3" s="1261"/>
      <c r="AM3" s="1261"/>
      <c r="AN3" s="1261"/>
      <c r="AP3" s="1265" t="s">
        <v>2322</v>
      </c>
      <c r="AQ3" s="1266"/>
      <c r="AR3" s="1266" t="s">
        <v>2323</v>
      </c>
      <c r="AS3" s="1267"/>
      <c r="AT3" s="233"/>
      <c r="AU3" s="233"/>
      <c r="AV3" s="233"/>
      <c r="AW3" s="1246"/>
      <c r="AX3" s="1246"/>
      <c r="AY3" s="233"/>
    </row>
    <row r="4" spans="1:1027" ht="14.25" customHeight="1" thickBot="1">
      <c r="A4" s="1435"/>
      <c r="B4" s="233"/>
      <c r="C4" s="233"/>
      <c r="D4" s="233"/>
      <c r="E4" s="233"/>
      <c r="F4" s="233"/>
      <c r="G4" s="1236" t="str">
        <f>[41]Control!A4</f>
        <v>FO-PE-06</v>
      </c>
      <c r="H4" s="1237"/>
      <c r="I4" s="1238" t="str">
        <f>[41]Control!C4</f>
        <v>Planeación Estratégica</v>
      </c>
      <c r="J4" s="1237"/>
      <c r="K4" s="1237"/>
      <c r="L4" s="1237"/>
      <c r="M4" s="1237"/>
      <c r="N4" s="1239"/>
      <c r="O4" s="1238">
        <f>[41]Control!H4</f>
        <v>5</v>
      </c>
      <c r="P4" s="1237"/>
      <c r="Q4" s="1237"/>
      <c r="R4" s="1237"/>
      <c r="S4" s="1237"/>
      <c r="T4" s="1237"/>
      <c r="U4" s="1237"/>
      <c r="V4" s="1239"/>
      <c r="W4" s="239"/>
      <c r="X4" s="1255"/>
      <c r="Y4" s="1256"/>
      <c r="Z4" s="1439"/>
      <c r="AA4" s="1440"/>
      <c r="AB4" s="1441"/>
      <c r="AC4" s="1259"/>
      <c r="AD4" s="1261"/>
      <c r="AE4" s="1261"/>
      <c r="AF4" s="1261"/>
      <c r="AG4" s="1261"/>
      <c r="AH4" s="1261"/>
      <c r="AI4" s="1261"/>
      <c r="AJ4" s="1261"/>
      <c r="AK4" s="1261"/>
      <c r="AL4" s="1261"/>
      <c r="AM4" s="1261"/>
      <c r="AN4" s="1261"/>
      <c r="AP4" s="1240">
        <v>43708</v>
      </c>
      <c r="AQ4" s="1241"/>
      <c r="AR4" s="1242" t="s">
        <v>4072</v>
      </c>
      <c r="AS4" s="1243"/>
      <c r="AT4" s="233"/>
      <c r="AU4" s="233"/>
      <c r="AV4" s="233"/>
      <c r="AW4" s="1246"/>
      <c r="AX4" s="1246"/>
      <c r="AY4" s="233"/>
    </row>
    <row r="5" spans="1:1027"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2"/>
      <c r="AB5" s="242"/>
      <c r="AC5" s="242"/>
      <c r="AD5" s="241"/>
      <c r="AE5" s="241"/>
      <c r="AF5" s="241"/>
      <c r="AG5" s="241"/>
      <c r="AH5" s="241"/>
      <c r="AI5" s="241"/>
      <c r="AJ5" s="241"/>
      <c r="AK5" s="241"/>
      <c r="AL5" s="241"/>
      <c r="AM5" s="240"/>
      <c r="AN5" s="240"/>
      <c r="AO5" s="240"/>
      <c r="AQ5" s="244"/>
      <c r="AY5" s="245"/>
    </row>
    <row r="6" spans="1:1027" s="243" customFormat="1" ht="17.4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782" t="s">
        <v>268</v>
      </c>
      <c r="AO6" s="294"/>
      <c r="AP6" s="247" t="s">
        <v>2325</v>
      </c>
      <c r="AQ6" s="248"/>
      <c r="AR6" s="248"/>
      <c r="AS6" s="249"/>
      <c r="AT6" s="1244" t="s">
        <v>2326</v>
      </c>
      <c r="AU6" s="1244"/>
      <c r="AV6" s="1244"/>
      <c r="AW6" s="1244"/>
      <c r="AX6" s="1245"/>
      <c r="AY6" s="245"/>
    </row>
    <row r="7" spans="1:1027" s="243" customFormat="1" ht="36" customHeight="1">
      <c r="A7" s="1217" t="s">
        <v>1002</v>
      </c>
      <c r="B7" s="1218" t="s">
        <v>640</v>
      </c>
      <c r="C7" s="1219" t="s">
        <v>1001</v>
      </c>
      <c r="D7" s="1220"/>
      <c r="E7" s="1221"/>
      <c r="F7" s="1217" t="s">
        <v>1000</v>
      </c>
      <c r="G7" s="1219" t="s">
        <v>999</v>
      </c>
      <c r="H7" s="1220"/>
      <c r="I7" s="1221"/>
      <c r="J7" s="1217" t="s">
        <v>145</v>
      </c>
      <c r="K7" s="1217"/>
      <c r="L7" s="1217"/>
      <c r="M7" s="1225" t="s">
        <v>144</v>
      </c>
      <c r="N7" s="1226"/>
      <c r="O7" s="1226"/>
      <c r="P7" s="1226"/>
      <c r="Q7" s="1227" t="s">
        <v>637</v>
      </c>
      <c r="R7" s="1228"/>
      <c r="S7" s="1228"/>
      <c r="T7" s="1228"/>
      <c r="U7" s="1228"/>
      <c r="V7" s="1229"/>
      <c r="W7" s="250"/>
      <c r="X7" s="1217" t="s">
        <v>2351</v>
      </c>
      <c r="Y7" s="1217"/>
      <c r="Z7" s="1217"/>
      <c r="AA7" s="1284" t="s">
        <v>4175</v>
      </c>
      <c r="AB7" s="1221" t="s">
        <v>998</v>
      </c>
      <c r="AC7" s="1284" t="s">
        <v>641</v>
      </c>
      <c r="AD7" s="1286" t="s">
        <v>546</v>
      </c>
      <c r="AE7" s="1286" t="s">
        <v>638</v>
      </c>
      <c r="AF7" s="251"/>
      <c r="AG7" s="252"/>
      <c r="AH7" s="253"/>
      <c r="AI7" s="1288" t="s">
        <v>639</v>
      </c>
      <c r="AJ7" s="1288"/>
      <c r="AK7" s="1288"/>
      <c r="AL7" s="1288"/>
      <c r="AM7" s="1288"/>
      <c r="AN7" s="1288" t="s">
        <v>2327</v>
      </c>
      <c r="AO7" s="1431" t="s">
        <v>2328</v>
      </c>
      <c r="AP7" s="1432" t="s">
        <v>2353</v>
      </c>
      <c r="AQ7" s="1431" t="s">
        <v>2330</v>
      </c>
      <c r="AR7" s="1432" t="s">
        <v>2354</v>
      </c>
      <c r="AS7" s="1432" t="s">
        <v>2332</v>
      </c>
      <c r="AT7" s="1432" t="s">
        <v>2333</v>
      </c>
      <c r="AU7" s="1432" t="s">
        <v>2334</v>
      </c>
      <c r="AV7" s="1432" t="s">
        <v>2335</v>
      </c>
      <c r="AW7" s="1432" t="s">
        <v>2336</v>
      </c>
      <c r="AX7" s="1432" t="s">
        <v>2337</v>
      </c>
      <c r="AY7" s="245"/>
    </row>
    <row r="8" spans="1:1027" ht="39" customHeight="1">
      <c r="A8" s="1217"/>
      <c r="B8" s="1218"/>
      <c r="C8" s="1222"/>
      <c r="D8" s="1223"/>
      <c r="E8" s="1224"/>
      <c r="F8" s="1217"/>
      <c r="G8" s="1222"/>
      <c r="H8" s="1223"/>
      <c r="I8" s="1224"/>
      <c r="J8" s="1217"/>
      <c r="K8" s="1217"/>
      <c r="L8" s="1217"/>
      <c r="M8" s="254" t="s">
        <v>146</v>
      </c>
      <c r="N8" s="254" t="s">
        <v>997</v>
      </c>
      <c r="O8" s="254" t="s">
        <v>65</v>
      </c>
      <c r="P8" s="254" t="s">
        <v>996</v>
      </c>
      <c r="Q8" s="781" t="s">
        <v>147</v>
      </c>
      <c r="R8" s="781" t="s">
        <v>148</v>
      </c>
      <c r="S8" s="255"/>
      <c r="T8" s="255" t="s">
        <v>239</v>
      </c>
      <c r="U8" s="255" t="s">
        <v>242</v>
      </c>
      <c r="V8" s="781" t="s">
        <v>149</v>
      </c>
      <c r="W8" s="256"/>
      <c r="X8" s="1217"/>
      <c r="Y8" s="1217"/>
      <c r="Z8" s="1217"/>
      <c r="AA8" s="1285"/>
      <c r="AB8" s="1224"/>
      <c r="AC8" s="1285"/>
      <c r="AD8" s="1287"/>
      <c r="AE8" s="1287"/>
      <c r="AF8" s="256"/>
      <c r="AG8" s="257" t="s">
        <v>642</v>
      </c>
      <c r="AH8" s="257" t="s">
        <v>264</v>
      </c>
      <c r="AI8" s="781" t="s">
        <v>147</v>
      </c>
      <c r="AJ8" s="258" t="s">
        <v>265</v>
      </c>
      <c r="AK8" s="781" t="s">
        <v>148</v>
      </c>
      <c r="AL8" s="255" t="s">
        <v>150</v>
      </c>
      <c r="AM8" s="781" t="s">
        <v>150</v>
      </c>
      <c r="AN8" s="1288"/>
      <c r="AO8" s="1431"/>
      <c r="AP8" s="1432"/>
      <c r="AQ8" s="1432"/>
      <c r="AR8" s="1432"/>
      <c r="AS8" s="1432"/>
      <c r="AT8" s="1432"/>
      <c r="AU8" s="1432"/>
      <c r="AV8" s="1432"/>
      <c r="AW8" s="1432"/>
      <c r="AX8" s="1432"/>
      <c r="AY8" s="245"/>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334.9" customHeight="1">
      <c r="A9" s="783" t="s">
        <v>1082</v>
      </c>
      <c r="B9" s="811" t="s">
        <v>2009</v>
      </c>
      <c r="C9" s="1317" t="s">
        <v>811</v>
      </c>
      <c r="D9" s="1318"/>
      <c r="E9" s="1319"/>
      <c r="F9" s="789" t="s">
        <v>1083</v>
      </c>
      <c r="G9" s="1272" t="s">
        <v>1084</v>
      </c>
      <c r="H9" s="1273"/>
      <c r="I9" s="1274"/>
      <c r="J9" s="1320" t="s">
        <v>2511</v>
      </c>
      <c r="K9" s="1320"/>
      <c r="L9" s="1320"/>
      <c r="M9" s="783" t="s">
        <v>8</v>
      </c>
      <c r="N9" s="783">
        <v>2</v>
      </c>
      <c r="O9" s="783" t="s">
        <v>8</v>
      </c>
      <c r="P9" s="783"/>
      <c r="Q9" s="789" t="s">
        <v>64</v>
      </c>
      <c r="R9" s="789" t="s">
        <v>270</v>
      </c>
      <c r="S9" s="301"/>
      <c r="T9" s="821">
        <f>VLOOKUP(Q9,[85]Listas!$D$6:$E$10,2,0)</f>
        <v>3</v>
      </c>
      <c r="U9" s="821">
        <f>HLOOKUP(R9,[85]Listas!$F$4:$J$5,2,0)</f>
        <v>4</v>
      </c>
      <c r="V9" s="814" t="str">
        <f>INDEX([85]Listas!$F$6:$J$10,MATCH(Q9,[85]Listas!$D$6:$D$10,0),MATCH(R9,[85]Listas!$F$4:$J$4,0))</f>
        <v>12
ALTO</v>
      </c>
      <c r="W9" s="301"/>
      <c r="X9" s="1272" t="s">
        <v>3242</v>
      </c>
      <c r="Y9" s="1273"/>
      <c r="Z9" s="1274"/>
      <c r="AA9" s="1069" t="s">
        <v>4200</v>
      </c>
      <c r="AB9" s="788" t="s">
        <v>1085</v>
      </c>
      <c r="AC9" s="809" t="s">
        <v>3243</v>
      </c>
      <c r="AD9" s="783">
        <v>67</v>
      </c>
      <c r="AE9" s="788" t="s">
        <v>152</v>
      </c>
      <c r="AF9" s="499"/>
      <c r="AG9" s="806">
        <f>IF(AD9&lt;=33,0,IF(AD9&gt;81,2,1))</f>
        <v>1</v>
      </c>
      <c r="AH9" s="298">
        <f>IF(OR(AE9="Probabilidad",AE9="Ambos"),T9-AG9,T9)</f>
        <v>2</v>
      </c>
      <c r="AI9" s="792" t="str">
        <f>IF(AH9&lt;=1,"Remota",VLOOKUP(AH9,[85]Listas!$C$6:$D$10,2,0))</f>
        <v>Baja</v>
      </c>
      <c r="AJ9" s="298">
        <f>IF(OR(AE9="Impacto",AE9="Ambos"),U9-AG9,U9)</f>
        <v>3</v>
      </c>
      <c r="AK9" s="792" t="str">
        <f>IF(AJ9&lt;=1,"Insignificante",HLOOKUP(AJ9,[85]Listas!$F$3:$J$4,2,0))</f>
        <v>Moderado</v>
      </c>
      <c r="AL9" s="801">
        <f>AH9*AJ9</f>
        <v>6</v>
      </c>
      <c r="AM9" s="793" t="str">
        <f>INDEX([85]Listas!$F$6:$J$10,MATCH(AI9,[85]Listas!$D$6:$D$10,0),MATCH(AK9,[85]Listas!$F$4:$J$4,0))</f>
        <v>6
MODERADO</v>
      </c>
      <c r="AN9" s="259" t="s">
        <v>3244</v>
      </c>
      <c r="AO9" s="259" t="s">
        <v>2512</v>
      </c>
      <c r="AP9" s="1002">
        <f>21/67</f>
        <v>0.31343283582089554</v>
      </c>
      <c r="AQ9" s="259" t="s">
        <v>4073</v>
      </c>
      <c r="AR9" s="259" t="s">
        <v>4074</v>
      </c>
      <c r="AS9" s="790" t="s">
        <v>65</v>
      </c>
      <c r="AT9" s="1003" t="s">
        <v>4075</v>
      </c>
      <c r="AU9" s="259" t="s">
        <v>4076</v>
      </c>
      <c r="AV9" s="1004">
        <v>43586</v>
      </c>
      <c r="AW9" s="1004">
        <v>43615</v>
      </c>
      <c r="AX9" s="790" t="s">
        <v>4077</v>
      </c>
      <c r="AY9" s="262"/>
    </row>
    <row r="10" spans="1:1027" s="260" customFormat="1" ht="252" customHeight="1">
      <c r="A10" s="783" t="s">
        <v>1086</v>
      </c>
      <c r="B10" s="811" t="s">
        <v>2010</v>
      </c>
      <c r="C10" s="1317" t="s">
        <v>812</v>
      </c>
      <c r="D10" s="1318"/>
      <c r="E10" s="1319"/>
      <c r="F10" s="788" t="s">
        <v>99</v>
      </c>
      <c r="G10" s="1272" t="s">
        <v>1087</v>
      </c>
      <c r="H10" s="1273"/>
      <c r="I10" s="1274"/>
      <c r="J10" s="1320" t="s">
        <v>813</v>
      </c>
      <c r="K10" s="1320"/>
      <c r="L10" s="1320"/>
      <c r="M10" s="783" t="s">
        <v>8</v>
      </c>
      <c r="N10" s="783">
        <v>2</v>
      </c>
      <c r="O10" s="783" t="s">
        <v>684</v>
      </c>
      <c r="P10" s="783"/>
      <c r="Q10" s="789" t="s">
        <v>655</v>
      </c>
      <c r="R10" s="789" t="s">
        <v>643</v>
      </c>
      <c r="S10" s="301"/>
      <c r="T10" s="821">
        <f>VLOOKUP(Q10,[85]Listas!$D$6:$E$10,2,0)</f>
        <v>2</v>
      </c>
      <c r="U10" s="821">
        <f>HLOOKUP(R10,[85]Listas!$F$4:$J$5,2,0)</f>
        <v>2</v>
      </c>
      <c r="V10" s="814" t="str">
        <f>INDEX([85]Listas!$F$6:$J$10,MATCH(Q10,[85]Listas!$D$6:$D$10,0),MATCH(R10,[85]Listas!$F$4:$J$4,0))</f>
        <v>4
INFERIOR</v>
      </c>
      <c r="W10" s="301"/>
      <c r="X10" s="1272" t="s">
        <v>2513</v>
      </c>
      <c r="Y10" s="1273"/>
      <c r="Z10" s="1274"/>
      <c r="AA10" s="1069" t="s">
        <v>4200</v>
      </c>
      <c r="AB10" s="788" t="s">
        <v>99</v>
      </c>
      <c r="AC10" s="809" t="s">
        <v>2514</v>
      </c>
      <c r="AD10" s="783">
        <v>56</v>
      </c>
      <c r="AE10" s="788" t="s">
        <v>151</v>
      </c>
      <c r="AF10" s="499"/>
      <c r="AG10" s="806">
        <f t="shared" ref="AG10:AG17" si="0">IF(AD10&lt;=33,0,IF(AD10&gt;81,2,1))</f>
        <v>1</v>
      </c>
      <c r="AH10" s="298">
        <f t="shared" ref="AH10:AH17" si="1">IF(OR(AE10="Probabilidad",AE10="Ambos"),T10-AG10,T10)</f>
        <v>2</v>
      </c>
      <c r="AI10" s="792" t="str">
        <f>IF(AH10&lt;=1,"Remota",VLOOKUP(AH10,[85]Listas!$C$6:$D$10,2,0))</f>
        <v>Baja</v>
      </c>
      <c r="AJ10" s="298">
        <f t="shared" ref="AJ10:AJ17" si="2">IF(OR(AE10="Impacto",AE10="Ambos"),U10-AG10,U10)</f>
        <v>1</v>
      </c>
      <c r="AK10" s="792" t="str">
        <f>IF(AJ10&lt;=1,"Insignificante",HLOOKUP(AJ10,[85]Listas!$F$3:$J$4,2,0))</f>
        <v>Insignificante</v>
      </c>
      <c r="AL10" s="801">
        <f t="shared" ref="AL10:AL17" si="3">AH10*AJ10</f>
        <v>2</v>
      </c>
      <c r="AM10" s="793" t="str">
        <f>INDEX([85]Listas!$F$6:$J$10,MATCH(AI10,[85]Listas!$D$6:$D$10,0),MATCH(AK10,[85]Listas!$F$4:$J$4,0))</f>
        <v>2
INFERIOR</v>
      </c>
      <c r="AN10" s="259" t="s">
        <v>2515</v>
      </c>
      <c r="AO10" s="259" t="s">
        <v>2516</v>
      </c>
      <c r="AP10" s="794">
        <v>0</v>
      </c>
      <c r="AQ10" s="259" t="s">
        <v>4078</v>
      </c>
      <c r="AR10" s="259" t="s">
        <v>4079</v>
      </c>
      <c r="AS10" s="790" t="s">
        <v>65</v>
      </c>
      <c r="AT10" s="259" t="s">
        <v>4080</v>
      </c>
      <c r="AU10" s="259" t="s">
        <v>4081</v>
      </c>
      <c r="AV10" s="261">
        <v>43586</v>
      </c>
      <c r="AW10" s="261">
        <v>43646</v>
      </c>
      <c r="AX10" s="790" t="s">
        <v>4082</v>
      </c>
      <c r="AY10" s="262"/>
    </row>
    <row r="11" spans="1:1027" s="260" customFormat="1" ht="199.15" customHeight="1">
      <c r="A11" s="783" t="s">
        <v>1082</v>
      </c>
      <c r="B11" s="1112" t="s">
        <v>1029</v>
      </c>
      <c r="C11" s="1317" t="s">
        <v>729</v>
      </c>
      <c r="D11" s="1318"/>
      <c r="E11" s="1319"/>
      <c r="F11" s="788" t="s">
        <v>99</v>
      </c>
      <c r="G11" s="1272" t="s">
        <v>1088</v>
      </c>
      <c r="H11" s="1273"/>
      <c r="I11" s="1274"/>
      <c r="J11" s="1320" t="s">
        <v>1089</v>
      </c>
      <c r="K11" s="1320"/>
      <c r="L11" s="1320"/>
      <c r="M11" s="783"/>
      <c r="N11" s="783">
        <v>2</v>
      </c>
      <c r="O11" s="783" t="s">
        <v>8</v>
      </c>
      <c r="P11" s="783"/>
      <c r="Q11" s="789" t="s">
        <v>655</v>
      </c>
      <c r="R11" s="789" t="s">
        <v>643</v>
      </c>
      <c r="S11" s="301"/>
      <c r="T11" s="821">
        <f>VLOOKUP(Q11,[85]Listas!$D$6:$E$10,2,0)</f>
        <v>2</v>
      </c>
      <c r="U11" s="821">
        <f>HLOOKUP(R11,[85]Listas!$F$4:$J$5,2,0)</f>
        <v>2</v>
      </c>
      <c r="V11" s="814" t="str">
        <f>INDEX([85]Listas!$F$6:$J$10,MATCH(Q11,[85]Listas!$D$6:$D$10,0),MATCH(R11,[85]Listas!$F$4:$J$4,0))</f>
        <v>4
INFERIOR</v>
      </c>
      <c r="W11" s="301"/>
      <c r="X11" s="1272" t="s">
        <v>1090</v>
      </c>
      <c r="Y11" s="1273"/>
      <c r="Z11" s="1274"/>
      <c r="AA11" s="1069" t="s">
        <v>4201</v>
      </c>
      <c r="AB11" s="788" t="s">
        <v>28</v>
      </c>
      <c r="AC11" s="809" t="s">
        <v>977</v>
      </c>
      <c r="AD11" s="783">
        <v>70</v>
      </c>
      <c r="AE11" s="788" t="s">
        <v>152</v>
      </c>
      <c r="AF11" s="499"/>
      <c r="AG11" s="806">
        <f t="shared" si="0"/>
        <v>1</v>
      </c>
      <c r="AH11" s="298">
        <f t="shared" si="1"/>
        <v>1</v>
      </c>
      <c r="AI11" s="792" t="str">
        <f>IF(AH11&lt;=1,"Remota",VLOOKUP(AH11,[85]Listas!$C$6:$D$10,2,0))</f>
        <v>Remota</v>
      </c>
      <c r="AJ11" s="298">
        <f t="shared" si="2"/>
        <v>1</v>
      </c>
      <c r="AK11" s="792" t="str">
        <f>IF(AJ11&lt;=1,"Insignificante",HLOOKUP(AJ11,[85]Listas!$F$3:$J$4,2,0))</f>
        <v>Insignificante</v>
      </c>
      <c r="AL11" s="801">
        <f t="shared" si="3"/>
        <v>1</v>
      </c>
      <c r="AM11" s="793" t="str">
        <f>INDEX([85]Listas!$F$6:$J$10,MATCH(AI11,[85]Listas!$D$6:$D$10,0),MATCH(AK11,[85]Listas!$F$4:$J$4,0))</f>
        <v>1
INFERIOR</v>
      </c>
      <c r="AN11" s="259" t="s">
        <v>2517</v>
      </c>
      <c r="AO11" s="259" t="s">
        <v>2518</v>
      </c>
      <c r="AP11" s="794">
        <v>0</v>
      </c>
      <c r="AQ11" s="259" t="s">
        <v>3245</v>
      </c>
      <c r="AR11" s="259" t="s">
        <v>2343</v>
      </c>
      <c r="AS11" s="790" t="s">
        <v>36</v>
      </c>
      <c r="AT11" s="259"/>
      <c r="AU11" s="259"/>
      <c r="AV11" s="261"/>
      <c r="AW11" s="261"/>
      <c r="AX11" s="790"/>
      <c r="AY11" s="262"/>
    </row>
    <row r="12" spans="1:1027" s="260" customFormat="1" ht="103.5" hidden="1" customHeight="1">
      <c r="A12" s="783"/>
      <c r="B12" s="789"/>
      <c r="C12" s="1342"/>
      <c r="D12" s="1343"/>
      <c r="E12" s="1344"/>
      <c r="F12" s="788"/>
      <c r="G12" s="1342"/>
      <c r="H12" s="1343"/>
      <c r="I12" s="1344"/>
      <c r="J12" s="1272"/>
      <c r="K12" s="1273"/>
      <c r="L12" s="1274"/>
      <c r="M12" s="783"/>
      <c r="N12" s="783"/>
      <c r="O12" s="783"/>
      <c r="P12" s="783"/>
      <c r="Q12" s="789"/>
      <c r="R12" s="789"/>
      <c r="S12" s="301"/>
      <c r="T12" s="821" t="e">
        <f>VLOOKUP(Q12,[85]Listas!$D$6:$E$10,2,0)</f>
        <v>#N/A</v>
      </c>
      <c r="U12" s="821" t="e">
        <f>HLOOKUP(R12,[85]Listas!$F$4:$J$5,2,0)</f>
        <v>#N/A</v>
      </c>
      <c r="V12" s="814" t="e">
        <f>INDEX([85]Listas!$F$6:$J$10,MATCH(Q12,[85]Listas!$D$6:$D$10,0),MATCH(R12,[85]Listas!$F$4:$J$4,0))</f>
        <v>#N/A</v>
      </c>
      <c r="W12" s="301"/>
      <c r="X12" s="1342"/>
      <c r="Y12" s="1343"/>
      <c r="Z12" s="1344"/>
      <c r="AA12" s="1071"/>
      <c r="AB12" s="788"/>
      <c r="AC12" s="809"/>
      <c r="AD12" s="783"/>
      <c r="AE12" s="788"/>
      <c r="AF12" s="301"/>
      <c r="AG12" s="821">
        <f t="shared" si="0"/>
        <v>0</v>
      </c>
      <c r="AH12" s="323" t="e">
        <f t="shared" si="1"/>
        <v>#N/A</v>
      </c>
      <c r="AI12" s="822" t="e">
        <f>IF(AH12&lt;=1,"Remota",VLOOKUP(AH12,[85]Listas!$C$6:$D$10,2,0))</f>
        <v>#N/A</v>
      </c>
      <c r="AJ12" s="323" t="e">
        <f t="shared" si="2"/>
        <v>#N/A</v>
      </c>
      <c r="AK12" s="822" t="e">
        <f>IF(AJ12&lt;=1,"Insignificante",HLOOKUP(AJ12,[85]Listas!$F$3:$J$4,2,0))</f>
        <v>#N/A</v>
      </c>
      <c r="AL12" s="823" t="e">
        <f t="shared" si="3"/>
        <v>#N/A</v>
      </c>
      <c r="AM12" s="814" t="e">
        <f>INDEX([85]Listas!$F$6:$J$10,MATCH(AI12,[85]Listas!$D$6:$D$10,0),MATCH(AK12,[85]Listas!$F$4:$J$4,0))</f>
        <v>#N/A</v>
      </c>
      <c r="AN12" s="259"/>
      <c r="AO12" s="259"/>
      <c r="AP12" s="794"/>
      <c r="AQ12" s="259"/>
      <c r="AR12" s="259" t="s">
        <v>2343</v>
      </c>
      <c r="AS12" s="790"/>
      <c r="AT12" s="259"/>
      <c r="AU12" s="259"/>
      <c r="AV12" s="261"/>
      <c r="AW12" s="261"/>
      <c r="AX12" s="790"/>
      <c r="AY12" s="262"/>
    </row>
    <row r="13" spans="1:1027" s="260" customFormat="1" ht="103.5" hidden="1" customHeight="1">
      <c r="A13" s="783"/>
      <c r="B13" s="789"/>
      <c r="C13" s="1342"/>
      <c r="D13" s="1343"/>
      <c r="E13" s="1344"/>
      <c r="F13" s="788"/>
      <c r="G13" s="1342"/>
      <c r="H13" s="1343"/>
      <c r="I13" s="1344"/>
      <c r="J13" s="1272"/>
      <c r="K13" s="1273"/>
      <c r="L13" s="1274"/>
      <c r="M13" s="783"/>
      <c r="N13" s="783"/>
      <c r="O13" s="783"/>
      <c r="P13" s="783"/>
      <c r="Q13" s="789"/>
      <c r="R13" s="789"/>
      <c r="S13" s="301"/>
      <c r="T13" s="821" t="e">
        <f>VLOOKUP(Q13,[85]Listas!$D$6:$E$10,2,0)</f>
        <v>#N/A</v>
      </c>
      <c r="U13" s="821" t="e">
        <f>HLOOKUP(R13,[85]Listas!$F$4:$J$5,2,0)</f>
        <v>#N/A</v>
      </c>
      <c r="V13" s="814" t="e">
        <f>INDEX([85]Listas!$F$6:$J$10,MATCH(Q13,[85]Listas!$D$6:$D$10,0),MATCH(R13,[85]Listas!$F$4:$J$4,0))</f>
        <v>#N/A</v>
      </c>
      <c r="W13" s="301"/>
      <c r="X13" s="1342"/>
      <c r="Y13" s="1343"/>
      <c r="Z13" s="1344"/>
      <c r="AA13" s="1071"/>
      <c r="AB13" s="788"/>
      <c r="AC13" s="809"/>
      <c r="AD13" s="783"/>
      <c r="AE13" s="788"/>
      <c r="AF13" s="301"/>
      <c r="AG13" s="821">
        <f t="shared" si="0"/>
        <v>0</v>
      </c>
      <c r="AH13" s="323" t="e">
        <f t="shared" si="1"/>
        <v>#N/A</v>
      </c>
      <c r="AI13" s="822" t="e">
        <f>IF(AH13&lt;=1,"Remota",VLOOKUP(AH13,[85]Listas!$C$6:$D$10,2,0))</f>
        <v>#N/A</v>
      </c>
      <c r="AJ13" s="323" t="e">
        <f t="shared" si="2"/>
        <v>#N/A</v>
      </c>
      <c r="AK13" s="822" t="e">
        <f>IF(AJ13&lt;=1,"Insignificante",HLOOKUP(AJ13,[85]Listas!$F$3:$J$4,2,0))</f>
        <v>#N/A</v>
      </c>
      <c r="AL13" s="823" t="e">
        <f t="shared" si="3"/>
        <v>#N/A</v>
      </c>
      <c r="AM13" s="814" t="e">
        <f>INDEX([85]Listas!$F$6:$J$10,MATCH(AI13,[85]Listas!$D$6:$D$10,0),MATCH(AK13,[85]Listas!$F$4:$J$4,0))</f>
        <v>#N/A</v>
      </c>
      <c r="AN13" s="259"/>
      <c r="AO13" s="259"/>
      <c r="AP13" s="794"/>
      <c r="AQ13" s="259"/>
      <c r="AR13" s="259" t="s">
        <v>2343</v>
      </c>
      <c r="AS13" s="790"/>
      <c r="AT13" s="259"/>
      <c r="AU13" s="259"/>
      <c r="AV13" s="261"/>
      <c r="AW13" s="261"/>
      <c r="AX13" s="790"/>
      <c r="AY13" s="262"/>
    </row>
    <row r="14" spans="1:1027" s="260" customFormat="1" ht="103.5" hidden="1" customHeight="1">
      <c r="A14" s="790"/>
      <c r="B14" s="266"/>
      <c r="C14" s="1399"/>
      <c r="D14" s="1408"/>
      <c r="E14" s="1400"/>
      <c r="F14" s="267"/>
      <c r="G14" s="1399"/>
      <c r="H14" s="1408"/>
      <c r="I14" s="1400"/>
      <c r="J14" s="1380"/>
      <c r="K14" s="1380"/>
      <c r="L14" s="1380"/>
      <c r="M14" s="790"/>
      <c r="N14" s="790"/>
      <c r="O14" s="790"/>
      <c r="P14" s="790"/>
      <c r="Q14" s="266"/>
      <c r="R14" s="266"/>
      <c r="S14" s="268"/>
      <c r="T14" s="269" t="e">
        <f>VLOOKUP(Q14,[71]Listas!$D$6:$E$10,2,0)</f>
        <v>#N/A</v>
      </c>
      <c r="U14" s="269" t="e">
        <f>HLOOKUP(R14,[71]Listas!$F$4:$J$5,2,0)</f>
        <v>#N/A</v>
      </c>
      <c r="V14" s="270" t="e">
        <f>INDEX([71]Listas!$F$6:$J$10,MATCH(Q14,[71]Listas!$D$6:$D$10,0),MATCH(R14,[71]Listas!$F$4:$J$4,0))</f>
        <v>#N/A</v>
      </c>
      <c r="W14" s="268"/>
      <c r="X14" s="1399"/>
      <c r="Y14" s="1408"/>
      <c r="Z14" s="1400"/>
      <c r="AA14" s="1063"/>
      <c r="AB14" s="267"/>
      <c r="AC14" s="259"/>
      <c r="AD14" s="790"/>
      <c r="AE14" s="267"/>
      <c r="AF14" s="268"/>
      <c r="AG14" s="269">
        <f t="shared" si="0"/>
        <v>0</v>
      </c>
      <c r="AH14" s="271" t="e">
        <f t="shared" si="1"/>
        <v>#N/A</v>
      </c>
      <c r="AI14" s="272" t="e">
        <f>IF(AH14&lt;=1,"Remota",VLOOKUP(AH14,[71]Listas!$C$6:$D$10,2,0))</f>
        <v>#N/A</v>
      </c>
      <c r="AJ14" s="271" t="e">
        <f t="shared" si="2"/>
        <v>#N/A</v>
      </c>
      <c r="AK14" s="272" t="e">
        <f>IF(AJ14&lt;=1,"Insignificante",HLOOKUP(AJ14,[71]Listas!$F$3:$J$4,2,0))</f>
        <v>#N/A</v>
      </c>
      <c r="AL14" s="273" t="e">
        <f t="shared" si="3"/>
        <v>#N/A</v>
      </c>
      <c r="AM14" s="270" t="e">
        <f>INDEX([71]Listas!$F$6:$J$10,MATCH(AI14,[71]Listas!$D$6:$D$10,0),MATCH(AK14,[71]Listas!$F$4:$J$4,0))</f>
        <v>#N/A</v>
      </c>
      <c r="AN14" s="259"/>
      <c r="AO14" s="259"/>
      <c r="AP14" s="794"/>
      <c r="AQ14" s="259"/>
      <c r="AR14" s="259" t="s">
        <v>2343</v>
      </c>
      <c r="AS14" s="790"/>
      <c r="AT14" s="259"/>
      <c r="AU14" s="259"/>
      <c r="AV14" s="261"/>
      <c r="AW14" s="261"/>
      <c r="AX14" s="790"/>
      <c r="AY14" s="262"/>
    </row>
    <row r="15" spans="1:1027" s="260" customFormat="1" ht="103.5" hidden="1" customHeight="1">
      <c r="A15" s="790"/>
      <c r="B15" s="266"/>
      <c r="C15" s="1399"/>
      <c r="D15" s="1408"/>
      <c r="E15" s="1400"/>
      <c r="F15" s="267"/>
      <c r="G15" s="1399"/>
      <c r="H15" s="1408"/>
      <c r="I15" s="1400"/>
      <c r="J15" s="1380"/>
      <c r="K15" s="1380"/>
      <c r="L15" s="1380"/>
      <c r="M15" s="790"/>
      <c r="N15" s="790"/>
      <c r="O15" s="790"/>
      <c r="P15" s="790"/>
      <c r="Q15" s="266"/>
      <c r="R15" s="266"/>
      <c r="S15" s="268"/>
      <c r="T15" s="269" t="e">
        <f>VLOOKUP(Q15,[71]Listas!$D$6:$E$10,2,0)</f>
        <v>#N/A</v>
      </c>
      <c r="U15" s="269" t="e">
        <f>HLOOKUP(R15,[71]Listas!$F$4:$J$5,2,0)</f>
        <v>#N/A</v>
      </c>
      <c r="V15" s="270" t="e">
        <f>INDEX([71]Listas!$F$6:$J$10,MATCH(Q15,[71]Listas!$D$6:$D$10,0),MATCH(R15,[71]Listas!$F$4:$J$4,0))</f>
        <v>#N/A</v>
      </c>
      <c r="W15" s="268"/>
      <c r="X15" s="1399"/>
      <c r="Y15" s="1408"/>
      <c r="Z15" s="1400"/>
      <c r="AA15" s="1063"/>
      <c r="AB15" s="267"/>
      <c r="AC15" s="259"/>
      <c r="AD15" s="790"/>
      <c r="AE15" s="267"/>
      <c r="AF15" s="268"/>
      <c r="AG15" s="269">
        <f t="shared" si="0"/>
        <v>0</v>
      </c>
      <c r="AH15" s="271" t="e">
        <f t="shared" si="1"/>
        <v>#N/A</v>
      </c>
      <c r="AI15" s="272" t="e">
        <f>IF(AH15&lt;=1,"Remota",VLOOKUP(AH15,[71]Listas!$C$6:$D$10,2,0))</f>
        <v>#N/A</v>
      </c>
      <c r="AJ15" s="271" t="e">
        <f t="shared" si="2"/>
        <v>#N/A</v>
      </c>
      <c r="AK15" s="272" t="e">
        <f>IF(AJ15&lt;=1,"Insignificante",HLOOKUP(AJ15,[71]Listas!$F$3:$J$4,2,0))</f>
        <v>#N/A</v>
      </c>
      <c r="AL15" s="273" t="e">
        <f t="shared" si="3"/>
        <v>#N/A</v>
      </c>
      <c r="AM15" s="270" t="e">
        <f>INDEX([71]Listas!$F$6:$J$10,MATCH(AI15,[71]Listas!$D$6:$D$10,0),MATCH(AK15,[71]Listas!$F$4:$J$4,0))</f>
        <v>#N/A</v>
      </c>
      <c r="AN15" s="259"/>
      <c r="AO15" s="259"/>
      <c r="AP15" s="794"/>
      <c r="AQ15" s="259"/>
      <c r="AR15" s="259" t="s">
        <v>2343</v>
      </c>
      <c r="AS15" s="790"/>
      <c r="AT15" s="259"/>
      <c r="AU15" s="259"/>
      <c r="AV15" s="261"/>
      <c r="AW15" s="261"/>
      <c r="AX15" s="790"/>
      <c r="AY15" s="262"/>
    </row>
    <row r="16" spans="1:1027" s="260" customFormat="1" ht="103.5" hidden="1" customHeight="1">
      <c r="A16" s="790"/>
      <c r="B16" s="266"/>
      <c r="C16" s="1399"/>
      <c r="D16" s="1408"/>
      <c r="E16" s="1400"/>
      <c r="F16" s="267"/>
      <c r="G16" s="1399"/>
      <c r="H16" s="1408"/>
      <c r="I16" s="1400"/>
      <c r="J16" s="1380"/>
      <c r="K16" s="1380"/>
      <c r="L16" s="1380"/>
      <c r="M16" s="790"/>
      <c r="N16" s="790"/>
      <c r="O16" s="790"/>
      <c r="P16" s="790"/>
      <c r="Q16" s="266"/>
      <c r="R16" s="266"/>
      <c r="S16" s="268"/>
      <c r="T16" s="269" t="e">
        <f>VLOOKUP(Q16,[71]Listas!$D$6:$E$10,2,0)</f>
        <v>#N/A</v>
      </c>
      <c r="U16" s="269" t="e">
        <f>HLOOKUP(R16,[71]Listas!$F$4:$J$5,2,0)</f>
        <v>#N/A</v>
      </c>
      <c r="V16" s="270" t="e">
        <f>INDEX([71]Listas!$F$6:$J$10,MATCH(Q16,[71]Listas!$D$6:$D$10,0),MATCH(R16,[71]Listas!$F$4:$J$4,0))</f>
        <v>#N/A</v>
      </c>
      <c r="W16" s="268"/>
      <c r="X16" s="1399"/>
      <c r="Y16" s="1408"/>
      <c r="Z16" s="1400"/>
      <c r="AA16" s="1063"/>
      <c r="AB16" s="267"/>
      <c r="AC16" s="259"/>
      <c r="AD16" s="790"/>
      <c r="AE16" s="267"/>
      <c r="AF16" s="268"/>
      <c r="AG16" s="269">
        <f t="shared" si="0"/>
        <v>0</v>
      </c>
      <c r="AH16" s="271" t="e">
        <f t="shared" si="1"/>
        <v>#N/A</v>
      </c>
      <c r="AI16" s="272" t="e">
        <f>IF(AH16&lt;=1,"Remota",VLOOKUP(AH16,[71]Listas!$C$6:$D$10,2,0))</f>
        <v>#N/A</v>
      </c>
      <c r="AJ16" s="271" t="e">
        <f t="shared" si="2"/>
        <v>#N/A</v>
      </c>
      <c r="AK16" s="272" t="e">
        <f>IF(AJ16&lt;=1,"Insignificante",HLOOKUP(AJ16,[71]Listas!$F$3:$J$4,2,0))</f>
        <v>#N/A</v>
      </c>
      <c r="AL16" s="273" t="e">
        <f t="shared" si="3"/>
        <v>#N/A</v>
      </c>
      <c r="AM16" s="270" t="e">
        <f>INDEX([71]Listas!$F$6:$J$10,MATCH(AI16,[71]Listas!$D$6:$D$10,0),MATCH(AK16,[71]Listas!$F$4:$J$4,0))</f>
        <v>#N/A</v>
      </c>
      <c r="AN16" s="259"/>
      <c r="AO16" s="259"/>
      <c r="AP16" s="794"/>
      <c r="AQ16" s="259"/>
      <c r="AR16" s="259" t="s">
        <v>2343</v>
      </c>
      <c r="AS16" s="790"/>
      <c r="AT16" s="259"/>
      <c r="AU16" s="259"/>
      <c r="AV16" s="261"/>
      <c r="AW16" s="261"/>
      <c r="AX16" s="790"/>
      <c r="AY16" s="262"/>
    </row>
    <row r="17" spans="1:51" s="260" customFormat="1" ht="103.5" hidden="1" customHeight="1">
      <c r="A17" s="790"/>
      <c r="B17" s="266"/>
      <c r="C17" s="1399"/>
      <c r="D17" s="1408"/>
      <c r="E17" s="1400"/>
      <c r="F17" s="267"/>
      <c r="G17" s="1399"/>
      <c r="H17" s="1408"/>
      <c r="I17" s="1400"/>
      <c r="J17" s="1380"/>
      <c r="K17" s="1380"/>
      <c r="L17" s="1380"/>
      <c r="M17" s="790"/>
      <c r="N17" s="790"/>
      <c r="O17" s="790"/>
      <c r="P17" s="790"/>
      <c r="Q17" s="266"/>
      <c r="R17" s="266"/>
      <c r="S17" s="268"/>
      <c r="T17" s="269" t="e">
        <f>VLOOKUP(Q17,[71]Listas!$D$6:$E$10,2,0)</f>
        <v>#N/A</v>
      </c>
      <c r="U17" s="269" t="e">
        <f>HLOOKUP(R17,[71]Listas!$F$4:$J$5,2,0)</f>
        <v>#N/A</v>
      </c>
      <c r="V17" s="270" t="e">
        <f>INDEX([71]Listas!$F$6:$J$10,MATCH(Q17,[71]Listas!$D$6:$D$10,0),MATCH(R17,[71]Listas!$F$4:$J$4,0))</f>
        <v>#N/A</v>
      </c>
      <c r="W17" s="268"/>
      <c r="X17" s="1399"/>
      <c r="Y17" s="1408"/>
      <c r="Z17" s="1400"/>
      <c r="AA17" s="1063"/>
      <c r="AB17" s="267"/>
      <c r="AC17" s="259"/>
      <c r="AD17" s="790"/>
      <c r="AE17" s="267"/>
      <c r="AF17" s="268"/>
      <c r="AG17" s="269">
        <f t="shared" si="0"/>
        <v>0</v>
      </c>
      <c r="AH17" s="271" t="e">
        <f t="shared" si="1"/>
        <v>#N/A</v>
      </c>
      <c r="AI17" s="272" t="e">
        <f>IF(AH17&lt;=1,"Remota",VLOOKUP(AH17,[71]Listas!$C$6:$D$10,2,0))</f>
        <v>#N/A</v>
      </c>
      <c r="AJ17" s="271" t="e">
        <f t="shared" si="2"/>
        <v>#N/A</v>
      </c>
      <c r="AK17" s="272" t="e">
        <f>IF(AJ17&lt;=1,"Insignificante",HLOOKUP(AJ17,[71]Listas!$F$3:$J$4,2,0))</f>
        <v>#N/A</v>
      </c>
      <c r="AL17" s="273" t="e">
        <f t="shared" si="3"/>
        <v>#N/A</v>
      </c>
      <c r="AM17" s="270" t="e">
        <f>INDEX([71]Listas!$F$6:$J$10,MATCH(AI17,[71]Listas!$D$6:$D$10,0),MATCH(AK17,[71]Listas!$F$4:$J$4,0))</f>
        <v>#N/A</v>
      </c>
      <c r="AN17" s="259"/>
      <c r="AO17" s="259"/>
      <c r="AP17" s="794"/>
      <c r="AQ17" s="259"/>
      <c r="AR17" s="259" t="s">
        <v>2343</v>
      </c>
      <c r="AS17" s="790"/>
      <c r="AT17" s="259"/>
      <c r="AU17" s="259"/>
      <c r="AV17" s="261"/>
      <c r="AW17" s="261"/>
      <c r="AX17" s="790"/>
      <c r="AY17" s="262"/>
    </row>
    <row r="18" spans="1:51" s="260" customFormat="1" ht="103.5" hidden="1" customHeight="1">
      <c r="A18" s="790"/>
      <c r="B18" s="266"/>
      <c r="C18" s="1399"/>
      <c r="D18" s="1408"/>
      <c r="E18" s="1400"/>
      <c r="F18" s="266"/>
      <c r="G18" s="1399"/>
      <c r="H18" s="1408"/>
      <c r="I18" s="1400"/>
      <c r="J18" s="1380"/>
      <c r="K18" s="1380"/>
      <c r="L18" s="1380"/>
      <c r="M18" s="790"/>
      <c r="N18" s="790"/>
      <c r="O18" s="790"/>
      <c r="P18" s="790"/>
      <c r="Q18" s="266"/>
      <c r="R18" s="266"/>
      <c r="S18" s="268"/>
      <c r="T18" s="269" t="e">
        <f>VLOOKUP(Q18,[71]Listas!$D$6:$E$10,2,0)</f>
        <v>#N/A</v>
      </c>
      <c r="U18" s="269" t="e">
        <f>HLOOKUP(R18,[71]Listas!$F$4:$J$5,2,0)</f>
        <v>#N/A</v>
      </c>
      <c r="V18" s="270" t="e">
        <f>INDEX([71]Listas!$F$6:$J$10,MATCH(Q18,[71]Listas!$D$6:$D$10,0),MATCH(R18,[71]Listas!$F$4:$J$4,0))</f>
        <v>#N/A</v>
      </c>
      <c r="W18" s="268"/>
      <c r="X18" s="1399"/>
      <c r="Y18" s="1408"/>
      <c r="Z18" s="1400"/>
      <c r="AA18" s="1063"/>
      <c r="AB18" s="267"/>
      <c r="AC18" s="259"/>
      <c r="AD18" s="790"/>
      <c r="AE18" s="267"/>
      <c r="AF18" s="268"/>
      <c r="AG18" s="269">
        <f>IF(AD18&lt;=33,0,IF(AD18&gt;81,2,1))</f>
        <v>0</v>
      </c>
      <c r="AH18" s="271" t="e">
        <f>IF(OR(AE18="Probabilidad",AE18="Ambos"),T18-AG18,T18)</f>
        <v>#N/A</v>
      </c>
      <c r="AI18" s="272" t="e">
        <f>IF(AH18&lt;=1,"Remota",VLOOKUP(AH18,[71]Listas!$C$6:$D$10,2,0))</f>
        <v>#N/A</v>
      </c>
      <c r="AJ18" s="271" t="e">
        <f>IF(OR(AE18="Impacto",AE18="Ambos"),U18-AG18,U18)</f>
        <v>#N/A</v>
      </c>
      <c r="AK18" s="272" t="e">
        <f>IF(AJ18&lt;=1,"Insignificante",HLOOKUP(AJ18,[71]Listas!$F$3:$J$4,2,0))</f>
        <v>#N/A</v>
      </c>
      <c r="AL18" s="273" t="e">
        <f>AH18*AJ18</f>
        <v>#N/A</v>
      </c>
      <c r="AM18" s="270" t="e">
        <f>INDEX([71]Listas!$F$6:$J$10,MATCH(AI18,[71]Listas!$D$6:$D$10,0),MATCH(AK18,[71]Listas!$F$4:$J$4,0))</f>
        <v>#N/A</v>
      </c>
      <c r="AN18" s="259"/>
      <c r="AO18" s="259"/>
      <c r="AP18" s="794"/>
      <c r="AQ18" s="259"/>
      <c r="AR18" s="259" t="s">
        <v>2343</v>
      </c>
      <c r="AS18" s="790"/>
      <c r="AU18" s="259"/>
      <c r="AV18" s="261"/>
      <c r="AW18" s="261"/>
      <c r="AX18" s="790"/>
      <c r="AY18" s="262"/>
    </row>
    <row r="19" spans="1:51" s="260" customFormat="1" ht="103.5" hidden="1" customHeight="1">
      <c r="A19" s="790"/>
      <c r="B19" s="266"/>
      <c r="C19" s="1399"/>
      <c r="D19" s="1408"/>
      <c r="E19" s="1400"/>
      <c r="F19" s="267"/>
      <c r="G19" s="1399"/>
      <c r="H19" s="1408"/>
      <c r="I19" s="1400"/>
      <c r="J19" s="1380"/>
      <c r="K19" s="1380"/>
      <c r="L19" s="1380"/>
      <c r="M19" s="790"/>
      <c r="N19" s="790"/>
      <c r="O19" s="790"/>
      <c r="P19" s="790"/>
      <c r="Q19" s="266"/>
      <c r="R19" s="266"/>
      <c r="S19" s="268"/>
      <c r="T19" s="269" t="e">
        <f>VLOOKUP(Q19,[71]Listas!$D$6:$E$10,2,0)</f>
        <v>#N/A</v>
      </c>
      <c r="U19" s="269" t="e">
        <f>HLOOKUP(R19,[71]Listas!$F$4:$J$5,2,0)</f>
        <v>#N/A</v>
      </c>
      <c r="V19" s="270" t="e">
        <f>INDEX([71]Listas!$F$6:$J$10,MATCH(Q19,[71]Listas!$D$6:$D$10,0),MATCH(R19,[71]Listas!$F$4:$J$4,0))</f>
        <v>#N/A</v>
      </c>
      <c r="W19" s="268"/>
      <c r="X19" s="1399"/>
      <c r="Y19" s="1408"/>
      <c r="Z19" s="1400"/>
      <c r="AA19" s="1063"/>
      <c r="AB19" s="267"/>
      <c r="AC19" s="259"/>
      <c r="AD19" s="790"/>
      <c r="AE19" s="267"/>
      <c r="AF19" s="268"/>
      <c r="AG19" s="269">
        <f t="shared" ref="AG19:AG39" si="4">IF(AD19&lt;=33,0,IF(AD19&gt;81,2,1))</f>
        <v>0</v>
      </c>
      <c r="AH19" s="271" t="e">
        <f t="shared" ref="AH19:AH39" si="5">IF(OR(AE19="Probabilidad",AE19="Ambos"),T19-AG19,T19)</f>
        <v>#N/A</v>
      </c>
      <c r="AI19" s="272" t="e">
        <f>IF(AH19&lt;=1,"Remota",VLOOKUP(AH19,[71]Listas!$C$6:$D$10,2,0))</f>
        <v>#N/A</v>
      </c>
      <c r="AJ19" s="271" t="e">
        <f t="shared" ref="AJ19:AJ39" si="6">IF(OR(AE19="Impacto",AE19="Ambos"),U19-AG19,U19)</f>
        <v>#N/A</v>
      </c>
      <c r="AK19" s="272" t="e">
        <f>IF(AJ19&lt;=1,"Insignificante",HLOOKUP(AJ19,[71]Listas!$F$3:$J$4,2,0))</f>
        <v>#N/A</v>
      </c>
      <c r="AL19" s="273" t="e">
        <f t="shared" ref="AL19:AL39" si="7">AH19*AJ19</f>
        <v>#N/A</v>
      </c>
      <c r="AM19" s="270" t="e">
        <f>INDEX([71]Listas!$F$6:$J$10,MATCH(AI19,[71]Listas!$D$6:$D$10,0),MATCH(AK19,[71]Listas!$F$4:$J$4,0))</f>
        <v>#N/A</v>
      </c>
      <c r="AN19" s="259"/>
      <c r="AO19" s="259"/>
      <c r="AP19" s="794"/>
      <c r="AQ19" s="259"/>
      <c r="AR19" s="259" t="s">
        <v>2343</v>
      </c>
      <c r="AS19" s="790"/>
      <c r="AT19" s="259"/>
      <c r="AU19" s="259"/>
      <c r="AV19" s="261"/>
      <c r="AW19" s="261"/>
      <c r="AX19" s="790"/>
      <c r="AY19" s="262"/>
    </row>
    <row r="20" spans="1:51" s="260" customFormat="1" ht="103.5" hidden="1" customHeight="1">
      <c r="A20" s="790"/>
      <c r="B20" s="266"/>
      <c r="C20" s="1399"/>
      <c r="D20" s="1408"/>
      <c r="E20" s="1400"/>
      <c r="F20" s="267"/>
      <c r="G20" s="1399"/>
      <c r="H20" s="1408"/>
      <c r="I20" s="1400"/>
      <c r="J20" s="1380"/>
      <c r="K20" s="1380"/>
      <c r="L20" s="1380"/>
      <c r="M20" s="790"/>
      <c r="N20" s="790"/>
      <c r="O20" s="790"/>
      <c r="P20" s="790"/>
      <c r="Q20" s="266"/>
      <c r="R20" s="266"/>
      <c r="S20" s="268"/>
      <c r="T20" s="269" t="e">
        <f>VLOOKUP(Q20,[71]Listas!$D$6:$E$10,2,0)</f>
        <v>#N/A</v>
      </c>
      <c r="U20" s="269" t="e">
        <f>HLOOKUP(R20,[71]Listas!$F$4:$J$5,2,0)</f>
        <v>#N/A</v>
      </c>
      <c r="V20" s="270" t="e">
        <f>INDEX([71]Listas!$F$6:$J$10,MATCH(Q20,[71]Listas!$D$6:$D$10,0),MATCH(R20,[71]Listas!$F$4:$J$4,0))</f>
        <v>#N/A</v>
      </c>
      <c r="W20" s="268"/>
      <c r="X20" s="1399"/>
      <c r="Y20" s="1408"/>
      <c r="Z20" s="1400"/>
      <c r="AA20" s="1063"/>
      <c r="AB20" s="267"/>
      <c r="AC20" s="259"/>
      <c r="AD20" s="790"/>
      <c r="AE20" s="267"/>
      <c r="AF20" s="268"/>
      <c r="AG20" s="269">
        <f t="shared" si="4"/>
        <v>0</v>
      </c>
      <c r="AH20" s="271" t="e">
        <f t="shared" si="5"/>
        <v>#N/A</v>
      </c>
      <c r="AI20" s="272" t="e">
        <f>IF(AH20&lt;=1,"Remota",VLOOKUP(AH20,[71]Listas!$C$6:$D$10,2,0))</f>
        <v>#N/A</v>
      </c>
      <c r="AJ20" s="271" t="e">
        <f t="shared" si="6"/>
        <v>#N/A</v>
      </c>
      <c r="AK20" s="272" t="e">
        <f>IF(AJ20&lt;=1,"Insignificante",HLOOKUP(AJ20,[71]Listas!$F$3:$J$4,2,0))</f>
        <v>#N/A</v>
      </c>
      <c r="AL20" s="273" t="e">
        <f t="shared" si="7"/>
        <v>#N/A</v>
      </c>
      <c r="AM20" s="270" t="e">
        <f>INDEX([71]Listas!$F$6:$J$10,MATCH(AI20,[71]Listas!$D$6:$D$10,0),MATCH(AK20,[71]Listas!$F$4:$J$4,0))</f>
        <v>#N/A</v>
      </c>
      <c r="AN20" s="259"/>
      <c r="AO20" s="259"/>
      <c r="AP20" s="794"/>
      <c r="AQ20" s="259"/>
      <c r="AR20" s="259" t="s">
        <v>2343</v>
      </c>
      <c r="AS20" s="790"/>
      <c r="AT20" s="259"/>
      <c r="AU20" s="259"/>
      <c r="AV20" s="261"/>
      <c r="AW20" s="261"/>
      <c r="AX20" s="790"/>
      <c r="AY20" s="262"/>
    </row>
    <row r="21" spans="1:51" s="260" customFormat="1" ht="103.5" hidden="1" customHeight="1">
      <c r="A21" s="790"/>
      <c r="B21" s="266"/>
      <c r="C21" s="1399"/>
      <c r="D21" s="1408"/>
      <c r="E21" s="1400"/>
      <c r="F21" s="267"/>
      <c r="G21" s="1399"/>
      <c r="H21" s="1408"/>
      <c r="I21" s="1400"/>
      <c r="J21" s="1380"/>
      <c r="K21" s="1380"/>
      <c r="L21" s="1380"/>
      <c r="M21" s="790"/>
      <c r="N21" s="790"/>
      <c r="O21" s="790"/>
      <c r="P21" s="790"/>
      <c r="Q21" s="266"/>
      <c r="R21" s="266"/>
      <c r="S21" s="268"/>
      <c r="T21" s="269" t="e">
        <f>VLOOKUP(Q21,[71]Listas!$D$6:$E$10,2,0)</f>
        <v>#N/A</v>
      </c>
      <c r="U21" s="269" t="e">
        <f>HLOOKUP(R21,[71]Listas!$F$4:$J$5,2,0)</f>
        <v>#N/A</v>
      </c>
      <c r="V21" s="270" t="e">
        <f>INDEX([71]Listas!$F$6:$J$10,MATCH(Q21,[71]Listas!$D$6:$D$10,0),MATCH(R21,[71]Listas!$F$4:$J$4,0))</f>
        <v>#N/A</v>
      </c>
      <c r="W21" s="268"/>
      <c r="X21" s="1399"/>
      <c r="Y21" s="1408"/>
      <c r="Z21" s="1400"/>
      <c r="AA21" s="1063"/>
      <c r="AB21" s="267"/>
      <c r="AC21" s="259"/>
      <c r="AD21" s="790"/>
      <c r="AE21" s="267"/>
      <c r="AF21" s="268"/>
      <c r="AG21" s="269">
        <f t="shared" si="4"/>
        <v>0</v>
      </c>
      <c r="AH21" s="271" t="e">
        <f t="shared" si="5"/>
        <v>#N/A</v>
      </c>
      <c r="AI21" s="272" t="e">
        <f>IF(AH21&lt;=1,"Remota",VLOOKUP(AH21,[71]Listas!$C$6:$D$10,2,0))</f>
        <v>#N/A</v>
      </c>
      <c r="AJ21" s="271" t="e">
        <f t="shared" si="6"/>
        <v>#N/A</v>
      </c>
      <c r="AK21" s="272" t="e">
        <f>IF(AJ21&lt;=1,"Insignificante",HLOOKUP(AJ21,[71]Listas!$F$3:$J$4,2,0))</f>
        <v>#N/A</v>
      </c>
      <c r="AL21" s="273" t="e">
        <f t="shared" si="7"/>
        <v>#N/A</v>
      </c>
      <c r="AM21" s="270" t="e">
        <f>INDEX([71]Listas!$F$6:$J$10,MATCH(AI21,[71]Listas!$D$6:$D$10,0),MATCH(AK21,[71]Listas!$F$4:$J$4,0))</f>
        <v>#N/A</v>
      </c>
      <c r="AN21" s="259"/>
      <c r="AO21" s="259"/>
      <c r="AP21" s="794"/>
      <c r="AQ21" s="259"/>
      <c r="AR21" s="259" t="s">
        <v>2343</v>
      </c>
      <c r="AS21" s="790"/>
      <c r="AT21" s="259"/>
      <c r="AU21" s="259"/>
      <c r="AV21" s="261"/>
      <c r="AW21" s="261"/>
      <c r="AX21" s="790"/>
      <c r="AY21" s="262"/>
    </row>
    <row r="22" spans="1:51" s="260" customFormat="1" ht="103.5" hidden="1" customHeight="1">
      <c r="A22" s="790"/>
      <c r="B22" s="266"/>
      <c r="C22" s="1399"/>
      <c r="D22" s="1408"/>
      <c r="E22" s="1400"/>
      <c r="F22" s="267"/>
      <c r="G22" s="1399"/>
      <c r="H22" s="1408"/>
      <c r="I22" s="1400"/>
      <c r="J22" s="1380"/>
      <c r="K22" s="1380"/>
      <c r="L22" s="1380"/>
      <c r="M22" s="790"/>
      <c r="N22" s="790"/>
      <c r="O22" s="790"/>
      <c r="P22" s="790"/>
      <c r="Q22" s="266"/>
      <c r="R22" s="266"/>
      <c r="S22" s="268"/>
      <c r="T22" s="269" t="e">
        <f>VLOOKUP(Q22,[71]Listas!$D$6:$E$10,2,0)</f>
        <v>#N/A</v>
      </c>
      <c r="U22" s="269" t="e">
        <f>HLOOKUP(R22,[71]Listas!$F$4:$J$5,2,0)</f>
        <v>#N/A</v>
      </c>
      <c r="V22" s="270" t="e">
        <f>INDEX([71]Listas!$F$6:$J$10,MATCH(Q22,[71]Listas!$D$6:$D$10,0),MATCH(R22,[71]Listas!$F$4:$J$4,0))</f>
        <v>#N/A</v>
      </c>
      <c r="W22" s="268"/>
      <c r="X22" s="1399"/>
      <c r="Y22" s="1408"/>
      <c r="Z22" s="1400"/>
      <c r="AA22" s="1063"/>
      <c r="AB22" s="267"/>
      <c r="AC22" s="259"/>
      <c r="AD22" s="790"/>
      <c r="AE22" s="267"/>
      <c r="AF22" s="268"/>
      <c r="AG22" s="269">
        <f t="shared" si="4"/>
        <v>0</v>
      </c>
      <c r="AH22" s="271" t="e">
        <f t="shared" si="5"/>
        <v>#N/A</v>
      </c>
      <c r="AI22" s="272" t="e">
        <f>IF(AH22&lt;=1,"Remota",VLOOKUP(AH22,[71]Listas!$C$6:$D$10,2,0))</f>
        <v>#N/A</v>
      </c>
      <c r="AJ22" s="271" t="e">
        <f t="shared" si="6"/>
        <v>#N/A</v>
      </c>
      <c r="AK22" s="272" t="e">
        <f>IF(AJ22&lt;=1,"Insignificante",HLOOKUP(AJ22,[71]Listas!$F$3:$J$4,2,0))</f>
        <v>#N/A</v>
      </c>
      <c r="AL22" s="273" t="e">
        <f t="shared" si="7"/>
        <v>#N/A</v>
      </c>
      <c r="AM22" s="270" t="e">
        <f>INDEX([71]Listas!$F$6:$J$10,MATCH(AI22,[71]Listas!$D$6:$D$10,0),MATCH(AK22,[71]Listas!$F$4:$J$4,0))</f>
        <v>#N/A</v>
      </c>
      <c r="AN22" s="259"/>
      <c r="AO22" s="259"/>
      <c r="AP22" s="794"/>
      <c r="AQ22" s="259"/>
      <c r="AR22" s="259" t="s">
        <v>2343</v>
      </c>
      <c r="AS22" s="790"/>
      <c r="AT22" s="259"/>
      <c r="AU22" s="259"/>
      <c r="AV22" s="261"/>
      <c r="AW22" s="261"/>
      <c r="AX22" s="790"/>
      <c r="AY22" s="262"/>
    </row>
    <row r="23" spans="1:51" s="260" customFormat="1" ht="103.5" hidden="1" customHeight="1">
      <c r="A23" s="790"/>
      <c r="B23" s="266"/>
      <c r="C23" s="1399"/>
      <c r="D23" s="1408"/>
      <c r="E23" s="1400"/>
      <c r="F23" s="267"/>
      <c r="G23" s="1399"/>
      <c r="H23" s="1408"/>
      <c r="I23" s="1400"/>
      <c r="J23" s="1380"/>
      <c r="K23" s="1380"/>
      <c r="L23" s="1380"/>
      <c r="M23" s="790"/>
      <c r="N23" s="790"/>
      <c r="O23" s="790"/>
      <c r="P23" s="790"/>
      <c r="Q23" s="266"/>
      <c r="R23" s="266"/>
      <c r="S23" s="268"/>
      <c r="T23" s="269" t="e">
        <f>VLOOKUP(Q23,[71]Listas!$D$6:$E$10,2,0)</f>
        <v>#N/A</v>
      </c>
      <c r="U23" s="269" t="e">
        <f>HLOOKUP(R23,[71]Listas!$F$4:$J$5,2,0)</f>
        <v>#N/A</v>
      </c>
      <c r="V23" s="270" t="e">
        <f>INDEX([71]Listas!$F$6:$J$10,MATCH(Q23,[71]Listas!$D$6:$D$10,0),MATCH(R23,[71]Listas!$F$4:$J$4,0))</f>
        <v>#N/A</v>
      </c>
      <c r="W23" s="268"/>
      <c r="X23" s="1399"/>
      <c r="Y23" s="1408"/>
      <c r="Z23" s="1400"/>
      <c r="AA23" s="1063"/>
      <c r="AB23" s="267"/>
      <c r="AC23" s="259"/>
      <c r="AD23" s="790"/>
      <c r="AE23" s="267"/>
      <c r="AF23" s="268"/>
      <c r="AG23" s="269">
        <f t="shared" si="4"/>
        <v>0</v>
      </c>
      <c r="AH23" s="271" t="e">
        <f t="shared" si="5"/>
        <v>#N/A</v>
      </c>
      <c r="AI23" s="272" t="e">
        <f>IF(AH23&lt;=1,"Remota",VLOOKUP(AH23,[71]Listas!$C$6:$D$10,2,0))</f>
        <v>#N/A</v>
      </c>
      <c r="AJ23" s="271" t="e">
        <f t="shared" si="6"/>
        <v>#N/A</v>
      </c>
      <c r="AK23" s="272" t="e">
        <f>IF(AJ23&lt;=1,"Insignificante",HLOOKUP(AJ23,[71]Listas!$F$3:$J$4,2,0))</f>
        <v>#N/A</v>
      </c>
      <c r="AL23" s="273" t="e">
        <f t="shared" si="7"/>
        <v>#N/A</v>
      </c>
      <c r="AM23" s="270" t="e">
        <f>INDEX([71]Listas!$F$6:$J$10,MATCH(AI23,[71]Listas!$D$6:$D$10,0),MATCH(AK23,[71]Listas!$F$4:$J$4,0))</f>
        <v>#N/A</v>
      </c>
      <c r="AN23" s="259"/>
      <c r="AO23" s="259"/>
      <c r="AP23" s="794"/>
      <c r="AQ23" s="259"/>
      <c r="AR23" s="259" t="s">
        <v>2343</v>
      </c>
      <c r="AS23" s="790"/>
      <c r="AT23" s="259"/>
      <c r="AU23" s="259"/>
      <c r="AV23" s="261"/>
      <c r="AW23" s="261"/>
      <c r="AX23" s="790"/>
      <c r="AY23" s="262"/>
    </row>
    <row r="24" spans="1:51" s="260" customFormat="1" ht="103.5" hidden="1" customHeight="1">
      <c r="A24" s="790"/>
      <c r="B24" s="266"/>
      <c r="C24" s="1399"/>
      <c r="D24" s="1408"/>
      <c r="E24" s="1400"/>
      <c r="F24" s="267"/>
      <c r="G24" s="1399"/>
      <c r="H24" s="1408"/>
      <c r="I24" s="1400"/>
      <c r="J24" s="1380"/>
      <c r="K24" s="1380"/>
      <c r="L24" s="1380"/>
      <c r="M24" s="790"/>
      <c r="N24" s="790"/>
      <c r="O24" s="790"/>
      <c r="P24" s="790"/>
      <c r="Q24" s="266"/>
      <c r="R24" s="266"/>
      <c r="S24" s="268"/>
      <c r="T24" s="269" t="e">
        <f>VLOOKUP(Q24,[71]Listas!$D$6:$E$10,2,0)</f>
        <v>#N/A</v>
      </c>
      <c r="U24" s="269" t="e">
        <f>HLOOKUP(R24,[71]Listas!$F$4:$J$5,2,0)</f>
        <v>#N/A</v>
      </c>
      <c r="V24" s="270" t="e">
        <f>INDEX([71]Listas!$F$6:$J$10,MATCH(Q24,[71]Listas!$D$6:$D$10,0),MATCH(R24,[71]Listas!$F$4:$J$4,0))</f>
        <v>#N/A</v>
      </c>
      <c r="W24" s="268"/>
      <c r="X24" s="1399"/>
      <c r="Y24" s="1408"/>
      <c r="Z24" s="1400"/>
      <c r="AA24" s="1063"/>
      <c r="AB24" s="267"/>
      <c r="AC24" s="259"/>
      <c r="AD24" s="790"/>
      <c r="AE24" s="267"/>
      <c r="AF24" s="268"/>
      <c r="AG24" s="269">
        <f t="shared" si="4"/>
        <v>0</v>
      </c>
      <c r="AH24" s="271" t="e">
        <f t="shared" si="5"/>
        <v>#N/A</v>
      </c>
      <c r="AI24" s="272" t="e">
        <f>IF(AH24&lt;=1,"Remota",VLOOKUP(AH24,[71]Listas!$C$6:$D$10,2,0))</f>
        <v>#N/A</v>
      </c>
      <c r="AJ24" s="271" t="e">
        <f t="shared" si="6"/>
        <v>#N/A</v>
      </c>
      <c r="AK24" s="272" t="e">
        <f>IF(AJ24&lt;=1,"Insignificante",HLOOKUP(AJ24,[71]Listas!$F$3:$J$4,2,0))</f>
        <v>#N/A</v>
      </c>
      <c r="AL24" s="273" t="e">
        <f t="shared" si="7"/>
        <v>#N/A</v>
      </c>
      <c r="AM24" s="270" t="e">
        <f>INDEX([71]Listas!$F$6:$J$10,MATCH(AI24,[71]Listas!$D$6:$D$10,0),MATCH(AK24,[71]Listas!$F$4:$J$4,0))</f>
        <v>#N/A</v>
      </c>
      <c r="AN24" s="259"/>
      <c r="AO24" s="259"/>
      <c r="AP24" s="794"/>
      <c r="AQ24" s="259"/>
      <c r="AR24" s="259" t="s">
        <v>2343</v>
      </c>
      <c r="AS24" s="790"/>
      <c r="AT24" s="259"/>
      <c r="AU24" s="259"/>
      <c r="AV24" s="261"/>
      <c r="AW24" s="261"/>
      <c r="AX24" s="790"/>
      <c r="AY24" s="262"/>
    </row>
    <row r="25" spans="1:51" s="260" customFormat="1" ht="103.5" hidden="1" customHeight="1">
      <c r="A25" s="790"/>
      <c r="B25" s="266"/>
      <c r="C25" s="1399"/>
      <c r="D25" s="1408"/>
      <c r="E25" s="1400"/>
      <c r="F25" s="267"/>
      <c r="G25" s="1399"/>
      <c r="H25" s="1408"/>
      <c r="I25" s="1400"/>
      <c r="J25" s="1380"/>
      <c r="K25" s="1380"/>
      <c r="L25" s="1380"/>
      <c r="M25" s="790"/>
      <c r="N25" s="790"/>
      <c r="O25" s="790"/>
      <c r="P25" s="790"/>
      <c r="Q25" s="266"/>
      <c r="R25" s="266"/>
      <c r="S25" s="268"/>
      <c r="T25" s="269" t="e">
        <f>VLOOKUP(Q25,[71]Listas!$D$6:$E$10,2,0)</f>
        <v>#N/A</v>
      </c>
      <c r="U25" s="269" t="e">
        <f>HLOOKUP(R25,[71]Listas!$F$4:$J$5,2,0)</f>
        <v>#N/A</v>
      </c>
      <c r="V25" s="270" t="e">
        <f>INDEX([71]Listas!$F$6:$J$10,MATCH(Q25,[71]Listas!$D$6:$D$10,0),MATCH(R25,[71]Listas!$F$4:$J$4,0))</f>
        <v>#N/A</v>
      </c>
      <c r="W25" s="268"/>
      <c r="X25" s="1399"/>
      <c r="Y25" s="1408"/>
      <c r="Z25" s="1400"/>
      <c r="AA25" s="1063"/>
      <c r="AB25" s="267"/>
      <c r="AC25" s="259"/>
      <c r="AD25" s="790"/>
      <c r="AE25" s="267"/>
      <c r="AF25" s="268"/>
      <c r="AG25" s="269">
        <f t="shared" si="4"/>
        <v>0</v>
      </c>
      <c r="AH25" s="271" t="e">
        <f t="shared" si="5"/>
        <v>#N/A</v>
      </c>
      <c r="AI25" s="272" t="e">
        <f>IF(AH25&lt;=1,"Remota",VLOOKUP(AH25,[71]Listas!$C$6:$D$10,2,0))</f>
        <v>#N/A</v>
      </c>
      <c r="AJ25" s="271" t="e">
        <f t="shared" si="6"/>
        <v>#N/A</v>
      </c>
      <c r="AK25" s="272" t="e">
        <f>IF(AJ25&lt;=1,"Insignificante",HLOOKUP(AJ25,[71]Listas!$F$3:$J$4,2,0))</f>
        <v>#N/A</v>
      </c>
      <c r="AL25" s="273" t="e">
        <f t="shared" si="7"/>
        <v>#N/A</v>
      </c>
      <c r="AM25" s="270" t="e">
        <f>INDEX([71]Listas!$F$6:$J$10,MATCH(AI25,[71]Listas!$D$6:$D$10,0),MATCH(AK25,[71]Listas!$F$4:$J$4,0))</f>
        <v>#N/A</v>
      </c>
      <c r="AN25" s="259"/>
      <c r="AO25" s="259"/>
      <c r="AP25" s="794"/>
      <c r="AQ25" s="259"/>
      <c r="AR25" s="259" t="s">
        <v>2343</v>
      </c>
      <c r="AS25" s="790"/>
      <c r="AT25" s="259"/>
      <c r="AU25" s="259"/>
      <c r="AV25" s="261"/>
      <c r="AW25" s="261"/>
      <c r="AX25" s="790"/>
      <c r="AY25" s="262"/>
    </row>
    <row r="26" spans="1:51" s="260" customFormat="1" ht="103.5" hidden="1" customHeight="1">
      <c r="A26" s="790"/>
      <c r="B26" s="266"/>
      <c r="C26" s="1399"/>
      <c r="D26" s="1408"/>
      <c r="E26" s="1400"/>
      <c r="F26" s="267"/>
      <c r="G26" s="1399"/>
      <c r="H26" s="1408"/>
      <c r="I26" s="1400"/>
      <c r="J26" s="1380"/>
      <c r="K26" s="1380"/>
      <c r="L26" s="1380"/>
      <c r="M26" s="790"/>
      <c r="N26" s="790"/>
      <c r="O26" s="790"/>
      <c r="P26" s="790"/>
      <c r="Q26" s="266"/>
      <c r="R26" s="266"/>
      <c r="S26" s="268"/>
      <c r="T26" s="269" t="e">
        <f>VLOOKUP(Q26,[71]Listas!$D$6:$E$10,2,0)</f>
        <v>#N/A</v>
      </c>
      <c r="U26" s="269" t="e">
        <f>HLOOKUP(R26,[71]Listas!$F$4:$J$5,2,0)</f>
        <v>#N/A</v>
      </c>
      <c r="V26" s="270" t="e">
        <f>INDEX([71]Listas!$F$6:$J$10,MATCH(Q26,[71]Listas!$D$6:$D$10,0),MATCH(R26,[71]Listas!$F$4:$J$4,0))</f>
        <v>#N/A</v>
      </c>
      <c r="W26" s="268"/>
      <c r="X26" s="1399"/>
      <c r="Y26" s="1408"/>
      <c r="Z26" s="1400"/>
      <c r="AA26" s="1063"/>
      <c r="AB26" s="267"/>
      <c r="AC26" s="259"/>
      <c r="AD26" s="790"/>
      <c r="AE26" s="267"/>
      <c r="AF26" s="268"/>
      <c r="AG26" s="269">
        <f t="shared" si="4"/>
        <v>0</v>
      </c>
      <c r="AH26" s="271" t="e">
        <f t="shared" si="5"/>
        <v>#N/A</v>
      </c>
      <c r="AI26" s="272" t="e">
        <f>IF(AH26&lt;=1,"Remota",VLOOKUP(AH26,[71]Listas!$C$6:$D$10,2,0))</f>
        <v>#N/A</v>
      </c>
      <c r="AJ26" s="271" t="e">
        <f t="shared" si="6"/>
        <v>#N/A</v>
      </c>
      <c r="AK26" s="272" t="e">
        <f>IF(AJ26&lt;=1,"Insignificante",HLOOKUP(AJ26,[71]Listas!$F$3:$J$4,2,0))</f>
        <v>#N/A</v>
      </c>
      <c r="AL26" s="273" t="e">
        <f t="shared" si="7"/>
        <v>#N/A</v>
      </c>
      <c r="AM26" s="270" t="e">
        <f>INDEX([71]Listas!$F$6:$J$10,MATCH(AI26,[71]Listas!$D$6:$D$10,0),MATCH(AK26,[71]Listas!$F$4:$J$4,0))</f>
        <v>#N/A</v>
      </c>
      <c r="AN26" s="259"/>
      <c r="AO26" s="259"/>
      <c r="AP26" s="794"/>
      <c r="AQ26" s="259"/>
      <c r="AR26" s="259" t="s">
        <v>2343</v>
      </c>
      <c r="AS26" s="790"/>
      <c r="AT26" s="259"/>
      <c r="AU26" s="259"/>
      <c r="AV26" s="261"/>
      <c r="AW26" s="261"/>
      <c r="AX26" s="790"/>
      <c r="AY26" s="262"/>
    </row>
    <row r="27" spans="1:51" s="260" customFormat="1" ht="103.5" hidden="1" customHeight="1">
      <c r="A27" s="790"/>
      <c r="B27" s="266"/>
      <c r="C27" s="1399"/>
      <c r="D27" s="1408"/>
      <c r="E27" s="1400"/>
      <c r="F27" s="267"/>
      <c r="G27" s="1399"/>
      <c r="H27" s="1408"/>
      <c r="I27" s="1400"/>
      <c r="J27" s="1380"/>
      <c r="K27" s="1380"/>
      <c r="L27" s="1380"/>
      <c r="M27" s="790"/>
      <c r="N27" s="790"/>
      <c r="O27" s="790"/>
      <c r="P27" s="790"/>
      <c r="Q27" s="266"/>
      <c r="R27" s="266"/>
      <c r="S27" s="268"/>
      <c r="T27" s="269" t="e">
        <f>VLOOKUP(Q27,[71]Listas!$D$6:$E$10,2,0)</f>
        <v>#N/A</v>
      </c>
      <c r="U27" s="269" t="e">
        <f>HLOOKUP(R27,[71]Listas!$F$4:$J$5,2,0)</f>
        <v>#N/A</v>
      </c>
      <c r="V27" s="270" t="e">
        <f>INDEX([71]Listas!$F$6:$J$10,MATCH(Q27,[71]Listas!$D$6:$D$10,0),MATCH(R27,[71]Listas!$F$4:$J$4,0))</f>
        <v>#N/A</v>
      </c>
      <c r="W27" s="268"/>
      <c r="X27" s="1399"/>
      <c r="Y27" s="1408"/>
      <c r="Z27" s="1400"/>
      <c r="AA27" s="1063"/>
      <c r="AB27" s="267"/>
      <c r="AC27" s="259"/>
      <c r="AD27" s="790"/>
      <c r="AE27" s="267"/>
      <c r="AF27" s="268"/>
      <c r="AG27" s="269">
        <f t="shared" si="4"/>
        <v>0</v>
      </c>
      <c r="AH27" s="271" t="e">
        <f t="shared" si="5"/>
        <v>#N/A</v>
      </c>
      <c r="AI27" s="272" t="e">
        <f>IF(AH27&lt;=1,"Remota",VLOOKUP(AH27,[71]Listas!$C$6:$D$10,2,0))</f>
        <v>#N/A</v>
      </c>
      <c r="AJ27" s="271" t="e">
        <f t="shared" si="6"/>
        <v>#N/A</v>
      </c>
      <c r="AK27" s="272" t="e">
        <f>IF(AJ27&lt;=1,"Insignificante",HLOOKUP(AJ27,[71]Listas!$F$3:$J$4,2,0))</f>
        <v>#N/A</v>
      </c>
      <c r="AL27" s="273" t="e">
        <f t="shared" si="7"/>
        <v>#N/A</v>
      </c>
      <c r="AM27" s="270" t="e">
        <f>INDEX([71]Listas!$F$6:$J$10,MATCH(AI27,[71]Listas!$D$6:$D$10,0),MATCH(AK27,[71]Listas!$F$4:$J$4,0))</f>
        <v>#N/A</v>
      </c>
      <c r="AN27" s="259"/>
      <c r="AO27" s="259"/>
      <c r="AP27" s="794"/>
      <c r="AQ27" s="259"/>
      <c r="AR27" s="259" t="s">
        <v>2343</v>
      </c>
      <c r="AS27" s="790"/>
      <c r="AT27" s="259"/>
      <c r="AU27" s="259"/>
      <c r="AV27" s="261"/>
      <c r="AW27" s="261"/>
      <c r="AX27" s="790"/>
      <c r="AY27" s="262"/>
    </row>
    <row r="28" spans="1:51" s="260" customFormat="1" ht="103.5" hidden="1" customHeight="1">
      <c r="A28" s="790"/>
      <c r="B28" s="266"/>
      <c r="C28" s="1399"/>
      <c r="D28" s="1408"/>
      <c r="E28" s="1400"/>
      <c r="F28" s="267"/>
      <c r="G28" s="1399"/>
      <c r="H28" s="1408"/>
      <c r="I28" s="1400"/>
      <c r="J28" s="1380"/>
      <c r="K28" s="1380"/>
      <c r="L28" s="1380"/>
      <c r="M28" s="790"/>
      <c r="N28" s="790"/>
      <c r="O28" s="790"/>
      <c r="P28" s="790"/>
      <c r="Q28" s="266"/>
      <c r="R28" s="266"/>
      <c r="S28" s="268"/>
      <c r="T28" s="269" t="e">
        <f>VLOOKUP(Q28,[71]Listas!$D$6:$E$10,2,0)</f>
        <v>#N/A</v>
      </c>
      <c r="U28" s="269" t="e">
        <f>HLOOKUP(R28,[71]Listas!$F$4:$J$5,2,0)</f>
        <v>#N/A</v>
      </c>
      <c r="V28" s="270" t="e">
        <f>INDEX([71]Listas!$F$6:$J$10,MATCH(Q28,[71]Listas!$D$6:$D$10,0),MATCH(R28,[71]Listas!$F$4:$J$4,0))</f>
        <v>#N/A</v>
      </c>
      <c r="W28" s="268"/>
      <c r="X28" s="1399"/>
      <c r="Y28" s="1408"/>
      <c r="Z28" s="1400"/>
      <c r="AA28" s="1063"/>
      <c r="AB28" s="267"/>
      <c r="AC28" s="259"/>
      <c r="AD28" s="790"/>
      <c r="AE28" s="267"/>
      <c r="AF28" s="268"/>
      <c r="AG28" s="269">
        <f t="shared" si="4"/>
        <v>0</v>
      </c>
      <c r="AH28" s="271" t="e">
        <f t="shared" si="5"/>
        <v>#N/A</v>
      </c>
      <c r="AI28" s="272" t="e">
        <f>IF(AH28&lt;=1,"Remota",VLOOKUP(AH28,[71]Listas!$C$6:$D$10,2,0))</f>
        <v>#N/A</v>
      </c>
      <c r="AJ28" s="271" t="e">
        <f t="shared" si="6"/>
        <v>#N/A</v>
      </c>
      <c r="AK28" s="272" t="e">
        <f>IF(AJ28&lt;=1,"Insignificante",HLOOKUP(AJ28,[71]Listas!$F$3:$J$4,2,0))</f>
        <v>#N/A</v>
      </c>
      <c r="AL28" s="273" t="e">
        <f t="shared" si="7"/>
        <v>#N/A</v>
      </c>
      <c r="AM28" s="270" t="e">
        <f>INDEX([71]Listas!$F$6:$J$10,MATCH(AI28,[71]Listas!$D$6:$D$10,0),MATCH(AK28,[71]Listas!$F$4:$J$4,0))</f>
        <v>#N/A</v>
      </c>
      <c r="AN28" s="259"/>
      <c r="AO28" s="259"/>
      <c r="AP28" s="794"/>
      <c r="AQ28" s="259"/>
      <c r="AR28" s="259" t="s">
        <v>2343</v>
      </c>
      <c r="AS28" s="790"/>
      <c r="AT28" s="259"/>
      <c r="AU28" s="259"/>
      <c r="AV28" s="261"/>
      <c r="AW28" s="261"/>
      <c r="AX28" s="790"/>
      <c r="AY28" s="262"/>
    </row>
    <row r="29" spans="1:51" s="260" customFormat="1" ht="103.5" hidden="1" customHeight="1">
      <c r="A29" s="790"/>
      <c r="B29" s="266"/>
      <c r="C29" s="1399"/>
      <c r="D29" s="1408"/>
      <c r="E29" s="1400"/>
      <c r="F29" s="267"/>
      <c r="G29" s="1399"/>
      <c r="H29" s="1408"/>
      <c r="I29" s="1400"/>
      <c r="J29" s="1380"/>
      <c r="K29" s="1380"/>
      <c r="L29" s="1380"/>
      <c r="M29" s="790"/>
      <c r="N29" s="790"/>
      <c r="O29" s="790"/>
      <c r="P29" s="790"/>
      <c r="Q29" s="266"/>
      <c r="R29" s="266"/>
      <c r="S29" s="268"/>
      <c r="T29" s="269" t="e">
        <f>VLOOKUP(Q29,[71]Listas!$D$6:$E$10,2,0)</f>
        <v>#N/A</v>
      </c>
      <c r="U29" s="269" t="e">
        <f>HLOOKUP(R29,[71]Listas!$F$4:$J$5,2,0)</f>
        <v>#N/A</v>
      </c>
      <c r="V29" s="270" t="e">
        <f>INDEX([71]Listas!$F$6:$J$10,MATCH(Q29,[71]Listas!$D$6:$D$10,0),MATCH(R29,[71]Listas!$F$4:$J$4,0))</f>
        <v>#N/A</v>
      </c>
      <c r="W29" s="268"/>
      <c r="X29" s="1399"/>
      <c r="Y29" s="1408"/>
      <c r="Z29" s="1400"/>
      <c r="AA29" s="1063"/>
      <c r="AB29" s="267"/>
      <c r="AC29" s="259"/>
      <c r="AD29" s="790"/>
      <c r="AE29" s="267"/>
      <c r="AF29" s="268"/>
      <c r="AG29" s="269">
        <f t="shared" si="4"/>
        <v>0</v>
      </c>
      <c r="AH29" s="271" t="e">
        <f t="shared" si="5"/>
        <v>#N/A</v>
      </c>
      <c r="AI29" s="272" t="e">
        <f>IF(AH29&lt;=1,"Remota",VLOOKUP(AH29,[71]Listas!$C$6:$D$10,2,0))</f>
        <v>#N/A</v>
      </c>
      <c r="AJ29" s="271" t="e">
        <f t="shared" si="6"/>
        <v>#N/A</v>
      </c>
      <c r="AK29" s="272" t="e">
        <f>IF(AJ29&lt;=1,"Insignificante",HLOOKUP(AJ29,[71]Listas!$F$3:$J$4,2,0))</f>
        <v>#N/A</v>
      </c>
      <c r="AL29" s="273" t="e">
        <f t="shared" si="7"/>
        <v>#N/A</v>
      </c>
      <c r="AM29" s="270" t="e">
        <f>INDEX([71]Listas!$F$6:$J$10,MATCH(AI29,[71]Listas!$D$6:$D$10,0),MATCH(AK29,[71]Listas!$F$4:$J$4,0))</f>
        <v>#N/A</v>
      </c>
      <c r="AN29" s="259"/>
      <c r="AO29" s="259"/>
      <c r="AP29" s="794"/>
      <c r="AQ29" s="259"/>
      <c r="AR29" s="259" t="s">
        <v>2343</v>
      </c>
      <c r="AS29" s="790"/>
      <c r="AT29" s="259"/>
      <c r="AU29" s="259"/>
      <c r="AV29" s="261"/>
      <c r="AW29" s="261"/>
      <c r="AX29" s="790"/>
      <c r="AY29" s="262"/>
    </row>
    <row r="30" spans="1:51" s="260" customFormat="1" ht="103.5" hidden="1" customHeight="1">
      <c r="A30" s="790"/>
      <c r="B30" s="266"/>
      <c r="C30" s="1399"/>
      <c r="D30" s="1408"/>
      <c r="E30" s="1400"/>
      <c r="F30" s="267"/>
      <c r="G30" s="1399"/>
      <c r="H30" s="1408"/>
      <c r="I30" s="1400"/>
      <c r="J30" s="1380"/>
      <c r="K30" s="1380"/>
      <c r="L30" s="1380"/>
      <c r="M30" s="790"/>
      <c r="N30" s="790"/>
      <c r="O30" s="790"/>
      <c r="P30" s="790"/>
      <c r="Q30" s="266"/>
      <c r="R30" s="266"/>
      <c r="S30" s="268"/>
      <c r="T30" s="269" t="e">
        <f>VLOOKUP(Q30,[71]Listas!$D$6:$E$10,2,0)</f>
        <v>#N/A</v>
      </c>
      <c r="U30" s="269" t="e">
        <f>HLOOKUP(R30,[71]Listas!$F$4:$J$5,2,0)</f>
        <v>#N/A</v>
      </c>
      <c r="V30" s="270" t="e">
        <f>INDEX([71]Listas!$F$6:$J$10,MATCH(Q30,[71]Listas!$D$6:$D$10,0),MATCH(R30,[71]Listas!$F$4:$J$4,0))</f>
        <v>#N/A</v>
      </c>
      <c r="W30" s="268"/>
      <c r="X30" s="1399"/>
      <c r="Y30" s="1408"/>
      <c r="Z30" s="1400"/>
      <c r="AA30" s="1063"/>
      <c r="AB30" s="267"/>
      <c r="AC30" s="259"/>
      <c r="AD30" s="790"/>
      <c r="AE30" s="267"/>
      <c r="AF30" s="268"/>
      <c r="AG30" s="269">
        <f t="shared" si="4"/>
        <v>0</v>
      </c>
      <c r="AH30" s="271" t="e">
        <f t="shared" si="5"/>
        <v>#N/A</v>
      </c>
      <c r="AI30" s="272" t="e">
        <f>IF(AH30&lt;=1,"Remota",VLOOKUP(AH30,[71]Listas!$C$6:$D$10,2,0))</f>
        <v>#N/A</v>
      </c>
      <c r="AJ30" s="271" t="e">
        <f t="shared" si="6"/>
        <v>#N/A</v>
      </c>
      <c r="AK30" s="272" t="e">
        <f>IF(AJ30&lt;=1,"Insignificante",HLOOKUP(AJ30,[71]Listas!$F$3:$J$4,2,0))</f>
        <v>#N/A</v>
      </c>
      <c r="AL30" s="273" t="e">
        <f t="shared" si="7"/>
        <v>#N/A</v>
      </c>
      <c r="AM30" s="270" t="e">
        <f>INDEX([71]Listas!$F$6:$J$10,MATCH(AI30,[71]Listas!$D$6:$D$10,0),MATCH(AK30,[71]Listas!$F$4:$J$4,0))</f>
        <v>#N/A</v>
      </c>
      <c r="AN30" s="259"/>
      <c r="AO30" s="259"/>
      <c r="AP30" s="794"/>
      <c r="AQ30" s="259"/>
      <c r="AR30" s="259" t="s">
        <v>2343</v>
      </c>
      <c r="AS30" s="790"/>
      <c r="AT30" s="259"/>
      <c r="AU30" s="259"/>
      <c r="AV30" s="261"/>
      <c r="AW30" s="261"/>
      <c r="AX30" s="790"/>
      <c r="AY30" s="262"/>
    </row>
    <row r="31" spans="1:51" s="260" customFormat="1" ht="103.5" hidden="1" customHeight="1">
      <c r="A31" s="790"/>
      <c r="B31" s="266"/>
      <c r="C31" s="1399"/>
      <c r="D31" s="1408"/>
      <c r="E31" s="1400"/>
      <c r="F31" s="267"/>
      <c r="G31" s="1399"/>
      <c r="H31" s="1408"/>
      <c r="I31" s="1400"/>
      <c r="J31" s="1380"/>
      <c r="K31" s="1380"/>
      <c r="L31" s="1380"/>
      <c r="M31" s="790"/>
      <c r="N31" s="790"/>
      <c r="O31" s="790"/>
      <c r="P31" s="790"/>
      <c r="Q31" s="266"/>
      <c r="R31" s="266"/>
      <c r="S31" s="268"/>
      <c r="T31" s="269" t="e">
        <f>VLOOKUP(Q31,[71]Listas!$D$6:$E$10,2,0)</f>
        <v>#N/A</v>
      </c>
      <c r="U31" s="269" t="e">
        <f>HLOOKUP(R31,[71]Listas!$F$4:$J$5,2,0)</f>
        <v>#N/A</v>
      </c>
      <c r="V31" s="270" t="e">
        <f>INDEX([71]Listas!$F$6:$J$10,MATCH(Q31,[71]Listas!$D$6:$D$10,0),MATCH(R31,[71]Listas!$F$4:$J$4,0))</f>
        <v>#N/A</v>
      </c>
      <c r="W31" s="268"/>
      <c r="X31" s="1399"/>
      <c r="Y31" s="1408"/>
      <c r="Z31" s="1400"/>
      <c r="AA31" s="1063"/>
      <c r="AB31" s="267"/>
      <c r="AC31" s="259"/>
      <c r="AD31" s="790"/>
      <c r="AE31" s="267"/>
      <c r="AF31" s="268"/>
      <c r="AG31" s="269">
        <f t="shared" si="4"/>
        <v>0</v>
      </c>
      <c r="AH31" s="271" t="e">
        <f t="shared" si="5"/>
        <v>#N/A</v>
      </c>
      <c r="AI31" s="272" t="e">
        <f>IF(AH31&lt;=1,"Remota",VLOOKUP(AH31,[71]Listas!$C$6:$D$10,2,0))</f>
        <v>#N/A</v>
      </c>
      <c r="AJ31" s="271" t="e">
        <f t="shared" si="6"/>
        <v>#N/A</v>
      </c>
      <c r="AK31" s="272" t="e">
        <f>IF(AJ31&lt;=1,"Insignificante",HLOOKUP(AJ31,[71]Listas!$F$3:$J$4,2,0))</f>
        <v>#N/A</v>
      </c>
      <c r="AL31" s="273" t="e">
        <f t="shared" si="7"/>
        <v>#N/A</v>
      </c>
      <c r="AM31" s="270" t="e">
        <f>INDEX([71]Listas!$F$6:$J$10,MATCH(AI31,[71]Listas!$D$6:$D$10,0),MATCH(AK31,[71]Listas!$F$4:$J$4,0))</f>
        <v>#N/A</v>
      </c>
      <c r="AN31" s="259"/>
      <c r="AO31" s="259"/>
      <c r="AP31" s="794"/>
      <c r="AQ31" s="259"/>
      <c r="AR31" s="259" t="s">
        <v>2343</v>
      </c>
      <c r="AS31" s="790"/>
      <c r="AT31" s="259"/>
      <c r="AU31" s="259"/>
      <c r="AV31" s="261"/>
      <c r="AW31" s="261"/>
      <c r="AX31" s="790"/>
      <c r="AY31" s="262"/>
    </row>
    <row r="32" spans="1:51" s="260" customFormat="1" ht="103.5" hidden="1" customHeight="1">
      <c r="A32" s="790"/>
      <c r="B32" s="266"/>
      <c r="C32" s="1399"/>
      <c r="D32" s="1408"/>
      <c r="E32" s="1400"/>
      <c r="F32" s="267"/>
      <c r="G32" s="1399"/>
      <c r="H32" s="1408"/>
      <c r="I32" s="1400"/>
      <c r="J32" s="1380"/>
      <c r="K32" s="1380"/>
      <c r="L32" s="1380"/>
      <c r="M32" s="790"/>
      <c r="N32" s="790"/>
      <c r="O32" s="790"/>
      <c r="P32" s="790"/>
      <c r="Q32" s="266"/>
      <c r="R32" s="266"/>
      <c r="S32" s="268"/>
      <c r="T32" s="269" t="e">
        <f>VLOOKUP(Q32,[71]Listas!$D$6:$E$10,2,0)</f>
        <v>#N/A</v>
      </c>
      <c r="U32" s="269" t="e">
        <f>HLOOKUP(R32,[71]Listas!$F$4:$J$5,2,0)</f>
        <v>#N/A</v>
      </c>
      <c r="V32" s="270" t="e">
        <f>INDEX([71]Listas!$F$6:$J$10,MATCH(Q32,[71]Listas!$D$6:$D$10,0),MATCH(R32,[71]Listas!$F$4:$J$4,0))</f>
        <v>#N/A</v>
      </c>
      <c r="W32" s="268"/>
      <c r="X32" s="1399"/>
      <c r="Y32" s="1408"/>
      <c r="Z32" s="1400"/>
      <c r="AA32" s="1063"/>
      <c r="AB32" s="267"/>
      <c r="AC32" s="259"/>
      <c r="AD32" s="790"/>
      <c r="AE32" s="267"/>
      <c r="AF32" s="268"/>
      <c r="AG32" s="269">
        <f t="shared" si="4"/>
        <v>0</v>
      </c>
      <c r="AH32" s="271" t="e">
        <f t="shared" si="5"/>
        <v>#N/A</v>
      </c>
      <c r="AI32" s="272" t="e">
        <f>IF(AH32&lt;=1,"Remota",VLOOKUP(AH32,[71]Listas!$C$6:$D$10,2,0))</f>
        <v>#N/A</v>
      </c>
      <c r="AJ32" s="271" t="e">
        <f t="shared" si="6"/>
        <v>#N/A</v>
      </c>
      <c r="AK32" s="272" t="e">
        <f>IF(AJ32&lt;=1,"Insignificante",HLOOKUP(AJ32,[71]Listas!$F$3:$J$4,2,0))</f>
        <v>#N/A</v>
      </c>
      <c r="AL32" s="273" t="e">
        <f t="shared" si="7"/>
        <v>#N/A</v>
      </c>
      <c r="AM32" s="270" t="e">
        <f>INDEX([71]Listas!$F$6:$J$10,MATCH(AI32,[71]Listas!$D$6:$D$10,0),MATCH(AK32,[71]Listas!$F$4:$J$4,0))</f>
        <v>#N/A</v>
      </c>
      <c r="AN32" s="259"/>
      <c r="AO32" s="259"/>
      <c r="AP32" s="794"/>
      <c r="AQ32" s="259"/>
      <c r="AR32" s="259" t="s">
        <v>2343</v>
      </c>
      <c r="AS32" s="790"/>
      <c r="AT32" s="259"/>
      <c r="AU32" s="259"/>
      <c r="AV32" s="261"/>
      <c r="AW32" s="261"/>
      <c r="AX32" s="790"/>
      <c r="AY32" s="262"/>
    </row>
    <row r="33" spans="1:51" s="260" customFormat="1" ht="103.5" hidden="1" customHeight="1">
      <c r="A33" s="790"/>
      <c r="B33" s="266"/>
      <c r="C33" s="1399"/>
      <c r="D33" s="1408"/>
      <c r="E33" s="1400"/>
      <c r="F33" s="267"/>
      <c r="G33" s="1399"/>
      <c r="H33" s="1408"/>
      <c r="I33" s="1400"/>
      <c r="J33" s="1380"/>
      <c r="K33" s="1380"/>
      <c r="L33" s="1380"/>
      <c r="M33" s="790"/>
      <c r="N33" s="790"/>
      <c r="O33" s="790"/>
      <c r="P33" s="790"/>
      <c r="Q33" s="266"/>
      <c r="R33" s="266"/>
      <c r="S33" s="268"/>
      <c r="T33" s="269" t="e">
        <f>VLOOKUP(Q33,[71]Listas!$D$6:$E$10,2,0)</f>
        <v>#N/A</v>
      </c>
      <c r="U33" s="269" t="e">
        <f>HLOOKUP(R33,[71]Listas!$F$4:$J$5,2,0)</f>
        <v>#N/A</v>
      </c>
      <c r="V33" s="270" t="e">
        <f>INDEX([71]Listas!$F$6:$J$10,MATCH(Q33,[71]Listas!$D$6:$D$10,0),MATCH(R33,[71]Listas!$F$4:$J$4,0))</f>
        <v>#N/A</v>
      </c>
      <c r="W33" s="268"/>
      <c r="X33" s="1399"/>
      <c r="Y33" s="1408"/>
      <c r="Z33" s="1400"/>
      <c r="AA33" s="1063"/>
      <c r="AB33" s="267"/>
      <c r="AC33" s="259"/>
      <c r="AD33" s="790"/>
      <c r="AE33" s="267"/>
      <c r="AF33" s="268"/>
      <c r="AG33" s="269">
        <f t="shared" si="4"/>
        <v>0</v>
      </c>
      <c r="AH33" s="271" t="e">
        <f t="shared" si="5"/>
        <v>#N/A</v>
      </c>
      <c r="AI33" s="272" t="e">
        <f>IF(AH33&lt;=1,"Remota",VLOOKUP(AH33,[71]Listas!$C$6:$D$10,2,0))</f>
        <v>#N/A</v>
      </c>
      <c r="AJ33" s="271" t="e">
        <f t="shared" si="6"/>
        <v>#N/A</v>
      </c>
      <c r="AK33" s="272" t="e">
        <f>IF(AJ33&lt;=1,"Insignificante",HLOOKUP(AJ33,[71]Listas!$F$3:$J$4,2,0))</f>
        <v>#N/A</v>
      </c>
      <c r="AL33" s="273" t="e">
        <f t="shared" si="7"/>
        <v>#N/A</v>
      </c>
      <c r="AM33" s="270" t="e">
        <f>INDEX([71]Listas!$F$6:$J$10,MATCH(AI33,[71]Listas!$D$6:$D$10,0),MATCH(AK33,[71]Listas!$F$4:$J$4,0))</f>
        <v>#N/A</v>
      </c>
      <c r="AN33" s="259"/>
      <c r="AO33" s="259"/>
      <c r="AP33" s="794"/>
      <c r="AQ33" s="259"/>
      <c r="AR33" s="259" t="s">
        <v>2343</v>
      </c>
      <c r="AS33" s="790"/>
      <c r="AT33" s="259"/>
      <c r="AU33" s="259"/>
      <c r="AV33" s="261"/>
      <c r="AW33" s="261"/>
      <c r="AX33" s="790"/>
      <c r="AY33" s="262"/>
    </row>
    <row r="34" spans="1:51" s="260" customFormat="1" ht="103.5" hidden="1" customHeight="1">
      <c r="A34" s="790"/>
      <c r="B34" s="266"/>
      <c r="C34" s="1399"/>
      <c r="D34" s="1408"/>
      <c r="E34" s="1400"/>
      <c r="F34" s="267"/>
      <c r="G34" s="1399"/>
      <c r="H34" s="1408"/>
      <c r="I34" s="1400"/>
      <c r="J34" s="1380"/>
      <c r="K34" s="1380"/>
      <c r="L34" s="1380"/>
      <c r="M34" s="790"/>
      <c r="N34" s="790"/>
      <c r="O34" s="790"/>
      <c r="P34" s="790"/>
      <c r="Q34" s="266"/>
      <c r="R34" s="266"/>
      <c r="S34" s="268"/>
      <c r="T34" s="269" t="e">
        <f>VLOOKUP(Q34,[71]Listas!$D$6:$E$10,2,0)</f>
        <v>#N/A</v>
      </c>
      <c r="U34" s="269" t="e">
        <f>HLOOKUP(R34,[71]Listas!$F$4:$J$5,2,0)</f>
        <v>#N/A</v>
      </c>
      <c r="V34" s="270" t="e">
        <f>INDEX([71]Listas!$F$6:$J$10,MATCH(Q34,[71]Listas!$D$6:$D$10,0),MATCH(R34,[71]Listas!$F$4:$J$4,0))</f>
        <v>#N/A</v>
      </c>
      <c r="W34" s="268"/>
      <c r="X34" s="1399"/>
      <c r="Y34" s="1408"/>
      <c r="Z34" s="1400"/>
      <c r="AA34" s="1063"/>
      <c r="AB34" s="267"/>
      <c r="AC34" s="259"/>
      <c r="AD34" s="790"/>
      <c r="AE34" s="267"/>
      <c r="AF34" s="268"/>
      <c r="AG34" s="269">
        <f t="shared" si="4"/>
        <v>0</v>
      </c>
      <c r="AH34" s="271" t="e">
        <f t="shared" si="5"/>
        <v>#N/A</v>
      </c>
      <c r="AI34" s="272" t="e">
        <f>IF(AH34&lt;=1,"Remota",VLOOKUP(AH34,[71]Listas!$C$6:$D$10,2,0))</f>
        <v>#N/A</v>
      </c>
      <c r="AJ34" s="271" t="e">
        <f t="shared" si="6"/>
        <v>#N/A</v>
      </c>
      <c r="AK34" s="272" t="e">
        <f>IF(AJ34&lt;=1,"Insignificante",HLOOKUP(AJ34,[71]Listas!$F$3:$J$4,2,0))</f>
        <v>#N/A</v>
      </c>
      <c r="AL34" s="273" t="e">
        <f t="shared" si="7"/>
        <v>#N/A</v>
      </c>
      <c r="AM34" s="270" t="e">
        <f>INDEX([71]Listas!$F$6:$J$10,MATCH(AI34,[71]Listas!$D$6:$D$10,0),MATCH(AK34,[71]Listas!$F$4:$J$4,0))</f>
        <v>#N/A</v>
      </c>
      <c r="AN34" s="259"/>
      <c r="AO34" s="259"/>
      <c r="AP34" s="794"/>
      <c r="AQ34" s="259"/>
      <c r="AR34" s="259" t="s">
        <v>2343</v>
      </c>
      <c r="AS34" s="790"/>
      <c r="AT34" s="259"/>
      <c r="AU34" s="259"/>
      <c r="AV34" s="261"/>
      <c r="AW34" s="261"/>
      <c r="AX34" s="790"/>
      <c r="AY34" s="262"/>
    </row>
    <row r="35" spans="1:51" s="260" customFormat="1" ht="103.5" hidden="1" customHeight="1">
      <c r="A35" s="790"/>
      <c r="B35" s="266"/>
      <c r="C35" s="1399"/>
      <c r="D35" s="1408"/>
      <c r="E35" s="1400"/>
      <c r="F35" s="267"/>
      <c r="G35" s="1399"/>
      <c r="H35" s="1408"/>
      <c r="I35" s="1400"/>
      <c r="J35" s="1380"/>
      <c r="K35" s="1380"/>
      <c r="L35" s="1380"/>
      <c r="M35" s="790"/>
      <c r="N35" s="790"/>
      <c r="O35" s="790"/>
      <c r="P35" s="790"/>
      <c r="Q35" s="266"/>
      <c r="R35" s="266"/>
      <c r="S35" s="268"/>
      <c r="T35" s="269" t="e">
        <f>VLOOKUP(Q35,[71]Listas!$D$6:$E$10,2,0)</f>
        <v>#N/A</v>
      </c>
      <c r="U35" s="269" t="e">
        <f>HLOOKUP(R35,[71]Listas!$F$4:$J$5,2,0)</f>
        <v>#N/A</v>
      </c>
      <c r="V35" s="270" t="e">
        <f>INDEX([71]Listas!$F$6:$J$10,MATCH(Q35,[71]Listas!$D$6:$D$10,0),MATCH(R35,[71]Listas!$F$4:$J$4,0))</f>
        <v>#N/A</v>
      </c>
      <c r="W35" s="268"/>
      <c r="X35" s="1399"/>
      <c r="Y35" s="1408"/>
      <c r="Z35" s="1400"/>
      <c r="AA35" s="1063"/>
      <c r="AB35" s="267"/>
      <c r="AC35" s="259"/>
      <c r="AD35" s="790"/>
      <c r="AE35" s="267"/>
      <c r="AF35" s="268"/>
      <c r="AG35" s="269">
        <f t="shared" si="4"/>
        <v>0</v>
      </c>
      <c r="AH35" s="271" t="e">
        <f t="shared" si="5"/>
        <v>#N/A</v>
      </c>
      <c r="AI35" s="272" t="e">
        <f>IF(AH35&lt;=1,"Remota",VLOOKUP(AH35,[71]Listas!$C$6:$D$10,2,0))</f>
        <v>#N/A</v>
      </c>
      <c r="AJ35" s="271" t="e">
        <f t="shared" si="6"/>
        <v>#N/A</v>
      </c>
      <c r="AK35" s="272" t="e">
        <f>IF(AJ35&lt;=1,"Insignificante",HLOOKUP(AJ35,[71]Listas!$F$3:$J$4,2,0))</f>
        <v>#N/A</v>
      </c>
      <c r="AL35" s="273" t="e">
        <f t="shared" si="7"/>
        <v>#N/A</v>
      </c>
      <c r="AM35" s="270" t="e">
        <f>INDEX([71]Listas!$F$6:$J$10,MATCH(AI35,[71]Listas!$D$6:$D$10,0),MATCH(AK35,[71]Listas!$F$4:$J$4,0))</f>
        <v>#N/A</v>
      </c>
      <c r="AN35" s="259"/>
      <c r="AO35" s="259"/>
      <c r="AP35" s="794"/>
      <c r="AQ35" s="259"/>
      <c r="AR35" s="259" t="s">
        <v>2343</v>
      </c>
      <c r="AS35" s="790"/>
      <c r="AT35" s="259"/>
      <c r="AU35" s="259"/>
      <c r="AV35" s="261"/>
      <c r="AW35" s="261"/>
      <c r="AX35" s="790"/>
      <c r="AY35" s="262"/>
    </row>
    <row r="36" spans="1:51" s="260" customFormat="1" ht="103.5" hidden="1" customHeight="1">
      <c r="A36" s="790"/>
      <c r="B36" s="266"/>
      <c r="C36" s="1399"/>
      <c r="D36" s="1408"/>
      <c r="E36" s="1400"/>
      <c r="F36" s="267"/>
      <c r="G36" s="1399"/>
      <c r="H36" s="1408"/>
      <c r="I36" s="1400"/>
      <c r="J36" s="1380"/>
      <c r="K36" s="1380"/>
      <c r="L36" s="1380"/>
      <c r="M36" s="790"/>
      <c r="N36" s="790"/>
      <c r="O36" s="790"/>
      <c r="P36" s="790"/>
      <c r="Q36" s="266"/>
      <c r="R36" s="266"/>
      <c r="S36" s="268"/>
      <c r="T36" s="269" t="e">
        <f>VLOOKUP(Q36,[71]Listas!$D$6:$E$10,2,0)</f>
        <v>#N/A</v>
      </c>
      <c r="U36" s="269" t="e">
        <f>HLOOKUP(R36,[71]Listas!$F$4:$J$5,2,0)</f>
        <v>#N/A</v>
      </c>
      <c r="V36" s="270" t="e">
        <f>INDEX([71]Listas!$F$6:$J$10,MATCH(Q36,[71]Listas!$D$6:$D$10,0),MATCH(R36,[71]Listas!$F$4:$J$4,0))</f>
        <v>#N/A</v>
      </c>
      <c r="W36" s="268"/>
      <c r="X36" s="1399"/>
      <c r="Y36" s="1408"/>
      <c r="Z36" s="1400"/>
      <c r="AA36" s="1063"/>
      <c r="AB36" s="267"/>
      <c r="AC36" s="259"/>
      <c r="AD36" s="790"/>
      <c r="AE36" s="267"/>
      <c r="AF36" s="268"/>
      <c r="AG36" s="269">
        <f t="shared" si="4"/>
        <v>0</v>
      </c>
      <c r="AH36" s="271" t="e">
        <f t="shared" si="5"/>
        <v>#N/A</v>
      </c>
      <c r="AI36" s="272" t="e">
        <f>IF(AH36&lt;=1,"Remota",VLOOKUP(AH36,[71]Listas!$C$6:$D$10,2,0))</f>
        <v>#N/A</v>
      </c>
      <c r="AJ36" s="271" t="e">
        <f t="shared" si="6"/>
        <v>#N/A</v>
      </c>
      <c r="AK36" s="272" t="e">
        <f>IF(AJ36&lt;=1,"Insignificante",HLOOKUP(AJ36,[71]Listas!$F$3:$J$4,2,0))</f>
        <v>#N/A</v>
      </c>
      <c r="AL36" s="273" t="e">
        <f t="shared" si="7"/>
        <v>#N/A</v>
      </c>
      <c r="AM36" s="270" t="e">
        <f>INDEX([71]Listas!$F$6:$J$10,MATCH(AI36,[71]Listas!$D$6:$D$10,0),MATCH(AK36,[71]Listas!$F$4:$J$4,0))</f>
        <v>#N/A</v>
      </c>
      <c r="AN36" s="259"/>
      <c r="AO36" s="259"/>
      <c r="AP36" s="794"/>
      <c r="AQ36" s="259"/>
      <c r="AR36" s="259" t="s">
        <v>2343</v>
      </c>
      <c r="AS36" s="790"/>
      <c r="AT36" s="259"/>
      <c r="AU36" s="259"/>
      <c r="AV36" s="261"/>
      <c r="AW36" s="261"/>
      <c r="AX36" s="790"/>
      <c r="AY36" s="262"/>
    </row>
    <row r="37" spans="1:51" s="260" customFormat="1" ht="103.5" hidden="1" customHeight="1">
      <c r="A37" s="790"/>
      <c r="B37" s="266"/>
      <c r="C37" s="1399"/>
      <c r="D37" s="1408"/>
      <c r="E37" s="1400"/>
      <c r="F37" s="267"/>
      <c r="G37" s="1399"/>
      <c r="H37" s="1408"/>
      <c r="I37" s="1400"/>
      <c r="J37" s="1380"/>
      <c r="K37" s="1380"/>
      <c r="L37" s="1380"/>
      <c r="M37" s="790"/>
      <c r="N37" s="790"/>
      <c r="O37" s="790"/>
      <c r="P37" s="790"/>
      <c r="Q37" s="266"/>
      <c r="R37" s="266"/>
      <c r="S37" s="268"/>
      <c r="T37" s="269" t="e">
        <f>VLOOKUP(Q37,[71]Listas!$D$6:$E$10,2,0)</f>
        <v>#N/A</v>
      </c>
      <c r="U37" s="269" t="e">
        <f>HLOOKUP(R37,[71]Listas!$F$4:$J$5,2,0)</f>
        <v>#N/A</v>
      </c>
      <c r="V37" s="270" t="e">
        <f>INDEX([71]Listas!$F$6:$J$10,MATCH(Q37,[71]Listas!$D$6:$D$10,0),MATCH(R37,[71]Listas!$F$4:$J$4,0))</f>
        <v>#N/A</v>
      </c>
      <c r="W37" s="268"/>
      <c r="X37" s="1399"/>
      <c r="Y37" s="1408"/>
      <c r="Z37" s="1400"/>
      <c r="AA37" s="1063"/>
      <c r="AB37" s="267"/>
      <c r="AC37" s="259"/>
      <c r="AD37" s="790"/>
      <c r="AE37" s="267"/>
      <c r="AF37" s="268"/>
      <c r="AG37" s="269">
        <f t="shared" si="4"/>
        <v>0</v>
      </c>
      <c r="AH37" s="271" t="e">
        <f t="shared" si="5"/>
        <v>#N/A</v>
      </c>
      <c r="AI37" s="272" t="e">
        <f>IF(AH37&lt;=1,"Remota",VLOOKUP(AH37,[71]Listas!$C$6:$D$10,2,0))</f>
        <v>#N/A</v>
      </c>
      <c r="AJ37" s="271" t="e">
        <f t="shared" si="6"/>
        <v>#N/A</v>
      </c>
      <c r="AK37" s="272" t="e">
        <f>IF(AJ37&lt;=1,"Insignificante",HLOOKUP(AJ37,[71]Listas!$F$3:$J$4,2,0))</f>
        <v>#N/A</v>
      </c>
      <c r="AL37" s="273" t="e">
        <f t="shared" si="7"/>
        <v>#N/A</v>
      </c>
      <c r="AM37" s="270" t="e">
        <f>INDEX([71]Listas!$F$6:$J$10,MATCH(AI37,[71]Listas!$D$6:$D$10,0),MATCH(AK37,[71]Listas!$F$4:$J$4,0))</f>
        <v>#N/A</v>
      </c>
      <c r="AN37" s="259"/>
      <c r="AO37" s="259"/>
      <c r="AP37" s="794"/>
      <c r="AQ37" s="259"/>
      <c r="AR37" s="259" t="s">
        <v>2343</v>
      </c>
      <c r="AS37" s="790"/>
      <c r="AT37" s="259"/>
      <c r="AU37" s="259"/>
      <c r="AV37" s="261"/>
      <c r="AW37" s="261"/>
      <c r="AX37" s="790"/>
      <c r="AY37" s="262"/>
    </row>
    <row r="38" spans="1:51" s="260" customFormat="1" ht="103.5" hidden="1" customHeight="1">
      <c r="A38" s="790"/>
      <c r="B38" s="266"/>
      <c r="C38" s="1399"/>
      <c r="D38" s="1408"/>
      <c r="E38" s="1400"/>
      <c r="F38" s="267"/>
      <c r="G38" s="1399"/>
      <c r="H38" s="1408"/>
      <c r="I38" s="1400"/>
      <c r="J38" s="1380"/>
      <c r="K38" s="1380"/>
      <c r="L38" s="1380"/>
      <c r="M38" s="790"/>
      <c r="N38" s="790"/>
      <c r="O38" s="790"/>
      <c r="P38" s="790"/>
      <c r="Q38" s="266"/>
      <c r="R38" s="266"/>
      <c r="S38" s="268"/>
      <c r="T38" s="269" t="e">
        <f>VLOOKUP(Q38,[71]Listas!$D$6:$E$10,2,0)</f>
        <v>#N/A</v>
      </c>
      <c r="U38" s="269" t="e">
        <f>HLOOKUP(R38,[71]Listas!$F$4:$J$5,2,0)</f>
        <v>#N/A</v>
      </c>
      <c r="V38" s="270" t="e">
        <f>INDEX([71]Listas!$F$6:$J$10,MATCH(Q38,[71]Listas!$D$6:$D$10,0),MATCH(R38,[71]Listas!$F$4:$J$4,0))</f>
        <v>#N/A</v>
      </c>
      <c r="W38" s="268"/>
      <c r="X38" s="1399"/>
      <c r="Y38" s="1408"/>
      <c r="Z38" s="1400"/>
      <c r="AA38" s="1063"/>
      <c r="AB38" s="267"/>
      <c r="AC38" s="259"/>
      <c r="AD38" s="790"/>
      <c r="AE38" s="267"/>
      <c r="AF38" s="268"/>
      <c r="AG38" s="269">
        <f t="shared" si="4"/>
        <v>0</v>
      </c>
      <c r="AH38" s="271" t="e">
        <f t="shared" si="5"/>
        <v>#N/A</v>
      </c>
      <c r="AI38" s="272" t="e">
        <f>IF(AH38&lt;=1,"Remota",VLOOKUP(AH38,[71]Listas!$C$6:$D$10,2,0))</f>
        <v>#N/A</v>
      </c>
      <c r="AJ38" s="271" t="e">
        <f t="shared" si="6"/>
        <v>#N/A</v>
      </c>
      <c r="AK38" s="272" t="e">
        <f>IF(AJ38&lt;=1,"Insignificante",HLOOKUP(AJ38,[71]Listas!$F$3:$J$4,2,0))</f>
        <v>#N/A</v>
      </c>
      <c r="AL38" s="273" t="e">
        <f t="shared" si="7"/>
        <v>#N/A</v>
      </c>
      <c r="AM38" s="270" t="e">
        <f>INDEX([71]Listas!$F$6:$J$10,MATCH(AI38,[71]Listas!$D$6:$D$10,0),MATCH(AK38,[71]Listas!$F$4:$J$4,0))</f>
        <v>#N/A</v>
      </c>
      <c r="AN38" s="259"/>
      <c r="AO38" s="259"/>
      <c r="AP38" s="794"/>
      <c r="AQ38" s="259"/>
      <c r="AR38" s="259" t="s">
        <v>2343</v>
      </c>
      <c r="AS38" s="790"/>
      <c r="AT38" s="259"/>
      <c r="AU38" s="259"/>
      <c r="AV38" s="261"/>
      <c r="AW38" s="261"/>
      <c r="AX38" s="790"/>
      <c r="AY38" s="262"/>
    </row>
    <row r="39" spans="1:51" s="260" customFormat="1" ht="103.5" hidden="1" customHeight="1">
      <c r="A39" s="790"/>
      <c r="B39" s="266"/>
      <c r="C39" s="1399"/>
      <c r="D39" s="1408"/>
      <c r="E39" s="1400"/>
      <c r="F39" s="267"/>
      <c r="G39" s="1399"/>
      <c r="H39" s="1408"/>
      <c r="I39" s="1400"/>
      <c r="J39" s="1380"/>
      <c r="K39" s="1380"/>
      <c r="L39" s="1380"/>
      <c r="M39" s="790"/>
      <c r="N39" s="790"/>
      <c r="O39" s="790"/>
      <c r="P39" s="790"/>
      <c r="Q39" s="266"/>
      <c r="R39" s="266"/>
      <c r="S39" s="268"/>
      <c r="T39" s="269" t="e">
        <f>VLOOKUP(Q39,[71]Listas!$D$6:$E$10,2,0)</f>
        <v>#N/A</v>
      </c>
      <c r="U39" s="269" t="e">
        <f>HLOOKUP(R39,[71]Listas!$F$4:$J$5,2,0)</f>
        <v>#N/A</v>
      </c>
      <c r="V39" s="270" t="e">
        <f>INDEX([71]Listas!$F$6:$J$10,MATCH(Q39,[71]Listas!$D$6:$D$10,0),MATCH(R39,[71]Listas!$F$4:$J$4,0))</f>
        <v>#N/A</v>
      </c>
      <c r="W39" s="268"/>
      <c r="X39" s="1399"/>
      <c r="Y39" s="1408"/>
      <c r="Z39" s="1400"/>
      <c r="AA39" s="1063"/>
      <c r="AB39" s="267"/>
      <c r="AC39" s="259"/>
      <c r="AD39" s="790"/>
      <c r="AE39" s="267"/>
      <c r="AF39" s="268"/>
      <c r="AG39" s="269">
        <f t="shared" si="4"/>
        <v>0</v>
      </c>
      <c r="AH39" s="271" t="e">
        <f t="shared" si="5"/>
        <v>#N/A</v>
      </c>
      <c r="AI39" s="272" t="e">
        <f>IF(AH39&lt;=1,"Remota",VLOOKUP(AH39,[71]Listas!$C$6:$D$10,2,0))</f>
        <v>#N/A</v>
      </c>
      <c r="AJ39" s="271" t="e">
        <f t="shared" si="6"/>
        <v>#N/A</v>
      </c>
      <c r="AK39" s="272" t="e">
        <f>IF(AJ39&lt;=1,"Insignificante",HLOOKUP(AJ39,[71]Listas!$F$3:$J$4,2,0))</f>
        <v>#N/A</v>
      </c>
      <c r="AL39" s="273" t="e">
        <f t="shared" si="7"/>
        <v>#N/A</v>
      </c>
      <c r="AM39" s="270" t="e">
        <f>INDEX([71]Listas!$F$6:$J$10,MATCH(AI39,[71]Listas!$D$6:$D$10,0),MATCH(AK39,[71]Listas!$F$4:$J$4,0))</f>
        <v>#N/A</v>
      </c>
      <c r="AN39" s="259"/>
      <c r="AO39" s="259"/>
      <c r="AP39" s="794"/>
      <c r="AQ39" s="259"/>
      <c r="AR39" s="259" t="s">
        <v>2343</v>
      </c>
      <c r="AS39" s="790"/>
      <c r="AT39" s="259"/>
      <c r="AU39" s="259"/>
      <c r="AV39" s="261"/>
      <c r="AW39" s="261"/>
      <c r="AX39" s="790"/>
      <c r="AY39" s="262"/>
    </row>
    <row r="40" spans="1:51" s="260" customFormat="1" ht="103.5" hidden="1" customHeight="1">
      <c r="A40" s="790"/>
      <c r="B40" s="266"/>
      <c r="C40" s="1399"/>
      <c r="D40" s="1408"/>
      <c r="E40" s="1400"/>
      <c r="F40" s="266"/>
      <c r="G40" s="1399"/>
      <c r="H40" s="1408"/>
      <c r="I40" s="1400"/>
      <c r="J40" s="1380"/>
      <c r="K40" s="1380"/>
      <c r="L40" s="1380"/>
      <c r="M40" s="790"/>
      <c r="N40" s="790"/>
      <c r="O40" s="790"/>
      <c r="P40" s="790"/>
      <c r="Q40" s="266"/>
      <c r="R40" s="266"/>
      <c r="S40" s="268"/>
      <c r="T40" s="269" t="e">
        <f>VLOOKUP(Q40,[71]Listas!$D$6:$E$10,2,0)</f>
        <v>#N/A</v>
      </c>
      <c r="U40" s="269" t="e">
        <f>HLOOKUP(R40,[71]Listas!$F$4:$J$5,2,0)</f>
        <v>#N/A</v>
      </c>
      <c r="V40" s="270" t="e">
        <f>INDEX([71]Listas!$F$6:$J$10,MATCH(Q40,[71]Listas!$D$6:$D$10,0),MATCH(R40,[71]Listas!$F$4:$J$4,0))</f>
        <v>#N/A</v>
      </c>
      <c r="W40" s="268"/>
      <c r="X40" s="1399"/>
      <c r="Y40" s="1408"/>
      <c r="Z40" s="1400"/>
      <c r="AA40" s="1063"/>
      <c r="AB40" s="267"/>
      <c r="AC40" s="259"/>
      <c r="AD40" s="790"/>
      <c r="AE40" s="267"/>
      <c r="AF40" s="268"/>
      <c r="AG40" s="269">
        <f>IF(AD40&lt;=33,0,IF(AD40&gt;81,2,1))</f>
        <v>0</v>
      </c>
      <c r="AH40" s="271" t="e">
        <f>IF(OR(AE40="Probabilidad",AE40="Ambos"),T40-AG40,T40)</f>
        <v>#N/A</v>
      </c>
      <c r="AI40" s="272" t="e">
        <f>IF(AH40&lt;=1,"Remota",VLOOKUP(AH40,[71]Listas!$C$6:$D$10,2,0))</f>
        <v>#N/A</v>
      </c>
      <c r="AJ40" s="271" t="e">
        <f>IF(OR(AE40="Impacto",AE40="Ambos"),U40-AG40,U40)</f>
        <v>#N/A</v>
      </c>
      <c r="AK40" s="272" t="e">
        <f>IF(AJ40&lt;=1,"Insignificante",HLOOKUP(AJ40,[71]Listas!$F$3:$J$4,2,0))</f>
        <v>#N/A</v>
      </c>
      <c r="AL40" s="273" t="e">
        <f>AH40*AJ40</f>
        <v>#N/A</v>
      </c>
      <c r="AM40" s="270" t="e">
        <f>INDEX([71]Listas!$F$6:$J$10,MATCH(AI40,[71]Listas!$D$6:$D$10,0),MATCH(AK40,[71]Listas!$F$4:$J$4,0))</f>
        <v>#N/A</v>
      </c>
      <c r="AN40" s="259"/>
      <c r="AO40" s="259"/>
      <c r="AP40" s="794"/>
      <c r="AQ40" s="259"/>
      <c r="AR40" s="259" t="s">
        <v>2343</v>
      </c>
      <c r="AS40" s="790"/>
      <c r="AU40" s="259"/>
      <c r="AV40" s="261"/>
      <c r="AW40" s="261"/>
      <c r="AX40" s="790"/>
      <c r="AY40" s="262"/>
    </row>
    <row r="41" spans="1:51" s="260" customFormat="1" ht="103.5" hidden="1" customHeight="1">
      <c r="A41" s="790"/>
      <c r="B41" s="266"/>
      <c r="C41" s="1399"/>
      <c r="D41" s="1408"/>
      <c r="E41" s="1400"/>
      <c r="F41" s="267"/>
      <c r="G41" s="1399"/>
      <c r="H41" s="1408"/>
      <c r="I41" s="1400"/>
      <c r="J41" s="1380"/>
      <c r="K41" s="1380"/>
      <c r="L41" s="1380"/>
      <c r="M41" s="790"/>
      <c r="N41" s="790"/>
      <c r="O41" s="790"/>
      <c r="P41" s="790"/>
      <c r="Q41" s="266"/>
      <c r="R41" s="266"/>
      <c r="S41" s="268"/>
      <c r="T41" s="269" t="e">
        <f>VLOOKUP(Q41,[71]Listas!$D$6:$E$10,2,0)</f>
        <v>#N/A</v>
      </c>
      <c r="U41" s="269" t="e">
        <f>HLOOKUP(R41,[71]Listas!$F$4:$J$5,2,0)</f>
        <v>#N/A</v>
      </c>
      <c r="V41" s="270" t="e">
        <f>INDEX([71]Listas!$F$6:$J$10,MATCH(Q41,[71]Listas!$D$6:$D$10,0),MATCH(R41,[71]Listas!$F$4:$J$4,0))</f>
        <v>#N/A</v>
      </c>
      <c r="W41" s="268"/>
      <c r="X41" s="1399"/>
      <c r="Y41" s="1408"/>
      <c r="Z41" s="1400"/>
      <c r="AA41" s="1063"/>
      <c r="AB41" s="267"/>
      <c r="AC41" s="259"/>
      <c r="AD41" s="790"/>
      <c r="AE41" s="267"/>
      <c r="AF41" s="268"/>
      <c r="AG41" s="269">
        <f t="shared" ref="AG41:AG61" si="8">IF(AD41&lt;=33,0,IF(AD41&gt;81,2,1))</f>
        <v>0</v>
      </c>
      <c r="AH41" s="271" t="e">
        <f t="shared" ref="AH41:AH61" si="9">IF(OR(AE41="Probabilidad",AE41="Ambos"),T41-AG41,T41)</f>
        <v>#N/A</v>
      </c>
      <c r="AI41" s="272" t="e">
        <f>IF(AH41&lt;=1,"Remota",VLOOKUP(AH41,[71]Listas!$C$6:$D$10,2,0))</f>
        <v>#N/A</v>
      </c>
      <c r="AJ41" s="271" t="e">
        <f t="shared" ref="AJ41:AJ61" si="10">IF(OR(AE41="Impacto",AE41="Ambos"),U41-AG41,U41)</f>
        <v>#N/A</v>
      </c>
      <c r="AK41" s="272" t="e">
        <f>IF(AJ41&lt;=1,"Insignificante",HLOOKUP(AJ41,[71]Listas!$F$3:$J$4,2,0))</f>
        <v>#N/A</v>
      </c>
      <c r="AL41" s="273" t="e">
        <f t="shared" ref="AL41:AL61" si="11">AH41*AJ41</f>
        <v>#N/A</v>
      </c>
      <c r="AM41" s="270" t="e">
        <f>INDEX([71]Listas!$F$6:$J$10,MATCH(AI41,[71]Listas!$D$6:$D$10,0),MATCH(AK41,[71]Listas!$F$4:$J$4,0))</f>
        <v>#N/A</v>
      </c>
      <c r="AN41" s="259"/>
      <c r="AO41" s="259"/>
      <c r="AP41" s="794"/>
      <c r="AQ41" s="259"/>
      <c r="AR41" s="259" t="s">
        <v>2343</v>
      </c>
      <c r="AS41" s="790"/>
      <c r="AT41" s="259"/>
      <c r="AU41" s="259"/>
      <c r="AV41" s="261"/>
      <c r="AW41" s="261"/>
      <c r="AX41" s="790"/>
      <c r="AY41" s="262"/>
    </row>
    <row r="42" spans="1:51" s="260" customFormat="1" ht="103.5" hidden="1" customHeight="1">
      <c r="A42" s="790"/>
      <c r="B42" s="266"/>
      <c r="C42" s="1399"/>
      <c r="D42" s="1408"/>
      <c r="E42" s="1400"/>
      <c r="F42" s="267"/>
      <c r="G42" s="1399"/>
      <c r="H42" s="1408"/>
      <c r="I42" s="1400"/>
      <c r="J42" s="1380"/>
      <c r="K42" s="1380"/>
      <c r="L42" s="1380"/>
      <c r="M42" s="790"/>
      <c r="N42" s="790"/>
      <c r="O42" s="790"/>
      <c r="P42" s="790"/>
      <c r="Q42" s="266"/>
      <c r="R42" s="266"/>
      <c r="S42" s="268"/>
      <c r="T42" s="269" t="e">
        <f>VLOOKUP(Q42,[71]Listas!$D$6:$E$10,2,0)</f>
        <v>#N/A</v>
      </c>
      <c r="U42" s="269" t="e">
        <f>HLOOKUP(R42,[71]Listas!$F$4:$J$5,2,0)</f>
        <v>#N/A</v>
      </c>
      <c r="V42" s="270" t="e">
        <f>INDEX([71]Listas!$F$6:$J$10,MATCH(Q42,[71]Listas!$D$6:$D$10,0),MATCH(R42,[71]Listas!$F$4:$J$4,0))</f>
        <v>#N/A</v>
      </c>
      <c r="W42" s="268"/>
      <c r="X42" s="1399"/>
      <c r="Y42" s="1408"/>
      <c r="Z42" s="1400"/>
      <c r="AA42" s="1063"/>
      <c r="AB42" s="267"/>
      <c r="AC42" s="259"/>
      <c r="AD42" s="790"/>
      <c r="AE42" s="267"/>
      <c r="AF42" s="268"/>
      <c r="AG42" s="269">
        <f t="shared" si="8"/>
        <v>0</v>
      </c>
      <c r="AH42" s="271" t="e">
        <f t="shared" si="9"/>
        <v>#N/A</v>
      </c>
      <c r="AI42" s="272" t="e">
        <f>IF(AH42&lt;=1,"Remota",VLOOKUP(AH42,[71]Listas!$C$6:$D$10,2,0))</f>
        <v>#N/A</v>
      </c>
      <c r="AJ42" s="271" t="e">
        <f t="shared" si="10"/>
        <v>#N/A</v>
      </c>
      <c r="AK42" s="272" t="e">
        <f>IF(AJ42&lt;=1,"Insignificante",HLOOKUP(AJ42,[71]Listas!$F$3:$J$4,2,0))</f>
        <v>#N/A</v>
      </c>
      <c r="AL42" s="273" t="e">
        <f t="shared" si="11"/>
        <v>#N/A</v>
      </c>
      <c r="AM42" s="270" t="e">
        <f>INDEX([71]Listas!$F$6:$J$10,MATCH(AI42,[71]Listas!$D$6:$D$10,0),MATCH(AK42,[71]Listas!$F$4:$J$4,0))</f>
        <v>#N/A</v>
      </c>
      <c r="AN42" s="259"/>
      <c r="AO42" s="259"/>
      <c r="AP42" s="794"/>
      <c r="AQ42" s="259"/>
      <c r="AR42" s="259" t="s">
        <v>2343</v>
      </c>
      <c r="AS42" s="790"/>
      <c r="AT42" s="259"/>
      <c r="AU42" s="259"/>
      <c r="AV42" s="261"/>
      <c r="AW42" s="261"/>
      <c r="AX42" s="790"/>
      <c r="AY42" s="262"/>
    </row>
    <row r="43" spans="1:51" s="260" customFormat="1" ht="103.5" hidden="1" customHeight="1">
      <c r="A43" s="790"/>
      <c r="B43" s="266"/>
      <c r="C43" s="1399"/>
      <c r="D43" s="1408"/>
      <c r="E43" s="1400"/>
      <c r="F43" s="267"/>
      <c r="G43" s="1399"/>
      <c r="H43" s="1408"/>
      <c r="I43" s="1400"/>
      <c r="J43" s="1380"/>
      <c r="K43" s="1380"/>
      <c r="L43" s="1380"/>
      <c r="M43" s="790"/>
      <c r="N43" s="790"/>
      <c r="O43" s="790"/>
      <c r="P43" s="790"/>
      <c r="Q43" s="266"/>
      <c r="R43" s="266"/>
      <c r="S43" s="268"/>
      <c r="T43" s="269" t="e">
        <f>VLOOKUP(Q43,[71]Listas!$D$6:$E$10,2,0)</f>
        <v>#N/A</v>
      </c>
      <c r="U43" s="269" t="e">
        <f>HLOOKUP(R43,[71]Listas!$F$4:$J$5,2,0)</f>
        <v>#N/A</v>
      </c>
      <c r="V43" s="270" t="e">
        <f>INDEX([71]Listas!$F$6:$J$10,MATCH(Q43,[71]Listas!$D$6:$D$10,0),MATCH(R43,[71]Listas!$F$4:$J$4,0))</f>
        <v>#N/A</v>
      </c>
      <c r="W43" s="268"/>
      <c r="X43" s="1399"/>
      <c r="Y43" s="1408"/>
      <c r="Z43" s="1400"/>
      <c r="AA43" s="1063"/>
      <c r="AB43" s="267"/>
      <c r="AC43" s="259"/>
      <c r="AD43" s="790"/>
      <c r="AE43" s="267"/>
      <c r="AF43" s="268"/>
      <c r="AG43" s="269">
        <f t="shared" si="8"/>
        <v>0</v>
      </c>
      <c r="AH43" s="271" t="e">
        <f t="shared" si="9"/>
        <v>#N/A</v>
      </c>
      <c r="AI43" s="272" t="e">
        <f>IF(AH43&lt;=1,"Remota",VLOOKUP(AH43,[71]Listas!$C$6:$D$10,2,0))</f>
        <v>#N/A</v>
      </c>
      <c r="AJ43" s="271" t="e">
        <f t="shared" si="10"/>
        <v>#N/A</v>
      </c>
      <c r="AK43" s="272" t="e">
        <f>IF(AJ43&lt;=1,"Insignificante",HLOOKUP(AJ43,[71]Listas!$F$3:$J$4,2,0))</f>
        <v>#N/A</v>
      </c>
      <c r="AL43" s="273" t="e">
        <f t="shared" si="11"/>
        <v>#N/A</v>
      </c>
      <c r="AM43" s="270" t="e">
        <f>INDEX([71]Listas!$F$6:$J$10,MATCH(AI43,[71]Listas!$D$6:$D$10,0),MATCH(AK43,[71]Listas!$F$4:$J$4,0))</f>
        <v>#N/A</v>
      </c>
      <c r="AN43" s="259"/>
      <c r="AO43" s="259"/>
      <c r="AP43" s="794"/>
      <c r="AQ43" s="259"/>
      <c r="AR43" s="259" t="s">
        <v>2343</v>
      </c>
      <c r="AS43" s="790"/>
      <c r="AT43" s="259"/>
      <c r="AU43" s="259"/>
      <c r="AV43" s="261"/>
      <c r="AW43" s="261"/>
      <c r="AX43" s="790"/>
      <c r="AY43" s="262"/>
    </row>
    <row r="44" spans="1:51" s="260" customFormat="1" ht="103.5" hidden="1" customHeight="1">
      <c r="A44" s="790"/>
      <c r="B44" s="266"/>
      <c r="C44" s="1399"/>
      <c r="D44" s="1408"/>
      <c r="E44" s="1400"/>
      <c r="F44" s="267"/>
      <c r="G44" s="1399"/>
      <c r="H44" s="1408"/>
      <c r="I44" s="1400"/>
      <c r="J44" s="1380"/>
      <c r="K44" s="1380"/>
      <c r="L44" s="1380"/>
      <c r="M44" s="790"/>
      <c r="N44" s="790"/>
      <c r="O44" s="790"/>
      <c r="P44" s="790"/>
      <c r="Q44" s="266"/>
      <c r="R44" s="266"/>
      <c r="S44" s="268"/>
      <c r="T44" s="269" t="e">
        <f>VLOOKUP(Q44,[71]Listas!$D$6:$E$10,2,0)</f>
        <v>#N/A</v>
      </c>
      <c r="U44" s="269" t="e">
        <f>HLOOKUP(R44,[71]Listas!$F$4:$J$5,2,0)</f>
        <v>#N/A</v>
      </c>
      <c r="V44" s="270" t="e">
        <f>INDEX([71]Listas!$F$6:$J$10,MATCH(Q44,[71]Listas!$D$6:$D$10,0),MATCH(R44,[71]Listas!$F$4:$J$4,0))</f>
        <v>#N/A</v>
      </c>
      <c r="W44" s="268"/>
      <c r="X44" s="1399"/>
      <c r="Y44" s="1408"/>
      <c r="Z44" s="1400"/>
      <c r="AA44" s="1063"/>
      <c r="AB44" s="267"/>
      <c r="AC44" s="259"/>
      <c r="AD44" s="790"/>
      <c r="AE44" s="267"/>
      <c r="AF44" s="268"/>
      <c r="AG44" s="269">
        <f t="shared" si="8"/>
        <v>0</v>
      </c>
      <c r="AH44" s="271" t="e">
        <f t="shared" si="9"/>
        <v>#N/A</v>
      </c>
      <c r="AI44" s="272" t="e">
        <f>IF(AH44&lt;=1,"Remota",VLOOKUP(AH44,[71]Listas!$C$6:$D$10,2,0))</f>
        <v>#N/A</v>
      </c>
      <c r="AJ44" s="271" t="e">
        <f t="shared" si="10"/>
        <v>#N/A</v>
      </c>
      <c r="AK44" s="272" t="e">
        <f>IF(AJ44&lt;=1,"Insignificante",HLOOKUP(AJ44,[71]Listas!$F$3:$J$4,2,0))</f>
        <v>#N/A</v>
      </c>
      <c r="AL44" s="273" t="e">
        <f t="shared" si="11"/>
        <v>#N/A</v>
      </c>
      <c r="AM44" s="270" t="e">
        <f>INDEX([71]Listas!$F$6:$J$10,MATCH(AI44,[71]Listas!$D$6:$D$10,0),MATCH(AK44,[71]Listas!$F$4:$J$4,0))</f>
        <v>#N/A</v>
      </c>
      <c r="AN44" s="259"/>
      <c r="AO44" s="259"/>
      <c r="AP44" s="794"/>
      <c r="AQ44" s="259"/>
      <c r="AR44" s="259" t="s">
        <v>2343</v>
      </c>
      <c r="AS44" s="790"/>
      <c r="AT44" s="259"/>
      <c r="AU44" s="259"/>
      <c r="AV44" s="261"/>
      <c r="AW44" s="261"/>
      <c r="AX44" s="790"/>
      <c r="AY44" s="262"/>
    </row>
    <row r="45" spans="1:51" s="260" customFormat="1" ht="103.5" hidden="1" customHeight="1">
      <c r="A45" s="790"/>
      <c r="B45" s="266"/>
      <c r="C45" s="1399"/>
      <c r="D45" s="1408"/>
      <c r="E45" s="1400"/>
      <c r="F45" s="267"/>
      <c r="G45" s="1399"/>
      <c r="H45" s="1408"/>
      <c r="I45" s="1400"/>
      <c r="J45" s="1380"/>
      <c r="K45" s="1380"/>
      <c r="L45" s="1380"/>
      <c r="M45" s="790"/>
      <c r="N45" s="790"/>
      <c r="O45" s="790"/>
      <c r="P45" s="790"/>
      <c r="Q45" s="266"/>
      <c r="R45" s="266"/>
      <c r="S45" s="268"/>
      <c r="T45" s="269" t="e">
        <f>VLOOKUP(Q45,[71]Listas!$D$6:$E$10,2,0)</f>
        <v>#N/A</v>
      </c>
      <c r="U45" s="269" t="e">
        <f>HLOOKUP(R45,[71]Listas!$F$4:$J$5,2,0)</f>
        <v>#N/A</v>
      </c>
      <c r="V45" s="270" t="e">
        <f>INDEX([71]Listas!$F$6:$J$10,MATCH(Q45,[71]Listas!$D$6:$D$10,0),MATCH(R45,[71]Listas!$F$4:$J$4,0))</f>
        <v>#N/A</v>
      </c>
      <c r="W45" s="268"/>
      <c r="X45" s="1399"/>
      <c r="Y45" s="1408"/>
      <c r="Z45" s="1400"/>
      <c r="AA45" s="1063"/>
      <c r="AB45" s="267"/>
      <c r="AC45" s="259"/>
      <c r="AD45" s="790"/>
      <c r="AE45" s="267"/>
      <c r="AF45" s="268"/>
      <c r="AG45" s="269">
        <f t="shared" si="8"/>
        <v>0</v>
      </c>
      <c r="AH45" s="271" t="e">
        <f t="shared" si="9"/>
        <v>#N/A</v>
      </c>
      <c r="AI45" s="272" t="e">
        <f>IF(AH45&lt;=1,"Remota",VLOOKUP(AH45,[71]Listas!$C$6:$D$10,2,0))</f>
        <v>#N/A</v>
      </c>
      <c r="AJ45" s="271" t="e">
        <f t="shared" si="10"/>
        <v>#N/A</v>
      </c>
      <c r="AK45" s="272" t="e">
        <f>IF(AJ45&lt;=1,"Insignificante",HLOOKUP(AJ45,[71]Listas!$F$3:$J$4,2,0))</f>
        <v>#N/A</v>
      </c>
      <c r="AL45" s="273" t="e">
        <f t="shared" si="11"/>
        <v>#N/A</v>
      </c>
      <c r="AM45" s="270" t="e">
        <f>INDEX([71]Listas!$F$6:$J$10,MATCH(AI45,[71]Listas!$D$6:$D$10,0),MATCH(AK45,[71]Listas!$F$4:$J$4,0))</f>
        <v>#N/A</v>
      </c>
      <c r="AN45" s="259"/>
      <c r="AO45" s="259"/>
      <c r="AP45" s="794"/>
      <c r="AQ45" s="259"/>
      <c r="AR45" s="259" t="s">
        <v>2343</v>
      </c>
      <c r="AS45" s="790"/>
      <c r="AT45" s="259"/>
      <c r="AU45" s="259"/>
      <c r="AV45" s="261"/>
      <c r="AW45" s="261"/>
      <c r="AX45" s="790"/>
      <c r="AY45" s="262"/>
    </row>
    <row r="46" spans="1:51" s="260" customFormat="1" ht="103.5" hidden="1" customHeight="1">
      <c r="A46" s="790"/>
      <c r="B46" s="266"/>
      <c r="C46" s="1399"/>
      <c r="D46" s="1408"/>
      <c r="E46" s="1400"/>
      <c r="F46" s="267"/>
      <c r="G46" s="1399"/>
      <c r="H46" s="1408"/>
      <c r="I46" s="1400"/>
      <c r="J46" s="1380"/>
      <c r="K46" s="1380"/>
      <c r="L46" s="1380"/>
      <c r="M46" s="790"/>
      <c r="N46" s="790"/>
      <c r="O46" s="790"/>
      <c r="P46" s="790"/>
      <c r="Q46" s="266"/>
      <c r="R46" s="266"/>
      <c r="S46" s="268"/>
      <c r="T46" s="269" t="e">
        <f>VLOOKUP(Q46,[71]Listas!$D$6:$E$10,2,0)</f>
        <v>#N/A</v>
      </c>
      <c r="U46" s="269" t="e">
        <f>HLOOKUP(R46,[71]Listas!$F$4:$J$5,2,0)</f>
        <v>#N/A</v>
      </c>
      <c r="V46" s="270" t="e">
        <f>INDEX([71]Listas!$F$6:$J$10,MATCH(Q46,[71]Listas!$D$6:$D$10,0),MATCH(R46,[71]Listas!$F$4:$J$4,0))</f>
        <v>#N/A</v>
      </c>
      <c r="W46" s="268"/>
      <c r="X46" s="1399"/>
      <c r="Y46" s="1408"/>
      <c r="Z46" s="1400"/>
      <c r="AA46" s="1063"/>
      <c r="AB46" s="267"/>
      <c r="AC46" s="259"/>
      <c r="AD46" s="790"/>
      <c r="AE46" s="267"/>
      <c r="AF46" s="268"/>
      <c r="AG46" s="269">
        <f t="shared" si="8"/>
        <v>0</v>
      </c>
      <c r="AH46" s="271" t="e">
        <f t="shared" si="9"/>
        <v>#N/A</v>
      </c>
      <c r="AI46" s="272" t="e">
        <f>IF(AH46&lt;=1,"Remota",VLOOKUP(AH46,[71]Listas!$C$6:$D$10,2,0))</f>
        <v>#N/A</v>
      </c>
      <c r="AJ46" s="271" t="e">
        <f t="shared" si="10"/>
        <v>#N/A</v>
      </c>
      <c r="AK46" s="272" t="e">
        <f>IF(AJ46&lt;=1,"Insignificante",HLOOKUP(AJ46,[71]Listas!$F$3:$J$4,2,0))</f>
        <v>#N/A</v>
      </c>
      <c r="AL46" s="273" t="e">
        <f t="shared" si="11"/>
        <v>#N/A</v>
      </c>
      <c r="AM46" s="270" t="e">
        <f>INDEX([71]Listas!$F$6:$J$10,MATCH(AI46,[71]Listas!$D$6:$D$10,0),MATCH(AK46,[71]Listas!$F$4:$J$4,0))</f>
        <v>#N/A</v>
      </c>
      <c r="AN46" s="259"/>
      <c r="AO46" s="259"/>
      <c r="AP46" s="794"/>
      <c r="AQ46" s="259"/>
      <c r="AR46" s="259" t="s">
        <v>2343</v>
      </c>
      <c r="AS46" s="790"/>
      <c r="AT46" s="259"/>
      <c r="AU46" s="259"/>
      <c r="AV46" s="261"/>
      <c r="AW46" s="261"/>
      <c r="AX46" s="790"/>
      <c r="AY46" s="262"/>
    </row>
    <row r="47" spans="1:51" s="260" customFormat="1" ht="103.5" hidden="1" customHeight="1">
      <c r="A47" s="790"/>
      <c r="B47" s="266"/>
      <c r="C47" s="1399"/>
      <c r="D47" s="1408"/>
      <c r="E47" s="1400"/>
      <c r="F47" s="267"/>
      <c r="G47" s="1399"/>
      <c r="H47" s="1408"/>
      <c r="I47" s="1400"/>
      <c r="J47" s="1380"/>
      <c r="K47" s="1380"/>
      <c r="L47" s="1380"/>
      <c r="M47" s="790"/>
      <c r="N47" s="790"/>
      <c r="O47" s="790"/>
      <c r="P47" s="790"/>
      <c r="Q47" s="266"/>
      <c r="R47" s="266"/>
      <c r="S47" s="268"/>
      <c r="T47" s="269" t="e">
        <f>VLOOKUP(Q47,[71]Listas!$D$6:$E$10,2,0)</f>
        <v>#N/A</v>
      </c>
      <c r="U47" s="269" t="e">
        <f>HLOOKUP(R47,[71]Listas!$F$4:$J$5,2,0)</f>
        <v>#N/A</v>
      </c>
      <c r="V47" s="270" t="e">
        <f>INDEX([71]Listas!$F$6:$J$10,MATCH(Q47,[71]Listas!$D$6:$D$10,0),MATCH(R47,[71]Listas!$F$4:$J$4,0))</f>
        <v>#N/A</v>
      </c>
      <c r="W47" s="268"/>
      <c r="X47" s="1399"/>
      <c r="Y47" s="1408"/>
      <c r="Z47" s="1400"/>
      <c r="AA47" s="1063"/>
      <c r="AB47" s="267"/>
      <c r="AC47" s="259"/>
      <c r="AD47" s="790"/>
      <c r="AE47" s="267"/>
      <c r="AF47" s="268"/>
      <c r="AG47" s="269">
        <f t="shared" si="8"/>
        <v>0</v>
      </c>
      <c r="AH47" s="271" t="e">
        <f t="shared" si="9"/>
        <v>#N/A</v>
      </c>
      <c r="AI47" s="272" t="e">
        <f>IF(AH47&lt;=1,"Remota",VLOOKUP(AH47,[71]Listas!$C$6:$D$10,2,0))</f>
        <v>#N/A</v>
      </c>
      <c r="AJ47" s="271" t="e">
        <f t="shared" si="10"/>
        <v>#N/A</v>
      </c>
      <c r="AK47" s="272" t="e">
        <f>IF(AJ47&lt;=1,"Insignificante",HLOOKUP(AJ47,[71]Listas!$F$3:$J$4,2,0))</f>
        <v>#N/A</v>
      </c>
      <c r="AL47" s="273" t="e">
        <f t="shared" si="11"/>
        <v>#N/A</v>
      </c>
      <c r="AM47" s="270" t="e">
        <f>INDEX([71]Listas!$F$6:$J$10,MATCH(AI47,[71]Listas!$D$6:$D$10,0),MATCH(AK47,[71]Listas!$F$4:$J$4,0))</f>
        <v>#N/A</v>
      </c>
      <c r="AN47" s="259"/>
      <c r="AO47" s="259"/>
      <c r="AP47" s="794"/>
      <c r="AQ47" s="259"/>
      <c r="AR47" s="259" t="s">
        <v>2343</v>
      </c>
      <c r="AS47" s="790"/>
      <c r="AT47" s="259"/>
      <c r="AU47" s="259"/>
      <c r="AV47" s="261"/>
      <c r="AW47" s="261"/>
      <c r="AX47" s="790"/>
      <c r="AY47" s="262"/>
    </row>
    <row r="48" spans="1:51" s="260" customFormat="1" ht="103.5" hidden="1" customHeight="1">
      <c r="A48" s="790"/>
      <c r="B48" s="266"/>
      <c r="C48" s="1399"/>
      <c r="D48" s="1408"/>
      <c r="E48" s="1400"/>
      <c r="F48" s="267"/>
      <c r="G48" s="1399"/>
      <c r="H48" s="1408"/>
      <c r="I48" s="1400"/>
      <c r="J48" s="1380"/>
      <c r="K48" s="1380"/>
      <c r="L48" s="1380"/>
      <c r="M48" s="790"/>
      <c r="N48" s="790"/>
      <c r="O48" s="790"/>
      <c r="P48" s="790"/>
      <c r="Q48" s="266"/>
      <c r="R48" s="266"/>
      <c r="S48" s="268"/>
      <c r="T48" s="269" t="e">
        <f>VLOOKUP(Q48,[71]Listas!$D$6:$E$10,2,0)</f>
        <v>#N/A</v>
      </c>
      <c r="U48" s="269" t="e">
        <f>HLOOKUP(R48,[71]Listas!$F$4:$J$5,2,0)</f>
        <v>#N/A</v>
      </c>
      <c r="V48" s="270" t="e">
        <f>INDEX([71]Listas!$F$6:$J$10,MATCH(Q48,[71]Listas!$D$6:$D$10,0),MATCH(R48,[71]Listas!$F$4:$J$4,0))</f>
        <v>#N/A</v>
      </c>
      <c r="W48" s="268"/>
      <c r="X48" s="1399"/>
      <c r="Y48" s="1408"/>
      <c r="Z48" s="1400"/>
      <c r="AA48" s="1063"/>
      <c r="AB48" s="267"/>
      <c r="AC48" s="259"/>
      <c r="AD48" s="790"/>
      <c r="AE48" s="267"/>
      <c r="AF48" s="268"/>
      <c r="AG48" s="269">
        <f t="shared" si="8"/>
        <v>0</v>
      </c>
      <c r="AH48" s="271" t="e">
        <f t="shared" si="9"/>
        <v>#N/A</v>
      </c>
      <c r="AI48" s="272" t="e">
        <f>IF(AH48&lt;=1,"Remota",VLOOKUP(AH48,[71]Listas!$C$6:$D$10,2,0))</f>
        <v>#N/A</v>
      </c>
      <c r="AJ48" s="271" t="e">
        <f t="shared" si="10"/>
        <v>#N/A</v>
      </c>
      <c r="AK48" s="272" t="e">
        <f>IF(AJ48&lt;=1,"Insignificante",HLOOKUP(AJ48,[71]Listas!$F$3:$J$4,2,0))</f>
        <v>#N/A</v>
      </c>
      <c r="AL48" s="273" t="e">
        <f t="shared" si="11"/>
        <v>#N/A</v>
      </c>
      <c r="AM48" s="270" t="e">
        <f>INDEX([71]Listas!$F$6:$J$10,MATCH(AI48,[71]Listas!$D$6:$D$10,0),MATCH(AK48,[71]Listas!$F$4:$J$4,0))</f>
        <v>#N/A</v>
      </c>
      <c r="AN48" s="259"/>
      <c r="AO48" s="259"/>
      <c r="AP48" s="794"/>
      <c r="AQ48" s="259"/>
      <c r="AR48" s="259" t="s">
        <v>2343</v>
      </c>
      <c r="AS48" s="790"/>
      <c r="AT48" s="259"/>
      <c r="AU48" s="259"/>
      <c r="AV48" s="261"/>
      <c r="AW48" s="261"/>
      <c r="AX48" s="790"/>
      <c r="AY48" s="262"/>
    </row>
    <row r="49" spans="1:51" s="260" customFormat="1" ht="103.5" hidden="1" customHeight="1">
      <c r="A49" s="790"/>
      <c r="B49" s="266"/>
      <c r="C49" s="1399"/>
      <c r="D49" s="1408"/>
      <c r="E49" s="1400"/>
      <c r="F49" s="267"/>
      <c r="G49" s="1399"/>
      <c r="H49" s="1408"/>
      <c r="I49" s="1400"/>
      <c r="J49" s="1380"/>
      <c r="K49" s="1380"/>
      <c r="L49" s="1380"/>
      <c r="M49" s="790"/>
      <c r="N49" s="790"/>
      <c r="O49" s="790"/>
      <c r="P49" s="790"/>
      <c r="Q49" s="266"/>
      <c r="R49" s="266"/>
      <c r="S49" s="268"/>
      <c r="T49" s="269" t="e">
        <f>VLOOKUP(Q49,[71]Listas!$D$6:$E$10,2,0)</f>
        <v>#N/A</v>
      </c>
      <c r="U49" s="269" t="e">
        <f>HLOOKUP(R49,[71]Listas!$F$4:$J$5,2,0)</f>
        <v>#N/A</v>
      </c>
      <c r="V49" s="270" t="e">
        <f>INDEX([71]Listas!$F$6:$J$10,MATCH(Q49,[71]Listas!$D$6:$D$10,0),MATCH(R49,[71]Listas!$F$4:$J$4,0))</f>
        <v>#N/A</v>
      </c>
      <c r="W49" s="268"/>
      <c r="X49" s="1399"/>
      <c r="Y49" s="1408"/>
      <c r="Z49" s="1400"/>
      <c r="AA49" s="1063"/>
      <c r="AB49" s="267"/>
      <c r="AC49" s="259"/>
      <c r="AD49" s="790"/>
      <c r="AE49" s="267"/>
      <c r="AF49" s="268"/>
      <c r="AG49" s="269">
        <f t="shared" si="8"/>
        <v>0</v>
      </c>
      <c r="AH49" s="271" t="e">
        <f t="shared" si="9"/>
        <v>#N/A</v>
      </c>
      <c r="AI49" s="272" t="e">
        <f>IF(AH49&lt;=1,"Remota",VLOOKUP(AH49,[71]Listas!$C$6:$D$10,2,0))</f>
        <v>#N/A</v>
      </c>
      <c r="AJ49" s="271" t="e">
        <f t="shared" si="10"/>
        <v>#N/A</v>
      </c>
      <c r="AK49" s="272" t="e">
        <f>IF(AJ49&lt;=1,"Insignificante",HLOOKUP(AJ49,[71]Listas!$F$3:$J$4,2,0))</f>
        <v>#N/A</v>
      </c>
      <c r="AL49" s="273" t="e">
        <f t="shared" si="11"/>
        <v>#N/A</v>
      </c>
      <c r="AM49" s="270" t="e">
        <f>INDEX([71]Listas!$F$6:$J$10,MATCH(AI49,[71]Listas!$D$6:$D$10,0),MATCH(AK49,[71]Listas!$F$4:$J$4,0))</f>
        <v>#N/A</v>
      </c>
      <c r="AN49" s="259"/>
      <c r="AO49" s="259"/>
      <c r="AP49" s="794"/>
      <c r="AQ49" s="259"/>
      <c r="AR49" s="259" t="s">
        <v>2343</v>
      </c>
      <c r="AS49" s="790"/>
      <c r="AT49" s="259"/>
      <c r="AU49" s="259"/>
      <c r="AV49" s="261"/>
      <c r="AW49" s="261"/>
      <c r="AX49" s="790"/>
      <c r="AY49" s="262"/>
    </row>
    <row r="50" spans="1:51" s="260" customFormat="1" ht="103.5" hidden="1" customHeight="1">
      <c r="A50" s="790"/>
      <c r="B50" s="266"/>
      <c r="C50" s="1399"/>
      <c r="D50" s="1408"/>
      <c r="E50" s="1400"/>
      <c r="F50" s="267"/>
      <c r="G50" s="1399"/>
      <c r="H50" s="1408"/>
      <c r="I50" s="1400"/>
      <c r="J50" s="1380"/>
      <c r="K50" s="1380"/>
      <c r="L50" s="1380"/>
      <c r="M50" s="790"/>
      <c r="N50" s="790"/>
      <c r="O50" s="790"/>
      <c r="P50" s="790"/>
      <c r="Q50" s="266"/>
      <c r="R50" s="266"/>
      <c r="S50" s="268"/>
      <c r="T50" s="269" t="e">
        <f>VLOOKUP(Q50,[71]Listas!$D$6:$E$10,2,0)</f>
        <v>#N/A</v>
      </c>
      <c r="U50" s="269" t="e">
        <f>HLOOKUP(R50,[71]Listas!$F$4:$J$5,2,0)</f>
        <v>#N/A</v>
      </c>
      <c r="V50" s="270" t="e">
        <f>INDEX([71]Listas!$F$6:$J$10,MATCH(Q50,[71]Listas!$D$6:$D$10,0),MATCH(R50,[71]Listas!$F$4:$J$4,0))</f>
        <v>#N/A</v>
      </c>
      <c r="W50" s="268"/>
      <c r="X50" s="1399"/>
      <c r="Y50" s="1408"/>
      <c r="Z50" s="1400"/>
      <c r="AA50" s="1063"/>
      <c r="AB50" s="267"/>
      <c r="AC50" s="259"/>
      <c r="AD50" s="790"/>
      <c r="AE50" s="267"/>
      <c r="AF50" s="268"/>
      <c r="AG50" s="269">
        <f t="shared" si="8"/>
        <v>0</v>
      </c>
      <c r="AH50" s="271" t="e">
        <f t="shared" si="9"/>
        <v>#N/A</v>
      </c>
      <c r="AI50" s="272" t="e">
        <f>IF(AH50&lt;=1,"Remota",VLOOKUP(AH50,[71]Listas!$C$6:$D$10,2,0))</f>
        <v>#N/A</v>
      </c>
      <c r="AJ50" s="271" t="e">
        <f t="shared" si="10"/>
        <v>#N/A</v>
      </c>
      <c r="AK50" s="272" t="e">
        <f>IF(AJ50&lt;=1,"Insignificante",HLOOKUP(AJ50,[71]Listas!$F$3:$J$4,2,0))</f>
        <v>#N/A</v>
      </c>
      <c r="AL50" s="273" t="e">
        <f t="shared" si="11"/>
        <v>#N/A</v>
      </c>
      <c r="AM50" s="270" t="e">
        <f>INDEX([71]Listas!$F$6:$J$10,MATCH(AI50,[71]Listas!$D$6:$D$10,0),MATCH(AK50,[71]Listas!$F$4:$J$4,0))</f>
        <v>#N/A</v>
      </c>
      <c r="AN50" s="259"/>
      <c r="AO50" s="259"/>
      <c r="AP50" s="794"/>
      <c r="AQ50" s="259"/>
      <c r="AR50" s="259" t="s">
        <v>2343</v>
      </c>
      <c r="AS50" s="790"/>
      <c r="AT50" s="259"/>
      <c r="AU50" s="259"/>
      <c r="AV50" s="261"/>
      <c r="AW50" s="261"/>
      <c r="AX50" s="790"/>
      <c r="AY50" s="262"/>
    </row>
    <row r="51" spans="1:51" s="260" customFormat="1" ht="103.5" hidden="1" customHeight="1">
      <c r="A51" s="790"/>
      <c r="B51" s="266"/>
      <c r="C51" s="1399"/>
      <c r="D51" s="1408"/>
      <c r="E51" s="1400"/>
      <c r="F51" s="267"/>
      <c r="G51" s="1399"/>
      <c r="H51" s="1408"/>
      <c r="I51" s="1400"/>
      <c r="J51" s="1380"/>
      <c r="K51" s="1380"/>
      <c r="L51" s="1380"/>
      <c r="M51" s="790"/>
      <c r="N51" s="790"/>
      <c r="O51" s="790"/>
      <c r="P51" s="790"/>
      <c r="Q51" s="266"/>
      <c r="R51" s="266"/>
      <c r="S51" s="268"/>
      <c r="T51" s="269" t="e">
        <f>VLOOKUP(Q51,[71]Listas!$D$6:$E$10,2,0)</f>
        <v>#N/A</v>
      </c>
      <c r="U51" s="269" t="e">
        <f>HLOOKUP(R51,[71]Listas!$F$4:$J$5,2,0)</f>
        <v>#N/A</v>
      </c>
      <c r="V51" s="270" t="e">
        <f>INDEX([71]Listas!$F$6:$J$10,MATCH(Q51,[71]Listas!$D$6:$D$10,0),MATCH(R51,[71]Listas!$F$4:$J$4,0))</f>
        <v>#N/A</v>
      </c>
      <c r="W51" s="268"/>
      <c r="X51" s="1399"/>
      <c r="Y51" s="1408"/>
      <c r="Z51" s="1400"/>
      <c r="AA51" s="1063"/>
      <c r="AB51" s="267"/>
      <c r="AC51" s="259"/>
      <c r="AD51" s="790"/>
      <c r="AE51" s="267"/>
      <c r="AF51" s="268"/>
      <c r="AG51" s="269">
        <f t="shared" si="8"/>
        <v>0</v>
      </c>
      <c r="AH51" s="271" t="e">
        <f t="shared" si="9"/>
        <v>#N/A</v>
      </c>
      <c r="AI51" s="272" t="e">
        <f>IF(AH51&lt;=1,"Remota",VLOOKUP(AH51,[71]Listas!$C$6:$D$10,2,0))</f>
        <v>#N/A</v>
      </c>
      <c r="AJ51" s="271" t="e">
        <f t="shared" si="10"/>
        <v>#N/A</v>
      </c>
      <c r="AK51" s="272" t="e">
        <f>IF(AJ51&lt;=1,"Insignificante",HLOOKUP(AJ51,[71]Listas!$F$3:$J$4,2,0))</f>
        <v>#N/A</v>
      </c>
      <c r="AL51" s="273" t="e">
        <f t="shared" si="11"/>
        <v>#N/A</v>
      </c>
      <c r="AM51" s="270" t="e">
        <f>INDEX([71]Listas!$F$6:$J$10,MATCH(AI51,[71]Listas!$D$6:$D$10,0),MATCH(AK51,[71]Listas!$F$4:$J$4,0))</f>
        <v>#N/A</v>
      </c>
      <c r="AN51" s="259"/>
      <c r="AO51" s="259"/>
      <c r="AP51" s="794"/>
      <c r="AQ51" s="259"/>
      <c r="AR51" s="259" t="s">
        <v>2343</v>
      </c>
      <c r="AS51" s="790"/>
      <c r="AT51" s="259"/>
      <c r="AU51" s="259"/>
      <c r="AV51" s="261"/>
      <c r="AW51" s="261"/>
      <c r="AX51" s="790"/>
      <c r="AY51" s="262"/>
    </row>
    <row r="52" spans="1:51" s="260" customFormat="1" ht="103.5" hidden="1" customHeight="1">
      <c r="A52" s="790"/>
      <c r="B52" s="266"/>
      <c r="C52" s="1399"/>
      <c r="D52" s="1408"/>
      <c r="E52" s="1400"/>
      <c r="F52" s="267"/>
      <c r="G52" s="1399"/>
      <c r="H52" s="1408"/>
      <c r="I52" s="1400"/>
      <c r="J52" s="1380"/>
      <c r="K52" s="1380"/>
      <c r="L52" s="1380"/>
      <c r="M52" s="790"/>
      <c r="N52" s="790"/>
      <c r="O52" s="790"/>
      <c r="P52" s="790"/>
      <c r="Q52" s="266"/>
      <c r="R52" s="266"/>
      <c r="S52" s="268"/>
      <c r="T52" s="269" t="e">
        <f>VLOOKUP(Q52,[71]Listas!$D$6:$E$10,2,0)</f>
        <v>#N/A</v>
      </c>
      <c r="U52" s="269" t="e">
        <f>HLOOKUP(R52,[71]Listas!$F$4:$J$5,2,0)</f>
        <v>#N/A</v>
      </c>
      <c r="V52" s="270" t="e">
        <f>INDEX([71]Listas!$F$6:$J$10,MATCH(Q52,[71]Listas!$D$6:$D$10,0),MATCH(R52,[71]Listas!$F$4:$J$4,0))</f>
        <v>#N/A</v>
      </c>
      <c r="W52" s="268"/>
      <c r="X52" s="1399"/>
      <c r="Y52" s="1408"/>
      <c r="Z52" s="1400"/>
      <c r="AA52" s="1063"/>
      <c r="AB52" s="267"/>
      <c r="AC52" s="259"/>
      <c r="AD52" s="790"/>
      <c r="AE52" s="267"/>
      <c r="AF52" s="268"/>
      <c r="AG52" s="269">
        <f t="shared" si="8"/>
        <v>0</v>
      </c>
      <c r="AH52" s="271" t="e">
        <f t="shared" si="9"/>
        <v>#N/A</v>
      </c>
      <c r="AI52" s="272" t="e">
        <f>IF(AH52&lt;=1,"Remota",VLOOKUP(AH52,[71]Listas!$C$6:$D$10,2,0))</f>
        <v>#N/A</v>
      </c>
      <c r="AJ52" s="271" t="e">
        <f t="shared" si="10"/>
        <v>#N/A</v>
      </c>
      <c r="AK52" s="272" t="e">
        <f>IF(AJ52&lt;=1,"Insignificante",HLOOKUP(AJ52,[71]Listas!$F$3:$J$4,2,0))</f>
        <v>#N/A</v>
      </c>
      <c r="AL52" s="273" t="e">
        <f t="shared" si="11"/>
        <v>#N/A</v>
      </c>
      <c r="AM52" s="270" t="e">
        <f>INDEX([71]Listas!$F$6:$J$10,MATCH(AI52,[71]Listas!$D$6:$D$10,0),MATCH(AK52,[71]Listas!$F$4:$J$4,0))</f>
        <v>#N/A</v>
      </c>
      <c r="AN52" s="259"/>
      <c r="AO52" s="259"/>
      <c r="AP52" s="794"/>
      <c r="AQ52" s="259"/>
      <c r="AR52" s="259" t="s">
        <v>2343</v>
      </c>
      <c r="AS52" s="790"/>
      <c r="AT52" s="259"/>
      <c r="AU52" s="259"/>
      <c r="AV52" s="261"/>
      <c r="AW52" s="261"/>
      <c r="AX52" s="790"/>
      <c r="AY52" s="262"/>
    </row>
    <row r="53" spans="1:51" s="260" customFormat="1" ht="103.5" hidden="1" customHeight="1">
      <c r="A53" s="790"/>
      <c r="B53" s="266"/>
      <c r="C53" s="1399"/>
      <c r="D53" s="1408"/>
      <c r="E53" s="1400"/>
      <c r="F53" s="267"/>
      <c r="G53" s="1399"/>
      <c r="H53" s="1408"/>
      <c r="I53" s="1400"/>
      <c r="J53" s="1380"/>
      <c r="K53" s="1380"/>
      <c r="L53" s="1380"/>
      <c r="M53" s="790"/>
      <c r="N53" s="790"/>
      <c r="O53" s="790"/>
      <c r="P53" s="790"/>
      <c r="Q53" s="266"/>
      <c r="R53" s="266"/>
      <c r="S53" s="268"/>
      <c r="T53" s="269" t="e">
        <f>VLOOKUP(Q53,[71]Listas!$D$6:$E$10,2,0)</f>
        <v>#N/A</v>
      </c>
      <c r="U53" s="269" t="e">
        <f>HLOOKUP(R53,[71]Listas!$F$4:$J$5,2,0)</f>
        <v>#N/A</v>
      </c>
      <c r="V53" s="270" t="e">
        <f>INDEX([71]Listas!$F$6:$J$10,MATCH(Q53,[71]Listas!$D$6:$D$10,0),MATCH(R53,[71]Listas!$F$4:$J$4,0))</f>
        <v>#N/A</v>
      </c>
      <c r="W53" s="268"/>
      <c r="X53" s="1399"/>
      <c r="Y53" s="1408"/>
      <c r="Z53" s="1400"/>
      <c r="AA53" s="1063"/>
      <c r="AB53" s="267"/>
      <c r="AC53" s="259"/>
      <c r="AD53" s="790"/>
      <c r="AE53" s="267"/>
      <c r="AF53" s="268"/>
      <c r="AG53" s="269">
        <f t="shared" si="8"/>
        <v>0</v>
      </c>
      <c r="AH53" s="271" t="e">
        <f t="shared" si="9"/>
        <v>#N/A</v>
      </c>
      <c r="AI53" s="272" t="e">
        <f>IF(AH53&lt;=1,"Remota",VLOOKUP(AH53,[71]Listas!$C$6:$D$10,2,0))</f>
        <v>#N/A</v>
      </c>
      <c r="AJ53" s="271" t="e">
        <f t="shared" si="10"/>
        <v>#N/A</v>
      </c>
      <c r="AK53" s="272" t="e">
        <f>IF(AJ53&lt;=1,"Insignificante",HLOOKUP(AJ53,[71]Listas!$F$3:$J$4,2,0))</f>
        <v>#N/A</v>
      </c>
      <c r="AL53" s="273" t="e">
        <f t="shared" si="11"/>
        <v>#N/A</v>
      </c>
      <c r="AM53" s="270" t="e">
        <f>INDEX([71]Listas!$F$6:$J$10,MATCH(AI53,[71]Listas!$D$6:$D$10,0),MATCH(AK53,[71]Listas!$F$4:$J$4,0))</f>
        <v>#N/A</v>
      </c>
      <c r="AN53" s="259"/>
      <c r="AO53" s="259"/>
      <c r="AP53" s="794"/>
      <c r="AQ53" s="259"/>
      <c r="AR53" s="259" t="s">
        <v>2343</v>
      </c>
      <c r="AS53" s="790"/>
      <c r="AT53" s="259"/>
      <c r="AU53" s="259"/>
      <c r="AV53" s="261"/>
      <c r="AW53" s="261"/>
      <c r="AX53" s="790"/>
      <c r="AY53" s="262"/>
    </row>
    <row r="54" spans="1:51" s="260" customFormat="1" ht="103.5" hidden="1" customHeight="1">
      <c r="A54" s="790"/>
      <c r="B54" s="266"/>
      <c r="C54" s="1399"/>
      <c r="D54" s="1408"/>
      <c r="E54" s="1400"/>
      <c r="F54" s="267"/>
      <c r="G54" s="1399"/>
      <c r="H54" s="1408"/>
      <c r="I54" s="1400"/>
      <c r="J54" s="1380"/>
      <c r="K54" s="1380"/>
      <c r="L54" s="1380"/>
      <c r="M54" s="790"/>
      <c r="N54" s="790"/>
      <c r="O54" s="790"/>
      <c r="P54" s="790"/>
      <c r="Q54" s="266"/>
      <c r="R54" s="266"/>
      <c r="S54" s="268"/>
      <c r="T54" s="269" t="e">
        <f>VLOOKUP(Q54,[71]Listas!$D$6:$E$10,2,0)</f>
        <v>#N/A</v>
      </c>
      <c r="U54" s="269" t="e">
        <f>HLOOKUP(R54,[71]Listas!$F$4:$J$5,2,0)</f>
        <v>#N/A</v>
      </c>
      <c r="V54" s="270" t="e">
        <f>INDEX([71]Listas!$F$6:$J$10,MATCH(Q54,[71]Listas!$D$6:$D$10,0),MATCH(R54,[71]Listas!$F$4:$J$4,0))</f>
        <v>#N/A</v>
      </c>
      <c r="W54" s="268"/>
      <c r="X54" s="1399"/>
      <c r="Y54" s="1408"/>
      <c r="Z54" s="1400"/>
      <c r="AA54" s="1063"/>
      <c r="AB54" s="267"/>
      <c r="AC54" s="259"/>
      <c r="AD54" s="790"/>
      <c r="AE54" s="267"/>
      <c r="AF54" s="268"/>
      <c r="AG54" s="269">
        <f t="shared" si="8"/>
        <v>0</v>
      </c>
      <c r="AH54" s="271" t="e">
        <f t="shared" si="9"/>
        <v>#N/A</v>
      </c>
      <c r="AI54" s="272" t="e">
        <f>IF(AH54&lt;=1,"Remota",VLOOKUP(AH54,[71]Listas!$C$6:$D$10,2,0))</f>
        <v>#N/A</v>
      </c>
      <c r="AJ54" s="271" t="e">
        <f t="shared" si="10"/>
        <v>#N/A</v>
      </c>
      <c r="AK54" s="272" t="e">
        <f>IF(AJ54&lt;=1,"Insignificante",HLOOKUP(AJ54,[71]Listas!$F$3:$J$4,2,0))</f>
        <v>#N/A</v>
      </c>
      <c r="AL54" s="273" t="e">
        <f t="shared" si="11"/>
        <v>#N/A</v>
      </c>
      <c r="AM54" s="270" t="e">
        <f>INDEX([71]Listas!$F$6:$J$10,MATCH(AI54,[71]Listas!$D$6:$D$10,0),MATCH(AK54,[71]Listas!$F$4:$J$4,0))</f>
        <v>#N/A</v>
      </c>
      <c r="AN54" s="259"/>
      <c r="AO54" s="259"/>
      <c r="AP54" s="794"/>
      <c r="AQ54" s="259"/>
      <c r="AR54" s="259" t="s">
        <v>2343</v>
      </c>
      <c r="AS54" s="790"/>
      <c r="AT54" s="259"/>
      <c r="AU54" s="259"/>
      <c r="AV54" s="261"/>
      <c r="AW54" s="261"/>
      <c r="AX54" s="790"/>
      <c r="AY54" s="262"/>
    </row>
    <row r="55" spans="1:51" s="260" customFormat="1" ht="103.5" hidden="1" customHeight="1">
      <c r="A55" s="790"/>
      <c r="B55" s="266"/>
      <c r="C55" s="1399"/>
      <c r="D55" s="1408"/>
      <c r="E55" s="1400"/>
      <c r="F55" s="267"/>
      <c r="G55" s="1399"/>
      <c r="H55" s="1408"/>
      <c r="I55" s="1400"/>
      <c r="J55" s="1380"/>
      <c r="K55" s="1380"/>
      <c r="L55" s="1380"/>
      <c r="M55" s="790"/>
      <c r="N55" s="790"/>
      <c r="O55" s="790"/>
      <c r="P55" s="790"/>
      <c r="Q55" s="266"/>
      <c r="R55" s="266"/>
      <c r="S55" s="268"/>
      <c r="T55" s="269" t="e">
        <f>VLOOKUP(Q55,[71]Listas!$D$6:$E$10,2,0)</f>
        <v>#N/A</v>
      </c>
      <c r="U55" s="269" t="e">
        <f>HLOOKUP(R55,[71]Listas!$F$4:$J$5,2,0)</f>
        <v>#N/A</v>
      </c>
      <c r="V55" s="270" t="e">
        <f>INDEX([71]Listas!$F$6:$J$10,MATCH(Q55,[71]Listas!$D$6:$D$10,0),MATCH(R55,[71]Listas!$F$4:$J$4,0))</f>
        <v>#N/A</v>
      </c>
      <c r="W55" s="268"/>
      <c r="X55" s="1399"/>
      <c r="Y55" s="1408"/>
      <c r="Z55" s="1400"/>
      <c r="AA55" s="1063"/>
      <c r="AB55" s="267"/>
      <c r="AC55" s="259"/>
      <c r="AD55" s="790"/>
      <c r="AE55" s="267"/>
      <c r="AF55" s="268"/>
      <c r="AG55" s="269">
        <f t="shared" si="8"/>
        <v>0</v>
      </c>
      <c r="AH55" s="271" t="e">
        <f t="shared" si="9"/>
        <v>#N/A</v>
      </c>
      <c r="AI55" s="272" t="e">
        <f>IF(AH55&lt;=1,"Remota",VLOOKUP(AH55,[71]Listas!$C$6:$D$10,2,0))</f>
        <v>#N/A</v>
      </c>
      <c r="AJ55" s="271" t="e">
        <f t="shared" si="10"/>
        <v>#N/A</v>
      </c>
      <c r="AK55" s="272" t="e">
        <f>IF(AJ55&lt;=1,"Insignificante",HLOOKUP(AJ55,[71]Listas!$F$3:$J$4,2,0))</f>
        <v>#N/A</v>
      </c>
      <c r="AL55" s="273" t="e">
        <f t="shared" si="11"/>
        <v>#N/A</v>
      </c>
      <c r="AM55" s="270" t="e">
        <f>INDEX([71]Listas!$F$6:$J$10,MATCH(AI55,[71]Listas!$D$6:$D$10,0),MATCH(AK55,[71]Listas!$F$4:$J$4,0))</f>
        <v>#N/A</v>
      </c>
      <c r="AN55" s="259"/>
      <c r="AO55" s="259"/>
      <c r="AP55" s="794"/>
      <c r="AQ55" s="259"/>
      <c r="AR55" s="259" t="s">
        <v>2343</v>
      </c>
      <c r="AS55" s="790"/>
      <c r="AT55" s="259"/>
      <c r="AU55" s="259"/>
      <c r="AV55" s="261"/>
      <c r="AW55" s="261"/>
      <c r="AX55" s="790"/>
      <c r="AY55" s="262"/>
    </row>
    <row r="56" spans="1:51" s="260" customFormat="1" ht="103.5" hidden="1" customHeight="1">
      <c r="A56" s="790"/>
      <c r="B56" s="266"/>
      <c r="C56" s="1399"/>
      <c r="D56" s="1408"/>
      <c r="E56" s="1400"/>
      <c r="F56" s="267"/>
      <c r="G56" s="1399"/>
      <c r="H56" s="1408"/>
      <c r="I56" s="1400"/>
      <c r="J56" s="1380"/>
      <c r="K56" s="1380"/>
      <c r="L56" s="1380"/>
      <c r="M56" s="790"/>
      <c r="N56" s="790"/>
      <c r="O56" s="790"/>
      <c r="P56" s="790"/>
      <c r="Q56" s="266"/>
      <c r="R56" s="266"/>
      <c r="S56" s="268"/>
      <c r="T56" s="269" t="e">
        <f>VLOOKUP(Q56,[71]Listas!$D$6:$E$10,2,0)</f>
        <v>#N/A</v>
      </c>
      <c r="U56" s="269" t="e">
        <f>HLOOKUP(R56,[71]Listas!$F$4:$J$5,2,0)</f>
        <v>#N/A</v>
      </c>
      <c r="V56" s="270" t="e">
        <f>INDEX([71]Listas!$F$6:$J$10,MATCH(Q56,[71]Listas!$D$6:$D$10,0),MATCH(R56,[71]Listas!$F$4:$J$4,0))</f>
        <v>#N/A</v>
      </c>
      <c r="W56" s="268"/>
      <c r="X56" s="1399"/>
      <c r="Y56" s="1408"/>
      <c r="Z56" s="1400"/>
      <c r="AA56" s="1063"/>
      <c r="AB56" s="267"/>
      <c r="AC56" s="259"/>
      <c r="AD56" s="790"/>
      <c r="AE56" s="267"/>
      <c r="AF56" s="268"/>
      <c r="AG56" s="269">
        <f t="shared" si="8"/>
        <v>0</v>
      </c>
      <c r="AH56" s="271" t="e">
        <f t="shared" si="9"/>
        <v>#N/A</v>
      </c>
      <c r="AI56" s="272" t="e">
        <f>IF(AH56&lt;=1,"Remota",VLOOKUP(AH56,[71]Listas!$C$6:$D$10,2,0))</f>
        <v>#N/A</v>
      </c>
      <c r="AJ56" s="271" t="e">
        <f t="shared" si="10"/>
        <v>#N/A</v>
      </c>
      <c r="AK56" s="272" t="e">
        <f>IF(AJ56&lt;=1,"Insignificante",HLOOKUP(AJ56,[71]Listas!$F$3:$J$4,2,0))</f>
        <v>#N/A</v>
      </c>
      <c r="AL56" s="273" t="e">
        <f t="shared" si="11"/>
        <v>#N/A</v>
      </c>
      <c r="AM56" s="270" t="e">
        <f>INDEX([71]Listas!$F$6:$J$10,MATCH(AI56,[71]Listas!$D$6:$D$10,0),MATCH(AK56,[71]Listas!$F$4:$J$4,0))</f>
        <v>#N/A</v>
      </c>
      <c r="AN56" s="259"/>
      <c r="AO56" s="259"/>
      <c r="AP56" s="794"/>
      <c r="AQ56" s="259"/>
      <c r="AR56" s="259" t="s">
        <v>2343</v>
      </c>
      <c r="AS56" s="790"/>
      <c r="AT56" s="259"/>
      <c r="AU56" s="259"/>
      <c r="AV56" s="261"/>
      <c r="AW56" s="261"/>
      <c r="AX56" s="790"/>
      <c r="AY56" s="262"/>
    </row>
    <row r="57" spans="1:51" s="260" customFormat="1" ht="103.5" hidden="1" customHeight="1">
      <c r="A57" s="790"/>
      <c r="B57" s="266"/>
      <c r="C57" s="1399"/>
      <c r="D57" s="1408"/>
      <c r="E57" s="1400"/>
      <c r="F57" s="267"/>
      <c r="G57" s="1399"/>
      <c r="H57" s="1408"/>
      <c r="I57" s="1400"/>
      <c r="J57" s="1380"/>
      <c r="K57" s="1380"/>
      <c r="L57" s="1380"/>
      <c r="M57" s="790"/>
      <c r="N57" s="790"/>
      <c r="O57" s="790"/>
      <c r="P57" s="790"/>
      <c r="Q57" s="266"/>
      <c r="R57" s="266"/>
      <c r="S57" s="268"/>
      <c r="T57" s="269" t="e">
        <f>VLOOKUP(Q57,[71]Listas!$D$6:$E$10,2,0)</f>
        <v>#N/A</v>
      </c>
      <c r="U57" s="269" t="e">
        <f>HLOOKUP(R57,[71]Listas!$F$4:$J$5,2,0)</f>
        <v>#N/A</v>
      </c>
      <c r="V57" s="270" t="e">
        <f>INDEX([71]Listas!$F$6:$J$10,MATCH(Q57,[71]Listas!$D$6:$D$10,0),MATCH(R57,[71]Listas!$F$4:$J$4,0))</f>
        <v>#N/A</v>
      </c>
      <c r="W57" s="268"/>
      <c r="X57" s="1399"/>
      <c r="Y57" s="1408"/>
      <c r="Z57" s="1400"/>
      <c r="AA57" s="1063"/>
      <c r="AB57" s="267"/>
      <c r="AC57" s="259"/>
      <c r="AD57" s="790"/>
      <c r="AE57" s="267"/>
      <c r="AF57" s="268"/>
      <c r="AG57" s="269">
        <f t="shared" si="8"/>
        <v>0</v>
      </c>
      <c r="AH57" s="271" t="e">
        <f t="shared" si="9"/>
        <v>#N/A</v>
      </c>
      <c r="AI57" s="272" t="e">
        <f>IF(AH57&lt;=1,"Remota",VLOOKUP(AH57,[71]Listas!$C$6:$D$10,2,0))</f>
        <v>#N/A</v>
      </c>
      <c r="AJ57" s="271" t="e">
        <f t="shared" si="10"/>
        <v>#N/A</v>
      </c>
      <c r="AK57" s="272" t="e">
        <f>IF(AJ57&lt;=1,"Insignificante",HLOOKUP(AJ57,[71]Listas!$F$3:$J$4,2,0))</f>
        <v>#N/A</v>
      </c>
      <c r="AL57" s="273" t="e">
        <f t="shared" si="11"/>
        <v>#N/A</v>
      </c>
      <c r="AM57" s="270" t="e">
        <f>INDEX([71]Listas!$F$6:$J$10,MATCH(AI57,[71]Listas!$D$6:$D$10,0),MATCH(AK57,[71]Listas!$F$4:$J$4,0))</f>
        <v>#N/A</v>
      </c>
      <c r="AN57" s="259"/>
      <c r="AO57" s="259"/>
      <c r="AP57" s="794"/>
      <c r="AQ57" s="259"/>
      <c r="AR57" s="259" t="s">
        <v>2343</v>
      </c>
      <c r="AS57" s="790"/>
      <c r="AT57" s="259"/>
      <c r="AU57" s="259"/>
      <c r="AV57" s="261"/>
      <c r="AW57" s="261"/>
      <c r="AX57" s="790"/>
      <c r="AY57" s="262"/>
    </row>
    <row r="58" spans="1:51" s="260" customFormat="1" ht="103.5" hidden="1" customHeight="1">
      <c r="A58" s="790"/>
      <c r="B58" s="266"/>
      <c r="C58" s="1399"/>
      <c r="D58" s="1408"/>
      <c r="E58" s="1400"/>
      <c r="F58" s="267"/>
      <c r="G58" s="1399"/>
      <c r="H58" s="1408"/>
      <c r="I58" s="1400"/>
      <c r="J58" s="1380"/>
      <c r="K58" s="1380"/>
      <c r="L58" s="1380"/>
      <c r="M58" s="790"/>
      <c r="N58" s="790"/>
      <c r="O58" s="790"/>
      <c r="P58" s="790"/>
      <c r="Q58" s="266"/>
      <c r="R58" s="266"/>
      <c r="S58" s="268"/>
      <c r="T58" s="269" t="e">
        <f>VLOOKUP(Q58,[71]Listas!$D$6:$E$10,2,0)</f>
        <v>#N/A</v>
      </c>
      <c r="U58" s="269" t="e">
        <f>HLOOKUP(R58,[71]Listas!$F$4:$J$5,2,0)</f>
        <v>#N/A</v>
      </c>
      <c r="V58" s="270" t="e">
        <f>INDEX([71]Listas!$F$6:$J$10,MATCH(Q58,[71]Listas!$D$6:$D$10,0),MATCH(R58,[71]Listas!$F$4:$J$4,0))</f>
        <v>#N/A</v>
      </c>
      <c r="W58" s="268"/>
      <c r="X58" s="1399"/>
      <c r="Y58" s="1408"/>
      <c r="Z58" s="1400"/>
      <c r="AA58" s="1063"/>
      <c r="AB58" s="267"/>
      <c r="AC58" s="259"/>
      <c r="AD58" s="790"/>
      <c r="AE58" s="267"/>
      <c r="AF58" s="268"/>
      <c r="AG58" s="269">
        <f t="shared" si="8"/>
        <v>0</v>
      </c>
      <c r="AH58" s="271" t="e">
        <f t="shared" si="9"/>
        <v>#N/A</v>
      </c>
      <c r="AI58" s="272" t="e">
        <f>IF(AH58&lt;=1,"Remota",VLOOKUP(AH58,[71]Listas!$C$6:$D$10,2,0))</f>
        <v>#N/A</v>
      </c>
      <c r="AJ58" s="271" t="e">
        <f t="shared" si="10"/>
        <v>#N/A</v>
      </c>
      <c r="AK58" s="272" t="e">
        <f>IF(AJ58&lt;=1,"Insignificante",HLOOKUP(AJ58,[71]Listas!$F$3:$J$4,2,0))</f>
        <v>#N/A</v>
      </c>
      <c r="AL58" s="273" t="e">
        <f t="shared" si="11"/>
        <v>#N/A</v>
      </c>
      <c r="AM58" s="270" t="e">
        <f>INDEX([71]Listas!$F$6:$J$10,MATCH(AI58,[71]Listas!$D$6:$D$10,0),MATCH(AK58,[71]Listas!$F$4:$J$4,0))</f>
        <v>#N/A</v>
      </c>
      <c r="AN58" s="259"/>
      <c r="AO58" s="259"/>
      <c r="AP58" s="794"/>
      <c r="AQ58" s="259"/>
      <c r="AR58" s="259" t="s">
        <v>2343</v>
      </c>
      <c r="AS58" s="790"/>
      <c r="AT58" s="259"/>
      <c r="AU58" s="259"/>
      <c r="AV58" s="261"/>
      <c r="AW58" s="261"/>
      <c r="AX58" s="790"/>
      <c r="AY58" s="262"/>
    </row>
    <row r="59" spans="1:51" s="260" customFormat="1" ht="103.5" hidden="1" customHeight="1">
      <c r="A59" s="790"/>
      <c r="B59" s="266"/>
      <c r="C59" s="1399"/>
      <c r="D59" s="1408"/>
      <c r="E59" s="1400"/>
      <c r="F59" s="267"/>
      <c r="G59" s="1399"/>
      <c r="H59" s="1408"/>
      <c r="I59" s="1400"/>
      <c r="J59" s="1380"/>
      <c r="K59" s="1380"/>
      <c r="L59" s="1380"/>
      <c r="M59" s="790"/>
      <c r="N59" s="790"/>
      <c r="O59" s="790"/>
      <c r="P59" s="790"/>
      <c r="Q59" s="266"/>
      <c r="R59" s="266"/>
      <c r="S59" s="268"/>
      <c r="T59" s="269" t="e">
        <f>VLOOKUP(Q59,[71]Listas!$D$6:$E$10,2,0)</f>
        <v>#N/A</v>
      </c>
      <c r="U59" s="269" t="e">
        <f>HLOOKUP(R59,[71]Listas!$F$4:$J$5,2,0)</f>
        <v>#N/A</v>
      </c>
      <c r="V59" s="270" t="e">
        <f>INDEX([71]Listas!$F$6:$J$10,MATCH(Q59,[71]Listas!$D$6:$D$10,0),MATCH(R59,[71]Listas!$F$4:$J$4,0))</f>
        <v>#N/A</v>
      </c>
      <c r="W59" s="268"/>
      <c r="X59" s="1399"/>
      <c r="Y59" s="1408"/>
      <c r="Z59" s="1400"/>
      <c r="AA59" s="1063"/>
      <c r="AB59" s="267"/>
      <c r="AC59" s="259"/>
      <c r="AD59" s="790"/>
      <c r="AE59" s="267"/>
      <c r="AF59" s="268"/>
      <c r="AG59" s="269">
        <f t="shared" si="8"/>
        <v>0</v>
      </c>
      <c r="AH59" s="271" t="e">
        <f t="shared" si="9"/>
        <v>#N/A</v>
      </c>
      <c r="AI59" s="272" t="e">
        <f>IF(AH59&lt;=1,"Remota",VLOOKUP(AH59,[71]Listas!$C$6:$D$10,2,0))</f>
        <v>#N/A</v>
      </c>
      <c r="AJ59" s="271" t="e">
        <f t="shared" si="10"/>
        <v>#N/A</v>
      </c>
      <c r="AK59" s="272" t="e">
        <f>IF(AJ59&lt;=1,"Insignificante",HLOOKUP(AJ59,[71]Listas!$F$3:$J$4,2,0))</f>
        <v>#N/A</v>
      </c>
      <c r="AL59" s="273" t="e">
        <f t="shared" si="11"/>
        <v>#N/A</v>
      </c>
      <c r="AM59" s="270" t="e">
        <f>INDEX([71]Listas!$F$6:$J$10,MATCH(AI59,[71]Listas!$D$6:$D$10,0),MATCH(AK59,[71]Listas!$F$4:$J$4,0))</f>
        <v>#N/A</v>
      </c>
      <c r="AN59" s="259"/>
      <c r="AO59" s="259"/>
      <c r="AP59" s="794"/>
      <c r="AQ59" s="259"/>
      <c r="AR59" s="259" t="s">
        <v>2343</v>
      </c>
      <c r="AS59" s="790"/>
      <c r="AT59" s="259"/>
      <c r="AU59" s="259"/>
      <c r="AV59" s="261"/>
      <c r="AW59" s="261"/>
      <c r="AX59" s="790"/>
      <c r="AY59" s="262"/>
    </row>
    <row r="60" spans="1:51" s="260" customFormat="1" ht="103.5" hidden="1" customHeight="1">
      <c r="A60" s="790"/>
      <c r="B60" s="266"/>
      <c r="C60" s="1399"/>
      <c r="D60" s="1408"/>
      <c r="E60" s="1400"/>
      <c r="F60" s="267"/>
      <c r="G60" s="1399"/>
      <c r="H60" s="1408"/>
      <c r="I60" s="1400"/>
      <c r="J60" s="1380"/>
      <c r="K60" s="1380"/>
      <c r="L60" s="1380"/>
      <c r="M60" s="790"/>
      <c r="N60" s="790"/>
      <c r="O60" s="790"/>
      <c r="P60" s="790"/>
      <c r="Q60" s="266"/>
      <c r="R60" s="266"/>
      <c r="S60" s="268"/>
      <c r="T60" s="269" t="e">
        <f>VLOOKUP(Q60,[71]Listas!$D$6:$E$10,2,0)</f>
        <v>#N/A</v>
      </c>
      <c r="U60" s="269" t="e">
        <f>HLOOKUP(R60,[71]Listas!$F$4:$J$5,2,0)</f>
        <v>#N/A</v>
      </c>
      <c r="V60" s="270" t="e">
        <f>INDEX([71]Listas!$F$6:$J$10,MATCH(Q60,[71]Listas!$D$6:$D$10,0),MATCH(R60,[71]Listas!$F$4:$J$4,0))</f>
        <v>#N/A</v>
      </c>
      <c r="W60" s="268"/>
      <c r="X60" s="1399"/>
      <c r="Y60" s="1408"/>
      <c r="Z60" s="1400"/>
      <c r="AA60" s="1063"/>
      <c r="AB60" s="267"/>
      <c r="AC60" s="259"/>
      <c r="AD60" s="790"/>
      <c r="AE60" s="267"/>
      <c r="AF60" s="268"/>
      <c r="AG60" s="269">
        <f t="shared" si="8"/>
        <v>0</v>
      </c>
      <c r="AH60" s="271" t="e">
        <f t="shared" si="9"/>
        <v>#N/A</v>
      </c>
      <c r="AI60" s="272" t="e">
        <f>IF(AH60&lt;=1,"Remota",VLOOKUP(AH60,[71]Listas!$C$6:$D$10,2,0))</f>
        <v>#N/A</v>
      </c>
      <c r="AJ60" s="271" t="e">
        <f t="shared" si="10"/>
        <v>#N/A</v>
      </c>
      <c r="AK60" s="272" t="e">
        <f>IF(AJ60&lt;=1,"Insignificante",HLOOKUP(AJ60,[71]Listas!$F$3:$J$4,2,0))</f>
        <v>#N/A</v>
      </c>
      <c r="AL60" s="273" t="e">
        <f t="shared" si="11"/>
        <v>#N/A</v>
      </c>
      <c r="AM60" s="270" t="e">
        <f>INDEX([71]Listas!$F$6:$J$10,MATCH(AI60,[71]Listas!$D$6:$D$10,0),MATCH(AK60,[71]Listas!$F$4:$J$4,0))</f>
        <v>#N/A</v>
      </c>
      <c r="AN60" s="259"/>
      <c r="AO60" s="259"/>
      <c r="AP60" s="794"/>
      <c r="AQ60" s="259"/>
      <c r="AR60" s="259" t="s">
        <v>2343</v>
      </c>
      <c r="AS60" s="790"/>
      <c r="AT60" s="259"/>
      <c r="AU60" s="259"/>
      <c r="AV60" s="261"/>
      <c r="AW60" s="261"/>
      <c r="AX60" s="790"/>
      <c r="AY60" s="262"/>
    </row>
    <row r="61" spans="1:51" s="260" customFormat="1" ht="103.5" hidden="1" customHeight="1">
      <c r="A61" s="790"/>
      <c r="B61" s="266"/>
      <c r="C61" s="1399"/>
      <c r="D61" s="1408"/>
      <c r="E61" s="1400"/>
      <c r="F61" s="267"/>
      <c r="G61" s="1399"/>
      <c r="H61" s="1408"/>
      <c r="I61" s="1400"/>
      <c r="J61" s="1380"/>
      <c r="K61" s="1380"/>
      <c r="L61" s="1380"/>
      <c r="M61" s="790"/>
      <c r="N61" s="790"/>
      <c r="O61" s="790"/>
      <c r="P61" s="790"/>
      <c r="Q61" s="266"/>
      <c r="R61" s="266"/>
      <c r="S61" s="268"/>
      <c r="T61" s="269" t="e">
        <f>VLOOKUP(Q61,[71]Listas!$D$6:$E$10,2,0)</f>
        <v>#N/A</v>
      </c>
      <c r="U61" s="269" t="e">
        <f>HLOOKUP(R61,[71]Listas!$F$4:$J$5,2,0)</f>
        <v>#N/A</v>
      </c>
      <c r="V61" s="270" t="e">
        <f>INDEX([71]Listas!$F$6:$J$10,MATCH(Q61,[71]Listas!$D$6:$D$10,0),MATCH(R61,[71]Listas!$F$4:$J$4,0))</f>
        <v>#N/A</v>
      </c>
      <c r="W61" s="268"/>
      <c r="X61" s="1399"/>
      <c r="Y61" s="1408"/>
      <c r="Z61" s="1400"/>
      <c r="AA61" s="1063"/>
      <c r="AB61" s="267"/>
      <c r="AC61" s="259"/>
      <c r="AD61" s="790"/>
      <c r="AE61" s="267"/>
      <c r="AF61" s="268"/>
      <c r="AG61" s="269">
        <f t="shared" si="8"/>
        <v>0</v>
      </c>
      <c r="AH61" s="271" t="e">
        <f t="shared" si="9"/>
        <v>#N/A</v>
      </c>
      <c r="AI61" s="272" t="e">
        <f>IF(AH61&lt;=1,"Remota",VLOOKUP(AH61,[71]Listas!$C$6:$D$10,2,0))</f>
        <v>#N/A</v>
      </c>
      <c r="AJ61" s="271" t="e">
        <f t="shared" si="10"/>
        <v>#N/A</v>
      </c>
      <c r="AK61" s="272" t="e">
        <f>IF(AJ61&lt;=1,"Insignificante",HLOOKUP(AJ61,[71]Listas!$F$3:$J$4,2,0))</f>
        <v>#N/A</v>
      </c>
      <c r="AL61" s="273" t="e">
        <f t="shared" si="11"/>
        <v>#N/A</v>
      </c>
      <c r="AM61" s="270" t="e">
        <f>INDEX([71]Listas!$F$6:$J$10,MATCH(AI61,[71]Listas!$D$6:$D$10,0),MATCH(AK61,[71]Listas!$F$4:$J$4,0))</f>
        <v>#N/A</v>
      </c>
      <c r="AN61" s="259"/>
      <c r="AO61" s="259"/>
      <c r="AP61" s="794"/>
      <c r="AQ61" s="259"/>
      <c r="AR61" s="259" t="s">
        <v>2343</v>
      </c>
      <c r="AS61" s="790"/>
      <c r="AT61" s="259"/>
      <c r="AU61" s="259"/>
      <c r="AV61" s="261"/>
      <c r="AW61" s="261"/>
      <c r="AX61" s="790"/>
      <c r="AY61" s="262"/>
    </row>
    <row r="62" spans="1:51" s="260" customFormat="1" ht="103.5" hidden="1" customHeight="1">
      <c r="A62" s="790"/>
      <c r="B62" s="266"/>
      <c r="C62" s="1399"/>
      <c r="D62" s="1408"/>
      <c r="E62" s="1400"/>
      <c r="F62" s="266"/>
      <c r="G62" s="1399"/>
      <c r="H62" s="1408"/>
      <c r="I62" s="1400"/>
      <c r="J62" s="1380"/>
      <c r="K62" s="1380"/>
      <c r="L62" s="1380"/>
      <c r="M62" s="790"/>
      <c r="N62" s="790"/>
      <c r="O62" s="790"/>
      <c r="P62" s="790"/>
      <c r="Q62" s="266"/>
      <c r="R62" s="266"/>
      <c r="S62" s="268"/>
      <c r="T62" s="269" t="e">
        <f>VLOOKUP(Q62,[71]Listas!$D$6:$E$10,2,0)</f>
        <v>#N/A</v>
      </c>
      <c r="U62" s="269" t="e">
        <f>HLOOKUP(R62,[71]Listas!$F$4:$J$5,2,0)</f>
        <v>#N/A</v>
      </c>
      <c r="V62" s="270" t="e">
        <f>INDEX([71]Listas!$F$6:$J$10,MATCH(Q62,[71]Listas!$D$6:$D$10,0),MATCH(R62,[71]Listas!$F$4:$J$4,0))</f>
        <v>#N/A</v>
      </c>
      <c r="W62" s="268"/>
      <c r="X62" s="1399"/>
      <c r="Y62" s="1408"/>
      <c r="Z62" s="1400"/>
      <c r="AA62" s="1063"/>
      <c r="AB62" s="267"/>
      <c r="AC62" s="259"/>
      <c r="AD62" s="790"/>
      <c r="AE62" s="267"/>
      <c r="AF62" s="268"/>
      <c r="AG62" s="269">
        <f>IF(AD62&lt;=33,0,IF(AD62&gt;81,2,1))</f>
        <v>0</v>
      </c>
      <c r="AH62" s="271" t="e">
        <f>IF(OR(AE62="Probabilidad",AE62="Ambos"),T62-AG62,T62)</f>
        <v>#N/A</v>
      </c>
      <c r="AI62" s="272" t="e">
        <f>IF(AH62&lt;=1,"Remota",VLOOKUP(AH62,[71]Listas!$C$6:$D$10,2,0))</f>
        <v>#N/A</v>
      </c>
      <c r="AJ62" s="271" t="e">
        <f>IF(OR(AE62="Impacto",AE62="Ambos"),U62-AG62,U62)</f>
        <v>#N/A</v>
      </c>
      <c r="AK62" s="272" t="e">
        <f>IF(AJ62&lt;=1,"Insignificante",HLOOKUP(AJ62,[71]Listas!$F$3:$J$4,2,0))</f>
        <v>#N/A</v>
      </c>
      <c r="AL62" s="273" t="e">
        <f>AH62*AJ62</f>
        <v>#N/A</v>
      </c>
      <c r="AM62" s="270" t="e">
        <f>INDEX([71]Listas!$F$6:$J$10,MATCH(AI62,[71]Listas!$D$6:$D$10,0),MATCH(AK62,[71]Listas!$F$4:$J$4,0))</f>
        <v>#N/A</v>
      </c>
      <c r="AN62" s="259"/>
      <c r="AO62" s="259"/>
      <c r="AP62" s="794"/>
      <c r="AQ62" s="259"/>
      <c r="AR62" s="259" t="s">
        <v>2343</v>
      </c>
      <c r="AS62" s="790"/>
      <c r="AU62" s="259"/>
      <c r="AV62" s="261"/>
      <c r="AW62" s="261"/>
      <c r="AX62" s="790"/>
      <c r="AY62" s="262"/>
    </row>
    <row r="63" spans="1:51" s="260" customFormat="1" ht="103.5" hidden="1" customHeight="1">
      <c r="A63" s="790"/>
      <c r="B63" s="266"/>
      <c r="C63" s="1399"/>
      <c r="D63" s="1408"/>
      <c r="E63" s="1400"/>
      <c r="F63" s="267"/>
      <c r="G63" s="1399"/>
      <c r="H63" s="1408"/>
      <c r="I63" s="1400"/>
      <c r="J63" s="1380"/>
      <c r="K63" s="1380"/>
      <c r="L63" s="1380"/>
      <c r="M63" s="790"/>
      <c r="N63" s="790"/>
      <c r="O63" s="790"/>
      <c r="P63" s="790"/>
      <c r="Q63" s="266"/>
      <c r="R63" s="266"/>
      <c r="S63" s="268"/>
      <c r="T63" s="269" t="e">
        <f>VLOOKUP(Q63,[71]Listas!$D$6:$E$10,2,0)</f>
        <v>#N/A</v>
      </c>
      <c r="U63" s="269" t="e">
        <f>HLOOKUP(R63,[71]Listas!$F$4:$J$5,2,0)</f>
        <v>#N/A</v>
      </c>
      <c r="V63" s="270" t="e">
        <f>INDEX([71]Listas!$F$6:$J$10,MATCH(Q63,[71]Listas!$D$6:$D$10,0),MATCH(R63,[71]Listas!$F$4:$J$4,0))</f>
        <v>#N/A</v>
      </c>
      <c r="W63" s="268"/>
      <c r="X63" s="1399"/>
      <c r="Y63" s="1408"/>
      <c r="Z63" s="1400"/>
      <c r="AA63" s="1063"/>
      <c r="AB63" s="267"/>
      <c r="AC63" s="259"/>
      <c r="AD63" s="790"/>
      <c r="AE63" s="267"/>
      <c r="AF63" s="268"/>
      <c r="AG63" s="269">
        <f t="shared" ref="AG63:AG83" si="12">IF(AD63&lt;=33,0,IF(AD63&gt;81,2,1))</f>
        <v>0</v>
      </c>
      <c r="AH63" s="271" t="e">
        <f t="shared" ref="AH63:AH83" si="13">IF(OR(AE63="Probabilidad",AE63="Ambos"),T63-AG63,T63)</f>
        <v>#N/A</v>
      </c>
      <c r="AI63" s="272" t="e">
        <f>IF(AH63&lt;=1,"Remota",VLOOKUP(AH63,[71]Listas!$C$6:$D$10,2,0))</f>
        <v>#N/A</v>
      </c>
      <c r="AJ63" s="271" t="e">
        <f t="shared" ref="AJ63:AJ83" si="14">IF(OR(AE63="Impacto",AE63="Ambos"),U63-AG63,U63)</f>
        <v>#N/A</v>
      </c>
      <c r="AK63" s="272" t="e">
        <f>IF(AJ63&lt;=1,"Insignificante",HLOOKUP(AJ63,[71]Listas!$F$3:$J$4,2,0))</f>
        <v>#N/A</v>
      </c>
      <c r="AL63" s="273" t="e">
        <f t="shared" ref="AL63:AL83" si="15">AH63*AJ63</f>
        <v>#N/A</v>
      </c>
      <c r="AM63" s="270" t="e">
        <f>INDEX([71]Listas!$F$6:$J$10,MATCH(AI63,[71]Listas!$D$6:$D$10,0),MATCH(AK63,[71]Listas!$F$4:$J$4,0))</f>
        <v>#N/A</v>
      </c>
      <c r="AN63" s="259"/>
      <c r="AO63" s="259"/>
      <c r="AP63" s="794"/>
      <c r="AQ63" s="259"/>
      <c r="AR63" s="259" t="s">
        <v>2343</v>
      </c>
      <c r="AS63" s="790"/>
      <c r="AT63" s="259"/>
      <c r="AU63" s="259"/>
      <c r="AV63" s="261"/>
      <c r="AW63" s="261"/>
      <c r="AX63" s="790"/>
      <c r="AY63" s="262"/>
    </row>
    <row r="64" spans="1:51" s="260" customFormat="1" ht="103.5" hidden="1" customHeight="1">
      <c r="A64" s="790"/>
      <c r="B64" s="266"/>
      <c r="C64" s="1399"/>
      <c r="D64" s="1408"/>
      <c r="E64" s="1400"/>
      <c r="F64" s="267"/>
      <c r="G64" s="1399"/>
      <c r="H64" s="1408"/>
      <c r="I64" s="1400"/>
      <c r="J64" s="1380"/>
      <c r="K64" s="1380"/>
      <c r="L64" s="1380"/>
      <c r="M64" s="790"/>
      <c r="N64" s="790"/>
      <c r="O64" s="790"/>
      <c r="P64" s="790"/>
      <c r="Q64" s="266"/>
      <c r="R64" s="266"/>
      <c r="S64" s="268"/>
      <c r="T64" s="269" t="e">
        <f>VLOOKUP(Q64,[71]Listas!$D$6:$E$10,2,0)</f>
        <v>#N/A</v>
      </c>
      <c r="U64" s="269" t="e">
        <f>HLOOKUP(R64,[71]Listas!$F$4:$J$5,2,0)</f>
        <v>#N/A</v>
      </c>
      <c r="V64" s="270" t="e">
        <f>INDEX([71]Listas!$F$6:$J$10,MATCH(Q64,[71]Listas!$D$6:$D$10,0),MATCH(R64,[71]Listas!$F$4:$J$4,0))</f>
        <v>#N/A</v>
      </c>
      <c r="W64" s="268"/>
      <c r="X64" s="1399"/>
      <c r="Y64" s="1408"/>
      <c r="Z64" s="1400"/>
      <c r="AA64" s="1063"/>
      <c r="AB64" s="267"/>
      <c r="AC64" s="259"/>
      <c r="AD64" s="790"/>
      <c r="AE64" s="267"/>
      <c r="AF64" s="268"/>
      <c r="AG64" s="269">
        <f t="shared" si="12"/>
        <v>0</v>
      </c>
      <c r="AH64" s="271" t="e">
        <f t="shared" si="13"/>
        <v>#N/A</v>
      </c>
      <c r="AI64" s="272" t="e">
        <f>IF(AH64&lt;=1,"Remota",VLOOKUP(AH64,[71]Listas!$C$6:$D$10,2,0))</f>
        <v>#N/A</v>
      </c>
      <c r="AJ64" s="271" t="e">
        <f t="shared" si="14"/>
        <v>#N/A</v>
      </c>
      <c r="AK64" s="272" t="e">
        <f>IF(AJ64&lt;=1,"Insignificante",HLOOKUP(AJ64,[71]Listas!$F$3:$J$4,2,0))</f>
        <v>#N/A</v>
      </c>
      <c r="AL64" s="273" t="e">
        <f t="shared" si="15"/>
        <v>#N/A</v>
      </c>
      <c r="AM64" s="270" t="e">
        <f>INDEX([71]Listas!$F$6:$J$10,MATCH(AI64,[71]Listas!$D$6:$D$10,0),MATCH(AK64,[71]Listas!$F$4:$J$4,0))</f>
        <v>#N/A</v>
      </c>
      <c r="AN64" s="259"/>
      <c r="AO64" s="259"/>
      <c r="AP64" s="794"/>
      <c r="AQ64" s="259"/>
      <c r="AR64" s="259" t="s">
        <v>2343</v>
      </c>
      <c r="AS64" s="790"/>
      <c r="AT64" s="259"/>
      <c r="AU64" s="259"/>
      <c r="AV64" s="261"/>
      <c r="AW64" s="261"/>
      <c r="AX64" s="790"/>
      <c r="AY64" s="262"/>
    </row>
    <row r="65" spans="1:51" s="260" customFormat="1" ht="103.5" hidden="1" customHeight="1">
      <c r="A65" s="790"/>
      <c r="B65" s="266"/>
      <c r="C65" s="1399"/>
      <c r="D65" s="1408"/>
      <c r="E65" s="1400"/>
      <c r="F65" s="267"/>
      <c r="G65" s="1399"/>
      <c r="H65" s="1408"/>
      <c r="I65" s="1400"/>
      <c r="J65" s="1380"/>
      <c r="K65" s="1380"/>
      <c r="L65" s="1380"/>
      <c r="M65" s="790"/>
      <c r="N65" s="790"/>
      <c r="O65" s="790"/>
      <c r="P65" s="790"/>
      <c r="Q65" s="266"/>
      <c r="R65" s="266"/>
      <c r="S65" s="268"/>
      <c r="T65" s="269" t="e">
        <f>VLOOKUP(Q65,[71]Listas!$D$6:$E$10,2,0)</f>
        <v>#N/A</v>
      </c>
      <c r="U65" s="269" t="e">
        <f>HLOOKUP(R65,[71]Listas!$F$4:$J$5,2,0)</f>
        <v>#N/A</v>
      </c>
      <c r="V65" s="270" t="e">
        <f>INDEX([71]Listas!$F$6:$J$10,MATCH(Q65,[71]Listas!$D$6:$D$10,0),MATCH(R65,[71]Listas!$F$4:$J$4,0))</f>
        <v>#N/A</v>
      </c>
      <c r="W65" s="268"/>
      <c r="X65" s="1399"/>
      <c r="Y65" s="1408"/>
      <c r="Z65" s="1400"/>
      <c r="AA65" s="1063"/>
      <c r="AB65" s="267"/>
      <c r="AC65" s="259"/>
      <c r="AD65" s="790"/>
      <c r="AE65" s="267"/>
      <c r="AF65" s="268"/>
      <c r="AG65" s="269">
        <f t="shared" si="12"/>
        <v>0</v>
      </c>
      <c r="AH65" s="271" t="e">
        <f t="shared" si="13"/>
        <v>#N/A</v>
      </c>
      <c r="AI65" s="272" t="e">
        <f>IF(AH65&lt;=1,"Remota",VLOOKUP(AH65,[71]Listas!$C$6:$D$10,2,0))</f>
        <v>#N/A</v>
      </c>
      <c r="AJ65" s="271" t="e">
        <f t="shared" si="14"/>
        <v>#N/A</v>
      </c>
      <c r="AK65" s="272" t="e">
        <f>IF(AJ65&lt;=1,"Insignificante",HLOOKUP(AJ65,[71]Listas!$F$3:$J$4,2,0))</f>
        <v>#N/A</v>
      </c>
      <c r="AL65" s="273" t="e">
        <f t="shared" si="15"/>
        <v>#N/A</v>
      </c>
      <c r="AM65" s="270" t="e">
        <f>INDEX([71]Listas!$F$6:$J$10,MATCH(AI65,[71]Listas!$D$6:$D$10,0),MATCH(AK65,[71]Listas!$F$4:$J$4,0))</f>
        <v>#N/A</v>
      </c>
      <c r="AN65" s="259"/>
      <c r="AO65" s="259"/>
      <c r="AP65" s="794"/>
      <c r="AQ65" s="259"/>
      <c r="AR65" s="259" t="s">
        <v>2343</v>
      </c>
      <c r="AS65" s="790"/>
      <c r="AT65" s="259"/>
      <c r="AU65" s="259"/>
      <c r="AV65" s="261"/>
      <c r="AW65" s="261"/>
      <c r="AX65" s="790"/>
      <c r="AY65" s="262"/>
    </row>
    <row r="66" spans="1:51" s="260" customFormat="1" ht="103.5" hidden="1" customHeight="1">
      <c r="A66" s="790"/>
      <c r="B66" s="266"/>
      <c r="C66" s="1399"/>
      <c r="D66" s="1408"/>
      <c r="E66" s="1400"/>
      <c r="F66" s="267"/>
      <c r="G66" s="1399"/>
      <c r="H66" s="1408"/>
      <c r="I66" s="1400"/>
      <c r="J66" s="1380"/>
      <c r="K66" s="1380"/>
      <c r="L66" s="1380"/>
      <c r="M66" s="790"/>
      <c r="N66" s="790"/>
      <c r="O66" s="790"/>
      <c r="P66" s="790"/>
      <c r="Q66" s="266"/>
      <c r="R66" s="266"/>
      <c r="S66" s="268"/>
      <c r="T66" s="269" t="e">
        <f>VLOOKUP(Q66,[71]Listas!$D$6:$E$10,2,0)</f>
        <v>#N/A</v>
      </c>
      <c r="U66" s="269" t="e">
        <f>HLOOKUP(R66,[71]Listas!$F$4:$J$5,2,0)</f>
        <v>#N/A</v>
      </c>
      <c r="V66" s="270" t="e">
        <f>INDEX([71]Listas!$F$6:$J$10,MATCH(Q66,[71]Listas!$D$6:$D$10,0),MATCH(R66,[71]Listas!$F$4:$J$4,0))</f>
        <v>#N/A</v>
      </c>
      <c r="W66" s="268"/>
      <c r="X66" s="1399"/>
      <c r="Y66" s="1408"/>
      <c r="Z66" s="1400"/>
      <c r="AA66" s="1063"/>
      <c r="AB66" s="267"/>
      <c r="AC66" s="259"/>
      <c r="AD66" s="790"/>
      <c r="AE66" s="267"/>
      <c r="AF66" s="268"/>
      <c r="AG66" s="269">
        <f t="shared" si="12"/>
        <v>0</v>
      </c>
      <c r="AH66" s="271" t="e">
        <f t="shared" si="13"/>
        <v>#N/A</v>
      </c>
      <c r="AI66" s="272" t="e">
        <f>IF(AH66&lt;=1,"Remota",VLOOKUP(AH66,[71]Listas!$C$6:$D$10,2,0))</f>
        <v>#N/A</v>
      </c>
      <c r="AJ66" s="271" t="e">
        <f t="shared" si="14"/>
        <v>#N/A</v>
      </c>
      <c r="AK66" s="272" t="e">
        <f>IF(AJ66&lt;=1,"Insignificante",HLOOKUP(AJ66,[71]Listas!$F$3:$J$4,2,0))</f>
        <v>#N/A</v>
      </c>
      <c r="AL66" s="273" t="e">
        <f t="shared" si="15"/>
        <v>#N/A</v>
      </c>
      <c r="AM66" s="270" t="e">
        <f>INDEX([71]Listas!$F$6:$J$10,MATCH(AI66,[71]Listas!$D$6:$D$10,0),MATCH(AK66,[71]Listas!$F$4:$J$4,0))</f>
        <v>#N/A</v>
      </c>
      <c r="AN66" s="259"/>
      <c r="AO66" s="259"/>
      <c r="AP66" s="794"/>
      <c r="AQ66" s="259"/>
      <c r="AR66" s="259" t="s">
        <v>2343</v>
      </c>
      <c r="AS66" s="790"/>
      <c r="AT66" s="259"/>
      <c r="AU66" s="259"/>
      <c r="AV66" s="261"/>
      <c r="AW66" s="261"/>
      <c r="AX66" s="790"/>
      <c r="AY66" s="262"/>
    </row>
    <row r="67" spans="1:51" s="260" customFormat="1" ht="103.5" hidden="1" customHeight="1">
      <c r="A67" s="790"/>
      <c r="B67" s="266"/>
      <c r="C67" s="1399"/>
      <c r="D67" s="1408"/>
      <c r="E67" s="1400"/>
      <c r="F67" s="267"/>
      <c r="G67" s="1399"/>
      <c r="H67" s="1408"/>
      <c r="I67" s="1400"/>
      <c r="J67" s="1380"/>
      <c r="K67" s="1380"/>
      <c r="L67" s="1380"/>
      <c r="M67" s="790"/>
      <c r="N67" s="790"/>
      <c r="O67" s="790"/>
      <c r="P67" s="790"/>
      <c r="Q67" s="266"/>
      <c r="R67" s="266"/>
      <c r="S67" s="268"/>
      <c r="T67" s="269" t="e">
        <f>VLOOKUP(Q67,[71]Listas!$D$6:$E$10,2,0)</f>
        <v>#N/A</v>
      </c>
      <c r="U67" s="269" t="e">
        <f>HLOOKUP(R67,[71]Listas!$F$4:$J$5,2,0)</f>
        <v>#N/A</v>
      </c>
      <c r="V67" s="270" t="e">
        <f>INDEX([71]Listas!$F$6:$J$10,MATCH(Q67,[71]Listas!$D$6:$D$10,0),MATCH(R67,[71]Listas!$F$4:$J$4,0))</f>
        <v>#N/A</v>
      </c>
      <c r="W67" s="268"/>
      <c r="X67" s="1399"/>
      <c r="Y67" s="1408"/>
      <c r="Z67" s="1400"/>
      <c r="AA67" s="1063"/>
      <c r="AB67" s="267"/>
      <c r="AC67" s="259"/>
      <c r="AD67" s="790"/>
      <c r="AE67" s="267"/>
      <c r="AF67" s="268"/>
      <c r="AG67" s="269">
        <f t="shared" si="12"/>
        <v>0</v>
      </c>
      <c r="AH67" s="271" t="e">
        <f t="shared" si="13"/>
        <v>#N/A</v>
      </c>
      <c r="AI67" s="272" t="e">
        <f>IF(AH67&lt;=1,"Remota",VLOOKUP(AH67,[71]Listas!$C$6:$D$10,2,0))</f>
        <v>#N/A</v>
      </c>
      <c r="AJ67" s="271" t="e">
        <f t="shared" si="14"/>
        <v>#N/A</v>
      </c>
      <c r="AK67" s="272" t="e">
        <f>IF(AJ67&lt;=1,"Insignificante",HLOOKUP(AJ67,[71]Listas!$F$3:$J$4,2,0))</f>
        <v>#N/A</v>
      </c>
      <c r="AL67" s="273" t="e">
        <f t="shared" si="15"/>
        <v>#N/A</v>
      </c>
      <c r="AM67" s="270" t="e">
        <f>INDEX([71]Listas!$F$6:$J$10,MATCH(AI67,[71]Listas!$D$6:$D$10,0),MATCH(AK67,[71]Listas!$F$4:$J$4,0))</f>
        <v>#N/A</v>
      </c>
      <c r="AN67" s="259"/>
      <c r="AO67" s="259"/>
      <c r="AP67" s="794"/>
      <c r="AQ67" s="259"/>
      <c r="AR67" s="259" t="s">
        <v>2343</v>
      </c>
      <c r="AS67" s="790"/>
      <c r="AT67" s="259"/>
      <c r="AU67" s="259"/>
      <c r="AV67" s="261"/>
      <c r="AW67" s="261"/>
      <c r="AX67" s="790"/>
      <c r="AY67" s="262"/>
    </row>
    <row r="68" spans="1:51" s="260" customFormat="1" ht="103.5" hidden="1" customHeight="1">
      <c r="A68" s="790"/>
      <c r="B68" s="266"/>
      <c r="C68" s="1399"/>
      <c r="D68" s="1408"/>
      <c r="E68" s="1400"/>
      <c r="F68" s="267"/>
      <c r="G68" s="1399"/>
      <c r="H68" s="1408"/>
      <c r="I68" s="1400"/>
      <c r="J68" s="1380"/>
      <c r="K68" s="1380"/>
      <c r="L68" s="1380"/>
      <c r="M68" s="790"/>
      <c r="N68" s="790"/>
      <c r="O68" s="790"/>
      <c r="P68" s="790"/>
      <c r="Q68" s="266"/>
      <c r="R68" s="266"/>
      <c r="S68" s="268"/>
      <c r="T68" s="269" t="e">
        <f>VLOOKUP(Q68,[71]Listas!$D$6:$E$10,2,0)</f>
        <v>#N/A</v>
      </c>
      <c r="U68" s="269" t="e">
        <f>HLOOKUP(R68,[71]Listas!$F$4:$J$5,2,0)</f>
        <v>#N/A</v>
      </c>
      <c r="V68" s="270" t="e">
        <f>INDEX([71]Listas!$F$6:$J$10,MATCH(Q68,[71]Listas!$D$6:$D$10,0),MATCH(R68,[71]Listas!$F$4:$J$4,0))</f>
        <v>#N/A</v>
      </c>
      <c r="W68" s="268"/>
      <c r="X68" s="1399"/>
      <c r="Y68" s="1408"/>
      <c r="Z68" s="1400"/>
      <c r="AA68" s="1063"/>
      <c r="AB68" s="267"/>
      <c r="AC68" s="259"/>
      <c r="AD68" s="790"/>
      <c r="AE68" s="267"/>
      <c r="AF68" s="268"/>
      <c r="AG68" s="269">
        <f t="shared" si="12"/>
        <v>0</v>
      </c>
      <c r="AH68" s="271" t="e">
        <f t="shared" si="13"/>
        <v>#N/A</v>
      </c>
      <c r="AI68" s="272" t="e">
        <f>IF(AH68&lt;=1,"Remota",VLOOKUP(AH68,[71]Listas!$C$6:$D$10,2,0))</f>
        <v>#N/A</v>
      </c>
      <c r="AJ68" s="271" t="e">
        <f t="shared" si="14"/>
        <v>#N/A</v>
      </c>
      <c r="AK68" s="272" t="e">
        <f>IF(AJ68&lt;=1,"Insignificante",HLOOKUP(AJ68,[71]Listas!$F$3:$J$4,2,0))</f>
        <v>#N/A</v>
      </c>
      <c r="AL68" s="273" t="e">
        <f t="shared" si="15"/>
        <v>#N/A</v>
      </c>
      <c r="AM68" s="270" t="e">
        <f>INDEX([71]Listas!$F$6:$J$10,MATCH(AI68,[71]Listas!$D$6:$D$10,0),MATCH(AK68,[71]Listas!$F$4:$J$4,0))</f>
        <v>#N/A</v>
      </c>
      <c r="AN68" s="259"/>
      <c r="AO68" s="259"/>
      <c r="AP68" s="794"/>
      <c r="AQ68" s="259"/>
      <c r="AR68" s="259" t="s">
        <v>2343</v>
      </c>
      <c r="AS68" s="790"/>
      <c r="AT68" s="259"/>
      <c r="AU68" s="259"/>
      <c r="AV68" s="261"/>
      <c r="AW68" s="261"/>
      <c r="AX68" s="790"/>
      <c r="AY68" s="262"/>
    </row>
    <row r="69" spans="1:51" s="260" customFormat="1" ht="103.5" hidden="1" customHeight="1">
      <c r="A69" s="790"/>
      <c r="B69" s="266"/>
      <c r="C69" s="1399"/>
      <c r="D69" s="1408"/>
      <c r="E69" s="1400"/>
      <c r="F69" s="267"/>
      <c r="G69" s="1399"/>
      <c r="H69" s="1408"/>
      <c r="I69" s="1400"/>
      <c r="J69" s="1380"/>
      <c r="K69" s="1380"/>
      <c r="L69" s="1380"/>
      <c r="M69" s="790"/>
      <c r="N69" s="790"/>
      <c r="O69" s="790"/>
      <c r="P69" s="790"/>
      <c r="Q69" s="266"/>
      <c r="R69" s="266"/>
      <c r="S69" s="268"/>
      <c r="T69" s="269" t="e">
        <f>VLOOKUP(Q69,[71]Listas!$D$6:$E$10,2,0)</f>
        <v>#N/A</v>
      </c>
      <c r="U69" s="269" t="e">
        <f>HLOOKUP(R69,[71]Listas!$F$4:$J$5,2,0)</f>
        <v>#N/A</v>
      </c>
      <c r="V69" s="270" t="e">
        <f>INDEX([71]Listas!$F$6:$J$10,MATCH(Q69,[71]Listas!$D$6:$D$10,0),MATCH(R69,[71]Listas!$F$4:$J$4,0))</f>
        <v>#N/A</v>
      </c>
      <c r="W69" s="268"/>
      <c r="X69" s="1399"/>
      <c r="Y69" s="1408"/>
      <c r="Z69" s="1400"/>
      <c r="AA69" s="1063"/>
      <c r="AB69" s="267"/>
      <c r="AC69" s="259"/>
      <c r="AD69" s="790"/>
      <c r="AE69" s="267"/>
      <c r="AF69" s="268"/>
      <c r="AG69" s="269">
        <f t="shared" si="12"/>
        <v>0</v>
      </c>
      <c r="AH69" s="271" t="e">
        <f t="shared" si="13"/>
        <v>#N/A</v>
      </c>
      <c r="AI69" s="272" t="e">
        <f>IF(AH69&lt;=1,"Remota",VLOOKUP(AH69,[71]Listas!$C$6:$D$10,2,0))</f>
        <v>#N/A</v>
      </c>
      <c r="AJ69" s="271" t="e">
        <f t="shared" si="14"/>
        <v>#N/A</v>
      </c>
      <c r="AK69" s="272" t="e">
        <f>IF(AJ69&lt;=1,"Insignificante",HLOOKUP(AJ69,[71]Listas!$F$3:$J$4,2,0))</f>
        <v>#N/A</v>
      </c>
      <c r="AL69" s="273" t="e">
        <f t="shared" si="15"/>
        <v>#N/A</v>
      </c>
      <c r="AM69" s="270" t="e">
        <f>INDEX([71]Listas!$F$6:$J$10,MATCH(AI69,[71]Listas!$D$6:$D$10,0),MATCH(AK69,[71]Listas!$F$4:$J$4,0))</f>
        <v>#N/A</v>
      </c>
      <c r="AN69" s="259"/>
      <c r="AO69" s="259"/>
      <c r="AP69" s="794"/>
      <c r="AQ69" s="259"/>
      <c r="AR69" s="259" t="s">
        <v>2343</v>
      </c>
      <c r="AS69" s="790"/>
      <c r="AT69" s="259"/>
      <c r="AU69" s="259"/>
      <c r="AV69" s="261"/>
      <c r="AW69" s="261"/>
      <c r="AX69" s="790"/>
      <c r="AY69" s="262"/>
    </row>
    <row r="70" spans="1:51" s="260" customFormat="1" ht="103.5" hidden="1" customHeight="1">
      <c r="A70" s="790"/>
      <c r="B70" s="266"/>
      <c r="C70" s="1399"/>
      <c r="D70" s="1408"/>
      <c r="E70" s="1400"/>
      <c r="F70" s="267"/>
      <c r="G70" s="1399"/>
      <c r="H70" s="1408"/>
      <c r="I70" s="1400"/>
      <c r="J70" s="1380"/>
      <c r="K70" s="1380"/>
      <c r="L70" s="1380"/>
      <c r="M70" s="790"/>
      <c r="N70" s="790"/>
      <c r="O70" s="790"/>
      <c r="P70" s="790"/>
      <c r="Q70" s="266"/>
      <c r="R70" s="266"/>
      <c r="S70" s="268"/>
      <c r="T70" s="269" t="e">
        <f>VLOOKUP(Q70,[71]Listas!$D$6:$E$10,2,0)</f>
        <v>#N/A</v>
      </c>
      <c r="U70" s="269" t="e">
        <f>HLOOKUP(R70,[71]Listas!$F$4:$J$5,2,0)</f>
        <v>#N/A</v>
      </c>
      <c r="V70" s="270" t="e">
        <f>INDEX([71]Listas!$F$6:$J$10,MATCH(Q70,[71]Listas!$D$6:$D$10,0),MATCH(R70,[71]Listas!$F$4:$J$4,0))</f>
        <v>#N/A</v>
      </c>
      <c r="W70" s="268"/>
      <c r="X70" s="1399"/>
      <c r="Y70" s="1408"/>
      <c r="Z70" s="1400"/>
      <c r="AA70" s="1063"/>
      <c r="AB70" s="267"/>
      <c r="AC70" s="259"/>
      <c r="AD70" s="790"/>
      <c r="AE70" s="267"/>
      <c r="AF70" s="268"/>
      <c r="AG70" s="269">
        <f t="shared" si="12"/>
        <v>0</v>
      </c>
      <c r="AH70" s="271" t="e">
        <f t="shared" si="13"/>
        <v>#N/A</v>
      </c>
      <c r="AI70" s="272" t="e">
        <f>IF(AH70&lt;=1,"Remota",VLOOKUP(AH70,[71]Listas!$C$6:$D$10,2,0))</f>
        <v>#N/A</v>
      </c>
      <c r="AJ70" s="271" t="e">
        <f t="shared" si="14"/>
        <v>#N/A</v>
      </c>
      <c r="AK70" s="272" t="e">
        <f>IF(AJ70&lt;=1,"Insignificante",HLOOKUP(AJ70,[71]Listas!$F$3:$J$4,2,0))</f>
        <v>#N/A</v>
      </c>
      <c r="AL70" s="273" t="e">
        <f t="shared" si="15"/>
        <v>#N/A</v>
      </c>
      <c r="AM70" s="270" t="e">
        <f>INDEX([71]Listas!$F$6:$J$10,MATCH(AI70,[71]Listas!$D$6:$D$10,0),MATCH(AK70,[71]Listas!$F$4:$J$4,0))</f>
        <v>#N/A</v>
      </c>
      <c r="AN70" s="259"/>
      <c r="AO70" s="259"/>
      <c r="AP70" s="794"/>
      <c r="AQ70" s="259"/>
      <c r="AR70" s="259" t="s">
        <v>2343</v>
      </c>
      <c r="AS70" s="790"/>
      <c r="AT70" s="259"/>
      <c r="AU70" s="259"/>
      <c r="AV70" s="261"/>
      <c r="AW70" s="261"/>
      <c r="AX70" s="790"/>
      <c r="AY70" s="262"/>
    </row>
    <row r="71" spans="1:51" s="260" customFormat="1" ht="103.5" hidden="1" customHeight="1">
      <c r="A71" s="790"/>
      <c r="B71" s="266"/>
      <c r="C71" s="1399"/>
      <c r="D71" s="1408"/>
      <c r="E71" s="1400"/>
      <c r="F71" s="267"/>
      <c r="G71" s="1399"/>
      <c r="H71" s="1408"/>
      <c r="I71" s="1400"/>
      <c r="J71" s="1380"/>
      <c r="K71" s="1380"/>
      <c r="L71" s="1380"/>
      <c r="M71" s="790"/>
      <c r="N71" s="790"/>
      <c r="O71" s="790"/>
      <c r="P71" s="790"/>
      <c r="Q71" s="266"/>
      <c r="R71" s="266"/>
      <c r="S71" s="268"/>
      <c r="T71" s="269" t="e">
        <f>VLOOKUP(Q71,[71]Listas!$D$6:$E$10,2,0)</f>
        <v>#N/A</v>
      </c>
      <c r="U71" s="269" t="e">
        <f>HLOOKUP(R71,[71]Listas!$F$4:$J$5,2,0)</f>
        <v>#N/A</v>
      </c>
      <c r="V71" s="270" t="e">
        <f>INDEX([71]Listas!$F$6:$J$10,MATCH(Q71,[71]Listas!$D$6:$D$10,0),MATCH(R71,[71]Listas!$F$4:$J$4,0))</f>
        <v>#N/A</v>
      </c>
      <c r="W71" s="268"/>
      <c r="X71" s="1399"/>
      <c r="Y71" s="1408"/>
      <c r="Z71" s="1400"/>
      <c r="AA71" s="1063"/>
      <c r="AB71" s="267"/>
      <c r="AC71" s="259"/>
      <c r="AD71" s="790"/>
      <c r="AE71" s="267"/>
      <c r="AF71" s="268"/>
      <c r="AG71" s="269">
        <f t="shared" si="12"/>
        <v>0</v>
      </c>
      <c r="AH71" s="271" t="e">
        <f t="shared" si="13"/>
        <v>#N/A</v>
      </c>
      <c r="AI71" s="272" t="e">
        <f>IF(AH71&lt;=1,"Remota",VLOOKUP(AH71,[71]Listas!$C$6:$D$10,2,0))</f>
        <v>#N/A</v>
      </c>
      <c r="AJ71" s="271" t="e">
        <f t="shared" si="14"/>
        <v>#N/A</v>
      </c>
      <c r="AK71" s="272" t="e">
        <f>IF(AJ71&lt;=1,"Insignificante",HLOOKUP(AJ71,[71]Listas!$F$3:$J$4,2,0))</f>
        <v>#N/A</v>
      </c>
      <c r="AL71" s="273" t="e">
        <f t="shared" si="15"/>
        <v>#N/A</v>
      </c>
      <c r="AM71" s="270" t="e">
        <f>INDEX([71]Listas!$F$6:$J$10,MATCH(AI71,[71]Listas!$D$6:$D$10,0),MATCH(AK71,[71]Listas!$F$4:$J$4,0))</f>
        <v>#N/A</v>
      </c>
      <c r="AN71" s="259"/>
      <c r="AO71" s="259"/>
      <c r="AP71" s="794"/>
      <c r="AQ71" s="259"/>
      <c r="AR71" s="259" t="s">
        <v>2343</v>
      </c>
      <c r="AS71" s="790"/>
      <c r="AT71" s="259"/>
      <c r="AU71" s="259"/>
      <c r="AV71" s="261"/>
      <c r="AW71" s="261"/>
      <c r="AX71" s="790"/>
      <c r="AY71" s="262"/>
    </row>
    <row r="72" spans="1:51" s="260" customFormat="1" ht="103.5" hidden="1" customHeight="1">
      <c r="A72" s="790"/>
      <c r="B72" s="266"/>
      <c r="C72" s="1399"/>
      <c r="D72" s="1408"/>
      <c r="E72" s="1400"/>
      <c r="F72" s="267"/>
      <c r="G72" s="1399"/>
      <c r="H72" s="1408"/>
      <c r="I72" s="1400"/>
      <c r="J72" s="1380"/>
      <c r="K72" s="1380"/>
      <c r="L72" s="1380"/>
      <c r="M72" s="790"/>
      <c r="N72" s="790"/>
      <c r="O72" s="790"/>
      <c r="P72" s="790"/>
      <c r="Q72" s="266"/>
      <c r="R72" s="266"/>
      <c r="S72" s="268"/>
      <c r="T72" s="269" t="e">
        <f>VLOOKUP(Q72,[71]Listas!$D$6:$E$10,2,0)</f>
        <v>#N/A</v>
      </c>
      <c r="U72" s="269" t="e">
        <f>HLOOKUP(R72,[71]Listas!$F$4:$J$5,2,0)</f>
        <v>#N/A</v>
      </c>
      <c r="V72" s="270" t="e">
        <f>INDEX([71]Listas!$F$6:$J$10,MATCH(Q72,[71]Listas!$D$6:$D$10,0),MATCH(R72,[71]Listas!$F$4:$J$4,0))</f>
        <v>#N/A</v>
      </c>
      <c r="W72" s="268"/>
      <c r="X72" s="1399"/>
      <c r="Y72" s="1408"/>
      <c r="Z72" s="1400"/>
      <c r="AA72" s="1063"/>
      <c r="AB72" s="267"/>
      <c r="AC72" s="259"/>
      <c r="AD72" s="790"/>
      <c r="AE72" s="267"/>
      <c r="AF72" s="268"/>
      <c r="AG72" s="269">
        <f t="shared" si="12"/>
        <v>0</v>
      </c>
      <c r="AH72" s="271" t="e">
        <f t="shared" si="13"/>
        <v>#N/A</v>
      </c>
      <c r="AI72" s="272" t="e">
        <f>IF(AH72&lt;=1,"Remota",VLOOKUP(AH72,[71]Listas!$C$6:$D$10,2,0))</f>
        <v>#N/A</v>
      </c>
      <c r="AJ72" s="271" t="e">
        <f t="shared" si="14"/>
        <v>#N/A</v>
      </c>
      <c r="AK72" s="272" t="e">
        <f>IF(AJ72&lt;=1,"Insignificante",HLOOKUP(AJ72,[71]Listas!$F$3:$J$4,2,0))</f>
        <v>#N/A</v>
      </c>
      <c r="AL72" s="273" t="e">
        <f t="shared" si="15"/>
        <v>#N/A</v>
      </c>
      <c r="AM72" s="270" t="e">
        <f>INDEX([71]Listas!$F$6:$J$10,MATCH(AI72,[71]Listas!$D$6:$D$10,0),MATCH(AK72,[71]Listas!$F$4:$J$4,0))</f>
        <v>#N/A</v>
      </c>
      <c r="AN72" s="259"/>
      <c r="AO72" s="259"/>
      <c r="AP72" s="794"/>
      <c r="AQ72" s="259"/>
      <c r="AR72" s="259" t="s">
        <v>2343</v>
      </c>
      <c r="AS72" s="790"/>
      <c r="AT72" s="259"/>
      <c r="AU72" s="259"/>
      <c r="AV72" s="261"/>
      <c r="AW72" s="261"/>
      <c r="AX72" s="790"/>
      <c r="AY72" s="262"/>
    </row>
    <row r="73" spans="1:51" s="260" customFormat="1" ht="103.5" hidden="1" customHeight="1">
      <c r="A73" s="790"/>
      <c r="B73" s="266"/>
      <c r="C73" s="1399"/>
      <c r="D73" s="1408"/>
      <c r="E73" s="1400"/>
      <c r="F73" s="267"/>
      <c r="G73" s="1399"/>
      <c r="H73" s="1408"/>
      <c r="I73" s="1400"/>
      <c r="J73" s="1380"/>
      <c r="K73" s="1380"/>
      <c r="L73" s="1380"/>
      <c r="M73" s="790"/>
      <c r="N73" s="790"/>
      <c r="O73" s="790"/>
      <c r="P73" s="790"/>
      <c r="Q73" s="266"/>
      <c r="R73" s="266"/>
      <c r="S73" s="268"/>
      <c r="T73" s="269" t="e">
        <f>VLOOKUP(Q73,[71]Listas!$D$6:$E$10,2,0)</f>
        <v>#N/A</v>
      </c>
      <c r="U73" s="269" t="e">
        <f>HLOOKUP(R73,[71]Listas!$F$4:$J$5,2,0)</f>
        <v>#N/A</v>
      </c>
      <c r="V73" s="270" t="e">
        <f>INDEX([71]Listas!$F$6:$J$10,MATCH(Q73,[71]Listas!$D$6:$D$10,0),MATCH(R73,[71]Listas!$F$4:$J$4,0))</f>
        <v>#N/A</v>
      </c>
      <c r="W73" s="268"/>
      <c r="X73" s="1399"/>
      <c r="Y73" s="1408"/>
      <c r="Z73" s="1400"/>
      <c r="AA73" s="1063"/>
      <c r="AB73" s="267"/>
      <c r="AC73" s="259"/>
      <c r="AD73" s="790"/>
      <c r="AE73" s="267"/>
      <c r="AF73" s="268"/>
      <c r="AG73" s="269">
        <f t="shared" si="12"/>
        <v>0</v>
      </c>
      <c r="AH73" s="271" t="e">
        <f t="shared" si="13"/>
        <v>#N/A</v>
      </c>
      <c r="AI73" s="272" t="e">
        <f>IF(AH73&lt;=1,"Remota",VLOOKUP(AH73,[71]Listas!$C$6:$D$10,2,0))</f>
        <v>#N/A</v>
      </c>
      <c r="AJ73" s="271" t="e">
        <f t="shared" si="14"/>
        <v>#N/A</v>
      </c>
      <c r="AK73" s="272" t="e">
        <f>IF(AJ73&lt;=1,"Insignificante",HLOOKUP(AJ73,[71]Listas!$F$3:$J$4,2,0))</f>
        <v>#N/A</v>
      </c>
      <c r="AL73" s="273" t="e">
        <f t="shared" si="15"/>
        <v>#N/A</v>
      </c>
      <c r="AM73" s="270" t="e">
        <f>INDEX([71]Listas!$F$6:$J$10,MATCH(AI73,[71]Listas!$D$6:$D$10,0),MATCH(AK73,[71]Listas!$F$4:$J$4,0))</f>
        <v>#N/A</v>
      </c>
      <c r="AN73" s="259"/>
      <c r="AO73" s="259"/>
      <c r="AP73" s="794"/>
      <c r="AQ73" s="259"/>
      <c r="AR73" s="259" t="s">
        <v>2343</v>
      </c>
      <c r="AS73" s="790"/>
      <c r="AT73" s="259"/>
      <c r="AU73" s="259"/>
      <c r="AV73" s="261"/>
      <c r="AW73" s="261"/>
      <c r="AX73" s="790"/>
      <c r="AY73" s="262"/>
    </row>
    <row r="74" spans="1:51" s="260" customFormat="1" ht="103.5" hidden="1" customHeight="1">
      <c r="A74" s="790"/>
      <c r="B74" s="266"/>
      <c r="C74" s="1399"/>
      <c r="D74" s="1408"/>
      <c r="E74" s="1400"/>
      <c r="F74" s="267"/>
      <c r="G74" s="1399"/>
      <c r="H74" s="1408"/>
      <c r="I74" s="1400"/>
      <c r="J74" s="1380"/>
      <c r="K74" s="1380"/>
      <c r="L74" s="1380"/>
      <c r="M74" s="790"/>
      <c r="N74" s="790"/>
      <c r="O74" s="790"/>
      <c r="P74" s="790"/>
      <c r="Q74" s="266"/>
      <c r="R74" s="266"/>
      <c r="S74" s="268"/>
      <c r="T74" s="269" t="e">
        <f>VLOOKUP(Q74,[71]Listas!$D$6:$E$10,2,0)</f>
        <v>#N/A</v>
      </c>
      <c r="U74" s="269" t="e">
        <f>HLOOKUP(R74,[71]Listas!$F$4:$J$5,2,0)</f>
        <v>#N/A</v>
      </c>
      <c r="V74" s="270" t="e">
        <f>INDEX([71]Listas!$F$6:$J$10,MATCH(Q74,[71]Listas!$D$6:$D$10,0),MATCH(R74,[71]Listas!$F$4:$J$4,0))</f>
        <v>#N/A</v>
      </c>
      <c r="W74" s="268"/>
      <c r="X74" s="1399"/>
      <c r="Y74" s="1408"/>
      <c r="Z74" s="1400"/>
      <c r="AA74" s="1063"/>
      <c r="AB74" s="267"/>
      <c r="AC74" s="259"/>
      <c r="AD74" s="790"/>
      <c r="AE74" s="267"/>
      <c r="AF74" s="268"/>
      <c r="AG74" s="269">
        <f t="shared" si="12"/>
        <v>0</v>
      </c>
      <c r="AH74" s="271" t="e">
        <f t="shared" si="13"/>
        <v>#N/A</v>
      </c>
      <c r="AI74" s="272" t="e">
        <f>IF(AH74&lt;=1,"Remota",VLOOKUP(AH74,[71]Listas!$C$6:$D$10,2,0))</f>
        <v>#N/A</v>
      </c>
      <c r="AJ74" s="271" t="e">
        <f t="shared" si="14"/>
        <v>#N/A</v>
      </c>
      <c r="AK74" s="272" t="e">
        <f>IF(AJ74&lt;=1,"Insignificante",HLOOKUP(AJ74,[71]Listas!$F$3:$J$4,2,0))</f>
        <v>#N/A</v>
      </c>
      <c r="AL74" s="273" t="e">
        <f t="shared" si="15"/>
        <v>#N/A</v>
      </c>
      <c r="AM74" s="270" t="e">
        <f>INDEX([71]Listas!$F$6:$J$10,MATCH(AI74,[71]Listas!$D$6:$D$10,0),MATCH(AK74,[71]Listas!$F$4:$J$4,0))</f>
        <v>#N/A</v>
      </c>
      <c r="AN74" s="259"/>
      <c r="AO74" s="259"/>
      <c r="AP74" s="794"/>
      <c r="AQ74" s="259"/>
      <c r="AR74" s="259" t="s">
        <v>2343</v>
      </c>
      <c r="AS74" s="790"/>
      <c r="AT74" s="259"/>
      <c r="AU74" s="259"/>
      <c r="AV74" s="261"/>
      <c r="AW74" s="261"/>
      <c r="AX74" s="790"/>
      <c r="AY74" s="262"/>
    </row>
    <row r="75" spans="1:51" s="260" customFormat="1" ht="103.5" hidden="1" customHeight="1">
      <c r="A75" s="790"/>
      <c r="B75" s="266"/>
      <c r="C75" s="1399"/>
      <c r="D75" s="1408"/>
      <c r="E75" s="1400"/>
      <c r="F75" s="267"/>
      <c r="G75" s="1399"/>
      <c r="H75" s="1408"/>
      <c r="I75" s="1400"/>
      <c r="J75" s="1380"/>
      <c r="K75" s="1380"/>
      <c r="L75" s="1380"/>
      <c r="M75" s="790"/>
      <c r="N75" s="790"/>
      <c r="O75" s="790"/>
      <c r="P75" s="790"/>
      <c r="Q75" s="266"/>
      <c r="R75" s="266"/>
      <c r="S75" s="268"/>
      <c r="T75" s="269" t="e">
        <f>VLOOKUP(Q75,[71]Listas!$D$6:$E$10,2,0)</f>
        <v>#N/A</v>
      </c>
      <c r="U75" s="269" t="e">
        <f>HLOOKUP(R75,[71]Listas!$F$4:$J$5,2,0)</f>
        <v>#N/A</v>
      </c>
      <c r="V75" s="270" t="e">
        <f>INDEX([71]Listas!$F$6:$J$10,MATCH(Q75,[71]Listas!$D$6:$D$10,0),MATCH(R75,[71]Listas!$F$4:$J$4,0))</f>
        <v>#N/A</v>
      </c>
      <c r="W75" s="268"/>
      <c r="X75" s="1399"/>
      <c r="Y75" s="1408"/>
      <c r="Z75" s="1400"/>
      <c r="AA75" s="1063"/>
      <c r="AB75" s="267"/>
      <c r="AC75" s="259"/>
      <c r="AD75" s="790"/>
      <c r="AE75" s="267"/>
      <c r="AF75" s="268"/>
      <c r="AG75" s="269">
        <f t="shared" si="12"/>
        <v>0</v>
      </c>
      <c r="AH75" s="271" t="e">
        <f t="shared" si="13"/>
        <v>#N/A</v>
      </c>
      <c r="AI75" s="272" t="e">
        <f>IF(AH75&lt;=1,"Remota",VLOOKUP(AH75,[71]Listas!$C$6:$D$10,2,0))</f>
        <v>#N/A</v>
      </c>
      <c r="AJ75" s="271" t="e">
        <f t="shared" si="14"/>
        <v>#N/A</v>
      </c>
      <c r="AK75" s="272" t="e">
        <f>IF(AJ75&lt;=1,"Insignificante",HLOOKUP(AJ75,[71]Listas!$F$3:$J$4,2,0))</f>
        <v>#N/A</v>
      </c>
      <c r="AL75" s="273" t="e">
        <f t="shared" si="15"/>
        <v>#N/A</v>
      </c>
      <c r="AM75" s="270" t="e">
        <f>INDEX([71]Listas!$F$6:$J$10,MATCH(AI75,[71]Listas!$D$6:$D$10,0),MATCH(AK75,[71]Listas!$F$4:$J$4,0))</f>
        <v>#N/A</v>
      </c>
      <c r="AN75" s="259"/>
      <c r="AO75" s="259"/>
      <c r="AP75" s="794"/>
      <c r="AQ75" s="259"/>
      <c r="AR75" s="259" t="s">
        <v>2343</v>
      </c>
      <c r="AS75" s="790"/>
      <c r="AT75" s="259"/>
      <c r="AU75" s="259"/>
      <c r="AV75" s="261"/>
      <c r="AW75" s="261"/>
      <c r="AX75" s="790"/>
      <c r="AY75" s="262"/>
    </row>
    <row r="76" spans="1:51" s="260" customFormat="1" ht="103.5" hidden="1" customHeight="1">
      <c r="A76" s="790"/>
      <c r="B76" s="266"/>
      <c r="C76" s="1399"/>
      <c r="D76" s="1408"/>
      <c r="E76" s="1400"/>
      <c r="F76" s="267"/>
      <c r="G76" s="1399"/>
      <c r="H76" s="1408"/>
      <c r="I76" s="1400"/>
      <c r="J76" s="1380"/>
      <c r="K76" s="1380"/>
      <c r="L76" s="1380"/>
      <c r="M76" s="790"/>
      <c r="N76" s="790"/>
      <c r="O76" s="790"/>
      <c r="P76" s="790"/>
      <c r="Q76" s="266"/>
      <c r="R76" s="266"/>
      <c r="S76" s="268"/>
      <c r="T76" s="269" t="e">
        <f>VLOOKUP(Q76,[71]Listas!$D$6:$E$10,2,0)</f>
        <v>#N/A</v>
      </c>
      <c r="U76" s="269" t="e">
        <f>HLOOKUP(R76,[71]Listas!$F$4:$J$5,2,0)</f>
        <v>#N/A</v>
      </c>
      <c r="V76" s="270" t="e">
        <f>INDEX([71]Listas!$F$6:$J$10,MATCH(Q76,[71]Listas!$D$6:$D$10,0),MATCH(R76,[71]Listas!$F$4:$J$4,0))</f>
        <v>#N/A</v>
      </c>
      <c r="W76" s="268"/>
      <c r="X76" s="1399"/>
      <c r="Y76" s="1408"/>
      <c r="Z76" s="1400"/>
      <c r="AA76" s="1063"/>
      <c r="AB76" s="267"/>
      <c r="AC76" s="259"/>
      <c r="AD76" s="790"/>
      <c r="AE76" s="267"/>
      <c r="AF76" s="268"/>
      <c r="AG76" s="269">
        <f t="shared" si="12"/>
        <v>0</v>
      </c>
      <c r="AH76" s="271" t="e">
        <f t="shared" si="13"/>
        <v>#N/A</v>
      </c>
      <c r="AI76" s="272" t="e">
        <f>IF(AH76&lt;=1,"Remota",VLOOKUP(AH76,[71]Listas!$C$6:$D$10,2,0))</f>
        <v>#N/A</v>
      </c>
      <c r="AJ76" s="271" t="e">
        <f t="shared" si="14"/>
        <v>#N/A</v>
      </c>
      <c r="AK76" s="272" t="e">
        <f>IF(AJ76&lt;=1,"Insignificante",HLOOKUP(AJ76,[71]Listas!$F$3:$J$4,2,0))</f>
        <v>#N/A</v>
      </c>
      <c r="AL76" s="273" t="e">
        <f t="shared" si="15"/>
        <v>#N/A</v>
      </c>
      <c r="AM76" s="270" t="e">
        <f>INDEX([71]Listas!$F$6:$J$10,MATCH(AI76,[71]Listas!$D$6:$D$10,0),MATCH(AK76,[71]Listas!$F$4:$J$4,0))</f>
        <v>#N/A</v>
      </c>
      <c r="AN76" s="259"/>
      <c r="AO76" s="259"/>
      <c r="AP76" s="794"/>
      <c r="AQ76" s="259"/>
      <c r="AR76" s="259" t="s">
        <v>2343</v>
      </c>
      <c r="AS76" s="790"/>
      <c r="AT76" s="259"/>
      <c r="AU76" s="259"/>
      <c r="AV76" s="261"/>
      <c r="AW76" s="261"/>
      <c r="AX76" s="790"/>
      <c r="AY76" s="262"/>
    </row>
    <row r="77" spans="1:51" s="260" customFormat="1" ht="103.5" hidden="1" customHeight="1">
      <c r="A77" s="790"/>
      <c r="B77" s="266"/>
      <c r="C77" s="1399"/>
      <c r="D77" s="1408"/>
      <c r="E77" s="1400"/>
      <c r="F77" s="267"/>
      <c r="G77" s="1399"/>
      <c r="H77" s="1408"/>
      <c r="I77" s="1400"/>
      <c r="J77" s="1380"/>
      <c r="K77" s="1380"/>
      <c r="L77" s="1380"/>
      <c r="M77" s="790"/>
      <c r="N77" s="790"/>
      <c r="O77" s="790"/>
      <c r="P77" s="790"/>
      <c r="Q77" s="266"/>
      <c r="R77" s="266"/>
      <c r="S77" s="268"/>
      <c r="T77" s="269" t="e">
        <f>VLOOKUP(Q77,[71]Listas!$D$6:$E$10,2,0)</f>
        <v>#N/A</v>
      </c>
      <c r="U77" s="269" t="e">
        <f>HLOOKUP(R77,[71]Listas!$F$4:$J$5,2,0)</f>
        <v>#N/A</v>
      </c>
      <c r="V77" s="270" t="e">
        <f>INDEX([71]Listas!$F$6:$J$10,MATCH(Q77,[71]Listas!$D$6:$D$10,0),MATCH(R77,[71]Listas!$F$4:$J$4,0))</f>
        <v>#N/A</v>
      </c>
      <c r="W77" s="268"/>
      <c r="X77" s="1399"/>
      <c r="Y77" s="1408"/>
      <c r="Z77" s="1400"/>
      <c r="AA77" s="1063"/>
      <c r="AB77" s="267"/>
      <c r="AC77" s="259"/>
      <c r="AD77" s="790"/>
      <c r="AE77" s="267"/>
      <c r="AF77" s="268"/>
      <c r="AG77" s="269">
        <f t="shared" si="12"/>
        <v>0</v>
      </c>
      <c r="AH77" s="271" t="e">
        <f t="shared" si="13"/>
        <v>#N/A</v>
      </c>
      <c r="AI77" s="272" t="e">
        <f>IF(AH77&lt;=1,"Remota",VLOOKUP(AH77,[71]Listas!$C$6:$D$10,2,0))</f>
        <v>#N/A</v>
      </c>
      <c r="AJ77" s="271" t="e">
        <f t="shared" si="14"/>
        <v>#N/A</v>
      </c>
      <c r="AK77" s="272" t="e">
        <f>IF(AJ77&lt;=1,"Insignificante",HLOOKUP(AJ77,[71]Listas!$F$3:$J$4,2,0))</f>
        <v>#N/A</v>
      </c>
      <c r="AL77" s="273" t="e">
        <f t="shared" si="15"/>
        <v>#N/A</v>
      </c>
      <c r="AM77" s="270" t="e">
        <f>INDEX([71]Listas!$F$6:$J$10,MATCH(AI77,[71]Listas!$D$6:$D$10,0),MATCH(AK77,[71]Listas!$F$4:$J$4,0))</f>
        <v>#N/A</v>
      </c>
      <c r="AN77" s="259"/>
      <c r="AO77" s="259"/>
      <c r="AP77" s="794"/>
      <c r="AQ77" s="259"/>
      <c r="AR77" s="259" t="s">
        <v>2343</v>
      </c>
      <c r="AS77" s="790"/>
      <c r="AT77" s="259"/>
      <c r="AU77" s="259"/>
      <c r="AV77" s="261"/>
      <c r="AW77" s="261"/>
      <c r="AX77" s="790"/>
      <c r="AY77" s="262"/>
    </row>
    <row r="78" spans="1:51" s="260" customFormat="1" ht="103.5" hidden="1" customHeight="1">
      <c r="A78" s="790"/>
      <c r="B78" s="266"/>
      <c r="C78" s="1399"/>
      <c r="D78" s="1408"/>
      <c r="E78" s="1400"/>
      <c r="F78" s="267"/>
      <c r="G78" s="1399"/>
      <c r="H78" s="1408"/>
      <c r="I78" s="1400"/>
      <c r="J78" s="1380"/>
      <c r="K78" s="1380"/>
      <c r="L78" s="1380"/>
      <c r="M78" s="790"/>
      <c r="N78" s="790"/>
      <c r="O78" s="790"/>
      <c r="P78" s="790"/>
      <c r="Q78" s="266"/>
      <c r="R78" s="266"/>
      <c r="S78" s="268"/>
      <c r="T78" s="269" t="e">
        <f>VLOOKUP(Q78,[71]Listas!$D$6:$E$10,2,0)</f>
        <v>#N/A</v>
      </c>
      <c r="U78" s="269" t="e">
        <f>HLOOKUP(R78,[71]Listas!$F$4:$J$5,2,0)</f>
        <v>#N/A</v>
      </c>
      <c r="V78" s="270" t="e">
        <f>INDEX([71]Listas!$F$6:$J$10,MATCH(Q78,[71]Listas!$D$6:$D$10,0),MATCH(R78,[71]Listas!$F$4:$J$4,0))</f>
        <v>#N/A</v>
      </c>
      <c r="W78" s="268"/>
      <c r="X78" s="1399"/>
      <c r="Y78" s="1408"/>
      <c r="Z78" s="1400"/>
      <c r="AA78" s="1063"/>
      <c r="AB78" s="267"/>
      <c r="AC78" s="259"/>
      <c r="AD78" s="790"/>
      <c r="AE78" s="267"/>
      <c r="AF78" s="268"/>
      <c r="AG78" s="269">
        <f t="shared" si="12"/>
        <v>0</v>
      </c>
      <c r="AH78" s="271" t="e">
        <f t="shared" si="13"/>
        <v>#N/A</v>
      </c>
      <c r="AI78" s="272" t="e">
        <f>IF(AH78&lt;=1,"Remota",VLOOKUP(AH78,[71]Listas!$C$6:$D$10,2,0))</f>
        <v>#N/A</v>
      </c>
      <c r="AJ78" s="271" t="e">
        <f t="shared" si="14"/>
        <v>#N/A</v>
      </c>
      <c r="AK78" s="272" t="e">
        <f>IF(AJ78&lt;=1,"Insignificante",HLOOKUP(AJ78,[71]Listas!$F$3:$J$4,2,0))</f>
        <v>#N/A</v>
      </c>
      <c r="AL78" s="273" t="e">
        <f t="shared" si="15"/>
        <v>#N/A</v>
      </c>
      <c r="AM78" s="270" t="e">
        <f>INDEX([71]Listas!$F$6:$J$10,MATCH(AI78,[71]Listas!$D$6:$D$10,0),MATCH(AK78,[71]Listas!$F$4:$J$4,0))</f>
        <v>#N/A</v>
      </c>
      <c r="AN78" s="259"/>
      <c r="AO78" s="259"/>
      <c r="AP78" s="794"/>
      <c r="AQ78" s="259"/>
      <c r="AR78" s="259" t="s">
        <v>2343</v>
      </c>
      <c r="AS78" s="790"/>
      <c r="AT78" s="259"/>
      <c r="AU78" s="259"/>
      <c r="AV78" s="261"/>
      <c r="AW78" s="261"/>
      <c r="AX78" s="790"/>
      <c r="AY78" s="262"/>
    </row>
    <row r="79" spans="1:51" s="260" customFormat="1" ht="103.5" hidden="1" customHeight="1">
      <c r="A79" s="790"/>
      <c r="B79" s="266"/>
      <c r="C79" s="1399"/>
      <c r="D79" s="1408"/>
      <c r="E79" s="1400"/>
      <c r="F79" s="267"/>
      <c r="G79" s="1399"/>
      <c r="H79" s="1408"/>
      <c r="I79" s="1400"/>
      <c r="J79" s="1380"/>
      <c r="K79" s="1380"/>
      <c r="L79" s="1380"/>
      <c r="M79" s="790"/>
      <c r="N79" s="790"/>
      <c r="O79" s="790"/>
      <c r="P79" s="790"/>
      <c r="Q79" s="266"/>
      <c r="R79" s="266"/>
      <c r="S79" s="268"/>
      <c r="T79" s="269" t="e">
        <f>VLOOKUP(Q79,[71]Listas!$D$6:$E$10,2,0)</f>
        <v>#N/A</v>
      </c>
      <c r="U79" s="269" t="e">
        <f>HLOOKUP(R79,[71]Listas!$F$4:$J$5,2,0)</f>
        <v>#N/A</v>
      </c>
      <c r="V79" s="270" t="e">
        <f>INDEX([71]Listas!$F$6:$J$10,MATCH(Q79,[71]Listas!$D$6:$D$10,0),MATCH(R79,[71]Listas!$F$4:$J$4,0))</f>
        <v>#N/A</v>
      </c>
      <c r="W79" s="268"/>
      <c r="X79" s="1399"/>
      <c r="Y79" s="1408"/>
      <c r="Z79" s="1400"/>
      <c r="AA79" s="1063"/>
      <c r="AB79" s="267"/>
      <c r="AC79" s="259"/>
      <c r="AD79" s="790"/>
      <c r="AE79" s="267"/>
      <c r="AF79" s="268"/>
      <c r="AG79" s="269">
        <f t="shared" si="12"/>
        <v>0</v>
      </c>
      <c r="AH79" s="271" t="e">
        <f t="shared" si="13"/>
        <v>#N/A</v>
      </c>
      <c r="AI79" s="272" t="e">
        <f>IF(AH79&lt;=1,"Remota",VLOOKUP(AH79,[71]Listas!$C$6:$D$10,2,0))</f>
        <v>#N/A</v>
      </c>
      <c r="AJ79" s="271" t="e">
        <f t="shared" si="14"/>
        <v>#N/A</v>
      </c>
      <c r="AK79" s="272" t="e">
        <f>IF(AJ79&lt;=1,"Insignificante",HLOOKUP(AJ79,[71]Listas!$F$3:$J$4,2,0))</f>
        <v>#N/A</v>
      </c>
      <c r="AL79" s="273" t="e">
        <f t="shared" si="15"/>
        <v>#N/A</v>
      </c>
      <c r="AM79" s="270" t="e">
        <f>INDEX([71]Listas!$F$6:$J$10,MATCH(AI79,[71]Listas!$D$6:$D$10,0),MATCH(AK79,[71]Listas!$F$4:$J$4,0))</f>
        <v>#N/A</v>
      </c>
      <c r="AN79" s="259"/>
      <c r="AO79" s="259"/>
      <c r="AP79" s="794"/>
      <c r="AQ79" s="259"/>
      <c r="AR79" s="259" t="s">
        <v>2343</v>
      </c>
      <c r="AS79" s="790"/>
      <c r="AT79" s="259"/>
      <c r="AU79" s="259"/>
      <c r="AV79" s="261"/>
      <c r="AW79" s="261"/>
      <c r="AX79" s="790"/>
      <c r="AY79" s="262"/>
    </row>
    <row r="80" spans="1:51" s="260" customFormat="1" ht="103.5" hidden="1" customHeight="1">
      <c r="A80" s="790"/>
      <c r="B80" s="266"/>
      <c r="C80" s="1399"/>
      <c r="D80" s="1408"/>
      <c r="E80" s="1400"/>
      <c r="F80" s="267"/>
      <c r="G80" s="1399"/>
      <c r="H80" s="1408"/>
      <c r="I80" s="1400"/>
      <c r="J80" s="1380"/>
      <c r="K80" s="1380"/>
      <c r="L80" s="1380"/>
      <c r="M80" s="790"/>
      <c r="N80" s="790"/>
      <c r="O80" s="790"/>
      <c r="P80" s="790"/>
      <c r="Q80" s="266"/>
      <c r="R80" s="266"/>
      <c r="S80" s="268"/>
      <c r="T80" s="269" t="e">
        <f>VLOOKUP(Q80,[71]Listas!$D$6:$E$10,2,0)</f>
        <v>#N/A</v>
      </c>
      <c r="U80" s="269" t="e">
        <f>HLOOKUP(R80,[71]Listas!$F$4:$J$5,2,0)</f>
        <v>#N/A</v>
      </c>
      <c r="V80" s="270" t="e">
        <f>INDEX([71]Listas!$F$6:$J$10,MATCH(Q80,[71]Listas!$D$6:$D$10,0),MATCH(R80,[71]Listas!$F$4:$J$4,0))</f>
        <v>#N/A</v>
      </c>
      <c r="W80" s="268"/>
      <c r="X80" s="1399"/>
      <c r="Y80" s="1408"/>
      <c r="Z80" s="1400"/>
      <c r="AA80" s="1063"/>
      <c r="AB80" s="267"/>
      <c r="AC80" s="259"/>
      <c r="AD80" s="790"/>
      <c r="AE80" s="267"/>
      <c r="AF80" s="268"/>
      <c r="AG80" s="269">
        <f t="shared" si="12"/>
        <v>0</v>
      </c>
      <c r="AH80" s="271" t="e">
        <f t="shared" si="13"/>
        <v>#N/A</v>
      </c>
      <c r="AI80" s="272" t="e">
        <f>IF(AH80&lt;=1,"Remota",VLOOKUP(AH80,[71]Listas!$C$6:$D$10,2,0))</f>
        <v>#N/A</v>
      </c>
      <c r="AJ80" s="271" t="e">
        <f t="shared" si="14"/>
        <v>#N/A</v>
      </c>
      <c r="AK80" s="272" t="e">
        <f>IF(AJ80&lt;=1,"Insignificante",HLOOKUP(AJ80,[71]Listas!$F$3:$J$4,2,0))</f>
        <v>#N/A</v>
      </c>
      <c r="AL80" s="273" t="e">
        <f t="shared" si="15"/>
        <v>#N/A</v>
      </c>
      <c r="AM80" s="270" t="e">
        <f>INDEX([71]Listas!$F$6:$J$10,MATCH(AI80,[71]Listas!$D$6:$D$10,0),MATCH(AK80,[71]Listas!$F$4:$J$4,0))</f>
        <v>#N/A</v>
      </c>
      <c r="AN80" s="259"/>
      <c r="AO80" s="259"/>
      <c r="AP80" s="794"/>
      <c r="AQ80" s="259"/>
      <c r="AR80" s="259" t="s">
        <v>2343</v>
      </c>
      <c r="AS80" s="790"/>
      <c r="AT80" s="259"/>
      <c r="AU80" s="259"/>
      <c r="AV80" s="261"/>
      <c r="AW80" s="261"/>
      <c r="AX80" s="790"/>
      <c r="AY80" s="262"/>
    </row>
    <row r="81" spans="1:51" s="260" customFormat="1" ht="103.5" hidden="1" customHeight="1">
      <c r="A81" s="790"/>
      <c r="B81" s="266"/>
      <c r="C81" s="1399"/>
      <c r="D81" s="1408"/>
      <c r="E81" s="1400"/>
      <c r="F81" s="267"/>
      <c r="G81" s="1399"/>
      <c r="H81" s="1408"/>
      <c r="I81" s="1400"/>
      <c r="J81" s="1380"/>
      <c r="K81" s="1380"/>
      <c r="L81" s="1380"/>
      <c r="M81" s="790"/>
      <c r="N81" s="790"/>
      <c r="O81" s="790"/>
      <c r="P81" s="790"/>
      <c r="Q81" s="266"/>
      <c r="R81" s="266"/>
      <c r="S81" s="268"/>
      <c r="T81" s="269" t="e">
        <f>VLOOKUP(Q81,[71]Listas!$D$6:$E$10,2,0)</f>
        <v>#N/A</v>
      </c>
      <c r="U81" s="269" t="e">
        <f>HLOOKUP(R81,[71]Listas!$F$4:$J$5,2,0)</f>
        <v>#N/A</v>
      </c>
      <c r="V81" s="270" t="e">
        <f>INDEX([71]Listas!$F$6:$J$10,MATCH(Q81,[71]Listas!$D$6:$D$10,0),MATCH(R81,[71]Listas!$F$4:$J$4,0))</f>
        <v>#N/A</v>
      </c>
      <c r="W81" s="268"/>
      <c r="X81" s="1399"/>
      <c r="Y81" s="1408"/>
      <c r="Z81" s="1400"/>
      <c r="AA81" s="1063"/>
      <c r="AB81" s="267"/>
      <c r="AC81" s="259"/>
      <c r="AD81" s="790"/>
      <c r="AE81" s="267"/>
      <c r="AF81" s="268"/>
      <c r="AG81" s="269">
        <f t="shared" si="12"/>
        <v>0</v>
      </c>
      <c r="AH81" s="271" t="e">
        <f t="shared" si="13"/>
        <v>#N/A</v>
      </c>
      <c r="AI81" s="272" t="e">
        <f>IF(AH81&lt;=1,"Remota",VLOOKUP(AH81,[71]Listas!$C$6:$D$10,2,0))</f>
        <v>#N/A</v>
      </c>
      <c r="AJ81" s="271" t="e">
        <f t="shared" si="14"/>
        <v>#N/A</v>
      </c>
      <c r="AK81" s="272" t="e">
        <f>IF(AJ81&lt;=1,"Insignificante",HLOOKUP(AJ81,[71]Listas!$F$3:$J$4,2,0))</f>
        <v>#N/A</v>
      </c>
      <c r="AL81" s="273" t="e">
        <f t="shared" si="15"/>
        <v>#N/A</v>
      </c>
      <c r="AM81" s="270" t="e">
        <f>INDEX([71]Listas!$F$6:$J$10,MATCH(AI81,[71]Listas!$D$6:$D$10,0),MATCH(AK81,[71]Listas!$F$4:$J$4,0))</f>
        <v>#N/A</v>
      </c>
      <c r="AN81" s="259"/>
      <c r="AO81" s="259"/>
      <c r="AP81" s="794"/>
      <c r="AQ81" s="259"/>
      <c r="AR81" s="259" t="s">
        <v>2343</v>
      </c>
      <c r="AS81" s="790"/>
      <c r="AT81" s="259"/>
      <c r="AU81" s="259"/>
      <c r="AV81" s="261"/>
      <c r="AW81" s="261"/>
      <c r="AX81" s="790"/>
      <c r="AY81" s="262"/>
    </row>
    <row r="82" spans="1:51" s="260" customFormat="1" ht="103.5" hidden="1" customHeight="1">
      <c r="A82" s="790"/>
      <c r="B82" s="266"/>
      <c r="C82" s="1399"/>
      <c r="D82" s="1408"/>
      <c r="E82" s="1400"/>
      <c r="F82" s="267"/>
      <c r="G82" s="1399"/>
      <c r="H82" s="1408"/>
      <c r="I82" s="1400"/>
      <c r="J82" s="1380"/>
      <c r="K82" s="1380"/>
      <c r="L82" s="1380"/>
      <c r="M82" s="790"/>
      <c r="N82" s="790"/>
      <c r="O82" s="790"/>
      <c r="P82" s="790"/>
      <c r="Q82" s="266"/>
      <c r="R82" s="266"/>
      <c r="S82" s="268"/>
      <c r="T82" s="269" t="e">
        <f>VLOOKUP(Q82,[71]Listas!$D$6:$E$10,2,0)</f>
        <v>#N/A</v>
      </c>
      <c r="U82" s="269" t="e">
        <f>HLOOKUP(R82,[71]Listas!$F$4:$J$5,2,0)</f>
        <v>#N/A</v>
      </c>
      <c r="V82" s="270" t="e">
        <f>INDEX([71]Listas!$F$6:$J$10,MATCH(Q82,[71]Listas!$D$6:$D$10,0),MATCH(R82,[71]Listas!$F$4:$J$4,0))</f>
        <v>#N/A</v>
      </c>
      <c r="W82" s="268"/>
      <c r="X82" s="1399"/>
      <c r="Y82" s="1408"/>
      <c r="Z82" s="1400"/>
      <c r="AA82" s="1063"/>
      <c r="AB82" s="267"/>
      <c r="AC82" s="259"/>
      <c r="AD82" s="790"/>
      <c r="AE82" s="267"/>
      <c r="AF82" s="268"/>
      <c r="AG82" s="269">
        <f t="shared" si="12"/>
        <v>0</v>
      </c>
      <c r="AH82" s="271" t="e">
        <f t="shared" si="13"/>
        <v>#N/A</v>
      </c>
      <c r="AI82" s="272" t="e">
        <f>IF(AH82&lt;=1,"Remota",VLOOKUP(AH82,[71]Listas!$C$6:$D$10,2,0))</f>
        <v>#N/A</v>
      </c>
      <c r="AJ82" s="271" t="e">
        <f t="shared" si="14"/>
        <v>#N/A</v>
      </c>
      <c r="AK82" s="272" t="e">
        <f>IF(AJ82&lt;=1,"Insignificante",HLOOKUP(AJ82,[71]Listas!$F$3:$J$4,2,0))</f>
        <v>#N/A</v>
      </c>
      <c r="AL82" s="273" t="e">
        <f t="shared" si="15"/>
        <v>#N/A</v>
      </c>
      <c r="AM82" s="270" t="e">
        <f>INDEX([71]Listas!$F$6:$J$10,MATCH(AI82,[71]Listas!$D$6:$D$10,0),MATCH(AK82,[71]Listas!$F$4:$J$4,0))</f>
        <v>#N/A</v>
      </c>
      <c r="AN82" s="259"/>
      <c r="AO82" s="259"/>
      <c r="AP82" s="794"/>
      <c r="AQ82" s="259"/>
      <c r="AR82" s="259" t="s">
        <v>2343</v>
      </c>
      <c r="AS82" s="790"/>
      <c r="AT82" s="259"/>
      <c r="AU82" s="259"/>
      <c r="AV82" s="261"/>
      <c r="AW82" s="261"/>
      <c r="AX82" s="790"/>
      <c r="AY82" s="262"/>
    </row>
    <row r="83" spans="1:51" s="260" customFormat="1" ht="103.5" hidden="1" customHeight="1">
      <c r="A83" s="790"/>
      <c r="B83" s="266"/>
      <c r="C83" s="1399"/>
      <c r="D83" s="1408"/>
      <c r="E83" s="1400"/>
      <c r="F83" s="267"/>
      <c r="G83" s="1399"/>
      <c r="H83" s="1408"/>
      <c r="I83" s="1400"/>
      <c r="J83" s="1380"/>
      <c r="K83" s="1380"/>
      <c r="L83" s="1380"/>
      <c r="M83" s="790"/>
      <c r="N83" s="790"/>
      <c r="O83" s="790"/>
      <c r="P83" s="790"/>
      <c r="Q83" s="266"/>
      <c r="R83" s="266"/>
      <c r="S83" s="268"/>
      <c r="T83" s="269" t="e">
        <f>VLOOKUP(Q83,[71]Listas!$D$6:$E$10,2,0)</f>
        <v>#N/A</v>
      </c>
      <c r="U83" s="269" t="e">
        <f>HLOOKUP(R83,[71]Listas!$F$4:$J$5,2,0)</f>
        <v>#N/A</v>
      </c>
      <c r="V83" s="270" t="e">
        <f>INDEX([71]Listas!$F$6:$J$10,MATCH(Q83,[71]Listas!$D$6:$D$10,0),MATCH(R83,[71]Listas!$F$4:$J$4,0))</f>
        <v>#N/A</v>
      </c>
      <c r="W83" s="268"/>
      <c r="X83" s="1399"/>
      <c r="Y83" s="1408"/>
      <c r="Z83" s="1400"/>
      <c r="AA83" s="1063"/>
      <c r="AB83" s="267"/>
      <c r="AC83" s="259"/>
      <c r="AD83" s="790"/>
      <c r="AE83" s="267"/>
      <c r="AF83" s="268"/>
      <c r="AG83" s="269">
        <f t="shared" si="12"/>
        <v>0</v>
      </c>
      <c r="AH83" s="271" t="e">
        <f t="shared" si="13"/>
        <v>#N/A</v>
      </c>
      <c r="AI83" s="272" t="e">
        <f>IF(AH83&lt;=1,"Remota",VLOOKUP(AH83,[71]Listas!$C$6:$D$10,2,0))</f>
        <v>#N/A</v>
      </c>
      <c r="AJ83" s="271" t="e">
        <f t="shared" si="14"/>
        <v>#N/A</v>
      </c>
      <c r="AK83" s="272" t="e">
        <f>IF(AJ83&lt;=1,"Insignificante",HLOOKUP(AJ83,[71]Listas!$F$3:$J$4,2,0))</f>
        <v>#N/A</v>
      </c>
      <c r="AL83" s="273" t="e">
        <f t="shared" si="15"/>
        <v>#N/A</v>
      </c>
      <c r="AM83" s="270" t="e">
        <f>INDEX([71]Listas!$F$6:$J$10,MATCH(AI83,[71]Listas!$D$6:$D$10,0),MATCH(AK83,[71]Listas!$F$4:$J$4,0))</f>
        <v>#N/A</v>
      </c>
      <c r="AN83" s="259"/>
      <c r="AO83" s="259"/>
      <c r="AP83" s="794"/>
      <c r="AQ83" s="259"/>
      <c r="AR83" s="259" t="s">
        <v>2343</v>
      </c>
      <c r="AS83" s="790"/>
      <c r="AT83" s="259"/>
      <c r="AU83" s="259"/>
      <c r="AV83" s="261"/>
      <c r="AW83" s="261"/>
      <c r="AX83" s="790"/>
      <c r="AY83" s="262"/>
    </row>
    <row r="84" spans="1:51" s="260" customFormat="1" ht="103.5" hidden="1" customHeight="1">
      <c r="A84" s="790"/>
      <c r="B84" s="266"/>
      <c r="C84" s="1399"/>
      <c r="D84" s="1408"/>
      <c r="E84" s="1400"/>
      <c r="F84" s="266"/>
      <c r="G84" s="1399"/>
      <c r="H84" s="1408"/>
      <c r="I84" s="1400"/>
      <c r="J84" s="1380"/>
      <c r="K84" s="1380"/>
      <c r="L84" s="1380"/>
      <c r="M84" s="790"/>
      <c r="N84" s="790"/>
      <c r="O84" s="790"/>
      <c r="P84" s="790"/>
      <c r="Q84" s="266"/>
      <c r="R84" s="266"/>
      <c r="S84" s="268"/>
      <c r="T84" s="269" t="e">
        <f>VLOOKUP(Q84,[71]Listas!$D$6:$E$10,2,0)</f>
        <v>#N/A</v>
      </c>
      <c r="U84" s="269" t="e">
        <f>HLOOKUP(R84,[71]Listas!$F$4:$J$5,2,0)</f>
        <v>#N/A</v>
      </c>
      <c r="V84" s="270" t="e">
        <f>INDEX([71]Listas!$F$6:$J$10,MATCH(Q84,[71]Listas!$D$6:$D$10,0),MATCH(R84,[71]Listas!$F$4:$J$4,0))</f>
        <v>#N/A</v>
      </c>
      <c r="W84" s="268"/>
      <c r="X84" s="1399"/>
      <c r="Y84" s="1408"/>
      <c r="Z84" s="1400"/>
      <c r="AA84" s="1063"/>
      <c r="AB84" s="267"/>
      <c r="AC84" s="259"/>
      <c r="AD84" s="790"/>
      <c r="AE84" s="267"/>
      <c r="AF84" s="268"/>
      <c r="AG84" s="269">
        <f>IF(AD84&lt;=33,0,IF(AD84&gt;81,2,1))</f>
        <v>0</v>
      </c>
      <c r="AH84" s="271" t="e">
        <f>IF(OR(AE84="Probabilidad",AE84="Ambos"),T84-AG84,T84)</f>
        <v>#N/A</v>
      </c>
      <c r="AI84" s="272" t="e">
        <f>IF(AH84&lt;=1,"Remota",VLOOKUP(AH84,[71]Listas!$C$6:$D$10,2,0))</f>
        <v>#N/A</v>
      </c>
      <c r="AJ84" s="271" t="e">
        <f>IF(OR(AE84="Impacto",AE84="Ambos"),U84-AG84,U84)</f>
        <v>#N/A</v>
      </c>
      <c r="AK84" s="272" t="e">
        <f>IF(AJ84&lt;=1,"Insignificante",HLOOKUP(AJ84,[71]Listas!$F$3:$J$4,2,0))</f>
        <v>#N/A</v>
      </c>
      <c r="AL84" s="273" t="e">
        <f>AH84*AJ84</f>
        <v>#N/A</v>
      </c>
      <c r="AM84" s="270" t="e">
        <f>INDEX([71]Listas!$F$6:$J$10,MATCH(AI84,[71]Listas!$D$6:$D$10,0),MATCH(AK84,[71]Listas!$F$4:$J$4,0))</f>
        <v>#N/A</v>
      </c>
      <c r="AN84" s="259"/>
      <c r="AO84" s="259"/>
      <c r="AP84" s="794"/>
      <c r="AQ84" s="259"/>
      <c r="AR84" s="259" t="s">
        <v>2343</v>
      </c>
      <c r="AS84" s="790"/>
      <c r="AU84" s="259"/>
      <c r="AV84" s="261"/>
      <c r="AW84" s="261"/>
      <c r="AX84" s="790"/>
      <c r="AY84" s="262"/>
    </row>
    <row r="85" spans="1:51" s="260" customFormat="1" ht="103.5" hidden="1" customHeight="1">
      <c r="A85" s="790"/>
      <c r="B85" s="266"/>
      <c r="C85" s="1399"/>
      <c r="D85" s="1408"/>
      <c r="E85" s="1400"/>
      <c r="F85" s="267"/>
      <c r="G85" s="1399"/>
      <c r="H85" s="1408"/>
      <c r="I85" s="1400"/>
      <c r="J85" s="1380"/>
      <c r="K85" s="1380"/>
      <c r="L85" s="1380"/>
      <c r="M85" s="790"/>
      <c r="N85" s="790"/>
      <c r="O85" s="790"/>
      <c r="P85" s="790"/>
      <c r="Q85" s="266"/>
      <c r="R85" s="266"/>
      <c r="S85" s="268"/>
      <c r="T85" s="269" t="e">
        <f>VLOOKUP(Q85,[71]Listas!$D$6:$E$10,2,0)</f>
        <v>#N/A</v>
      </c>
      <c r="U85" s="269" t="e">
        <f>HLOOKUP(R85,[71]Listas!$F$4:$J$5,2,0)</f>
        <v>#N/A</v>
      </c>
      <c r="V85" s="270" t="e">
        <f>INDEX([71]Listas!$F$6:$J$10,MATCH(Q85,[71]Listas!$D$6:$D$10,0),MATCH(R85,[71]Listas!$F$4:$J$4,0))</f>
        <v>#N/A</v>
      </c>
      <c r="W85" s="268"/>
      <c r="X85" s="1399"/>
      <c r="Y85" s="1408"/>
      <c r="Z85" s="1400"/>
      <c r="AA85" s="1063"/>
      <c r="AB85" s="267"/>
      <c r="AC85" s="259"/>
      <c r="AD85" s="790"/>
      <c r="AE85" s="267"/>
      <c r="AF85" s="268"/>
      <c r="AG85" s="269">
        <f t="shared" ref="AG85:AG148" si="16">IF(AD85&lt;=33,0,IF(AD85&gt;81,2,1))</f>
        <v>0</v>
      </c>
      <c r="AH85" s="271" t="e">
        <f t="shared" ref="AH85:AH148" si="17">IF(OR(AE85="Probabilidad",AE85="Ambos"),T85-AG85,T85)</f>
        <v>#N/A</v>
      </c>
      <c r="AI85" s="272" t="e">
        <f>IF(AH85&lt;=1,"Remota",VLOOKUP(AH85,[71]Listas!$C$6:$D$10,2,0))</f>
        <v>#N/A</v>
      </c>
      <c r="AJ85" s="271" t="e">
        <f t="shared" ref="AJ85:AJ148" si="18">IF(OR(AE85="Impacto",AE85="Ambos"),U85-AG85,U85)</f>
        <v>#N/A</v>
      </c>
      <c r="AK85" s="272" t="e">
        <f>IF(AJ85&lt;=1,"Insignificante",HLOOKUP(AJ85,[71]Listas!$F$3:$J$4,2,0))</f>
        <v>#N/A</v>
      </c>
      <c r="AL85" s="273" t="e">
        <f t="shared" ref="AL85:AL148" si="19">AH85*AJ85</f>
        <v>#N/A</v>
      </c>
      <c r="AM85" s="270" t="e">
        <f>INDEX([71]Listas!$F$6:$J$10,MATCH(AI85,[71]Listas!$D$6:$D$10,0),MATCH(AK85,[71]Listas!$F$4:$J$4,0))</f>
        <v>#N/A</v>
      </c>
      <c r="AN85" s="259"/>
      <c r="AO85" s="259"/>
      <c r="AP85" s="794"/>
      <c r="AQ85" s="259"/>
      <c r="AR85" s="259" t="s">
        <v>2343</v>
      </c>
      <c r="AS85" s="790"/>
      <c r="AT85" s="259"/>
      <c r="AU85" s="259"/>
      <c r="AV85" s="261"/>
      <c r="AW85" s="261"/>
      <c r="AX85" s="790"/>
      <c r="AY85" s="262"/>
    </row>
    <row r="86" spans="1:51" s="260" customFormat="1" ht="103.5" hidden="1" customHeight="1">
      <c r="A86" s="790"/>
      <c r="B86" s="266"/>
      <c r="C86" s="1399"/>
      <c r="D86" s="1408"/>
      <c r="E86" s="1400"/>
      <c r="F86" s="267"/>
      <c r="G86" s="1399"/>
      <c r="H86" s="1408"/>
      <c r="I86" s="1400"/>
      <c r="J86" s="1380"/>
      <c r="K86" s="1380"/>
      <c r="L86" s="1380"/>
      <c r="M86" s="790"/>
      <c r="N86" s="790"/>
      <c r="O86" s="790"/>
      <c r="P86" s="790"/>
      <c r="Q86" s="266"/>
      <c r="R86" s="266"/>
      <c r="S86" s="268"/>
      <c r="T86" s="269" t="e">
        <f>VLOOKUP(Q86,[71]Listas!$D$6:$E$10,2,0)</f>
        <v>#N/A</v>
      </c>
      <c r="U86" s="269" t="e">
        <f>HLOOKUP(R86,[71]Listas!$F$4:$J$5,2,0)</f>
        <v>#N/A</v>
      </c>
      <c r="V86" s="270" t="e">
        <f>INDEX([71]Listas!$F$6:$J$10,MATCH(Q86,[71]Listas!$D$6:$D$10,0),MATCH(R86,[71]Listas!$F$4:$J$4,0))</f>
        <v>#N/A</v>
      </c>
      <c r="W86" s="268"/>
      <c r="X86" s="1399"/>
      <c r="Y86" s="1408"/>
      <c r="Z86" s="1400"/>
      <c r="AA86" s="1063"/>
      <c r="AB86" s="267"/>
      <c r="AC86" s="259"/>
      <c r="AD86" s="790"/>
      <c r="AE86" s="267"/>
      <c r="AF86" s="268"/>
      <c r="AG86" s="269">
        <f t="shared" si="16"/>
        <v>0</v>
      </c>
      <c r="AH86" s="271" t="e">
        <f t="shared" si="17"/>
        <v>#N/A</v>
      </c>
      <c r="AI86" s="272" t="e">
        <f>IF(AH86&lt;=1,"Remota",VLOOKUP(AH86,[71]Listas!$C$6:$D$10,2,0))</f>
        <v>#N/A</v>
      </c>
      <c r="AJ86" s="271" t="e">
        <f t="shared" si="18"/>
        <v>#N/A</v>
      </c>
      <c r="AK86" s="272" t="e">
        <f>IF(AJ86&lt;=1,"Insignificante",HLOOKUP(AJ86,[71]Listas!$F$3:$J$4,2,0))</f>
        <v>#N/A</v>
      </c>
      <c r="AL86" s="273" t="e">
        <f t="shared" si="19"/>
        <v>#N/A</v>
      </c>
      <c r="AM86" s="270" t="e">
        <f>INDEX([71]Listas!$F$6:$J$10,MATCH(AI86,[71]Listas!$D$6:$D$10,0),MATCH(AK86,[71]Listas!$F$4:$J$4,0))</f>
        <v>#N/A</v>
      </c>
      <c r="AN86" s="259"/>
      <c r="AO86" s="259"/>
      <c r="AP86" s="794"/>
      <c r="AQ86" s="259"/>
      <c r="AR86" s="259" t="s">
        <v>2343</v>
      </c>
      <c r="AS86" s="790"/>
      <c r="AT86" s="259"/>
      <c r="AU86" s="259"/>
      <c r="AV86" s="261"/>
      <c r="AW86" s="261"/>
      <c r="AX86" s="790"/>
      <c r="AY86" s="262"/>
    </row>
    <row r="87" spans="1:51" s="260" customFormat="1" ht="103.5" hidden="1" customHeight="1">
      <c r="A87" s="790"/>
      <c r="B87" s="266"/>
      <c r="C87" s="1399"/>
      <c r="D87" s="1408"/>
      <c r="E87" s="1400"/>
      <c r="F87" s="267"/>
      <c r="G87" s="1399"/>
      <c r="H87" s="1408"/>
      <c r="I87" s="1400"/>
      <c r="J87" s="1380"/>
      <c r="K87" s="1380"/>
      <c r="L87" s="1380"/>
      <c r="M87" s="790"/>
      <c r="N87" s="790"/>
      <c r="O87" s="790"/>
      <c r="P87" s="790"/>
      <c r="Q87" s="266"/>
      <c r="R87" s="266"/>
      <c r="S87" s="268"/>
      <c r="T87" s="269" t="e">
        <f>VLOOKUP(Q87,[71]Listas!$D$6:$E$10,2,0)</f>
        <v>#N/A</v>
      </c>
      <c r="U87" s="269" t="e">
        <f>HLOOKUP(R87,[71]Listas!$F$4:$J$5,2,0)</f>
        <v>#N/A</v>
      </c>
      <c r="V87" s="270" t="e">
        <f>INDEX([71]Listas!$F$6:$J$10,MATCH(Q87,[71]Listas!$D$6:$D$10,0),MATCH(R87,[71]Listas!$F$4:$J$4,0))</f>
        <v>#N/A</v>
      </c>
      <c r="W87" s="268"/>
      <c r="X87" s="1399"/>
      <c r="Y87" s="1408"/>
      <c r="Z87" s="1400"/>
      <c r="AA87" s="1063"/>
      <c r="AB87" s="267"/>
      <c r="AC87" s="259"/>
      <c r="AD87" s="790"/>
      <c r="AE87" s="267"/>
      <c r="AF87" s="268"/>
      <c r="AG87" s="269">
        <f t="shared" si="16"/>
        <v>0</v>
      </c>
      <c r="AH87" s="271" t="e">
        <f t="shared" si="17"/>
        <v>#N/A</v>
      </c>
      <c r="AI87" s="272" t="e">
        <f>IF(AH87&lt;=1,"Remota",VLOOKUP(AH87,[71]Listas!$C$6:$D$10,2,0))</f>
        <v>#N/A</v>
      </c>
      <c r="AJ87" s="271" t="e">
        <f t="shared" si="18"/>
        <v>#N/A</v>
      </c>
      <c r="AK87" s="272" t="e">
        <f>IF(AJ87&lt;=1,"Insignificante",HLOOKUP(AJ87,[71]Listas!$F$3:$J$4,2,0))</f>
        <v>#N/A</v>
      </c>
      <c r="AL87" s="273" t="e">
        <f t="shared" si="19"/>
        <v>#N/A</v>
      </c>
      <c r="AM87" s="270" t="e">
        <f>INDEX([71]Listas!$F$6:$J$10,MATCH(AI87,[71]Listas!$D$6:$D$10,0),MATCH(AK87,[71]Listas!$F$4:$J$4,0))</f>
        <v>#N/A</v>
      </c>
      <c r="AN87" s="259"/>
      <c r="AO87" s="259"/>
      <c r="AP87" s="794"/>
      <c r="AQ87" s="259"/>
      <c r="AR87" s="259" t="s">
        <v>2343</v>
      </c>
      <c r="AS87" s="790"/>
      <c r="AT87" s="259"/>
      <c r="AU87" s="259"/>
      <c r="AV87" s="261"/>
      <c r="AW87" s="261"/>
      <c r="AX87" s="790"/>
      <c r="AY87" s="262"/>
    </row>
    <row r="88" spans="1:51" s="260" customFormat="1" ht="103.5" hidden="1" customHeight="1">
      <c r="A88" s="790"/>
      <c r="B88" s="266"/>
      <c r="C88" s="1399"/>
      <c r="D88" s="1408"/>
      <c r="E88" s="1400"/>
      <c r="F88" s="267"/>
      <c r="G88" s="1399"/>
      <c r="H88" s="1408"/>
      <c r="I88" s="1400"/>
      <c r="J88" s="1380"/>
      <c r="K88" s="1380"/>
      <c r="L88" s="1380"/>
      <c r="M88" s="790"/>
      <c r="N88" s="790"/>
      <c r="O88" s="790"/>
      <c r="P88" s="790"/>
      <c r="Q88" s="266"/>
      <c r="R88" s="266"/>
      <c r="S88" s="268"/>
      <c r="T88" s="269" t="e">
        <f>VLOOKUP(Q88,[71]Listas!$D$6:$E$10,2,0)</f>
        <v>#N/A</v>
      </c>
      <c r="U88" s="269" t="e">
        <f>HLOOKUP(R88,[71]Listas!$F$4:$J$5,2,0)</f>
        <v>#N/A</v>
      </c>
      <c r="V88" s="270" t="e">
        <f>INDEX([71]Listas!$F$6:$J$10,MATCH(Q88,[71]Listas!$D$6:$D$10,0),MATCH(R88,[71]Listas!$F$4:$J$4,0))</f>
        <v>#N/A</v>
      </c>
      <c r="W88" s="268"/>
      <c r="X88" s="1399"/>
      <c r="Y88" s="1408"/>
      <c r="Z88" s="1400"/>
      <c r="AA88" s="1063"/>
      <c r="AB88" s="267"/>
      <c r="AC88" s="259"/>
      <c r="AD88" s="790"/>
      <c r="AE88" s="267"/>
      <c r="AF88" s="268"/>
      <c r="AG88" s="269">
        <f t="shared" si="16"/>
        <v>0</v>
      </c>
      <c r="AH88" s="271" t="e">
        <f t="shared" si="17"/>
        <v>#N/A</v>
      </c>
      <c r="AI88" s="272" t="e">
        <f>IF(AH88&lt;=1,"Remota",VLOOKUP(AH88,[71]Listas!$C$6:$D$10,2,0))</f>
        <v>#N/A</v>
      </c>
      <c r="AJ88" s="271" t="e">
        <f t="shared" si="18"/>
        <v>#N/A</v>
      </c>
      <c r="AK88" s="272" t="e">
        <f>IF(AJ88&lt;=1,"Insignificante",HLOOKUP(AJ88,[71]Listas!$F$3:$J$4,2,0))</f>
        <v>#N/A</v>
      </c>
      <c r="AL88" s="273" t="e">
        <f t="shared" si="19"/>
        <v>#N/A</v>
      </c>
      <c r="AM88" s="270" t="e">
        <f>INDEX([71]Listas!$F$6:$J$10,MATCH(AI88,[71]Listas!$D$6:$D$10,0),MATCH(AK88,[71]Listas!$F$4:$J$4,0))</f>
        <v>#N/A</v>
      </c>
      <c r="AN88" s="259"/>
      <c r="AO88" s="259"/>
      <c r="AP88" s="794"/>
      <c r="AQ88" s="259"/>
      <c r="AR88" s="259" t="s">
        <v>2343</v>
      </c>
      <c r="AS88" s="790"/>
      <c r="AT88" s="259"/>
      <c r="AU88" s="259"/>
      <c r="AV88" s="261"/>
      <c r="AW88" s="261"/>
      <c r="AX88" s="790"/>
      <c r="AY88" s="262"/>
    </row>
    <row r="89" spans="1:51" s="260" customFormat="1" ht="103.5" hidden="1" customHeight="1">
      <c r="A89" s="790"/>
      <c r="B89" s="266"/>
      <c r="C89" s="1399"/>
      <c r="D89" s="1408"/>
      <c r="E89" s="1400"/>
      <c r="F89" s="267"/>
      <c r="G89" s="1399"/>
      <c r="H89" s="1408"/>
      <c r="I89" s="1400"/>
      <c r="J89" s="1380"/>
      <c r="K89" s="1380"/>
      <c r="L89" s="1380"/>
      <c r="M89" s="790"/>
      <c r="N89" s="790"/>
      <c r="O89" s="790"/>
      <c r="P89" s="790"/>
      <c r="Q89" s="266"/>
      <c r="R89" s="266"/>
      <c r="S89" s="268"/>
      <c r="T89" s="269" t="e">
        <f>VLOOKUP(Q89,[71]Listas!$D$6:$E$10,2,0)</f>
        <v>#N/A</v>
      </c>
      <c r="U89" s="269" t="e">
        <f>HLOOKUP(R89,[71]Listas!$F$4:$J$5,2,0)</f>
        <v>#N/A</v>
      </c>
      <c r="V89" s="270" t="e">
        <f>INDEX([71]Listas!$F$6:$J$10,MATCH(Q89,[71]Listas!$D$6:$D$10,0),MATCH(R89,[71]Listas!$F$4:$J$4,0))</f>
        <v>#N/A</v>
      </c>
      <c r="W89" s="268"/>
      <c r="X89" s="1399"/>
      <c r="Y89" s="1408"/>
      <c r="Z89" s="1400"/>
      <c r="AA89" s="1063"/>
      <c r="AB89" s="267"/>
      <c r="AC89" s="259"/>
      <c r="AD89" s="790"/>
      <c r="AE89" s="267"/>
      <c r="AF89" s="268"/>
      <c r="AG89" s="269">
        <f t="shared" si="16"/>
        <v>0</v>
      </c>
      <c r="AH89" s="271" t="e">
        <f t="shared" si="17"/>
        <v>#N/A</v>
      </c>
      <c r="AI89" s="272" t="e">
        <f>IF(AH89&lt;=1,"Remota",VLOOKUP(AH89,[71]Listas!$C$6:$D$10,2,0))</f>
        <v>#N/A</v>
      </c>
      <c r="AJ89" s="271" t="e">
        <f t="shared" si="18"/>
        <v>#N/A</v>
      </c>
      <c r="AK89" s="272" t="e">
        <f>IF(AJ89&lt;=1,"Insignificante",HLOOKUP(AJ89,[71]Listas!$F$3:$J$4,2,0))</f>
        <v>#N/A</v>
      </c>
      <c r="AL89" s="273" t="e">
        <f t="shared" si="19"/>
        <v>#N/A</v>
      </c>
      <c r="AM89" s="270" t="e">
        <f>INDEX([71]Listas!$F$6:$J$10,MATCH(AI89,[71]Listas!$D$6:$D$10,0),MATCH(AK89,[71]Listas!$F$4:$J$4,0))</f>
        <v>#N/A</v>
      </c>
      <c r="AN89" s="259"/>
      <c r="AO89" s="259"/>
      <c r="AP89" s="794"/>
      <c r="AQ89" s="259"/>
      <c r="AR89" s="259" t="s">
        <v>2343</v>
      </c>
      <c r="AS89" s="790"/>
      <c r="AT89" s="259"/>
      <c r="AU89" s="259"/>
      <c r="AV89" s="261"/>
      <c r="AW89" s="261"/>
      <c r="AX89" s="790"/>
      <c r="AY89" s="262"/>
    </row>
    <row r="90" spans="1:51" s="260" customFormat="1" ht="103.5" hidden="1" customHeight="1">
      <c r="A90" s="790"/>
      <c r="B90" s="266"/>
      <c r="C90" s="1399"/>
      <c r="D90" s="1408"/>
      <c r="E90" s="1400"/>
      <c r="F90" s="267"/>
      <c r="G90" s="1399"/>
      <c r="H90" s="1408"/>
      <c r="I90" s="1400"/>
      <c r="J90" s="1380"/>
      <c r="K90" s="1380"/>
      <c r="L90" s="1380"/>
      <c r="M90" s="790"/>
      <c r="N90" s="790"/>
      <c r="O90" s="790"/>
      <c r="P90" s="790"/>
      <c r="Q90" s="266"/>
      <c r="R90" s="266"/>
      <c r="S90" s="268"/>
      <c r="T90" s="269" t="e">
        <f>VLOOKUP(Q90,[71]Listas!$D$6:$E$10,2,0)</f>
        <v>#N/A</v>
      </c>
      <c r="U90" s="269" t="e">
        <f>HLOOKUP(R90,[71]Listas!$F$4:$J$5,2,0)</f>
        <v>#N/A</v>
      </c>
      <c r="V90" s="270" t="e">
        <f>INDEX([71]Listas!$F$6:$J$10,MATCH(Q90,[71]Listas!$D$6:$D$10,0),MATCH(R90,[71]Listas!$F$4:$J$4,0))</f>
        <v>#N/A</v>
      </c>
      <c r="W90" s="268"/>
      <c r="X90" s="1399"/>
      <c r="Y90" s="1408"/>
      <c r="Z90" s="1400"/>
      <c r="AA90" s="1063"/>
      <c r="AB90" s="267"/>
      <c r="AC90" s="259"/>
      <c r="AD90" s="790"/>
      <c r="AE90" s="267"/>
      <c r="AF90" s="268"/>
      <c r="AG90" s="269">
        <f t="shared" si="16"/>
        <v>0</v>
      </c>
      <c r="AH90" s="271" t="e">
        <f t="shared" si="17"/>
        <v>#N/A</v>
      </c>
      <c r="AI90" s="272" t="e">
        <f>IF(AH90&lt;=1,"Remota",VLOOKUP(AH90,[71]Listas!$C$6:$D$10,2,0))</f>
        <v>#N/A</v>
      </c>
      <c r="AJ90" s="271" t="e">
        <f t="shared" si="18"/>
        <v>#N/A</v>
      </c>
      <c r="AK90" s="272" t="e">
        <f>IF(AJ90&lt;=1,"Insignificante",HLOOKUP(AJ90,[71]Listas!$F$3:$J$4,2,0))</f>
        <v>#N/A</v>
      </c>
      <c r="AL90" s="273" t="e">
        <f t="shared" si="19"/>
        <v>#N/A</v>
      </c>
      <c r="AM90" s="270" t="e">
        <f>INDEX([71]Listas!$F$6:$J$10,MATCH(AI90,[71]Listas!$D$6:$D$10,0),MATCH(AK90,[71]Listas!$F$4:$J$4,0))</f>
        <v>#N/A</v>
      </c>
      <c r="AN90" s="259"/>
      <c r="AO90" s="259"/>
      <c r="AP90" s="794"/>
      <c r="AQ90" s="259"/>
      <c r="AR90" s="259" t="s">
        <v>2343</v>
      </c>
      <c r="AS90" s="790"/>
      <c r="AT90" s="259"/>
      <c r="AU90" s="259"/>
      <c r="AV90" s="261"/>
      <c r="AW90" s="261"/>
      <c r="AX90" s="790"/>
      <c r="AY90" s="262"/>
    </row>
    <row r="91" spans="1:51" s="260" customFormat="1" ht="103.5" hidden="1" customHeight="1">
      <c r="A91" s="790"/>
      <c r="B91" s="266"/>
      <c r="C91" s="1399"/>
      <c r="D91" s="1408"/>
      <c r="E91" s="1400"/>
      <c r="F91" s="267"/>
      <c r="G91" s="1399"/>
      <c r="H91" s="1408"/>
      <c r="I91" s="1400"/>
      <c r="J91" s="1380"/>
      <c r="K91" s="1380"/>
      <c r="L91" s="1380"/>
      <c r="M91" s="790"/>
      <c r="N91" s="790"/>
      <c r="O91" s="790"/>
      <c r="P91" s="790"/>
      <c r="Q91" s="266"/>
      <c r="R91" s="266"/>
      <c r="S91" s="268"/>
      <c r="T91" s="269" t="e">
        <f>VLOOKUP(Q91,[71]Listas!$D$6:$E$10,2,0)</f>
        <v>#N/A</v>
      </c>
      <c r="U91" s="269" t="e">
        <f>HLOOKUP(R91,[71]Listas!$F$4:$J$5,2,0)</f>
        <v>#N/A</v>
      </c>
      <c r="V91" s="270" t="e">
        <f>INDEX([71]Listas!$F$6:$J$10,MATCH(Q91,[71]Listas!$D$6:$D$10,0),MATCH(R91,[71]Listas!$F$4:$J$4,0))</f>
        <v>#N/A</v>
      </c>
      <c r="W91" s="268"/>
      <c r="X91" s="1399"/>
      <c r="Y91" s="1408"/>
      <c r="Z91" s="1400"/>
      <c r="AA91" s="1063"/>
      <c r="AB91" s="267"/>
      <c r="AC91" s="259"/>
      <c r="AD91" s="790"/>
      <c r="AE91" s="267"/>
      <c r="AF91" s="268"/>
      <c r="AG91" s="269">
        <f t="shared" si="16"/>
        <v>0</v>
      </c>
      <c r="AH91" s="271" t="e">
        <f t="shared" si="17"/>
        <v>#N/A</v>
      </c>
      <c r="AI91" s="272" t="e">
        <f>IF(AH91&lt;=1,"Remota",VLOOKUP(AH91,[71]Listas!$C$6:$D$10,2,0))</f>
        <v>#N/A</v>
      </c>
      <c r="AJ91" s="271" t="e">
        <f t="shared" si="18"/>
        <v>#N/A</v>
      </c>
      <c r="AK91" s="272" t="e">
        <f>IF(AJ91&lt;=1,"Insignificante",HLOOKUP(AJ91,[71]Listas!$F$3:$J$4,2,0))</f>
        <v>#N/A</v>
      </c>
      <c r="AL91" s="273" t="e">
        <f t="shared" si="19"/>
        <v>#N/A</v>
      </c>
      <c r="AM91" s="270" t="e">
        <f>INDEX([71]Listas!$F$6:$J$10,MATCH(AI91,[71]Listas!$D$6:$D$10,0),MATCH(AK91,[71]Listas!$F$4:$J$4,0))</f>
        <v>#N/A</v>
      </c>
      <c r="AN91" s="259"/>
      <c r="AO91" s="259"/>
      <c r="AP91" s="794"/>
      <c r="AQ91" s="259"/>
      <c r="AR91" s="259" t="s">
        <v>2343</v>
      </c>
      <c r="AS91" s="790"/>
      <c r="AT91" s="259"/>
      <c r="AU91" s="259"/>
      <c r="AV91" s="261"/>
      <c r="AW91" s="261"/>
      <c r="AX91" s="790"/>
      <c r="AY91" s="262"/>
    </row>
    <row r="92" spans="1:51" s="260" customFormat="1" ht="103.5" hidden="1" customHeight="1">
      <c r="A92" s="790"/>
      <c r="B92" s="266"/>
      <c r="C92" s="1399"/>
      <c r="D92" s="1408"/>
      <c r="E92" s="1400"/>
      <c r="F92" s="267"/>
      <c r="G92" s="1399"/>
      <c r="H92" s="1408"/>
      <c r="I92" s="1400"/>
      <c r="J92" s="1380"/>
      <c r="K92" s="1380"/>
      <c r="L92" s="1380"/>
      <c r="M92" s="790"/>
      <c r="N92" s="790"/>
      <c r="O92" s="790"/>
      <c r="P92" s="790"/>
      <c r="Q92" s="266"/>
      <c r="R92" s="266"/>
      <c r="S92" s="268"/>
      <c r="T92" s="269" t="e">
        <f>VLOOKUP(Q92,[71]Listas!$D$6:$E$10,2,0)</f>
        <v>#N/A</v>
      </c>
      <c r="U92" s="269" t="e">
        <f>HLOOKUP(R92,[71]Listas!$F$4:$J$5,2,0)</f>
        <v>#N/A</v>
      </c>
      <c r="V92" s="270" t="e">
        <f>INDEX([71]Listas!$F$6:$J$10,MATCH(Q92,[71]Listas!$D$6:$D$10,0),MATCH(R92,[71]Listas!$F$4:$J$4,0))</f>
        <v>#N/A</v>
      </c>
      <c r="W92" s="268"/>
      <c r="X92" s="1399"/>
      <c r="Y92" s="1408"/>
      <c r="Z92" s="1400"/>
      <c r="AA92" s="1063"/>
      <c r="AB92" s="267"/>
      <c r="AC92" s="259"/>
      <c r="AD92" s="790"/>
      <c r="AE92" s="267"/>
      <c r="AF92" s="268"/>
      <c r="AG92" s="269">
        <f t="shared" si="16"/>
        <v>0</v>
      </c>
      <c r="AH92" s="271" t="e">
        <f t="shared" si="17"/>
        <v>#N/A</v>
      </c>
      <c r="AI92" s="272" t="e">
        <f>IF(AH92&lt;=1,"Remota",VLOOKUP(AH92,[71]Listas!$C$6:$D$10,2,0))</f>
        <v>#N/A</v>
      </c>
      <c r="AJ92" s="271" t="e">
        <f t="shared" si="18"/>
        <v>#N/A</v>
      </c>
      <c r="AK92" s="272" t="e">
        <f>IF(AJ92&lt;=1,"Insignificante",HLOOKUP(AJ92,[71]Listas!$F$3:$J$4,2,0))</f>
        <v>#N/A</v>
      </c>
      <c r="AL92" s="273" t="e">
        <f t="shared" si="19"/>
        <v>#N/A</v>
      </c>
      <c r="AM92" s="270" t="e">
        <f>INDEX([71]Listas!$F$6:$J$10,MATCH(AI92,[71]Listas!$D$6:$D$10,0),MATCH(AK92,[71]Listas!$F$4:$J$4,0))</f>
        <v>#N/A</v>
      </c>
      <c r="AN92" s="259"/>
      <c r="AO92" s="259"/>
      <c r="AP92" s="794"/>
      <c r="AQ92" s="259"/>
      <c r="AR92" s="259" t="s">
        <v>2343</v>
      </c>
      <c r="AS92" s="790"/>
      <c r="AT92" s="259"/>
      <c r="AU92" s="259"/>
      <c r="AV92" s="261"/>
      <c r="AW92" s="261"/>
      <c r="AX92" s="790"/>
      <c r="AY92" s="262"/>
    </row>
    <row r="93" spans="1:51" s="260" customFormat="1" ht="103.5" hidden="1" customHeight="1">
      <c r="A93" s="790"/>
      <c r="B93" s="266"/>
      <c r="C93" s="1399"/>
      <c r="D93" s="1408"/>
      <c r="E93" s="1400"/>
      <c r="F93" s="267"/>
      <c r="G93" s="1399"/>
      <c r="H93" s="1408"/>
      <c r="I93" s="1400"/>
      <c r="J93" s="1380"/>
      <c r="K93" s="1380"/>
      <c r="L93" s="1380"/>
      <c r="M93" s="790"/>
      <c r="N93" s="790"/>
      <c r="O93" s="790"/>
      <c r="P93" s="790"/>
      <c r="Q93" s="266"/>
      <c r="R93" s="266"/>
      <c r="S93" s="268"/>
      <c r="T93" s="269" t="e">
        <f>VLOOKUP(Q93,[71]Listas!$D$6:$E$10,2,0)</f>
        <v>#N/A</v>
      </c>
      <c r="U93" s="269" t="e">
        <f>HLOOKUP(R93,[71]Listas!$F$4:$J$5,2,0)</f>
        <v>#N/A</v>
      </c>
      <c r="V93" s="270" t="e">
        <f>INDEX([71]Listas!$F$6:$J$10,MATCH(Q93,[71]Listas!$D$6:$D$10,0),MATCH(R93,[71]Listas!$F$4:$J$4,0))</f>
        <v>#N/A</v>
      </c>
      <c r="W93" s="268"/>
      <c r="X93" s="1399"/>
      <c r="Y93" s="1408"/>
      <c r="Z93" s="1400"/>
      <c r="AA93" s="1063"/>
      <c r="AB93" s="267"/>
      <c r="AC93" s="259"/>
      <c r="AD93" s="790"/>
      <c r="AE93" s="267"/>
      <c r="AF93" s="268"/>
      <c r="AG93" s="269">
        <f t="shared" si="16"/>
        <v>0</v>
      </c>
      <c r="AH93" s="271" t="e">
        <f t="shared" si="17"/>
        <v>#N/A</v>
      </c>
      <c r="AI93" s="272" t="e">
        <f>IF(AH93&lt;=1,"Remota",VLOOKUP(AH93,[71]Listas!$C$6:$D$10,2,0))</f>
        <v>#N/A</v>
      </c>
      <c r="AJ93" s="271" t="e">
        <f t="shared" si="18"/>
        <v>#N/A</v>
      </c>
      <c r="AK93" s="272" t="e">
        <f>IF(AJ93&lt;=1,"Insignificante",HLOOKUP(AJ93,[71]Listas!$F$3:$J$4,2,0))</f>
        <v>#N/A</v>
      </c>
      <c r="AL93" s="273" t="e">
        <f t="shared" si="19"/>
        <v>#N/A</v>
      </c>
      <c r="AM93" s="270" t="e">
        <f>INDEX([71]Listas!$F$6:$J$10,MATCH(AI93,[71]Listas!$D$6:$D$10,0),MATCH(AK93,[71]Listas!$F$4:$J$4,0))</f>
        <v>#N/A</v>
      </c>
      <c r="AN93" s="259"/>
      <c r="AO93" s="259"/>
      <c r="AP93" s="794"/>
      <c r="AQ93" s="259"/>
      <c r="AR93" s="259" t="s">
        <v>2343</v>
      </c>
      <c r="AS93" s="790"/>
      <c r="AT93" s="259"/>
      <c r="AU93" s="259"/>
      <c r="AV93" s="261"/>
      <c r="AW93" s="261"/>
      <c r="AX93" s="790"/>
      <c r="AY93" s="262"/>
    </row>
    <row r="94" spans="1:51" s="260" customFormat="1" ht="103.5" hidden="1" customHeight="1">
      <c r="A94" s="790"/>
      <c r="B94" s="266"/>
      <c r="C94" s="1399"/>
      <c r="D94" s="1408"/>
      <c r="E94" s="1400"/>
      <c r="F94" s="267"/>
      <c r="G94" s="1399"/>
      <c r="H94" s="1408"/>
      <c r="I94" s="1400"/>
      <c r="J94" s="1380"/>
      <c r="K94" s="1380"/>
      <c r="L94" s="1380"/>
      <c r="M94" s="790"/>
      <c r="N94" s="790"/>
      <c r="O94" s="790"/>
      <c r="P94" s="790"/>
      <c r="Q94" s="266"/>
      <c r="R94" s="266"/>
      <c r="S94" s="268"/>
      <c r="T94" s="269" t="e">
        <f>VLOOKUP(Q94,[71]Listas!$D$6:$E$10,2,0)</f>
        <v>#N/A</v>
      </c>
      <c r="U94" s="269" t="e">
        <f>HLOOKUP(R94,[71]Listas!$F$4:$J$5,2,0)</f>
        <v>#N/A</v>
      </c>
      <c r="V94" s="270" t="e">
        <f>INDEX([71]Listas!$F$6:$J$10,MATCH(Q94,[71]Listas!$D$6:$D$10,0),MATCH(R94,[71]Listas!$F$4:$J$4,0))</f>
        <v>#N/A</v>
      </c>
      <c r="W94" s="268"/>
      <c r="X94" s="1399"/>
      <c r="Y94" s="1408"/>
      <c r="Z94" s="1400"/>
      <c r="AA94" s="1063"/>
      <c r="AB94" s="267"/>
      <c r="AC94" s="259"/>
      <c r="AD94" s="790"/>
      <c r="AE94" s="267"/>
      <c r="AF94" s="268"/>
      <c r="AG94" s="269">
        <f t="shared" si="16"/>
        <v>0</v>
      </c>
      <c r="AH94" s="271" t="e">
        <f t="shared" si="17"/>
        <v>#N/A</v>
      </c>
      <c r="AI94" s="272" t="e">
        <f>IF(AH94&lt;=1,"Remota",VLOOKUP(AH94,[71]Listas!$C$6:$D$10,2,0))</f>
        <v>#N/A</v>
      </c>
      <c r="AJ94" s="271" t="e">
        <f t="shared" si="18"/>
        <v>#N/A</v>
      </c>
      <c r="AK94" s="272" t="e">
        <f>IF(AJ94&lt;=1,"Insignificante",HLOOKUP(AJ94,[71]Listas!$F$3:$J$4,2,0))</f>
        <v>#N/A</v>
      </c>
      <c r="AL94" s="273" t="e">
        <f t="shared" si="19"/>
        <v>#N/A</v>
      </c>
      <c r="AM94" s="270" t="e">
        <f>INDEX([71]Listas!$F$6:$J$10,MATCH(AI94,[71]Listas!$D$6:$D$10,0),MATCH(AK94,[71]Listas!$F$4:$J$4,0))</f>
        <v>#N/A</v>
      </c>
      <c r="AN94" s="259"/>
      <c r="AO94" s="259"/>
      <c r="AP94" s="794"/>
      <c r="AQ94" s="259"/>
      <c r="AR94" s="259" t="s">
        <v>2343</v>
      </c>
      <c r="AS94" s="790"/>
      <c r="AT94" s="259"/>
      <c r="AU94" s="259"/>
      <c r="AV94" s="261"/>
      <c r="AW94" s="261"/>
      <c r="AX94" s="790"/>
      <c r="AY94" s="262"/>
    </row>
    <row r="95" spans="1:51" s="260" customFormat="1" ht="103.5" hidden="1" customHeight="1">
      <c r="A95" s="790"/>
      <c r="B95" s="266"/>
      <c r="C95" s="1399"/>
      <c r="D95" s="1408"/>
      <c r="E95" s="1400"/>
      <c r="F95" s="267"/>
      <c r="G95" s="1399"/>
      <c r="H95" s="1408"/>
      <c r="I95" s="1400"/>
      <c r="J95" s="1380"/>
      <c r="K95" s="1380"/>
      <c r="L95" s="1380"/>
      <c r="M95" s="790"/>
      <c r="N95" s="790"/>
      <c r="O95" s="790"/>
      <c r="P95" s="790"/>
      <c r="Q95" s="266"/>
      <c r="R95" s="266"/>
      <c r="S95" s="268"/>
      <c r="T95" s="269" t="e">
        <f>VLOOKUP(Q95,[71]Listas!$D$6:$E$10,2,0)</f>
        <v>#N/A</v>
      </c>
      <c r="U95" s="269" t="e">
        <f>HLOOKUP(R95,[71]Listas!$F$4:$J$5,2,0)</f>
        <v>#N/A</v>
      </c>
      <c r="V95" s="270" t="e">
        <f>INDEX([71]Listas!$F$6:$J$10,MATCH(Q95,[71]Listas!$D$6:$D$10,0),MATCH(R95,[71]Listas!$F$4:$J$4,0))</f>
        <v>#N/A</v>
      </c>
      <c r="W95" s="268"/>
      <c r="X95" s="1399"/>
      <c r="Y95" s="1408"/>
      <c r="Z95" s="1400"/>
      <c r="AA95" s="1063"/>
      <c r="AB95" s="267"/>
      <c r="AC95" s="259"/>
      <c r="AD95" s="790"/>
      <c r="AE95" s="267"/>
      <c r="AF95" s="268"/>
      <c r="AG95" s="269">
        <f t="shared" si="16"/>
        <v>0</v>
      </c>
      <c r="AH95" s="271" t="e">
        <f t="shared" si="17"/>
        <v>#N/A</v>
      </c>
      <c r="AI95" s="272" t="e">
        <f>IF(AH95&lt;=1,"Remota",VLOOKUP(AH95,[71]Listas!$C$6:$D$10,2,0))</f>
        <v>#N/A</v>
      </c>
      <c r="AJ95" s="271" t="e">
        <f t="shared" si="18"/>
        <v>#N/A</v>
      </c>
      <c r="AK95" s="272" t="e">
        <f>IF(AJ95&lt;=1,"Insignificante",HLOOKUP(AJ95,[71]Listas!$F$3:$J$4,2,0))</f>
        <v>#N/A</v>
      </c>
      <c r="AL95" s="273" t="e">
        <f t="shared" si="19"/>
        <v>#N/A</v>
      </c>
      <c r="AM95" s="270" t="e">
        <f>INDEX([71]Listas!$F$6:$J$10,MATCH(AI95,[71]Listas!$D$6:$D$10,0),MATCH(AK95,[71]Listas!$F$4:$J$4,0))</f>
        <v>#N/A</v>
      </c>
      <c r="AN95" s="259"/>
      <c r="AO95" s="259"/>
      <c r="AP95" s="794"/>
      <c r="AQ95" s="259"/>
      <c r="AR95" s="259" t="s">
        <v>2343</v>
      </c>
      <c r="AS95" s="790"/>
      <c r="AT95" s="259"/>
      <c r="AU95" s="259"/>
      <c r="AV95" s="261"/>
      <c r="AW95" s="261"/>
      <c r="AX95" s="790"/>
      <c r="AY95" s="262"/>
    </row>
    <row r="96" spans="1:51" s="260" customFormat="1" ht="103.5" hidden="1" customHeight="1">
      <c r="A96" s="790"/>
      <c r="B96" s="266"/>
      <c r="C96" s="1399"/>
      <c r="D96" s="1408"/>
      <c r="E96" s="1400"/>
      <c r="F96" s="267"/>
      <c r="G96" s="1399"/>
      <c r="H96" s="1408"/>
      <c r="I96" s="1400"/>
      <c r="J96" s="1380"/>
      <c r="K96" s="1380"/>
      <c r="L96" s="1380"/>
      <c r="M96" s="790"/>
      <c r="N96" s="790"/>
      <c r="O96" s="790"/>
      <c r="P96" s="790"/>
      <c r="Q96" s="266"/>
      <c r="R96" s="266"/>
      <c r="S96" s="268"/>
      <c r="T96" s="269" t="e">
        <f>VLOOKUP(Q96,[71]Listas!$D$6:$E$10,2,0)</f>
        <v>#N/A</v>
      </c>
      <c r="U96" s="269" t="e">
        <f>HLOOKUP(R96,[71]Listas!$F$4:$J$5,2,0)</f>
        <v>#N/A</v>
      </c>
      <c r="V96" s="270" t="e">
        <f>INDEX([71]Listas!$F$6:$J$10,MATCH(Q96,[71]Listas!$D$6:$D$10,0),MATCH(R96,[71]Listas!$F$4:$J$4,0))</f>
        <v>#N/A</v>
      </c>
      <c r="W96" s="268"/>
      <c r="X96" s="1399"/>
      <c r="Y96" s="1408"/>
      <c r="Z96" s="1400"/>
      <c r="AA96" s="1063"/>
      <c r="AB96" s="267"/>
      <c r="AC96" s="259"/>
      <c r="AD96" s="790"/>
      <c r="AE96" s="267"/>
      <c r="AF96" s="268"/>
      <c r="AG96" s="269">
        <f t="shared" si="16"/>
        <v>0</v>
      </c>
      <c r="AH96" s="271" t="e">
        <f t="shared" si="17"/>
        <v>#N/A</v>
      </c>
      <c r="AI96" s="272" t="e">
        <f>IF(AH96&lt;=1,"Remota",VLOOKUP(AH96,[71]Listas!$C$6:$D$10,2,0))</f>
        <v>#N/A</v>
      </c>
      <c r="AJ96" s="271" t="e">
        <f t="shared" si="18"/>
        <v>#N/A</v>
      </c>
      <c r="AK96" s="272" t="e">
        <f>IF(AJ96&lt;=1,"Insignificante",HLOOKUP(AJ96,[71]Listas!$F$3:$J$4,2,0))</f>
        <v>#N/A</v>
      </c>
      <c r="AL96" s="273" t="e">
        <f t="shared" si="19"/>
        <v>#N/A</v>
      </c>
      <c r="AM96" s="270" t="e">
        <f>INDEX([71]Listas!$F$6:$J$10,MATCH(AI96,[71]Listas!$D$6:$D$10,0),MATCH(AK96,[71]Listas!$F$4:$J$4,0))</f>
        <v>#N/A</v>
      </c>
      <c r="AN96" s="259"/>
      <c r="AO96" s="259"/>
      <c r="AP96" s="794"/>
      <c r="AQ96" s="259"/>
      <c r="AR96" s="259" t="s">
        <v>2343</v>
      </c>
      <c r="AS96" s="790"/>
      <c r="AT96" s="259"/>
      <c r="AU96" s="259"/>
      <c r="AV96" s="261"/>
      <c r="AW96" s="261"/>
      <c r="AX96" s="790"/>
      <c r="AY96" s="262"/>
    </row>
    <row r="97" spans="1:51" s="260" customFormat="1" ht="103.5" hidden="1" customHeight="1">
      <c r="A97" s="790"/>
      <c r="B97" s="266"/>
      <c r="C97" s="1399"/>
      <c r="D97" s="1408"/>
      <c r="E97" s="1400"/>
      <c r="F97" s="267"/>
      <c r="G97" s="1399"/>
      <c r="H97" s="1408"/>
      <c r="I97" s="1400"/>
      <c r="J97" s="1380"/>
      <c r="K97" s="1380"/>
      <c r="L97" s="1380"/>
      <c r="M97" s="790"/>
      <c r="N97" s="790"/>
      <c r="O97" s="790"/>
      <c r="P97" s="790"/>
      <c r="Q97" s="266"/>
      <c r="R97" s="266"/>
      <c r="S97" s="268"/>
      <c r="T97" s="269" t="e">
        <f>VLOOKUP(Q97,[71]Listas!$D$6:$E$10,2,0)</f>
        <v>#N/A</v>
      </c>
      <c r="U97" s="269" t="e">
        <f>HLOOKUP(R97,[71]Listas!$F$4:$J$5,2,0)</f>
        <v>#N/A</v>
      </c>
      <c r="V97" s="270" t="e">
        <f>INDEX([71]Listas!$F$6:$J$10,MATCH(Q97,[71]Listas!$D$6:$D$10,0),MATCH(R97,[71]Listas!$F$4:$J$4,0))</f>
        <v>#N/A</v>
      </c>
      <c r="W97" s="268"/>
      <c r="X97" s="1399"/>
      <c r="Y97" s="1408"/>
      <c r="Z97" s="1400"/>
      <c r="AA97" s="1063"/>
      <c r="AB97" s="267"/>
      <c r="AC97" s="259"/>
      <c r="AD97" s="790"/>
      <c r="AE97" s="267"/>
      <c r="AF97" s="268"/>
      <c r="AG97" s="269">
        <f t="shared" si="16"/>
        <v>0</v>
      </c>
      <c r="AH97" s="271" t="e">
        <f t="shared" si="17"/>
        <v>#N/A</v>
      </c>
      <c r="AI97" s="272" t="e">
        <f>IF(AH97&lt;=1,"Remota",VLOOKUP(AH97,[71]Listas!$C$6:$D$10,2,0))</f>
        <v>#N/A</v>
      </c>
      <c r="AJ97" s="271" t="e">
        <f t="shared" si="18"/>
        <v>#N/A</v>
      </c>
      <c r="AK97" s="272" t="e">
        <f>IF(AJ97&lt;=1,"Insignificante",HLOOKUP(AJ97,[71]Listas!$F$3:$J$4,2,0))</f>
        <v>#N/A</v>
      </c>
      <c r="AL97" s="273" t="e">
        <f t="shared" si="19"/>
        <v>#N/A</v>
      </c>
      <c r="AM97" s="270" t="e">
        <f>INDEX([71]Listas!$F$6:$J$10,MATCH(AI97,[71]Listas!$D$6:$D$10,0),MATCH(AK97,[71]Listas!$F$4:$J$4,0))</f>
        <v>#N/A</v>
      </c>
      <c r="AN97" s="259"/>
      <c r="AO97" s="259"/>
      <c r="AP97" s="794"/>
      <c r="AQ97" s="259"/>
      <c r="AR97" s="259" t="s">
        <v>2343</v>
      </c>
      <c r="AS97" s="790"/>
      <c r="AT97" s="259"/>
      <c r="AU97" s="259"/>
      <c r="AV97" s="261"/>
      <c r="AW97" s="261"/>
      <c r="AX97" s="790"/>
      <c r="AY97" s="262"/>
    </row>
    <row r="98" spans="1:51" s="260" customFormat="1" ht="103.5" hidden="1" customHeight="1">
      <c r="A98" s="813"/>
      <c r="B98" s="274"/>
      <c r="C98" s="1399"/>
      <c r="D98" s="1408"/>
      <c r="E98" s="1400"/>
      <c r="F98" s="267"/>
      <c r="G98" s="1399"/>
      <c r="H98" s="1408"/>
      <c r="I98" s="1400"/>
      <c r="J98" s="1380"/>
      <c r="K98" s="1380"/>
      <c r="L98" s="1380"/>
      <c r="M98" s="790"/>
      <c r="N98" s="790"/>
      <c r="O98" s="790"/>
      <c r="P98" s="790"/>
      <c r="Q98" s="266"/>
      <c r="R98" s="266"/>
      <c r="S98" s="268"/>
      <c r="T98" s="269" t="e">
        <f>VLOOKUP(Q98,[71]Listas!$D$6:$E$10,2,0)</f>
        <v>#N/A</v>
      </c>
      <c r="U98" s="269" t="e">
        <f>HLOOKUP(R98,[71]Listas!$F$4:$J$5,2,0)</f>
        <v>#N/A</v>
      </c>
      <c r="V98" s="270" t="e">
        <f>INDEX([71]Listas!$F$6:$J$10,MATCH(Q98,[71]Listas!$D$6:$D$10,0),MATCH(R98,[71]Listas!$F$4:$J$4,0))</f>
        <v>#N/A</v>
      </c>
      <c r="W98" s="268"/>
      <c r="X98" s="1399"/>
      <c r="Y98" s="1408"/>
      <c r="Z98" s="1400"/>
      <c r="AA98" s="1063"/>
      <c r="AB98" s="267"/>
      <c r="AC98" s="259"/>
      <c r="AD98" s="790"/>
      <c r="AE98" s="267"/>
      <c r="AF98" s="268"/>
      <c r="AG98" s="269">
        <f t="shared" si="16"/>
        <v>0</v>
      </c>
      <c r="AH98" s="271" t="e">
        <f t="shared" si="17"/>
        <v>#N/A</v>
      </c>
      <c r="AI98" s="272" t="e">
        <f>IF(AH98&lt;=1,"Remota",VLOOKUP(AH98,[71]Listas!$C$6:$D$10,2,0))</f>
        <v>#N/A</v>
      </c>
      <c r="AJ98" s="271" t="e">
        <f t="shared" si="18"/>
        <v>#N/A</v>
      </c>
      <c r="AK98" s="272" t="e">
        <f>IF(AJ98&lt;=1,"Insignificante",HLOOKUP(AJ98,[71]Listas!$F$3:$J$4,2,0))</f>
        <v>#N/A</v>
      </c>
      <c r="AL98" s="273" t="e">
        <f t="shared" si="19"/>
        <v>#N/A</v>
      </c>
      <c r="AM98" s="270" t="e">
        <f>INDEX([71]Listas!$F$6:$J$10,MATCH(AI98,[71]Listas!$D$6:$D$10,0),MATCH(AK98,[71]Listas!$F$4:$J$4,0))</f>
        <v>#N/A</v>
      </c>
      <c r="AN98" s="259"/>
      <c r="AO98" s="259"/>
      <c r="AP98" s="794"/>
      <c r="AQ98" s="259"/>
      <c r="AR98" s="259" t="s">
        <v>2343</v>
      </c>
      <c r="AS98" s="790"/>
      <c r="AT98" s="259"/>
      <c r="AU98" s="259"/>
      <c r="AV98" s="261"/>
      <c r="AW98" s="261"/>
      <c r="AX98" s="790"/>
      <c r="AY98" s="262"/>
    </row>
    <row r="99" spans="1:51" s="260" customFormat="1" ht="103.5" hidden="1" customHeight="1">
      <c r="A99" s="790"/>
      <c r="B99" s="266"/>
      <c r="C99" s="1399"/>
      <c r="D99" s="1408"/>
      <c r="E99" s="1400"/>
      <c r="F99" s="267"/>
      <c r="G99" s="1399"/>
      <c r="H99" s="1408"/>
      <c r="I99" s="1400"/>
      <c r="J99" s="1380"/>
      <c r="K99" s="1380"/>
      <c r="L99" s="1380"/>
      <c r="M99" s="790"/>
      <c r="N99" s="790"/>
      <c r="O99" s="790"/>
      <c r="P99" s="790"/>
      <c r="Q99" s="266"/>
      <c r="R99" s="266"/>
      <c r="S99" s="268"/>
      <c r="T99" s="269" t="e">
        <f>VLOOKUP(Q99,[71]Listas!$D$6:$E$10,2,0)</f>
        <v>#N/A</v>
      </c>
      <c r="U99" s="269" t="e">
        <f>HLOOKUP(R99,[71]Listas!$F$4:$J$5,2,0)</f>
        <v>#N/A</v>
      </c>
      <c r="V99" s="270" t="e">
        <f>INDEX([71]Listas!$F$6:$J$10,MATCH(Q99,[71]Listas!$D$6:$D$10,0),MATCH(R99,[71]Listas!$F$4:$J$4,0))</f>
        <v>#N/A</v>
      </c>
      <c r="W99" s="268"/>
      <c r="X99" s="1399"/>
      <c r="Y99" s="1408"/>
      <c r="Z99" s="1400"/>
      <c r="AA99" s="1063"/>
      <c r="AB99" s="267"/>
      <c r="AC99" s="259"/>
      <c r="AD99" s="790"/>
      <c r="AE99" s="267"/>
      <c r="AF99" s="268"/>
      <c r="AG99" s="269">
        <f t="shared" si="16"/>
        <v>0</v>
      </c>
      <c r="AH99" s="271" t="e">
        <f t="shared" si="17"/>
        <v>#N/A</v>
      </c>
      <c r="AI99" s="272" t="e">
        <f>IF(AH99&lt;=1,"Remota",VLOOKUP(AH99,[71]Listas!$C$6:$D$10,2,0))</f>
        <v>#N/A</v>
      </c>
      <c r="AJ99" s="271" t="e">
        <f t="shared" si="18"/>
        <v>#N/A</v>
      </c>
      <c r="AK99" s="272" t="e">
        <f>IF(AJ99&lt;=1,"Insignificante",HLOOKUP(AJ99,[71]Listas!$F$3:$J$4,2,0))</f>
        <v>#N/A</v>
      </c>
      <c r="AL99" s="273" t="e">
        <f t="shared" si="19"/>
        <v>#N/A</v>
      </c>
      <c r="AM99" s="270" t="e">
        <f>INDEX([71]Listas!$F$6:$J$10,MATCH(AI99,[71]Listas!$D$6:$D$10,0),MATCH(AK99,[71]Listas!$F$4:$J$4,0))</f>
        <v>#N/A</v>
      </c>
      <c r="AN99" s="259"/>
      <c r="AO99" s="259"/>
      <c r="AP99" s="794"/>
      <c r="AQ99" s="259"/>
      <c r="AR99" s="259" t="s">
        <v>2343</v>
      </c>
      <c r="AS99" s="790"/>
      <c r="AT99" s="259"/>
      <c r="AU99" s="259"/>
      <c r="AV99" s="261"/>
      <c r="AW99" s="261"/>
      <c r="AX99" s="790"/>
      <c r="AY99" s="262"/>
    </row>
    <row r="100" spans="1:51" s="260" customFormat="1" ht="103.5" hidden="1" customHeight="1">
      <c r="A100" s="790"/>
      <c r="B100" s="266"/>
      <c r="C100" s="1399"/>
      <c r="D100" s="1408"/>
      <c r="E100" s="1400"/>
      <c r="F100" s="267"/>
      <c r="G100" s="1399"/>
      <c r="H100" s="1408"/>
      <c r="I100" s="1400"/>
      <c r="J100" s="1380"/>
      <c r="K100" s="1380"/>
      <c r="L100" s="1380"/>
      <c r="M100" s="790"/>
      <c r="N100" s="790"/>
      <c r="O100" s="790"/>
      <c r="P100" s="790"/>
      <c r="Q100" s="266"/>
      <c r="R100" s="266"/>
      <c r="S100" s="268"/>
      <c r="T100" s="269" t="e">
        <f>VLOOKUP(Q100,[71]Listas!$D$6:$E$10,2,0)</f>
        <v>#N/A</v>
      </c>
      <c r="U100" s="269" t="e">
        <f>HLOOKUP(R100,[71]Listas!$F$4:$J$5,2,0)</f>
        <v>#N/A</v>
      </c>
      <c r="V100" s="270" t="e">
        <f>INDEX([71]Listas!$F$6:$J$10,MATCH(Q100,[71]Listas!$D$6:$D$10,0),MATCH(R100,[71]Listas!$F$4:$J$4,0))</f>
        <v>#N/A</v>
      </c>
      <c r="W100" s="268"/>
      <c r="X100" s="1399"/>
      <c r="Y100" s="1408"/>
      <c r="Z100" s="1400"/>
      <c r="AA100" s="1063"/>
      <c r="AB100" s="267"/>
      <c r="AC100" s="259"/>
      <c r="AD100" s="790"/>
      <c r="AE100" s="267"/>
      <c r="AF100" s="268"/>
      <c r="AG100" s="269">
        <f t="shared" si="16"/>
        <v>0</v>
      </c>
      <c r="AH100" s="271" t="e">
        <f t="shared" si="17"/>
        <v>#N/A</v>
      </c>
      <c r="AI100" s="272" t="e">
        <f>IF(AH100&lt;=1,"Remota",VLOOKUP(AH100,[71]Listas!$C$6:$D$10,2,0))</f>
        <v>#N/A</v>
      </c>
      <c r="AJ100" s="271" t="e">
        <f t="shared" si="18"/>
        <v>#N/A</v>
      </c>
      <c r="AK100" s="272" t="e">
        <f>IF(AJ100&lt;=1,"Insignificante",HLOOKUP(AJ100,[71]Listas!$F$3:$J$4,2,0))</f>
        <v>#N/A</v>
      </c>
      <c r="AL100" s="273" t="e">
        <f t="shared" si="19"/>
        <v>#N/A</v>
      </c>
      <c r="AM100" s="270" t="e">
        <f>INDEX([71]Listas!$F$6:$J$10,MATCH(AI100,[71]Listas!$D$6:$D$10,0),MATCH(AK100,[71]Listas!$F$4:$J$4,0))</f>
        <v>#N/A</v>
      </c>
      <c r="AN100" s="259"/>
      <c r="AO100" s="259"/>
      <c r="AP100" s="794"/>
      <c r="AQ100" s="259"/>
      <c r="AR100" s="259" t="s">
        <v>2343</v>
      </c>
      <c r="AS100" s="790"/>
      <c r="AT100" s="259"/>
      <c r="AU100" s="259"/>
      <c r="AV100" s="261"/>
      <c r="AW100" s="261"/>
      <c r="AX100" s="790"/>
      <c r="AY100" s="262"/>
    </row>
    <row r="101" spans="1:51" s="260" customFormat="1" ht="103.5" hidden="1" customHeight="1">
      <c r="A101" s="790"/>
      <c r="B101" s="266"/>
      <c r="C101" s="1399"/>
      <c r="D101" s="1408"/>
      <c r="E101" s="1400"/>
      <c r="F101" s="267"/>
      <c r="G101" s="1399"/>
      <c r="H101" s="1408"/>
      <c r="I101" s="1400"/>
      <c r="J101" s="1380"/>
      <c r="K101" s="1380"/>
      <c r="L101" s="1380"/>
      <c r="M101" s="790"/>
      <c r="N101" s="790"/>
      <c r="O101" s="790"/>
      <c r="P101" s="790"/>
      <c r="Q101" s="266"/>
      <c r="R101" s="266"/>
      <c r="S101" s="268"/>
      <c r="T101" s="269" t="e">
        <f>VLOOKUP(Q101,[71]Listas!$D$6:$E$10,2,0)</f>
        <v>#N/A</v>
      </c>
      <c r="U101" s="269" t="e">
        <f>HLOOKUP(R101,[71]Listas!$F$4:$J$5,2,0)</f>
        <v>#N/A</v>
      </c>
      <c r="V101" s="270" t="e">
        <f>INDEX([71]Listas!$F$6:$J$10,MATCH(Q101,[71]Listas!$D$6:$D$10,0),MATCH(R101,[71]Listas!$F$4:$J$4,0))</f>
        <v>#N/A</v>
      </c>
      <c r="W101" s="268"/>
      <c r="X101" s="1399"/>
      <c r="Y101" s="1408"/>
      <c r="Z101" s="1400"/>
      <c r="AA101" s="1063"/>
      <c r="AB101" s="267"/>
      <c r="AC101" s="259"/>
      <c r="AD101" s="790"/>
      <c r="AE101" s="267"/>
      <c r="AF101" s="268"/>
      <c r="AG101" s="269">
        <f t="shared" si="16"/>
        <v>0</v>
      </c>
      <c r="AH101" s="271" t="e">
        <f t="shared" si="17"/>
        <v>#N/A</v>
      </c>
      <c r="AI101" s="272" t="e">
        <f>IF(AH101&lt;=1,"Remota",VLOOKUP(AH101,[71]Listas!$C$6:$D$10,2,0))</f>
        <v>#N/A</v>
      </c>
      <c r="AJ101" s="271" t="e">
        <f t="shared" si="18"/>
        <v>#N/A</v>
      </c>
      <c r="AK101" s="272" t="e">
        <f>IF(AJ101&lt;=1,"Insignificante",HLOOKUP(AJ101,[71]Listas!$F$3:$J$4,2,0))</f>
        <v>#N/A</v>
      </c>
      <c r="AL101" s="273" t="e">
        <f t="shared" si="19"/>
        <v>#N/A</v>
      </c>
      <c r="AM101" s="270" t="e">
        <f>INDEX([71]Listas!$F$6:$J$10,MATCH(AI101,[71]Listas!$D$6:$D$10,0),MATCH(AK101,[71]Listas!$F$4:$J$4,0))</f>
        <v>#N/A</v>
      </c>
      <c r="AN101" s="259"/>
      <c r="AO101" s="259"/>
      <c r="AP101" s="794"/>
      <c r="AQ101" s="259"/>
      <c r="AR101" s="259" t="s">
        <v>2343</v>
      </c>
      <c r="AS101" s="790"/>
      <c r="AT101" s="259"/>
      <c r="AU101" s="259"/>
      <c r="AV101" s="261"/>
      <c r="AW101" s="261"/>
      <c r="AX101" s="790"/>
      <c r="AY101" s="262"/>
    </row>
    <row r="102" spans="1:51" s="260" customFormat="1" ht="103.5" hidden="1" customHeight="1">
      <c r="A102" s="790"/>
      <c r="B102" s="266"/>
      <c r="C102" s="1399"/>
      <c r="D102" s="1408"/>
      <c r="E102" s="1400"/>
      <c r="F102" s="267"/>
      <c r="G102" s="1399"/>
      <c r="H102" s="1408"/>
      <c r="I102" s="1400"/>
      <c r="J102" s="1380"/>
      <c r="K102" s="1380"/>
      <c r="L102" s="1380"/>
      <c r="M102" s="790"/>
      <c r="N102" s="790"/>
      <c r="O102" s="790"/>
      <c r="P102" s="790"/>
      <c r="Q102" s="266"/>
      <c r="R102" s="266"/>
      <c r="S102" s="268"/>
      <c r="T102" s="269" t="e">
        <f>VLOOKUP(Q102,[71]Listas!$D$6:$E$10,2,0)</f>
        <v>#N/A</v>
      </c>
      <c r="U102" s="269" t="e">
        <f>HLOOKUP(R102,[71]Listas!$F$4:$J$5,2,0)</f>
        <v>#N/A</v>
      </c>
      <c r="V102" s="270" t="e">
        <f>INDEX([71]Listas!$F$6:$J$10,MATCH(Q102,[71]Listas!$D$6:$D$10,0),MATCH(R102,[71]Listas!$F$4:$J$4,0))</f>
        <v>#N/A</v>
      </c>
      <c r="W102" s="268"/>
      <c r="X102" s="1399"/>
      <c r="Y102" s="1408"/>
      <c r="Z102" s="1400"/>
      <c r="AA102" s="1063"/>
      <c r="AB102" s="267"/>
      <c r="AC102" s="259"/>
      <c r="AD102" s="790"/>
      <c r="AE102" s="267"/>
      <c r="AF102" s="268"/>
      <c r="AG102" s="269">
        <f t="shared" si="16"/>
        <v>0</v>
      </c>
      <c r="AH102" s="271" t="e">
        <f t="shared" si="17"/>
        <v>#N/A</v>
      </c>
      <c r="AI102" s="272" t="e">
        <f>IF(AH102&lt;=1,"Remota",VLOOKUP(AH102,[71]Listas!$C$6:$D$10,2,0))</f>
        <v>#N/A</v>
      </c>
      <c r="AJ102" s="271" t="e">
        <f t="shared" si="18"/>
        <v>#N/A</v>
      </c>
      <c r="AK102" s="272" t="e">
        <f>IF(AJ102&lt;=1,"Insignificante",HLOOKUP(AJ102,[71]Listas!$F$3:$J$4,2,0))</f>
        <v>#N/A</v>
      </c>
      <c r="AL102" s="273" t="e">
        <f t="shared" si="19"/>
        <v>#N/A</v>
      </c>
      <c r="AM102" s="270" t="e">
        <f>INDEX([71]Listas!$F$6:$J$10,MATCH(AI102,[71]Listas!$D$6:$D$10,0),MATCH(AK102,[71]Listas!$F$4:$J$4,0))</f>
        <v>#N/A</v>
      </c>
      <c r="AN102" s="259"/>
      <c r="AO102" s="259"/>
      <c r="AP102" s="794"/>
      <c r="AQ102" s="259"/>
      <c r="AR102" s="259" t="s">
        <v>2343</v>
      </c>
      <c r="AS102" s="790"/>
      <c r="AT102" s="259"/>
      <c r="AU102" s="259"/>
      <c r="AV102" s="261"/>
      <c r="AW102" s="261"/>
      <c r="AX102" s="790"/>
      <c r="AY102" s="262"/>
    </row>
    <row r="103" spans="1:51" s="260" customFormat="1" ht="103.5" hidden="1" customHeight="1">
      <c r="A103" s="790"/>
      <c r="B103" s="266"/>
      <c r="C103" s="1399"/>
      <c r="D103" s="1408"/>
      <c r="E103" s="1400"/>
      <c r="F103" s="267"/>
      <c r="G103" s="1399"/>
      <c r="H103" s="1408"/>
      <c r="I103" s="1400"/>
      <c r="J103" s="1380"/>
      <c r="K103" s="1380"/>
      <c r="L103" s="1380"/>
      <c r="M103" s="790"/>
      <c r="N103" s="790"/>
      <c r="O103" s="790"/>
      <c r="P103" s="790"/>
      <c r="Q103" s="266"/>
      <c r="R103" s="266"/>
      <c r="S103" s="268"/>
      <c r="T103" s="269" t="e">
        <f>VLOOKUP(Q103,[71]Listas!$D$6:$E$10,2,0)</f>
        <v>#N/A</v>
      </c>
      <c r="U103" s="269" t="e">
        <f>HLOOKUP(R103,[71]Listas!$F$4:$J$5,2,0)</f>
        <v>#N/A</v>
      </c>
      <c r="V103" s="270" t="e">
        <f>INDEX([71]Listas!$F$6:$J$10,MATCH(Q103,[71]Listas!$D$6:$D$10,0),MATCH(R103,[71]Listas!$F$4:$J$4,0))</f>
        <v>#N/A</v>
      </c>
      <c r="W103" s="268"/>
      <c r="X103" s="1399"/>
      <c r="Y103" s="1408"/>
      <c r="Z103" s="1400"/>
      <c r="AA103" s="1063"/>
      <c r="AB103" s="267"/>
      <c r="AC103" s="259"/>
      <c r="AD103" s="790"/>
      <c r="AE103" s="267"/>
      <c r="AF103" s="268"/>
      <c r="AG103" s="269">
        <f t="shared" si="16"/>
        <v>0</v>
      </c>
      <c r="AH103" s="271" t="e">
        <f t="shared" si="17"/>
        <v>#N/A</v>
      </c>
      <c r="AI103" s="272" t="e">
        <f>IF(AH103&lt;=1,"Remota",VLOOKUP(AH103,[71]Listas!$C$6:$D$10,2,0))</f>
        <v>#N/A</v>
      </c>
      <c r="AJ103" s="271" t="e">
        <f t="shared" si="18"/>
        <v>#N/A</v>
      </c>
      <c r="AK103" s="272" t="e">
        <f>IF(AJ103&lt;=1,"Insignificante",HLOOKUP(AJ103,[71]Listas!$F$3:$J$4,2,0))</f>
        <v>#N/A</v>
      </c>
      <c r="AL103" s="273" t="e">
        <f t="shared" si="19"/>
        <v>#N/A</v>
      </c>
      <c r="AM103" s="270" t="e">
        <f>INDEX([71]Listas!$F$6:$J$10,MATCH(AI103,[71]Listas!$D$6:$D$10,0),MATCH(AK103,[71]Listas!$F$4:$J$4,0))</f>
        <v>#N/A</v>
      </c>
      <c r="AN103" s="259"/>
      <c r="AO103" s="259"/>
      <c r="AP103" s="794"/>
      <c r="AQ103" s="259"/>
      <c r="AR103" s="259" t="s">
        <v>2343</v>
      </c>
      <c r="AS103" s="790"/>
      <c r="AT103" s="259"/>
      <c r="AU103" s="259"/>
      <c r="AV103" s="261"/>
      <c r="AW103" s="261"/>
      <c r="AX103" s="790"/>
      <c r="AY103" s="262"/>
    </row>
    <row r="104" spans="1:51" s="260" customFormat="1" ht="103.5" hidden="1" customHeight="1">
      <c r="A104" s="790"/>
      <c r="B104" s="266"/>
      <c r="C104" s="1399"/>
      <c r="D104" s="1408"/>
      <c r="E104" s="1400"/>
      <c r="F104" s="267"/>
      <c r="G104" s="1399"/>
      <c r="H104" s="1408"/>
      <c r="I104" s="1400"/>
      <c r="J104" s="1380"/>
      <c r="K104" s="1380"/>
      <c r="L104" s="1380"/>
      <c r="M104" s="790"/>
      <c r="N104" s="790"/>
      <c r="O104" s="790"/>
      <c r="P104" s="790"/>
      <c r="Q104" s="266"/>
      <c r="R104" s="266"/>
      <c r="S104" s="268"/>
      <c r="T104" s="269" t="e">
        <f>VLOOKUP(Q104,[71]Listas!$D$6:$E$10,2,0)</f>
        <v>#N/A</v>
      </c>
      <c r="U104" s="269" t="e">
        <f>HLOOKUP(R104,[71]Listas!$F$4:$J$5,2,0)</f>
        <v>#N/A</v>
      </c>
      <c r="V104" s="270" t="e">
        <f>INDEX([71]Listas!$F$6:$J$10,MATCH(Q104,[71]Listas!$D$6:$D$10,0),MATCH(R104,[71]Listas!$F$4:$J$4,0))</f>
        <v>#N/A</v>
      </c>
      <c r="W104" s="268"/>
      <c r="X104" s="1399"/>
      <c r="Y104" s="1408"/>
      <c r="Z104" s="1400"/>
      <c r="AA104" s="1063"/>
      <c r="AB104" s="267"/>
      <c r="AC104" s="259"/>
      <c r="AD104" s="790"/>
      <c r="AE104" s="267"/>
      <c r="AF104" s="268"/>
      <c r="AG104" s="269">
        <f t="shared" si="16"/>
        <v>0</v>
      </c>
      <c r="AH104" s="271" t="e">
        <f t="shared" si="17"/>
        <v>#N/A</v>
      </c>
      <c r="AI104" s="272" t="e">
        <f>IF(AH104&lt;=1,"Remota",VLOOKUP(AH104,[71]Listas!$C$6:$D$10,2,0))</f>
        <v>#N/A</v>
      </c>
      <c r="AJ104" s="271" t="e">
        <f t="shared" si="18"/>
        <v>#N/A</v>
      </c>
      <c r="AK104" s="272" t="e">
        <f>IF(AJ104&lt;=1,"Insignificante",HLOOKUP(AJ104,[71]Listas!$F$3:$J$4,2,0))</f>
        <v>#N/A</v>
      </c>
      <c r="AL104" s="273" t="e">
        <f t="shared" si="19"/>
        <v>#N/A</v>
      </c>
      <c r="AM104" s="270" t="e">
        <f>INDEX([71]Listas!$F$6:$J$10,MATCH(AI104,[71]Listas!$D$6:$D$10,0),MATCH(AK104,[71]Listas!$F$4:$J$4,0))</f>
        <v>#N/A</v>
      </c>
      <c r="AN104" s="259"/>
      <c r="AO104" s="259"/>
      <c r="AP104" s="794"/>
      <c r="AQ104" s="259"/>
      <c r="AR104" s="259" t="s">
        <v>2343</v>
      </c>
      <c r="AS104" s="790"/>
      <c r="AT104" s="259"/>
      <c r="AU104" s="259"/>
      <c r="AV104" s="261"/>
      <c r="AW104" s="261"/>
      <c r="AX104" s="790"/>
      <c r="AY104" s="262"/>
    </row>
    <row r="105" spans="1:51" s="260" customFormat="1" ht="103.5" hidden="1" customHeight="1">
      <c r="A105" s="790"/>
      <c r="B105" s="266"/>
      <c r="C105" s="1399"/>
      <c r="D105" s="1408"/>
      <c r="E105" s="1400"/>
      <c r="F105" s="267"/>
      <c r="G105" s="1399"/>
      <c r="H105" s="1408"/>
      <c r="I105" s="1400"/>
      <c r="J105" s="1380"/>
      <c r="K105" s="1380"/>
      <c r="L105" s="1380"/>
      <c r="M105" s="790"/>
      <c r="N105" s="790"/>
      <c r="O105" s="790"/>
      <c r="P105" s="790"/>
      <c r="Q105" s="266"/>
      <c r="R105" s="266"/>
      <c r="S105" s="268"/>
      <c r="T105" s="269" t="e">
        <f>VLOOKUP(Q105,[71]Listas!$D$6:$E$10,2,0)</f>
        <v>#N/A</v>
      </c>
      <c r="U105" s="269" t="e">
        <f>HLOOKUP(R105,[71]Listas!$F$4:$J$5,2,0)</f>
        <v>#N/A</v>
      </c>
      <c r="V105" s="270" t="e">
        <f>INDEX([71]Listas!$F$6:$J$10,MATCH(Q105,[71]Listas!$D$6:$D$10,0),MATCH(R105,[71]Listas!$F$4:$J$4,0))</f>
        <v>#N/A</v>
      </c>
      <c r="W105" s="268"/>
      <c r="X105" s="1399"/>
      <c r="Y105" s="1408"/>
      <c r="Z105" s="1400"/>
      <c r="AA105" s="1063"/>
      <c r="AB105" s="267"/>
      <c r="AC105" s="259"/>
      <c r="AD105" s="790"/>
      <c r="AE105" s="267"/>
      <c r="AF105" s="268"/>
      <c r="AG105" s="269">
        <f t="shared" si="16"/>
        <v>0</v>
      </c>
      <c r="AH105" s="271" t="e">
        <f t="shared" si="17"/>
        <v>#N/A</v>
      </c>
      <c r="AI105" s="272" t="e">
        <f>IF(AH105&lt;=1,"Remota",VLOOKUP(AH105,[71]Listas!$C$6:$D$10,2,0))</f>
        <v>#N/A</v>
      </c>
      <c r="AJ105" s="271" t="e">
        <f t="shared" si="18"/>
        <v>#N/A</v>
      </c>
      <c r="AK105" s="272" t="e">
        <f>IF(AJ105&lt;=1,"Insignificante",HLOOKUP(AJ105,[71]Listas!$F$3:$J$4,2,0))</f>
        <v>#N/A</v>
      </c>
      <c r="AL105" s="273" t="e">
        <f t="shared" si="19"/>
        <v>#N/A</v>
      </c>
      <c r="AM105" s="270" t="e">
        <f>INDEX([71]Listas!$F$6:$J$10,MATCH(AI105,[71]Listas!$D$6:$D$10,0),MATCH(AK105,[71]Listas!$F$4:$J$4,0))</f>
        <v>#N/A</v>
      </c>
      <c r="AN105" s="259"/>
      <c r="AO105" s="259"/>
      <c r="AP105" s="794"/>
      <c r="AQ105" s="259"/>
      <c r="AR105" s="259" t="s">
        <v>2343</v>
      </c>
      <c r="AS105" s="790"/>
      <c r="AT105" s="259"/>
      <c r="AU105" s="259"/>
      <c r="AV105" s="261"/>
      <c r="AW105" s="261"/>
      <c r="AX105" s="790"/>
      <c r="AY105" s="262"/>
    </row>
    <row r="106" spans="1:51" s="260" customFormat="1" ht="103.5" hidden="1" customHeight="1">
      <c r="A106" s="790"/>
      <c r="B106" s="266"/>
      <c r="C106" s="1399"/>
      <c r="D106" s="1408"/>
      <c r="E106" s="1400"/>
      <c r="F106" s="267"/>
      <c r="G106" s="1399"/>
      <c r="H106" s="1408"/>
      <c r="I106" s="1400"/>
      <c r="J106" s="1380"/>
      <c r="K106" s="1380"/>
      <c r="L106" s="1380"/>
      <c r="M106" s="790"/>
      <c r="N106" s="790"/>
      <c r="O106" s="790"/>
      <c r="P106" s="790"/>
      <c r="Q106" s="266"/>
      <c r="R106" s="266"/>
      <c r="S106" s="268"/>
      <c r="T106" s="269" t="e">
        <f>VLOOKUP(Q106,[71]Listas!$D$6:$E$10,2,0)</f>
        <v>#N/A</v>
      </c>
      <c r="U106" s="269" t="e">
        <f>HLOOKUP(R106,[71]Listas!$F$4:$J$5,2,0)</f>
        <v>#N/A</v>
      </c>
      <c r="V106" s="270" t="e">
        <f>INDEX([71]Listas!$F$6:$J$10,MATCH(Q106,[71]Listas!$D$6:$D$10,0),MATCH(R106,[71]Listas!$F$4:$J$4,0))</f>
        <v>#N/A</v>
      </c>
      <c r="W106" s="268"/>
      <c r="X106" s="1399"/>
      <c r="Y106" s="1408"/>
      <c r="Z106" s="1400"/>
      <c r="AA106" s="1063"/>
      <c r="AB106" s="267"/>
      <c r="AC106" s="259"/>
      <c r="AD106" s="790"/>
      <c r="AE106" s="267"/>
      <c r="AF106" s="268"/>
      <c r="AG106" s="269">
        <f t="shared" si="16"/>
        <v>0</v>
      </c>
      <c r="AH106" s="271" t="e">
        <f t="shared" si="17"/>
        <v>#N/A</v>
      </c>
      <c r="AI106" s="272" t="e">
        <f>IF(AH106&lt;=1,"Remota",VLOOKUP(AH106,[71]Listas!$C$6:$D$10,2,0))</f>
        <v>#N/A</v>
      </c>
      <c r="AJ106" s="271" t="e">
        <f t="shared" si="18"/>
        <v>#N/A</v>
      </c>
      <c r="AK106" s="272" t="e">
        <f>IF(AJ106&lt;=1,"Insignificante",HLOOKUP(AJ106,[71]Listas!$F$3:$J$4,2,0))</f>
        <v>#N/A</v>
      </c>
      <c r="AL106" s="273" t="e">
        <f t="shared" si="19"/>
        <v>#N/A</v>
      </c>
      <c r="AM106" s="270" t="e">
        <f>INDEX([71]Listas!$F$6:$J$10,MATCH(AI106,[71]Listas!$D$6:$D$10,0),MATCH(AK106,[71]Listas!$F$4:$J$4,0))</f>
        <v>#N/A</v>
      </c>
      <c r="AN106" s="259"/>
      <c r="AO106" s="259"/>
      <c r="AP106" s="794"/>
      <c r="AQ106" s="259"/>
      <c r="AR106" s="259" t="s">
        <v>2343</v>
      </c>
      <c r="AS106" s="790"/>
      <c r="AT106" s="259"/>
      <c r="AU106" s="259"/>
      <c r="AV106" s="261"/>
      <c r="AW106" s="261"/>
      <c r="AX106" s="790"/>
      <c r="AY106" s="262"/>
    </row>
    <row r="107" spans="1:51" s="260" customFormat="1" ht="103.5" hidden="1" customHeight="1">
      <c r="A107" s="790"/>
      <c r="B107" s="266"/>
      <c r="C107" s="1399"/>
      <c r="D107" s="1408"/>
      <c r="E107" s="1400"/>
      <c r="F107" s="267"/>
      <c r="G107" s="1399"/>
      <c r="H107" s="1408"/>
      <c r="I107" s="1400"/>
      <c r="J107" s="1380"/>
      <c r="K107" s="1380"/>
      <c r="L107" s="1380"/>
      <c r="M107" s="790"/>
      <c r="N107" s="790"/>
      <c r="O107" s="790"/>
      <c r="P107" s="790"/>
      <c r="Q107" s="266"/>
      <c r="R107" s="266"/>
      <c r="S107" s="268"/>
      <c r="T107" s="269" t="e">
        <f>VLOOKUP(Q107,[71]Listas!$D$6:$E$10,2,0)</f>
        <v>#N/A</v>
      </c>
      <c r="U107" s="269" t="e">
        <f>HLOOKUP(R107,[71]Listas!$F$4:$J$5,2,0)</f>
        <v>#N/A</v>
      </c>
      <c r="V107" s="270" t="e">
        <f>INDEX([71]Listas!$F$6:$J$10,MATCH(Q107,[71]Listas!$D$6:$D$10,0),MATCH(R107,[71]Listas!$F$4:$J$4,0))</f>
        <v>#N/A</v>
      </c>
      <c r="W107" s="268"/>
      <c r="X107" s="1399"/>
      <c r="Y107" s="1408"/>
      <c r="Z107" s="1400"/>
      <c r="AA107" s="1063"/>
      <c r="AB107" s="267"/>
      <c r="AC107" s="259"/>
      <c r="AD107" s="790"/>
      <c r="AE107" s="267"/>
      <c r="AF107" s="268"/>
      <c r="AG107" s="269">
        <f t="shared" si="16"/>
        <v>0</v>
      </c>
      <c r="AH107" s="271" t="e">
        <f t="shared" si="17"/>
        <v>#N/A</v>
      </c>
      <c r="AI107" s="272" t="e">
        <f>IF(AH107&lt;=1,"Remota",VLOOKUP(AH107,[71]Listas!$C$6:$D$10,2,0))</f>
        <v>#N/A</v>
      </c>
      <c r="AJ107" s="271" t="e">
        <f t="shared" si="18"/>
        <v>#N/A</v>
      </c>
      <c r="AK107" s="272" t="e">
        <f>IF(AJ107&lt;=1,"Insignificante",HLOOKUP(AJ107,[71]Listas!$F$3:$J$4,2,0))</f>
        <v>#N/A</v>
      </c>
      <c r="AL107" s="273" t="e">
        <f t="shared" si="19"/>
        <v>#N/A</v>
      </c>
      <c r="AM107" s="270" t="e">
        <f>INDEX([71]Listas!$F$6:$J$10,MATCH(AI107,[71]Listas!$D$6:$D$10,0),MATCH(AK107,[71]Listas!$F$4:$J$4,0))</f>
        <v>#N/A</v>
      </c>
      <c r="AN107" s="259"/>
      <c r="AO107" s="259"/>
      <c r="AP107" s="794"/>
      <c r="AQ107" s="259"/>
      <c r="AR107" s="259" t="s">
        <v>2343</v>
      </c>
      <c r="AS107" s="790"/>
      <c r="AT107" s="259"/>
      <c r="AU107" s="259"/>
      <c r="AV107" s="261"/>
      <c r="AW107" s="261"/>
      <c r="AX107" s="790"/>
      <c r="AY107" s="262"/>
    </row>
    <row r="108" spans="1:51" s="260" customFormat="1" ht="103.5" hidden="1" customHeight="1">
      <c r="A108" s="790"/>
      <c r="B108" s="266"/>
      <c r="C108" s="1399"/>
      <c r="D108" s="1408"/>
      <c r="E108" s="1400"/>
      <c r="F108" s="267"/>
      <c r="G108" s="1399"/>
      <c r="H108" s="1408"/>
      <c r="I108" s="1400"/>
      <c r="J108" s="1380"/>
      <c r="K108" s="1380"/>
      <c r="L108" s="1380"/>
      <c r="M108" s="790"/>
      <c r="N108" s="790"/>
      <c r="O108" s="790"/>
      <c r="P108" s="790"/>
      <c r="Q108" s="266"/>
      <c r="R108" s="266"/>
      <c r="S108" s="268"/>
      <c r="T108" s="269" t="e">
        <f>VLOOKUP(Q108,[71]Listas!$D$6:$E$10,2,0)</f>
        <v>#N/A</v>
      </c>
      <c r="U108" s="269" t="e">
        <f>HLOOKUP(R108,[71]Listas!$F$4:$J$5,2,0)</f>
        <v>#N/A</v>
      </c>
      <c r="V108" s="270" t="e">
        <f>INDEX([71]Listas!$F$6:$J$10,MATCH(Q108,[71]Listas!$D$6:$D$10,0),MATCH(R108,[71]Listas!$F$4:$J$4,0))</f>
        <v>#N/A</v>
      </c>
      <c r="W108" s="268"/>
      <c r="X108" s="1399"/>
      <c r="Y108" s="1408"/>
      <c r="Z108" s="1400"/>
      <c r="AA108" s="1063"/>
      <c r="AB108" s="267"/>
      <c r="AC108" s="259"/>
      <c r="AD108" s="790"/>
      <c r="AE108" s="267"/>
      <c r="AF108" s="268"/>
      <c r="AG108" s="269">
        <f t="shared" si="16"/>
        <v>0</v>
      </c>
      <c r="AH108" s="271" t="e">
        <f t="shared" si="17"/>
        <v>#N/A</v>
      </c>
      <c r="AI108" s="272" t="e">
        <f>IF(AH108&lt;=1,"Remota",VLOOKUP(AH108,[71]Listas!$C$6:$D$10,2,0))</f>
        <v>#N/A</v>
      </c>
      <c r="AJ108" s="271" t="e">
        <f t="shared" si="18"/>
        <v>#N/A</v>
      </c>
      <c r="AK108" s="272" t="e">
        <f>IF(AJ108&lt;=1,"Insignificante",HLOOKUP(AJ108,[71]Listas!$F$3:$J$4,2,0))</f>
        <v>#N/A</v>
      </c>
      <c r="AL108" s="273" t="e">
        <f t="shared" si="19"/>
        <v>#N/A</v>
      </c>
      <c r="AM108" s="270" t="e">
        <f>INDEX([71]Listas!$F$6:$J$10,MATCH(AI108,[71]Listas!$D$6:$D$10,0),MATCH(AK108,[71]Listas!$F$4:$J$4,0))</f>
        <v>#N/A</v>
      </c>
      <c r="AN108" s="259"/>
      <c r="AO108" s="259"/>
      <c r="AP108" s="794"/>
      <c r="AQ108" s="259"/>
      <c r="AR108" s="259" t="s">
        <v>2343</v>
      </c>
      <c r="AS108" s="790"/>
      <c r="AT108" s="259"/>
      <c r="AU108" s="259"/>
      <c r="AV108" s="261"/>
      <c r="AW108" s="261"/>
      <c r="AX108" s="790"/>
      <c r="AY108" s="262"/>
    </row>
    <row r="109" spans="1:51" s="260" customFormat="1" ht="103.5" hidden="1" customHeight="1">
      <c r="A109" s="790"/>
      <c r="B109" s="266"/>
      <c r="C109" s="1399"/>
      <c r="D109" s="1408"/>
      <c r="E109" s="1400"/>
      <c r="F109" s="267"/>
      <c r="G109" s="1399"/>
      <c r="H109" s="1408"/>
      <c r="I109" s="1400"/>
      <c r="J109" s="1380"/>
      <c r="K109" s="1380"/>
      <c r="L109" s="1380"/>
      <c r="M109" s="790"/>
      <c r="N109" s="790"/>
      <c r="O109" s="790"/>
      <c r="P109" s="790"/>
      <c r="Q109" s="266"/>
      <c r="R109" s="266"/>
      <c r="S109" s="268"/>
      <c r="T109" s="269" t="e">
        <f>VLOOKUP(Q109,[71]Listas!$D$6:$E$10,2,0)</f>
        <v>#N/A</v>
      </c>
      <c r="U109" s="269" t="e">
        <f>HLOOKUP(R109,[71]Listas!$F$4:$J$5,2,0)</f>
        <v>#N/A</v>
      </c>
      <c r="V109" s="270" t="e">
        <f>INDEX([71]Listas!$F$6:$J$10,MATCH(Q109,[71]Listas!$D$6:$D$10,0),MATCH(R109,[71]Listas!$F$4:$J$4,0))</f>
        <v>#N/A</v>
      </c>
      <c r="W109" s="268"/>
      <c r="X109" s="1399"/>
      <c r="Y109" s="1408"/>
      <c r="Z109" s="1400"/>
      <c r="AA109" s="1063"/>
      <c r="AB109" s="267"/>
      <c r="AC109" s="259"/>
      <c r="AD109" s="790"/>
      <c r="AE109" s="267"/>
      <c r="AF109" s="268"/>
      <c r="AG109" s="269">
        <f t="shared" si="16"/>
        <v>0</v>
      </c>
      <c r="AH109" s="271" t="e">
        <f t="shared" si="17"/>
        <v>#N/A</v>
      </c>
      <c r="AI109" s="272" t="e">
        <f>IF(AH109&lt;=1,"Remota",VLOOKUP(AH109,[71]Listas!$C$6:$D$10,2,0))</f>
        <v>#N/A</v>
      </c>
      <c r="AJ109" s="271" t="e">
        <f t="shared" si="18"/>
        <v>#N/A</v>
      </c>
      <c r="AK109" s="272" t="e">
        <f>IF(AJ109&lt;=1,"Insignificante",HLOOKUP(AJ109,[71]Listas!$F$3:$J$4,2,0))</f>
        <v>#N/A</v>
      </c>
      <c r="AL109" s="273" t="e">
        <f t="shared" si="19"/>
        <v>#N/A</v>
      </c>
      <c r="AM109" s="270" t="e">
        <f>INDEX([71]Listas!$F$6:$J$10,MATCH(AI109,[71]Listas!$D$6:$D$10,0),MATCH(AK109,[71]Listas!$F$4:$J$4,0))</f>
        <v>#N/A</v>
      </c>
      <c r="AN109" s="259"/>
      <c r="AO109" s="259"/>
      <c r="AP109" s="794"/>
      <c r="AQ109" s="259"/>
      <c r="AR109" s="259" t="s">
        <v>2343</v>
      </c>
      <c r="AS109" s="790"/>
      <c r="AT109" s="259"/>
      <c r="AU109" s="259"/>
      <c r="AV109" s="261"/>
      <c r="AW109" s="261"/>
      <c r="AX109" s="790"/>
      <c r="AY109" s="262"/>
    </row>
    <row r="110" spans="1:51" s="260" customFormat="1" ht="103.5" hidden="1" customHeight="1">
      <c r="A110" s="790"/>
      <c r="B110" s="266"/>
      <c r="C110" s="1399"/>
      <c r="D110" s="1408"/>
      <c r="E110" s="1400"/>
      <c r="F110" s="267"/>
      <c r="G110" s="1399"/>
      <c r="H110" s="1408"/>
      <c r="I110" s="1400"/>
      <c r="J110" s="1380"/>
      <c r="K110" s="1380"/>
      <c r="L110" s="1380"/>
      <c r="M110" s="790"/>
      <c r="N110" s="790"/>
      <c r="O110" s="790"/>
      <c r="P110" s="790"/>
      <c r="Q110" s="266"/>
      <c r="R110" s="266"/>
      <c r="S110" s="268"/>
      <c r="T110" s="269" t="e">
        <f>VLOOKUP(Q110,[71]Listas!$D$6:$E$10,2,0)</f>
        <v>#N/A</v>
      </c>
      <c r="U110" s="269" t="e">
        <f>HLOOKUP(R110,[71]Listas!$F$4:$J$5,2,0)</f>
        <v>#N/A</v>
      </c>
      <c r="V110" s="270" t="e">
        <f>INDEX([71]Listas!$F$6:$J$10,MATCH(Q110,[71]Listas!$D$6:$D$10,0),MATCH(R110,[71]Listas!$F$4:$J$4,0))</f>
        <v>#N/A</v>
      </c>
      <c r="W110" s="268"/>
      <c r="X110" s="1399"/>
      <c r="Y110" s="1408"/>
      <c r="Z110" s="1400"/>
      <c r="AA110" s="1063"/>
      <c r="AB110" s="267"/>
      <c r="AC110" s="259"/>
      <c r="AD110" s="790"/>
      <c r="AE110" s="267"/>
      <c r="AF110" s="268"/>
      <c r="AG110" s="269">
        <f t="shared" si="16"/>
        <v>0</v>
      </c>
      <c r="AH110" s="271" t="e">
        <f t="shared" si="17"/>
        <v>#N/A</v>
      </c>
      <c r="AI110" s="272" t="e">
        <f>IF(AH110&lt;=1,"Remota",VLOOKUP(AH110,[71]Listas!$C$6:$D$10,2,0))</f>
        <v>#N/A</v>
      </c>
      <c r="AJ110" s="271" t="e">
        <f t="shared" si="18"/>
        <v>#N/A</v>
      </c>
      <c r="AK110" s="272" t="e">
        <f>IF(AJ110&lt;=1,"Insignificante",HLOOKUP(AJ110,[71]Listas!$F$3:$J$4,2,0))</f>
        <v>#N/A</v>
      </c>
      <c r="AL110" s="273" t="e">
        <f t="shared" si="19"/>
        <v>#N/A</v>
      </c>
      <c r="AM110" s="270" t="e">
        <f>INDEX([71]Listas!$F$6:$J$10,MATCH(AI110,[71]Listas!$D$6:$D$10,0),MATCH(AK110,[71]Listas!$F$4:$J$4,0))</f>
        <v>#N/A</v>
      </c>
      <c r="AN110" s="259"/>
      <c r="AO110" s="259"/>
      <c r="AP110" s="794"/>
      <c r="AQ110" s="259"/>
      <c r="AR110" s="259" t="s">
        <v>2343</v>
      </c>
      <c r="AS110" s="790"/>
      <c r="AT110" s="259"/>
      <c r="AU110" s="259"/>
      <c r="AV110" s="261"/>
      <c r="AW110" s="261"/>
      <c r="AX110" s="790"/>
      <c r="AY110" s="262"/>
    </row>
    <row r="111" spans="1:51" s="260" customFormat="1" ht="103.5" hidden="1" customHeight="1">
      <c r="A111" s="790"/>
      <c r="B111" s="266"/>
      <c r="C111" s="1399"/>
      <c r="D111" s="1408"/>
      <c r="E111" s="1400"/>
      <c r="F111" s="267"/>
      <c r="G111" s="1399"/>
      <c r="H111" s="1408"/>
      <c r="I111" s="1400"/>
      <c r="J111" s="1380"/>
      <c r="K111" s="1380"/>
      <c r="L111" s="1380"/>
      <c r="M111" s="790"/>
      <c r="N111" s="790"/>
      <c r="O111" s="790"/>
      <c r="P111" s="790"/>
      <c r="Q111" s="266"/>
      <c r="R111" s="266"/>
      <c r="S111" s="268"/>
      <c r="T111" s="269" t="e">
        <f>VLOOKUP(Q111,[71]Listas!$D$6:$E$10,2,0)</f>
        <v>#N/A</v>
      </c>
      <c r="U111" s="269" t="e">
        <f>HLOOKUP(R111,[71]Listas!$F$4:$J$5,2,0)</f>
        <v>#N/A</v>
      </c>
      <c r="V111" s="270" t="e">
        <f>INDEX([71]Listas!$F$6:$J$10,MATCH(Q111,[71]Listas!$D$6:$D$10,0),MATCH(R111,[71]Listas!$F$4:$J$4,0))</f>
        <v>#N/A</v>
      </c>
      <c r="W111" s="268"/>
      <c r="X111" s="1399"/>
      <c r="Y111" s="1408"/>
      <c r="Z111" s="1400"/>
      <c r="AA111" s="1063"/>
      <c r="AB111" s="267"/>
      <c r="AC111" s="259"/>
      <c r="AD111" s="790"/>
      <c r="AE111" s="267"/>
      <c r="AF111" s="268"/>
      <c r="AG111" s="269">
        <f t="shared" si="16"/>
        <v>0</v>
      </c>
      <c r="AH111" s="271" t="e">
        <f t="shared" si="17"/>
        <v>#N/A</v>
      </c>
      <c r="AI111" s="272" t="e">
        <f>IF(AH111&lt;=1,"Remota",VLOOKUP(AH111,[71]Listas!$C$6:$D$10,2,0))</f>
        <v>#N/A</v>
      </c>
      <c r="AJ111" s="271" t="e">
        <f t="shared" si="18"/>
        <v>#N/A</v>
      </c>
      <c r="AK111" s="272" t="e">
        <f>IF(AJ111&lt;=1,"Insignificante",HLOOKUP(AJ111,[71]Listas!$F$3:$J$4,2,0))</f>
        <v>#N/A</v>
      </c>
      <c r="AL111" s="273" t="e">
        <f t="shared" si="19"/>
        <v>#N/A</v>
      </c>
      <c r="AM111" s="270" t="e">
        <f>INDEX([71]Listas!$F$6:$J$10,MATCH(AI111,[71]Listas!$D$6:$D$10,0),MATCH(AK111,[71]Listas!$F$4:$J$4,0))</f>
        <v>#N/A</v>
      </c>
      <c r="AN111" s="259"/>
      <c r="AO111" s="259"/>
      <c r="AP111" s="794"/>
      <c r="AQ111" s="259"/>
      <c r="AR111" s="259" t="s">
        <v>2343</v>
      </c>
      <c r="AS111" s="790"/>
      <c r="AT111" s="259"/>
      <c r="AU111" s="259"/>
      <c r="AV111" s="261"/>
      <c r="AW111" s="261"/>
      <c r="AX111" s="790"/>
      <c r="AY111" s="262"/>
    </row>
    <row r="112" spans="1:51" s="260" customFormat="1" ht="103.5" hidden="1" customHeight="1">
      <c r="A112" s="790"/>
      <c r="B112" s="266"/>
      <c r="C112" s="1399"/>
      <c r="D112" s="1408"/>
      <c r="E112" s="1400"/>
      <c r="F112" s="267"/>
      <c r="G112" s="1399"/>
      <c r="H112" s="1408"/>
      <c r="I112" s="1400"/>
      <c r="J112" s="1380"/>
      <c r="K112" s="1380"/>
      <c r="L112" s="1380"/>
      <c r="M112" s="790"/>
      <c r="N112" s="790"/>
      <c r="O112" s="790"/>
      <c r="P112" s="790"/>
      <c r="Q112" s="266"/>
      <c r="R112" s="266"/>
      <c r="S112" s="268"/>
      <c r="T112" s="269" t="e">
        <f>VLOOKUP(Q112,[71]Listas!$D$6:$E$10,2,0)</f>
        <v>#N/A</v>
      </c>
      <c r="U112" s="269" t="e">
        <f>HLOOKUP(R112,[71]Listas!$F$4:$J$5,2,0)</f>
        <v>#N/A</v>
      </c>
      <c r="V112" s="270" t="e">
        <f>INDEX([71]Listas!$F$6:$J$10,MATCH(Q112,[71]Listas!$D$6:$D$10,0),MATCH(R112,[71]Listas!$F$4:$J$4,0))</f>
        <v>#N/A</v>
      </c>
      <c r="W112" s="268"/>
      <c r="X112" s="1399"/>
      <c r="Y112" s="1408"/>
      <c r="Z112" s="1400"/>
      <c r="AA112" s="1063"/>
      <c r="AB112" s="267"/>
      <c r="AC112" s="259"/>
      <c r="AD112" s="790"/>
      <c r="AE112" s="267"/>
      <c r="AF112" s="268"/>
      <c r="AG112" s="269">
        <f t="shared" si="16"/>
        <v>0</v>
      </c>
      <c r="AH112" s="271" t="e">
        <f t="shared" si="17"/>
        <v>#N/A</v>
      </c>
      <c r="AI112" s="272" t="e">
        <f>IF(AH112&lt;=1,"Remota",VLOOKUP(AH112,[71]Listas!$C$6:$D$10,2,0))</f>
        <v>#N/A</v>
      </c>
      <c r="AJ112" s="271" t="e">
        <f t="shared" si="18"/>
        <v>#N/A</v>
      </c>
      <c r="AK112" s="272" t="e">
        <f>IF(AJ112&lt;=1,"Insignificante",HLOOKUP(AJ112,[71]Listas!$F$3:$J$4,2,0))</f>
        <v>#N/A</v>
      </c>
      <c r="AL112" s="273" t="e">
        <f t="shared" si="19"/>
        <v>#N/A</v>
      </c>
      <c r="AM112" s="270" t="e">
        <f>INDEX([71]Listas!$F$6:$J$10,MATCH(AI112,[71]Listas!$D$6:$D$10,0),MATCH(AK112,[71]Listas!$F$4:$J$4,0))</f>
        <v>#N/A</v>
      </c>
      <c r="AN112" s="259"/>
      <c r="AO112" s="259"/>
      <c r="AP112" s="794"/>
      <c r="AQ112" s="259"/>
      <c r="AR112" s="259" t="s">
        <v>2343</v>
      </c>
      <c r="AS112" s="790"/>
      <c r="AT112" s="259"/>
      <c r="AU112" s="259"/>
      <c r="AV112" s="261"/>
      <c r="AW112" s="261"/>
      <c r="AX112" s="790"/>
      <c r="AY112" s="262"/>
    </row>
    <row r="113" spans="1:51" s="260" customFormat="1" ht="103.5" hidden="1" customHeight="1">
      <c r="A113" s="790"/>
      <c r="B113" s="266"/>
      <c r="C113" s="1399"/>
      <c r="D113" s="1408"/>
      <c r="E113" s="1400"/>
      <c r="F113" s="267"/>
      <c r="G113" s="1399"/>
      <c r="H113" s="1408"/>
      <c r="I113" s="1400"/>
      <c r="J113" s="1380"/>
      <c r="K113" s="1380"/>
      <c r="L113" s="1380"/>
      <c r="M113" s="790"/>
      <c r="N113" s="790"/>
      <c r="O113" s="790"/>
      <c r="P113" s="790"/>
      <c r="Q113" s="266"/>
      <c r="R113" s="266"/>
      <c r="S113" s="268"/>
      <c r="T113" s="269" t="e">
        <f>VLOOKUP(Q113,[71]Listas!$D$6:$E$10,2,0)</f>
        <v>#N/A</v>
      </c>
      <c r="U113" s="269" t="e">
        <f>HLOOKUP(R113,[71]Listas!$F$4:$J$5,2,0)</f>
        <v>#N/A</v>
      </c>
      <c r="V113" s="270" t="e">
        <f>INDEX([71]Listas!$F$6:$J$10,MATCH(Q113,[71]Listas!$D$6:$D$10,0),MATCH(R113,[71]Listas!$F$4:$J$4,0))</f>
        <v>#N/A</v>
      </c>
      <c r="W113" s="268"/>
      <c r="X113" s="1399"/>
      <c r="Y113" s="1408"/>
      <c r="Z113" s="1400"/>
      <c r="AA113" s="1063"/>
      <c r="AB113" s="267"/>
      <c r="AC113" s="259"/>
      <c r="AD113" s="790"/>
      <c r="AE113" s="267"/>
      <c r="AF113" s="268"/>
      <c r="AG113" s="269">
        <f t="shared" si="16"/>
        <v>0</v>
      </c>
      <c r="AH113" s="271" t="e">
        <f t="shared" si="17"/>
        <v>#N/A</v>
      </c>
      <c r="AI113" s="272" t="e">
        <f>IF(AH113&lt;=1,"Remota",VLOOKUP(AH113,[71]Listas!$C$6:$D$10,2,0))</f>
        <v>#N/A</v>
      </c>
      <c r="AJ113" s="271" t="e">
        <f t="shared" si="18"/>
        <v>#N/A</v>
      </c>
      <c r="AK113" s="272" t="e">
        <f>IF(AJ113&lt;=1,"Insignificante",HLOOKUP(AJ113,[71]Listas!$F$3:$J$4,2,0))</f>
        <v>#N/A</v>
      </c>
      <c r="AL113" s="273" t="e">
        <f t="shared" si="19"/>
        <v>#N/A</v>
      </c>
      <c r="AM113" s="270" t="e">
        <f>INDEX([71]Listas!$F$6:$J$10,MATCH(AI113,[71]Listas!$D$6:$D$10,0),MATCH(AK113,[71]Listas!$F$4:$J$4,0))</f>
        <v>#N/A</v>
      </c>
      <c r="AN113" s="259"/>
      <c r="AO113" s="259"/>
      <c r="AP113" s="794"/>
      <c r="AQ113" s="259"/>
      <c r="AR113" s="259" t="s">
        <v>2343</v>
      </c>
      <c r="AS113" s="790"/>
      <c r="AT113" s="259"/>
      <c r="AU113" s="259"/>
      <c r="AV113" s="261"/>
      <c r="AW113" s="261"/>
      <c r="AX113" s="790"/>
      <c r="AY113" s="262"/>
    </row>
    <row r="114" spans="1:51" s="260" customFormat="1" ht="103.5" hidden="1" customHeight="1">
      <c r="A114" s="790"/>
      <c r="B114" s="266"/>
      <c r="C114" s="1399"/>
      <c r="D114" s="1408"/>
      <c r="E114" s="1400"/>
      <c r="F114" s="267"/>
      <c r="G114" s="1399"/>
      <c r="H114" s="1408"/>
      <c r="I114" s="1400"/>
      <c r="J114" s="1380"/>
      <c r="K114" s="1380"/>
      <c r="L114" s="1380"/>
      <c r="M114" s="790"/>
      <c r="N114" s="790"/>
      <c r="O114" s="790"/>
      <c r="P114" s="790"/>
      <c r="Q114" s="266"/>
      <c r="R114" s="266"/>
      <c r="S114" s="268"/>
      <c r="T114" s="269" t="e">
        <f>VLOOKUP(Q114,[71]Listas!$D$6:$E$10,2,0)</f>
        <v>#N/A</v>
      </c>
      <c r="U114" s="269" t="e">
        <f>HLOOKUP(R114,[71]Listas!$F$4:$J$5,2,0)</f>
        <v>#N/A</v>
      </c>
      <c r="V114" s="270" t="e">
        <f>INDEX([71]Listas!$F$6:$J$10,MATCH(Q114,[71]Listas!$D$6:$D$10,0),MATCH(R114,[71]Listas!$F$4:$J$4,0))</f>
        <v>#N/A</v>
      </c>
      <c r="W114" s="268"/>
      <c r="X114" s="1399"/>
      <c r="Y114" s="1408"/>
      <c r="Z114" s="1400"/>
      <c r="AA114" s="1063"/>
      <c r="AB114" s="267"/>
      <c r="AC114" s="259"/>
      <c r="AD114" s="790"/>
      <c r="AE114" s="267"/>
      <c r="AF114" s="268"/>
      <c r="AG114" s="269">
        <f t="shared" si="16"/>
        <v>0</v>
      </c>
      <c r="AH114" s="271" t="e">
        <f t="shared" si="17"/>
        <v>#N/A</v>
      </c>
      <c r="AI114" s="272" t="e">
        <f>IF(AH114&lt;=1,"Remota",VLOOKUP(AH114,[71]Listas!$C$6:$D$10,2,0))</f>
        <v>#N/A</v>
      </c>
      <c r="AJ114" s="271" t="e">
        <f t="shared" si="18"/>
        <v>#N/A</v>
      </c>
      <c r="AK114" s="272" t="e">
        <f>IF(AJ114&lt;=1,"Insignificante",HLOOKUP(AJ114,[71]Listas!$F$3:$J$4,2,0))</f>
        <v>#N/A</v>
      </c>
      <c r="AL114" s="273" t="e">
        <f t="shared" si="19"/>
        <v>#N/A</v>
      </c>
      <c r="AM114" s="270" t="e">
        <f>INDEX([71]Listas!$F$6:$J$10,MATCH(AI114,[71]Listas!$D$6:$D$10,0),MATCH(AK114,[71]Listas!$F$4:$J$4,0))</f>
        <v>#N/A</v>
      </c>
      <c r="AN114" s="259"/>
      <c r="AO114" s="259"/>
      <c r="AP114" s="794"/>
      <c r="AQ114" s="259"/>
      <c r="AR114" s="259" t="s">
        <v>2343</v>
      </c>
      <c r="AS114" s="790"/>
      <c r="AT114" s="259"/>
      <c r="AU114" s="259"/>
      <c r="AV114" s="261"/>
      <c r="AW114" s="261"/>
      <c r="AX114" s="790"/>
      <c r="AY114" s="262"/>
    </row>
    <row r="115" spans="1:51" s="260" customFormat="1" ht="103.5" hidden="1" customHeight="1">
      <c r="A115" s="790"/>
      <c r="B115" s="266"/>
      <c r="C115" s="1399"/>
      <c r="D115" s="1408"/>
      <c r="E115" s="1400"/>
      <c r="F115" s="267"/>
      <c r="G115" s="1399"/>
      <c r="H115" s="1408"/>
      <c r="I115" s="1400"/>
      <c r="J115" s="1380"/>
      <c r="K115" s="1380"/>
      <c r="L115" s="1380"/>
      <c r="M115" s="790"/>
      <c r="N115" s="790"/>
      <c r="O115" s="790"/>
      <c r="P115" s="790"/>
      <c r="Q115" s="266"/>
      <c r="R115" s="266"/>
      <c r="S115" s="268"/>
      <c r="T115" s="269" t="e">
        <f>VLOOKUP(Q115,[71]Listas!$D$6:$E$10,2,0)</f>
        <v>#N/A</v>
      </c>
      <c r="U115" s="269" t="e">
        <f>HLOOKUP(R115,[71]Listas!$F$4:$J$5,2,0)</f>
        <v>#N/A</v>
      </c>
      <c r="V115" s="270" t="e">
        <f>INDEX([71]Listas!$F$6:$J$10,MATCH(Q115,[71]Listas!$D$6:$D$10,0),MATCH(R115,[71]Listas!$F$4:$J$4,0))</f>
        <v>#N/A</v>
      </c>
      <c r="W115" s="268"/>
      <c r="X115" s="1399"/>
      <c r="Y115" s="1408"/>
      <c r="Z115" s="1400"/>
      <c r="AA115" s="1063"/>
      <c r="AB115" s="267"/>
      <c r="AC115" s="259"/>
      <c r="AD115" s="790"/>
      <c r="AE115" s="267"/>
      <c r="AF115" s="268"/>
      <c r="AG115" s="269">
        <f t="shared" si="16"/>
        <v>0</v>
      </c>
      <c r="AH115" s="271" t="e">
        <f t="shared" si="17"/>
        <v>#N/A</v>
      </c>
      <c r="AI115" s="272" t="e">
        <f>IF(AH115&lt;=1,"Remota",VLOOKUP(AH115,[71]Listas!$C$6:$D$10,2,0))</f>
        <v>#N/A</v>
      </c>
      <c r="AJ115" s="271" t="e">
        <f t="shared" si="18"/>
        <v>#N/A</v>
      </c>
      <c r="AK115" s="272" t="e">
        <f>IF(AJ115&lt;=1,"Insignificante",HLOOKUP(AJ115,[71]Listas!$F$3:$J$4,2,0))</f>
        <v>#N/A</v>
      </c>
      <c r="AL115" s="273" t="e">
        <f t="shared" si="19"/>
        <v>#N/A</v>
      </c>
      <c r="AM115" s="270" t="e">
        <f>INDEX([71]Listas!$F$6:$J$10,MATCH(AI115,[71]Listas!$D$6:$D$10,0),MATCH(AK115,[71]Listas!$F$4:$J$4,0))</f>
        <v>#N/A</v>
      </c>
      <c r="AN115" s="259"/>
      <c r="AO115" s="259"/>
      <c r="AP115" s="794"/>
      <c r="AQ115" s="259"/>
      <c r="AR115" s="259" t="s">
        <v>2343</v>
      </c>
      <c r="AS115" s="790"/>
      <c r="AT115" s="259"/>
      <c r="AU115" s="259"/>
      <c r="AV115" s="261"/>
      <c r="AW115" s="261"/>
      <c r="AX115" s="790"/>
      <c r="AY115" s="262"/>
    </row>
    <row r="116" spans="1:51" s="260" customFormat="1" ht="103.5" hidden="1" customHeight="1">
      <c r="A116" s="790"/>
      <c r="B116" s="266"/>
      <c r="C116" s="1399"/>
      <c r="D116" s="1408"/>
      <c r="E116" s="1400"/>
      <c r="F116" s="267"/>
      <c r="G116" s="1399"/>
      <c r="H116" s="1408"/>
      <c r="I116" s="1400"/>
      <c r="J116" s="1380"/>
      <c r="K116" s="1380"/>
      <c r="L116" s="1380"/>
      <c r="M116" s="790"/>
      <c r="N116" s="790"/>
      <c r="O116" s="790"/>
      <c r="P116" s="790"/>
      <c r="Q116" s="266"/>
      <c r="R116" s="266"/>
      <c r="S116" s="268"/>
      <c r="T116" s="269" t="e">
        <f>VLOOKUP(Q116,[71]Listas!$D$6:$E$10,2,0)</f>
        <v>#N/A</v>
      </c>
      <c r="U116" s="269" t="e">
        <f>HLOOKUP(R116,[71]Listas!$F$4:$J$5,2,0)</f>
        <v>#N/A</v>
      </c>
      <c r="V116" s="270" t="e">
        <f>INDEX([71]Listas!$F$6:$J$10,MATCH(Q116,[71]Listas!$D$6:$D$10,0),MATCH(R116,[71]Listas!$F$4:$J$4,0))</f>
        <v>#N/A</v>
      </c>
      <c r="W116" s="268"/>
      <c r="X116" s="1399"/>
      <c r="Y116" s="1408"/>
      <c r="Z116" s="1400"/>
      <c r="AA116" s="1063"/>
      <c r="AB116" s="267"/>
      <c r="AC116" s="259"/>
      <c r="AD116" s="790"/>
      <c r="AE116" s="267"/>
      <c r="AF116" s="268"/>
      <c r="AG116" s="269">
        <f t="shared" si="16"/>
        <v>0</v>
      </c>
      <c r="AH116" s="271" t="e">
        <f t="shared" si="17"/>
        <v>#N/A</v>
      </c>
      <c r="AI116" s="272" t="e">
        <f>IF(AH116&lt;=1,"Remota",VLOOKUP(AH116,[71]Listas!$C$6:$D$10,2,0))</f>
        <v>#N/A</v>
      </c>
      <c r="AJ116" s="271" t="e">
        <f t="shared" si="18"/>
        <v>#N/A</v>
      </c>
      <c r="AK116" s="272" t="e">
        <f>IF(AJ116&lt;=1,"Insignificante",HLOOKUP(AJ116,[71]Listas!$F$3:$J$4,2,0))</f>
        <v>#N/A</v>
      </c>
      <c r="AL116" s="273" t="e">
        <f t="shared" si="19"/>
        <v>#N/A</v>
      </c>
      <c r="AM116" s="270" t="e">
        <f>INDEX([71]Listas!$F$6:$J$10,MATCH(AI116,[71]Listas!$D$6:$D$10,0),MATCH(AK116,[71]Listas!$F$4:$J$4,0))</f>
        <v>#N/A</v>
      </c>
      <c r="AN116" s="259"/>
      <c r="AO116" s="259"/>
      <c r="AP116" s="794"/>
      <c r="AQ116" s="259"/>
      <c r="AR116" s="259" t="s">
        <v>2343</v>
      </c>
      <c r="AS116" s="790"/>
      <c r="AT116" s="259"/>
      <c r="AU116" s="259"/>
      <c r="AV116" s="261"/>
      <c r="AW116" s="261"/>
      <c r="AX116" s="790"/>
      <c r="AY116" s="262"/>
    </row>
    <row r="117" spans="1:51" s="260" customFormat="1" ht="103.5" hidden="1" customHeight="1">
      <c r="A117" s="790"/>
      <c r="B117" s="266"/>
      <c r="C117" s="1399"/>
      <c r="D117" s="1408"/>
      <c r="E117" s="1400"/>
      <c r="F117" s="267"/>
      <c r="G117" s="1399"/>
      <c r="H117" s="1408"/>
      <c r="I117" s="1400"/>
      <c r="J117" s="1380"/>
      <c r="K117" s="1380"/>
      <c r="L117" s="1380"/>
      <c r="M117" s="790"/>
      <c r="N117" s="790"/>
      <c r="O117" s="790"/>
      <c r="P117" s="790"/>
      <c r="Q117" s="266"/>
      <c r="R117" s="266"/>
      <c r="S117" s="268"/>
      <c r="T117" s="269" t="e">
        <f>VLOOKUP(Q117,[71]Listas!$D$6:$E$10,2,0)</f>
        <v>#N/A</v>
      </c>
      <c r="U117" s="269" t="e">
        <f>HLOOKUP(R117,[71]Listas!$F$4:$J$5,2,0)</f>
        <v>#N/A</v>
      </c>
      <c r="V117" s="270" t="e">
        <f>INDEX([71]Listas!$F$6:$J$10,MATCH(Q117,[71]Listas!$D$6:$D$10,0),MATCH(R117,[71]Listas!$F$4:$J$4,0))</f>
        <v>#N/A</v>
      </c>
      <c r="W117" s="268"/>
      <c r="X117" s="1399"/>
      <c r="Y117" s="1408"/>
      <c r="Z117" s="1400"/>
      <c r="AA117" s="1063"/>
      <c r="AB117" s="267"/>
      <c r="AC117" s="259"/>
      <c r="AD117" s="790"/>
      <c r="AE117" s="267"/>
      <c r="AF117" s="268"/>
      <c r="AG117" s="269">
        <f t="shared" si="16"/>
        <v>0</v>
      </c>
      <c r="AH117" s="271" t="e">
        <f t="shared" si="17"/>
        <v>#N/A</v>
      </c>
      <c r="AI117" s="272" t="e">
        <f>IF(AH117&lt;=1,"Remota",VLOOKUP(AH117,[71]Listas!$C$6:$D$10,2,0))</f>
        <v>#N/A</v>
      </c>
      <c r="AJ117" s="271" t="e">
        <f t="shared" si="18"/>
        <v>#N/A</v>
      </c>
      <c r="AK117" s="272" t="e">
        <f>IF(AJ117&lt;=1,"Insignificante",HLOOKUP(AJ117,[71]Listas!$F$3:$J$4,2,0))</f>
        <v>#N/A</v>
      </c>
      <c r="AL117" s="273" t="e">
        <f t="shared" si="19"/>
        <v>#N/A</v>
      </c>
      <c r="AM117" s="270" t="e">
        <f>INDEX([71]Listas!$F$6:$J$10,MATCH(AI117,[71]Listas!$D$6:$D$10,0),MATCH(AK117,[71]Listas!$F$4:$J$4,0))</f>
        <v>#N/A</v>
      </c>
      <c r="AN117" s="259"/>
      <c r="AO117" s="259"/>
      <c r="AP117" s="794"/>
      <c r="AQ117" s="259"/>
      <c r="AR117" s="259" t="s">
        <v>2343</v>
      </c>
      <c r="AS117" s="790"/>
      <c r="AT117" s="259"/>
      <c r="AU117" s="259"/>
      <c r="AV117" s="261"/>
      <c r="AW117" s="261"/>
      <c r="AX117" s="790"/>
      <c r="AY117" s="262"/>
    </row>
    <row r="118" spans="1:51" s="260" customFormat="1" ht="103.5" hidden="1" customHeight="1">
      <c r="A118" s="790"/>
      <c r="B118" s="266"/>
      <c r="C118" s="1399"/>
      <c r="D118" s="1408"/>
      <c r="E118" s="1400"/>
      <c r="F118" s="267"/>
      <c r="G118" s="1399"/>
      <c r="H118" s="1408"/>
      <c r="I118" s="1400"/>
      <c r="J118" s="1380"/>
      <c r="K118" s="1380"/>
      <c r="L118" s="1380"/>
      <c r="M118" s="790"/>
      <c r="N118" s="790"/>
      <c r="O118" s="790"/>
      <c r="P118" s="790"/>
      <c r="Q118" s="266"/>
      <c r="R118" s="266"/>
      <c r="S118" s="268"/>
      <c r="T118" s="269" t="e">
        <f>VLOOKUP(Q118,[71]Listas!$D$6:$E$10,2,0)</f>
        <v>#N/A</v>
      </c>
      <c r="U118" s="269" t="e">
        <f>HLOOKUP(R118,[71]Listas!$F$4:$J$5,2,0)</f>
        <v>#N/A</v>
      </c>
      <c r="V118" s="270" t="e">
        <f>INDEX([71]Listas!$F$6:$J$10,MATCH(Q118,[71]Listas!$D$6:$D$10,0),MATCH(R118,[71]Listas!$F$4:$J$4,0))</f>
        <v>#N/A</v>
      </c>
      <c r="W118" s="268"/>
      <c r="X118" s="1399"/>
      <c r="Y118" s="1408"/>
      <c r="Z118" s="1400"/>
      <c r="AA118" s="1063"/>
      <c r="AB118" s="267"/>
      <c r="AC118" s="259"/>
      <c r="AD118" s="790"/>
      <c r="AE118" s="267"/>
      <c r="AF118" s="268"/>
      <c r="AG118" s="269">
        <f t="shared" si="16"/>
        <v>0</v>
      </c>
      <c r="AH118" s="271" t="e">
        <f t="shared" si="17"/>
        <v>#N/A</v>
      </c>
      <c r="AI118" s="272" t="e">
        <f>IF(AH118&lt;=1,"Remota",VLOOKUP(AH118,[71]Listas!$C$6:$D$10,2,0))</f>
        <v>#N/A</v>
      </c>
      <c r="AJ118" s="271" t="e">
        <f t="shared" si="18"/>
        <v>#N/A</v>
      </c>
      <c r="AK118" s="272" t="e">
        <f>IF(AJ118&lt;=1,"Insignificante",HLOOKUP(AJ118,[71]Listas!$F$3:$J$4,2,0))</f>
        <v>#N/A</v>
      </c>
      <c r="AL118" s="273" t="e">
        <f t="shared" si="19"/>
        <v>#N/A</v>
      </c>
      <c r="AM118" s="270" t="e">
        <f>INDEX([71]Listas!$F$6:$J$10,MATCH(AI118,[71]Listas!$D$6:$D$10,0),MATCH(AK118,[71]Listas!$F$4:$J$4,0))</f>
        <v>#N/A</v>
      </c>
      <c r="AN118" s="259"/>
      <c r="AO118" s="259"/>
      <c r="AP118" s="794"/>
      <c r="AQ118" s="259"/>
      <c r="AR118" s="259" t="s">
        <v>2343</v>
      </c>
      <c r="AS118" s="790"/>
      <c r="AT118" s="259"/>
      <c r="AU118" s="259"/>
      <c r="AV118" s="261"/>
      <c r="AW118" s="261"/>
      <c r="AX118" s="790"/>
      <c r="AY118" s="262"/>
    </row>
    <row r="119" spans="1:51" s="260" customFormat="1" ht="103.5" hidden="1" customHeight="1">
      <c r="A119" s="790"/>
      <c r="B119" s="266"/>
      <c r="C119" s="1399"/>
      <c r="D119" s="1408"/>
      <c r="E119" s="1400"/>
      <c r="F119" s="267"/>
      <c r="G119" s="1399"/>
      <c r="H119" s="1408"/>
      <c r="I119" s="1400"/>
      <c r="J119" s="1380"/>
      <c r="K119" s="1380"/>
      <c r="L119" s="1380"/>
      <c r="M119" s="790"/>
      <c r="N119" s="790"/>
      <c r="O119" s="790"/>
      <c r="P119" s="790"/>
      <c r="Q119" s="266"/>
      <c r="R119" s="266"/>
      <c r="S119" s="268"/>
      <c r="T119" s="269" t="e">
        <f>VLOOKUP(Q119,[71]Listas!$D$6:$E$10,2,0)</f>
        <v>#N/A</v>
      </c>
      <c r="U119" s="269" t="e">
        <f>HLOOKUP(R119,[71]Listas!$F$4:$J$5,2,0)</f>
        <v>#N/A</v>
      </c>
      <c r="V119" s="270" t="e">
        <f>INDEX([71]Listas!$F$6:$J$10,MATCH(Q119,[71]Listas!$D$6:$D$10,0),MATCH(R119,[71]Listas!$F$4:$J$4,0))</f>
        <v>#N/A</v>
      </c>
      <c r="W119" s="268"/>
      <c r="X119" s="1399"/>
      <c r="Y119" s="1408"/>
      <c r="Z119" s="1400"/>
      <c r="AA119" s="1063"/>
      <c r="AB119" s="267"/>
      <c r="AC119" s="259"/>
      <c r="AD119" s="790"/>
      <c r="AE119" s="267"/>
      <c r="AF119" s="268"/>
      <c r="AG119" s="269">
        <f t="shared" si="16"/>
        <v>0</v>
      </c>
      <c r="AH119" s="271" t="e">
        <f t="shared" si="17"/>
        <v>#N/A</v>
      </c>
      <c r="AI119" s="272" t="e">
        <f>IF(AH119&lt;=1,"Remota",VLOOKUP(AH119,[71]Listas!$C$6:$D$10,2,0))</f>
        <v>#N/A</v>
      </c>
      <c r="AJ119" s="271" t="e">
        <f t="shared" si="18"/>
        <v>#N/A</v>
      </c>
      <c r="AK119" s="272" t="e">
        <f>IF(AJ119&lt;=1,"Insignificante",HLOOKUP(AJ119,[71]Listas!$F$3:$J$4,2,0))</f>
        <v>#N/A</v>
      </c>
      <c r="AL119" s="273" t="e">
        <f t="shared" si="19"/>
        <v>#N/A</v>
      </c>
      <c r="AM119" s="270" t="e">
        <f>INDEX([71]Listas!$F$6:$J$10,MATCH(AI119,[71]Listas!$D$6:$D$10,0),MATCH(AK119,[71]Listas!$F$4:$J$4,0))</f>
        <v>#N/A</v>
      </c>
      <c r="AN119" s="259"/>
      <c r="AO119" s="259"/>
      <c r="AP119" s="794"/>
      <c r="AQ119" s="259"/>
      <c r="AR119" s="259" t="s">
        <v>2343</v>
      </c>
      <c r="AS119" s="790"/>
      <c r="AT119" s="259"/>
      <c r="AU119" s="259"/>
      <c r="AV119" s="261"/>
      <c r="AW119" s="261"/>
      <c r="AX119" s="790"/>
      <c r="AY119" s="262"/>
    </row>
    <row r="120" spans="1:51" s="260" customFormat="1" ht="103.5" hidden="1" customHeight="1">
      <c r="A120" s="790"/>
      <c r="B120" s="266"/>
      <c r="C120" s="1399"/>
      <c r="D120" s="1408"/>
      <c r="E120" s="1400"/>
      <c r="F120" s="267"/>
      <c r="G120" s="1399"/>
      <c r="H120" s="1408"/>
      <c r="I120" s="1400"/>
      <c r="J120" s="1380"/>
      <c r="K120" s="1380"/>
      <c r="L120" s="1380"/>
      <c r="M120" s="790"/>
      <c r="N120" s="790"/>
      <c r="O120" s="790"/>
      <c r="P120" s="790"/>
      <c r="Q120" s="266"/>
      <c r="R120" s="266"/>
      <c r="S120" s="268"/>
      <c r="T120" s="269" t="e">
        <f>VLOOKUP(Q120,[71]Listas!$D$6:$E$10,2,0)</f>
        <v>#N/A</v>
      </c>
      <c r="U120" s="269" t="e">
        <f>HLOOKUP(R120,[71]Listas!$F$4:$J$5,2,0)</f>
        <v>#N/A</v>
      </c>
      <c r="V120" s="270" t="e">
        <f>INDEX([71]Listas!$F$6:$J$10,MATCH(Q120,[71]Listas!$D$6:$D$10,0),MATCH(R120,[71]Listas!$F$4:$J$4,0))</f>
        <v>#N/A</v>
      </c>
      <c r="W120" s="268"/>
      <c r="X120" s="1399"/>
      <c r="Y120" s="1408"/>
      <c r="Z120" s="1400"/>
      <c r="AA120" s="1063"/>
      <c r="AB120" s="267"/>
      <c r="AC120" s="259"/>
      <c r="AD120" s="790"/>
      <c r="AE120" s="267"/>
      <c r="AF120" s="268"/>
      <c r="AG120" s="269">
        <f t="shared" si="16"/>
        <v>0</v>
      </c>
      <c r="AH120" s="271" t="e">
        <f t="shared" si="17"/>
        <v>#N/A</v>
      </c>
      <c r="AI120" s="272" t="e">
        <f>IF(AH120&lt;=1,"Remota",VLOOKUP(AH120,[71]Listas!$C$6:$D$10,2,0))</f>
        <v>#N/A</v>
      </c>
      <c r="AJ120" s="271" t="e">
        <f t="shared" si="18"/>
        <v>#N/A</v>
      </c>
      <c r="AK120" s="272" t="e">
        <f>IF(AJ120&lt;=1,"Insignificante",HLOOKUP(AJ120,[71]Listas!$F$3:$J$4,2,0))</f>
        <v>#N/A</v>
      </c>
      <c r="AL120" s="273" t="e">
        <f t="shared" si="19"/>
        <v>#N/A</v>
      </c>
      <c r="AM120" s="270" t="e">
        <f>INDEX([71]Listas!$F$6:$J$10,MATCH(AI120,[71]Listas!$D$6:$D$10,0),MATCH(AK120,[71]Listas!$F$4:$J$4,0))</f>
        <v>#N/A</v>
      </c>
      <c r="AN120" s="259"/>
      <c r="AO120" s="259"/>
      <c r="AP120" s="794"/>
      <c r="AQ120" s="259"/>
      <c r="AR120" s="259" t="s">
        <v>2343</v>
      </c>
      <c r="AS120" s="790"/>
      <c r="AT120" s="259"/>
      <c r="AU120" s="259"/>
      <c r="AV120" s="261"/>
      <c r="AW120" s="261"/>
      <c r="AX120" s="790"/>
      <c r="AY120" s="262"/>
    </row>
    <row r="121" spans="1:51" s="260" customFormat="1" ht="103.5" hidden="1" customHeight="1">
      <c r="A121" s="790"/>
      <c r="B121" s="266"/>
      <c r="C121" s="1399"/>
      <c r="D121" s="1408"/>
      <c r="E121" s="1400"/>
      <c r="F121" s="267"/>
      <c r="G121" s="1399"/>
      <c r="H121" s="1408"/>
      <c r="I121" s="1400"/>
      <c r="J121" s="1380"/>
      <c r="K121" s="1380"/>
      <c r="L121" s="1380"/>
      <c r="M121" s="790"/>
      <c r="N121" s="790"/>
      <c r="O121" s="790"/>
      <c r="P121" s="790"/>
      <c r="Q121" s="266"/>
      <c r="R121" s="266"/>
      <c r="S121" s="268"/>
      <c r="T121" s="269" t="e">
        <f>VLOOKUP(Q121,[71]Listas!$D$6:$E$10,2,0)</f>
        <v>#N/A</v>
      </c>
      <c r="U121" s="269" t="e">
        <f>HLOOKUP(R121,[71]Listas!$F$4:$J$5,2,0)</f>
        <v>#N/A</v>
      </c>
      <c r="V121" s="270" t="e">
        <f>INDEX([71]Listas!$F$6:$J$10,MATCH(Q121,[71]Listas!$D$6:$D$10,0),MATCH(R121,[71]Listas!$F$4:$J$4,0))</f>
        <v>#N/A</v>
      </c>
      <c r="W121" s="268"/>
      <c r="X121" s="1399"/>
      <c r="Y121" s="1408"/>
      <c r="Z121" s="1400"/>
      <c r="AA121" s="1063"/>
      <c r="AB121" s="267"/>
      <c r="AC121" s="259"/>
      <c r="AD121" s="790"/>
      <c r="AE121" s="267"/>
      <c r="AF121" s="268"/>
      <c r="AG121" s="269">
        <f t="shared" si="16"/>
        <v>0</v>
      </c>
      <c r="AH121" s="271" t="e">
        <f t="shared" si="17"/>
        <v>#N/A</v>
      </c>
      <c r="AI121" s="272" t="e">
        <f>IF(AH121&lt;=1,"Remota",VLOOKUP(AH121,[71]Listas!$C$6:$D$10,2,0))</f>
        <v>#N/A</v>
      </c>
      <c r="AJ121" s="271" t="e">
        <f t="shared" si="18"/>
        <v>#N/A</v>
      </c>
      <c r="AK121" s="272" t="e">
        <f>IF(AJ121&lt;=1,"Insignificante",HLOOKUP(AJ121,[71]Listas!$F$3:$J$4,2,0))</f>
        <v>#N/A</v>
      </c>
      <c r="AL121" s="273" t="e">
        <f t="shared" si="19"/>
        <v>#N/A</v>
      </c>
      <c r="AM121" s="270" t="e">
        <f>INDEX([71]Listas!$F$6:$J$10,MATCH(AI121,[71]Listas!$D$6:$D$10,0),MATCH(AK121,[71]Listas!$F$4:$J$4,0))</f>
        <v>#N/A</v>
      </c>
      <c r="AN121" s="259"/>
      <c r="AO121" s="259"/>
      <c r="AP121" s="794"/>
      <c r="AQ121" s="259"/>
      <c r="AR121" s="259" t="s">
        <v>2343</v>
      </c>
      <c r="AS121" s="790"/>
      <c r="AT121" s="259"/>
      <c r="AU121" s="259"/>
      <c r="AV121" s="261"/>
      <c r="AW121" s="261"/>
      <c r="AX121" s="790"/>
      <c r="AY121" s="262"/>
    </row>
    <row r="122" spans="1:51" s="260" customFormat="1" ht="103.5" hidden="1" customHeight="1">
      <c r="A122" s="790"/>
      <c r="B122" s="266"/>
      <c r="C122" s="1399"/>
      <c r="D122" s="1408"/>
      <c r="E122" s="1400"/>
      <c r="F122" s="267"/>
      <c r="G122" s="1399"/>
      <c r="H122" s="1408"/>
      <c r="I122" s="1400"/>
      <c r="J122" s="1380"/>
      <c r="K122" s="1380"/>
      <c r="L122" s="1380"/>
      <c r="M122" s="790"/>
      <c r="N122" s="790"/>
      <c r="O122" s="790"/>
      <c r="P122" s="790"/>
      <c r="Q122" s="266"/>
      <c r="R122" s="266"/>
      <c r="S122" s="268"/>
      <c r="T122" s="269" t="e">
        <f>VLOOKUP(Q122,[71]Listas!$D$6:$E$10,2,0)</f>
        <v>#N/A</v>
      </c>
      <c r="U122" s="269" t="e">
        <f>HLOOKUP(R122,[71]Listas!$F$4:$J$5,2,0)</f>
        <v>#N/A</v>
      </c>
      <c r="V122" s="270" t="e">
        <f>INDEX([71]Listas!$F$6:$J$10,MATCH(Q122,[71]Listas!$D$6:$D$10,0),MATCH(R122,[71]Listas!$F$4:$J$4,0))</f>
        <v>#N/A</v>
      </c>
      <c r="W122" s="268"/>
      <c r="X122" s="1399"/>
      <c r="Y122" s="1408"/>
      <c r="Z122" s="1400"/>
      <c r="AA122" s="1063"/>
      <c r="AB122" s="267"/>
      <c r="AC122" s="259"/>
      <c r="AD122" s="790"/>
      <c r="AE122" s="267"/>
      <c r="AF122" s="268"/>
      <c r="AG122" s="269">
        <f t="shared" si="16"/>
        <v>0</v>
      </c>
      <c r="AH122" s="271" t="e">
        <f t="shared" si="17"/>
        <v>#N/A</v>
      </c>
      <c r="AI122" s="272" t="e">
        <f>IF(AH122&lt;=1,"Remota",VLOOKUP(AH122,[71]Listas!$C$6:$D$10,2,0))</f>
        <v>#N/A</v>
      </c>
      <c r="AJ122" s="271" t="e">
        <f t="shared" si="18"/>
        <v>#N/A</v>
      </c>
      <c r="AK122" s="272" t="e">
        <f>IF(AJ122&lt;=1,"Insignificante",HLOOKUP(AJ122,[71]Listas!$F$3:$J$4,2,0))</f>
        <v>#N/A</v>
      </c>
      <c r="AL122" s="273" t="e">
        <f t="shared" si="19"/>
        <v>#N/A</v>
      </c>
      <c r="AM122" s="270" t="e">
        <f>INDEX([71]Listas!$F$6:$J$10,MATCH(AI122,[71]Listas!$D$6:$D$10,0),MATCH(AK122,[71]Listas!$F$4:$J$4,0))</f>
        <v>#N/A</v>
      </c>
      <c r="AN122" s="259"/>
      <c r="AO122" s="259"/>
      <c r="AP122" s="794"/>
      <c r="AQ122" s="259"/>
      <c r="AR122" s="259" t="s">
        <v>2343</v>
      </c>
      <c r="AS122" s="790"/>
      <c r="AT122" s="259"/>
      <c r="AU122" s="259"/>
      <c r="AV122" s="261"/>
      <c r="AW122" s="261"/>
      <c r="AX122" s="790"/>
      <c r="AY122" s="262"/>
    </row>
    <row r="123" spans="1:51" s="260" customFormat="1" ht="103.5" hidden="1" customHeight="1">
      <c r="A123" s="790"/>
      <c r="B123" s="266"/>
      <c r="C123" s="1399"/>
      <c r="D123" s="1408"/>
      <c r="E123" s="1400"/>
      <c r="F123" s="267"/>
      <c r="G123" s="1399"/>
      <c r="H123" s="1408"/>
      <c r="I123" s="1400"/>
      <c r="J123" s="1380"/>
      <c r="K123" s="1380"/>
      <c r="L123" s="1380"/>
      <c r="M123" s="790"/>
      <c r="N123" s="790"/>
      <c r="O123" s="790"/>
      <c r="P123" s="790"/>
      <c r="Q123" s="266"/>
      <c r="R123" s="266"/>
      <c r="S123" s="268"/>
      <c r="T123" s="269" t="e">
        <f>VLOOKUP(Q123,[71]Listas!$D$6:$E$10,2,0)</f>
        <v>#N/A</v>
      </c>
      <c r="U123" s="269" t="e">
        <f>HLOOKUP(R123,[71]Listas!$F$4:$J$5,2,0)</f>
        <v>#N/A</v>
      </c>
      <c r="V123" s="270" t="e">
        <f>INDEX([71]Listas!$F$6:$J$10,MATCH(Q123,[71]Listas!$D$6:$D$10,0),MATCH(R123,[71]Listas!$F$4:$J$4,0))</f>
        <v>#N/A</v>
      </c>
      <c r="W123" s="268"/>
      <c r="X123" s="1399"/>
      <c r="Y123" s="1408"/>
      <c r="Z123" s="1400"/>
      <c r="AA123" s="1063"/>
      <c r="AB123" s="267"/>
      <c r="AC123" s="259"/>
      <c r="AD123" s="790"/>
      <c r="AE123" s="267"/>
      <c r="AF123" s="268"/>
      <c r="AG123" s="269">
        <f t="shared" si="16"/>
        <v>0</v>
      </c>
      <c r="AH123" s="271" t="e">
        <f t="shared" si="17"/>
        <v>#N/A</v>
      </c>
      <c r="AI123" s="272" t="e">
        <f>IF(AH123&lt;=1,"Remota",VLOOKUP(AH123,[71]Listas!$C$6:$D$10,2,0))</f>
        <v>#N/A</v>
      </c>
      <c r="AJ123" s="271" t="e">
        <f t="shared" si="18"/>
        <v>#N/A</v>
      </c>
      <c r="AK123" s="272" t="e">
        <f>IF(AJ123&lt;=1,"Insignificante",HLOOKUP(AJ123,[71]Listas!$F$3:$J$4,2,0))</f>
        <v>#N/A</v>
      </c>
      <c r="AL123" s="273" t="e">
        <f t="shared" si="19"/>
        <v>#N/A</v>
      </c>
      <c r="AM123" s="270" t="e">
        <f>INDEX([71]Listas!$F$6:$J$10,MATCH(AI123,[71]Listas!$D$6:$D$10,0),MATCH(AK123,[71]Listas!$F$4:$J$4,0))</f>
        <v>#N/A</v>
      </c>
      <c r="AN123" s="259"/>
      <c r="AO123" s="259"/>
      <c r="AP123" s="794"/>
      <c r="AQ123" s="259"/>
      <c r="AR123" s="259" t="s">
        <v>2343</v>
      </c>
      <c r="AS123" s="790"/>
      <c r="AT123" s="259"/>
      <c r="AU123" s="259"/>
      <c r="AV123" s="261"/>
      <c r="AW123" s="261"/>
      <c r="AX123" s="790"/>
      <c r="AY123" s="262"/>
    </row>
    <row r="124" spans="1:51" s="260" customFormat="1" ht="103.5" hidden="1" customHeight="1">
      <c r="A124" s="790"/>
      <c r="B124" s="266"/>
      <c r="C124" s="1399"/>
      <c r="D124" s="1408"/>
      <c r="E124" s="1400"/>
      <c r="F124" s="267"/>
      <c r="G124" s="1399"/>
      <c r="H124" s="1408"/>
      <c r="I124" s="1400"/>
      <c r="J124" s="1380"/>
      <c r="K124" s="1380"/>
      <c r="L124" s="1380"/>
      <c r="M124" s="790"/>
      <c r="N124" s="790"/>
      <c r="O124" s="790"/>
      <c r="P124" s="790"/>
      <c r="Q124" s="266"/>
      <c r="R124" s="266"/>
      <c r="S124" s="268"/>
      <c r="T124" s="269" t="e">
        <f>VLOOKUP(Q124,[71]Listas!$D$6:$E$10,2,0)</f>
        <v>#N/A</v>
      </c>
      <c r="U124" s="269" t="e">
        <f>HLOOKUP(R124,[71]Listas!$F$4:$J$5,2,0)</f>
        <v>#N/A</v>
      </c>
      <c r="V124" s="270" t="e">
        <f>INDEX([71]Listas!$F$6:$J$10,MATCH(Q124,[71]Listas!$D$6:$D$10,0),MATCH(R124,[71]Listas!$F$4:$J$4,0))</f>
        <v>#N/A</v>
      </c>
      <c r="W124" s="268"/>
      <c r="X124" s="1399"/>
      <c r="Y124" s="1408"/>
      <c r="Z124" s="1400"/>
      <c r="AA124" s="1063"/>
      <c r="AB124" s="267"/>
      <c r="AC124" s="259"/>
      <c r="AD124" s="790"/>
      <c r="AE124" s="267"/>
      <c r="AF124" s="268"/>
      <c r="AG124" s="269">
        <f t="shared" si="16"/>
        <v>0</v>
      </c>
      <c r="AH124" s="271" t="e">
        <f t="shared" si="17"/>
        <v>#N/A</v>
      </c>
      <c r="AI124" s="272" t="e">
        <f>IF(AH124&lt;=1,"Remota",VLOOKUP(AH124,[71]Listas!$C$6:$D$10,2,0))</f>
        <v>#N/A</v>
      </c>
      <c r="AJ124" s="271" t="e">
        <f t="shared" si="18"/>
        <v>#N/A</v>
      </c>
      <c r="AK124" s="272" t="e">
        <f>IF(AJ124&lt;=1,"Insignificante",HLOOKUP(AJ124,[71]Listas!$F$3:$J$4,2,0))</f>
        <v>#N/A</v>
      </c>
      <c r="AL124" s="273" t="e">
        <f t="shared" si="19"/>
        <v>#N/A</v>
      </c>
      <c r="AM124" s="270" t="e">
        <f>INDEX([71]Listas!$F$6:$J$10,MATCH(AI124,[71]Listas!$D$6:$D$10,0),MATCH(AK124,[71]Listas!$F$4:$J$4,0))</f>
        <v>#N/A</v>
      </c>
      <c r="AN124" s="259"/>
      <c r="AO124" s="259"/>
      <c r="AP124" s="794"/>
      <c r="AQ124" s="259"/>
      <c r="AR124" s="259" t="s">
        <v>2343</v>
      </c>
      <c r="AS124" s="790"/>
      <c r="AT124" s="259"/>
      <c r="AU124" s="259"/>
      <c r="AV124" s="261"/>
      <c r="AW124" s="261"/>
      <c r="AX124" s="790"/>
      <c r="AY124" s="262"/>
    </row>
    <row r="125" spans="1:51" s="260" customFormat="1" ht="103.5" hidden="1" customHeight="1">
      <c r="A125" s="790"/>
      <c r="B125" s="266"/>
      <c r="C125" s="1399"/>
      <c r="D125" s="1408"/>
      <c r="E125" s="1400"/>
      <c r="F125" s="267"/>
      <c r="G125" s="1399"/>
      <c r="H125" s="1408"/>
      <c r="I125" s="1400"/>
      <c r="J125" s="1380"/>
      <c r="K125" s="1380"/>
      <c r="L125" s="1380"/>
      <c r="M125" s="790"/>
      <c r="N125" s="790"/>
      <c r="O125" s="790"/>
      <c r="P125" s="790"/>
      <c r="Q125" s="266"/>
      <c r="R125" s="266"/>
      <c r="S125" s="268"/>
      <c r="T125" s="269" t="e">
        <f>VLOOKUP(Q125,[71]Listas!$D$6:$E$10,2,0)</f>
        <v>#N/A</v>
      </c>
      <c r="U125" s="269" t="e">
        <f>HLOOKUP(R125,[71]Listas!$F$4:$J$5,2,0)</f>
        <v>#N/A</v>
      </c>
      <c r="V125" s="270" t="e">
        <f>INDEX([71]Listas!$F$6:$J$10,MATCH(Q125,[71]Listas!$D$6:$D$10,0),MATCH(R125,[71]Listas!$F$4:$J$4,0))</f>
        <v>#N/A</v>
      </c>
      <c r="W125" s="268"/>
      <c r="X125" s="1399"/>
      <c r="Y125" s="1408"/>
      <c r="Z125" s="1400"/>
      <c r="AA125" s="1063"/>
      <c r="AB125" s="267"/>
      <c r="AC125" s="259"/>
      <c r="AD125" s="790"/>
      <c r="AE125" s="267"/>
      <c r="AF125" s="268"/>
      <c r="AG125" s="269">
        <f t="shared" si="16"/>
        <v>0</v>
      </c>
      <c r="AH125" s="271" t="e">
        <f t="shared" si="17"/>
        <v>#N/A</v>
      </c>
      <c r="AI125" s="272" t="e">
        <f>IF(AH125&lt;=1,"Remota",VLOOKUP(AH125,[71]Listas!$C$6:$D$10,2,0))</f>
        <v>#N/A</v>
      </c>
      <c r="AJ125" s="271" t="e">
        <f t="shared" si="18"/>
        <v>#N/A</v>
      </c>
      <c r="AK125" s="272" t="e">
        <f>IF(AJ125&lt;=1,"Insignificante",HLOOKUP(AJ125,[71]Listas!$F$3:$J$4,2,0))</f>
        <v>#N/A</v>
      </c>
      <c r="AL125" s="273" t="e">
        <f t="shared" si="19"/>
        <v>#N/A</v>
      </c>
      <c r="AM125" s="270" t="e">
        <f>INDEX([71]Listas!$F$6:$J$10,MATCH(AI125,[71]Listas!$D$6:$D$10,0),MATCH(AK125,[71]Listas!$F$4:$J$4,0))</f>
        <v>#N/A</v>
      </c>
      <c r="AN125" s="259"/>
      <c r="AO125" s="259"/>
      <c r="AP125" s="794"/>
      <c r="AQ125" s="259"/>
      <c r="AR125" s="259" t="s">
        <v>2343</v>
      </c>
      <c r="AS125" s="790"/>
      <c r="AT125" s="259"/>
      <c r="AU125" s="259"/>
      <c r="AV125" s="261"/>
      <c r="AW125" s="261"/>
      <c r="AX125" s="790"/>
      <c r="AY125" s="262"/>
    </row>
    <row r="126" spans="1:51" s="260" customFormat="1" ht="103.5" hidden="1" customHeight="1">
      <c r="A126" s="790"/>
      <c r="B126" s="266"/>
      <c r="C126" s="1399"/>
      <c r="D126" s="1408"/>
      <c r="E126" s="1400"/>
      <c r="F126" s="267"/>
      <c r="G126" s="1399"/>
      <c r="H126" s="1408"/>
      <c r="I126" s="1400"/>
      <c r="J126" s="1380"/>
      <c r="K126" s="1380"/>
      <c r="L126" s="1380"/>
      <c r="M126" s="790"/>
      <c r="N126" s="790"/>
      <c r="O126" s="790"/>
      <c r="P126" s="790"/>
      <c r="Q126" s="266"/>
      <c r="R126" s="266"/>
      <c r="S126" s="268"/>
      <c r="T126" s="269" t="e">
        <f>VLOOKUP(Q126,[71]Listas!$D$6:$E$10,2,0)</f>
        <v>#N/A</v>
      </c>
      <c r="U126" s="269" t="e">
        <f>HLOOKUP(R126,[71]Listas!$F$4:$J$5,2,0)</f>
        <v>#N/A</v>
      </c>
      <c r="V126" s="270" t="e">
        <f>INDEX([71]Listas!$F$6:$J$10,MATCH(Q126,[71]Listas!$D$6:$D$10,0),MATCH(R126,[71]Listas!$F$4:$J$4,0))</f>
        <v>#N/A</v>
      </c>
      <c r="W126" s="268"/>
      <c r="X126" s="1399"/>
      <c r="Y126" s="1408"/>
      <c r="Z126" s="1400"/>
      <c r="AA126" s="1063"/>
      <c r="AB126" s="267"/>
      <c r="AC126" s="259"/>
      <c r="AD126" s="790"/>
      <c r="AE126" s="267"/>
      <c r="AF126" s="268"/>
      <c r="AG126" s="269">
        <f t="shared" si="16"/>
        <v>0</v>
      </c>
      <c r="AH126" s="271" t="e">
        <f t="shared" si="17"/>
        <v>#N/A</v>
      </c>
      <c r="AI126" s="272" t="e">
        <f>IF(AH126&lt;=1,"Remota",VLOOKUP(AH126,[71]Listas!$C$6:$D$10,2,0))</f>
        <v>#N/A</v>
      </c>
      <c r="AJ126" s="271" t="e">
        <f t="shared" si="18"/>
        <v>#N/A</v>
      </c>
      <c r="AK126" s="272" t="e">
        <f>IF(AJ126&lt;=1,"Insignificante",HLOOKUP(AJ126,[71]Listas!$F$3:$J$4,2,0))</f>
        <v>#N/A</v>
      </c>
      <c r="AL126" s="273" t="e">
        <f t="shared" si="19"/>
        <v>#N/A</v>
      </c>
      <c r="AM126" s="270" t="e">
        <f>INDEX([71]Listas!$F$6:$J$10,MATCH(AI126,[71]Listas!$D$6:$D$10,0),MATCH(AK126,[71]Listas!$F$4:$J$4,0))</f>
        <v>#N/A</v>
      </c>
      <c r="AN126" s="259"/>
      <c r="AO126" s="259"/>
      <c r="AP126" s="794"/>
      <c r="AQ126" s="259"/>
      <c r="AR126" s="259" t="s">
        <v>2343</v>
      </c>
      <c r="AS126" s="790"/>
      <c r="AT126" s="259"/>
      <c r="AU126" s="259"/>
      <c r="AV126" s="261"/>
      <c r="AW126" s="261"/>
      <c r="AX126" s="790"/>
      <c r="AY126" s="262"/>
    </row>
    <row r="127" spans="1:51" s="260" customFormat="1" ht="103.5" hidden="1" customHeight="1">
      <c r="A127" s="790"/>
      <c r="B127" s="266"/>
      <c r="C127" s="1399"/>
      <c r="D127" s="1408"/>
      <c r="E127" s="1400"/>
      <c r="F127" s="267"/>
      <c r="G127" s="1399"/>
      <c r="H127" s="1408"/>
      <c r="I127" s="1400"/>
      <c r="J127" s="1380"/>
      <c r="K127" s="1380"/>
      <c r="L127" s="1380"/>
      <c r="M127" s="790"/>
      <c r="N127" s="790"/>
      <c r="O127" s="790"/>
      <c r="P127" s="790"/>
      <c r="Q127" s="266"/>
      <c r="R127" s="266"/>
      <c r="S127" s="268"/>
      <c r="T127" s="269" t="e">
        <f>VLOOKUP(Q127,[71]Listas!$D$6:$E$10,2,0)</f>
        <v>#N/A</v>
      </c>
      <c r="U127" s="269" t="e">
        <f>HLOOKUP(R127,[71]Listas!$F$4:$J$5,2,0)</f>
        <v>#N/A</v>
      </c>
      <c r="V127" s="270" t="e">
        <f>INDEX([71]Listas!$F$6:$J$10,MATCH(Q127,[71]Listas!$D$6:$D$10,0),MATCH(R127,[71]Listas!$F$4:$J$4,0))</f>
        <v>#N/A</v>
      </c>
      <c r="W127" s="268"/>
      <c r="X127" s="1399"/>
      <c r="Y127" s="1408"/>
      <c r="Z127" s="1400"/>
      <c r="AA127" s="1063"/>
      <c r="AB127" s="267"/>
      <c r="AC127" s="259"/>
      <c r="AD127" s="790"/>
      <c r="AE127" s="267"/>
      <c r="AF127" s="268"/>
      <c r="AG127" s="269">
        <f t="shared" si="16"/>
        <v>0</v>
      </c>
      <c r="AH127" s="271" t="e">
        <f t="shared" si="17"/>
        <v>#N/A</v>
      </c>
      <c r="AI127" s="272" t="e">
        <f>IF(AH127&lt;=1,"Remota",VLOOKUP(AH127,[71]Listas!$C$6:$D$10,2,0))</f>
        <v>#N/A</v>
      </c>
      <c r="AJ127" s="271" t="e">
        <f t="shared" si="18"/>
        <v>#N/A</v>
      </c>
      <c r="AK127" s="272" t="e">
        <f>IF(AJ127&lt;=1,"Insignificante",HLOOKUP(AJ127,[71]Listas!$F$3:$J$4,2,0))</f>
        <v>#N/A</v>
      </c>
      <c r="AL127" s="273" t="e">
        <f t="shared" si="19"/>
        <v>#N/A</v>
      </c>
      <c r="AM127" s="270" t="e">
        <f>INDEX([71]Listas!$F$6:$J$10,MATCH(AI127,[71]Listas!$D$6:$D$10,0),MATCH(AK127,[71]Listas!$F$4:$J$4,0))</f>
        <v>#N/A</v>
      </c>
      <c r="AN127" s="259"/>
      <c r="AO127" s="259"/>
      <c r="AP127" s="794"/>
      <c r="AQ127" s="259"/>
      <c r="AR127" s="259" t="s">
        <v>2343</v>
      </c>
      <c r="AS127" s="790"/>
      <c r="AT127" s="259"/>
      <c r="AU127" s="259"/>
      <c r="AV127" s="261"/>
      <c r="AW127" s="261"/>
      <c r="AX127" s="790"/>
      <c r="AY127" s="262"/>
    </row>
    <row r="128" spans="1:51" s="260" customFormat="1" ht="103.5" hidden="1" customHeight="1">
      <c r="A128" s="790"/>
      <c r="B128" s="266"/>
      <c r="C128" s="1399"/>
      <c r="D128" s="1408"/>
      <c r="E128" s="1400"/>
      <c r="F128" s="267"/>
      <c r="G128" s="1399"/>
      <c r="H128" s="1408"/>
      <c r="I128" s="1400"/>
      <c r="J128" s="1380"/>
      <c r="K128" s="1380"/>
      <c r="L128" s="1380"/>
      <c r="M128" s="790"/>
      <c r="N128" s="790"/>
      <c r="O128" s="790"/>
      <c r="P128" s="790"/>
      <c r="Q128" s="266"/>
      <c r="R128" s="266"/>
      <c r="S128" s="268"/>
      <c r="T128" s="269" t="e">
        <f>VLOOKUP(Q128,[71]Listas!$D$6:$E$10,2,0)</f>
        <v>#N/A</v>
      </c>
      <c r="U128" s="269" t="e">
        <f>HLOOKUP(R128,[71]Listas!$F$4:$J$5,2,0)</f>
        <v>#N/A</v>
      </c>
      <c r="V128" s="270" t="e">
        <f>INDEX([71]Listas!$F$6:$J$10,MATCH(Q128,[71]Listas!$D$6:$D$10,0),MATCH(R128,[71]Listas!$F$4:$J$4,0))</f>
        <v>#N/A</v>
      </c>
      <c r="W128" s="268"/>
      <c r="X128" s="1399"/>
      <c r="Y128" s="1408"/>
      <c r="Z128" s="1400"/>
      <c r="AA128" s="1063"/>
      <c r="AB128" s="267"/>
      <c r="AC128" s="259"/>
      <c r="AD128" s="790"/>
      <c r="AE128" s="267"/>
      <c r="AF128" s="268"/>
      <c r="AG128" s="269">
        <f t="shared" si="16"/>
        <v>0</v>
      </c>
      <c r="AH128" s="271" t="e">
        <f t="shared" si="17"/>
        <v>#N/A</v>
      </c>
      <c r="AI128" s="272" t="e">
        <f>IF(AH128&lt;=1,"Remota",VLOOKUP(AH128,[71]Listas!$C$6:$D$10,2,0))</f>
        <v>#N/A</v>
      </c>
      <c r="AJ128" s="271" t="e">
        <f t="shared" si="18"/>
        <v>#N/A</v>
      </c>
      <c r="AK128" s="272" t="e">
        <f>IF(AJ128&lt;=1,"Insignificante",HLOOKUP(AJ128,[71]Listas!$F$3:$J$4,2,0))</f>
        <v>#N/A</v>
      </c>
      <c r="AL128" s="273" t="e">
        <f t="shared" si="19"/>
        <v>#N/A</v>
      </c>
      <c r="AM128" s="270" t="e">
        <f>INDEX([71]Listas!$F$6:$J$10,MATCH(AI128,[71]Listas!$D$6:$D$10,0),MATCH(AK128,[71]Listas!$F$4:$J$4,0))</f>
        <v>#N/A</v>
      </c>
      <c r="AN128" s="259"/>
      <c r="AO128" s="259"/>
      <c r="AP128" s="794"/>
      <c r="AQ128" s="259"/>
      <c r="AR128" s="259" t="s">
        <v>2343</v>
      </c>
      <c r="AS128" s="790"/>
      <c r="AT128" s="259"/>
      <c r="AU128" s="259"/>
      <c r="AV128" s="261"/>
      <c r="AW128" s="261"/>
      <c r="AX128" s="790"/>
      <c r="AY128" s="262"/>
    </row>
    <row r="129" spans="1:51" s="260" customFormat="1" ht="103.5" hidden="1" customHeight="1">
      <c r="A129" s="790"/>
      <c r="B129" s="266"/>
      <c r="C129" s="1399"/>
      <c r="D129" s="1408"/>
      <c r="E129" s="1400"/>
      <c r="F129" s="267"/>
      <c r="G129" s="1399"/>
      <c r="H129" s="1408"/>
      <c r="I129" s="1400"/>
      <c r="J129" s="1380"/>
      <c r="K129" s="1380"/>
      <c r="L129" s="1380"/>
      <c r="M129" s="790"/>
      <c r="N129" s="790"/>
      <c r="O129" s="790"/>
      <c r="P129" s="790"/>
      <c r="Q129" s="266"/>
      <c r="R129" s="266"/>
      <c r="S129" s="268"/>
      <c r="T129" s="269" t="e">
        <f>VLOOKUP(Q129,[71]Listas!$D$6:$E$10,2,0)</f>
        <v>#N/A</v>
      </c>
      <c r="U129" s="269" t="e">
        <f>HLOOKUP(R129,[71]Listas!$F$4:$J$5,2,0)</f>
        <v>#N/A</v>
      </c>
      <c r="V129" s="270" t="e">
        <f>INDEX([71]Listas!$F$6:$J$10,MATCH(Q129,[71]Listas!$D$6:$D$10,0),MATCH(R129,[71]Listas!$F$4:$J$4,0))</f>
        <v>#N/A</v>
      </c>
      <c r="W129" s="268"/>
      <c r="X129" s="1399"/>
      <c r="Y129" s="1408"/>
      <c r="Z129" s="1400"/>
      <c r="AA129" s="1063"/>
      <c r="AB129" s="267"/>
      <c r="AC129" s="259"/>
      <c r="AD129" s="790"/>
      <c r="AE129" s="267"/>
      <c r="AF129" s="268"/>
      <c r="AG129" s="269">
        <f t="shared" si="16"/>
        <v>0</v>
      </c>
      <c r="AH129" s="271" t="e">
        <f t="shared" si="17"/>
        <v>#N/A</v>
      </c>
      <c r="AI129" s="272" t="e">
        <f>IF(AH129&lt;=1,"Remota",VLOOKUP(AH129,[71]Listas!$C$6:$D$10,2,0))</f>
        <v>#N/A</v>
      </c>
      <c r="AJ129" s="271" t="e">
        <f t="shared" si="18"/>
        <v>#N/A</v>
      </c>
      <c r="AK129" s="272" t="e">
        <f>IF(AJ129&lt;=1,"Insignificante",HLOOKUP(AJ129,[71]Listas!$F$3:$J$4,2,0))</f>
        <v>#N/A</v>
      </c>
      <c r="AL129" s="273" t="e">
        <f t="shared" si="19"/>
        <v>#N/A</v>
      </c>
      <c r="AM129" s="270" t="e">
        <f>INDEX([71]Listas!$F$6:$J$10,MATCH(AI129,[71]Listas!$D$6:$D$10,0),MATCH(AK129,[71]Listas!$F$4:$J$4,0))</f>
        <v>#N/A</v>
      </c>
      <c r="AN129" s="259"/>
      <c r="AO129" s="259"/>
      <c r="AP129" s="794"/>
      <c r="AQ129" s="259"/>
      <c r="AR129" s="259" t="s">
        <v>2343</v>
      </c>
      <c r="AS129" s="790"/>
      <c r="AT129" s="259"/>
      <c r="AU129" s="259"/>
      <c r="AV129" s="261"/>
      <c r="AW129" s="261"/>
      <c r="AX129" s="790"/>
      <c r="AY129" s="262"/>
    </row>
    <row r="130" spans="1:51" s="260" customFormat="1" ht="103.5" hidden="1" customHeight="1">
      <c r="A130" s="790"/>
      <c r="B130" s="266"/>
      <c r="C130" s="1399"/>
      <c r="D130" s="1408"/>
      <c r="E130" s="1400"/>
      <c r="F130" s="267"/>
      <c r="G130" s="1399"/>
      <c r="H130" s="1408"/>
      <c r="I130" s="1400"/>
      <c r="J130" s="1380"/>
      <c r="K130" s="1380"/>
      <c r="L130" s="1380"/>
      <c r="M130" s="790"/>
      <c r="N130" s="790"/>
      <c r="O130" s="790"/>
      <c r="P130" s="790"/>
      <c r="Q130" s="266"/>
      <c r="R130" s="266"/>
      <c r="S130" s="268"/>
      <c r="T130" s="269" t="e">
        <f>VLOOKUP(Q130,[71]Listas!$D$6:$E$10,2,0)</f>
        <v>#N/A</v>
      </c>
      <c r="U130" s="269" t="e">
        <f>HLOOKUP(R130,[71]Listas!$F$4:$J$5,2,0)</f>
        <v>#N/A</v>
      </c>
      <c r="V130" s="270" t="e">
        <f>INDEX([71]Listas!$F$6:$J$10,MATCH(Q130,[71]Listas!$D$6:$D$10,0),MATCH(R130,[71]Listas!$F$4:$J$4,0))</f>
        <v>#N/A</v>
      </c>
      <c r="W130" s="268"/>
      <c r="X130" s="1399"/>
      <c r="Y130" s="1408"/>
      <c r="Z130" s="1400"/>
      <c r="AA130" s="1063"/>
      <c r="AB130" s="267"/>
      <c r="AC130" s="259"/>
      <c r="AD130" s="790"/>
      <c r="AE130" s="267"/>
      <c r="AF130" s="268"/>
      <c r="AG130" s="269">
        <f t="shared" si="16"/>
        <v>0</v>
      </c>
      <c r="AH130" s="271" t="e">
        <f t="shared" si="17"/>
        <v>#N/A</v>
      </c>
      <c r="AI130" s="272" t="e">
        <f>IF(AH130&lt;=1,"Remota",VLOOKUP(AH130,[71]Listas!$C$6:$D$10,2,0))</f>
        <v>#N/A</v>
      </c>
      <c r="AJ130" s="271" t="e">
        <f t="shared" si="18"/>
        <v>#N/A</v>
      </c>
      <c r="AK130" s="272" t="e">
        <f>IF(AJ130&lt;=1,"Insignificante",HLOOKUP(AJ130,[71]Listas!$F$3:$J$4,2,0))</f>
        <v>#N/A</v>
      </c>
      <c r="AL130" s="273" t="e">
        <f t="shared" si="19"/>
        <v>#N/A</v>
      </c>
      <c r="AM130" s="270" t="e">
        <f>INDEX([71]Listas!$F$6:$J$10,MATCH(AI130,[71]Listas!$D$6:$D$10,0),MATCH(AK130,[71]Listas!$F$4:$J$4,0))</f>
        <v>#N/A</v>
      </c>
      <c r="AN130" s="259"/>
      <c r="AO130" s="259"/>
      <c r="AP130" s="794"/>
      <c r="AQ130" s="259"/>
      <c r="AR130" s="259" t="s">
        <v>2343</v>
      </c>
      <c r="AS130" s="790"/>
      <c r="AT130" s="259"/>
      <c r="AU130" s="259"/>
      <c r="AV130" s="261"/>
      <c r="AW130" s="261"/>
      <c r="AX130" s="790"/>
      <c r="AY130" s="262"/>
    </row>
    <row r="131" spans="1:51" s="260" customFormat="1" ht="103.5" hidden="1" customHeight="1">
      <c r="A131" s="790"/>
      <c r="B131" s="266"/>
      <c r="C131" s="1399"/>
      <c r="D131" s="1408"/>
      <c r="E131" s="1400"/>
      <c r="F131" s="267"/>
      <c r="G131" s="1399"/>
      <c r="H131" s="1408"/>
      <c r="I131" s="1400"/>
      <c r="J131" s="1380"/>
      <c r="K131" s="1380"/>
      <c r="L131" s="1380"/>
      <c r="M131" s="790"/>
      <c r="N131" s="790"/>
      <c r="O131" s="790"/>
      <c r="P131" s="790"/>
      <c r="Q131" s="266"/>
      <c r="R131" s="266"/>
      <c r="S131" s="268"/>
      <c r="T131" s="269" t="e">
        <f>VLOOKUP(Q131,[71]Listas!$D$6:$E$10,2,0)</f>
        <v>#N/A</v>
      </c>
      <c r="U131" s="269" t="e">
        <f>HLOOKUP(R131,[71]Listas!$F$4:$J$5,2,0)</f>
        <v>#N/A</v>
      </c>
      <c r="V131" s="270" t="e">
        <f>INDEX([71]Listas!$F$6:$J$10,MATCH(Q131,[71]Listas!$D$6:$D$10,0),MATCH(R131,[71]Listas!$F$4:$J$4,0))</f>
        <v>#N/A</v>
      </c>
      <c r="W131" s="268"/>
      <c r="X131" s="1399"/>
      <c r="Y131" s="1408"/>
      <c r="Z131" s="1400"/>
      <c r="AA131" s="1063"/>
      <c r="AB131" s="267"/>
      <c r="AC131" s="259"/>
      <c r="AD131" s="790"/>
      <c r="AE131" s="267"/>
      <c r="AF131" s="268"/>
      <c r="AG131" s="269">
        <f t="shared" si="16"/>
        <v>0</v>
      </c>
      <c r="AH131" s="271" t="e">
        <f t="shared" si="17"/>
        <v>#N/A</v>
      </c>
      <c r="AI131" s="272" t="e">
        <f>IF(AH131&lt;=1,"Remota",VLOOKUP(AH131,[71]Listas!$C$6:$D$10,2,0))</f>
        <v>#N/A</v>
      </c>
      <c r="AJ131" s="271" t="e">
        <f t="shared" si="18"/>
        <v>#N/A</v>
      </c>
      <c r="AK131" s="272" t="e">
        <f>IF(AJ131&lt;=1,"Insignificante",HLOOKUP(AJ131,[71]Listas!$F$3:$J$4,2,0))</f>
        <v>#N/A</v>
      </c>
      <c r="AL131" s="273" t="e">
        <f t="shared" si="19"/>
        <v>#N/A</v>
      </c>
      <c r="AM131" s="270" t="e">
        <f>INDEX([71]Listas!$F$6:$J$10,MATCH(AI131,[71]Listas!$D$6:$D$10,0),MATCH(AK131,[71]Listas!$F$4:$J$4,0))</f>
        <v>#N/A</v>
      </c>
      <c r="AN131" s="259"/>
      <c r="AO131" s="259"/>
      <c r="AP131" s="794"/>
      <c r="AQ131" s="259"/>
      <c r="AR131" s="259" t="s">
        <v>2343</v>
      </c>
      <c r="AS131" s="790"/>
      <c r="AT131" s="259"/>
      <c r="AU131" s="259"/>
      <c r="AV131" s="261"/>
      <c r="AW131" s="261"/>
      <c r="AX131" s="790"/>
      <c r="AY131" s="262"/>
    </row>
    <row r="132" spans="1:51" s="260" customFormat="1" ht="103.5" hidden="1" customHeight="1">
      <c r="A132" s="790"/>
      <c r="B132" s="266"/>
      <c r="C132" s="1399"/>
      <c r="D132" s="1408"/>
      <c r="E132" s="1400"/>
      <c r="F132" s="267"/>
      <c r="G132" s="1399"/>
      <c r="H132" s="1408"/>
      <c r="I132" s="1400"/>
      <c r="J132" s="1380"/>
      <c r="K132" s="1380"/>
      <c r="L132" s="1380"/>
      <c r="M132" s="790"/>
      <c r="N132" s="790"/>
      <c r="O132" s="790"/>
      <c r="P132" s="790"/>
      <c r="Q132" s="266"/>
      <c r="R132" s="266"/>
      <c r="S132" s="268"/>
      <c r="T132" s="269" t="e">
        <f>VLOOKUP(Q132,[71]Listas!$D$6:$E$10,2,0)</f>
        <v>#N/A</v>
      </c>
      <c r="U132" s="269" t="e">
        <f>HLOOKUP(R132,[71]Listas!$F$4:$J$5,2,0)</f>
        <v>#N/A</v>
      </c>
      <c r="V132" s="270" t="e">
        <f>INDEX([71]Listas!$F$6:$J$10,MATCH(Q132,[71]Listas!$D$6:$D$10,0),MATCH(R132,[71]Listas!$F$4:$J$4,0))</f>
        <v>#N/A</v>
      </c>
      <c r="W132" s="268"/>
      <c r="X132" s="1399"/>
      <c r="Y132" s="1408"/>
      <c r="Z132" s="1400"/>
      <c r="AA132" s="1063"/>
      <c r="AB132" s="267"/>
      <c r="AC132" s="259"/>
      <c r="AD132" s="790"/>
      <c r="AE132" s="267"/>
      <c r="AF132" s="268"/>
      <c r="AG132" s="269">
        <f t="shared" si="16"/>
        <v>0</v>
      </c>
      <c r="AH132" s="271" t="e">
        <f t="shared" si="17"/>
        <v>#N/A</v>
      </c>
      <c r="AI132" s="272" t="e">
        <f>IF(AH132&lt;=1,"Remota",VLOOKUP(AH132,[71]Listas!$C$6:$D$10,2,0))</f>
        <v>#N/A</v>
      </c>
      <c r="AJ132" s="271" t="e">
        <f t="shared" si="18"/>
        <v>#N/A</v>
      </c>
      <c r="AK132" s="272" t="e">
        <f>IF(AJ132&lt;=1,"Insignificante",HLOOKUP(AJ132,[71]Listas!$F$3:$J$4,2,0))</f>
        <v>#N/A</v>
      </c>
      <c r="AL132" s="273" t="e">
        <f t="shared" si="19"/>
        <v>#N/A</v>
      </c>
      <c r="AM132" s="270" t="e">
        <f>INDEX([71]Listas!$F$6:$J$10,MATCH(AI132,[71]Listas!$D$6:$D$10,0),MATCH(AK132,[71]Listas!$F$4:$J$4,0))</f>
        <v>#N/A</v>
      </c>
      <c r="AN132" s="259"/>
      <c r="AO132" s="259"/>
      <c r="AP132" s="794"/>
      <c r="AQ132" s="259"/>
      <c r="AR132" s="259" t="s">
        <v>2343</v>
      </c>
      <c r="AS132" s="790"/>
      <c r="AT132" s="259"/>
      <c r="AU132" s="259"/>
      <c r="AV132" s="261"/>
      <c r="AW132" s="261"/>
      <c r="AX132" s="790"/>
      <c r="AY132" s="262"/>
    </row>
    <row r="133" spans="1:51" s="260" customFormat="1" ht="103.5" hidden="1" customHeight="1">
      <c r="A133" s="790"/>
      <c r="B133" s="266"/>
      <c r="C133" s="1399"/>
      <c r="D133" s="1408"/>
      <c r="E133" s="1400"/>
      <c r="F133" s="267"/>
      <c r="G133" s="1399"/>
      <c r="H133" s="1408"/>
      <c r="I133" s="1400"/>
      <c r="J133" s="1380"/>
      <c r="K133" s="1380"/>
      <c r="L133" s="1380"/>
      <c r="M133" s="790"/>
      <c r="N133" s="790"/>
      <c r="O133" s="790"/>
      <c r="P133" s="790"/>
      <c r="Q133" s="266"/>
      <c r="R133" s="266"/>
      <c r="S133" s="268"/>
      <c r="T133" s="269" t="e">
        <f>VLOOKUP(Q133,[71]Listas!$D$6:$E$10,2,0)</f>
        <v>#N/A</v>
      </c>
      <c r="U133" s="269" t="e">
        <f>HLOOKUP(R133,[71]Listas!$F$4:$J$5,2,0)</f>
        <v>#N/A</v>
      </c>
      <c r="V133" s="270" t="e">
        <f>INDEX([71]Listas!$F$6:$J$10,MATCH(Q133,[71]Listas!$D$6:$D$10,0),MATCH(R133,[71]Listas!$F$4:$J$4,0))</f>
        <v>#N/A</v>
      </c>
      <c r="W133" s="268"/>
      <c r="X133" s="1399"/>
      <c r="Y133" s="1408"/>
      <c r="Z133" s="1400"/>
      <c r="AA133" s="1063"/>
      <c r="AB133" s="267"/>
      <c r="AC133" s="259"/>
      <c r="AD133" s="790"/>
      <c r="AE133" s="267"/>
      <c r="AF133" s="268"/>
      <c r="AG133" s="269">
        <f t="shared" si="16"/>
        <v>0</v>
      </c>
      <c r="AH133" s="271" t="e">
        <f t="shared" si="17"/>
        <v>#N/A</v>
      </c>
      <c r="AI133" s="272" t="e">
        <f>IF(AH133&lt;=1,"Remota",VLOOKUP(AH133,[71]Listas!$C$6:$D$10,2,0))</f>
        <v>#N/A</v>
      </c>
      <c r="AJ133" s="271" t="e">
        <f t="shared" si="18"/>
        <v>#N/A</v>
      </c>
      <c r="AK133" s="272" t="e">
        <f>IF(AJ133&lt;=1,"Insignificante",HLOOKUP(AJ133,[71]Listas!$F$3:$J$4,2,0))</f>
        <v>#N/A</v>
      </c>
      <c r="AL133" s="273" t="e">
        <f t="shared" si="19"/>
        <v>#N/A</v>
      </c>
      <c r="AM133" s="270" t="e">
        <f>INDEX([71]Listas!$F$6:$J$10,MATCH(AI133,[71]Listas!$D$6:$D$10,0),MATCH(AK133,[71]Listas!$F$4:$J$4,0))</f>
        <v>#N/A</v>
      </c>
      <c r="AN133" s="259"/>
      <c r="AO133" s="259"/>
      <c r="AP133" s="794"/>
      <c r="AQ133" s="259"/>
      <c r="AR133" s="259" t="s">
        <v>2343</v>
      </c>
      <c r="AS133" s="790"/>
      <c r="AT133" s="259"/>
      <c r="AU133" s="259"/>
      <c r="AV133" s="261"/>
      <c r="AW133" s="261"/>
      <c r="AX133" s="790"/>
      <c r="AY133" s="262"/>
    </row>
    <row r="134" spans="1:51" s="260" customFormat="1" ht="103.5" hidden="1" customHeight="1">
      <c r="A134" s="790"/>
      <c r="B134" s="266"/>
      <c r="C134" s="1399"/>
      <c r="D134" s="1408"/>
      <c r="E134" s="1400"/>
      <c r="F134" s="267"/>
      <c r="G134" s="1399"/>
      <c r="H134" s="1408"/>
      <c r="I134" s="1400"/>
      <c r="J134" s="1380"/>
      <c r="K134" s="1380"/>
      <c r="L134" s="1380"/>
      <c r="M134" s="790"/>
      <c r="N134" s="790"/>
      <c r="O134" s="790"/>
      <c r="P134" s="790"/>
      <c r="Q134" s="266"/>
      <c r="R134" s="266"/>
      <c r="S134" s="268"/>
      <c r="T134" s="269" t="e">
        <f>VLOOKUP(Q134,[71]Listas!$D$6:$E$10,2,0)</f>
        <v>#N/A</v>
      </c>
      <c r="U134" s="269" t="e">
        <f>HLOOKUP(R134,[71]Listas!$F$4:$J$5,2,0)</f>
        <v>#N/A</v>
      </c>
      <c r="V134" s="270" t="e">
        <f>INDEX([71]Listas!$F$6:$J$10,MATCH(Q134,[71]Listas!$D$6:$D$10,0),MATCH(R134,[71]Listas!$F$4:$J$4,0))</f>
        <v>#N/A</v>
      </c>
      <c r="W134" s="268"/>
      <c r="X134" s="1399"/>
      <c r="Y134" s="1408"/>
      <c r="Z134" s="1400"/>
      <c r="AA134" s="1063"/>
      <c r="AB134" s="267"/>
      <c r="AC134" s="259"/>
      <c r="AD134" s="790"/>
      <c r="AE134" s="267"/>
      <c r="AF134" s="268"/>
      <c r="AG134" s="269">
        <f t="shared" si="16"/>
        <v>0</v>
      </c>
      <c r="AH134" s="271" t="e">
        <f t="shared" si="17"/>
        <v>#N/A</v>
      </c>
      <c r="AI134" s="272" t="e">
        <f>IF(AH134&lt;=1,"Remota",VLOOKUP(AH134,[71]Listas!$C$6:$D$10,2,0))</f>
        <v>#N/A</v>
      </c>
      <c r="AJ134" s="271" t="e">
        <f t="shared" si="18"/>
        <v>#N/A</v>
      </c>
      <c r="AK134" s="272" t="e">
        <f>IF(AJ134&lt;=1,"Insignificante",HLOOKUP(AJ134,[71]Listas!$F$3:$J$4,2,0))</f>
        <v>#N/A</v>
      </c>
      <c r="AL134" s="273" t="e">
        <f t="shared" si="19"/>
        <v>#N/A</v>
      </c>
      <c r="AM134" s="270" t="e">
        <f>INDEX([71]Listas!$F$6:$J$10,MATCH(AI134,[71]Listas!$D$6:$D$10,0),MATCH(AK134,[71]Listas!$F$4:$J$4,0))</f>
        <v>#N/A</v>
      </c>
      <c r="AN134" s="259"/>
      <c r="AO134" s="259"/>
      <c r="AP134" s="794"/>
      <c r="AQ134" s="259"/>
      <c r="AR134" s="259" t="s">
        <v>2343</v>
      </c>
      <c r="AS134" s="790"/>
      <c r="AT134" s="259"/>
      <c r="AU134" s="259"/>
      <c r="AV134" s="261"/>
      <c r="AW134" s="261"/>
      <c r="AX134" s="790"/>
      <c r="AY134" s="262"/>
    </row>
    <row r="135" spans="1:51" s="260" customFormat="1" ht="103.5" hidden="1" customHeight="1">
      <c r="A135" s="790"/>
      <c r="B135" s="266"/>
      <c r="C135" s="1399"/>
      <c r="D135" s="1408"/>
      <c r="E135" s="1400"/>
      <c r="F135" s="267"/>
      <c r="G135" s="1399"/>
      <c r="H135" s="1408"/>
      <c r="I135" s="1400"/>
      <c r="J135" s="1380"/>
      <c r="K135" s="1380"/>
      <c r="L135" s="1380"/>
      <c r="M135" s="790"/>
      <c r="N135" s="790"/>
      <c r="O135" s="790"/>
      <c r="P135" s="790"/>
      <c r="Q135" s="266"/>
      <c r="R135" s="266"/>
      <c r="S135" s="268"/>
      <c r="T135" s="269" t="e">
        <f>VLOOKUP(Q135,[71]Listas!$D$6:$E$10,2,0)</f>
        <v>#N/A</v>
      </c>
      <c r="U135" s="269" t="e">
        <f>HLOOKUP(R135,[71]Listas!$F$4:$J$5,2,0)</f>
        <v>#N/A</v>
      </c>
      <c r="V135" s="270" t="e">
        <f>INDEX([71]Listas!$F$6:$J$10,MATCH(Q135,[71]Listas!$D$6:$D$10,0),MATCH(R135,[71]Listas!$F$4:$J$4,0))</f>
        <v>#N/A</v>
      </c>
      <c r="W135" s="268"/>
      <c r="X135" s="1399"/>
      <c r="Y135" s="1408"/>
      <c r="Z135" s="1400"/>
      <c r="AA135" s="1063"/>
      <c r="AB135" s="267"/>
      <c r="AC135" s="259"/>
      <c r="AD135" s="790"/>
      <c r="AE135" s="267"/>
      <c r="AF135" s="268"/>
      <c r="AG135" s="269">
        <f t="shared" si="16"/>
        <v>0</v>
      </c>
      <c r="AH135" s="271" t="e">
        <f t="shared" si="17"/>
        <v>#N/A</v>
      </c>
      <c r="AI135" s="272" t="e">
        <f>IF(AH135&lt;=1,"Remota",VLOOKUP(AH135,[71]Listas!$C$6:$D$10,2,0))</f>
        <v>#N/A</v>
      </c>
      <c r="AJ135" s="271" t="e">
        <f t="shared" si="18"/>
        <v>#N/A</v>
      </c>
      <c r="AK135" s="272" t="e">
        <f>IF(AJ135&lt;=1,"Insignificante",HLOOKUP(AJ135,[71]Listas!$F$3:$J$4,2,0))</f>
        <v>#N/A</v>
      </c>
      <c r="AL135" s="273" t="e">
        <f t="shared" si="19"/>
        <v>#N/A</v>
      </c>
      <c r="AM135" s="270" t="e">
        <f>INDEX([71]Listas!$F$6:$J$10,MATCH(AI135,[71]Listas!$D$6:$D$10,0),MATCH(AK135,[71]Listas!$F$4:$J$4,0))</f>
        <v>#N/A</v>
      </c>
      <c r="AN135" s="259"/>
      <c r="AO135" s="259"/>
      <c r="AP135" s="794"/>
      <c r="AQ135" s="259"/>
      <c r="AR135" s="259" t="s">
        <v>2343</v>
      </c>
      <c r="AS135" s="790"/>
      <c r="AT135" s="259"/>
      <c r="AU135" s="259"/>
      <c r="AV135" s="261"/>
      <c r="AW135" s="261"/>
      <c r="AX135" s="790"/>
      <c r="AY135" s="262"/>
    </row>
    <row r="136" spans="1:51" s="260" customFormat="1" ht="103.5" hidden="1" customHeight="1">
      <c r="A136" s="790"/>
      <c r="B136" s="266"/>
      <c r="C136" s="1399"/>
      <c r="D136" s="1408"/>
      <c r="E136" s="1400"/>
      <c r="F136" s="267"/>
      <c r="G136" s="1399"/>
      <c r="H136" s="1408"/>
      <c r="I136" s="1400"/>
      <c r="J136" s="1380"/>
      <c r="K136" s="1380"/>
      <c r="L136" s="1380"/>
      <c r="M136" s="790"/>
      <c r="N136" s="790"/>
      <c r="O136" s="790"/>
      <c r="P136" s="790"/>
      <c r="Q136" s="266"/>
      <c r="R136" s="266"/>
      <c r="S136" s="268"/>
      <c r="T136" s="269" t="e">
        <f>VLOOKUP(Q136,[71]Listas!$D$6:$E$10,2,0)</f>
        <v>#N/A</v>
      </c>
      <c r="U136" s="269" t="e">
        <f>HLOOKUP(R136,[71]Listas!$F$4:$J$5,2,0)</f>
        <v>#N/A</v>
      </c>
      <c r="V136" s="270" t="e">
        <f>INDEX([71]Listas!$F$6:$J$10,MATCH(Q136,[71]Listas!$D$6:$D$10,0),MATCH(R136,[71]Listas!$F$4:$J$4,0))</f>
        <v>#N/A</v>
      </c>
      <c r="W136" s="268"/>
      <c r="X136" s="1399"/>
      <c r="Y136" s="1408"/>
      <c r="Z136" s="1400"/>
      <c r="AA136" s="1063"/>
      <c r="AB136" s="267"/>
      <c r="AC136" s="259"/>
      <c r="AD136" s="790"/>
      <c r="AE136" s="267"/>
      <c r="AF136" s="268"/>
      <c r="AG136" s="269">
        <f t="shared" si="16"/>
        <v>0</v>
      </c>
      <c r="AH136" s="271" t="e">
        <f t="shared" si="17"/>
        <v>#N/A</v>
      </c>
      <c r="AI136" s="272" t="e">
        <f>IF(AH136&lt;=1,"Remota",VLOOKUP(AH136,[71]Listas!$C$6:$D$10,2,0))</f>
        <v>#N/A</v>
      </c>
      <c r="AJ136" s="271" t="e">
        <f t="shared" si="18"/>
        <v>#N/A</v>
      </c>
      <c r="AK136" s="272" t="e">
        <f>IF(AJ136&lt;=1,"Insignificante",HLOOKUP(AJ136,[71]Listas!$F$3:$J$4,2,0))</f>
        <v>#N/A</v>
      </c>
      <c r="AL136" s="273" t="e">
        <f t="shared" si="19"/>
        <v>#N/A</v>
      </c>
      <c r="AM136" s="270" t="e">
        <f>INDEX([71]Listas!$F$6:$J$10,MATCH(AI136,[71]Listas!$D$6:$D$10,0),MATCH(AK136,[71]Listas!$F$4:$J$4,0))</f>
        <v>#N/A</v>
      </c>
      <c r="AN136" s="259"/>
      <c r="AO136" s="259"/>
      <c r="AP136" s="794"/>
      <c r="AQ136" s="259"/>
      <c r="AR136" s="259" t="s">
        <v>2343</v>
      </c>
      <c r="AS136" s="790"/>
      <c r="AT136" s="259"/>
      <c r="AU136" s="259"/>
      <c r="AV136" s="261"/>
      <c r="AW136" s="261"/>
      <c r="AX136" s="790"/>
      <c r="AY136" s="262"/>
    </row>
    <row r="137" spans="1:51" s="260" customFormat="1" ht="103.5" hidden="1" customHeight="1">
      <c r="A137" s="790"/>
      <c r="B137" s="266"/>
      <c r="C137" s="1399"/>
      <c r="D137" s="1408"/>
      <c r="E137" s="1400"/>
      <c r="F137" s="267"/>
      <c r="G137" s="1399"/>
      <c r="H137" s="1408"/>
      <c r="I137" s="1400"/>
      <c r="J137" s="1380"/>
      <c r="K137" s="1380"/>
      <c r="L137" s="1380"/>
      <c r="M137" s="790"/>
      <c r="N137" s="790"/>
      <c r="O137" s="790"/>
      <c r="P137" s="790"/>
      <c r="Q137" s="266"/>
      <c r="R137" s="266"/>
      <c r="S137" s="268"/>
      <c r="T137" s="269" t="e">
        <f>VLOOKUP(Q137,[71]Listas!$D$6:$E$10,2,0)</f>
        <v>#N/A</v>
      </c>
      <c r="U137" s="269" t="e">
        <f>HLOOKUP(R137,[71]Listas!$F$4:$J$5,2,0)</f>
        <v>#N/A</v>
      </c>
      <c r="V137" s="270" t="e">
        <f>INDEX([71]Listas!$F$6:$J$10,MATCH(Q137,[71]Listas!$D$6:$D$10,0),MATCH(R137,[71]Listas!$F$4:$J$4,0))</f>
        <v>#N/A</v>
      </c>
      <c r="W137" s="268"/>
      <c r="X137" s="1399"/>
      <c r="Y137" s="1408"/>
      <c r="Z137" s="1400"/>
      <c r="AA137" s="1063"/>
      <c r="AB137" s="267"/>
      <c r="AC137" s="259"/>
      <c r="AD137" s="790"/>
      <c r="AE137" s="267"/>
      <c r="AF137" s="268"/>
      <c r="AG137" s="269">
        <f t="shared" si="16"/>
        <v>0</v>
      </c>
      <c r="AH137" s="271" t="e">
        <f t="shared" si="17"/>
        <v>#N/A</v>
      </c>
      <c r="AI137" s="272" t="e">
        <f>IF(AH137&lt;=1,"Remota",VLOOKUP(AH137,[71]Listas!$C$6:$D$10,2,0))</f>
        <v>#N/A</v>
      </c>
      <c r="AJ137" s="271" t="e">
        <f t="shared" si="18"/>
        <v>#N/A</v>
      </c>
      <c r="AK137" s="272" t="e">
        <f>IF(AJ137&lt;=1,"Insignificante",HLOOKUP(AJ137,[71]Listas!$F$3:$J$4,2,0))</f>
        <v>#N/A</v>
      </c>
      <c r="AL137" s="273" t="e">
        <f t="shared" si="19"/>
        <v>#N/A</v>
      </c>
      <c r="AM137" s="270" t="e">
        <f>INDEX([71]Listas!$F$6:$J$10,MATCH(AI137,[71]Listas!$D$6:$D$10,0),MATCH(AK137,[71]Listas!$F$4:$J$4,0))</f>
        <v>#N/A</v>
      </c>
      <c r="AN137" s="259"/>
      <c r="AO137" s="259"/>
      <c r="AP137" s="794"/>
      <c r="AQ137" s="259"/>
      <c r="AR137" s="259" t="s">
        <v>2343</v>
      </c>
      <c r="AS137" s="790"/>
      <c r="AT137" s="259"/>
      <c r="AU137" s="259"/>
      <c r="AV137" s="261"/>
      <c r="AW137" s="261"/>
      <c r="AX137" s="790"/>
      <c r="AY137" s="262"/>
    </row>
    <row r="138" spans="1:51" s="260" customFormat="1" ht="103.5" hidden="1" customHeight="1">
      <c r="A138" s="790"/>
      <c r="B138" s="266"/>
      <c r="C138" s="1399"/>
      <c r="D138" s="1408"/>
      <c r="E138" s="1400"/>
      <c r="F138" s="267"/>
      <c r="G138" s="1399"/>
      <c r="H138" s="1408"/>
      <c r="I138" s="1400"/>
      <c r="J138" s="1380"/>
      <c r="K138" s="1380"/>
      <c r="L138" s="1380"/>
      <c r="M138" s="790"/>
      <c r="N138" s="790"/>
      <c r="O138" s="790"/>
      <c r="P138" s="790"/>
      <c r="Q138" s="266"/>
      <c r="R138" s="266"/>
      <c r="S138" s="268"/>
      <c r="T138" s="269" t="e">
        <f>VLOOKUP(Q138,[71]Listas!$D$6:$E$10,2,0)</f>
        <v>#N/A</v>
      </c>
      <c r="U138" s="269" t="e">
        <f>HLOOKUP(R138,[71]Listas!$F$4:$J$5,2,0)</f>
        <v>#N/A</v>
      </c>
      <c r="V138" s="270" t="e">
        <f>INDEX([71]Listas!$F$6:$J$10,MATCH(Q138,[71]Listas!$D$6:$D$10,0),MATCH(R138,[71]Listas!$F$4:$J$4,0))</f>
        <v>#N/A</v>
      </c>
      <c r="W138" s="268"/>
      <c r="X138" s="1399"/>
      <c r="Y138" s="1408"/>
      <c r="Z138" s="1400"/>
      <c r="AA138" s="1063"/>
      <c r="AB138" s="267"/>
      <c r="AC138" s="259"/>
      <c r="AD138" s="790"/>
      <c r="AE138" s="267"/>
      <c r="AF138" s="268"/>
      <c r="AG138" s="269">
        <f t="shared" si="16"/>
        <v>0</v>
      </c>
      <c r="AH138" s="271" t="e">
        <f t="shared" si="17"/>
        <v>#N/A</v>
      </c>
      <c r="AI138" s="272" t="e">
        <f>IF(AH138&lt;=1,"Remota",VLOOKUP(AH138,[71]Listas!$C$6:$D$10,2,0))</f>
        <v>#N/A</v>
      </c>
      <c r="AJ138" s="271" t="e">
        <f t="shared" si="18"/>
        <v>#N/A</v>
      </c>
      <c r="AK138" s="272" t="e">
        <f>IF(AJ138&lt;=1,"Insignificante",HLOOKUP(AJ138,[71]Listas!$F$3:$J$4,2,0))</f>
        <v>#N/A</v>
      </c>
      <c r="AL138" s="273" t="e">
        <f t="shared" si="19"/>
        <v>#N/A</v>
      </c>
      <c r="AM138" s="270" t="e">
        <f>INDEX([71]Listas!$F$6:$J$10,MATCH(AI138,[71]Listas!$D$6:$D$10,0),MATCH(AK138,[71]Listas!$F$4:$J$4,0))</f>
        <v>#N/A</v>
      </c>
      <c r="AN138" s="259"/>
      <c r="AO138" s="259"/>
      <c r="AP138" s="794"/>
      <c r="AQ138" s="259"/>
      <c r="AR138" s="259" t="s">
        <v>2343</v>
      </c>
      <c r="AS138" s="790"/>
      <c r="AT138" s="259"/>
      <c r="AU138" s="259"/>
      <c r="AV138" s="261"/>
      <c r="AW138" s="261"/>
      <c r="AX138" s="790"/>
      <c r="AY138" s="262"/>
    </row>
    <row r="139" spans="1:51" s="260" customFormat="1" ht="103.5" hidden="1" customHeight="1">
      <c r="A139" s="790"/>
      <c r="B139" s="266"/>
      <c r="C139" s="1399"/>
      <c r="D139" s="1408"/>
      <c r="E139" s="1400"/>
      <c r="F139" s="267"/>
      <c r="G139" s="1399"/>
      <c r="H139" s="1408"/>
      <c r="I139" s="1400"/>
      <c r="J139" s="1380"/>
      <c r="K139" s="1380"/>
      <c r="L139" s="1380"/>
      <c r="M139" s="790"/>
      <c r="N139" s="790"/>
      <c r="O139" s="790"/>
      <c r="P139" s="790"/>
      <c r="Q139" s="266"/>
      <c r="R139" s="266"/>
      <c r="S139" s="268"/>
      <c r="T139" s="269" t="e">
        <f>VLOOKUP(Q139,[71]Listas!$D$6:$E$10,2,0)</f>
        <v>#N/A</v>
      </c>
      <c r="U139" s="269" t="e">
        <f>HLOOKUP(R139,[71]Listas!$F$4:$J$5,2,0)</f>
        <v>#N/A</v>
      </c>
      <c r="V139" s="270" t="e">
        <f>INDEX([71]Listas!$F$6:$J$10,MATCH(Q139,[71]Listas!$D$6:$D$10,0),MATCH(R139,[71]Listas!$F$4:$J$4,0))</f>
        <v>#N/A</v>
      </c>
      <c r="W139" s="268"/>
      <c r="X139" s="1399"/>
      <c r="Y139" s="1408"/>
      <c r="Z139" s="1400"/>
      <c r="AA139" s="1063"/>
      <c r="AB139" s="267"/>
      <c r="AC139" s="259"/>
      <c r="AD139" s="790"/>
      <c r="AE139" s="267"/>
      <c r="AF139" s="268"/>
      <c r="AG139" s="269">
        <f t="shared" si="16"/>
        <v>0</v>
      </c>
      <c r="AH139" s="271" t="e">
        <f t="shared" si="17"/>
        <v>#N/A</v>
      </c>
      <c r="AI139" s="272" t="e">
        <f>IF(AH139&lt;=1,"Remota",VLOOKUP(AH139,[71]Listas!$C$6:$D$10,2,0))</f>
        <v>#N/A</v>
      </c>
      <c r="AJ139" s="271" t="e">
        <f t="shared" si="18"/>
        <v>#N/A</v>
      </c>
      <c r="AK139" s="272" t="e">
        <f>IF(AJ139&lt;=1,"Insignificante",HLOOKUP(AJ139,[71]Listas!$F$3:$J$4,2,0))</f>
        <v>#N/A</v>
      </c>
      <c r="AL139" s="273" t="e">
        <f t="shared" si="19"/>
        <v>#N/A</v>
      </c>
      <c r="AM139" s="270" t="e">
        <f>INDEX([71]Listas!$F$6:$J$10,MATCH(AI139,[71]Listas!$D$6:$D$10,0),MATCH(AK139,[71]Listas!$F$4:$J$4,0))</f>
        <v>#N/A</v>
      </c>
      <c r="AN139" s="259"/>
      <c r="AO139" s="259"/>
      <c r="AP139" s="794"/>
      <c r="AQ139" s="259"/>
      <c r="AR139" s="259" t="s">
        <v>2343</v>
      </c>
      <c r="AS139" s="790"/>
      <c r="AT139" s="259"/>
      <c r="AU139" s="259"/>
      <c r="AV139" s="261"/>
      <c r="AW139" s="261"/>
      <c r="AX139" s="790"/>
      <c r="AY139" s="262"/>
    </row>
    <row r="140" spans="1:51" s="260" customFormat="1" ht="103.5" hidden="1" customHeight="1">
      <c r="A140" s="790"/>
      <c r="B140" s="266"/>
      <c r="C140" s="1399"/>
      <c r="D140" s="1408"/>
      <c r="E140" s="1400"/>
      <c r="F140" s="267"/>
      <c r="G140" s="1399"/>
      <c r="H140" s="1408"/>
      <c r="I140" s="1400"/>
      <c r="J140" s="1380"/>
      <c r="K140" s="1380"/>
      <c r="L140" s="1380"/>
      <c r="M140" s="790"/>
      <c r="N140" s="790"/>
      <c r="O140" s="790"/>
      <c r="P140" s="790"/>
      <c r="Q140" s="266"/>
      <c r="R140" s="266"/>
      <c r="S140" s="268"/>
      <c r="T140" s="269" t="e">
        <f>VLOOKUP(Q140,[71]Listas!$D$6:$E$10,2,0)</f>
        <v>#N/A</v>
      </c>
      <c r="U140" s="269" t="e">
        <f>HLOOKUP(R140,[71]Listas!$F$4:$J$5,2,0)</f>
        <v>#N/A</v>
      </c>
      <c r="V140" s="270" t="e">
        <f>INDEX([71]Listas!$F$6:$J$10,MATCH(Q140,[71]Listas!$D$6:$D$10,0),MATCH(R140,[71]Listas!$F$4:$J$4,0))</f>
        <v>#N/A</v>
      </c>
      <c r="W140" s="268"/>
      <c r="X140" s="1399"/>
      <c r="Y140" s="1408"/>
      <c r="Z140" s="1400"/>
      <c r="AA140" s="1063"/>
      <c r="AB140" s="267"/>
      <c r="AC140" s="259"/>
      <c r="AD140" s="790"/>
      <c r="AE140" s="267"/>
      <c r="AF140" s="268"/>
      <c r="AG140" s="269">
        <f t="shared" si="16"/>
        <v>0</v>
      </c>
      <c r="AH140" s="271" t="e">
        <f t="shared" si="17"/>
        <v>#N/A</v>
      </c>
      <c r="AI140" s="272" t="e">
        <f>IF(AH140&lt;=1,"Remota",VLOOKUP(AH140,[71]Listas!$C$6:$D$10,2,0))</f>
        <v>#N/A</v>
      </c>
      <c r="AJ140" s="271" t="e">
        <f t="shared" si="18"/>
        <v>#N/A</v>
      </c>
      <c r="AK140" s="272" t="e">
        <f>IF(AJ140&lt;=1,"Insignificante",HLOOKUP(AJ140,[71]Listas!$F$3:$J$4,2,0))</f>
        <v>#N/A</v>
      </c>
      <c r="AL140" s="273" t="e">
        <f t="shared" si="19"/>
        <v>#N/A</v>
      </c>
      <c r="AM140" s="270" t="e">
        <f>INDEX([71]Listas!$F$6:$J$10,MATCH(AI140,[71]Listas!$D$6:$D$10,0),MATCH(AK140,[71]Listas!$F$4:$J$4,0))</f>
        <v>#N/A</v>
      </c>
      <c r="AN140" s="259"/>
      <c r="AO140" s="259"/>
      <c r="AP140" s="794"/>
      <c r="AQ140" s="259"/>
      <c r="AR140" s="259" t="s">
        <v>2343</v>
      </c>
      <c r="AS140" s="790"/>
      <c r="AT140" s="259"/>
      <c r="AU140" s="259"/>
      <c r="AV140" s="261"/>
      <c r="AW140" s="261"/>
      <c r="AX140" s="790"/>
      <c r="AY140" s="262"/>
    </row>
    <row r="141" spans="1:51" s="260" customFormat="1" ht="103.5" hidden="1" customHeight="1">
      <c r="A141" s="790"/>
      <c r="B141" s="266"/>
      <c r="C141" s="1399"/>
      <c r="D141" s="1408"/>
      <c r="E141" s="1400"/>
      <c r="F141" s="267"/>
      <c r="G141" s="1399"/>
      <c r="H141" s="1408"/>
      <c r="I141" s="1400"/>
      <c r="J141" s="1380"/>
      <c r="K141" s="1380"/>
      <c r="L141" s="1380"/>
      <c r="M141" s="790"/>
      <c r="N141" s="790"/>
      <c r="O141" s="790"/>
      <c r="P141" s="790"/>
      <c r="Q141" s="266"/>
      <c r="R141" s="266"/>
      <c r="S141" s="268"/>
      <c r="T141" s="269" t="e">
        <f>VLOOKUP(Q141,[71]Listas!$D$6:$E$10,2,0)</f>
        <v>#N/A</v>
      </c>
      <c r="U141" s="269" t="e">
        <f>HLOOKUP(R141,[71]Listas!$F$4:$J$5,2,0)</f>
        <v>#N/A</v>
      </c>
      <c r="V141" s="270" t="e">
        <f>INDEX([71]Listas!$F$6:$J$10,MATCH(Q141,[71]Listas!$D$6:$D$10,0),MATCH(R141,[71]Listas!$F$4:$J$4,0))</f>
        <v>#N/A</v>
      </c>
      <c r="W141" s="268"/>
      <c r="X141" s="1399"/>
      <c r="Y141" s="1408"/>
      <c r="Z141" s="1400"/>
      <c r="AA141" s="1063"/>
      <c r="AB141" s="267"/>
      <c r="AC141" s="259"/>
      <c r="AD141" s="790"/>
      <c r="AE141" s="267"/>
      <c r="AF141" s="268"/>
      <c r="AG141" s="269">
        <f t="shared" si="16"/>
        <v>0</v>
      </c>
      <c r="AH141" s="271" t="e">
        <f t="shared" si="17"/>
        <v>#N/A</v>
      </c>
      <c r="AI141" s="272" t="e">
        <f>IF(AH141&lt;=1,"Remota",VLOOKUP(AH141,[71]Listas!$C$6:$D$10,2,0))</f>
        <v>#N/A</v>
      </c>
      <c r="AJ141" s="271" t="e">
        <f t="shared" si="18"/>
        <v>#N/A</v>
      </c>
      <c r="AK141" s="272" t="e">
        <f>IF(AJ141&lt;=1,"Insignificante",HLOOKUP(AJ141,[71]Listas!$F$3:$J$4,2,0))</f>
        <v>#N/A</v>
      </c>
      <c r="AL141" s="273" t="e">
        <f t="shared" si="19"/>
        <v>#N/A</v>
      </c>
      <c r="AM141" s="270" t="e">
        <f>INDEX([71]Listas!$F$6:$J$10,MATCH(AI141,[71]Listas!$D$6:$D$10,0),MATCH(AK141,[71]Listas!$F$4:$J$4,0))</f>
        <v>#N/A</v>
      </c>
      <c r="AN141" s="259"/>
      <c r="AO141" s="259"/>
      <c r="AP141" s="794"/>
      <c r="AQ141" s="259"/>
      <c r="AR141" s="259" t="s">
        <v>2343</v>
      </c>
      <c r="AS141" s="790"/>
      <c r="AT141" s="259"/>
      <c r="AU141" s="259"/>
      <c r="AV141" s="261"/>
      <c r="AW141" s="261"/>
      <c r="AX141" s="790"/>
      <c r="AY141" s="262"/>
    </row>
    <row r="142" spans="1:51" s="260" customFormat="1" ht="103.5" hidden="1" customHeight="1">
      <c r="A142" s="790"/>
      <c r="B142" s="266"/>
      <c r="C142" s="1399"/>
      <c r="D142" s="1408"/>
      <c r="E142" s="1400"/>
      <c r="F142" s="267"/>
      <c r="G142" s="1399"/>
      <c r="H142" s="1408"/>
      <c r="I142" s="1400"/>
      <c r="J142" s="1380"/>
      <c r="K142" s="1380"/>
      <c r="L142" s="1380"/>
      <c r="M142" s="790"/>
      <c r="N142" s="790"/>
      <c r="O142" s="790"/>
      <c r="P142" s="790"/>
      <c r="Q142" s="266"/>
      <c r="R142" s="266"/>
      <c r="S142" s="268"/>
      <c r="T142" s="269" t="e">
        <f>VLOOKUP(Q142,[71]Listas!$D$6:$E$10,2,0)</f>
        <v>#N/A</v>
      </c>
      <c r="U142" s="269" t="e">
        <f>HLOOKUP(R142,[71]Listas!$F$4:$J$5,2,0)</f>
        <v>#N/A</v>
      </c>
      <c r="V142" s="270" t="e">
        <f>INDEX([71]Listas!$F$6:$J$10,MATCH(Q142,[71]Listas!$D$6:$D$10,0),MATCH(R142,[71]Listas!$F$4:$J$4,0))</f>
        <v>#N/A</v>
      </c>
      <c r="W142" s="268"/>
      <c r="X142" s="1399"/>
      <c r="Y142" s="1408"/>
      <c r="Z142" s="1400"/>
      <c r="AA142" s="1063"/>
      <c r="AB142" s="267"/>
      <c r="AC142" s="259"/>
      <c r="AD142" s="790"/>
      <c r="AE142" s="267"/>
      <c r="AF142" s="268"/>
      <c r="AG142" s="269">
        <f t="shared" si="16"/>
        <v>0</v>
      </c>
      <c r="AH142" s="271" t="e">
        <f t="shared" si="17"/>
        <v>#N/A</v>
      </c>
      <c r="AI142" s="272" t="e">
        <f>IF(AH142&lt;=1,"Remota",VLOOKUP(AH142,[71]Listas!$C$6:$D$10,2,0))</f>
        <v>#N/A</v>
      </c>
      <c r="AJ142" s="271" t="e">
        <f t="shared" si="18"/>
        <v>#N/A</v>
      </c>
      <c r="AK142" s="272" t="e">
        <f>IF(AJ142&lt;=1,"Insignificante",HLOOKUP(AJ142,[71]Listas!$F$3:$J$4,2,0))</f>
        <v>#N/A</v>
      </c>
      <c r="AL142" s="273" t="e">
        <f t="shared" si="19"/>
        <v>#N/A</v>
      </c>
      <c r="AM142" s="270" t="e">
        <f>INDEX([71]Listas!$F$6:$J$10,MATCH(AI142,[71]Listas!$D$6:$D$10,0),MATCH(AK142,[71]Listas!$F$4:$J$4,0))</f>
        <v>#N/A</v>
      </c>
      <c r="AN142" s="259"/>
      <c r="AO142" s="259"/>
      <c r="AP142" s="794"/>
      <c r="AQ142" s="259"/>
      <c r="AR142" s="259" t="s">
        <v>2343</v>
      </c>
      <c r="AS142" s="790"/>
      <c r="AT142" s="259"/>
      <c r="AU142" s="259"/>
      <c r="AV142" s="261"/>
      <c r="AW142" s="261"/>
      <c r="AX142" s="790"/>
      <c r="AY142" s="262"/>
    </row>
    <row r="143" spans="1:51" s="260" customFormat="1" ht="103.5" hidden="1" customHeight="1">
      <c r="A143" s="790"/>
      <c r="B143" s="266"/>
      <c r="C143" s="1399"/>
      <c r="D143" s="1408"/>
      <c r="E143" s="1400"/>
      <c r="F143" s="267"/>
      <c r="G143" s="1399"/>
      <c r="H143" s="1408"/>
      <c r="I143" s="1400"/>
      <c r="J143" s="1380"/>
      <c r="K143" s="1380"/>
      <c r="L143" s="1380"/>
      <c r="M143" s="790"/>
      <c r="N143" s="790"/>
      <c r="O143" s="790"/>
      <c r="P143" s="790"/>
      <c r="Q143" s="266"/>
      <c r="R143" s="266"/>
      <c r="S143" s="268"/>
      <c r="T143" s="269" t="e">
        <f>VLOOKUP(Q143,[71]Listas!$D$6:$E$10,2,0)</f>
        <v>#N/A</v>
      </c>
      <c r="U143" s="269" t="e">
        <f>HLOOKUP(R143,[71]Listas!$F$4:$J$5,2,0)</f>
        <v>#N/A</v>
      </c>
      <c r="V143" s="270" t="e">
        <f>INDEX([71]Listas!$F$6:$J$10,MATCH(Q143,[71]Listas!$D$6:$D$10,0),MATCH(R143,[71]Listas!$F$4:$J$4,0))</f>
        <v>#N/A</v>
      </c>
      <c r="W143" s="268"/>
      <c r="X143" s="1399"/>
      <c r="Y143" s="1408"/>
      <c r="Z143" s="1400"/>
      <c r="AA143" s="1063"/>
      <c r="AB143" s="267"/>
      <c r="AC143" s="259"/>
      <c r="AD143" s="790"/>
      <c r="AE143" s="267"/>
      <c r="AF143" s="268"/>
      <c r="AG143" s="269">
        <f t="shared" si="16"/>
        <v>0</v>
      </c>
      <c r="AH143" s="271" t="e">
        <f t="shared" si="17"/>
        <v>#N/A</v>
      </c>
      <c r="AI143" s="272" t="e">
        <f>IF(AH143&lt;=1,"Remota",VLOOKUP(AH143,[71]Listas!$C$6:$D$10,2,0))</f>
        <v>#N/A</v>
      </c>
      <c r="AJ143" s="271" t="e">
        <f t="shared" si="18"/>
        <v>#N/A</v>
      </c>
      <c r="AK143" s="272" t="e">
        <f>IF(AJ143&lt;=1,"Insignificante",HLOOKUP(AJ143,[71]Listas!$F$3:$J$4,2,0))</f>
        <v>#N/A</v>
      </c>
      <c r="AL143" s="273" t="e">
        <f t="shared" si="19"/>
        <v>#N/A</v>
      </c>
      <c r="AM143" s="270" t="e">
        <f>INDEX([71]Listas!$F$6:$J$10,MATCH(AI143,[71]Listas!$D$6:$D$10,0),MATCH(AK143,[71]Listas!$F$4:$J$4,0))</f>
        <v>#N/A</v>
      </c>
      <c r="AN143" s="259"/>
      <c r="AO143" s="259"/>
      <c r="AP143" s="794"/>
      <c r="AQ143" s="259"/>
      <c r="AR143" s="259" t="s">
        <v>2343</v>
      </c>
      <c r="AS143" s="790"/>
      <c r="AT143" s="259"/>
      <c r="AU143" s="259"/>
      <c r="AV143" s="261"/>
      <c r="AW143" s="261"/>
      <c r="AX143" s="790"/>
      <c r="AY143" s="262"/>
    </row>
    <row r="144" spans="1:51" s="260" customFormat="1" ht="103.5" hidden="1" customHeight="1">
      <c r="A144" s="790"/>
      <c r="B144" s="266"/>
      <c r="C144" s="1399"/>
      <c r="D144" s="1408"/>
      <c r="E144" s="1400"/>
      <c r="F144" s="267"/>
      <c r="G144" s="1399"/>
      <c r="H144" s="1408"/>
      <c r="I144" s="1400"/>
      <c r="J144" s="1380"/>
      <c r="K144" s="1380"/>
      <c r="L144" s="1380"/>
      <c r="M144" s="790"/>
      <c r="N144" s="790"/>
      <c r="O144" s="790"/>
      <c r="P144" s="790"/>
      <c r="Q144" s="266"/>
      <c r="R144" s="266"/>
      <c r="S144" s="268"/>
      <c r="T144" s="269" t="e">
        <f>VLOOKUP(Q144,[71]Listas!$D$6:$E$10,2,0)</f>
        <v>#N/A</v>
      </c>
      <c r="U144" s="269" t="e">
        <f>HLOOKUP(R144,[71]Listas!$F$4:$J$5,2,0)</f>
        <v>#N/A</v>
      </c>
      <c r="V144" s="270" t="e">
        <f>INDEX([71]Listas!$F$6:$J$10,MATCH(Q144,[71]Listas!$D$6:$D$10,0),MATCH(R144,[71]Listas!$F$4:$J$4,0))</f>
        <v>#N/A</v>
      </c>
      <c r="W144" s="268"/>
      <c r="X144" s="1399"/>
      <c r="Y144" s="1408"/>
      <c r="Z144" s="1400"/>
      <c r="AA144" s="1063"/>
      <c r="AB144" s="267"/>
      <c r="AC144" s="259"/>
      <c r="AD144" s="790"/>
      <c r="AE144" s="267"/>
      <c r="AF144" s="268"/>
      <c r="AG144" s="269">
        <f t="shared" si="16"/>
        <v>0</v>
      </c>
      <c r="AH144" s="271" t="e">
        <f t="shared" si="17"/>
        <v>#N/A</v>
      </c>
      <c r="AI144" s="272" t="e">
        <f>IF(AH144&lt;=1,"Remota",VLOOKUP(AH144,[71]Listas!$C$6:$D$10,2,0))</f>
        <v>#N/A</v>
      </c>
      <c r="AJ144" s="271" t="e">
        <f t="shared" si="18"/>
        <v>#N/A</v>
      </c>
      <c r="AK144" s="272" t="e">
        <f>IF(AJ144&lt;=1,"Insignificante",HLOOKUP(AJ144,[71]Listas!$F$3:$J$4,2,0))</f>
        <v>#N/A</v>
      </c>
      <c r="AL144" s="273" t="e">
        <f t="shared" si="19"/>
        <v>#N/A</v>
      </c>
      <c r="AM144" s="270" t="e">
        <f>INDEX([71]Listas!$F$6:$J$10,MATCH(AI144,[71]Listas!$D$6:$D$10,0),MATCH(AK144,[71]Listas!$F$4:$J$4,0))</f>
        <v>#N/A</v>
      </c>
      <c r="AN144" s="259"/>
      <c r="AO144" s="259"/>
      <c r="AP144" s="794"/>
      <c r="AQ144" s="259"/>
      <c r="AR144" s="259" t="s">
        <v>2343</v>
      </c>
      <c r="AS144" s="790"/>
      <c r="AT144" s="259"/>
      <c r="AU144" s="259"/>
      <c r="AV144" s="261"/>
      <c r="AW144" s="261"/>
      <c r="AX144" s="790"/>
      <c r="AY144" s="262"/>
    </row>
    <row r="145" spans="1:51" s="260" customFormat="1" ht="103.5" hidden="1" customHeight="1">
      <c r="A145" s="790"/>
      <c r="B145" s="266"/>
      <c r="C145" s="1399"/>
      <c r="D145" s="1408"/>
      <c r="E145" s="1400"/>
      <c r="F145" s="267"/>
      <c r="G145" s="1399"/>
      <c r="H145" s="1408"/>
      <c r="I145" s="1400"/>
      <c r="J145" s="1380"/>
      <c r="K145" s="1380"/>
      <c r="L145" s="1380"/>
      <c r="M145" s="790"/>
      <c r="N145" s="790"/>
      <c r="O145" s="790"/>
      <c r="P145" s="790"/>
      <c r="Q145" s="266"/>
      <c r="R145" s="266"/>
      <c r="S145" s="268"/>
      <c r="T145" s="269" t="e">
        <f>VLOOKUP(Q145,[71]Listas!$D$6:$E$10,2,0)</f>
        <v>#N/A</v>
      </c>
      <c r="U145" s="269" t="e">
        <f>HLOOKUP(R145,[71]Listas!$F$4:$J$5,2,0)</f>
        <v>#N/A</v>
      </c>
      <c r="V145" s="270" t="e">
        <f>INDEX([71]Listas!$F$6:$J$10,MATCH(Q145,[71]Listas!$D$6:$D$10,0),MATCH(R145,[71]Listas!$F$4:$J$4,0))</f>
        <v>#N/A</v>
      </c>
      <c r="W145" s="268"/>
      <c r="X145" s="1399"/>
      <c r="Y145" s="1408"/>
      <c r="Z145" s="1400"/>
      <c r="AA145" s="1063"/>
      <c r="AB145" s="267"/>
      <c r="AC145" s="259"/>
      <c r="AD145" s="790"/>
      <c r="AE145" s="267"/>
      <c r="AF145" s="268"/>
      <c r="AG145" s="269">
        <f t="shared" si="16"/>
        <v>0</v>
      </c>
      <c r="AH145" s="271" t="e">
        <f t="shared" si="17"/>
        <v>#N/A</v>
      </c>
      <c r="AI145" s="272" t="e">
        <f>IF(AH145&lt;=1,"Remota",VLOOKUP(AH145,[71]Listas!$C$6:$D$10,2,0))</f>
        <v>#N/A</v>
      </c>
      <c r="AJ145" s="271" t="e">
        <f t="shared" si="18"/>
        <v>#N/A</v>
      </c>
      <c r="AK145" s="272" t="e">
        <f>IF(AJ145&lt;=1,"Insignificante",HLOOKUP(AJ145,[71]Listas!$F$3:$J$4,2,0))</f>
        <v>#N/A</v>
      </c>
      <c r="AL145" s="273" t="e">
        <f t="shared" si="19"/>
        <v>#N/A</v>
      </c>
      <c r="AM145" s="270" t="e">
        <f>INDEX([71]Listas!$F$6:$J$10,MATCH(AI145,[71]Listas!$D$6:$D$10,0),MATCH(AK145,[71]Listas!$F$4:$J$4,0))</f>
        <v>#N/A</v>
      </c>
      <c r="AN145" s="259"/>
      <c r="AO145" s="259"/>
      <c r="AP145" s="794"/>
      <c r="AQ145" s="259"/>
      <c r="AR145" s="259" t="s">
        <v>2343</v>
      </c>
      <c r="AS145" s="790"/>
      <c r="AT145" s="259"/>
      <c r="AU145" s="259"/>
      <c r="AV145" s="261"/>
      <c r="AW145" s="261"/>
      <c r="AX145" s="790"/>
      <c r="AY145" s="262"/>
    </row>
    <row r="146" spans="1:51" s="260" customFormat="1" ht="103.5" hidden="1" customHeight="1">
      <c r="A146" s="790"/>
      <c r="B146" s="266"/>
      <c r="C146" s="1399"/>
      <c r="D146" s="1408"/>
      <c r="E146" s="1400"/>
      <c r="F146" s="267"/>
      <c r="G146" s="1399"/>
      <c r="H146" s="1408"/>
      <c r="I146" s="1400"/>
      <c r="J146" s="1380"/>
      <c r="K146" s="1380"/>
      <c r="L146" s="1380"/>
      <c r="M146" s="790"/>
      <c r="N146" s="790"/>
      <c r="O146" s="790"/>
      <c r="P146" s="790"/>
      <c r="Q146" s="266"/>
      <c r="R146" s="266"/>
      <c r="S146" s="268"/>
      <c r="T146" s="269" t="e">
        <f>VLOOKUP(Q146,[71]Listas!$D$6:$E$10,2,0)</f>
        <v>#N/A</v>
      </c>
      <c r="U146" s="269" t="e">
        <f>HLOOKUP(R146,[71]Listas!$F$4:$J$5,2,0)</f>
        <v>#N/A</v>
      </c>
      <c r="V146" s="270" t="e">
        <f>INDEX([71]Listas!$F$6:$J$10,MATCH(Q146,[71]Listas!$D$6:$D$10,0),MATCH(R146,[71]Listas!$F$4:$J$4,0))</f>
        <v>#N/A</v>
      </c>
      <c r="W146" s="268"/>
      <c r="X146" s="1399"/>
      <c r="Y146" s="1408"/>
      <c r="Z146" s="1400"/>
      <c r="AA146" s="1063"/>
      <c r="AB146" s="267"/>
      <c r="AC146" s="259"/>
      <c r="AD146" s="790"/>
      <c r="AE146" s="267"/>
      <c r="AF146" s="268"/>
      <c r="AG146" s="269">
        <f t="shared" si="16"/>
        <v>0</v>
      </c>
      <c r="AH146" s="271" t="e">
        <f t="shared" si="17"/>
        <v>#N/A</v>
      </c>
      <c r="AI146" s="272" t="e">
        <f>IF(AH146&lt;=1,"Remota",VLOOKUP(AH146,[71]Listas!$C$6:$D$10,2,0))</f>
        <v>#N/A</v>
      </c>
      <c r="AJ146" s="271" t="e">
        <f t="shared" si="18"/>
        <v>#N/A</v>
      </c>
      <c r="AK146" s="272" t="e">
        <f>IF(AJ146&lt;=1,"Insignificante",HLOOKUP(AJ146,[71]Listas!$F$3:$J$4,2,0))</f>
        <v>#N/A</v>
      </c>
      <c r="AL146" s="273" t="e">
        <f t="shared" si="19"/>
        <v>#N/A</v>
      </c>
      <c r="AM146" s="270" t="e">
        <f>INDEX([71]Listas!$F$6:$J$10,MATCH(AI146,[71]Listas!$D$6:$D$10,0),MATCH(AK146,[71]Listas!$F$4:$J$4,0))</f>
        <v>#N/A</v>
      </c>
      <c r="AN146" s="259"/>
      <c r="AO146" s="259"/>
      <c r="AP146" s="794"/>
      <c r="AQ146" s="259"/>
      <c r="AR146" s="259" t="s">
        <v>2343</v>
      </c>
      <c r="AS146" s="790"/>
      <c r="AT146" s="259"/>
      <c r="AU146" s="259"/>
      <c r="AV146" s="261"/>
      <c r="AW146" s="261"/>
      <c r="AX146" s="790"/>
      <c r="AY146" s="262"/>
    </row>
    <row r="147" spans="1:51" s="260" customFormat="1" ht="103.5" hidden="1" customHeight="1">
      <c r="A147" s="790"/>
      <c r="B147" s="266"/>
      <c r="C147" s="1399"/>
      <c r="D147" s="1408"/>
      <c r="E147" s="1400"/>
      <c r="F147" s="267"/>
      <c r="G147" s="1399"/>
      <c r="H147" s="1408"/>
      <c r="I147" s="1400"/>
      <c r="J147" s="1380"/>
      <c r="K147" s="1380"/>
      <c r="L147" s="1380"/>
      <c r="M147" s="790"/>
      <c r="N147" s="790"/>
      <c r="O147" s="790"/>
      <c r="P147" s="790"/>
      <c r="Q147" s="266"/>
      <c r="R147" s="266"/>
      <c r="S147" s="268"/>
      <c r="T147" s="269" t="e">
        <f>VLOOKUP(Q147,[71]Listas!$D$6:$E$10,2,0)</f>
        <v>#N/A</v>
      </c>
      <c r="U147" s="269" t="e">
        <f>HLOOKUP(R147,[71]Listas!$F$4:$J$5,2,0)</f>
        <v>#N/A</v>
      </c>
      <c r="V147" s="270" t="e">
        <f>INDEX([71]Listas!$F$6:$J$10,MATCH(Q147,[71]Listas!$D$6:$D$10,0),MATCH(R147,[71]Listas!$F$4:$J$4,0))</f>
        <v>#N/A</v>
      </c>
      <c r="W147" s="268"/>
      <c r="X147" s="1399"/>
      <c r="Y147" s="1408"/>
      <c r="Z147" s="1400"/>
      <c r="AA147" s="1063"/>
      <c r="AB147" s="267"/>
      <c r="AC147" s="259"/>
      <c r="AD147" s="790"/>
      <c r="AE147" s="267"/>
      <c r="AF147" s="268"/>
      <c r="AG147" s="269">
        <f t="shared" si="16"/>
        <v>0</v>
      </c>
      <c r="AH147" s="271" t="e">
        <f t="shared" si="17"/>
        <v>#N/A</v>
      </c>
      <c r="AI147" s="272" t="e">
        <f>IF(AH147&lt;=1,"Remota",VLOOKUP(AH147,[71]Listas!$C$6:$D$10,2,0))</f>
        <v>#N/A</v>
      </c>
      <c r="AJ147" s="271" t="e">
        <f t="shared" si="18"/>
        <v>#N/A</v>
      </c>
      <c r="AK147" s="272" t="e">
        <f>IF(AJ147&lt;=1,"Insignificante",HLOOKUP(AJ147,[71]Listas!$F$3:$J$4,2,0))</f>
        <v>#N/A</v>
      </c>
      <c r="AL147" s="273" t="e">
        <f t="shared" si="19"/>
        <v>#N/A</v>
      </c>
      <c r="AM147" s="270" t="e">
        <f>INDEX([71]Listas!$F$6:$J$10,MATCH(AI147,[71]Listas!$D$6:$D$10,0),MATCH(AK147,[71]Listas!$F$4:$J$4,0))</f>
        <v>#N/A</v>
      </c>
      <c r="AN147" s="259"/>
      <c r="AO147" s="259"/>
      <c r="AP147" s="794"/>
      <c r="AQ147" s="259"/>
      <c r="AR147" s="259" t="s">
        <v>2343</v>
      </c>
      <c r="AS147" s="790"/>
      <c r="AT147" s="259"/>
      <c r="AU147" s="259"/>
      <c r="AV147" s="261"/>
      <c r="AW147" s="261"/>
      <c r="AX147" s="790"/>
      <c r="AY147" s="262"/>
    </row>
    <row r="148" spans="1:51" s="260" customFormat="1" ht="103.5" hidden="1" customHeight="1">
      <c r="A148" s="790"/>
      <c r="B148" s="266"/>
      <c r="C148" s="1399"/>
      <c r="D148" s="1408"/>
      <c r="E148" s="1400"/>
      <c r="F148" s="267"/>
      <c r="G148" s="1399"/>
      <c r="H148" s="1408"/>
      <c r="I148" s="1400"/>
      <c r="J148" s="1380"/>
      <c r="K148" s="1380"/>
      <c r="L148" s="1380"/>
      <c r="M148" s="790"/>
      <c r="N148" s="790"/>
      <c r="O148" s="790"/>
      <c r="P148" s="790"/>
      <c r="Q148" s="266"/>
      <c r="R148" s="266"/>
      <c r="S148" s="268"/>
      <c r="T148" s="269" t="e">
        <f>VLOOKUP(Q148,[71]Listas!$D$6:$E$10,2,0)</f>
        <v>#N/A</v>
      </c>
      <c r="U148" s="269" t="e">
        <f>HLOOKUP(R148,[71]Listas!$F$4:$J$5,2,0)</f>
        <v>#N/A</v>
      </c>
      <c r="V148" s="270" t="e">
        <f>INDEX([71]Listas!$F$6:$J$10,MATCH(Q148,[71]Listas!$D$6:$D$10,0),MATCH(R148,[71]Listas!$F$4:$J$4,0))</f>
        <v>#N/A</v>
      </c>
      <c r="W148" s="268"/>
      <c r="X148" s="1399"/>
      <c r="Y148" s="1408"/>
      <c r="Z148" s="1400"/>
      <c r="AA148" s="1063"/>
      <c r="AB148" s="267"/>
      <c r="AC148" s="259"/>
      <c r="AD148" s="790"/>
      <c r="AE148" s="267"/>
      <c r="AF148" s="268"/>
      <c r="AG148" s="269">
        <f t="shared" si="16"/>
        <v>0</v>
      </c>
      <c r="AH148" s="271" t="e">
        <f t="shared" si="17"/>
        <v>#N/A</v>
      </c>
      <c r="AI148" s="272" t="e">
        <f>IF(AH148&lt;=1,"Remota",VLOOKUP(AH148,[71]Listas!$C$6:$D$10,2,0))</f>
        <v>#N/A</v>
      </c>
      <c r="AJ148" s="271" t="e">
        <f t="shared" si="18"/>
        <v>#N/A</v>
      </c>
      <c r="AK148" s="272" t="e">
        <f>IF(AJ148&lt;=1,"Insignificante",HLOOKUP(AJ148,[71]Listas!$F$3:$J$4,2,0))</f>
        <v>#N/A</v>
      </c>
      <c r="AL148" s="273" t="e">
        <f t="shared" si="19"/>
        <v>#N/A</v>
      </c>
      <c r="AM148" s="270" t="e">
        <f>INDEX([71]Listas!$F$6:$J$10,MATCH(AI148,[71]Listas!$D$6:$D$10,0),MATCH(AK148,[71]Listas!$F$4:$J$4,0))</f>
        <v>#N/A</v>
      </c>
      <c r="AN148" s="259"/>
      <c r="AO148" s="259"/>
      <c r="AP148" s="794"/>
      <c r="AQ148" s="259"/>
      <c r="AR148" s="259" t="s">
        <v>2343</v>
      </c>
      <c r="AS148" s="790"/>
      <c r="AT148" s="259"/>
      <c r="AU148" s="259"/>
      <c r="AV148" s="261"/>
      <c r="AW148" s="261"/>
      <c r="AX148" s="790"/>
      <c r="AY148" s="262"/>
    </row>
    <row r="149" spans="1:51" s="260" customFormat="1" ht="103.5" hidden="1" customHeight="1">
      <c r="A149" s="790"/>
      <c r="B149" s="266"/>
      <c r="C149" s="1399"/>
      <c r="D149" s="1408"/>
      <c r="E149" s="1400"/>
      <c r="F149" s="267"/>
      <c r="G149" s="1399"/>
      <c r="H149" s="1408"/>
      <c r="I149" s="1400"/>
      <c r="J149" s="1380"/>
      <c r="K149" s="1380"/>
      <c r="L149" s="1380"/>
      <c r="M149" s="790"/>
      <c r="N149" s="790"/>
      <c r="O149" s="790"/>
      <c r="P149" s="790"/>
      <c r="Q149" s="266"/>
      <c r="R149" s="266"/>
      <c r="S149" s="268"/>
      <c r="T149" s="269" t="e">
        <f>VLOOKUP(Q149,[71]Listas!$D$6:$E$10,2,0)</f>
        <v>#N/A</v>
      </c>
      <c r="U149" s="269" t="e">
        <f>HLOOKUP(R149,[71]Listas!$F$4:$J$5,2,0)</f>
        <v>#N/A</v>
      </c>
      <c r="V149" s="270" t="e">
        <f>INDEX([71]Listas!$F$6:$J$10,MATCH(Q149,[71]Listas!$D$6:$D$10,0),MATCH(R149,[71]Listas!$F$4:$J$4,0))</f>
        <v>#N/A</v>
      </c>
      <c r="W149" s="268"/>
      <c r="X149" s="1399"/>
      <c r="Y149" s="1408"/>
      <c r="Z149" s="1400"/>
      <c r="AA149" s="1063"/>
      <c r="AB149" s="267"/>
      <c r="AC149" s="259"/>
      <c r="AD149" s="790"/>
      <c r="AE149" s="267"/>
      <c r="AF149" s="268"/>
      <c r="AG149" s="269">
        <f t="shared" ref="AG149:AG166" si="20">IF(AD149&lt;=33,0,IF(AD149&gt;81,2,1))</f>
        <v>0</v>
      </c>
      <c r="AH149" s="271" t="e">
        <f t="shared" ref="AH149:AH166" si="21">IF(OR(AE149="Probabilidad",AE149="Ambos"),T149-AG149,T149)</f>
        <v>#N/A</v>
      </c>
      <c r="AI149" s="272" t="e">
        <f>IF(AH149&lt;=1,"Remota",VLOOKUP(AH149,[71]Listas!$C$6:$D$10,2,0))</f>
        <v>#N/A</v>
      </c>
      <c r="AJ149" s="271" t="e">
        <f t="shared" ref="AJ149:AJ166" si="22">IF(OR(AE149="Impacto",AE149="Ambos"),U149-AG149,U149)</f>
        <v>#N/A</v>
      </c>
      <c r="AK149" s="272" t="e">
        <f>IF(AJ149&lt;=1,"Insignificante",HLOOKUP(AJ149,[71]Listas!$F$3:$J$4,2,0))</f>
        <v>#N/A</v>
      </c>
      <c r="AL149" s="273" t="e">
        <f t="shared" ref="AL149:AL166" si="23">AH149*AJ149</f>
        <v>#N/A</v>
      </c>
      <c r="AM149" s="270" t="e">
        <f>INDEX([71]Listas!$F$6:$J$10,MATCH(AI149,[71]Listas!$D$6:$D$10,0),MATCH(AK149,[71]Listas!$F$4:$J$4,0))</f>
        <v>#N/A</v>
      </c>
      <c r="AN149" s="259"/>
      <c r="AO149" s="259"/>
      <c r="AP149" s="794"/>
      <c r="AQ149" s="259"/>
      <c r="AR149" s="259" t="s">
        <v>2343</v>
      </c>
      <c r="AS149" s="790"/>
      <c r="AT149" s="259"/>
      <c r="AU149" s="259"/>
      <c r="AV149" s="261"/>
      <c r="AW149" s="261"/>
      <c r="AX149" s="790"/>
      <c r="AY149" s="262"/>
    </row>
    <row r="150" spans="1:51" s="260" customFormat="1" ht="103.5" hidden="1" customHeight="1">
      <c r="A150" s="790"/>
      <c r="B150" s="266"/>
      <c r="C150" s="1399"/>
      <c r="D150" s="1408"/>
      <c r="E150" s="1400"/>
      <c r="F150" s="267"/>
      <c r="G150" s="1399"/>
      <c r="H150" s="1408"/>
      <c r="I150" s="1400"/>
      <c r="J150" s="1380"/>
      <c r="K150" s="1380"/>
      <c r="L150" s="1380"/>
      <c r="M150" s="790"/>
      <c r="N150" s="790"/>
      <c r="O150" s="790"/>
      <c r="P150" s="790"/>
      <c r="Q150" s="266"/>
      <c r="R150" s="266"/>
      <c r="S150" s="268"/>
      <c r="T150" s="269" t="e">
        <f>VLOOKUP(Q150,[71]Listas!$D$6:$E$10,2,0)</f>
        <v>#N/A</v>
      </c>
      <c r="U150" s="269" t="e">
        <f>HLOOKUP(R150,[71]Listas!$F$4:$J$5,2,0)</f>
        <v>#N/A</v>
      </c>
      <c r="V150" s="270" t="e">
        <f>INDEX([71]Listas!$F$6:$J$10,MATCH(Q150,[71]Listas!$D$6:$D$10,0),MATCH(R150,[71]Listas!$F$4:$J$4,0))</f>
        <v>#N/A</v>
      </c>
      <c r="W150" s="268"/>
      <c r="X150" s="1399"/>
      <c r="Y150" s="1408"/>
      <c r="Z150" s="1400"/>
      <c r="AA150" s="1063"/>
      <c r="AB150" s="267"/>
      <c r="AC150" s="259"/>
      <c r="AD150" s="790"/>
      <c r="AE150" s="267"/>
      <c r="AF150" s="268"/>
      <c r="AG150" s="269">
        <f t="shared" si="20"/>
        <v>0</v>
      </c>
      <c r="AH150" s="271" t="e">
        <f t="shared" si="21"/>
        <v>#N/A</v>
      </c>
      <c r="AI150" s="272" t="e">
        <f>IF(AH150&lt;=1,"Remota",VLOOKUP(AH150,[71]Listas!$C$6:$D$10,2,0))</f>
        <v>#N/A</v>
      </c>
      <c r="AJ150" s="271" t="e">
        <f t="shared" si="22"/>
        <v>#N/A</v>
      </c>
      <c r="AK150" s="272" t="e">
        <f>IF(AJ150&lt;=1,"Insignificante",HLOOKUP(AJ150,[71]Listas!$F$3:$J$4,2,0))</f>
        <v>#N/A</v>
      </c>
      <c r="AL150" s="273" t="e">
        <f t="shared" si="23"/>
        <v>#N/A</v>
      </c>
      <c r="AM150" s="270" t="e">
        <f>INDEX([71]Listas!$F$6:$J$10,MATCH(AI150,[71]Listas!$D$6:$D$10,0),MATCH(AK150,[71]Listas!$F$4:$J$4,0))</f>
        <v>#N/A</v>
      </c>
      <c r="AN150" s="259"/>
      <c r="AO150" s="259"/>
      <c r="AP150" s="794"/>
      <c r="AQ150" s="259"/>
      <c r="AR150" s="259" t="s">
        <v>2343</v>
      </c>
      <c r="AS150" s="790"/>
      <c r="AT150" s="259"/>
      <c r="AU150" s="259"/>
      <c r="AV150" s="261"/>
      <c r="AW150" s="261"/>
      <c r="AX150" s="790"/>
      <c r="AY150" s="262"/>
    </row>
    <row r="151" spans="1:51" s="260" customFormat="1" ht="103.5" hidden="1" customHeight="1">
      <c r="A151" s="790"/>
      <c r="B151" s="266"/>
      <c r="C151" s="1399"/>
      <c r="D151" s="1408"/>
      <c r="E151" s="1400"/>
      <c r="F151" s="267"/>
      <c r="G151" s="1399"/>
      <c r="H151" s="1408"/>
      <c r="I151" s="1400"/>
      <c r="J151" s="1380"/>
      <c r="K151" s="1380"/>
      <c r="L151" s="1380"/>
      <c r="M151" s="790"/>
      <c r="N151" s="790"/>
      <c r="O151" s="790"/>
      <c r="P151" s="790"/>
      <c r="Q151" s="266"/>
      <c r="R151" s="266"/>
      <c r="S151" s="268"/>
      <c r="T151" s="269" t="e">
        <f>VLOOKUP(Q151,[71]Listas!$D$6:$E$10,2,0)</f>
        <v>#N/A</v>
      </c>
      <c r="U151" s="269" t="e">
        <f>HLOOKUP(R151,[71]Listas!$F$4:$J$5,2,0)</f>
        <v>#N/A</v>
      </c>
      <c r="V151" s="270" t="e">
        <f>INDEX([71]Listas!$F$6:$J$10,MATCH(Q151,[71]Listas!$D$6:$D$10,0),MATCH(R151,[71]Listas!$F$4:$J$4,0))</f>
        <v>#N/A</v>
      </c>
      <c r="W151" s="268"/>
      <c r="X151" s="1399"/>
      <c r="Y151" s="1408"/>
      <c r="Z151" s="1400"/>
      <c r="AA151" s="1063"/>
      <c r="AB151" s="267"/>
      <c r="AC151" s="259"/>
      <c r="AD151" s="790"/>
      <c r="AE151" s="267"/>
      <c r="AF151" s="268"/>
      <c r="AG151" s="269">
        <f t="shared" si="20"/>
        <v>0</v>
      </c>
      <c r="AH151" s="271" t="e">
        <f t="shared" si="21"/>
        <v>#N/A</v>
      </c>
      <c r="AI151" s="272" t="e">
        <f>IF(AH151&lt;=1,"Remota",VLOOKUP(AH151,[71]Listas!$C$6:$D$10,2,0))</f>
        <v>#N/A</v>
      </c>
      <c r="AJ151" s="271" t="e">
        <f t="shared" si="22"/>
        <v>#N/A</v>
      </c>
      <c r="AK151" s="272" t="e">
        <f>IF(AJ151&lt;=1,"Insignificante",HLOOKUP(AJ151,[71]Listas!$F$3:$J$4,2,0))</f>
        <v>#N/A</v>
      </c>
      <c r="AL151" s="273" t="e">
        <f t="shared" si="23"/>
        <v>#N/A</v>
      </c>
      <c r="AM151" s="270" t="e">
        <f>INDEX([71]Listas!$F$6:$J$10,MATCH(AI151,[71]Listas!$D$6:$D$10,0),MATCH(AK151,[71]Listas!$F$4:$J$4,0))</f>
        <v>#N/A</v>
      </c>
      <c r="AN151" s="259"/>
      <c r="AO151" s="259"/>
      <c r="AP151" s="794"/>
      <c r="AQ151" s="259"/>
      <c r="AR151" s="259" t="s">
        <v>2343</v>
      </c>
      <c r="AS151" s="790"/>
      <c r="AT151" s="259"/>
      <c r="AU151" s="259"/>
      <c r="AV151" s="261"/>
      <c r="AW151" s="261"/>
      <c r="AX151" s="790"/>
      <c r="AY151" s="262"/>
    </row>
    <row r="152" spans="1:51" s="260" customFormat="1" ht="103.5" hidden="1" customHeight="1">
      <c r="A152" s="790"/>
      <c r="B152" s="266"/>
      <c r="C152" s="1399"/>
      <c r="D152" s="1408"/>
      <c r="E152" s="1400"/>
      <c r="F152" s="267"/>
      <c r="G152" s="1399"/>
      <c r="H152" s="1408"/>
      <c r="I152" s="1400"/>
      <c r="J152" s="1380"/>
      <c r="K152" s="1380"/>
      <c r="L152" s="1380"/>
      <c r="M152" s="790"/>
      <c r="N152" s="790"/>
      <c r="O152" s="790"/>
      <c r="P152" s="790"/>
      <c r="Q152" s="266"/>
      <c r="R152" s="266"/>
      <c r="S152" s="268"/>
      <c r="T152" s="269" t="e">
        <f>VLOOKUP(Q152,[71]Listas!$D$6:$E$10,2,0)</f>
        <v>#N/A</v>
      </c>
      <c r="U152" s="269" t="e">
        <f>HLOOKUP(R152,[71]Listas!$F$4:$J$5,2,0)</f>
        <v>#N/A</v>
      </c>
      <c r="V152" s="270" t="e">
        <f>INDEX([71]Listas!$F$6:$J$10,MATCH(Q152,[71]Listas!$D$6:$D$10,0),MATCH(R152,[71]Listas!$F$4:$J$4,0))</f>
        <v>#N/A</v>
      </c>
      <c r="W152" s="268"/>
      <c r="X152" s="1399"/>
      <c r="Y152" s="1408"/>
      <c r="Z152" s="1400"/>
      <c r="AA152" s="1063"/>
      <c r="AB152" s="267"/>
      <c r="AC152" s="259"/>
      <c r="AD152" s="790"/>
      <c r="AE152" s="267"/>
      <c r="AF152" s="268"/>
      <c r="AG152" s="269">
        <f t="shared" si="20"/>
        <v>0</v>
      </c>
      <c r="AH152" s="271" t="e">
        <f t="shared" si="21"/>
        <v>#N/A</v>
      </c>
      <c r="AI152" s="272" t="e">
        <f>IF(AH152&lt;=1,"Remota",VLOOKUP(AH152,[71]Listas!$C$6:$D$10,2,0))</f>
        <v>#N/A</v>
      </c>
      <c r="AJ152" s="271" t="e">
        <f t="shared" si="22"/>
        <v>#N/A</v>
      </c>
      <c r="AK152" s="272" t="e">
        <f>IF(AJ152&lt;=1,"Insignificante",HLOOKUP(AJ152,[71]Listas!$F$3:$J$4,2,0))</f>
        <v>#N/A</v>
      </c>
      <c r="AL152" s="273" t="e">
        <f t="shared" si="23"/>
        <v>#N/A</v>
      </c>
      <c r="AM152" s="270" t="e">
        <f>INDEX([71]Listas!$F$6:$J$10,MATCH(AI152,[71]Listas!$D$6:$D$10,0),MATCH(AK152,[71]Listas!$F$4:$J$4,0))</f>
        <v>#N/A</v>
      </c>
      <c r="AN152" s="259"/>
      <c r="AO152" s="259"/>
      <c r="AP152" s="794"/>
      <c r="AQ152" s="259"/>
      <c r="AR152" s="259" t="s">
        <v>2343</v>
      </c>
      <c r="AS152" s="790"/>
      <c r="AT152" s="259"/>
      <c r="AU152" s="259"/>
      <c r="AV152" s="261"/>
      <c r="AW152" s="261"/>
      <c r="AX152" s="790"/>
      <c r="AY152" s="262"/>
    </row>
    <row r="153" spans="1:51" s="260" customFormat="1" ht="103.5" hidden="1" customHeight="1">
      <c r="A153" s="790"/>
      <c r="B153" s="266"/>
      <c r="C153" s="1399"/>
      <c r="D153" s="1408"/>
      <c r="E153" s="1400"/>
      <c r="F153" s="267"/>
      <c r="G153" s="1399"/>
      <c r="H153" s="1408"/>
      <c r="I153" s="1400"/>
      <c r="J153" s="1380"/>
      <c r="K153" s="1380"/>
      <c r="L153" s="1380"/>
      <c r="M153" s="790"/>
      <c r="N153" s="790"/>
      <c r="O153" s="790"/>
      <c r="P153" s="790"/>
      <c r="Q153" s="266"/>
      <c r="R153" s="266"/>
      <c r="S153" s="268"/>
      <c r="T153" s="269" t="e">
        <f>VLOOKUP(Q153,[71]Listas!$D$6:$E$10,2,0)</f>
        <v>#N/A</v>
      </c>
      <c r="U153" s="269" t="e">
        <f>HLOOKUP(R153,[71]Listas!$F$4:$J$5,2,0)</f>
        <v>#N/A</v>
      </c>
      <c r="V153" s="270" t="e">
        <f>INDEX([71]Listas!$F$6:$J$10,MATCH(Q153,[71]Listas!$D$6:$D$10,0),MATCH(R153,[71]Listas!$F$4:$J$4,0))</f>
        <v>#N/A</v>
      </c>
      <c r="W153" s="268"/>
      <c r="X153" s="1399"/>
      <c r="Y153" s="1408"/>
      <c r="Z153" s="1400"/>
      <c r="AA153" s="1063"/>
      <c r="AB153" s="267"/>
      <c r="AC153" s="259"/>
      <c r="AD153" s="790"/>
      <c r="AE153" s="267"/>
      <c r="AF153" s="268"/>
      <c r="AG153" s="269">
        <f t="shared" si="20"/>
        <v>0</v>
      </c>
      <c r="AH153" s="271" t="e">
        <f t="shared" si="21"/>
        <v>#N/A</v>
      </c>
      <c r="AI153" s="272" t="e">
        <f>IF(AH153&lt;=1,"Remota",VLOOKUP(AH153,[71]Listas!$C$6:$D$10,2,0))</f>
        <v>#N/A</v>
      </c>
      <c r="AJ153" s="271" t="e">
        <f t="shared" si="22"/>
        <v>#N/A</v>
      </c>
      <c r="AK153" s="272" t="e">
        <f>IF(AJ153&lt;=1,"Insignificante",HLOOKUP(AJ153,[71]Listas!$F$3:$J$4,2,0))</f>
        <v>#N/A</v>
      </c>
      <c r="AL153" s="273" t="e">
        <f t="shared" si="23"/>
        <v>#N/A</v>
      </c>
      <c r="AM153" s="270" t="e">
        <f>INDEX([71]Listas!$F$6:$J$10,MATCH(AI153,[71]Listas!$D$6:$D$10,0),MATCH(AK153,[71]Listas!$F$4:$J$4,0))</f>
        <v>#N/A</v>
      </c>
      <c r="AN153" s="259"/>
      <c r="AO153" s="259"/>
      <c r="AP153" s="794"/>
      <c r="AQ153" s="259"/>
      <c r="AR153" s="259" t="s">
        <v>2343</v>
      </c>
      <c r="AS153" s="790"/>
      <c r="AT153" s="259"/>
      <c r="AU153" s="259"/>
      <c r="AV153" s="261"/>
      <c r="AW153" s="261"/>
      <c r="AX153" s="790"/>
      <c r="AY153" s="262"/>
    </row>
    <row r="154" spans="1:51" s="260" customFormat="1" ht="103.5" hidden="1" customHeight="1">
      <c r="A154" s="790"/>
      <c r="B154" s="266"/>
      <c r="C154" s="1399"/>
      <c r="D154" s="1408"/>
      <c r="E154" s="1400"/>
      <c r="F154" s="267"/>
      <c r="G154" s="1399"/>
      <c r="H154" s="1408"/>
      <c r="I154" s="1400"/>
      <c r="J154" s="1380"/>
      <c r="K154" s="1380"/>
      <c r="L154" s="1380"/>
      <c r="M154" s="790"/>
      <c r="N154" s="790"/>
      <c r="O154" s="790"/>
      <c r="P154" s="790"/>
      <c r="Q154" s="266"/>
      <c r="R154" s="266"/>
      <c r="S154" s="268"/>
      <c r="T154" s="269" t="e">
        <f>VLOOKUP(Q154,[71]Listas!$D$6:$E$10,2,0)</f>
        <v>#N/A</v>
      </c>
      <c r="U154" s="269" t="e">
        <f>HLOOKUP(R154,[71]Listas!$F$4:$J$5,2,0)</f>
        <v>#N/A</v>
      </c>
      <c r="V154" s="270" t="e">
        <f>INDEX([71]Listas!$F$6:$J$10,MATCH(Q154,[71]Listas!$D$6:$D$10,0),MATCH(R154,[71]Listas!$F$4:$J$4,0))</f>
        <v>#N/A</v>
      </c>
      <c r="W154" s="268"/>
      <c r="X154" s="1399"/>
      <c r="Y154" s="1408"/>
      <c r="Z154" s="1400"/>
      <c r="AA154" s="1063"/>
      <c r="AB154" s="267"/>
      <c r="AC154" s="259"/>
      <c r="AD154" s="790"/>
      <c r="AE154" s="267"/>
      <c r="AF154" s="268"/>
      <c r="AG154" s="269">
        <f t="shared" si="20"/>
        <v>0</v>
      </c>
      <c r="AH154" s="271" t="e">
        <f t="shared" si="21"/>
        <v>#N/A</v>
      </c>
      <c r="AI154" s="272" t="e">
        <f>IF(AH154&lt;=1,"Remota",VLOOKUP(AH154,[71]Listas!$C$6:$D$10,2,0))</f>
        <v>#N/A</v>
      </c>
      <c r="AJ154" s="271" t="e">
        <f t="shared" si="22"/>
        <v>#N/A</v>
      </c>
      <c r="AK154" s="272" t="e">
        <f>IF(AJ154&lt;=1,"Insignificante",HLOOKUP(AJ154,[71]Listas!$F$3:$J$4,2,0))</f>
        <v>#N/A</v>
      </c>
      <c r="AL154" s="273" t="e">
        <f t="shared" si="23"/>
        <v>#N/A</v>
      </c>
      <c r="AM154" s="270" t="e">
        <f>INDEX([71]Listas!$F$6:$J$10,MATCH(AI154,[71]Listas!$D$6:$D$10,0),MATCH(AK154,[71]Listas!$F$4:$J$4,0))</f>
        <v>#N/A</v>
      </c>
      <c r="AN154" s="259"/>
      <c r="AO154" s="259"/>
      <c r="AP154" s="794"/>
      <c r="AQ154" s="259"/>
      <c r="AR154" s="259" t="s">
        <v>2343</v>
      </c>
      <c r="AS154" s="790"/>
      <c r="AT154" s="259"/>
      <c r="AU154" s="259"/>
      <c r="AV154" s="261"/>
      <c r="AW154" s="261"/>
      <c r="AX154" s="790"/>
      <c r="AY154" s="262"/>
    </row>
    <row r="155" spans="1:51" s="260" customFormat="1" ht="103.5" hidden="1" customHeight="1">
      <c r="A155" s="790"/>
      <c r="B155" s="266"/>
      <c r="C155" s="1399"/>
      <c r="D155" s="1408"/>
      <c r="E155" s="1400"/>
      <c r="F155" s="267"/>
      <c r="G155" s="1399"/>
      <c r="H155" s="1408"/>
      <c r="I155" s="1400"/>
      <c r="J155" s="1380"/>
      <c r="K155" s="1380"/>
      <c r="L155" s="1380"/>
      <c r="M155" s="790"/>
      <c r="N155" s="790"/>
      <c r="O155" s="790"/>
      <c r="P155" s="790"/>
      <c r="Q155" s="266"/>
      <c r="R155" s="266"/>
      <c r="S155" s="268"/>
      <c r="T155" s="269" t="e">
        <f>VLOOKUP(Q155,[71]Listas!$D$6:$E$10,2,0)</f>
        <v>#N/A</v>
      </c>
      <c r="U155" s="269" t="e">
        <f>HLOOKUP(R155,[71]Listas!$F$4:$J$5,2,0)</f>
        <v>#N/A</v>
      </c>
      <c r="V155" s="270" t="e">
        <f>INDEX([71]Listas!$F$6:$J$10,MATCH(Q155,[71]Listas!$D$6:$D$10,0),MATCH(R155,[71]Listas!$F$4:$J$4,0))</f>
        <v>#N/A</v>
      </c>
      <c r="W155" s="268"/>
      <c r="X155" s="1399"/>
      <c r="Y155" s="1408"/>
      <c r="Z155" s="1400"/>
      <c r="AA155" s="1063"/>
      <c r="AB155" s="267"/>
      <c r="AC155" s="259"/>
      <c r="AD155" s="790"/>
      <c r="AE155" s="267"/>
      <c r="AF155" s="268"/>
      <c r="AG155" s="269">
        <f t="shared" si="20"/>
        <v>0</v>
      </c>
      <c r="AH155" s="271" t="e">
        <f t="shared" si="21"/>
        <v>#N/A</v>
      </c>
      <c r="AI155" s="272" t="e">
        <f>IF(AH155&lt;=1,"Remota",VLOOKUP(AH155,[71]Listas!$C$6:$D$10,2,0))</f>
        <v>#N/A</v>
      </c>
      <c r="AJ155" s="271" t="e">
        <f t="shared" si="22"/>
        <v>#N/A</v>
      </c>
      <c r="AK155" s="272" t="e">
        <f>IF(AJ155&lt;=1,"Insignificante",HLOOKUP(AJ155,[71]Listas!$F$3:$J$4,2,0))</f>
        <v>#N/A</v>
      </c>
      <c r="AL155" s="273" t="e">
        <f t="shared" si="23"/>
        <v>#N/A</v>
      </c>
      <c r="AM155" s="270" t="e">
        <f>INDEX([71]Listas!$F$6:$J$10,MATCH(AI155,[71]Listas!$D$6:$D$10,0),MATCH(AK155,[71]Listas!$F$4:$J$4,0))</f>
        <v>#N/A</v>
      </c>
      <c r="AN155" s="259"/>
      <c r="AO155" s="259"/>
      <c r="AP155" s="794"/>
      <c r="AQ155" s="259"/>
      <c r="AR155" s="259" t="s">
        <v>2343</v>
      </c>
      <c r="AS155" s="790"/>
      <c r="AT155" s="259"/>
      <c r="AU155" s="259"/>
      <c r="AV155" s="261"/>
      <c r="AW155" s="261"/>
      <c r="AX155" s="790"/>
      <c r="AY155" s="262"/>
    </row>
    <row r="156" spans="1:51" s="260" customFormat="1" ht="103.5" hidden="1" customHeight="1">
      <c r="A156" s="790"/>
      <c r="B156" s="266"/>
      <c r="C156" s="1399"/>
      <c r="D156" s="1408"/>
      <c r="E156" s="1400"/>
      <c r="F156" s="267"/>
      <c r="G156" s="1399"/>
      <c r="H156" s="1408"/>
      <c r="I156" s="1400"/>
      <c r="J156" s="1380"/>
      <c r="K156" s="1380"/>
      <c r="L156" s="1380"/>
      <c r="M156" s="790"/>
      <c r="N156" s="790"/>
      <c r="O156" s="790"/>
      <c r="P156" s="790"/>
      <c r="Q156" s="266"/>
      <c r="R156" s="266"/>
      <c r="S156" s="268"/>
      <c r="T156" s="269" t="e">
        <f>VLOOKUP(Q156,[71]Listas!$D$6:$E$10,2,0)</f>
        <v>#N/A</v>
      </c>
      <c r="U156" s="269" t="e">
        <f>HLOOKUP(R156,[71]Listas!$F$4:$J$5,2,0)</f>
        <v>#N/A</v>
      </c>
      <c r="V156" s="270" t="e">
        <f>INDEX([71]Listas!$F$6:$J$10,MATCH(Q156,[71]Listas!$D$6:$D$10,0),MATCH(R156,[71]Listas!$F$4:$J$4,0))</f>
        <v>#N/A</v>
      </c>
      <c r="W156" s="268"/>
      <c r="X156" s="1399"/>
      <c r="Y156" s="1408"/>
      <c r="Z156" s="1400"/>
      <c r="AA156" s="1063"/>
      <c r="AB156" s="267"/>
      <c r="AC156" s="259"/>
      <c r="AD156" s="790"/>
      <c r="AE156" s="267"/>
      <c r="AF156" s="268"/>
      <c r="AG156" s="269">
        <f t="shared" si="20"/>
        <v>0</v>
      </c>
      <c r="AH156" s="271" t="e">
        <f t="shared" si="21"/>
        <v>#N/A</v>
      </c>
      <c r="AI156" s="272" t="e">
        <f>IF(AH156&lt;=1,"Remota",VLOOKUP(AH156,[71]Listas!$C$6:$D$10,2,0))</f>
        <v>#N/A</v>
      </c>
      <c r="AJ156" s="271" t="e">
        <f t="shared" si="22"/>
        <v>#N/A</v>
      </c>
      <c r="AK156" s="272" t="e">
        <f>IF(AJ156&lt;=1,"Insignificante",HLOOKUP(AJ156,[71]Listas!$F$3:$J$4,2,0))</f>
        <v>#N/A</v>
      </c>
      <c r="AL156" s="273" t="e">
        <f t="shared" si="23"/>
        <v>#N/A</v>
      </c>
      <c r="AM156" s="270" t="e">
        <f>INDEX([71]Listas!$F$6:$J$10,MATCH(AI156,[71]Listas!$D$6:$D$10,0),MATCH(AK156,[71]Listas!$F$4:$J$4,0))</f>
        <v>#N/A</v>
      </c>
      <c r="AN156" s="259"/>
      <c r="AO156" s="259"/>
      <c r="AP156" s="794"/>
      <c r="AQ156" s="259"/>
      <c r="AR156" s="259" t="s">
        <v>2343</v>
      </c>
      <c r="AS156" s="790"/>
      <c r="AT156" s="259"/>
      <c r="AU156" s="259"/>
      <c r="AV156" s="261"/>
      <c r="AW156" s="261"/>
      <c r="AX156" s="790"/>
      <c r="AY156" s="262"/>
    </row>
    <row r="157" spans="1:51" s="260" customFormat="1" ht="103.5" hidden="1" customHeight="1">
      <c r="A157" s="790"/>
      <c r="B157" s="266"/>
      <c r="C157" s="1399"/>
      <c r="D157" s="1408"/>
      <c r="E157" s="1400"/>
      <c r="F157" s="267"/>
      <c r="G157" s="1399"/>
      <c r="H157" s="1408"/>
      <c r="I157" s="1400"/>
      <c r="J157" s="1380"/>
      <c r="K157" s="1380"/>
      <c r="L157" s="1380"/>
      <c r="M157" s="790"/>
      <c r="N157" s="790"/>
      <c r="O157" s="790"/>
      <c r="P157" s="790"/>
      <c r="Q157" s="266"/>
      <c r="R157" s="266"/>
      <c r="S157" s="268"/>
      <c r="T157" s="269" t="e">
        <f>VLOOKUP(Q157,[71]Listas!$D$6:$E$10,2,0)</f>
        <v>#N/A</v>
      </c>
      <c r="U157" s="269" t="e">
        <f>HLOOKUP(R157,[71]Listas!$F$4:$J$5,2,0)</f>
        <v>#N/A</v>
      </c>
      <c r="V157" s="270" t="e">
        <f>INDEX([71]Listas!$F$6:$J$10,MATCH(Q157,[71]Listas!$D$6:$D$10,0),MATCH(R157,[71]Listas!$F$4:$J$4,0))</f>
        <v>#N/A</v>
      </c>
      <c r="W157" s="268"/>
      <c r="X157" s="1399"/>
      <c r="Y157" s="1408"/>
      <c r="Z157" s="1400"/>
      <c r="AA157" s="1063"/>
      <c r="AB157" s="267"/>
      <c r="AC157" s="259"/>
      <c r="AD157" s="790"/>
      <c r="AE157" s="267"/>
      <c r="AF157" s="268"/>
      <c r="AG157" s="269">
        <f t="shared" si="20"/>
        <v>0</v>
      </c>
      <c r="AH157" s="271" t="e">
        <f t="shared" si="21"/>
        <v>#N/A</v>
      </c>
      <c r="AI157" s="272" t="e">
        <f>IF(AH157&lt;=1,"Remota",VLOOKUP(AH157,[71]Listas!$C$6:$D$10,2,0))</f>
        <v>#N/A</v>
      </c>
      <c r="AJ157" s="271" t="e">
        <f t="shared" si="22"/>
        <v>#N/A</v>
      </c>
      <c r="AK157" s="272" t="e">
        <f>IF(AJ157&lt;=1,"Insignificante",HLOOKUP(AJ157,[71]Listas!$F$3:$J$4,2,0))</f>
        <v>#N/A</v>
      </c>
      <c r="AL157" s="273" t="e">
        <f t="shared" si="23"/>
        <v>#N/A</v>
      </c>
      <c r="AM157" s="270" t="e">
        <f>INDEX([71]Listas!$F$6:$J$10,MATCH(AI157,[71]Listas!$D$6:$D$10,0),MATCH(AK157,[71]Listas!$F$4:$J$4,0))</f>
        <v>#N/A</v>
      </c>
      <c r="AN157" s="259"/>
      <c r="AO157" s="259"/>
      <c r="AP157" s="794"/>
      <c r="AQ157" s="259"/>
      <c r="AR157" s="259" t="s">
        <v>2343</v>
      </c>
      <c r="AS157" s="790"/>
      <c r="AT157" s="259"/>
      <c r="AU157" s="259"/>
      <c r="AV157" s="261"/>
      <c r="AW157" s="261"/>
      <c r="AX157" s="790"/>
      <c r="AY157" s="262"/>
    </row>
    <row r="158" spans="1:51" s="260" customFormat="1" ht="103.5" hidden="1" customHeight="1">
      <c r="A158" s="790"/>
      <c r="B158" s="266"/>
      <c r="C158" s="1399"/>
      <c r="D158" s="1408"/>
      <c r="E158" s="1400"/>
      <c r="F158" s="267"/>
      <c r="G158" s="1399"/>
      <c r="H158" s="1408"/>
      <c r="I158" s="1400"/>
      <c r="J158" s="1380"/>
      <c r="K158" s="1380"/>
      <c r="L158" s="1380"/>
      <c r="M158" s="790"/>
      <c r="N158" s="790"/>
      <c r="O158" s="790"/>
      <c r="P158" s="790"/>
      <c r="Q158" s="266"/>
      <c r="R158" s="266"/>
      <c r="S158" s="268"/>
      <c r="T158" s="269" t="e">
        <f>VLOOKUP(Q158,[71]Listas!$D$6:$E$10,2,0)</f>
        <v>#N/A</v>
      </c>
      <c r="U158" s="269" t="e">
        <f>HLOOKUP(R158,[71]Listas!$F$4:$J$5,2,0)</f>
        <v>#N/A</v>
      </c>
      <c r="V158" s="270" t="e">
        <f>INDEX([71]Listas!$F$6:$J$10,MATCH(Q158,[71]Listas!$D$6:$D$10,0),MATCH(R158,[71]Listas!$F$4:$J$4,0))</f>
        <v>#N/A</v>
      </c>
      <c r="W158" s="268"/>
      <c r="X158" s="1399"/>
      <c r="Y158" s="1408"/>
      <c r="Z158" s="1400"/>
      <c r="AA158" s="1063"/>
      <c r="AB158" s="267"/>
      <c r="AC158" s="259"/>
      <c r="AD158" s="790"/>
      <c r="AE158" s="267"/>
      <c r="AF158" s="268"/>
      <c r="AG158" s="269">
        <f t="shared" si="20"/>
        <v>0</v>
      </c>
      <c r="AH158" s="271" t="e">
        <f t="shared" si="21"/>
        <v>#N/A</v>
      </c>
      <c r="AI158" s="272" t="e">
        <f>IF(AH158&lt;=1,"Remota",VLOOKUP(AH158,[71]Listas!$C$6:$D$10,2,0))</f>
        <v>#N/A</v>
      </c>
      <c r="AJ158" s="271" t="e">
        <f t="shared" si="22"/>
        <v>#N/A</v>
      </c>
      <c r="AK158" s="272" t="e">
        <f>IF(AJ158&lt;=1,"Insignificante",HLOOKUP(AJ158,[71]Listas!$F$3:$J$4,2,0))</f>
        <v>#N/A</v>
      </c>
      <c r="AL158" s="273" t="e">
        <f t="shared" si="23"/>
        <v>#N/A</v>
      </c>
      <c r="AM158" s="270" t="e">
        <f>INDEX([71]Listas!$F$6:$J$10,MATCH(AI158,[71]Listas!$D$6:$D$10,0),MATCH(AK158,[71]Listas!$F$4:$J$4,0))</f>
        <v>#N/A</v>
      </c>
      <c r="AN158" s="259"/>
      <c r="AO158" s="259"/>
      <c r="AP158" s="794"/>
      <c r="AQ158" s="259"/>
      <c r="AR158" s="259" t="s">
        <v>2343</v>
      </c>
      <c r="AS158" s="790"/>
      <c r="AT158" s="259"/>
      <c r="AU158" s="259"/>
      <c r="AV158" s="261"/>
      <c r="AW158" s="261"/>
      <c r="AX158" s="790"/>
      <c r="AY158" s="262"/>
    </row>
    <row r="159" spans="1:51" s="260" customFormat="1" ht="103.5" hidden="1" customHeight="1">
      <c r="A159" s="790"/>
      <c r="B159" s="266"/>
      <c r="C159" s="1399"/>
      <c r="D159" s="1408"/>
      <c r="E159" s="1400"/>
      <c r="F159" s="267"/>
      <c r="G159" s="1399"/>
      <c r="H159" s="1408"/>
      <c r="I159" s="1400"/>
      <c r="J159" s="1380"/>
      <c r="K159" s="1380"/>
      <c r="L159" s="1380"/>
      <c r="M159" s="790"/>
      <c r="N159" s="790"/>
      <c r="O159" s="790"/>
      <c r="P159" s="790"/>
      <c r="Q159" s="266"/>
      <c r="R159" s="266"/>
      <c r="S159" s="268"/>
      <c r="T159" s="269" t="e">
        <f>VLOOKUP(Q159,[71]Listas!$D$6:$E$10,2,0)</f>
        <v>#N/A</v>
      </c>
      <c r="U159" s="269" t="e">
        <f>HLOOKUP(R159,[71]Listas!$F$4:$J$5,2,0)</f>
        <v>#N/A</v>
      </c>
      <c r="V159" s="270" t="e">
        <f>INDEX([71]Listas!$F$6:$J$10,MATCH(Q159,[71]Listas!$D$6:$D$10,0),MATCH(R159,[71]Listas!$F$4:$J$4,0))</f>
        <v>#N/A</v>
      </c>
      <c r="W159" s="268"/>
      <c r="X159" s="1399"/>
      <c r="Y159" s="1408"/>
      <c r="Z159" s="1400"/>
      <c r="AA159" s="1063"/>
      <c r="AB159" s="267"/>
      <c r="AC159" s="259"/>
      <c r="AD159" s="790"/>
      <c r="AE159" s="267"/>
      <c r="AF159" s="268"/>
      <c r="AG159" s="269">
        <f t="shared" si="20"/>
        <v>0</v>
      </c>
      <c r="AH159" s="271" t="e">
        <f t="shared" si="21"/>
        <v>#N/A</v>
      </c>
      <c r="AI159" s="272" t="e">
        <f>IF(AH159&lt;=1,"Remota",VLOOKUP(AH159,[71]Listas!$C$6:$D$10,2,0))</f>
        <v>#N/A</v>
      </c>
      <c r="AJ159" s="271" t="e">
        <f t="shared" si="22"/>
        <v>#N/A</v>
      </c>
      <c r="AK159" s="272" t="e">
        <f>IF(AJ159&lt;=1,"Insignificante",HLOOKUP(AJ159,[71]Listas!$F$3:$J$4,2,0))</f>
        <v>#N/A</v>
      </c>
      <c r="AL159" s="273" t="e">
        <f t="shared" si="23"/>
        <v>#N/A</v>
      </c>
      <c r="AM159" s="270" t="e">
        <f>INDEX([71]Listas!$F$6:$J$10,MATCH(AI159,[71]Listas!$D$6:$D$10,0),MATCH(AK159,[71]Listas!$F$4:$J$4,0))</f>
        <v>#N/A</v>
      </c>
      <c r="AN159" s="259"/>
      <c r="AO159" s="259"/>
      <c r="AP159" s="794"/>
      <c r="AQ159" s="259"/>
      <c r="AR159" s="259" t="s">
        <v>2343</v>
      </c>
      <c r="AS159" s="790"/>
      <c r="AT159" s="259"/>
      <c r="AU159" s="259"/>
      <c r="AV159" s="261"/>
      <c r="AW159" s="261"/>
      <c r="AX159" s="790"/>
      <c r="AY159" s="262"/>
    </row>
    <row r="160" spans="1:51" s="260" customFormat="1" ht="103.5" hidden="1" customHeight="1">
      <c r="A160" s="790"/>
      <c r="B160" s="266"/>
      <c r="C160" s="1399"/>
      <c r="D160" s="1408"/>
      <c r="E160" s="1400"/>
      <c r="F160" s="267"/>
      <c r="G160" s="1399"/>
      <c r="H160" s="1408"/>
      <c r="I160" s="1400"/>
      <c r="J160" s="1380"/>
      <c r="K160" s="1380"/>
      <c r="L160" s="1380"/>
      <c r="M160" s="790"/>
      <c r="N160" s="790"/>
      <c r="O160" s="790"/>
      <c r="P160" s="790"/>
      <c r="Q160" s="266"/>
      <c r="R160" s="266"/>
      <c r="S160" s="268"/>
      <c r="T160" s="269" t="e">
        <f>VLOOKUP(Q160,[71]Listas!$D$6:$E$10,2,0)</f>
        <v>#N/A</v>
      </c>
      <c r="U160" s="269" t="e">
        <f>HLOOKUP(R160,[71]Listas!$F$4:$J$5,2,0)</f>
        <v>#N/A</v>
      </c>
      <c r="V160" s="270" t="e">
        <f>INDEX([71]Listas!$F$6:$J$10,MATCH(Q160,[71]Listas!$D$6:$D$10,0),MATCH(R160,[71]Listas!$F$4:$J$4,0))</f>
        <v>#N/A</v>
      </c>
      <c r="W160" s="268"/>
      <c r="X160" s="1399"/>
      <c r="Y160" s="1408"/>
      <c r="Z160" s="1400"/>
      <c r="AA160" s="1063"/>
      <c r="AB160" s="267"/>
      <c r="AC160" s="259"/>
      <c r="AD160" s="790"/>
      <c r="AE160" s="267"/>
      <c r="AF160" s="268"/>
      <c r="AG160" s="269">
        <f t="shared" si="20"/>
        <v>0</v>
      </c>
      <c r="AH160" s="271" t="e">
        <f t="shared" si="21"/>
        <v>#N/A</v>
      </c>
      <c r="AI160" s="272" t="e">
        <f>IF(AH160&lt;=1,"Remota",VLOOKUP(AH160,[71]Listas!$C$6:$D$10,2,0))</f>
        <v>#N/A</v>
      </c>
      <c r="AJ160" s="271" t="e">
        <f t="shared" si="22"/>
        <v>#N/A</v>
      </c>
      <c r="AK160" s="272" t="e">
        <f>IF(AJ160&lt;=1,"Insignificante",HLOOKUP(AJ160,[71]Listas!$F$3:$J$4,2,0))</f>
        <v>#N/A</v>
      </c>
      <c r="AL160" s="273" t="e">
        <f t="shared" si="23"/>
        <v>#N/A</v>
      </c>
      <c r="AM160" s="270" t="e">
        <f>INDEX([71]Listas!$F$6:$J$10,MATCH(AI160,[71]Listas!$D$6:$D$10,0),MATCH(AK160,[71]Listas!$F$4:$J$4,0))</f>
        <v>#N/A</v>
      </c>
      <c r="AN160" s="259"/>
      <c r="AO160" s="259"/>
      <c r="AP160" s="794"/>
      <c r="AQ160" s="259"/>
      <c r="AR160" s="259" t="s">
        <v>2343</v>
      </c>
      <c r="AS160" s="790"/>
      <c r="AT160" s="259"/>
      <c r="AU160" s="259"/>
      <c r="AV160" s="261"/>
      <c r="AW160" s="261"/>
      <c r="AX160" s="790"/>
      <c r="AY160" s="262"/>
    </row>
    <row r="161" spans="1:1027" s="260" customFormat="1" ht="103.5" hidden="1" customHeight="1">
      <c r="A161" s="790"/>
      <c r="B161" s="266"/>
      <c r="C161" s="1399"/>
      <c r="D161" s="1408"/>
      <c r="E161" s="1400"/>
      <c r="F161" s="267"/>
      <c r="G161" s="1399"/>
      <c r="H161" s="1408"/>
      <c r="I161" s="1400"/>
      <c r="J161" s="1380"/>
      <c r="K161" s="1380"/>
      <c r="L161" s="1380"/>
      <c r="M161" s="790"/>
      <c r="N161" s="790"/>
      <c r="O161" s="790"/>
      <c r="P161" s="790"/>
      <c r="Q161" s="266"/>
      <c r="R161" s="266"/>
      <c r="S161" s="268"/>
      <c r="T161" s="269" t="e">
        <f>VLOOKUP(Q161,[71]Listas!$D$6:$E$10,2,0)</f>
        <v>#N/A</v>
      </c>
      <c r="U161" s="269" t="e">
        <f>HLOOKUP(R161,[71]Listas!$F$4:$J$5,2,0)</f>
        <v>#N/A</v>
      </c>
      <c r="V161" s="270" t="e">
        <f>INDEX([71]Listas!$F$6:$J$10,MATCH(Q161,[71]Listas!$D$6:$D$10,0),MATCH(R161,[71]Listas!$F$4:$J$4,0))</f>
        <v>#N/A</v>
      </c>
      <c r="W161" s="268"/>
      <c r="X161" s="1399"/>
      <c r="Y161" s="1408"/>
      <c r="Z161" s="1400"/>
      <c r="AA161" s="1063"/>
      <c r="AB161" s="267"/>
      <c r="AC161" s="259"/>
      <c r="AD161" s="790"/>
      <c r="AE161" s="267"/>
      <c r="AF161" s="268"/>
      <c r="AG161" s="269">
        <f t="shared" si="20"/>
        <v>0</v>
      </c>
      <c r="AH161" s="271" t="e">
        <f t="shared" si="21"/>
        <v>#N/A</v>
      </c>
      <c r="AI161" s="272" t="e">
        <f>IF(AH161&lt;=1,"Remota",VLOOKUP(AH161,[71]Listas!$C$6:$D$10,2,0))</f>
        <v>#N/A</v>
      </c>
      <c r="AJ161" s="271" t="e">
        <f t="shared" si="22"/>
        <v>#N/A</v>
      </c>
      <c r="AK161" s="272" t="e">
        <f>IF(AJ161&lt;=1,"Insignificante",HLOOKUP(AJ161,[71]Listas!$F$3:$J$4,2,0))</f>
        <v>#N/A</v>
      </c>
      <c r="AL161" s="273" t="e">
        <f t="shared" si="23"/>
        <v>#N/A</v>
      </c>
      <c r="AM161" s="270" t="e">
        <f>INDEX([71]Listas!$F$6:$J$10,MATCH(AI161,[71]Listas!$D$6:$D$10,0),MATCH(AK161,[71]Listas!$F$4:$J$4,0))</f>
        <v>#N/A</v>
      </c>
      <c r="AN161" s="259"/>
      <c r="AO161" s="259"/>
      <c r="AP161" s="794"/>
      <c r="AQ161" s="259"/>
      <c r="AR161" s="259" t="s">
        <v>2343</v>
      </c>
      <c r="AS161" s="790"/>
      <c r="AT161" s="259"/>
      <c r="AU161" s="259"/>
      <c r="AV161" s="261"/>
      <c r="AW161" s="261"/>
      <c r="AX161" s="790"/>
      <c r="AY161" s="262"/>
    </row>
    <row r="162" spans="1:1027" s="260" customFormat="1" ht="103.5" hidden="1" customHeight="1">
      <c r="A162" s="790"/>
      <c r="B162" s="266"/>
      <c r="C162" s="1399"/>
      <c r="D162" s="1408"/>
      <c r="E162" s="1400"/>
      <c r="F162" s="267"/>
      <c r="G162" s="1399"/>
      <c r="H162" s="1408"/>
      <c r="I162" s="1400"/>
      <c r="J162" s="1380"/>
      <c r="K162" s="1380"/>
      <c r="L162" s="1380"/>
      <c r="M162" s="790"/>
      <c r="N162" s="790"/>
      <c r="O162" s="790"/>
      <c r="P162" s="790"/>
      <c r="Q162" s="266"/>
      <c r="R162" s="266"/>
      <c r="S162" s="268"/>
      <c r="T162" s="269" t="e">
        <f>VLOOKUP(Q162,[71]Listas!$D$6:$E$10,2,0)</f>
        <v>#N/A</v>
      </c>
      <c r="U162" s="269" t="e">
        <f>HLOOKUP(R162,[71]Listas!$F$4:$J$5,2,0)</f>
        <v>#N/A</v>
      </c>
      <c r="V162" s="270" t="e">
        <f>INDEX([71]Listas!$F$6:$J$10,MATCH(Q162,[71]Listas!$D$6:$D$10,0),MATCH(R162,[71]Listas!$F$4:$J$4,0))</f>
        <v>#N/A</v>
      </c>
      <c r="W162" s="268"/>
      <c r="X162" s="1399"/>
      <c r="Y162" s="1408"/>
      <c r="Z162" s="1400"/>
      <c r="AA162" s="1063"/>
      <c r="AB162" s="267"/>
      <c r="AC162" s="259"/>
      <c r="AD162" s="790"/>
      <c r="AE162" s="267"/>
      <c r="AF162" s="268"/>
      <c r="AG162" s="269">
        <f t="shared" si="20"/>
        <v>0</v>
      </c>
      <c r="AH162" s="271" t="e">
        <f t="shared" si="21"/>
        <v>#N/A</v>
      </c>
      <c r="AI162" s="272" t="e">
        <f>IF(AH162&lt;=1,"Remota",VLOOKUP(AH162,[71]Listas!$C$6:$D$10,2,0))</f>
        <v>#N/A</v>
      </c>
      <c r="AJ162" s="271" t="e">
        <f t="shared" si="22"/>
        <v>#N/A</v>
      </c>
      <c r="AK162" s="272" t="e">
        <f>IF(AJ162&lt;=1,"Insignificante",HLOOKUP(AJ162,[71]Listas!$F$3:$J$4,2,0))</f>
        <v>#N/A</v>
      </c>
      <c r="AL162" s="273" t="e">
        <f t="shared" si="23"/>
        <v>#N/A</v>
      </c>
      <c r="AM162" s="270" t="e">
        <f>INDEX([71]Listas!$F$6:$J$10,MATCH(AI162,[71]Listas!$D$6:$D$10,0),MATCH(AK162,[71]Listas!$F$4:$J$4,0))</f>
        <v>#N/A</v>
      </c>
      <c r="AN162" s="259"/>
      <c r="AO162" s="259"/>
      <c r="AP162" s="794"/>
      <c r="AQ162" s="259"/>
      <c r="AR162" s="259" t="s">
        <v>2343</v>
      </c>
      <c r="AS162" s="790"/>
      <c r="AT162" s="259"/>
      <c r="AU162" s="259"/>
      <c r="AV162" s="261"/>
      <c r="AW162" s="261"/>
      <c r="AX162" s="790"/>
      <c r="AY162" s="262"/>
    </row>
    <row r="163" spans="1:1027" s="260" customFormat="1" ht="103.5" hidden="1" customHeight="1">
      <c r="A163" s="790"/>
      <c r="B163" s="266"/>
      <c r="C163" s="1399"/>
      <c r="D163" s="1408"/>
      <c r="E163" s="1400"/>
      <c r="F163" s="267"/>
      <c r="G163" s="1399"/>
      <c r="H163" s="1408"/>
      <c r="I163" s="1400"/>
      <c r="J163" s="1380"/>
      <c r="K163" s="1380"/>
      <c r="L163" s="1380"/>
      <c r="M163" s="790"/>
      <c r="N163" s="790"/>
      <c r="O163" s="790"/>
      <c r="P163" s="790"/>
      <c r="Q163" s="266"/>
      <c r="R163" s="266"/>
      <c r="S163" s="268"/>
      <c r="T163" s="269" t="e">
        <f>VLOOKUP(Q163,[71]Listas!$D$6:$E$10,2,0)</f>
        <v>#N/A</v>
      </c>
      <c r="U163" s="269" t="e">
        <f>HLOOKUP(R163,[71]Listas!$F$4:$J$5,2,0)</f>
        <v>#N/A</v>
      </c>
      <c r="V163" s="270" t="e">
        <f>INDEX([71]Listas!$F$6:$J$10,MATCH(Q163,[71]Listas!$D$6:$D$10,0),MATCH(R163,[71]Listas!$F$4:$J$4,0))</f>
        <v>#N/A</v>
      </c>
      <c r="W163" s="268"/>
      <c r="X163" s="1399"/>
      <c r="Y163" s="1408"/>
      <c r="Z163" s="1400"/>
      <c r="AA163" s="1063"/>
      <c r="AB163" s="267"/>
      <c r="AC163" s="259"/>
      <c r="AD163" s="790"/>
      <c r="AE163" s="267"/>
      <c r="AF163" s="268"/>
      <c r="AG163" s="269">
        <f t="shared" si="20"/>
        <v>0</v>
      </c>
      <c r="AH163" s="271" t="e">
        <f t="shared" si="21"/>
        <v>#N/A</v>
      </c>
      <c r="AI163" s="272" t="e">
        <f>IF(AH163&lt;=1,"Remota",VLOOKUP(AH163,[71]Listas!$C$6:$D$10,2,0))</f>
        <v>#N/A</v>
      </c>
      <c r="AJ163" s="271" t="e">
        <f t="shared" si="22"/>
        <v>#N/A</v>
      </c>
      <c r="AK163" s="272" t="e">
        <f>IF(AJ163&lt;=1,"Insignificante",HLOOKUP(AJ163,[71]Listas!$F$3:$J$4,2,0))</f>
        <v>#N/A</v>
      </c>
      <c r="AL163" s="273" t="e">
        <f t="shared" si="23"/>
        <v>#N/A</v>
      </c>
      <c r="AM163" s="270" t="e">
        <f>INDEX([71]Listas!$F$6:$J$10,MATCH(AI163,[71]Listas!$D$6:$D$10,0),MATCH(AK163,[71]Listas!$F$4:$J$4,0))</f>
        <v>#N/A</v>
      </c>
      <c r="AN163" s="259"/>
      <c r="AO163" s="259"/>
      <c r="AP163" s="794"/>
      <c r="AQ163" s="259"/>
      <c r="AR163" s="259" t="s">
        <v>2343</v>
      </c>
      <c r="AS163" s="790"/>
      <c r="AT163" s="259"/>
      <c r="AU163" s="259"/>
      <c r="AV163" s="261"/>
      <c r="AW163" s="261"/>
      <c r="AX163" s="790"/>
      <c r="AY163" s="262"/>
    </row>
    <row r="164" spans="1:1027" s="260" customFormat="1" ht="103.5" hidden="1" customHeight="1">
      <c r="A164" s="790"/>
      <c r="B164" s="266"/>
      <c r="C164" s="1399"/>
      <c r="D164" s="1408"/>
      <c r="E164" s="1400"/>
      <c r="F164" s="267"/>
      <c r="G164" s="1399"/>
      <c r="H164" s="1408"/>
      <c r="I164" s="1400"/>
      <c r="J164" s="1380"/>
      <c r="K164" s="1380"/>
      <c r="L164" s="1380"/>
      <c r="M164" s="790"/>
      <c r="N164" s="790"/>
      <c r="O164" s="790"/>
      <c r="P164" s="790"/>
      <c r="Q164" s="266"/>
      <c r="R164" s="266"/>
      <c r="S164" s="268"/>
      <c r="T164" s="269" t="e">
        <f>VLOOKUP(Q164,[71]Listas!$D$6:$E$10,2,0)</f>
        <v>#N/A</v>
      </c>
      <c r="U164" s="269" t="e">
        <f>HLOOKUP(R164,[71]Listas!$F$4:$J$5,2,0)</f>
        <v>#N/A</v>
      </c>
      <c r="V164" s="270" t="e">
        <f>INDEX([71]Listas!$F$6:$J$10,MATCH(Q164,[71]Listas!$D$6:$D$10,0),MATCH(R164,[71]Listas!$F$4:$J$4,0))</f>
        <v>#N/A</v>
      </c>
      <c r="W164" s="268"/>
      <c r="X164" s="1399"/>
      <c r="Y164" s="1408"/>
      <c r="Z164" s="1400"/>
      <c r="AA164" s="1063"/>
      <c r="AB164" s="267"/>
      <c r="AC164" s="259"/>
      <c r="AD164" s="790"/>
      <c r="AE164" s="267"/>
      <c r="AF164" s="268"/>
      <c r="AG164" s="269">
        <f t="shared" si="20"/>
        <v>0</v>
      </c>
      <c r="AH164" s="271" t="e">
        <f t="shared" si="21"/>
        <v>#N/A</v>
      </c>
      <c r="AI164" s="272" t="e">
        <f>IF(AH164&lt;=1,"Remota",VLOOKUP(AH164,[71]Listas!$C$6:$D$10,2,0))</f>
        <v>#N/A</v>
      </c>
      <c r="AJ164" s="271" t="e">
        <f t="shared" si="22"/>
        <v>#N/A</v>
      </c>
      <c r="AK164" s="272" t="e">
        <f>IF(AJ164&lt;=1,"Insignificante",HLOOKUP(AJ164,[71]Listas!$F$3:$J$4,2,0))</f>
        <v>#N/A</v>
      </c>
      <c r="AL164" s="273" t="e">
        <f t="shared" si="23"/>
        <v>#N/A</v>
      </c>
      <c r="AM164" s="270" t="e">
        <f>INDEX([71]Listas!$F$6:$J$10,MATCH(AI164,[71]Listas!$D$6:$D$10,0),MATCH(AK164,[71]Listas!$F$4:$J$4,0))</f>
        <v>#N/A</v>
      </c>
      <c r="AN164" s="259"/>
      <c r="AO164" s="259"/>
      <c r="AP164" s="794"/>
      <c r="AQ164" s="259"/>
      <c r="AR164" s="259" t="s">
        <v>2343</v>
      </c>
      <c r="AS164" s="790"/>
      <c r="AT164" s="259"/>
      <c r="AU164" s="259"/>
      <c r="AV164" s="261"/>
      <c r="AW164" s="261"/>
      <c r="AX164" s="790"/>
      <c r="AY164" s="262"/>
    </row>
    <row r="165" spans="1:1027" s="260" customFormat="1" ht="103.5" hidden="1" customHeight="1">
      <c r="A165" s="790"/>
      <c r="B165" s="266"/>
      <c r="C165" s="1399"/>
      <c r="D165" s="1408"/>
      <c r="E165" s="1400"/>
      <c r="F165" s="267"/>
      <c r="G165" s="1399"/>
      <c r="H165" s="1408"/>
      <c r="I165" s="1400"/>
      <c r="J165" s="1380"/>
      <c r="K165" s="1380"/>
      <c r="L165" s="1380"/>
      <c r="M165" s="790"/>
      <c r="N165" s="790"/>
      <c r="O165" s="790"/>
      <c r="P165" s="790"/>
      <c r="Q165" s="266"/>
      <c r="R165" s="266"/>
      <c r="S165" s="268"/>
      <c r="T165" s="269" t="e">
        <f>VLOOKUP(Q165,[71]Listas!$D$6:$E$10,2,0)</f>
        <v>#N/A</v>
      </c>
      <c r="U165" s="269" t="e">
        <f>HLOOKUP(R165,[71]Listas!$F$4:$J$5,2,0)</f>
        <v>#N/A</v>
      </c>
      <c r="V165" s="270" t="e">
        <f>INDEX([71]Listas!$F$6:$J$10,MATCH(Q165,[71]Listas!$D$6:$D$10,0),MATCH(R165,[71]Listas!$F$4:$J$4,0))</f>
        <v>#N/A</v>
      </c>
      <c r="W165" s="268"/>
      <c r="X165" s="1399"/>
      <c r="Y165" s="1408"/>
      <c r="Z165" s="1400"/>
      <c r="AA165" s="1063"/>
      <c r="AB165" s="267"/>
      <c r="AC165" s="259"/>
      <c r="AD165" s="790"/>
      <c r="AE165" s="267"/>
      <c r="AF165" s="268"/>
      <c r="AG165" s="269">
        <f t="shared" si="20"/>
        <v>0</v>
      </c>
      <c r="AH165" s="271" t="e">
        <f t="shared" si="21"/>
        <v>#N/A</v>
      </c>
      <c r="AI165" s="272" t="e">
        <f>IF(AH165&lt;=1,"Remota",VLOOKUP(AH165,[71]Listas!$C$6:$D$10,2,0))</f>
        <v>#N/A</v>
      </c>
      <c r="AJ165" s="271" t="e">
        <f t="shared" si="22"/>
        <v>#N/A</v>
      </c>
      <c r="AK165" s="272" t="e">
        <f>IF(AJ165&lt;=1,"Insignificante",HLOOKUP(AJ165,[71]Listas!$F$3:$J$4,2,0))</f>
        <v>#N/A</v>
      </c>
      <c r="AL165" s="273" t="e">
        <f t="shared" si="23"/>
        <v>#N/A</v>
      </c>
      <c r="AM165" s="270" t="e">
        <f>INDEX([71]Listas!$F$6:$J$10,MATCH(AI165,[71]Listas!$D$6:$D$10,0),MATCH(AK165,[71]Listas!$F$4:$J$4,0))</f>
        <v>#N/A</v>
      </c>
      <c r="AN165" s="259"/>
      <c r="AO165" s="259"/>
      <c r="AP165" s="794"/>
      <c r="AQ165" s="259"/>
      <c r="AR165" s="259" t="s">
        <v>2343</v>
      </c>
      <c r="AS165" s="790"/>
      <c r="AT165" s="259"/>
      <c r="AU165" s="259"/>
      <c r="AV165" s="261"/>
      <c r="AW165" s="261"/>
      <c r="AX165" s="790"/>
      <c r="AY165" s="262"/>
    </row>
    <row r="166" spans="1:1027" s="260" customFormat="1" ht="103.5" hidden="1" customHeight="1">
      <c r="A166" s="790"/>
      <c r="B166" s="266"/>
      <c r="C166" s="1399"/>
      <c r="D166" s="1408"/>
      <c r="E166" s="1400"/>
      <c r="F166" s="267"/>
      <c r="G166" s="1399"/>
      <c r="H166" s="1408"/>
      <c r="I166" s="1400"/>
      <c r="J166" s="1380"/>
      <c r="K166" s="1380"/>
      <c r="L166" s="1380"/>
      <c r="M166" s="790"/>
      <c r="N166" s="790"/>
      <c r="O166" s="790"/>
      <c r="P166" s="790"/>
      <c r="Q166" s="266"/>
      <c r="R166" s="266"/>
      <c r="S166" s="268"/>
      <c r="T166" s="269" t="e">
        <f>VLOOKUP(Q166,[71]Listas!$D$6:$E$10,2,0)</f>
        <v>#N/A</v>
      </c>
      <c r="U166" s="269" t="e">
        <f>HLOOKUP(R166,[71]Listas!$F$4:$J$5,2,0)</f>
        <v>#N/A</v>
      </c>
      <c r="V166" s="270" t="e">
        <f>INDEX([71]Listas!$F$6:$J$10,MATCH(Q166,[71]Listas!$D$6:$D$10,0),MATCH(R166,[71]Listas!$F$4:$J$4,0))</f>
        <v>#N/A</v>
      </c>
      <c r="W166" s="268"/>
      <c r="X166" s="1399"/>
      <c r="Y166" s="1408"/>
      <c r="Z166" s="1400"/>
      <c r="AA166" s="1063"/>
      <c r="AB166" s="267"/>
      <c r="AC166" s="259"/>
      <c r="AD166" s="790"/>
      <c r="AE166" s="267"/>
      <c r="AF166" s="268"/>
      <c r="AG166" s="269">
        <f t="shared" si="20"/>
        <v>0</v>
      </c>
      <c r="AH166" s="271" t="e">
        <f t="shared" si="21"/>
        <v>#N/A</v>
      </c>
      <c r="AI166" s="272" t="e">
        <f>IF(AH166&lt;=1,"Remota",VLOOKUP(AH166,[71]Listas!$C$6:$D$10,2,0))</f>
        <v>#N/A</v>
      </c>
      <c r="AJ166" s="271" t="e">
        <f t="shared" si="22"/>
        <v>#N/A</v>
      </c>
      <c r="AK166" s="272" t="e">
        <f>IF(AJ166&lt;=1,"Insignificante",HLOOKUP(AJ166,[71]Listas!$F$3:$J$4,2,0))</f>
        <v>#N/A</v>
      </c>
      <c r="AL166" s="273" t="e">
        <f t="shared" si="23"/>
        <v>#N/A</v>
      </c>
      <c r="AM166" s="270" t="e">
        <f>INDEX([71]Listas!$F$6:$J$10,MATCH(AI166,[71]Listas!$D$6:$D$10,0),MATCH(AK166,[71]Listas!$F$4:$J$4,0))</f>
        <v>#N/A</v>
      </c>
      <c r="AN166" s="259"/>
      <c r="AO166" s="259"/>
      <c r="AP166" s="794"/>
      <c r="AQ166" s="259"/>
      <c r="AR166" s="259" t="s">
        <v>2343</v>
      </c>
      <c r="AS166" s="790"/>
      <c r="AT166" s="259"/>
      <c r="AU166" s="259"/>
      <c r="AV166" s="261"/>
      <c r="AW166" s="261"/>
      <c r="AX166" s="790"/>
      <c r="AY166" s="262"/>
    </row>
    <row r="167" spans="1:1027" ht="5.25" customHeight="1">
      <c r="A167" s="275"/>
      <c r="B167" s="276"/>
      <c r="C167" s="276"/>
      <c r="D167" s="276"/>
      <c r="E167" s="275"/>
      <c r="F167" s="275"/>
      <c r="G167" s="277"/>
      <c r="H167" s="277"/>
      <c r="I167" s="277"/>
      <c r="J167" s="275"/>
      <c r="K167" s="275"/>
      <c r="L167" s="278"/>
      <c r="M167" s="278"/>
      <c r="N167" s="278"/>
      <c r="O167" s="278"/>
      <c r="P167" s="278"/>
      <c r="Q167" s="278"/>
      <c r="R167" s="278"/>
      <c r="S167" s="278"/>
      <c r="T167" s="278"/>
      <c r="U167" s="278"/>
      <c r="V167" s="275"/>
      <c r="W167" s="275"/>
      <c r="X167" s="277"/>
      <c r="Y167" s="277"/>
      <c r="Z167" s="277"/>
      <c r="AA167" s="277"/>
      <c r="AB167" s="277"/>
      <c r="AC167" s="277"/>
      <c r="AD167" s="275"/>
      <c r="AE167" s="275"/>
      <c r="AF167" s="275"/>
      <c r="AG167" s="275"/>
      <c r="AH167" s="275"/>
      <c r="AI167" s="275"/>
      <c r="AJ167" s="275"/>
      <c r="AK167" s="275"/>
      <c r="AL167" s="275"/>
      <c r="AM167" s="279"/>
      <c r="AN167" s="262"/>
      <c r="AO167" s="262"/>
      <c r="AP167" s="262"/>
      <c r="AQ167" s="262"/>
      <c r="AR167" s="262"/>
      <c r="AS167" s="262"/>
      <c r="AT167" s="262"/>
      <c r="AU167" s="262"/>
      <c r="AV167" s="262"/>
      <c r="AW167" s="262"/>
      <c r="AX167" s="262"/>
      <c r="AY167" s="262"/>
      <c r="AZ167" s="236"/>
      <c r="BA167" s="236"/>
      <c r="BB167" s="236"/>
      <c r="BC167" s="236"/>
      <c r="BD167" s="236"/>
      <c r="BE167" s="236"/>
      <c r="BF167" s="236"/>
      <c r="BG167" s="236"/>
      <c r="BH167" s="236"/>
      <c r="BI167" s="236"/>
      <c r="BJ167" s="236"/>
      <c r="BK167" s="236"/>
      <c r="BL167" s="236"/>
      <c r="BM167" s="236"/>
      <c r="BN167" s="236"/>
      <c r="BO167" s="236"/>
      <c r="BP167" s="236"/>
      <c r="BQ167" s="236"/>
      <c r="BR167" s="236"/>
      <c r="BS167" s="236"/>
      <c r="BT167" s="236"/>
      <c r="BU167" s="236"/>
      <c r="BV167" s="236"/>
      <c r="BW167" s="236"/>
      <c r="BX167" s="236"/>
      <c r="BY167" s="236"/>
      <c r="BZ167" s="236"/>
      <c r="CA167" s="236"/>
      <c r="CB167" s="236"/>
      <c r="CC167" s="236"/>
      <c r="CD167" s="236"/>
      <c r="CE167" s="236"/>
      <c r="CF167" s="236"/>
      <c r="CG167" s="236"/>
      <c r="CH167" s="236"/>
      <c r="CI167" s="236"/>
      <c r="CJ167" s="236"/>
      <c r="CK167" s="236"/>
      <c r="CL167" s="236"/>
      <c r="CM167" s="236"/>
      <c r="CN167" s="236"/>
      <c r="CO167" s="236"/>
      <c r="CP167" s="236"/>
      <c r="CQ167" s="236"/>
      <c r="CR167" s="236"/>
      <c r="CS167" s="236"/>
      <c r="CT167" s="236"/>
      <c r="CU167" s="236"/>
      <c r="CV167" s="236"/>
      <c r="CW167" s="236"/>
      <c r="CX167" s="236"/>
      <c r="CY167" s="236"/>
      <c r="CZ167" s="236"/>
      <c r="DA167" s="236"/>
      <c r="DB167" s="236"/>
      <c r="DC167" s="236"/>
      <c r="DD167" s="236"/>
      <c r="DE167" s="236"/>
      <c r="DF167" s="236"/>
      <c r="DG167" s="236"/>
      <c r="DH167" s="236"/>
      <c r="DI167" s="236"/>
      <c r="DJ167" s="236"/>
      <c r="DK167" s="236"/>
      <c r="DL167" s="236"/>
      <c r="DM167" s="236"/>
      <c r="DN167" s="236"/>
      <c r="DO167" s="236"/>
      <c r="DP167" s="236"/>
      <c r="DQ167" s="236"/>
      <c r="DR167" s="236"/>
      <c r="DS167" s="236"/>
      <c r="DT167" s="236"/>
      <c r="DU167" s="236"/>
      <c r="DV167" s="236"/>
      <c r="DW167" s="236"/>
      <c r="DX167" s="236"/>
      <c r="DY167" s="236"/>
      <c r="DZ167" s="236"/>
      <c r="EA167" s="236"/>
      <c r="EB167" s="236"/>
      <c r="EC167" s="236"/>
      <c r="ED167" s="236"/>
      <c r="EE167" s="236"/>
      <c r="EF167" s="236"/>
      <c r="EG167" s="236"/>
      <c r="EH167" s="236"/>
      <c r="EI167" s="236"/>
      <c r="EJ167" s="236"/>
      <c r="EK167" s="236"/>
      <c r="EL167" s="236"/>
      <c r="EM167" s="236"/>
      <c r="EN167" s="236"/>
      <c r="EO167" s="236"/>
      <c r="EP167" s="236"/>
      <c r="EQ167" s="236"/>
      <c r="ER167" s="236"/>
      <c r="ES167" s="236"/>
      <c r="ET167" s="236"/>
      <c r="EU167" s="236"/>
      <c r="EV167" s="236"/>
      <c r="EW167" s="236"/>
      <c r="EX167" s="236"/>
      <c r="EY167" s="236"/>
      <c r="EZ167" s="236"/>
      <c r="FA167" s="236"/>
      <c r="FB167" s="236"/>
      <c r="FC167" s="236"/>
      <c r="FD167" s="236"/>
      <c r="FE167" s="236"/>
      <c r="FF167" s="236"/>
      <c r="FG167" s="236"/>
      <c r="FH167" s="236"/>
      <c r="FI167" s="236"/>
      <c r="FJ167" s="236"/>
      <c r="FK167" s="236"/>
      <c r="FL167" s="236"/>
      <c r="FM167" s="236"/>
      <c r="FN167" s="236"/>
      <c r="FO167" s="236"/>
      <c r="FP167" s="236"/>
      <c r="FQ167" s="236"/>
      <c r="FR167" s="236"/>
      <c r="FS167" s="236"/>
      <c r="FT167" s="236"/>
      <c r="FU167" s="236"/>
      <c r="FV167" s="236"/>
      <c r="FW167" s="236"/>
      <c r="FX167" s="236"/>
      <c r="FY167" s="236"/>
      <c r="FZ167" s="236"/>
      <c r="GA167" s="236"/>
      <c r="GB167" s="236"/>
      <c r="GC167" s="236"/>
      <c r="GD167" s="236"/>
      <c r="GE167" s="236"/>
      <c r="GF167" s="236"/>
      <c r="GG167" s="236"/>
      <c r="GH167" s="236"/>
      <c r="GI167" s="236"/>
      <c r="GJ167" s="236"/>
      <c r="GK167" s="236"/>
      <c r="GL167" s="236"/>
      <c r="GM167" s="236"/>
      <c r="GN167" s="236"/>
      <c r="GO167" s="236"/>
      <c r="GP167" s="236"/>
      <c r="GQ167" s="236"/>
      <c r="GR167" s="236"/>
      <c r="GS167" s="236"/>
      <c r="GT167" s="236"/>
      <c r="GU167" s="236"/>
      <c r="GV167" s="236"/>
      <c r="GW167" s="236"/>
      <c r="GX167" s="236"/>
      <c r="GY167" s="236"/>
      <c r="GZ167" s="236"/>
      <c r="HA167" s="236"/>
      <c r="HB167" s="236"/>
      <c r="HC167" s="236"/>
      <c r="HD167" s="236"/>
      <c r="HE167" s="236"/>
      <c r="HF167" s="236"/>
      <c r="HG167" s="236"/>
      <c r="HH167" s="236"/>
      <c r="HI167" s="236"/>
      <c r="HJ167" s="236"/>
      <c r="HK167" s="236"/>
      <c r="HL167" s="236"/>
      <c r="HM167" s="236"/>
      <c r="HN167" s="236"/>
      <c r="HO167" s="236"/>
      <c r="HP167" s="236"/>
      <c r="HQ167" s="236"/>
      <c r="HR167" s="236"/>
      <c r="HS167" s="236"/>
      <c r="HT167" s="236"/>
      <c r="HU167" s="236"/>
      <c r="HV167" s="236"/>
      <c r="HW167" s="236"/>
      <c r="HX167" s="236"/>
      <c r="HY167" s="236"/>
      <c r="HZ167" s="236"/>
      <c r="IA167" s="236"/>
      <c r="IB167" s="236"/>
      <c r="IC167" s="236"/>
      <c r="ID167" s="236"/>
      <c r="IE167" s="236"/>
      <c r="IF167" s="236"/>
      <c r="IG167" s="236"/>
      <c r="IH167" s="236"/>
      <c r="II167" s="236"/>
      <c r="IJ167" s="236"/>
      <c r="IK167" s="236"/>
      <c r="IL167" s="236"/>
      <c r="IM167" s="236"/>
      <c r="IN167" s="236"/>
      <c r="IO167" s="236"/>
      <c r="IP167" s="236"/>
      <c r="IQ167" s="236"/>
      <c r="IR167" s="236"/>
      <c r="IS167" s="236"/>
      <c r="IT167" s="236"/>
      <c r="IU167" s="236"/>
      <c r="IV167" s="236"/>
      <c r="IW167" s="236"/>
      <c r="IX167" s="236"/>
      <c r="IY167" s="236"/>
      <c r="IZ167" s="236"/>
      <c r="JA167" s="236"/>
      <c r="JB167" s="236"/>
      <c r="JC167" s="236"/>
      <c r="JD167" s="236"/>
      <c r="JE167" s="236"/>
      <c r="JF167" s="236"/>
      <c r="JG167" s="236"/>
      <c r="JH167" s="236"/>
      <c r="JI167" s="236"/>
      <c r="JJ167" s="236"/>
      <c r="JK167" s="236"/>
      <c r="JL167" s="236"/>
      <c r="JM167" s="236"/>
      <c r="JN167" s="236"/>
      <c r="JO167" s="236"/>
      <c r="JP167" s="236"/>
      <c r="JQ167" s="236"/>
      <c r="JR167" s="236"/>
      <c r="JS167" s="236"/>
      <c r="JT167" s="236"/>
      <c r="JU167" s="236"/>
      <c r="JV167" s="236"/>
      <c r="JW167" s="236"/>
      <c r="JX167" s="236"/>
      <c r="JY167" s="236"/>
      <c r="JZ167" s="236"/>
      <c r="KA167" s="236"/>
      <c r="KB167" s="236"/>
      <c r="KC167" s="236"/>
      <c r="KD167" s="236"/>
      <c r="KE167" s="236"/>
      <c r="KF167" s="236"/>
      <c r="KG167" s="236"/>
      <c r="KH167" s="236"/>
      <c r="KI167" s="236"/>
      <c r="KJ167" s="236"/>
      <c r="KK167" s="236"/>
      <c r="KL167" s="236"/>
      <c r="KM167" s="236"/>
      <c r="KN167" s="236"/>
      <c r="KO167" s="236"/>
      <c r="KP167" s="236"/>
      <c r="KQ167" s="236"/>
      <c r="KR167" s="236"/>
      <c r="KS167" s="236"/>
      <c r="KT167" s="236"/>
      <c r="KU167" s="236"/>
      <c r="KV167" s="236"/>
      <c r="KW167" s="236"/>
      <c r="KX167" s="236"/>
      <c r="KY167" s="236"/>
      <c r="KZ167" s="236"/>
      <c r="LA167" s="236"/>
      <c r="LB167" s="236"/>
      <c r="LC167" s="236"/>
      <c r="LD167" s="236"/>
      <c r="LE167" s="236"/>
      <c r="LF167" s="236"/>
      <c r="LG167" s="236"/>
      <c r="LH167" s="236"/>
      <c r="LI167" s="236"/>
      <c r="LJ167" s="236"/>
      <c r="LK167" s="236"/>
      <c r="LL167" s="236"/>
      <c r="LM167" s="236"/>
      <c r="LN167" s="236"/>
      <c r="LO167" s="236"/>
      <c r="LP167" s="236"/>
      <c r="LQ167" s="236"/>
      <c r="LR167" s="236"/>
      <c r="LS167" s="236"/>
      <c r="LT167" s="236"/>
      <c r="LU167" s="236"/>
      <c r="LV167" s="236"/>
      <c r="LW167" s="236"/>
      <c r="LX167" s="236"/>
      <c r="LY167" s="236"/>
      <c r="LZ167" s="236"/>
      <c r="MA167" s="236"/>
      <c r="MB167" s="236"/>
      <c r="MC167" s="236"/>
      <c r="MD167" s="236"/>
      <c r="ME167" s="236"/>
      <c r="MF167" s="236"/>
      <c r="MG167" s="236"/>
      <c r="MH167" s="236"/>
      <c r="MI167" s="236"/>
      <c r="MJ167" s="236"/>
      <c r="MK167" s="236"/>
      <c r="ML167" s="236"/>
      <c r="MM167" s="236"/>
      <c r="MN167" s="236"/>
      <c r="MO167" s="236"/>
      <c r="MP167" s="236"/>
      <c r="MQ167" s="236"/>
      <c r="MR167" s="236"/>
      <c r="MS167" s="236"/>
      <c r="MT167" s="236"/>
      <c r="MU167" s="236"/>
      <c r="MV167" s="236"/>
      <c r="MW167" s="236"/>
      <c r="MX167" s="236"/>
      <c r="MY167" s="236"/>
      <c r="MZ167" s="236"/>
      <c r="NA167" s="236"/>
      <c r="NB167" s="236"/>
      <c r="NC167" s="236"/>
      <c r="ND167" s="236"/>
      <c r="NE167" s="236"/>
      <c r="NF167" s="236"/>
      <c r="NG167" s="236"/>
      <c r="NH167" s="236"/>
      <c r="NI167" s="236"/>
      <c r="NJ167" s="236"/>
      <c r="NK167" s="236"/>
      <c r="NL167" s="236"/>
      <c r="NM167" s="236"/>
      <c r="NN167" s="236"/>
      <c r="NO167" s="236"/>
      <c r="NP167" s="236"/>
      <c r="NQ167" s="236"/>
      <c r="NR167" s="236"/>
      <c r="NS167" s="236"/>
      <c r="NT167" s="236"/>
      <c r="NU167" s="236"/>
      <c r="NV167" s="236"/>
      <c r="NW167" s="236"/>
      <c r="NX167" s="236"/>
      <c r="NY167" s="236"/>
      <c r="NZ167" s="236"/>
      <c r="OA167" s="236"/>
      <c r="OB167" s="236"/>
      <c r="OC167" s="236"/>
      <c r="OD167" s="236"/>
      <c r="OE167" s="236"/>
      <c r="OF167" s="236"/>
      <c r="OG167" s="236"/>
      <c r="OH167" s="236"/>
      <c r="OI167" s="236"/>
      <c r="OJ167" s="236"/>
      <c r="OK167" s="236"/>
      <c r="OL167" s="236"/>
      <c r="OM167" s="236"/>
      <c r="ON167" s="236"/>
      <c r="OO167" s="236"/>
      <c r="OP167" s="236"/>
      <c r="OQ167" s="236"/>
      <c r="OR167" s="236"/>
      <c r="OS167" s="236"/>
      <c r="OT167" s="236"/>
      <c r="OU167" s="236"/>
      <c r="OV167" s="236"/>
      <c r="OW167" s="236"/>
      <c r="OX167" s="236"/>
      <c r="OY167" s="236"/>
      <c r="OZ167" s="236"/>
      <c r="PA167" s="236"/>
      <c r="PB167" s="236"/>
      <c r="PC167" s="236"/>
      <c r="PD167" s="236"/>
      <c r="PE167" s="236"/>
      <c r="PF167" s="236"/>
      <c r="PG167" s="236"/>
      <c r="PH167" s="236"/>
      <c r="PI167" s="236"/>
      <c r="PJ167" s="236"/>
      <c r="PK167" s="236"/>
      <c r="PL167" s="236"/>
      <c r="PM167" s="236"/>
      <c r="PN167" s="236"/>
      <c r="PO167" s="236"/>
      <c r="PP167" s="236"/>
      <c r="PQ167" s="236"/>
      <c r="PR167" s="236"/>
      <c r="PS167" s="236"/>
      <c r="PT167" s="236"/>
      <c r="PU167" s="236"/>
      <c r="PV167" s="236"/>
      <c r="PW167" s="236"/>
      <c r="PX167" s="236"/>
      <c r="PY167" s="236"/>
      <c r="PZ167" s="236"/>
      <c r="QA167" s="236"/>
      <c r="QB167" s="236"/>
      <c r="QC167" s="236"/>
      <c r="QD167" s="236"/>
      <c r="QE167" s="236"/>
      <c r="QF167" s="236"/>
      <c r="QG167" s="236"/>
      <c r="QH167" s="236"/>
      <c r="QI167" s="236"/>
      <c r="QJ167" s="236"/>
      <c r="QK167" s="236"/>
      <c r="QL167" s="236"/>
      <c r="QM167" s="236"/>
      <c r="QN167" s="236"/>
      <c r="QO167" s="236"/>
      <c r="QP167" s="236"/>
      <c r="QQ167" s="236"/>
      <c r="QR167" s="236"/>
      <c r="QS167" s="236"/>
      <c r="QT167" s="236"/>
      <c r="QU167" s="236"/>
      <c r="QV167" s="236"/>
      <c r="QW167" s="236"/>
      <c r="QX167" s="236"/>
      <c r="QY167" s="236"/>
      <c r="QZ167" s="236"/>
      <c r="RA167" s="236"/>
      <c r="RB167" s="236"/>
      <c r="RC167" s="236"/>
      <c r="RD167" s="236"/>
      <c r="RE167" s="236"/>
      <c r="RF167" s="236"/>
      <c r="RG167" s="236"/>
      <c r="RH167" s="236"/>
      <c r="RI167" s="236"/>
      <c r="RJ167" s="236"/>
      <c r="RK167" s="236"/>
      <c r="RL167" s="236"/>
      <c r="RM167" s="236"/>
      <c r="RN167" s="236"/>
      <c r="RO167" s="236"/>
      <c r="RP167" s="236"/>
      <c r="RQ167" s="236"/>
      <c r="RR167" s="236"/>
      <c r="RS167" s="236"/>
      <c r="RT167" s="236"/>
      <c r="RU167" s="236"/>
      <c r="RV167" s="236"/>
      <c r="RW167" s="236"/>
      <c r="RX167" s="236"/>
      <c r="RY167" s="236"/>
      <c r="RZ167" s="236"/>
      <c r="SA167" s="236"/>
      <c r="SB167" s="236"/>
      <c r="SC167" s="236"/>
      <c r="SD167" s="236"/>
      <c r="SE167" s="236"/>
      <c r="SF167" s="236"/>
      <c r="SG167" s="236"/>
      <c r="SH167" s="236"/>
      <c r="SI167" s="236"/>
      <c r="SJ167" s="236"/>
      <c r="SK167" s="236"/>
      <c r="SL167" s="236"/>
      <c r="SM167" s="236"/>
      <c r="SN167" s="236"/>
      <c r="SO167" s="236"/>
      <c r="SP167" s="236"/>
      <c r="SQ167" s="236"/>
      <c r="SR167" s="236"/>
      <c r="SS167" s="236"/>
      <c r="ST167" s="236"/>
      <c r="SU167" s="236"/>
      <c r="SV167" s="236"/>
      <c r="SW167" s="236"/>
      <c r="SX167" s="236"/>
      <c r="SY167" s="236"/>
      <c r="SZ167" s="236"/>
      <c r="TA167" s="236"/>
      <c r="TB167" s="236"/>
      <c r="TC167" s="236"/>
      <c r="TD167" s="236"/>
      <c r="TE167" s="236"/>
      <c r="TF167" s="236"/>
      <c r="TG167" s="236"/>
      <c r="TH167" s="236"/>
      <c r="TI167" s="236"/>
      <c r="TJ167" s="236"/>
      <c r="TK167" s="236"/>
      <c r="TL167" s="236"/>
      <c r="TM167" s="236"/>
      <c r="TN167" s="236"/>
      <c r="TO167" s="236"/>
      <c r="TP167" s="236"/>
      <c r="TQ167" s="236"/>
      <c r="TR167" s="236"/>
      <c r="TS167" s="236"/>
      <c r="TT167" s="236"/>
      <c r="TU167" s="236"/>
      <c r="TV167" s="236"/>
      <c r="TW167" s="236"/>
      <c r="TX167" s="236"/>
      <c r="TY167" s="236"/>
      <c r="TZ167" s="236"/>
      <c r="UA167" s="236"/>
      <c r="UB167" s="236"/>
      <c r="UC167" s="236"/>
      <c r="UD167" s="236"/>
      <c r="UE167" s="236"/>
      <c r="UF167" s="236"/>
      <c r="UG167" s="236"/>
      <c r="UH167" s="236"/>
      <c r="UI167" s="236"/>
      <c r="UJ167" s="236"/>
      <c r="UK167" s="236"/>
      <c r="UL167" s="236"/>
      <c r="UM167" s="236"/>
      <c r="UN167" s="236"/>
      <c r="UO167" s="236"/>
      <c r="UP167" s="236"/>
      <c r="UQ167" s="236"/>
      <c r="UR167" s="236"/>
      <c r="US167" s="236"/>
      <c r="UT167" s="236"/>
      <c r="UU167" s="236"/>
      <c r="UV167" s="236"/>
      <c r="UW167" s="236"/>
      <c r="UX167" s="236"/>
      <c r="UY167" s="236"/>
      <c r="UZ167" s="236"/>
      <c r="VA167" s="236"/>
      <c r="VB167" s="236"/>
      <c r="VC167" s="236"/>
      <c r="VD167" s="236"/>
      <c r="VE167" s="236"/>
      <c r="VF167" s="236"/>
      <c r="VG167" s="236"/>
      <c r="VH167" s="236"/>
      <c r="VI167" s="236"/>
      <c r="VJ167" s="236"/>
      <c r="VK167" s="236"/>
      <c r="VL167" s="236"/>
      <c r="VM167" s="236"/>
      <c r="VN167" s="236"/>
      <c r="VO167" s="236"/>
      <c r="VP167" s="236"/>
      <c r="VQ167" s="236"/>
      <c r="VR167" s="236"/>
      <c r="VS167" s="236"/>
      <c r="VT167" s="236"/>
      <c r="VU167" s="236"/>
      <c r="VV167" s="236"/>
      <c r="VW167" s="236"/>
      <c r="VX167" s="236"/>
      <c r="VY167" s="236"/>
      <c r="VZ167" s="236"/>
      <c r="WA167" s="236"/>
      <c r="WB167" s="236"/>
      <c r="WC167" s="236"/>
      <c r="WD167" s="236"/>
      <c r="WE167" s="236"/>
      <c r="WF167" s="236"/>
      <c r="WG167" s="236"/>
      <c r="WH167" s="236"/>
      <c r="WI167" s="236"/>
      <c r="WJ167" s="236"/>
      <c r="WK167" s="236"/>
      <c r="WL167" s="236"/>
      <c r="WM167" s="236"/>
      <c r="WN167" s="236"/>
      <c r="WO167" s="236"/>
      <c r="WP167" s="236"/>
      <c r="WQ167" s="236"/>
      <c r="WR167" s="236"/>
      <c r="WS167" s="236"/>
      <c r="WT167" s="236"/>
      <c r="WU167" s="236"/>
      <c r="WV167" s="236"/>
      <c r="WW167" s="236"/>
      <c r="WX167" s="236"/>
      <c r="WY167" s="236"/>
      <c r="WZ167" s="236"/>
      <c r="XA167" s="236"/>
      <c r="XB167" s="236"/>
      <c r="XC167" s="236"/>
      <c r="XD167" s="236"/>
      <c r="XE167" s="236"/>
      <c r="XF167" s="236"/>
      <c r="XG167" s="236"/>
      <c r="XH167" s="236"/>
      <c r="XI167" s="236"/>
      <c r="XJ167" s="236"/>
      <c r="XK167" s="236"/>
      <c r="XL167" s="236"/>
      <c r="XM167" s="236"/>
      <c r="XN167" s="236"/>
      <c r="XO167" s="236"/>
      <c r="XP167" s="236"/>
      <c r="XQ167" s="236"/>
      <c r="XR167" s="236"/>
      <c r="XS167" s="236"/>
      <c r="XT167" s="236"/>
      <c r="XU167" s="236"/>
      <c r="XV167" s="236"/>
      <c r="XW167" s="236"/>
      <c r="XX167" s="236"/>
      <c r="XY167" s="236"/>
      <c r="XZ167" s="236"/>
      <c r="YA167" s="236"/>
      <c r="YB167" s="236"/>
      <c r="YC167" s="236"/>
      <c r="YD167" s="236"/>
      <c r="YE167" s="236"/>
      <c r="YF167" s="236"/>
      <c r="YG167" s="236"/>
      <c r="YH167" s="236"/>
      <c r="YI167" s="236"/>
      <c r="YJ167" s="236"/>
      <c r="YK167" s="236"/>
      <c r="YL167" s="236"/>
      <c r="YM167" s="236"/>
      <c r="YN167" s="236"/>
      <c r="YO167" s="236"/>
      <c r="YP167" s="236"/>
      <c r="YQ167" s="236"/>
      <c r="YR167" s="236"/>
      <c r="YS167" s="236"/>
      <c r="YT167" s="236"/>
      <c r="YU167" s="236"/>
      <c r="YV167" s="236"/>
      <c r="YW167" s="236"/>
      <c r="YX167" s="236"/>
      <c r="YY167" s="236"/>
      <c r="YZ167" s="236"/>
      <c r="ZA167" s="236"/>
      <c r="ZB167" s="236"/>
      <c r="ZC167" s="236"/>
      <c r="ZD167" s="236"/>
      <c r="ZE167" s="236"/>
      <c r="ZF167" s="236"/>
      <c r="ZG167" s="236"/>
      <c r="ZH167" s="236"/>
      <c r="ZI167" s="236"/>
      <c r="ZJ167" s="236"/>
      <c r="ZK167" s="236"/>
      <c r="ZL167" s="236"/>
      <c r="ZM167" s="236"/>
      <c r="ZN167" s="236"/>
      <c r="ZO167" s="236"/>
      <c r="ZP167" s="236"/>
      <c r="ZQ167" s="236"/>
      <c r="ZR167" s="236"/>
      <c r="ZS167" s="236"/>
      <c r="ZT167" s="236"/>
      <c r="ZU167" s="236"/>
      <c r="ZV167" s="236"/>
      <c r="ZW167" s="236"/>
      <c r="ZX167" s="236"/>
      <c r="ZY167" s="236"/>
      <c r="ZZ167" s="236"/>
      <c r="AAA167" s="236"/>
      <c r="AAB167" s="236"/>
      <c r="AAC167" s="236"/>
      <c r="AAD167" s="236"/>
      <c r="AAE167" s="236"/>
      <c r="AAF167" s="236"/>
      <c r="AAG167" s="236"/>
      <c r="AAH167" s="236"/>
      <c r="AAI167" s="236"/>
      <c r="AAJ167" s="236"/>
      <c r="AAK167" s="236"/>
      <c r="AAL167" s="236"/>
      <c r="AAM167" s="236"/>
      <c r="AAN167" s="236"/>
      <c r="AAO167" s="236"/>
      <c r="AAP167" s="236"/>
      <c r="AAQ167" s="236"/>
      <c r="AAR167" s="236"/>
      <c r="AAS167" s="236"/>
      <c r="AAT167" s="236"/>
      <c r="AAU167" s="236"/>
      <c r="AAV167" s="236"/>
      <c r="AAW167" s="236"/>
      <c r="AAX167" s="236"/>
      <c r="AAY167" s="236"/>
      <c r="AAZ167" s="236"/>
      <c r="ABA167" s="236"/>
      <c r="ABB167" s="236"/>
      <c r="ABC167" s="236"/>
      <c r="ABD167" s="236"/>
      <c r="ABE167" s="236"/>
      <c r="ABF167" s="236"/>
      <c r="ABG167" s="236"/>
      <c r="ABH167" s="236"/>
      <c r="ABI167" s="236"/>
      <c r="ABJ167" s="236"/>
      <c r="ABK167" s="236"/>
      <c r="ABL167" s="236"/>
      <c r="ABM167" s="236"/>
      <c r="ABN167" s="236"/>
      <c r="ABO167" s="236"/>
      <c r="ABP167" s="236"/>
      <c r="ABQ167" s="236"/>
      <c r="ABR167" s="236"/>
      <c r="ABS167" s="236"/>
      <c r="ABT167" s="236"/>
      <c r="ABU167" s="236"/>
      <c r="ABV167" s="236"/>
      <c r="ABW167" s="236"/>
      <c r="ABX167" s="236"/>
      <c r="ABY167" s="236"/>
      <c r="ABZ167" s="236"/>
      <c r="ACA167" s="236"/>
      <c r="ACB167" s="236"/>
      <c r="ACC167" s="236"/>
      <c r="ACD167" s="236"/>
      <c r="ACE167" s="236"/>
      <c r="ACF167" s="236"/>
      <c r="ACG167" s="236"/>
      <c r="ACH167" s="236"/>
      <c r="ACI167" s="236"/>
      <c r="ACJ167" s="236"/>
      <c r="ACK167" s="236"/>
      <c r="ACL167" s="236"/>
      <c r="ACM167" s="236"/>
      <c r="ACN167" s="236"/>
      <c r="ACO167" s="236"/>
      <c r="ACP167" s="236"/>
      <c r="ACQ167" s="236"/>
      <c r="ACR167" s="236"/>
      <c r="ACS167" s="236"/>
      <c r="ACT167" s="236"/>
      <c r="ACU167" s="236"/>
      <c r="ACV167" s="236"/>
      <c r="ACW167" s="236"/>
      <c r="ACX167" s="236"/>
      <c r="ACY167" s="236"/>
      <c r="ACZ167" s="236"/>
      <c r="ADA167" s="236"/>
      <c r="ADB167" s="236"/>
      <c r="ADC167" s="236"/>
      <c r="ADD167" s="236"/>
      <c r="ADE167" s="236"/>
      <c r="ADF167" s="236"/>
      <c r="ADG167" s="236"/>
      <c r="ADH167" s="236"/>
      <c r="ADI167" s="236"/>
      <c r="ADJ167" s="236"/>
      <c r="ADK167" s="236"/>
      <c r="ADL167" s="236"/>
      <c r="ADM167" s="236"/>
      <c r="ADN167" s="236"/>
      <c r="ADO167" s="236"/>
      <c r="ADP167" s="236"/>
      <c r="ADQ167" s="236"/>
      <c r="ADR167" s="236"/>
      <c r="ADS167" s="236"/>
      <c r="ADT167" s="236"/>
      <c r="ADU167" s="236"/>
      <c r="ADV167" s="236"/>
      <c r="ADW167" s="236"/>
      <c r="ADX167" s="236"/>
      <c r="ADY167" s="236"/>
      <c r="ADZ167" s="236"/>
      <c r="AEA167" s="236"/>
      <c r="AEB167" s="236"/>
      <c r="AEC167" s="236"/>
      <c r="AED167" s="236"/>
      <c r="AEE167" s="236"/>
      <c r="AEF167" s="236"/>
      <c r="AEG167" s="236"/>
      <c r="AEH167" s="236"/>
      <c r="AEI167" s="236"/>
      <c r="AEJ167" s="236"/>
      <c r="AEK167" s="236"/>
      <c r="AEL167" s="236"/>
      <c r="AEM167" s="236"/>
      <c r="AEN167" s="236"/>
      <c r="AEO167" s="236"/>
      <c r="AEP167" s="236"/>
      <c r="AEQ167" s="236"/>
      <c r="AER167" s="236"/>
      <c r="AES167" s="236"/>
      <c r="AET167" s="236"/>
      <c r="AEU167" s="236"/>
      <c r="AEV167" s="236"/>
      <c r="AEW167" s="236"/>
      <c r="AEX167" s="236"/>
      <c r="AEY167" s="236"/>
      <c r="AEZ167" s="236"/>
      <c r="AFA167" s="236"/>
      <c r="AFB167" s="236"/>
      <c r="AFC167" s="236"/>
      <c r="AFD167" s="236"/>
      <c r="AFE167" s="236"/>
      <c r="AFF167" s="236"/>
      <c r="AFG167" s="236"/>
      <c r="AFH167" s="236"/>
      <c r="AFI167" s="236"/>
      <c r="AFJ167" s="236"/>
      <c r="AFK167" s="236"/>
      <c r="AFL167" s="236"/>
      <c r="AFM167" s="236"/>
      <c r="AFN167" s="236"/>
      <c r="AFO167" s="236"/>
      <c r="AFP167" s="236"/>
      <c r="AFQ167" s="236"/>
      <c r="AFR167" s="236"/>
      <c r="AFS167" s="236"/>
      <c r="AFT167" s="236"/>
      <c r="AFU167" s="236"/>
      <c r="AFV167" s="236"/>
      <c r="AFW167" s="236"/>
      <c r="AFX167" s="236"/>
      <c r="AFY167" s="236"/>
      <c r="AFZ167" s="236"/>
      <c r="AGA167" s="236"/>
      <c r="AGB167" s="236"/>
      <c r="AGC167" s="236"/>
      <c r="AGD167" s="236"/>
      <c r="AGE167" s="236"/>
      <c r="AGF167" s="236"/>
      <c r="AGG167" s="236"/>
      <c r="AGH167" s="236"/>
      <c r="AGI167" s="236"/>
      <c r="AGJ167" s="236"/>
      <c r="AGK167" s="236"/>
      <c r="AGL167" s="236"/>
      <c r="AGM167" s="236"/>
      <c r="AGN167" s="236"/>
      <c r="AGO167" s="236"/>
      <c r="AGP167" s="236"/>
      <c r="AGQ167" s="236"/>
      <c r="AGR167" s="236"/>
      <c r="AGS167" s="236"/>
      <c r="AGT167" s="236"/>
      <c r="AGU167" s="236"/>
      <c r="AGV167" s="236"/>
      <c r="AGW167" s="236"/>
      <c r="AGX167" s="236"/>
      <c r="AGY167" s="236"/>
      <c r="AGZ167" s="236"/>
      <c r="AHA167" s="236"/>
      <c r="AHB167" s="236"/>
      <c r="AHC167" s="236"/>
      <c r="AHD167" s="236"/>
      <c r="AHE167" s="236"/>
      <c r="AHF167" s="236"/>
      <c r="AHG167" s="236"/>
      <c r="AHH167" s="236"/>
      <c r="AHI167" s="236"/>
      <c r="AHJ167" s="236"/>
      <c r="AHK167" s="236"/>
      <c r="AHL167" s="236"/>
      <c r="AHM167" s="236"/>
      <c r="AHN167" s="236"/>
      <c r="AHO167" s="236"/>
      <c r="AHP167" s="236"/>
      <c r="AHQ167" s="236"/>
      <c r="AHR167" s="236"/>
      <c r="AHS167" s="236"/>
      <c r="AHT167" s="236"/>
      <c r="AHU167" s="236"/>
      <c r="AHV167" s="236"/>
      <c r="AHW167" s="236"/>
      <c r="AHX167" s="236"/>
      <c r="AHY167" s="236"/>
      <c r="AHZ167" s="236"/>
      <c r="AIA167" s="236"/>
      <c r="AIB167" s="236"/>
      <c r="AIC167" s="236"/>
      <c r="AID167" s="236"/>
      <c r="AIE167" s="236"/>
      <c r="AIF167" s="236"/>
      <c r="AIG167" s="236"/>
      <c r="AIH167" s="236"/>
      <c r="AII167" s="236"/>
      <c r="AIJ167" s="236"/>
      <c r="AIK167" s="236"/>
      <c r="AIL167" s="236"/>
      <c r="AIM167" s="236"/>
      <c r="AIN167" s="236"/>
      <c r="AIO167" s="236"/>
      <c r="AIP167" s="236"/>
      <c r="AIQ167" s="236"/>
      <c r="AIR167" s="236"/>
      <c r="AIS167" s="236"/>
      <c r="AIT167" s="236"/>
      <c r="AIU167" s="236"/>
      <c r="AIV167" s="236"/>
      <c r="AIW167" s="236"/>
      <c r="AIX167" s="236"/>
      <c r="AIY167" s="236"/>
      <c r="AIZ167" s="236"/>
      <c r="AJA167" s="236"/>
      <c r="AJB167" s="236"/>
      <c r="AJC167" s="236"/>
      <c r="AJD167" s="236"/>
      <c r="AJE167" s="236"/>
      <c r="AJF167" s="236"/>
      <c r="AJG167" s="236"/>
      <c r="AJH167" s="236"/>
      <c r="AJI167" s="236"/>
      <c r="AJJ167" s="236"/>
      <c r="AJK167" s="236"/>
      <c r="AJL167" s="236"/>
      <c r="AJM167" s="236"/>
      <c r="AJN167" s="236"/>
      <c r="AJO167" s="236"/>
      <c r="AJP167" s="236"/>
      <c r="AJQ167" s="236"/>
      <c r="AJR167" s="236"/>
      <c r="AJS167" s="236"/>
      <c r="AJT167" s="236"/>
      <c r="AJU167" s="236"/>
      <c r="AJV167" s="236"/>
      <c r="AJW167" s="236"/>
      <c r="AJX167" s="236"/>
      <c r="AJY167" s="236"/>
      <c r="AJZ167" s="236"/>
      <c r="AKA167" s="236"/>
      <c r="AKB167" s="236"/>
      <c r="AKC167" s="236"/>
      <c r="AKD167" s="236"/>
      <c r="AKE167" s="236"/>
      <c r="AKF167" s="236"/>
      <c r="AKG167" s="236"/>
      <c r="AKH167" s="236"/>
      <c r="AKI167" s="236"/>
      <c r="AKJ167" s="236"/>
      <c r="AKK167" s="236"/>
      <c r="AKL167" s="236"/>
      <c r="AKM167" s="236"/>
      <c r="AKN167" s="236"/>
      <c r="AKO167" s="236"/>
      <c r="AKP167" s="236"/>
      <c r="AKQ167" s="236"/>
      <c r="AKR167" s="236"/>
      <c r="AKS167" s="236"/>
      <c r="AKT167" s="236"/>
      <c r="AKU167" s="236"/>
      <c r="AKV167" s="236"/>
      <c r="AKW167" s="236"/>
      <c r="AKX167" s="236"/>
      <c r="AKY167" s="236"/>
      <c r="AKZ167" s="236"/>
      <c r="ALA167" s="236"/>
      <c r="ALB167" s="236"/>
      <c r="ALC167" s="236"/>
      <c r="ALD167" s="236"/>
      <c r="ALE167" s="236"/>
      <c r="ALF167" s="236"/>
      <c r="ALG167" s="236"/>
      <c r="ALH167" s="236"/>
      <c r="ALI167" s="236"/>
      <c r="ALJ167" s="236"/>
      <c r="ALK167" s="236"/>
      <c r="ALL167" s="236"/>
      <c r="ALM167" s="236"/>
      <c r="ALN167" s="236"/>
      <c r="ALO167" s="236"/>
      <c r="ALP167" s="236"/>
      <c r="ALQ167" s="236"/>
      <c r="ALR167" s="236"/>
      <c r="ALS167" s="236"/>
      <c r="ALT167" s="236"/>
      <c r="ALU167" s="236"/>
      <c r="ALV167" s="236"/>
      <c r="ALW167" s="236"/>
      <c r="ALX167" s="236"/>
      <c r="ALY167" s="236"/>
      <c r="ALZ167" s="236"/>
      <c r="AMA167" s="236"/>
      <c r="AMB167" s="236"/>
      <c r="AMC167" s="236"/>
      <c r="AMD167" s="236"/>
      <c r="AME167" s="236"/>
      <c r="AMF167" s="236"/>
      <c r="AMG167" s="236"/>
      <c r="AMH167" s="236"/>
      <c r="AMI167" s="236"/>
      <c r="AMJ167" s="236"/>
      <c r="AMK167" s="236"/>
      <c r="AML167" s="236"/>
      <c r="AMM167" s="236"/>
    </row>
    <row r="168" spans="1:1027" ht="11.25" customHeight="1">
      <c r="A168" s="1386" t="s">
        <v>649</v>
      </c>
      <c r="B168" s="1387"/>
      <c r="C168" s="1387"/>
      <c r="D168" s="1387"/>
      <c r="E168" s="1387"/>
      <c r="F168" s="1387"/>
      <c r="G168" s="1387"/>
      <c r="H168" s="1387"/>
      <c r="I168" s="1387"/>
      <c r="J168" s="1387"/>
      <c r="K168" s="1387"/>
      <c r="L168" s="1388"/>
      <c r="M168" s="275"/>
      <c r="N168" s="280" t="s">
        <v>650</v>
      </c>
      <c r="O168" s="280"/>
      <c r="P168" s="281"/>
      <c r="Q168" s="281"/>
      <c r="R168" s="281"/>
      <c r="S168" s="281"/>
      <c r="T168" s="281"/>
      <c r="U168" s="281"/>
      <c r="V168" s="281"/>
      <c r="W168" s="281"/>
      <c r="X168" s="282"/>
      <c r="Y168" s="282"/>
      <c r="Z168" s="282"/>
      <c r="AA168" s="282"/>
      <c r="AB168" s="282"/>
      <c r="AC168" s="282"/>
      <c r="AD168" s="281"/>
      <c r="AE168" s="281"/>
      <c r="AF168" s="281"/>
      <c r="AG168" s="281"/>
      <c r="AH168" s="281"/>
      <c r="AI168" s="281"/>
      <c r="AJ168" s="275"/>
      <c r="AK168" s="275"/>
      <c r="AL168" s="275"/>
      <c r="AM168" s="279"/>
      <c r="AN168" s="262"/>
      <c r="AO168" s="262"/>
      <c r="AP168" s="262"/>
      <c r="AQ168" s="262"/>
      <c r="AR168" s="262"/>
      <c r="AS168" s="262"/>
      <c r="AT168" s="262"/>
      <c r="AU168" s="262"/>
      <c r="AV168" s="262"/>
      <c r="AW168" s="262"/>
      <c r="AX168" s="262"/>
      <c r="AY168" s="236"/>
      <c r="AZ168" s="236"/>
      <c r="BA168" s="236"/>
      <c r="BB168" s="236"/>
      <c r="BC168" s="236"/>
      <c r="BD168" s="236"/>
      <c r="BE168" s="236"/>
      <c r="BF168" s="236"/>
      <c r="BG168" s="236"/>
      <c r="BH168" s="236"/>
      <c r="BI168" s="236"/>
      <c r="BJ168" s="236"/>
      <c r="BK168" s="236"/>
      <c r="BL168" s="236"/>
      <c r="BM168" s="236"/>
      <c r="BN168" s="236"/>
      <c r="BO168" s="236"/>
      <c r="BP168" s="236"/>
      <c r="BQ168" s="236"/>
      <c r="BR168" s="236"/>
      <c r="BS168" s="236"/>
      <c r="BT168" s="236"/>
      <c r="BU168" s="236"/>
      <c r="BV168" s="236"/>
      <c r="BW168" s="236"/>
      <c r="BX168" s="236"/>
      <c r="BY168" s="236"/>
      <c r="BZ168" s="236"/>
      <c r="CA168" s="236"/>
      <c r="CB168" s="236"/>
      <c r="CC168" s="236"/>
      <c r="CD168" s="236"/>
      <c r="CE168" s="236"/>
      <c r="CF168" s="236"/>
      <c r="CG168" s="236"/>
      <c r="CH168" s="236"/>
      <c r="CI168" s="236"/>
      <c r="CJ168" s="236"/>
      <c r="CK168" s="236"/>
      <c r="CL168" s="236"/>
      <c r="CM168" s="236"/>
      <c r="CN168" s="236"/>
      <c r="CO168" s="236"/>
      <c r="CP168" s="236"/>
      <c r="CQ168" s="236"/>
      <c r="CR168" s="236"/>
      <c r="CS168" s="236"/>
      <c r="CT168" s="236"/>
      <c r="CU168" s="236"/>
      <c r="CV168" s="236"/>
      <c r="CW168" s="236"/>
      <c r="CX168" s="236"/>
      <c r="CY168" s="236"/>
      <c r="CZ168" s="236"/>
      <c r="DA168" s="236"/>
      <c r="DB168" s="236"/>
      <c r="DC168" s="236"/>
      <c r="DD168" s="236"/>
      <c r="DE168" s="236"/>
      <c r="DF168" s="236"/>
      <c r="DG168" s="236"/>
      <c r="DH168" s="236"/>
      <c r="DI168" s="236"/>
      <c r="DJ168" s="236"/>
      <c r="DK168" s="236"/>
      <c r="DL168" s="236"/>
      <c r="DM168" s="236"/>
      <c r="DN168" s="236"/>
      <c r="DO168" s="236"/>
      <c r="DP168" s="236"/>
      <c r="DQ168" s="236"/>
      <c r="DR168" s="236"/>
      <c r="DS168" s="236"/>
      <c r="DT168" s="236"/>
      <c r="DU168" s="236"/>
      <c r="DV168" s="236"/>
      <c r="DW168" s="236"/>
      <c r="DX168" s="236"/>
      <c r="DY168" s="236"/>
      <c r="DZ168" s="236"/>
      <c r="EA168" s="236"/>
      <c r="EB168" s="236"/>
      <c r="EC168" s="236"/>
      <c r="ED168" s="236"/>
      <c r="EE168" s="236"/>
      <c r="EF168" s="236"/>
      <c r="EG168" s="236"/>
      <c r="EH168" s="236"/>
      <c r="EI168" s="236"/>
      <c r="EJ168" s="236"/>
      <c r="EK168" s="236"/>
      <c r="EL168" s="236"/>
      <c r="EM168" s="236"/>
      <c r="EN168" s="236"/>
      <c r="EO168" s="236"/>
      <c r="EP168" s="236"/>
      <c r="EQ168" s="236"/>
      <c r="ER168" s="236"/>
      <c r="ES168" s="236"/>
      <c r="ET168" s="236"/>
      <c r="EU168" s="236"/>
      <c r="EV168" s="236"/>
      <c r="EW168" s="236"/>
      <c r="EX168" s="236"/>
      <c r="EY168" s="236"/>
      <c r="EZ168" s="236"/>
      <c r="FA168" s="236"/>
      <c r="FB168" s="236"/>
      <c r="FC168" s="236"/>
      <c r="FD168" s="236"/>
      <c r="FE168" s="236"/>
      <c r="FF168" s="236"/>
      <c r="FG168" s="236"/>
      <c r="FH168" s="236"/>
      <c r="FI168" s="236"/>
      <c r="FJ168" s="236"/>
      <c r="FK168" s="236"/>
      <c r="FL168" s="236"/>
      <c r="FM168" s="236"/>
      <c r="FN168" s="236"/>
      <c r="FO168" s="236"/>
      <c r="FP168" s="236"/>
      <c r="FQ168" s="236"/>
      <c r="FR168" s="236"/>
      <c r="FS168" s="236"/>
      <c r="FT168" s="236"/>
      <c r="FU168" s="236"/>
      <c r="FV168" s="236"/>
      <c r="FW168" s="236"/>
      <c r="FX168" s="236"/>
      <c r="FY168" s="236"/>
      <c r="FZ168" s="236"/>
      <c r="GA168" s="236"/>
      <c r="GB168" s="236"/>
      <c r="GC168" s="236"/>
      <c r="GD168" s="236"/>
      <c r="GE168" s="236"/>
      <c r="GF168" s="236"/>
      <c r="GG168" s="236"/>
      <c r="GH168" s="236"/>
      <c r="GI168" s="236"/>
      <c r="GJ168" s="236"/>
      <c r="GK168" s="236"/>
      <c r="GL168" s="236"/>
      <c r="GM168" s="236"/>
      <c r="GN168" s="236"/>
      <c r="GO168" s="236"/>
      <c r="GP168" s="236"/>
      <c r="GQ168" s="236"/>
      <c r="GR168" s="236"/>
      <c r="GS168" s="236"/>
      <c r="GT168" s="236"/>
      <c r="GU168" s="236"/>
      <c r="GV168" s="236"/>
      <c r="GW168" s="236"/>
      <c r="GX168" s="236"/>
      <c r="GY168" s="236"/>
      <c r="GZ168" s="236"/>
      <c r="HA168" s="236"/>
      <c r="HB168" s="236"/>
      <c r="HC168" s="236"/>
      <c r="HD168" s="236"/>
      <c r="HE168" s="236"/>
      <c r="HF168" s="236"/>
      <c r="HG168" s="236"/>
      <c r="HH168" s="236"/>
      <c r="HI168" s="236"/>
      <c r="HJ168" s="236"/>
      <c r="HK168" s="236"/>
      <c r="HL168" s="236"/>
      <c r="HM168" s="236"/>
      <c r="HN168" s="236"/>
      <c r="HO168" s="236"/>
      <c r="HP168" s="236"/>
      <c r="HQ168" s="236"/>
      <c r="HR168" s="236"/>
      <c r="HS168" s="236"/>
      <c r="HT168" s="236"/>
      <c r="HU168" s="236"/>
      <c r="HV168" s="236"/>
      <c r="HW168" s="236"/>
      <c r="HX168" s="236"/>
      <c r="HY168" s="236"/>
      <c r="HZ168" s="236"/>
      <c r="IA168" s="236"/>
      <c r="IB168" s="236"/>
      <c r="IC168" s="236"/>
      <c r="ID168" s="236"/>
      <c r="IE168" s="236"/>
      <c r="IF168" s="236"/>
      <c r="IG168" s="236"/>
      <c r="IH168" s="236"/>
      <c r="II168" s="236"/>
      <c r="IJ168" s="236"/>
      <c r="IK168" s="236"/>
      <c r="IL168" s="236"/>
      <c r="IM168" s="236"/>
      <c r="IN168" s="236"/>
      <c r="IO168" s="236"/>
      <c r="IP168" s="236"/>
      <c r="IQ168" s="236"/>
      <c r="IR168" s="236"/>
      <c r="IS168" s="236"/>
      <c r="IT168" s="236"/>
      <c r="IU168" s="236"/>
      <c r="IV168" s="236"/>
      <c r="IW168" s="236"/>
      <c r="IX168" s="236"/>
      <c r="IY168" s="236"/>
      <c r="IZ168" s="236"/>
      <c r="JA168" s="236"/>
      <c r="JB168" s="236"/>
      <c r="JC168" s="236"/>
      <c r="JD168" s="236"/>
      <c r="JE168" s="236"/>
      <c r="JF168" s="236"/>
      <c r="JG168" s="236"/>
      <c r="JH168" s="236"/>
      <c r="JI168" s="236"/>
      <c r="JJ168" s="236"/>
      <c r="JK168" s="236"/>
      <c r="JL168" s="236"/>
      <c r="JM168" s="236"/>
      <c r="JN168" s="236"/>
      <c r="JO168" s="236"/>
      <c r="JP168" s="236"/>
      <c r="JQ168" s="236"/>
      <c r="JR168" s="236"/>
      <c r="JS168" s="236"/>
      <c r="JT168" s="236"/>
      <c r="JU168" s="236"/>
      <c r="JV168" s="236"/>
      <c r="JW168" s="236"/>
      <c r="JX168" s="236"/>
      <c r="JY168" s="236"/>
      <c r="JZ168" s="236"/>
      <c r="KA168" s="236"/>
      <c r="KB168" s="236"/>
      <c r="KC168" s="236"/>
      <c r="KD168" s="236"/>
      <c r="KE168" s="236"/>
      <c r="KF168" s="236"/>
      <c r="KG168" s="236"/>
      <c r="KH168" s="236"/>
      <c r="KI168" s="236"/>
      <c r="KJ168" s="236"/>
      <c r="KK168" s="236"/>
      <c r="KL168" s="236"/>
      <c r="KM168" s="236"/>
      <c r="KN168" s="236"/>
      <c r="KO168" s="236"/>
      <c r="KP168" s="236"/>
      <c r="KQ168" s="236"/>
      <c r="KR168" s="236"/>
      <c r="KS168" s="236"/>
      <c r="KT168" s="236"/>
      <c r="KU168" s="236"/>
      <c r="KV168" s="236"/>
      <c r="KW168" s="236"/>
      <c r="KX168" s="236"/>
      <c r="KY168" s="236"/>
      <c r="KZ168" s="236"/>
      <c r="LA168" s="236"/>
      <c r="LB168" s="236"/>
      <c r="LC168" s="236"/>
      <c r="LD168" s="236"/>
      <c r="LE168" s="236"/>
      <c r="LF168" s="236"/>
      <c r="LG168" s="236"/>
      <c r="LH168" s="236"/>
      <c r="LI168" s="236"/>
      <c r="LJ168" s="236"/>
      <c r="LK168" s="236"/>
      <c r="LL168" s="236"/>
      <c r="LM168" s="236"/>
      <c r="LN168" s="236"/>
      <c r="LO168" s="236"/>
      <c r="LP168" s="236"/>
      <c r="LQ168" s="236"/>
      <c r="LR168" s="236"/>
      <c r="LS168" s="236"/>
      <c r="LT168" s="236"/>
      <c r="LU168" s="236"/>
      <c r="LV168" s="236"/>
      <c r="LW168" s="236"/>
      <c r="LX168" s="236"/>
      <c r="LY168" s="236"/>
      <c r="LZ168" s="236"/>
      <c r="MA168" s="236"/>
      <c r="MB168" s="236"/>
      <c r="MC168" s="236"/>
      <c r="MD168" s="236"/>
      <c r="ME168" s="236"/>
      <c r="MF168" s="236"/>
      <c r="MG168" s="236"/>
      <c r="MH168" s="236"/>
      <c r="MI168" s="236"/>
      <c r="MJ168" s="236"/>
      <c r="MK168" s="236"/>
      <c r="ML168" s="236"/>
      <c r="MM168" s="236"/>
      <c r="MN168" s="236"/>
      <c r="MO168" s="236"/>
      <c r="MP168" s="236"/>
      <c r="MQ168" s="236"/>
      <c r="MR168" s="236"/>
      <c r="MS168" s="236"/>
      <c r="MT168" s="236"/>
      <c r="MU168" s="236"/>
      <c r="MV168" s="236"/>
      <c r="MW168" s="236"/>
      <c r="MX168" s="236"/>
      <c r="MY168" s="236"/>
      <c r="MZ168" s="236"/>
      <c r="NA168" s="236"/>
      <c r="NB168" s="236"/>
      <c r="NC168" s="236"/>
      <c r="ND168" s="236"/>
      <c r="NE168" s="236"/>
      <c r="NF168" s="236"/>
      <c r="NG168" s="236"/>
      <c r="NH168" s="236"/>
      <c r="NI168" s="236"/>
      <c r="NJ168" s="236"/>
      <c r="NK168" s="236"/>
      <c r="NL168" s="236"/>
      <c r="NM168" s="236"/>
      <c r="NN168" s="236"/>
      <c r="NO168" s="236"/>
      <c r="NP168" s="236"/>
      <c r="NQ168" s="236"/>
      <c r="NR168" s="236"/>
      <c r="NS168" s="236"/>
      <c r="NT168" s="236"/>
      <c r="NU168" s="236"/>
      <c r="NV168" s="236"/>
      <c r="NW168" s="236"/>
      <c r="NX168" s="236"/>
      <c r="NY168" s="236"/>
      <c r="NZ168" s="236"/>
      <c r="OA168" s="236"/>
      <c r="OB168" s="236"/>
      <c r="OC168" s="236"/>
      <c r="OD168" s="236"/>
      <c r="OE168" s="236"/>
      <c r="OF168" s="236"/>
      <c r="OG168" s="236"/>
      <c r="OH168" s="236"/>
      <c r="OI168" s="236"/>
      <c r="OJ168" s="236"/>
      <c r="OK168" s="236"/>
      <c r="OL168" s="236"/>
      <c r="OM168" s="236"/>
      <c r="ON168" s="236"/>
      <c r="OO168" s="236"/>
      <c r="OP168" s="236"/>
      <c r="OQ168" s="236"/>
      <c r="OR168" s="236"/>
      <c r="OS168" s="236"/>
      <c r="OT168" s="236"/>
      <c r="OU168" s="236"/>
      <c r="OV168" s="236"/>
      <c r="OW168" s="236"/>
      <c r="OX168" s="236"/>
      <c r="OY168" s="236"/>
      <c r="OZ168" s="236"/>
      <c r="PA168" s="236"/>
      <c r="PB168" s="236"/>
      <c r="PC168" s="236"/>
      <c r="PD168" s="236"/>
      <c r="PE168" s="236"/>
      <c r="PF168" s="236"/>
      <c r="PG168" s="236"/>
      <c r="PH168" s="236"/>
      <c r="PI168" s="236"/>
      <c r="PJ168" s="236"/>
      <c r="PK168" s="236"/>
      <c r="PL168" s="236"/>
      <c r="PM168" s="236"/>
      <c r="PN168" s="236"/>
      <c r="PO168" s="236"/>
      <c r="PP168" s="236"/>
      <c r="PQ168" s="236"/>
      <c r="PR168" s="236"/>
      <c r="PS168" s="236"/>
      <c r="PT168" s="236"/>
      <c r="PU168" s="236"/>
      <c r="PV168" s="236"/>
      <c r="PW168" s="236"/>
      <c r="PX168" s="236"/>
      <c r="PY168" s="236"/>
      <c r="PZ168" s="236"/>
      <c r="QA168" s="236"/>
      <c r="QB168" s="236"/>
      <c r="QC168" s="236"/>
      <c r="QD168" s="236"/>
      <c r="QE168" s="236"/>
      <c r="QF168" s="236"/>
      <c r="QG168" s="236"/>
      <c r="QH168" s="236"/>
      <c r="QI168" s="236"/>
      <c r="QJ168" s="236"/>
      <c r="QK168" s="236"/>
      <c r="QL168" s="236"/>
      <c r="QM168" s="236"/>
      <c r="QN168" s="236"/>
      <c r="QO168" s="236"/>
      <c r="QP168" s="236"/>
      <c r="QQ168" s="236"/>
      <c r="QR168" s="236"/>
      <c r="QS168" s="236"/>
      <c r="QT168" s="236"/>
      <c r="QU168" s="236"/>
      <c r="QV168" s="236"/>
      <c r="QW168" s="236"/>
      <c r="QX168" s="236"/>
      <c r="QY168" s="236"/>
      <c r="QZ168" s="236"/>
      <c r="RA168" s="236"/>
      <c r="RB168" s="236"/>
      <c r="RC168" s="236"/>
      <c r="RD168" s="236"/>
      <c r="RE168" s="236"/>
      <c r="RF168" s="236"/>
      <c r="RG168" s="236"/>
      <c r="RH168" s="236"/>
      <c r="RI168" s="236"/>
      <c r="RJ168" s="236"/>
      <c r="RK168" s="236"/>
      <c r="RL168" s="236"/>
      <c r="RM168" s="236"/>
      <c r="RN168" s="236"/>
      <c r="RO168" s="236"/>
      <c r="RP168" s="236"/>
      <c r="RQ168" s="236"/>
      <c r="RR168" s="236"/>
      <c r="RS168" s="236"/>
      <c r="RT168" s="236"/>
      <c r="RU168" s="236"/>
      <c r="RV168" s="236"/>
      <c r="RW168" s="236"/>
      <c r="RX168" s="236"/>
      <c r="RY168" s="236"/>
      <c r="RZ168" s="236"/>
      <c r="SA168" s="236"/>
      <c r="SB168" s="236"/>
      <c r="SC168" s="236"/>
      <c r="SD168" s="236"/>
      <c r="SE168" s="236"/>
      <c r="SF168" s="236"/>
      <c r="SG168" s="236"/>
      <c r="SH168" s="236"/>
      <c r="SI168" s="236"/>
      <c r="SJ168" s="236"/>
      <c r="SK168" s="236"/>
      <c r="SL168" s="236"/>
      <c r="SM168" s="236"/>
      <c r="SN168" s="236"/>
      <c r="SO168" s="236"/>
      <c r="SP168" s="236"/>
      <c r="SQ168" s="236"/>
      <c r="SR168" s="236"/>
      <c r="SS168" s="236"/>
      <c r="ST168" s="236"/>
      <c r="SU168" s="236"/>
      <c r="SV168" s="236"/>
      <c r="SW168" s="236"/>
      <c r="SX168" s="236"/>
      <c r="SY168" s="236"/>
      <c r="SZ168" s="236"/>
      <c r="TA168" s="236"/>
      <c r="TB168" s="236"/>
      <c r="TC168" s="236"/>
      <c r="TD168" s="236"/>
      <c r="TE168" s="236"/>
      <c r="TF168" s="236"/>
      <c r="TG168" s="236"/>
      <c r="TH168" s="236"/>
      <c r="TI168" s="236"/>
      <c r="TJ168" s="236"/>
      <c r="TK168" s="236"/>
      <c r="TL168" s="236"/>
      <c r="TM168" s="236"/>
      <c r="TN168" s="236"/>
      <c r="TO168" s="236"/>
      <c r="TP168" s="236"/>
      <c r="TQ168" s="236"/>
      <c r="TR168" s="236"/>
      <c r="TS168" s="236"/>
      <c r="TT168" s="236"/>
      <c r="TU168" s="236"/>
      <c r="TV168" s="236"/>
      <c r="TW168" s="236"/>
      <c r="TX168" s="236"/>
      <c r="TY168" s="236"/>
      <c r="TZ168" s="236"/>
      <c r="UA168" s="236"/>
      <c r="UB168" s="236"/>
      <c r="UC168" s="236"/>
      <c r="UD168" s="236"/>
      <c r="UE168" s="236"/>
      <c r="UF168" s="236"/>
      <c r="UG168" s="236"/>
      <c r="UH168" s="236"/>
      <c r="UI168" s="236"/>
      <c r="UJ168" s="236"/>
      <c r="UK168" s="236"/>
      <c r="UL168" s="236"/>
      <c r="UM168" s="236"/>
      <c r="UN168" s="236"/>
      <c r="UO168" s="236"/>
      <c r="UP168" s="236"/>
      <c r="UQ168" s="236"/>
      <c r="UR168" s="236"/>
      <c r="US168" s="236"/>
      <c r="UT168" s="236"/>
      <c r="UU168" s="236"/>
      <c r="UV168" s="236"/>
      <c r="UW168" s="236"/>
      <c r="UX168" s="236"/>
      <c r="UY168" s="236"/>
      <c r="UZ168" s="236"/>
      <c r="VA168" s="236"/>
      <c r="VB168" s="236"/>
      <c r="VC168" s="236"/>
      <c r="VD168" s="236"/>
      <c r="VE168" s="236"/>
      <c r="VF168" s="236"/>
      <c r="VG168" s="236"/>
      <c r="VH168" s="236"/>
      <c r="VI168" s="236"/>
      <c r="VJ168" s="236"/>
      <c r="VK168" s="236"/>
      <c r="VL168" s="236"/>
      <c r="VM168" s="236"/>
      <c r="VN168" s="236"/>
      <c r="VO168" s="236"/>
      <c r="VP168" s="236"/>
      <c r="VQ168" s="236"/>
      <c r="VR168" s="236"/>
      <c r="VS168" s="236"/>
      <c r="VT168" s="236"/>
      <c r="VU168" s="236"/>
      <c r="VV168" s="236"/>
      <c r="VW168" s="236"/>
      <c r="VX168" s="236"/>
      <c r="VY168" s="236"/>
      <c r="VZ168" s="236"/>
      <c r="WA168" s="236"/>
      <c r="WB168" s="236"/>
      <c r="WC168" s="236"/>
      <c r="WD168" s="236"/>
      <c r="WE168" s="236"/>
      <c r="WF168" s="236"/>
      <c r="WG168" s="236"/>
      <c r="WH168" s="236"/>
      <c r="WI168" s="236"/>
      <c r="WJ168" s="236"/>
      <c r="WK168" s="236"/>
      <c r="WL168" s="236"/>
      <c r="WM168" s="236"/>
      <c r="WN168" s="236"/>
      <c r="WO168" s="236"/>
      <c r="WP168" s="236"/>
      <c r="WQ168" s="236"/>
      <c r="WR168" s="236"/>
      <c r="WS168" s="236"/>
      <c r="WT168" s="236"/>
      <c r="WU168" s="236"/>
      <c r="WV168" s="236"/>
      <c r="WW168" s="236"/>
      <c r="WX168" s="236"/>
      <c r="WY168" s="236"/>
      <c r="WZ168" s="236"/>
      <c r="XA168" s="236"/>
      <c r="XB168" s="236"/>
      <c r="XC168" s="236"/>
      <c r="XD168" s="236"/>
      <c r="XE168" s="236"/>
      <c r="XF168" s="236"/>
      <c r="XG168" s="236"/>
      <c r="XH168" s="236"/>
      <c r="XI168" s="236"/>
      <c r="XJ168" s="236"/>
      <c r="XK168" s="236"/>
      <c r="XL168" s="236"/>
      <c r="XM168" s="236"/>
      <c r="XN168" s="236"/>
      <c r="XO168" s="236"/>
      <c r="XP168" s="236"/>
      <c r="XQ168" s="236"/>
      <c r="XR168" s="236"/>
      <c r="XS168" s="236"/>
      <c r="XT168" s="236"/>
      <c r="XU168" s="236"/>
      <c r="XV168" s="236"/>
      <c r="XW168" s="236"/>
      <c r="XX168" s="236"/>
      <c r="XY168" s="236"/>
      <c r="XZ168" s="236"/>
      <c r="YA168" s="236"/>
      <c r="YB168" s="236"/>
      <c r="YC168" s="236"/>
      <c r="YD168" s="236"/>
      <c r="YE168" s="236"/>
      <c r="YF168" s="236"/>
      <c r="YG168" s="236"/>
      <c r="YH168" s="236"/>
      <c r="YI168" s="236"/>
      <c r="YJ168" s="236"/>
      <c r="YK168" s="236"/>
      <c r="YL168" s="236"/>
      <c r="YM168" s="236"/>
      <c r="YN168" s="236"/>
      <c r="YO168" s="236"/>
      <c r="YP168" s="236"/>
      <c r="YQ168" s="236"/>
      <c r="YR168" s="236"/>
      <c r="YS168" s="236"/>
      <c r="YT168" s="236"/>
      <c r="YU168" s="236"/>
      <c r="YV168" s="236"/>
      <c r="YW168" s="236"/>
      <c r="YX168" s="236"/>
      <c r="YY168" s="236"/>
      <c r="YZ168" s="236"/>
      <c r="ZA168" s="236"/>
      <c r="ZB168" s="236"/>
      <c r="ZC168" s="236"/>
      <c r="ZD168" s="236"/>
      <c r="ZE168" s="236"/>
      <c r="ZF168" s="236"/>
      <c r="ZG168" s="236"/>
      <c r="ZH168" s="236"/>
      <c r="ZI168" s="236"/>
      <c r="ZJ168" s="236"/>
      <c r="ZK168" s="236"/>
      <c r="ZL168" s="236"/>
      <c r="ZM168" s="236"/>
      <c r="ZN168" s="236"/>
      <c r="ZO168" s="236"/>
      <c r="ZP168" s="236"/>
      <c r="ZQ168" s="236"/>
      <c r="ZR168" s="236"/>
      <c r="ZS168" s="236"/>
      <c r="ZT168" s="236"/>
      <c r="ZU168" s="236"/>
      <c r="ZV168" s="236"/>
      <c r="ZW168" s="236"/>
      <c r="ZX168" s="236"/>
      <c r="ZY168" s="236"/>
      <c r="ZZ168" s="236"/>
      <c r="AAA168" s="236"/>
      <c r="AAB168" s="236"/>
      <c r="AAC168" s="236"/>
      <c r="AAD168" s="236"/>
      <c r="AAE168" s="236"/>
      <c r="AAF168" s="236"/>
      <c r="AAG168" s="236"/>
      <c r="AAH168" s="236"/>
      <c r="AAI168" s="236"/>
      <c r="AAJ168" s="236"/>
      <c r="AAK168" s="236"/>
      <c r="AAL168" s="236"/>
      <c r="AAM168" s="236"/>
      <c r="AAN168" s="236"/>
      <c r="AAO168" s="236"/>
      <c r="AAP168" s="236"/>
      <c r="AAQ168" s="236"/>
      <c r="AAR168" s="236"/>
      <c r="AAS168" s="236"/>
      <c r="AAT168" s="236"/>
      <c r="AAU168" s="236"/>
      <c r="AAV168" s="236"/>
      <c r="AAW168" s="236"/>
      <c r="AAX168" s="236"/>
      <c r="AAY168" s="236"/>
      <c r="AAZ168" s="236"/>
      <c r="ABA168" s="236"/>
      <c r="ABB168" s="236"/>
      <c r="ABC168" s="236"/>
      <c r="ABD168" s="236"/>
      <c r="ABE168" s="236"/>
      <c r="ABF168" s="236"/>
      <c r="ABG168" s="236"/>
      <c r="ABH168" s="236"/>
      <c r="ABI168" s="236"/>
      <c r="ABJ168" s="236"/>
      <c r="ABK168" s="236"/>
      <c r="ABL168" s="236"/>
      <c r="ABM168" s="236"/>
      <c r="ABN168" s="236"/>
      <c r="ABO168" s="236"/>
      <c r="ABP168" s="236"/>
      <c r="ABQ168" s="236"/>
      <c r="ABR168" s="236"/>
      <c r="ABS168" s="236"/>
      <c r="ABT168" s="236"/>
      <c r="ABU168" s="236"/>
      <c r="ABV168" s="236"/>
      <c r="ABW168" s="236"/>
      <c r="ABX168" s="236"/>
      <c r="ABY168" s="236"/>
      <c r="ABZ168" s="236"/>
      <c r="ACA168" s="236"/>
      <c r="ACB168" s="236"/>
      <c r="ACC168" s="236"/>
      <c r="ACD168" s="236"/>
      <c r="ACE168" s="236"/>
      <c r="ACF168" s="236"/>
      <c r="ACG168" s="236"/>
      <c r="ACH168" s="236"/>
      <c r="ACI168" s="236"/>
      <c r="ACJ168" s="236"/>
      <c r="ACK168" s="236"/>
      <c r="ACL168" s="236"/>
      <c r="ACM168" s="236"/>
      <c r="ACN168" s="236"/>
      <c r="ACO168" s="236"/>
      <c r="ACP168" s="236"/>
      <c r="ACQ168" s="236"/>
      <c r="ACR168" s="236"/>
      <c r="ACS168" s="236"/>
      <c r="ACT168" s="236"/>
      <c r="ACU168" s="236"/>
      <c r="ACV168" s="236"/>
      <c r="ACW168" s="236"/>
      <c r="ACX168" s="236"/>
      <c r="ACY168" s="236"/>
      <c r="ACZ168" s="236"/>
      <c r="ADA168" s="236"/>
      <c r="ADB168" s="236"/>
      <c r="ADC168" s="236"/>
      <c r="ADD168" s="236"/>
      <c r="ADE168" s="236"/>
      <c r="ADF168" s="236"/>
      <c r="ADG168" s="236"/>
      <c r="ADH168" s="236"/>
      <c r="ADI168" s="236"/>
      <c r="ADJ168" s="236"/>
      <c r="ADK168" s="236"/>
      <c r="ADL168" s="236"/>
      <c r="ADM168" s="236"/>
      <c r="ADN168" s="236"/>
      <c r="ADO168" s="236"/>
      <c r="ADP168" s="236"/>
      <c r="ADQ168" s="236"/>
      <c r="ADR168" s="236"/>
      <c r="ADS168" s="236"/>
      <c r="ADT168" s="236"/>
      <c r="ADU168" s="236"/>
      <c r="ADV168" s="236"/>
      <c r="ADW168" s="236"/>
      <c r="ADX168" s="236"/>
      <c r="ADY168" s="236"/>
      <c r="ADZ168" s="236"/>
      <c r="AEA168" s="236"/>
      <c r="AEB168" s="236"/>
      <c r="AEC168" s="236"/>
      <c r="AED168" s="236"/>
      <c r="AEE168" s="236"/>
      <c r="AEF168" s="236"/>
      <c r="AEG168" s="236"/>
      <c r="AEH168" s="236"/>
      <c r="AEI168" s="236"/>
      <c r="AEJ168" s="236"/>
      <c r="AEK168" s="236"/>
      <c r="AEL168" s="236"/>
      <c r="AEM168" s="236"/>
      <c r="AEN168" s="236"/>
      <c r="AEO168" s="236"/>
      <c r="AEP168" s="236"/>
      <c r="AEQ168" s="236"/>
      <c r="AER168" s="236"/>
      <c r="AES168" s="236"/>
      <c r="AET168" s="236"/>
      <c r="AEU168" s="236"/>
      <c r="AEV168" s="236"/>
      <c r="AEW168" s="236"/>
      <c r="AEX168" s="236"/>
      <c r="AEY168" s="236"/>
      <c r="AEZ168" s="236"/>
      <c r="AFA168" s="236"/>
      <c r="AFB168" s="236"/>
      <c r="AFC168" s="236"/>
      <c r="AFD168" s="236"/>
      <c r="AFE168" s="236"/>
      <c r="AFF168" s="236"/>
      <c r="AFG168" s="236"/>
      <c r="AFH168" s="236"/>
      <c r="AFI168" s="236"/>
      <c r="AFJ168" s="236"/>
      <c r="AFK168" s="236"/>
      <c r="AFL168" s="236"/>
      <c r="AFM168" s="236"/>
      <c r="AFN168" s="236"/>
      <c r="AFO168" s="236"/>
      <c r="AFP168" s="236"/>
      <c r="AFQ168" s="236"/>
      <c r="AFR168" s="236"/>
      <c r="AFS168" s="236"/>
      <c r="AFT168" s="236"/>
      <c r="AFU168" s="236"/>
      <c r="AFV168" s="236"/>
      <c r="AFW168" s="236"/>
      <c r="AFX168" s="236"/>
      <c r="AFY168" s="236"/>
      <c r="AFZ168" s="236"/>
      <c r="AGA168" s="236"/>
      <c r="AGB168" s="236"/>
      <c r="AGC168" s="236"/>
      <c r="AGD168" s="236"/>
      <c r="AGE168" s="236"/>
      <c r="AGF168" s="236"/>
      <c r="AGG168" s="236"/>
      <c r="AGH168" s="236"/>
      <c r="AGI168" s="236"/>
      <c r="AGJ168" s="236"/>
      <c r="AGK168" s="236"/>
      <c r="AGL168" s="236"/>
      <c r="AGM168" s="236"/>
      <c r="AGN168" s="236"/>
      <c r="AGO168" s="236"/>
      <c r="AGP168" s="236"/>
      <c r="AGQ168" s="236"/>
      <c r="AGR168" s="236"/>
      <c r="AGS168" s="236"/>
      <c r="AGT168" s="236"/>
      <c r="AGU168" s="236"/>
      <c r="AGV168" s="236"/>
      <c r="AGW168" s="236"/>
      <c r="AGX168" s="236"/>
      <c r="AGY168" s="236"/>
      <c r="AGZ168" s="236"/>
      <c r="AHA168" s="236"/>
      <c r="AHB168" s="236"/>
      <c r="AHC168" s="236"/>
      <c r="AHD168" s="236"/>
      <c r="AHE168" s="236"/>
      <c r="AHF168" s="236"/>
      <c r="AHG168" s="236"/>
      <c r="AHH168" s="236"/>
      <c r="AHI168" s="236"/>
      <c r="AHJ168" s="236"/>
      <c r="AHK168" s="236"/>
      <c r="AHL168" s="236"/>
      <c r="AHM168" s="236"/>
      <c r="AHN168" s="236"/>
      <c r="AHO168" s="236"/>
      <c r="AHP168" s="236"/>
      <c r="AHQ168" s="236"/>
      <c r="AHR168" s="236"/>
      <c r="AHS168" s="236"/>
      <c r="AHT168" s="236"/>
      <c r="AHU168" s="236"/>
      <c r="AHV168" s="236"/>
      <c r="AHW168" s="236"/>
      <c r="AHX168" s="236"/>
      <c r="AHY168" s="236"/>
      <c r="AHZ168" s="236"/>
      <c r="AIA168" s="236"/>
      <c r="AIB168" s="236"/>
      <c r="AIC168" s="236"/>
      <c r="AID168" s="236"/>
      <c r="AIE168" s="236"/>
      <c r="AIF168" s="236"/>
      <c r="AIG168" s="236"/>
      <c r="AIH168" s="236"/>
      <c r="AII168" s="236"/>
      <c r="AIJ168" s="236"/>
      <c r="AIK168" s="236"/>
      <c r="AIL168" s="236"/>
      <c r="AIM168" s="236"/>
      <c r="AIN168" s="236"/>
      <c r="AIO168" s="236"/>
      <c r="AIP168" s="236"/>
      <c r="AIQ168" s="236"/>
      <c r="AIR168" s="236"/>
      <c r="AIS168" s="236"/>
      <c r="AIT168" s="236"/>
      <c r="AIU168" s="236"/>
      <c r="AIV168" s="236"/>
      <c r="AIW168" s="236"/>
      <c r="AIX168" s="236"/>
      <c r="AIY168" s="236"/>
      <c r="AIZ168" s="236"/>
      <c r="AJA168" s="236"/>
      <c r="AJB168" s="236"/>
      <c r="AJC168" s="236"/>
      <c r="AJD168" s="236"/>
      <c r="AJE168" s="236"/>
      <c r="AJF168" s="236"/>
      <c r="AJG168" s="236"/>
      <c r="AJH168" s="236"/>
      <c r="AJI168" s="236"/>
      <c r="AJJ168" s="236"/>
      <c r="AJK168" s="236"/>
      <c r="AJL168" s="236"/>
      <c r="AJM168" s="236"/>
      <c r="AJN168" s="236"/>
      <c r="AJO168" s="236"/>
      <c r="AJP168" s="236"/>
      <c r="AJQ168" s="236"/>
      <c r="AJR168" s="236"/>
      <c r="AJS168" s="236"/>
      <c r="AJT168" s="236"/>
      <c r="AJU168" s="236"/>
      <c r="AJV168" s="236"/>
      <c r="AJW168" s="236"/>
      <c r="AJX168" s="236"/>
      <c r="AJY168" s="236"/>
      <c r="AJZ168" s="236"/>
      <c r="AKA168" s="236"/>
      <c r="AKB168" s="236"/>
      <c r="AKC168" s="236"/>
      <c r="AKD168" s="236"/>
      <c r="AKE168" s="236"/>
      <c r="AKF168" s="236"/>
      <c r="AKG168" s="236"/>
      <c r="AKH168" s="236"/>
      <c r="AKI168" s="236"/>
      <c r="AKJ168" s="236"/>
      <c r="AKK168" s="236"/>
      <c r="AKL168" s="236"/>
      <c r="AKM168" s="236"/>
      <c r="AKN168" s="236"/>
      <c r="AKO168" s="236"/>
      <c r="AKP168" s="236"/>
      <c r="AKQ168" s="236"/>
      <c r="AKR168" s="236"/>
      <c r="AKS168" s="236"/>
      <c r="AKT168" s="236"/>
      <c r="AKU168" s="236"/>
      <c r="AKV168" s="236"/>
      <c r="AKW168" s="236"/>
      <c r="AKX168" s="236"/>
      <c r="AKY168" s="236"/>
      <c r="AKZ168" s="236"/>
      <c r="ALA168" s="236"/>
      <c r="ALB168" s="236"/>
      <c r="ALC168" s="236"/>
      <c r="ALD168" s="236"/>
      <c r="ALE168" s="236"/>
      <c r="ALF168" s="236"/>
      <c r="ALG168" s="236"/>
      <c r="ALH168" s="236"/>
      <c r="ALI168" s="236"/>
      <c r="ALJ168" s="236"/>
      <c r="ALK168" s="236"/>
      <c r="ALL168" s="236"/>
      <c r="ALM168" s="236"/>
      <c r="ALN168" s="236"/>
      <c r="ALO168" s="236"/>
      <c r="ALP168" s="236"/>
      <c r="ALQ168" s="236"/>
      <c r="ALR168" s="236"/>
      <c r="ALS168" s="236"/>
      <c r="ALT168" s="236"/>
      <c r="ALU168" s="236"/>
      <c r="ALV168" s="236"/>
      <c r="ALW168" s="236"/>
      <c r="ALX168" s="236"/>
      <c r="ALY168" s="236"/>
      <c r="ALZ168" s="236"/>
      <c r="AMA168" s="236"/>
      <c r="AMB168" s="236"/>
      <c r="AMC168" s="236"/>
      <c r="AMD168" s="236"/>
      <c r="AME168" s="236"/>
      <c r="AMF168" s="236"/>
      <c r="AMG168" s="236"/>
      <c r="AMH168" s="236"/>
      <c r="AMI168" s="236"/>
      <c r="AMJ168" s="236"/>
      <c r="AMK168" s="236"/>
      <c r="AML168" s="236"/>
      <c r="AMM168" s="236"/>
    </row>
    <row r="169" spans="1:1027">
      <c r="A169" s="1418"/>
      <c r="B169" s="1419"/>
      <c r="C169" s="1419"/>
      <c r="D169" s="1419"/>
      <c r="E169" s="1419"/>
      <c r="F169" s="1419"/>
      <c r="G169" s="1419"/>
      <c r="H169" s="1419"/>
      <c r="I169" s="1419"/>
      <c r="J169" s="1419"/>
      <c r="K169" s="1419"/>
      <c r="L169" s="1420"/>
      <c r="M169" s="283"/>
      <c r="N169" s="1392" t="s">
        <v>278</v>
      </c>
      <c r="O169" s="1393"/>
      <c r="P169" s="1393"/>
      <c r="Q169" s="1393"/>
      <c r="R169" s="1394"/>
      <c r="S169" s="284"/>
      <c r="T169" s="284"/>
      <c r="U169" s="284"/>
      <c r="V169" s="1392" t="s">
        <v>170</v>
      </c>
      <c r="W169" s="1393"/>
      <c r="X169" s="1393"/>
      <c r="Y169" s="1393"/>
      <c r="Z169" s="1394"/>
      <c r="AA169" s="1065"/>
      <c r="AB169" s="1392" t="s">
        <v>171</v>
      </c>
      <c r="AC169" s="1394"/>
      <c r="AD169" s="1395" t="s">
        <v>172</v>
      </c>
      <c r="AE169" s="1395"/>
      <c r="AF169" s="1395"/>
      <c r="AG169" s="1395"/>
      <c r="AH169" s="1395"/>
      <c r="AI169" s="1395"/>
      <c r="AJ169" s="1395"/>
      <c r="AK169" s="1395"/>
      <c r="AL169" s="1395"/>
      <c r="AM169" s="1395"/>
      <c r="AN169" s="1395"/>
      <c r="AO169" s="262"/>
      <c r="AP169" s="262"/>
      <c r="AQ169" s="262"/>
      <c r="AR169" s="262"/>
      <c r="AS169" s="262"/>
      <c r="AT169" s="262"/>
      <c r="AU169" s="262"/>
      <c r="AV169" s="262"/>
      <c r="AW169" s="262"/>
      <c r="AX169" s="262"/>
      <c r="AY169" s="236"/>
      <c r="AZ169" s="236"/>
      <c r="BA169" s="236"/>
      <c r="BB169" s="236"/>
      <c r="BC169" s="236"/>
      <c r="BD169" s="236"/>
      <c r="BE169" s="236"/>
      <c r="BF169" s="236"/>
      <c r="BG169" s="236"/>
      <c r="BH169" s="236"/>
      <c r="BI169" s="236"/>
      <c r="BJ169" s="236"/>
      <c r="BK169" s="236"/>
      <c r="BL169" s="236"/>
      <c r="BM169" s="236"/>
      <c r="BN169" s="236"/>
      <c r="BO169" s="236"/>
      <c r="BP169" s="236"/>
      <c r="BQ169" s="236"/>
      <c r="BR169" s="236"/>
      <c r="BS169" s="236"/>
      <c r="BT169" s="236"/>
      <c r="BU169" s="236"/>
      <c r="BV169" s="236"/>
      <c r="BW169" s="236"/>
      <c r="BX169" s="236"/>
      <c r="BY169" s="236"/>
      <c r="BZ169" s="236"/>
      <c r="CA169" s="236"/>
      <c r="CB169" s="236"/>
      <c r="CC169" s="236"/>
      <c r="CD169" s="236"/>
      <c r="CE169" s="236"/>
      <c r="CF169" s="236"/>
      <c r="CG169" s="236"/>
      <c r="CH169" s="236"/>
      <c r="CI169" s="236"/>
      <c r="CJ169" s="236"/>
      <c r="CK169" s="236"/>
      <c r="CL169" s="236"/>
      <c r="CM169" s="236"/>
      <c r="CN169" s="236"/>
      <c r="CO169" s="236"/>
      <c r="CP169" s="236"/>
      <c r="CQ169" s="236"/>
      <c r="CR169" s="236"/>
      <c r="CS169" s="236"/>
      <c r="CT169" s="236"/>
      <c r="CU169" s="236"/>
      <c r="CV169" s="236"/>
      <c r="CW169" s="236"/>
      <c r="CX169" s="236"/>
      <c r="CY169" s="236"/>
      <c r="CZ169" s="236"/>
      <c r="DA169" s="236"/>
      <c r="DB169" s="236"/>
      <c r="DC169" s="236"/>
      <c r="DD169" s="236"/>
      <c r="DE169" s="236"/>
      <c r="DF169" s="236"/>
      <c r="DG169" s="236"/>
      <c r="DH169" s="236"/>
      <c r="DI169" s="236"/>
      <c r="DJ169" s="236"/>
      <c r="DK169" s="236"/>
      <c r="DL169" s="236"/>
      <c r="DM169" s="236"/>
      <c r="DN169" s="236"/>
      <c r="DO169" s="236"/>
      <c r="DP169" s="236"/>
      <c r="DQ169" s="236"/>
      <c r="DR169" s="236"/>
      <c r="DS169" s="236"/>
      <c r="DT169" s="236"/>
      <c r="DU169" s="236"/>
      <c r="DV169" s="236"/>
      <c r="DW169" s="236"/>
      <c r="DX169" s="236"/>
      <c r="DY169" s="236"/>
      <c r="DZ169" s="236"/>
      <c r="EA169" s="236"/>
      <c r="EB169" s="236"/>
      <c r="EC169" s="236"/>
      <c r="ED169" s="236"/>
      <c r="EE169" s="236"/>
      <c r="EF169" s="236"/>
      <c r="EG169" s="236"/>
      <c r="EH169" s="236"/>
      <c r="EI169" s="236"/>
      <c r="EJ169" s="236"/>
      <c r="EK169" s="236"/>
      <c r="EL169" s="236"/>
      <c r="EM169" s="236"/>
      <c r="EN169" s="236"/>
      <c r="EO169" s="236"/>
      <c r="EP169" s="236"/>
      <c r="EQ169" s="236"/>
      <c r="ER169" s="236"/>
      <c r="ES169" s="236"/>
      <c r="ET169" s="236"/>
      <c r="EU169" s="236"/>
      <c r="EV169" s="236"/>
      <c r="EW169" s="236"/>
      <c r="EX169" s="236"/>
      <c r="EY169" s="236"/>
      <c r="EZ169" s="236"/>
      <c r="FA169" s="236"/>
      <c r="FB169" s="236"/>
      <c r="FC169" s="236"/>
      <c r="FD169" s="236"/>
      <c r="FE169" s="236"/>
      <c r="FF169" s="236"/>
      <c r="FG169" s="236"/>
      <c r="FH169" s="236"/>
      <c r="FI169" s="236"/>
      <c r="FJ169" s="236"/>
      <c r="FK169" s="236"/>
      <c r="FL169" s="236"/>
      <c r="FM169" s="236"/>
      <c r="FN169" s="236"/>
      <c r="FO169" s="236"/>
      <c r="FP169" s="236"/>
      <c r="FQ169" s="236"/>
      <c r="FR169" s="236"/>
      <c r="FS169" s="236"/>
      <c r="FT169" s="236"/>
      <c r="FU169" s="236"/>
      <c r="FV169" s="236"/>
      <c r="FW169" s="236"/>
      <c r="FX169" s="236"/>
      <c r="FY169" s="236"/>
      <c r="FZ169" s="236"/>
      <c r="GA169" s="236"/>
      <c r="GB169" s="236"/>
      <c r="GC169" s="236"/>
      <c r="GD169" s="236"/>
      <c r="GE169" s="236"/>
      <c r="GF169" s="236"/>
      <c r="GG169" s="236"/>
      <c r="GH169" s="236"/>
      <c r="GI169" s="236"/>
      <c r="GJ169" s="236"/>
      <c r="GK169" s="236"/>
      <c r="GL169" s="236"/>
      <c r="GM169" s="236"/>
      <c r="GN169" s="236"/>
      <c r="GO169" s="236"/>
      <c r="GP169" s="236"/>
      <c r="GQ169" s="236"/>
      <c r="GR169" s="236"/>
      <c r="GS169" s="236"/>
      <c r="GT169" s="236"/>
      <c r="GU169" s="236"/>
      <c r="GV169" s="236"/>
      <c r="GW169" s="236"/>
      <c r="GX169" s="236"/>
      <c r="GY169" s="236"/>
      <c r="GZ169" s="236"/>
      <c r="HA169" s="236"/>
      <c r="HB169" s="236"/>
      <c r="HC169" s="236"/>
      <c r="HD169" s="236"/>
      <c r="HE169" s="236"/>
      <c r="HF169" s="236"/>
      <c r="HG169" s="236"/>
      <c r="HH169" s="236"/>
      <c r="HI169" s="236"/>
      <c r="HJ169" s="236"/>
      <c r="HK169" s="236"/>
      <c r="HL169" s="236"/>
      <c r="HM169" s="236"/>
      <c r="HN169" s="236"/>
      <c r="HO169" s="236"/>
      <c r="HP169" s="236"/>
      <c r="HQ169" s="236"/>
      <c r="HR169" s="236"/>
      <c r="HS169" s="236"/>
      <c r="HT169" s="236"/>
      <c r="HU169" s="236"/>
      <c r="HV169" s="236"/>
      <c r="HW169" s="236"/>
      <c r="HX169" s="236"/>
      <c r="HY169" s="236"/>
      <c r="HZ169" s="236"/>
      <c r="IA169" s="236"/>
      <c r="IB169" s="236"/>
      <c r="IC169" s="236"/>
      <c r="ID169" s="236"/>
      <c r="IE169" s="236"/>
      <c r="IF169" s="236"/>
      <c r="IG169" s="236"/>
      <c r="IH169" s="236"/>
      <c r="II169" s="236"/>
      <c r="IJ169" s="236"/>
      <c r="IK169" s="236"/>
      <c r="IL169" s="236"/>
      <c r="IM169" s="236"/>
      <c r="IN169" s="236"/>
      <c r="IO169" s="236"/>
      <c r="IP169" s="236"/>
      <c r="IQ169" s="236"/>
      <c r="IR169" s="236"/>
      <c r="IS169" s="236"/>
      <c r="IT169" s="236"/>
      <c r="IU169" s="236"/>
      <c r="IV169" s="236"/>
      <c r="IW169" s="236"/>
      <c r="IX169" s="236"/>
      <c r="IY169" s="236"/>
      <c r="IZ169" s="236"/>
      <c r="JA169" s="236"/>
      <c r="JB169" s="236"/>
      <c r="JC169" s="236"/>
      <c r="JD169" s="236"/>
      <c r="JE169" s="236"/>
      <c r="JF169" s="236"/>
      <c r="JG169" s="236"/>
      <c r="JH169" s="236"/>
      <c r="JI169" s="236"/>
      <c r="JJ169" s="236"/>
      <c r="JK169" s="236"/>
      <c r="JL169" s="236"/>
      <c r="JM169" s="236"/>
      <c r="JN169" s="236"/>
      <c r="JO169" s="236"/>
      <c r="JP169" s="236"/>
      <c r="JQ169" s="236"/>
      <c r="JR169" s="236"/>
      <c r="JS169" s="236"/>
      <c r="JT169" s="236"/>
      <c r="JU169" s="236"/>
      <c r="JV169" s="236"/>
      <c r="JW169" s="236"/>
      <c r="JX169" s="236"/>
      <c r="JY169" s="236"/>
      <c r="JZ169" s="236"/>
      <c r="KA169" s="236"/>
      <c r="KB169" s="236"/>
      <c r="KC169" s="236"/>
      <c r="KD169" s="236"/>
      <c r="KE169" s="236"/>
      <c r="KF169" s="236"/>
      <c r="KG169" s="236"/>
      <c r="KH169" s="236"/>
      <c r="KI169" s="236"/>
      <c r="KJ169" s="236"/>
      <c r="KK169" s="236"/>
      <c r="KL169" s="236"/>
      <c r="KM169" s="236"/>
      <c r="KN169" s="236"/>
      <c r="KO169" s="236"/>
      <c r="KP169" s="236"/>
      <c r="KQ169" s="236"/>
      <c r="KR169" s="236"/>
      <c r="KS169" s="236"/>
      <c r="KT169" s="236"/>
      <c r="KU169" s="236"/>
      <c r="KV169" s="236"/>
      <c r="KW169" s="236"/>
      <c r="KX169" s="236"/>
      <c r="KY169" s="236"/>
      <c r="KZ169" s="236"/>
      <c r="LA169" s="236"/>
      <c r="LB169" s="236"/>
      <c r="LC169" s="236"/>
      <c r="LD169" s="236"/>
      <c r="LE169" s="236"/>
      <c r="LF169" s="236"/>
      <c r="LG169" s="236"/>
      <c r="LH169" s="236"/>
      <c r="LI169" s="236"/>
      <c r="LJ169" s="236"/>
      <c r="LK169" s="236"/>
      <c r="LL169" s="236"/>
      <c r="LM169" s="236"/>
      <c r="LN169" s="236"/>
      <c r="LO169" s="236"/>
      <c r="LP169" s="236"/>
      <c r="LQ169" s="236"/>
      <c r="LR169" s="236"/>
      <c r="LS169" s="236"/>
      <c r="LT169" s="236"/>
      <c r="LU169" s="236"/>
      <c r="LV169" s="236"/>
      <c r="LW169" s="236"/>
      <c r="LX169" s="236"/>
      <c r="LY169" s="236"/>
      <c r="LZ169" s="236"/>
      <c r="MA169" s="236"/>
      <c r="MB169" s="236"/>
      <c r="MC169" s="236"/>
      <c r="MD169" s="236"/>
      <c r="ME169" s="236"/>
      <c r="MF169" s="236"/>
      <c r="MG169" s="236"/>
      <c r="MH169" s="236"/>
      <c r="MI169" s="236"/>
      <c r="MJ169" s="236"/>
      <c r="MK169" s="236"/>
      <c r="ML169" s="236"/>
      <c r="MM169" s="236"/>
      <c r="MN169" s="236"/>
      <c r="MO169" s="236"/>
      <c r="MP169" s="236"/>
      <c r="MQ169" s="236"/>
      <c r="MR169" s="236"/>
      <c r="MS169" s="236"/>
      <c r="MT169" s="236"/>
      <c r="MU169" s="236"/>
      <c r="MV169" s="236"/>
      <c r="MW169" s="236"/>
      <c r="MX169" s="236"/>
      <c r="MY169" s="236"/>
      <c r="MZ169" s="236"/>
      <c r="NA169" s="236"/>
      <c r="NB169" s="236"/>
      <c r="NC169" s="236"/>
      <c r="ND169" s="236"/>
      <c r="NE169" s="236"/>
      <c r="NF169" s="236"/>
      <c r="NG169" s="236"/>
      <c r="NH169" s="236"/>
      <c r="NI169" s="236"/>
      <c r="NJ169" s="236"/>
      <c r="NK169" s="236"/>
      <c r="NL169" s="236"/>
      <c r="NM169" s="236"/>
      <c r="NN169" s="236"/>
      <c r="NO169" s="236"/>
      <c r="NP169" s="236"/>
      <c r="NQ169" s="236"/>
      <c r="NR169" s="236"/>
      <c r="NS169" s="236"/>
      <c r="NT169" s="236"/>
      <c r="NU169" s="236"/>
      <c r="NV169" s="236"/>
      <c r="NW169" s="236"/>
      <c r="NX169" s="236"/>
      <c r="NY169" s="236"/>
      <c r="NZ169" s="236"/>
      <c r="OA169" s="236"/>
      <c r="OB169" s="236"/>
      <c r="OC169" s="236"/>
      <c r="OD169" s="236"/>
      <c r="OE169" s="236"/>
      <c r="OF169" s="236"/>
      <c r="OG169" s="236"/>
      <c r="OH169" s="236"/>
      <c r="OI169" s="236"/>
      <c r="OJ169" s="236"/>
      <c r="OK169" s="236"/>
      <c r="OL169" s="236"/>
      <c r="OM169" s="236"/>
      <c r="ON169" s="236"/>
      <c r="OO169" s="236"/>
      <c r="OP169" s="236"/>
      <c r="OQ169" s="236"/>
      <c r="OR169" s="236"/>
      <c r="OS169" s="236"/>
      <c r="OT169" s="236"/>
      <c r="OU169" s="236"/>
      <c r="OV169" s="236"/>
      <c r="OW169" s="236"/>
      <c r="OX169" s="236"/>
      <c r="OY169" s="236"/>
      <c r="OZ169" s="236"/>
      <c r="PA169" s="236"/>
      <c r="PB169" s="236"/>
      <c r="PC169" s="236"/>
      <c r="PD169" s="236"/>
      <c r="PE169" s="236"/>
      <c r="PF169" s="236"/>
      <c r="PG169" s="236"/>
      <c r="PH169" s="236"/>
      <c r="PI169" s="236"/>
      <c r="PJ169" s="236"/>
      <c r="PK169" s="236"/>
      <c r="PL169" s="236"/>
      <c r="PM169" s="236"/>
      <c r="PN169" s="236"/>
      <c r="PO169" s="236"/>
      <c r="PP169" s="236"/>
      <c r="PQ169" s="236"/>
      <c r="PR169" s="236"/>
      <c r="PS169" s="236"/>
      <c r="PT169" s="236"/>
      <c r="PU169" s="236"/>
      <c r="PV169" s="236"/>
      <c r="PW169" s="236"/>
      <c r="PX169" s="236"/>
      <c r="PY169" s="236"/>
      <c r="PZ169" s="236"/>
      <c r="QA169" s="236"/>
      <c r="QB169" s="236"/>
      <c r="QC169" s="236"/>
      <c r="QD169" s="236"/>
      <c r="QE169" s="236"/>
      <c r="QF169" s="236"/>
      <c r="QG169" s="236"/>
      <c r="QH169" s="236"/>
      <c r="QI169" s="236"/>
      <c r="QJ169" s="236"/>
      <c r="QK169" s="236"/>
      <c r="QL169" s="236"/>
      <c r="QM169" s="236"/>
      <c r="QN169" s="236"/>
      <c r="QO169" s="236"/>
      <c r="QP169" s="236"/>
      <c r="QQ169" s="236"/>
      <c r="QR169" s="236"/>
      <c r="QS169" s="236"/>
      <c r="QT169" s="236"/>
      <c r="QU169" s="236"/>
      <c r="QV169" s="236"/>
      <c r="QW169" s="236"/>
      <c r="QX169" s="236"/>
      <c r="QY169" s="236"/>
      <c r="QZ169" s="236"/>
      <c r="RA169" s="236"/>
      <c r="RB169" s="236"/>
      <c r="RC169" s="236"/>
      <c r="RD169" s="236"/>
      <c r="RE169" s="236"/>
      <c r="RF169" s="236"/>
      <c r="RG169" s="236"/>
      <c r="RH169" s="236"/>
      <c r="RI169" s="236"/>
      <c r="RJ169" s="236"/>
      <c r="RK169" s="236"/>
      <c r="RL169" s="236"/>
      <c r="RM169" s="236"/>
      <c r="RN169" s="236"/>
      <c r="RO169" s="236"/>
      <c r="RP169" s="236"/>
      <c r="RQ169" s="236"/>
      <c r="RR169" s="236"/>
      <c r="RS169" s="236"/>
      <c r="RT169" s="236"/>
      <c r="RU169" s="236"/>
      <c r="RV169" s="236"/>
      <c r="RW169" s="236"/>
      <c r="RX169" s="236"/>
      <c r="RY169" s="236"/>
      <c r="RZ169" s="236"/>
      <c r="SA169" s="236"/>
      <c r="SB169" s="236"/>
      <c r="SC169" s="236"/>
      <c r="SD169" s="236"/>
      <c r="SE169" s="236"/>
      <c r="SF169" s="236"/>
      <c r="SG169" s="236"/>
      <c r="SH169" s="236"/>
      <c r="SI169" s="236"/>
      <c r="SJ169" s="236"/>
      <c r="SK169" s="236"/>
      <c r="SL169" s="236"/>
      <c r="SM169" s="236"/>
      <c r="SN169" s="236"/>
      <c r="SO169" s="236"/>
      <c r="SP169" s="236"/>
      <c r="SQ169" s="236"/>
      <c r="SR169" s="236"/>
      <c r="SS169" s="236"/>
      <c r="ST169" s="236"/>
      <c r="SU169" s="236"/>
      <c r="SV169" s="236"/>
      <c r="SW169" s="236"/>
      <c r="SX169" s="236"/>
      <c r="SY169" s="236"/>
      <c r="SZ169" s="236"/>
      <c r="TA169" s="236"/>
      <c r="TB169" s="236"/>
      <c r="TC169" s="236"/>
      <c r="TD169" s="236"/>
      <c r="TE169" s="236"/>
      <c r="TF169" s="236"/>
      <c r="TG169" s="236"/>
      <c r="TH169" s="236"/>
      <c r="TI169" s="236"/>
      <c r="TJ169" s="236"/>
      <c r="TK169" s="236"/>
      <c r="TL169" s="236"/>
      <c r="TM169" s="236"/>
      <c r="TN169" s="236"/>
      <c r="TO169" s="236"/>
      <c r="TP169" s="236"/>
      <c r="TQ169" s="236"/>
      <c r="TR169" s="236"/>
      <c r="TS169" s="236"/>
      <c r="TT169" s="236"/>
      <c r="TU169" s="236"/>
      <c r="TV169" s="236"/>
      <c r="TW169" s="236"/>
      <c r="TX169" s="236"/>
      <c r="TY169" s="236"/>
      <c r="TZ169" s="236"/>
      <c r="UA169" s="236"/>
      <c r="UB169" s="236"/>
      <c r="UC169" s="236"/>
      <c r="UD169" s="236"/>
      <c r="UE169" s="236"/>
      <c r="UF169" s="236"/>
      <c r="UG169" s="236"/>
      <c r="UH169" s="236"/>
      <c r="UI169" s="236"/>
      <c r="UJ169" s="236"/>
      <c r="UK169" s="236"/>
      <c r="UL169" s="236"/>
      <c r="UM169" s="236"/>
      <c r="UN169" s="236"/>
      <c r="UO169" s="236"/>
      <c r="UP169" s="236"/>
      <c r="UQ169" s="236"/>
      <c r="UR169" s="236"/>
      <c r="US169" s="236"/>
      <c r="UT169" s="236"/>
      <c r="UU169" s="236"/>
      <c r="UV169" s="236"/>
      <c r="UW169" s="236"/>
      <c r="UX169" s="236"/>
      <c r="UY169" s="236"/>
      <c r="UZ169" s="236"/>
      <c r="VA169" s="236"/>
      <c r="VB169" s="236"/>
      <c r="VC169" s="236"/>
      <c r="VD169" s="236"/>
      <c r="VE169" s="236"/>
      <c r="VF169" s="236"/>
      <c r="VG169" s="236"/>
      <c r="VH169" s="236"/>
      <c r="VI169" s="236"/>
      <c r="VJ169" s="236"/>
      <c r="VK169" s="236"/>
      <c r="VL169" s="236"/>
      <c r="VM169" s="236"/>
      <c r="VN169" s="236"/>
      <c r="VO169" s="236"/>
      <c r="VP169" s="236"/>
      <c r="VQ169" s="236"/>
      <c r="VR169" s="236"/>
      <c r="VS169" s="236"/>
      <c r="VT169" s="236"/>
      <c r="VU169" s="236"/>
      <c r="VV169" s="236"/>
      <c r="VW169" s="236"/>
      <c r="VX169" s="236"/>
      <c r="VY169" s="236"/>
      <c r="VZ169" s="236"/>
      <c r="WA169" s="236"/>
      <c r="WB169" s="236"/>
      <c r="WC169" s="236"/>
      <c r="WD169" s="236"/>
      <c r="WE169" s="236"/>
      <c r="WF169" s="236"/>
      <c r="WG169" s="236"/>
      <c r="WH169" s="236"/>
      <c r="WI169" s="236"/>
      <c r="WJ169" s="236"/>
      <c r="WK169" s="236"/>
      <c r="WL169" s="236"/>
      <c r="WM169" s="236"/>
      <c r="WN169" s="236"/>
      <c r="WO169" s="236"/>
      <c r="WP169" s="236"/>
      <c r="WQ169" s="236"/>
      <c r="WR169" s="236"/>
      <c r="WS169" s="236"/>
      <c r="WT169" s="236"/>
      <c r="WU169" s="236"/>
      <c r="WV169" s="236"/>
      <c r="WW169" s="236"/>
      <c r="WX169" s="236"/>
      <c r="WY169" s="236"/>
      <c r="WZ169" s="236"/>
      <c r="XA169" s="236"/>
      <c r="XB169" s="236"/>
      <c r="XC169" s="236"/>
      <c r="XD169" s="236"/>
      <c r="XE169" s="236"/>
      <c r="XF169" s="236"/>
      <c r="XG169" s="236"/>
      <c r="XH169" s="236"/>
      <c r="XI169" s="236"/>
      <c r="XJ169" s="236"/>
      <c r="XK169" s="236"/>
      <c r="XL169" s="236"/>
      <c r="XM169" s="236"/>
      <c r="XN169" s="236"/>
      <c r="XO169" s="236"/>
      <c r="XP169" s="236"/>
      <c r="XQ169" s="236"/>
      <c r="XR169" s="236"/>
      <c r="XS169" s="236"/>
      <c r="XT169" s="236"/>
      <c r="XU169" s="236"/>
      <c r="XV169" s="236"/>
      <c r="XW169" s="236"/>
      <c r="XX169" s="236"/>
      <c r="XY169" s="236"/>
      <c r="XZ169" s="236"/>
      <c r="YA169" s="236"/>
      <c r="YB169" s="236"/>
      <c r="YC169" s="236"/>
      <c r="YD169" s="236"/>
      <c r="YE169" s="236"/>
      <c r="YF169" s="236"/>
      <c r="YG169" s="236"/>
      <c r="YH169" s="236"/>
      <c r="YI169" s="236"/>
      <c r="YJ169" s="236"/>
      <c r="YK169" s="236"/>
      <c r="YL169" s="236"/>
      <c r="YM169" s="236"/>
      <c r="YN169" s="236"/>
      <c r="YO169" s="236"/>
      <c r="YP169" s="236"/>
      <c r="YQ169" s="236"/>
      <c r="YR169" s="236"/>
      <c r="YS169" s="236"/>
      <c r="YT169" s="236"/>
      <c r="YU169" s="236"/>
      <c r="YV169" s="236"/>
      <c r="YW169" s="236"/>
      <c r="YX169" s="236"/>
      <c r="YY169" s="236"/>
      <c r="YZ169" s="236"/>
      <c r="ZA169" s="236"/>
      <c r="ZB169" s="236"/>
      <c r="ZC169" s="236"/>
      <c r="ZD169" s="236"/>
      <c r="ZE169" s="236"/>
      <c r="ZF169" s="236"/>
      <c r="ZG169" s="236"/>
      <c r="ZH169" s="236"/>
      <c r="ZI169" s="236"/>
      <c r="ZJ169" s="236"/>
      <c r="ZK169" s="236"/>
      <c r="ZL169" s="236"/>
      <c r="ZM169" s="236"/>
      <c r="ZN169" s="236"/>
      <c r="ZO169" s="236"/>
      <c r="ZP169" s="236"/>
      <c r="ZQ169" s="236"/>
      <c r="ZR169" s="236"/>
      <c r="ZS169" s="236"/>
      <c r="ZT169" s="236"/>
      <c r="ZU169" s="236"/>
      <c r="ZV169" s="236"/>
      <c r="ZW169" s="236"/>
      <c r="ZX169" s="236"/>
      <c r="ZY169" s="236"/>
      <c r="ZZ169" s="236"/>
      <c r="AAA169" s="236"/>
      <c r="AAB169" s="236"/>
      <c r="AAC169" s="236"/>
      <c r="AAD169" s="236"/>
      <c r="AAE169" s="236"/>
      <c r="AAF169" s="236"/>
      <c r="AAG169" s="236"/>
      <c r="AAH169" s="236"/>
      <c r="AAI169" s="236"/>
      <c r="AAJ169" s="236"/>
      <c r="AAK169" s="236"/>
      <c r="AAL169" s="236"/>
      <c r="AAM169" s="236"/>
      <c r="AAN169" s="236"/>
      <c r="AAO169" s="236"/>
      <c r="AAP169" s="236"/>
      <c r="AAQ169" s="236"/>
      <c r="AAR169" s="236"/>
      <c r="AAS169" s="236"/>
      <c r="AAT169" s="236"/>
      <c r="AAU169" s="236"/>
      <c r="AAV169" s="236"/>
      <c r="AAW169" s="236"/>
      <c r="AAX169" s="236"/>
      <c r="AAY169" s="236"/>
      <c r="AAZ169" s="236"/>
      <c r="ABA169" s="236"/>
      <c r="ABB169" s="236"/>
      <c r="ABC169" s="236"/>
      <c r="ABD169" s="236"/>
      <c r="ABE169" s="236"/>
      <c r="ABF169" s="236"/>
      <c r="ABG169" s="236"/>
      <c r="ABH169" s="236"/>
      <c r="ABI169" s="236"/>
      <c r="ABJ169" s="236"/>
      <c r="ABK169" s="236"/>
      <c r="ABL169" s="236"/>
      <c r="ABM169" s="236"/>
      <c r="ABN169" s="236"/>
      <c r="ABO169" s="236"/>
      <c r="ABP169" s="236"/>
      <c r="ABQ169" s="236"/>
      <c r="ABR169" s="236"/>
      <c r="ABS169" s="236"/>
      <c r="ABT169" s="236"/>
      <c r="ABU169" s="236"/>
      <c r="ABV169" s="236"/>
      <c r="ABW169" s="236"/>
      <c r="ABX169" s="236"/>
      <c r="ABY169" s="236"/>
      <c r="ABZ169" s="236"/>
      <c r="ACA169" s="236"/>
      <c r="ACB169" s="236"/>
      <c r="ACC169" s="236"/>
      <c r="ACD169" s="236"/>
      <c r="ACE169" s="236"/>
      <c r="ACF169" s="236"/>
      <c r="ACG169" s="236"/>
      <c r="ACH169" s="236"/>
      <c r="ACI169" s="236"/>
      <c r="ACJ169" s="236"/>
      <c r="ACK169" s="236"/>
      <c r="ACL169" s="236"/>
      <c r="ACM169" s="236"/>
      <c r="ACN169" s="236"/>
      <c r="ACO169" s="236"/>
      <c r="ACP169" s="236"/>
      <c r="ACQ169" s="236"/>
      <c r="ACR169" s="236"/>
      <c r="ACS169" s="236"/>
      <c r="ACT169" s="236"/>
      <c r="ACU169" s="236"/>
      <c r="ACV169" s="236"/>
      <c r="ACW169" s="236"/>
      <c r="ACX169" s="236"/>
      <c r="ACY169" s="236"/>
      <c r="ACZ169" s="236"/>
      <c r="ADA169" s="236"/>
      <c r="ADB169" s="236"/>
      <c r="ADC169" s="236"/>
      <c r="ADD169" s="236"/>
      <c r="ADE169" s="236"/>
      <c r="ADF169" s="236"/>
      <c r="ADG169" s="236"/>
      <c r="ADH169" s="236"/>
      <c r="ADI169" s="236"/>
      <c r="ADJ169" s="236"/>
      <c r="ADK169" s="236"/>
      <c r="ADL169" s="236"/>
      <c r="ADM169" s="236"/>
      <c r="ADN169" s="236"/>
      <c r="ADO169" s="236"/>
      <c r="ADP169" s="236"/>
      <c r="ADQ169" s="236"/>
      <c r="ADR169" s="236"/>
      <c r="ADS169" s="236"/>
      <c r="ADT169" s="236"/>
      <c r="ADU169" s="236"/>
      <c r="ADV169" s="236"/>
      <c r="ADW169" s="236"/>
      <c r="ADX169" s="236"/>
      <c r="ADY169" s="236"/>
      <c r="ADZ169" s="236"/>
      <c r="AEA169" s="236"/>
      <c r="AEB169" s="236"/>
      <c r="AEC169" s="236"/>
      <c r="AED169" s="236"/>
      <c r="AEE169" s="236"/>
      <c r="AEF169" s="236"/>
      <c r="AEG169" s="236"/>
      <c r="AEH169" s="236"/>
      <c r="AEI169" s="236"/>
      <c r="AEJ169" s="236"/>
      <c r="AEK169" s="236"/>
      <c r="AEL169" s="236"/>
      <c r="AEM169" s="236"/>
      <c r="AEN169" s="236"/>
      <c r="AEO169" s="236"/>
      <c r="AEP169" s="236"/>
      <c r="AEQ169" s="236"/>
      <c r="AER169" s="236"/>
      <c r="AES169" s="236"/>
      <c r="AET169" s="236"/>
      <c r="AEU169" s="236"/>
      <c r="AEV169" s="236"/>
      <c r="AEW169" s="236"/>
      <c r="AEX169" s="236"/>
      <c r="AEY169" s="236"/>
      <c r="AEZ169" s="236"/>
      <c r="AFA169" s="236"/>
      <c r="AFB169" s="236"/>
      <c r="AFC169" s="236"/>
      <c r="AFD169" s="236"/>
      <c r="AFE169" s="236"/>
      <c r="AFF169" s="236"/>
      <c r="AFG169" s="236"/>
      <c r="AFH169" s="236"/>
      <c r="AFI169" s="236"/>
      <c r="AFJ169" s="236"/>
      <c r="AFK169" s="236"/>
      <c r="AFL169" s="236"/>
      <c r="AFM169" s="236"/>
      <c r="AFN169" s="236"/>
      <c r="AFO169" s="236"/>
      <c r="AFP169" s="236"/>
      <c r="AFQ169" s="236"/>
      <c r="AFR169" s="236"/>
      <c r="AFS169" s="236"/>
      <c r="AFT169" s="236"/>
      <c r="AFU169" s="236"/>
      <c r="AFV169" s="236"/>
      <c r="AFW169" s="236"/>
      <c r="AFX169" s="236"/>
      <c r="AFY169" s="236"/>
      <c r="AFZ169" s="236"/>
      <c r="AGA169" s="236"/>
      <c r="AGB169" s="236"/>
      <c r="AGC169" s="236"/>
      <c r="AGD169" s="236"/>
      <c r="AGE169" s="236"/>
      <c r="AGF169" s="236"/>
      <c r="AGG169" s="236"/>
      <c r="AGH169" s="236"/>
      <c r="AGI169" s="236"/>
      <c r="AGJ169" s="236"/>
      <c r="AGK169" s="236"/>
      <c r="AGL169" s="236"/>
      <c r="AGM169" s="236"/>
      <c r="AGN169" s="236"/>
      <c r="AGO169" s="236"/>
      <c r="AGP169" s="236"/>
      <c r="AGQ169" s="236"/>
      <c r="AGR169" s="236"/>
      <c r="AGS169" s="236"/>
      <c r="AGT169" s="236"/>
      <c r="AGU169" s="236"/>
      <c r="AGV169" s="236"/>
      <c r="AGW169" s="236"/>
      <c r="AGX169" s="236"/>
      <c r="AGY169" s="236"/>
      <c r="AGZ169" s="236"/>
      <c r="AHA169" s="236"/>
      <c r="AHB169" s="236"/>
      <c r="AHC169" s="236"/>
      <c r="AHD169" s="236"/>
      <c r="AHE169" s="236"/>
      <c r="AHF169" s="236"/>
      <c r="AHG169" s="236"/>
      <c r="AHH169" s="236"/>
      <c r="AHI169" s="236"/>
      <c r="AHJ169" s="236"/>
      <c r="AHK169" s="236"/>
      <c r="AHL169" s="236"/>
      <c r="AHM169" s="236"/>
      <c r="AHN169" s="236"/>
      <c r="AHO169" s="236"/>
      <c r="AHP169" s="236"/>
      <c r="AHQ169" s="236"/>
      <c r="AHR169" s="236"/>
      <c r="AHS169" s="236"/>
      <c r="AHT169" s="236"/>
      <c r="AHU169" s="236"/>
      <c r="AHV169" s="236"/>
      <c r="AHW169" s="236"/>
      <c r="AHX169" s="236"/>
      <c r="AHY169" s="236"/>
      <c r="AHZ169" s="236"/>
      <c r="AIA169" s="236"/>
      <c r="AIB169" s="236"/>
      <c r="AIC169" s="236"/>
      <c r="AID169" s="236"/>
      <c r="AIE169" s="236"/>
      <c r="AIF169" s="236"/>
      <c r="AIG169" s="236"/>
      <c r="AIH169" s="236"/>
      <c r="AII169" s="236"/>
      <c r="AIJ169" s="236"/>
      <c r="AIK169" s="236"/>
      <c r="AIL169" s="236"/>
      <c r="AIM169" s="236"/>
      <c r="AIN169" s="236"/>
      <c r="AIO169" s="236"/>
      <c r="AIP169" s="236"/>
      <c r="AIQ169" s="236"/>
      <c r="AIR169" s="236"/>
      <c r="AIS169" s="236"/>
      <c r="AIT169" s="236"/>
      <c r="AIU169" s="236"/>
      <c r="AIV169" s="236"/>
      <c r="AIW169" s="236"/>
      <c r="AIX169" s="236"/>
      <c r="AIY169" s="236"/>
      <c r="AIZ169" s="236"/>
      <c r="AJA169" s="236"/>
      <c r="AJB169" s="236"/>
      <c r="AJC169" s="236"/>
      <c r="AJD169" s="236"/>
      <c r="AJE169" s="236"/>
      <c r="AJF169" s="236"/>
      <c r="AJG169" s="236"/>
      <c r="AJH169" s="236"/>
      <c r="AJI169" s="236"/>
      <c r="AJJ169" s="236"/>
      <c r="AJK169" s="236"/>
      <c r="AJL169" s="236"/>
      <c r="AJM169" s="236"/>
      <c r="AJN169" s="236"/>
      <c r="AJO169" s="236"/>
      <c r="AJP169" s="236"/>
      <c r="AJQ169" s="236"/>
      <c r="AJR169" s="236"/>
      <c r="AJS169" s="236"/>
      <c r="AJT169" s="236"/>
      <c r="AJU169" s="236"/>
      <c r="AJV169" s="236"/>
      <c r="AJW169" s="236"/>
      <c r="AJX169" s="236"/>
      <c r="AJY169" s="236"/>
      <c r="AJZ169" s="236"/>
      <c r="AKA169" s="236"/>
      <c r="AKB169" s="236"/>
      <c r="AKC169" s="236"/>
      <c r="AKD169" s="236"/>
      <c r="AKE169" s="236"/>
      <c r="AKF169" s="236"/>
      <c r="AKG169" s="236"/>
      <c r="AKH169" s="236"/>
      <c r="AKI169" s="236"/>
      <c r="AKJ169" s="236"/>
      <c r="AKK169" s="236"/>
      <c r="AKL169" s="236"/>
      <c r="AKM169" s="236"/>
      <c r="AKN169" s="236"/>
      <c r="AKO169" s="236"/>
      <c r="AKP169" s="236"/>
      <c r="AKQ169" s="236"/>
      <c r="AKR169" s="236"/>
      <c r="AKS169" s="236"/>
      <c r="AKT169" s="236"/>
      <c r="AKU169" s="236"/>
      <c r="AKV169" s="236"/>
      <c r="AKW169" s="236"/>
      <c r="AKX169" s="236"/>
      <c r="AKY169" s="236"/>
      <c r="AKZ169" s="236"/>
      <c r="ALA169" s="236"/>
      <c r="ALB169" s="236"/>
      <c r="ALC169" s="236"/>
      <c r="ALD169" s="236"/>
      <c r="ALE169" s="236"/>
      <c r="ALF169" s="236"/>
      <c r="ALG169" s="236"/>
      <c r="ALH169" s="236"/>
      <c r="ALI169" s="236"/>
      <c r="ALJ169" s="236"/>
      <c r="ALK169" s="236"/>
      <c r="ALL169" s="236"/>
      <c r="ALM169" s="236"/>
      <c r="ALN169" s="236"/>
      <c r="ALO169" s="236"/>
      <c r="ALP169" s="236"/>
      <c r="ALQ169" s="236"/>
      <c r="ALR169" s="236"/>
      <c r="ALS169" s="236"/>
      <c r="ALT169" s="236"/>
      <c r="ALU169" s="236"/>
      <c r="ALV169" s="236"/>
      <c r="ALW169" s="236"/>
      <c r="ALX169" s="236"/>
      <c r="ALY169" s="236"/>
      <c r="ALZ169" s="236"/>
      <c r="AMA169" s="236"/>
      <c r="AMB169" s="236"/>
      <c r="AMC169" s="236"/>
      <c r="AMD169" s="236"/>
      <c r="AME169" s="236"/>
      <c r="AMF169" s="236"/>
      <c r="AMG169" s="236"/>
      <c r="AMH169" s="236"/>
      <c r="AMI169" s="236"/>
      <c r="AMJ169" s="236"/>
      <c r="AMK169" s="236"/>
      <c r="AML169" s="236"/>
      <c r="AMM169" s="236"/>
    </row>
    <row r="170" spans="1:1027" s="243" customFormat="1" ht="80.45" customHeight="1">
      <c r="A170" s="2085"/>
      <c r="B170" s="2086"/>
      <c r="C170" s="2086"/>
      <c r="D170" s="2086"/>
      <c r="E170" s="2086"/>
      <c r="F170" s="2086"/>
      <c r="G170" s="2086"/>
      <c r="H170" s="2086"/>
      <c r="I170" s="2086"/>
      <c r="J170" s="2086"/>
      <c r="K170" s="2086"/>
      <c r="L170" s="2087"/>
      <c r="M170" s="285"/>
      <c r="N170" s="1396" t="s">
        <v>99</v>
      </c>
      <c r="O170" s="1397"/>
      <c r="P170" s="1397"/>
      <c r="Q170" s="1397"/>
      <c r="R170" s="1398"/>
      <c r="S170" s="286"/>
      <c r="T170" s="286"/>
      <c r="U170" s="286"/>
      <c r="V170" s="1396" t="s">
        <v>281</v>
      </c>
      <c r="W170" s="1397"/>
      <c r="X170" s="1397"/>
      <c r="Y170" s="1397"/>
      <c r="Z170" s="1398"/>
      <c r="AA170" s="1062"/>
      <c r="AB170" s="1399" t="s">
        <v>635</v>
      </c>
      <c r="AC170" s="1400"/>
      <c r="AD170" s="1401"/>
      <c r="AE170" s="1401"/>
      <c r="AF170" s="1401"/>
      <c r="AG170" s="1401"/>
      <c r="AH170" s="1401"/>
      <c r="AI170" s="1401"/>
      <c r="AJ170" s="1401"/>
      <c r="AK170" s="1401"/>
      <c r="AL170" s="1401"/>
      <c r="AM170" s="1401"/>
      <c r="AN170" s="1401"/>
      <c r="AO170" s="245"/>
      <c r="AP170" s="245"/>
      <c r="AQ170" s="245"/>
      <c r="AR170" s="245"/>
      <c r="AS170" s="245"/>
      <c r="AT170" s="245"/>
      <c r="AU170" s="245"/>
      <c r="AV170" s="245"/>
      <c r="AW170" s="245"/>
      <c r="AX170" s="245"/>
    </row>
    <row r="171" spans="1:1027" s="243" customFormat="1" ht="30" customHeight="1">
      <c r="A171" s="300"/>
      <c r="B171" s="300"/>
      <c r="C171" s="300"/>
      <c r="D171" s="300"/>
      <c r="E171" s="300"/>
      <c r="F171" s="300"/>
      <c r="G171" s="300"/>
      <c r="H171" s="300"/>
      <c r="I171" s="300"/>
      <c r="J171" s="300"/>
      <c r="K171" s="300"/>
      <c r="L171" s="300"/>
      <c r="M171" s="285"/>
      <c r="N171" s="1403"/>
      <c r="O171" s="1403"/>
      <c r="P171" s="1403"/>
      <c r="Q171" s="1403"/>
      <c r="R171" s="1403"/>
      <c r="S171" s="288"/>
      <c r="T171" s="288"/>
      <c r="U171" s="288"/>
      <c r="V171" s="1403"/>
      <c r="W171" s="1403"/>
      <c r="X171" s="1403"/>
      <c r="Y171" s="1403"/>
      <c r="Z171" s="1403"/>
      <c r="AA171" s="1064"/>
      <c r="AB171" s="795"/>
      <c r="AC171" s="795"/>
      <c r="AD171" s="288"/>
      <c r="AE171" s="288"/>
      <c r="AF171" s="288"/>
      <c r="AG171" s="288"/>
      <c r="AH171" s="288"/>
      <c r="AI171" s="288"/>
      <c r="AJ171" s="288"/>
      <c r="AK171" s="288"/>
      <c r="AL171" s="288"/>
      <c r="AM171" s="288"/>
      <c r="AN171" s="245"/>
      <c r="AO171" s="245"/>
      <c r="AP171" s="245"/>
      <c r="AQ171" s="245"/>
      <c r="AR171" s="245"/>
      <c r="AS171" s="245"/>
      <c r="AT171" s="245"/>
      <c r="AU171" s="245"/>
      <c r="AV171" s="245"/>
      <c r="AW171" s="245"/>
      <c r="AX171" s="245"/>
    </row>
    <row r="172" spans="1:1027" s="235" customFormat="1" ht="11.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row>
    <row r="173" spans="1:1027" s="235" customFormat="1" ht="11.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c r="AK173" s="233"/>
      <c r="AL173" s="233"/>
      <c r="AM173" s="233"/>
    </row>
  </sheetData>
  <sheetProtection formatCells="0" formatColumns="0" formatRows="0" insertRows="0" deleteColumns="0" sort="0" autoFilter="0"/>
  <mergeCells count="698">
    <mergeCell ref="AW1:AX4"/>
    <mergeCell ref="G2:V2"/>
    <mergeCell ref="AP2:AQ2"/>
    <mergeCell ref="AR2:AS2"/>
    <mergeCell ref="A3:A4"/>
    <mergeCell ref="G3:H3"/>
    <mergeCell ref="I3:N3"/>
    <mergeCell ref="O3:V3"/>
    <mergeCell ref="Z3:AB4"/>
    <mergeCell ref="AC3:AC4"/>
    <mergeCell ref="G1:V1"/>
    <mergeCell ref="X1:Y4"/>
    <mergeCell ref="Z1:AB2"/>
    <mergeCell ref="AC1:AC2"/>
    <mergeCell ref="AD1:AN2"/>
    <mergeCell ref="AP1:AS1"/>
    <mergeCell ref="AD3:AN4"/>
    <mergeCell ref="AP3:AQ3"/>
    <mergeCell ref="AR3:AS3"/>
    <mergeCell ref="G4:H4"/>
    <mergeCell ref="I4:N4"/>
    <mergeCell ref="O4:V4"/>
    <mergeCell ref="AP4:AQ4"/>
    <mergeCell ref="AR4:AS4"/>
    <mergeCell ref="AT6:AX6"/>
    <mergeCell ref="A7:A8"/>
    <mergeCell ref="B7:B8"/>
    <mergeCell ref="C7:E8"/>
    <mergeCell ref="F7:F8"/>
    <mergeCell ref="G7:I8"/>
    <mergeCell ref="J7:L8"/>
    <mergeCell ref="M7:P7"/>
    <mergeCell ref="Q7:V7"/>
    <mergeCell ref="X7:Z8"/>
    <mergeCell ref="AV7:AV8"/>
    <mergeCell ref="AW7:AW8"/>
    <mergeCell ref="AX7:AX8"/>
    <mergeCell ref="AT7:AT8"/>
    <mergeCell ref="A6:P6"/>
    <mergeCell ref="Q6:V6"/>
    <mergeCell ref="X6:AM6"/>
    <mergeCell ref="AA7:AA8"/>
    <mergeCell ref="C10:E10"/>
    <mergeCell ref="G10:I10"/>
    <mergeCell ref="J10:L10"/>
    <mergeCell ref="X10:Z10"/>
    <mergeCell ref="C11:E11"/>
    <mergeCell ref="G11:I11"/>
    <mergeCell ref="J11:L11"/>
    <mergeCell ref="X11:Z11"/>
    <mergeCell ref="AU7:AU8"/>
    <mergeCell ref="C9:E9"/>
    <mergeCell ref="G9:I9"/>
    <mergeCell ref="J9:L9"/>
    <mergeCell ref="X9:Z9"/>
    <mergeCell ref="AO7:AO8"/>
    <mergeCell ref="AP7:AP8"/>
    <mergeCell ref="AQ7:AQ8"/>
    <mergeCell ref="AR7:AR8"/>
    <mergeCell ref="AS7:AS8"/>
    <mergeCell ref="AB7:AB8"/>
    <mergeCell ref="AC7:AC8"/>
    <mergeCell ref="AD7:AD8"/>
    <mergeCell ref="AE7:AE8"/>
    <mergeCell ref="AI7:AM7"/>
    <mergeCell ref="AN7:AN8"/>
    <mergeCell ref="C14:E14"/>
    <mergeCell ref="G14:I14"/>
    <mergeCell ref="J14:L14"/>
    <mergeCell ref="X14:Z14"/>
    <mergeCell ref="C15:E15"/>
    <mergeCell ref="G15:I15"/>
    <mergeCell ref="J15:L15"/>
    <mergeCell ref="X15:Z15"/>
    <mergeCell ref="C12:E12"/>
    <mergeCell ref="G12:I12"/>
    <mergeCell ref="J12:L12"/>
    <mergeCell ref="X12:Z12"/>
    <mergeCell ref="C13:E13"/>
    <mergeCell ref="G13:I13"/>
    <mergeCell ref="J13:L13"/>
    <mergeCell ref="X13:Z13"/>
    <mergeCell ref="C18:E18"/>
    <mergeCell ref="G18:I18"/>
    <mergeCell ref="J18:L18"/>
    <mergeCell ref="X18:Z18"/>
    <mergeCell ref="C19:E19"/>
    <mergeCell ref="G19:I19"/>
    <mergeCell ref="J19:L19"/>
    <mergeCell ref="X19:Z19"/>
    <mergeCell ref="C16:E16"/>
    <mergeCell ref="G16:I16"/>
    <mergeCell ref="J16:L16"/>
    <mergeCell ref="X16:Z16"/>
    <mergeCell ref="C17:E17"/>
    <mergeCell ref="G17:I17"/>
    <mergeCell ref="J17:L17"/>
    <mergeCell ref="X17:Z17"/>
    <mergeCell ref="C22:E22"/>
    <mergeCell ref="G22:I22"/>
    <mergeCell ref="J22:L22"/>
    <mergeCell ref="X22:Z22"/>
    <mergeCell ref="C23:E23"/>
    <mergeCell ref="G23:I23"/>
    <mergeCell ref="J23:L23"/>
    <mergeCell ref="X23:Z23"/>
    <mergeCell ref="C20:E20"/>
    <mergeCell ref="G20:I20"/>
    <mergeCell ref="J20:L20"/>
    <mergeCell ref="X20:Z20"/>
    <mergeCell ref="C21:E21"/>
    <mergeCell ref="G21:I21"/>
    <mergeCell ref="J21:L21"/>
    <mergeCell ref="X21:Z21"/>
    <mergeCell ref="C26:E26"/>
    <mergeCell ref="G26:I26"/>
    <mergeCell ref="J26:L26"/>
    <mergeCell ref="X26:Z26"/>
    <mergeCell ref="C27:E27"/>
    <mergeCell ref="G27:I27"/>
    <mergeCell ref="J27:L27"/>
    <mergeCell ref="X27:Z27"/>
    <mergeCell ref="C24:E24"/>
    <mergeCell ref="G24:I24"/>
    <mergeCell ref="J24:L24"/>
    <mergeCell ref="X24:Z24"/>
    <mergeCell ref="C25:E25"/>
    <mergeCell ref="G25:I25"/>
    <mergeCell ref="J25:L25"/>
    <mergeCell ref="X25:Z25"/>
    <mergeCell ref="C30:E30"/>
    <mergeCell ref="G30:I30"/>
    <mergeCell ref="J30:L30"/>
    <mergeCell ref="X30:Z30"/>
    <mergeCell ref="C31:E31"/>
    <mergeCell ref="G31:I31"/>
    <mergeCell ref="J31:L31"/>
    <mergeCell ref="X31:Z31"/>
    <mergeCell ref="C28:E28"/>
    <mergeCell ref="G28:I28"/>
    <mergeCell ref="J28:L28"/>
    <mergeCell ref="X28:Z28"/>
    <mergeCell ref="C29:E29"/>
    <mergeCell ref="G29:I29"/>
    <mergeCell ref="J29:L29"/>
    <mergeCell ref="X29:Z29"/>
    <mergeCell ref="C34:E34"/>
    <mergeCell ref="G34:I34"/>
    <mergeCell ref="J34:L34"/>
    <mergeCell ref="X34:Z34"/>
    <mergeCell ref="C35:E35"/>
    <mergeCell ref="G35:I35"/>
    <mergeCell ref="J35:L35"/>
    <mergeCell ref="X35:Z35"/>
    <mergeCell ref="C32:E32"/>
    <mergeCell ref="G32:I32"/>
    <mergeCell ref="J32:L32"/>
    <mergeCell ref="X32:Z32"/>
    <mergeCell ref="C33:E33"/>
    <mergeCell ref="G33:I33"/>
    <mergeCell ref="J33:L33"/>
    <mergeCell ref="X33:Z33"/>
    <mergeCell ref="C38:E38"/>
    <mergeCell ref="G38:I38"/>
    <mergeCell ref="J38:L38"/>
    <mergeCell ref="X38:Z38"/>
    <mergeCell ref="C39:E39"/>
    <mergeCell ref="G39:I39"/>
    <mergeCell ref="J39:L39"/>
    <mergeCell ref="X39:Z39"/>
    <mergeCell ref="C36:E36"/>
    <mergeCell ref="G36:I36"/>
    <mergeCell ref="J36:L36"/>
    <mergeCell ref="X36:Z36"/>
    <mergeCell ref="C37:E37"/>
    <mergeCell ref="G37:I37"/>
    <mergeCell ref="J37:L37"/>
    <mergeCell ref="X37:Z37"/>
    <mergeCell ref="C42:E42"/>
    <mergeCell ref="G42:I42"/>
    <mergeCell ref="J42:L42"/>
    <mergeCell ref="X42:Z42"/>
    <mergeCell ref="C43:E43"/>
    <mergeCell ref="G43:I43"/>
    <mergeCell ref="J43:L43"/>
    <mergeCell ref="X43:Z43"/>
    <mergeCell ref="C40:E40"/>
    <mergeCell ref="G40:I40"/>
    <mergeCell ref="J40:L40"/>
    <mergeCell ref="X40:Z40"/>
    <mergeCell ref="C41:E41"/>
    <mergeCell ref="G41:I41"/>
    <mergeCell ref="J41:L41"/>
    <mergeCell ref="X41:Z41"/>
    <mergeCell ref="C46:E46"/>
    <mergeCell ref="G46:I46"/>
    <mergeCell ref="J46:L46"/>
    <mergeCell ref="X46:Z46"/>
    <mergeCell ref="C47:E47"/>
    <mergeCell ref="G47:I47"/>
    <mergeCell ref="J47:L47"/>
    <mergeCell ref="X47:Z47"/>
    <mergeCell ref="C44:E44"/>
    <mergeCell ref="G44:I44"/>
    <mergeCell ref="J44:L44"/>
    <mergeCell ref="X44:Z44"/>
    <mergeCell ref="C45:E45"/>
    <mergeCell ref="G45:I45"/>
    <mergeCell ref="J45:L45"/>
    <mergeCell ref="X45:Z45"/>
    <mergeCell ref="C50:E50"/>
    <mergeCell ref="G50:I50"/>
    <mergeCell ref="J50:L50"/>
    <mergeCell ref="X50:Z50"/>
    <mergeCell ref="C51:E51"/>
    <mergeCell ref="G51:I51"/>
    <mergeCell ref="J51:L51"/>
    <mergeCell ref="X51:Z51"/>
    <mergeCell ref="C48:E48"/>
    <mergeCell ref="G48:I48"/>
    <mergeCell ref="J48:L48"/>
    <mergeCell ref="X48:Z48"/>
    <mergeCell ref="C49:E49"/>
    <mergeCell ref="G49:I49"/>
    <mergeCell ref="J49:L49"/>
    <mergeCell ref="X49:Z49"/>
    <mergeCell ref="C54:E54"/>
    <mergeCell ref="G54:I54"/>
    <mergeCell ref="J54:L54"/>
    <mergeCell ref="X54:Z54"/>
    <mergeCell ref="C55:E55"/>
    <mergeCell ref="G55:I55"/>
    <mergeCell ref="J55:L55"/>
    <mergeCell ref="X55:Z55"/>
    <mergeCell ref="C52:E52"/>
    <mergeCell ref="G52:I52"/>
    <mergeCell ref="J52:L52"/>
    <mergeCell ref="X52:Z52"/>
    <mergeCell ref="C53:E53"/>
    <mergeCell ref="G53:I53"/>
    <mergeCell ref="J53:L53"/>
    <mergeCell ref="X53:Z53"/>
    <mergeCell ref="C58:E58"/>
    <mergeCell ref="G58:I58"/>
    <mergeCell ref="J58:L58"/>
    <mergeCell ref="X58:Z58"/>
    <mergeCell ref="C59:E59"/>
    <mergeCell ref="G59:I59"/>
    <mergeCell ref="J59:L59"/>
    <mergeCell ref="X59:Z59"/>
    <mergeCell ref="C56:E56"/>
    <mergeCell ref="G56:I56"/>
    <mergeCell ref="J56:L56"/>
    <mergeCell ref="X56:Z56"/>
    <mergeCell ref="C57:E57"/>
    <mergeCell ref="G57:I57"/>
    <mergeCell ref="J57:L57"/>
    <mergeCell ref="X57:Z57"/>
    <mergeCell ref="C62:E62"/>
    <mergeCell ref="G62:I62"/>
    <mergeCell ref="J62:L62"/>
    <mergeCell ref="X62:Z62"/>
    <mergeCell ref="C63:E63"/>
    <mergeCell ref="G63:I63"/>
    <mergeCell ref="J63:L63"/>
    <mergeCell ref="X63:Z63"/>
    <mergeCell ref="C60:E60"/>
    <mergeCell ref="G60:I60"/>
    <mergeCell ref="J60:L60"/>
    <mergeCell ref="X60:Z60"/>
    <mergeCell ref="C61:E61"/>
    <mergeCell ref="G61:I61"/>
    <mergeCell ref="J61:L61"/>
    <mergeCell ref="X61:Z61"/>
    <mergeCell ref="C66:E66"/>
    <mergeCell ref="G66:I66"/>
    <mergeCell ref="J66:L66"/>
    <mergeCell ref="X66:Z66"/>
    <mergeCell ref="C67:E67"/>
    <mergeCell ref="G67:I67"/>
    <mergeCell ref="J67:L67"/>
    <mergeCell ref="X67:Z67"/>
    <mergeCell ref="C64:E64"/>
    <mergeCell ref="G64:I64"/>
    <mergeCell ref="J64:L64"/>
    <mergeCell ref="X64:Z64"/>
    <mergeCell ref="C65:E65"/>
    <mergeCell ref="G65:I65"/>
    <mergeCell ref="J65:L65"/>
    <mergeCell ref="X65:Z65"/>
    <mergeCell ref="C70:E70"/>
    <mergeCell ref="G70:I70"/>
    <mergeCell ref="J70:L70"/>
    <mergeCell ref="X70:Z70"/>
    <mergeCell ref="C71:E71"/>
    <mergeCell ref="G71:I71"/>
    <mergeCell ref="J71:L71"/>
    <mergeCell ref="X71:Z71"/>
    <mergeCell ref="C68:E68"/>
    <mergeCell ref="G68:I68"/>
    <mergeCell ref="J68:L68"/>
    <mergeCell ref="X68:Z68"/>
    <mergeCell ref="C69:E69"/>
    <mergeCell ref="G69:I69"/>
    <mergeCell ref="J69:L69"/>
    <mergeCell ref="X69:Z69"/>
    <mergeCell ref="C74:E74"/>
    <mergeCell ref="G74:I74"/>
    <mergeCell ref="J74:L74"/>
    <mergeCell ref="X74:Z74"/>
    <mergeCell ref="C75:E75"/>
    <mergeCell ref="G75:I75"/>
    <mergeCell ref="J75:L75"/>
    <mergeCell ref="X75:Z75"/>
    <mergeCell ref="C72:E72"/>
    <mergeCell ref="G72:I72"/>
    <mergeCell ref="J72:L72"/>
    <mergeCell ref="X72:Z72"/>
    <mergeCell ref="C73:E73"/>
    <mergeCell ref="G73:I73"/>
    <mergeCell ref="J73:L73"/>
    <mergeCell ref="X73:Z73"/>
    <mergeCell ref="C78:E78"/>
    <mergeCell ref="G78:I78"/>
    <mergeCell ref="J78:L78"/>
    <mergeCell ref="X78:Z78"/>
    <mergeCell ref="C79:E79"/>
    <mergeCell ref="G79:I79"/>
    <mergeCell ref="J79:L79"/>
    <mergeCell ref="X79:Z79"/>
    <mergeCell ref="C76:E76"/>
    <mergeCell ref="G76:I76"/>
    <mergeCell ref="J76:L76"/>
    <mergeCell ref="X76:Z76"/>
    <mergeCell ref="C77:E77"/>
    <mergeCell ref="G77:I77"/>
    <mergeCell ref="J77:L77"/>
    <mergeCell ref="X77:Z77"/>
    <mergeCell ref="C82:E82"/>
    <mergeCell ref="G82:I82"/>
    <mergeCell ref="J82:L82"/>
    <mergeCell ref="X82:Z82"/>
    <mergeCell ref="C83:E83"/>
    <mergeCell ref="G83:I83"/>
    <mergeCell ref="J83:L83"/>
    <mergeCell ref="X83:Z83"/>
    <mergeCell ref="C80:E80"/>
    <mergeCell ref="G80:I80"/>
    <mergeCell ref="J80:L80"/>
    <mergeCell ref="X80:Z80"/>
    <mergeCell ref="C81:E81"/>
    <mergeCell ref="G81:I81"/>
    <mergeCell ref="J81:L81"/>
    <mergeCell ref="X81:Z81"/>
    <mergeCell ref="C86:E86"/>
    <mergeCell ref="G86:I86"/>
    <mergeCell ref="J86:L86"/>
    <mergeCell ref="X86:Z86"/>
    <mergeCell ref="C87:E87"/>
    <mergeCell ref="G87:I87"/>
    <mergeCell ref="J87:L87"/>
    <mergeCell ref="X87:Z87"/>
    <mergeCell ref="C84:E84"/>
    <mergeCell ref="G84:I84"/>
    <mergeCell ref="J84:L84"/>
    <mergeCell ref="X84:Z84"/>
    <mergeCell ref="C85:E85"/>
    <mergeCell ref="G85:I85"/>
    <mergeCell ref="J85:L85"/>
    <mergeCell ref="X85:Z85"/>
    <mergeCell ref="C90:E90"/>
    <mergeCell ref="G90:I90"/>
    <mergeCell ref="J90:L90"/>
    <mergeCell ref="X90:Z90"/>
    <mergeCell ref="C91:E91"/>
    <mergeCell ref="G91:I91"/>
    <mergeCell ref="J91:L91"/>
    <mergeCell ref="X91:Z91"/>
    <mergeCell ref="C88:E88"/>
    <mergeCell ref="G88:I88"/>
    <mergeCell ref="J88:L88"/>
    <mergeCell ref="X88:Z88"/>
    <mergeCell ref="C89:E89"/>
    <mergeCell ref="G89:I89"/>
    <mergeCell ref="J89:L89"/>
    <mergeCell ref="X89:Z89"/>
    <mergeCell ref="C94:E94"/>
    <mergeCell ref="G94:I94"/>
    <mergeCell ref="J94:L94"/>
    <mergeCell ref="X94:Z94"/>
    <mergeCell ref="C95:E95"/>
    <mergeCell ref="G95:I95"/>
    <mergeCell ref="J95:L95"/>
    <mergeCell ref="X95:Z95"/>
    <mergeCell ref="C92:E92"/>
    <mergeCell ref="G92:I92"/>
    <mergeCell ref="J92:L92"/>
    <mergeCell ref="X92:Z92"/>
    <mergeCell ref="C93:E93"/>
    <mergeCell ref="G93:I93"/>
    <mergeCell ref="J93:L93"/>
    <mergeCell ref="X93:Z93"/>
    <mergeCell ref="C98:E98"/>
    <mergeCell ref="G98:I98"/>
    <mergeCell ref="J98:L98"/>
    <mergeCell ref="X98:Z98"/>
    <mergeCell ref="C99:E99"/>
    <mergeCell ref="G99:I99"/>
    <mergeCell ref="J99:L99"/>
    <mergeCell ref="X99:Z99"/>
    <mergeCell ref="C96:E96"/>
    <mergeCell ref="G96:I96"/>
    <mergeCell ref="J96:L96"/>
    <mergeCell ref="X96:Z96"/>
    <mergeCell ref="C97:E97"/>
    <mergeCell ref="G97:I97"/>
    <mergeCell ref="J97:L97"/>
    <mergeCell ref="X97:Z97"/>
    <mergeCell ref="C102:E102"/>
    <mergeCell ref="G102:I102"/>
    <mergeCell ref="J102:L102"/>
    <mergeCell ref="X102:Z102"/>
    <mergeCell ref="C103:E103"/>
    <mergeCell ref="G103:I103"/>
    <mergeCell ref="J103:L103"/>
    <mergeCell ref="X103:Z103"/>
    <mergeCell ref="C100:E100"/>
    <mergeCell ref="G100:I100"/>
    <mergeCell ref="J100:L100"/>
    <mergeCell ref="X100:Z100"/>
    <mergeCell ref="C101:E101"/>
    <mergeCell ref="G101:I101"/>
    <mergeCell ref="J101:L101"/>
    <mergeCell ref="X101:Z101"/>
    <mergeCell ref="C106:E106"/>
    <mergeCell ref="G106:I106"/>
    <mergeCell ref="J106:L106"/>
    <mergeCell ref="X106:Z106"/>
    <mergeCell ref="C107:E107"/>
    <mergeCell ref="G107:I107"/>
    <mergeCell ref="J107:L107"/>
    <mergeCell ref="X107:Z107"/>
    <mergeCell ref="C104:E104"/>
    <mergeCell ref="G104:I104"/>
    <mergeCell ref="J104:L104"/>
    <mergeCell ref="X104:Z104"/>
    <mergeCell ref="C105:E105"/>
    <mergeCell ref="G105:I105"/>
    <mergeCell ref="J105:L105"/>
    <mergeCell ref="X105:Z105"/>
    <mergeCell ref="C110:E110"/>
    <mergeCell ref="G110:I110"/>
    <mergeCell ref="J110:L110"/>
    <mergeCell ref="X110:Z110"/>
    <mergeCell ref="C111:E111"/>
    <mergeCell ref="G111:I111"/>
    <mergeCell ref="J111:L111"/>
    <mergeCell ref="X111:Z111"/>
    <mergeCell ref="C108:E108"/>
    <mergeCell ref="G108:I108"/>
    <mergeCell ref="J108:L108"/>
    <mergeCell ref="X108:Z108"/>
    <mergeCell ref="C109:E109"/>
    <mergeCell ref="G109:I109"/>
    <mergeCell ref="J109:L109"/>
    <mergeCell ref="X109:Z109"/>
    <mergeCell ref="C114:E114"/>
    <mergeCell ref="G114:I114"/>
    <mergeCell ref="J114:L114"/>
    <mergeCell ref="X114:Z114"/>
    <mergeCell ref="C115:E115"/>
    <mergeCell ref="G115:I115"/>
    <mergeCell ref="J115:L115"/>
    <mergeCell ref="X115:Z115"/>
    <mergeCell ref="C112:E112"/>
    <mergeCell ref="G112:I112"/>
    <mergeCell ref="J112:L112"/>
    <mergeCell ref="X112:Z112"/>
    <mergeCell ref="C113:E113"/>
    <mergeCell ref="G113:I113"/>
    <mergeCell ref="J113:L113"/>
    <mergeCell ref="X113:Z113"/>
    <mergeCell ref="C118:E118"/>
    <mergeCell ref="G118:I118"/>
    <mergeCell ref="J118:L118"/>
    <mergeCell ref="X118:Z118"/>
    <mergeCell ref="C119:E119"/>
    <mergeCell ref="G119:I119"/>
    <mergeCell ref="J119:L119"/>
    <mergeCell ref="X119:Z119"/>
    <mergeCell ref="C116:E116"/>
    <mergeCell ref="G116:I116"/>
    <mergeCell ref="J116:L116"/>
    <mergeCell ref="X116:Z116"/>
    <mergeCell ref="C117:E117"/>
    <mergeCell ref="G117:I117"/>
    <mergeCell ref="J117:L117"/>
    <mergeCell ref="X117:Z117"/>
    <mergeCell ref="C122:E122"/>
    <mergeCell ref="G122:I122"/>
    <mergeCell ref="J122:L122"/>
    <mergeCell ref="X122:Z122"/>
    <mergeCell ref="C123:E123"/>
    <mergeCell ref="G123:I123"/>
    <mergeCell ref="J123:L123"/>
    <mergeCell ref="X123:Z123"/>
    <mergeCell ref="C120:E120"/>
    <mergeCell ref="G120:I120"/>
    <mergeCell ref="J120:L120"/>
    <mergeCell ref="X120:Z120"/>
    <mergeCell ref="C121:E121"/>
    <mergeCell ref="G121:I121"/>
    <mergeCell ref="J121:L121"/>
    <mergeCell ref="X121:Z121"/>
    <mergeCell ref="C126:E126"/>
    <mergeCell ref="G126:I126"/>
    <mergeCell ref="J126:L126"/>
    <mergeCell ref="X126:Z126"/>
    <mergeCell ref="C127:E127"/>
    <mergeCell ref="G127:I127"/>
    <mergeCell ref="J127:L127"/>
    <mergeCell ref="X127:Z127"/>
    <mergeCell ref="C124:E124"/>
    <mergeCell ref="G124:I124"/>
    <mergeCell ref="J124:L124"/>
    <mergeCell ref="X124:Z124"/>
    <mergeCell ref="C125:E125"/>
    <mergeCell ref="G125:I125"/>
    <mergeCell ref="J125:L125"/>
    <mergeCell ref="X125:Z125"/>
    <mergeCell ref="C130:E130"/>
    <mergeCell ref="G130:I130"/>
    <mergeCell ref="J130:L130"/>
    <mergeCell ref="X130:Z130"/>
    <mergeCell ref="C131:E131"/>
    <mergeCell ref="G131:I131"/>
    <mergeCell ref="J131:L131"/>
    <mergeCell ref="X131:Z131"/>
    <mergeCell ref="C128:E128"/>
    <mergeCell ref="G128:I128"/>
    <mergeCell ref="J128:L128"/>
    <mergeCell ref="X128:Z128"/>
    <mergeCell ref="C129:E129"/>
    <mergeCell ref="G129:I129"/>
    <mergeCell ref="J129:L129"/>
    <mergeCell ref="X129:Z129"/>
    <mergeCell ref="C134:E134"/>
    <mergeCell ref="G134:I134"/>
    <mergeCell ref="J134:L134"/>
    <mergeCell ref="X134:Z134"/>
    <mergeCell ref="C135:E135"/>
    <mergeCell ref="G135:I135"/>
    <mergeCell ref="J135:L135"/>
    <mergeCell ref="X135:Z135"/>
    <mergeCell ref="C132:E132"/>
    <mergeCell ref="G132:I132"/>
    <mergeCell ref="J132:L132"/>
    <mergeCell ref="X132:Z132"/>
    <mergeCell ref="C133:E133"/>
    <mergeCell ref="G133:I133"/>
    <mergeCell ref="J133:L133"/>
    <mergeCell ref="X133:Z133"/>
    <mergeCell ref="C138:E138"/>
    <mergeCell ref="G138:I138"/>
    <mergeCell ref="J138:L138"/>
    <mergeCell ref="X138:Z138"/>
    <mergeCell ref="C139:E139"/>
    <mergeCell ref="G139:I139"/>
    <mergeCell ref="J139:L139"/>
    <mergeCell ref="X139:Z139"/>
    <mergeCell ref="C136:E136"/>
    <mergeCell ref="G136:I136"/>
    <mergeCell ref="J136:L136"/>
    <mergeCell ref="X136:Z136"/>
    <mergeCell ref="C137:E137"/>
    <mergeCell ref="G137:I137"/>
    <mergeCell ref="J137:L137"/>
    <mergeCell ref="X137:Z137"/>
    <mergeCell ref="C142:E142"/>
    <mergeCell ref="G142:I142"/>
    <mergeCell ref="J142:L142"/>
    <mergeCell ref="X142:Z142"/>
    <mergeCell ref="C143:E143"/>
    <mergeCell ref="G143:I143"/>
    <mergeCell ref="J143:L143"/>
    <mergeCell ref="X143:Z143"/>
    <mergeCell ref="C140:E140"/>
    <mergeCell ref="G140:I140"/>
    <mergeCell ref="J140:L140"/>
    <mergeCell ref="X140:Z140"/>
    <mergeCell ref="C141:E141"/>
    <mergeCell ref="G141:I141"/>
    <mergeCell ref="J141:L141"/>
    <mergeCell ref="X141:Z141"/>
    <mergeCell ref="C146:E146"/>
    <mergeCell ref="G146:I146"/>
    <mergeCell ref="J146:L146"/>
    <mergeCell ref="X146:Z146"/>
    <mergeCell ref="C147:E147"/>
    <mergeCell ref="G147:I147"/>
    <mergeCell ref="J147:L147"/>
    <mergeCell ref="X147:Z147"/>
    <mergeCell ref="C144:E144"/>
    <mergeCell ref="G144:I144"/>
    <mergeCell ref="J144:L144"/>
    <mergeCell ref="X144:Z144"/>
    <mergeCell ref="C145:E145"/>
    <mergeCell ref="G145:I145"/>
    <mergeCell ref="J145:L145"/>
    <mergeCell ref="X145:Z145"/>
    <mergeCell ref="C150:E150"/>
    <mergeCell ref="G150:I150"/>
    <mergeCell ref="J150:L150"/>
    <mergeCell ref="X150:Z150"/>
    <mergeCell ref="C151:E151"/>
    <mergeCell ref="G151:I151"/>
    <mergeCell ref="J151:L151"/>
    <mergeCell ref="X151:Z151"/>
    <mergeCell ref="C148:E148"/>
    <mergeCell ref="G148:I148"/>
    <mergeCell ref="J148:L148"/>
    <mergeCell ref="X148:Z148"/>
    <mergeCell ref="C149:E149"/>
    <mergeCell ref="G149:I149"/>
    <mergeCell ref="J149:L149"/>
    <mergeCell ref="X149:Z149"/>
    <mergeCell ref="C154:E154"/>
    <mergeCell ref="G154:I154"/>
    <mergeCell ref="J154:L154"/>
    <mergeCell ref="X154:Z154"/>
    <mergeCell ref="C155:E155"/>
    <mergeCell ref="G155:I155"/>
    <mergeCell ref="J155:L155"/>
    <mergeCell ref="X155:Z155"/>
    <mergeCell ref="C152:E152"/>
    <mergeCell ref="G152:I152"/>
    <mergeCell ref="J152:L152"/>
    <mergeCell ref="X152:Z152"/>
    <mergeCell ref="C153:E153"/>
    <mergeCell ref="G153:I153"/>
    <mergeCell ref="J153:L153"/>
    <mergeCell ref="X153:Z153"/>
    <mergeCell ref="C158:E158"/>
    <mergeCell ref="G158:I158"/>
    <mergeCell ref="J158:L158"/>
    <mergeCell ref="X158:Z158"/>
    <mergeCell ref="C159:E159"/>
    <mergeCell ref="G159:I159"/>
    <mergeCell ref="J159:L159"/>
    <mergeCell ref="X159:Z159"/>
    <mergeCell ref="C156:E156"/>
    <mergeCell ref="G156:I156"/>
    <mergeCell ref="J156:L156"/>
    <mergeCell ref="X156:Z156"/>
    <mergeCell ref="C157:E157"/>
    <mergeCell ref="G157:I157"/>
    <mergeCell ref="J157:L157"/>
    <mergeCell ref="X157:Z157"/>
    <mergeCell ref="C162:E162"/>
    <mergeCell ref="G162:I162"/>
    <mergeCell ref="J162:L162"/>
    <mergeCell ref="X162:Z162"/>
    <mergeCell ref="C163:E163"/>
    <mergeCell ref="G163:I163"/>
    <mergeCell ref="J163:L163"/>
    <mergeCell ref="X163:Z163"/>
    <mergeCell ref="C160:E160"/>
    <mergeCell ref="G160:I160"/>
    <mergeCell ref="J160:L160"/>
    <mergeCell ref="X160:Z160"/>
    <mergeCell ref="C161:E161"/>
    <mergeCell ref="G161:I161"/>
    <mergeCell ref="J161:L161"/>
    <mergeCell ref="X161:Z161"/>
    <mergeCell ref="C166:E166"/>
    <mergeCell ref="G166:I166"/>
    <mergeCell ref="J166:L166"/>
    <mergeCell ref="X166:Z166"/>
    <mergeCell ref="A168:L169"/>
    <mergeCell ref="N169:R169"/>
    <mergeCell ref="V169:Z169"/>
    <mergeCell ref="C164:E164"/>
    <mergeCell ref="G164:I164"/>
    <mergeCell ref="J164:L164"/>
    <mergeCell ref="X164:Z164"/>
    <mergeCell ref="C165:E165"/>
    <mergeCell ref="G165:I165"/>
    <mergeCell ref="J165:L165"/>
    <mergeCell ref="X165:Z165"/>
    <mergeCell ref="N171:R171"/>
    <mergeCell ref="V171:Z171"/>
    <mergeCell ref="AB169:AC169"/>
    <mergeCell ref="AD169:AN169"/>
    <mergeCell ref="A170:L170"/>
    <mergeCell ref="N170:R170"/>
    <mergeCell ref="V170:Z170"/>
    <mergeCell ref="AB170:AC170"/>
    <mergeCell ref="AD170:AN170"/>
  </mergeCells>
  <dataValidations count="6">
    <dataValidation type="list" allowBlank="1" showInputMessage="1" showErrorMessage="1" sqref="WNE9:WNE166 WDI9:WDI166 VTM9:VTM166 VJQ9:VJQ166 UZU9:UZU166 UPY9:UPY166 UGC9:UGC166 TWG9:TWG166 TMK9:TMK166 TCO9:TCO166 SSS9:SSS166 SIW9:SIW166 RZA9:RZA166 RPE9:RPE166 RFI9:RFI166 QVM9:QVM166 QLQ9:QLQ166 QBU9:QBU166 PRY9:PRY166 PIC9:PIC166 OYG9:OYG166 OOK9:OOK166 OEO9:OEO166 NUS9:NUS166 NKW9:NKW166 NBA9:NBA166 MRE9:MRE166 MHI9:MHI166 LXM9:LXM166 LNQ9:LNQ166 LDU9:LDU166 KTY9:KTY166 KKC9:KKC166 KAG9:KAG166 JQK9:JQK166 JGO9:JGO166 IWS9:IWS166 IMW9:IMW166 IDA9:IDA166 HTE9:HTE166 HJI9:HJI166 GZM9:GZM166 GPQ9:GPQ166 GFU9:GFU166 FVY9:FVY166 FMC9:FMC166 FCG9:FCG166 ESK9:ESK166 EIO9:EIO166 DYS9:DYS166 DOW9:DOW166 DFA9:DFA166 CVE9:CVE166 CLI9:CLI166 CBM9:CBM166 BRQ9:BRQ166 BHU9:BHU166 AXY9:AXY166 AOC9:AOC166 AEG9:AEG166 UK9:UK166 KO9:KO166 WXA9:WXA166 AS9:AS166">
      <formula1>SINO</formula1>
    </dataValidation>
    <dataValidation type="whole" allowBlank="1" showInputMessage="1" showErrorMessage="1" sqref="AD9:AD166 WCT9:WCT166 VSX9:VSX166 VJB9:VJB166 UZF9:UZF166 UPJ9:UPJ166 UFN9:UFN166 TVR9:TVR166 TLV9:TLV166 TBZ9:TBZ166 SSD9:SSD166 SIH9:SIH166 RYL9:RYL166 ROP9:ROP166 RET9:RET166 QUX9:QUX166 QLB9:QLB166 QBF9:QBF166 PRJ9:PRJ166 PHN9:PHN166 OXR9:OXR166 ONV9:ONV166 ODZ9:ODZ166 NUD9:NUD166 NKH9:NKH166 NAL9:NAL166 MQP9:MQP166 MGT9:MGT166 LWX9:LWX166 LNB9:LNB166 LDF9:LDF166 KTJ9:KTJ166 KJN9:KJN166 JZR9:JZR166 JPV9:JPV166 JFZ9:JFZ166 IWD9:IWD166 IMH9:IMH166 ICL9:ICL166 HSP9:HSP166 HIT9:HIT166 GYX9:GYX166 GPB9:GPB166 GFF9:GFF166 FVJ9:FVJ166 FLN9:FLN166 FBR9:FBR166 ERV9:ERV166 EHZ9:EHZ166 DYD9:DYD166 DOH9:DOH166 DEL9:DEL166 CUP9:CUP166 CKT9:CKT166 CAX9:CAX166 BRB9:BRB166 BHF9:BHF166 AXJ9:AXJ166 ANN9:ANN166 ADR9:ADR166 TV9:TV166 JZ9:JZ166 WMP9:WMP166 WWL9:WWL166">
      <formula1>0</formula1>
      <formula2>100</formula2>
    </dataValidation>
    <dataValidation showInputMessage="1" showErrorMessage="1" sqref="AG9:AK166 WCW9:WDA166 VTA9:VTE166 VJE9:VJI166 UZI9:UZM166 UPM9:UPQ166 UFQ9:UFU166 TVU9:TVY166 TLY9:TMC166 TCC9:TCG166 SSG9:SSK166 SIK9:SIO166 RYO9:RYS166 ROS9:ROW166 REW9:RFA166 QVA9:QVE166 QLE9:QLI166 QBI9:QBM166 PRM9:PRQ166 PHQ9:PHU166 OXU9:OXY166 ONY9:OOC166 OEC9:OEG166 NUG9:NUK166 NKK9:NKO166 NAO9:NAS166 MQS9:MQW166 MGW9:MHA166 LXA9:LXE166 LNE9:LNI166 LDI9:LDM166 KTM9:KTQ166 KJQ9:KJU166 JZU9:JZY166 JPY9:JQC166 JGC9:JGG166 IWG9:IWK166 IMK9:IMO166 ICO9:ICS166 HSS9:HSW166 HIW9:HJA166 GZA9:GZE166 GPE9:GPI166 GFI9:GFM166 FVM9:FVQ166 FLQ9:FLU166 FBU9:FBY166 ERY9:ESC166 EIC9:EIG166 DYG9:DYK166 DOK9:DOO166 DEO9:DES166 CUS9:CUW166 CKW9:CLA166 CBA9:CBE166 BRE9:BRI166 BHI9:BHM166 AXM9:AXQ166 ANQ9:ANU166 ADU9:ADY166 TY9:UC166 KC9:KG166 WMS9:WMW166 WWO9:WWS166"/>
    <dataValidation type="list" showInputMessage="1" showErrorMessage="1" errorTitle="Rechazado" error="Solo son validadas las opciones de la lista" sqref="AE9:AE166 WCU9:WCU166 VSY9:VSY166 VJC9:VJC166 UZG9:UZG166 UPK9:UPK166 UFO9:UFO166 TVS9:TVS166 TLW9:TLW166 TCA9:TCA166 SSE9:SSE166 SII9:SII166 RYM9:RYM166 ROQ9:ROQ166 REU9:REU166 QUY9:QUY166 QLC9:QLC166 QBG9:QBG166 PRK9:PRK166 PHO9:PHO166 OXS9:OXS166 ONW9:ONW166 OEA9:OEA166 NUE9:NUE166 NKI9:NKI166 NAM9:NAM166 MQQ9:MQQ166 MGU9:MGU166 LWY9:LWY166 LNC9:LNC166 LDG9:LDG166 KTK9:KTK166 KJO9:KJO166 JZS9:JZS166 JPW9:JPW166 JGA9:JGA166 IWE9:IWE166 IMI9:IMI166 ICM9:ICM166 HSQ9:HSQ166 HIU9:HIU166 GYY9:GYY166 GPC9:GPC166 GFG9:GFG166 FVK9:FVK166 FLO9:FLO166 FBS9:FBS166 ERW9:ERW166 EIA9:EIA166 DYE9:DYE166 DOI9:DOI166 DEM9:DEM166 CUQ9:CUQ166 CKU9:CKU166 CAY9:CAY166 BRC9:BRC166 BHG9:BHG166 AXK9:AXK166 ANO9:ANO166 ADS9:ADS166 TW9:TW166 KA9:KA166 WMQ9:WMQ166 WWM9:WWM166">
      <formula1>Efecto</formula1>
    </dataValidation>
    <dataValidation type="list" allowBlank="1" showInputMessage="1" showErrorMessage="1" sqref="R9:R166 WCI9:WCI166 VSM9:VSM166 VIQ9:VIQ166 UYU9:UYU166 UOY9:UOY166 UFC9:UFC166 TVG9:TVG166 TLK9:TLK166 TBO9:TBO166 SRS9:SRS166 SHW9:SHW166 RYA9:RYA166 ROE9:ROE166 REI9:REI166 QUM9:QUM166 QKQ9:QKQ166 QAU9:QAU166 PQY9:PQY166 PHC9:PHC166 OXG9:OXG166 ONK9:ONK166 ODO9:ODO166 NTS9:NTS166 NJW9:NJW166 NAA9:NAA166 MQE9:MQE166 MGI9:MGI166 LWM9:LWM166 LMQ9:LMQ166 LCU9:LCU166 KSY9:KSY166 KJC9:KJC166 JZG9:JZG166 JPK9:JPK166 JFO9:JFO166 IVS9:IVS166 ILW9:ILW166 ICA9:ICA166 HSE9:HSE166 HII9:HII166 GYM9:GYM166 GOQ9:GOQ166 GEU9:GEU166 FUY9:FUY166 FLC9:FLC166 FBG9:FBG166 ERK9:ERK166 EHO9:EHO166 DXS9:DXS166 DNW9:DNW166 DEA9:DEA166 CUE9:CUE166 CKI9:CKI166 CAM9:CAM166 BQQ9:BQQ166 BGU9:BGU166 AWY9:AWY166 ANC9:ANC166 ADG9:ADG166 TK9:TK166 JO9:JO166 WME9:WME166 WWA9:WWA166">
      <formula1>IMPACTO</formula1>
    </dataValidation>
    <dataValidation type="list" allowBlank="1" showInputMessage="1" showErrorMessage="1" sqref="Q9:Q166 WCH9:WCH166 VSL9:VSL166 VIP9:VIP166 UYT9:UYT166 UOX9:UOX166 UFB9:UFB166 TVF9:TVF166 TLJ9:TLJ166 TBN9:TBN166 SRR9:SRR166 SHV9:SHV166 RXZ9:RXZ166 ROD9:ROD166 REH9:REH166 QUL9:QUL166 QKP9:QKP166 QAT9:QAT166 PQX9:PQX166 PHB9:PHB166 OXF9:OXF166 ONJ9:ONJ166 ODN9:ODN166 NTR9:NTR166 NJV9:NJV166 MZZ9:MZZ166 MQD9:MQD166 MGH9:MGH166 LWL9:LWL166 LMP9:LMP166 LCT9:LCT166 KSX9:KSX166 KJB9:KJB166 JZF9:JZF166 JPJ9:JPJ166 JFN9:JFN166 IVR9:IVR166 ILV9:ILV166 IBZ9:IBZ166 HSD9:HSD166 HIH9:HIH166 GYL9:GYL166 GOP9:GOP166 GET9:GET166 FUX9:FUX166 FLB9:FLB166 FBF9:FBF166 ERJ9:ERJ166 EHN9:EHN166 DXR9:DXR166 DNV9:DNV166 DDZ9:DDZ166 CUD9:CUD166 CKH9:CKH166 CAL9:CAL166 BQP9:BQP166 BGT9:BGT166 AWX9:AWX166 ANB9:ANB166 ADF9:ADF166 TJ9:TJ166 JN9:JN166 WMD9:WMD166 WVZ9:WVZ166">
      <formula1>PROBAB</formula1>
    </dataValidation>
  </dataValidations>
  <printOptions horizontalCentered="1"/>
  <pageMargins left="0.78740157480314965" right="0.78740157480314965" top="0.59055118110236227" bottom="0.59055118110236227" header="0.51181102362204722" footer="0.27559055118110237"/>
  <pageSetup paperSize="5" scale="41" firstPageNumber="0" fitToHeight="0" orientation="landscape" r:id="rId1"/>
  <headerFooter>
    <oddFooter>&amp;L&amp;9Formato: FO-AC-07 Versión: 3&amp;C&amp;9Página &amp;P</oddFooter>
  </headerFooter>
  <rowBreaks count="1" manualBreakCount="1">
    <brk id="10" max="48"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M178"/>
  <sheetViews>
    <sheetView view="pageBreakPreview" zoomScaleNormal="40" zoomScaleSheetLayoutView="100" zoomScalePageLayoutView="95" workbookViewId="0">
      <pane xSplit="2" ySplit="8" topLeftCell="C9" activePane="bottomRight" state="frozen"/>
      <selection pane="topRight" activeCell="C1" sqref="C1"/>
      <selection pane="bottomLeft" activeCell="A9" sqref="A9"/>
      <selection pane="bottomRight" activeCell="C9" sqref="C9:E10"/>
    </sheetView>
  </sheetViews>
  <sheetFormatPr baseColWidth="10" defaultRowHeight="12.75"/>
  <cols>
    <col min="1" max="1" width="12" style="235" customWidth="1"/>
    <col min="2" max="2" width="2.7109375" style="235" customWidth="1"/>
    <col min="3" max="4" width="6.5703125" style="235" customWidth="1"/>
    <col min="5" max="5" width="5.85546875" style="235" customWidth="1"/>
    <col min="6" max="6" width="6.5703125" style="235" customWidth="1"/>
    <col min="7" max="8" width="8.42578125" style="235" customWidth="1"/>
    <col min="9" max="9" width="18.140625" style="235" customWidth="1"/>
    <col min="10" max="10" width="2.5703125" style="235" customWidth="1"/>
    <col min="11" max="12" width="9.5703125" style="235" customWidth="1"/>
    <col min="13" max="15" width="3.7109375" style="235" customWidth="1"/>
    <col min="16" max="16" width="3.5703125" style="235" customWidth="1"/>
    <col min="17" max="17" width="2.85546875" style="235" customWidth="1"/>
    <col min="18" max="18" width="3" style="235" customWidth="1"/>
    <col min="19" max="21" width="0" style="235" hidden="1" customWidth="1"/>
    <col min="22" max="22" width="4.42578125" style="235" customWidth="1"/>
    <col min="23" max="23" width="0" style="235" hidden="1" customWidth="1"/>
    <col min="24" max="25" width="14.28515625" style="235" customWidth="1"/>
    <col min="26" max="26" width="33.140625" style="235" customWidth="1"/>
    <col min="27" max="27" width="16" style="1126" customWidth="1"/>
    <col min="28" max="28" width="6.42578125" style="235" customWidth="1"/>
    <col min="29" max="29" width="33" style="235" customWidth="1"/>
    <col min="30" max="30" width="4.140625" style="235" customWidth="1"/>
    <col min="31" max="31" width="3" style="235" customWidth="1"/>
    <col min="32" max="34" width="0" style="235" hidden="1" customWidth="1"/>
    <col min="35" max="35" width="3" style="235" customWidth="1"/>
    <col min="36" max="36" width="0" style="235" hidden="1" customWidth="1"/>
    <col min="37" max="37" width="3" style="235" customWidth="1"/>
    <col min="38" max="38" width="0" style="235" hidden="1" customWidth="1"/>
    <col min="39" max="39" width="4.42578125" style="235" customWidth="1"/>
    <col min="40" max="40" width="34.28515625" style="235" customWidth="1"/>
    <col min="41" max="41" width="23.42578125" style="235" customWidth="1"/>
    <col min="42" max="42" width="9.140625" style="235" customWidth="1"/>
    <col min="43" max="43" width="19.5703125" style="235" customWidth="1"/>
    <col min="44" max="44" width="42.7109375" style="235" customWidth="1"/>
    <col min="45" max="45" width="5.85546875" style="235" customWidth="1"/>
    <col min="46" max="46" width="31.5703125" style="235" customWidth="1"/>
    <col min="47" max="47" width="16.140625" style="235" customWidth="1"/>
    <col min="48" max="49" width="9.28515625" style="235" customWidth="1"/>
    <col min="50" max="50" width="11.140625" style="235" customWidth="1"/>
    <col min="51" max="51" width="2.140625" style="235" customWidth="1"/>
    <col min="52"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11.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2212" t="s">
        <v>90</v>
      </c>
      <c r="AE1" s="2212"/>
      <c r="AF1" s="2212"/>
      <c r="AG1" s="2212"/>
      <c r="AH1" s="2212"/>
      <c r="AI1" s="2212"/>
      <c r="AJ1" s="2212"/>
      <c r="AK1" s="2212"/>
      <c r="AL1" s="2212"/>
      <c r="AM1" s="2212"/>
      <c r="AN1" s="2212"/>
      <c r="AP1" s="1247" t="s">
        <v>2320</v>
      </c>
      <c r="AQ1" s="1247"/>
      <c r="AR1" s="1247"/>
      <c r="AS1" s="1247"/>
      <c r="AT1" s="233"/>
      <c r="AU1" s="233"/>
      <c r="AV1" s="233"/>
      <c r="AW1" s="1246"/>
      <c r="AX1" s="1246"/>
      <c r="AY1" s="233"/>
    </row>
    <row r="2" spans="1:1027" ht="14.25" customHeight="1">
      <c r="A2" s="237" t="s">
        <v>2348</v>
      </c>
      <c r="B2" s="233"/>
      <c r="C2" s="233"/>
      <c r="D2" s="233"/>
      <c r="E2" s="233"/>
      <c r="F2" s="233"/>
      <c r="G2" s="1214" t="str">
        <f>UPPER([32]Control!A2)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2212"/>
      <c r="AE2" s="2212"/>
      <c r="AF2" s="2212"/>
      <c r="AG2" s="2212"/>
      <c r="AH2" s="2212"/>
      <c r="AI2" s="2212"/>
      <c r="AJ2" s="2212"/>
      <c r="AK2" s="2212"/>
      <c r="AL2" s="2212"/>
      <c r="AM2" s="2212"/>
      <c r="AN2" s="2212"/>
      <c r="AP2" s="1268" t="s">
        <v>138</v>
      </c>
      <c r="AQ2" s="1269"/>
      <c r="AR2" s="1270" t="str">
        <f>AD1</f>
        <v>GESTIÓN CONTRACTUAL</v>
      </c>
      <c r="AS2" s="1271"/>
      <c r="AT2" s="233"/>
      <c r="AU2" s="233"/>
      <c r="AV2" s="233"/>
      <c r="AW2" s="1246"/>
      <c r="AX2" s="1246"/>
      <c r="AY2" s="233"/>
    </row>
    <row r="3" spans="1:1027" ht="11.25" customHeight="1">
      <c r="A3" s="1435">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1824">
        <v>43453</v>
      </c>
      <c r="AA3" s="1825"/>
      <c r="AB3" s="2208"/>
      <c r="AC3" s="1259" t="s">
        <v>2349</v>
      </c>
      <c r="AD3" s="2212" t="s">
        <v>683</v>
      </c>
      <c r="AE3" s="2212"/>
      <c r="AF3" s="2212"/>
      <c r="AG3" s="2212"/>
      <c r="AH3" s="2212"/>
      <c r="AI3" s="2212"/>
      <c r="AJ3" s="2212"/>
      <c r="AK3" s="2212"/>
      <c r="AL3" s="2212"/>
      <c r="AM3" s="2212"/>
      <c r="AN3" s="2212"/>
      <c r="AP3" s="1265" t="s">
        <v>2322</v>
      </c>
      <c r="AQ3" s="1266"/>
      <c r="AR3" s="1266" t="s">
        <v>2323</v>
      </c>
      <c r="AS3" s="1267"/>
      <c r="AT3" s="233"/>
      <c r="AU3" s="233"/>
      <c r="AV3" s="233"/>
      <c r="AW3" s="1246"/>
      <c r="AX3" s="1246"/>
      <c r="AY3" s="233"/>
    </row>
    <row r="4" spans="1:1027" ht="14.25" customHeight="1" thickBot="1">
      <c r="A4" s="1435"/>
      <c r="B4" s="233"/>
      <c r="C4" s="233"/>
      <c r="D4" s="233"/>
      <c r="E4" s="233"/>
      <c r="F4" s="233"/>
      <c r="G4" s="1236" t="str">
        <f>[32]Control!A4</f>
        <v>FO-PE-06</v>
      </c>
      <c r="H4" s="1237"/>
      <c r="I4" s="1238" t="str">
        <f>[32]Control!C4</f>
        <v>Planeación Estratégica</v>
      </c>
      <c r="J4" s="1237"/>
      <c r="K4" s="1237"/>
      <c r="L4" s="1237"/>
      <c r="M4" s="1237"/>
      <c r="N4" s="1239"/>
      <c r="O4" s="1238">
        <f>[32]Control!H4</f>
        <v>5</v>
      </c>
      <c r="P4" s="1237"/>
      <c r="Q4" s="1237"/>
      <c r="R4" s="1237"/>
      <c r="S4" s="1237"/>
      <c r="T4" s="1237"/>
      <c r="U4" s="1237"/>
      <c r="V4" s="1239"/>
      <c r="W4" s="239"/>
      <c r="X4" s="1255"/>
      <c r="Y4" s="1256"/>
      <c r="Z4" s="2209"/>
      <c r="AA4" s="2210"/>
      <c r="AB4" s="2211"/>
      <c r="AC4" s="1259"/>
      <c r="AD4" s="2212"/>
      <c r="AE4" s="2212"/>
      <c r="AF4" s="2212"/>
      <c r="AG4" s="2212"/>
      <c r="AH4" s="2212"/>
      <c r="AI4" s="2212"/>
      <c r="AJ4" s="2212"/>
      <c r="AK4" s="2212"/>
      <c r="AL4" s="2212"/>
      <c r="AM4" s="2212"/>
      <c r="AN4" s="2212"/>
      <c r="AP4" s="1446">
        <v>43708</v>
      </c>
      <c r="AQ4" s="1447"/>
      <c r="AR4" s="2213" t="s">
        <v>3729</v>
      </c>
      <c r="AS4" s="2214"/>
      <c r="AT4" s="233"/>
      <c r="AU4" s="233"/>
      <c r="AV4" s="233"/>
      <c r="AW4" s="1246"/>
      <c r="AX4" s="1246"/>
      <c r="AY4" s="233"/>
    </row>
    <row r="5" spans="1:1027"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1"/>
      <c r="AB5" s="242"/>
      <c r="AC5" s="242"/>
      <c r="AD5" s="241"/>
      <c r="AE5" s="241"/>
      <c r="AF5" s="241"/>
      <c r="AG5" s="241"/>
      <c r="AH5" s="241"/>
      <c r="AI5" s="241"/>
      <c r="AJ5" s="241"/>
      <c r="AK5" s="241"/>
      <c r="AL5" s="241"/>
      <c r="AM5" s="240"/>
      <c r="AN5" s="240"/>
      <c r="AO5" s="240"/>
      <c r="AQ5" s="244"/>
      <c r="AY5" s="245"/>
    </row>
    <row r="6" spans="1:1027" s="243" customFormat="1" ht="11.2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602" t="s">
        <v>268</v>
      </c>
      <c r="AO6" s="294"/>
      <c r="AP6" s="247" t="s">
        <v>2325</v>
      </c>
      <c r="AQ6" s="248"/>
      <c r="AR6" s="248"/>
      <c r="AS6" s="249"/>
      <c r="AT6" s="1244" t="s">
        <v>2326</v>
      </c>
      <c r="AU6" s="1244"/>
      <c r="AV6" s="1244"/>
      <c r="AW6" s="1244"/>
      <c r="AX6" s="1245"/>
      <c r="AY6" s="245"/>
    </row>
    <row r="7" spans="1:1027" s="243" customFormat="1" ht="25.5" customHeight="1">
      <c r="A7" s="1217" t="s">
        <v>1002</v>
      </c>
      <c r="B7" s="1218" t="s">
        <v>640</v>
      </c>
      <c r="C7" s="1219" t="s">
        <v>1001</v>
      </c>
      <c r="D7" s="1220"/>
      <c r="E7" s="1221"/>
      <c r="F7" s="1217" t="s">
        <v>1000</v>
      </c>
      <c r="G7" s="1219" t="s">
        <v>999</v>
      </c>
      <c r="H7" s="1220"/>
      <c r="I7" s="1221"/>
      <c r="J7" s="1217" t="s">
        <v>145</v>
      </c>
      <c r="K7" s="1217"/>
      <c r="L7" s="1217"/>
      <c r="M7" s="1225" t="s">
        <v>144</v>
      </c>
      <c r="N7" s="1226"/>
      <c r="O7" s="1226"/>
      <c r="P7" s="1226"/>
      <c r="Q7" s="1227" t="s">
        <v>637</v>
      </c>
      <c r="R7" s="1228"/>
      <c r="S7" s="1228"/>
      <c r="T7" s="1228"/>
      <c r="U7" s="1228"/>
      <c r="V7" s="1229"/>
      <c r="W7" s="250"/>
      <c r="X7" s="1217" t="s">
        <v>2351</v>
      </c>
      <c r="Y7" s="1217"/>
      <c r="Z7" s="1217"/>
      <c r="AA7" s="1284" t="s">
        <v>4175</v>
      </c>
      <c r="AB7" s="1221" t="s">
        <v>998</v>
      </c>
      <c r="AC7" s="1284" t="s">
        <v>641</v>
      </c>
      <c r="AD7" s="1286" t="s">
        <v>546</v>
      </c>
      <c r="AE7" s="1286" t="s">
        <v>638</v>
      </c>
      <c r="AF7" s="251"/>
      <c r="AG7" s="252"/>
      <c r="AH7" s="253"/>
      <c r="AI7" s="1288" t="s">
        <v>639</v>
      </c>
      <c r="AJ7" s="1288"/>
      <c r="AK7" s="1288"/>
      <c r="AL7" s="1288"/>
      <c r="AM7" s="1288"/>
      <c r="AN7" s="1288" t="s">
        <v>2327</v>
      </c>
      <c r="AO7" s="1431" t="s">
        <v>2328</v>
      </c>
      <c r="AP7" s="1432" t="s">
        <v>2353</v>
      </c>
      <c r="AQ7" s="1431" t="s">
        <v>2330</v>
      </c>
      <c r="AR7" s="1432" t="s">
        <v>2354</v>
      </c>
      <c r="AS7" s="1432" t="s">
        <v>2332</v>
      </c>
      <c r="AT7" s="1432" t="s">
        <v>2333</v>
      </c>
      <c r="AU7" s="1432" t="s">
        <v>2334</v>
      </c>
      <c r="AV7" s="1432" t="s">
        <v>2335</v>
      </c>
      <c r="AW7" s="1432" t="s">
        <v>2336</v>
      </c>
      <c r="AX7" s="1432" t="s">
        <v>2337</v>
      </c>
      <c r="AY7" s="245"/>
    </row>
    <row r="8" spans="1:1027" ht="14.25" customHeight="1">
      <c r="A8" s="1217"/>
      <c r="B8" s="1218"/>
      <c r="C8" s="1222"/>
      <c r="D8" s="1223"/>
      <c r="E8" s="1224"/>
      <c r="F8" s="1217"/>
      <c r="G8" s="1222"/>
      <c r="H8" s="1223"/>
      <c r="I8" s="1224"/>
      <c r="J8" s="1217"/>
      <c r="K8" s="1217"/>
      <c r="L8" s="1217"/>
      <c r="M8" s="254" t="s">
        <v>146</v>
      </c>
      <c r="N8" s="254" t="s">
        <v>997</v>
      </c>
      <c r="O8" s="254" t="s">
        <v>65</v>
      </c>
      <c r="P8" s="254" t="s">
        <v>996</v>
      </c>
      <c r="Q8" s="601" t="s">
        <v>147</v>
      </c>
      <c r="R8" s="601" t="s">
        <v>148</v>
      </c>
      <c r="S8" s="255"/>
      <c r="T8" s="255" t="s">
        <v>239</v>
      </c>
      <c r="U8" s="255" t="s">
        <v>242</v>
      </c>
      <c r="V8" s="601" t="s">
        <v>149</v>
      </c>
      <c r="W8" s="256"/>
      <c r="X8" s="1217"/>
      <c r="Y8" s="1217"/>
      <c r="Z8" s="1217"/>
      <c r="AA8" s="1285"/>
      <c r="AB8" s="1224"/>
      <c r="AC8" s="1285"/>
      <c r="AD8" s="1287"/>
      <c r="AE8" s="1287"/>
      <c r="AF8" s="256"/>
      <c r="AG8" s="257" t="s">
        <v>642</v>
      </c>
      <c r="AH8" s="257" t="s">
        <v>264</v>
      </c>
      <c r="AI8" s="601" t="s">
        <v>147</v>
      </c>
      <c r="AJ8" s="258" t="s">
        <v>265</v>
      </c>
      <c r="AK8" s="601" t="s">
        <v>148</v>
      </c>
      <c r="AL8" s="255" t="s">
        <v>150</v>
      </c>
      <c r="AM8" s="601" t="s">
        <v>150</v>
      </c>
      <c r="AN8" s="1288"/>
      <c r="AO8" s="1431"/>
      <c r="AP8" s="1432"/>
      <c r="AQ8" s="1432"/>
      <c r="AR8" s="1432"/>
      <c r="AS8" s="1432"/>
      <c r="AT8" s="1432"/>
      <c r="AU8" s="1432"/>
      <c r="AV8" s="1432"/>
      <c r="AW8" s="1432"/>
      <c r="AX8" s="1432"/>
      <c r="AY8" s="245"/>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103.5" customHeight="1">
      <c r="A9" s="2194" t="s">
        <v>1253</v>
      </c>
      <c r="B9" s="2203" t="s">
        <v>2063</v>
      </c>
      <c r="C9" s="1336" t="s">
        <v>91</v>
      </c>
      <c r="D9" s="1337"/>
      <c r="E9" s="1338"/>
      <c r="F9" s="2203" t="s">
        <v>34</v>
      </c>
      <c r="G9" s="1281" t="s">
        <v>3730</v>
      </c>
      <c r="H9" s="1282"/>
      <c r="I9" s="1283"/>
      <c r="J9" s="1281" t="s">
        <v>188</v>
      </c>
      <c r="K9" s="1282"/>
      <c r="L9" s="1283"/>
      <c r="M9" s="2194" t="s">
        <v>8</v>
      </c>
      <c r="N9" s="2194">
        <v>1</v>
      </c>
      <c r="O9" s="2194"/>
      <c r="P9" s="2194" t="s">
        <v>8</v>
      </c>
      <c r="Q9" s="2190" t="s">
        <v>64</v>
      </c>
      <c r="R9" s="2190" t="s">
        <v>274</v>
      </c>
      <c r="S9" s="2194"/>
      <c r="T9" s="2194">
        <f>VLOOKUP(Q9,[86]Listas!$D$6:$E$10,2,0)</f>
        <v>3</v>
      </c>
      <c r="U9" s="2194">
        <f>HLOOKUP(R9,[86]Listas!$F$4:$J$5,2,0)</f>
        <v>3</v>
      </c>
      <c r="V9" s="2198" t="str">
        <f>INDEX([86]Listas!$F$6:$J$10,MATCH(Q9,[86]Listas!$D$6:$D$10,0),MATCH(R9,[86]Listas!$F$4:$J$4,0))</f>
        <v>9
MODERADO</v>
      </c>
      <c r="W9" s="362"/>
      <c r="X9" s="1281" t="s">
        <v>3731</v>
      </c>
      <c r="Y9" s="1282"/>
      <c r="Z9" s="1283"/>
      <c r="AA9" s="1296" t="s">
        <v>4013</v>
      </c>
      <c r="AB9" s="2190" t="s">
        <v>1254</v>
      </c>
      <c r="AC9" s="2194" t="s">
        <v>3732</v>
      </c>
      <c r="AD9" s="2194">
        <v>64</v>
      </c>
      <c r="AE9" s="2190" t="s">
        <v>153</v>
      </c>
      <c r="AF9" s="362"/>
      <c r="AG9" s="363">
        <f>IF(AD9&lt;=33,0,IF(AD9&gt;81,2,1))</f>
        <v>1</v>
      </c>
      <c r="AH9" s="364">
        <f>IF(OR(AE9="Probabilidad",AE9="Ambos"),T9-AG9,T9)</f>
        <v>2</v>
      </c>
      <c r="AI9" s="2196" t="str">
        <f>IF(AH9&lt;=1,"Remota",VLOOKUP(AH9,[86]Listas!$C$6:$D$10,2,0))</f>
        <v>Baja</v>
      </c>
      <c r="AJ9" s="364">
        <f>IF(OR(AE9="Impacto",AE9="Ambos"),U9-AG9,U9)</f>
        <v>3</v>
      </c>
      <c r="AK9" s="2196" t="str">
        <f>IF(AJ9&lt;=1,"Insignificante",HLOOKUP(AJ9,[86]Listas!$F$3:$J$4,2,0))</f>
        <v>Moderado</v>
      </c>
      <c r="AL9" s="365">
        <f>AH9*AJ9</f>
        <v>6</v>
      </c>
      <c r="AM9" s="2198" t="str">
        <f>INDEX([86]Listas!$F$6:$J$10,MATCH(AI9,[86]Listas!$D$6:$D$10,0),MATCH(AK9,[86]Listas!$F$4:$J$4,0))</f>
        <v>6
MODERADO</v>
      </c>
      <c r="AN9" s="1325" t="s">
        <v>2803</v>
      </c>
      <c r="AO9" s="1325" t="s">
        <v>2804</v>
      </c>
      <c r="AP9" s="1353">
        <v>0.98</v>
      </c>
      <c r="AQ9" s="1500" t="s">
        <v>3733</v>
      </c>
      <c r="AR9" s="2192" t="s">
        <v>3734</v>
      </c>
      <c r="AS9" s="608" t="s">
        <v>36</v>
      </c>
      <c r="AU9" s="259"/>
      <c r="AV9" s="261"/>
      <c r="AW9" s="261"/>
      <c r="AX9" s="608"/>
      <c r="AY9" s="262"/>
      <c r="AZ9" s="366"/>
    </row>
    <row r="10" spans="1:1027" s="260" customFormat="1" ht="399.75" customHeight="1">
      <c r="A10" s="2195"/>
      <c r="B10" s="2204"/>
      <c r="C10" s="2205"/>
      <c r="D10" s="2206"/>
      <c r="E10" s="2207"/>
      <c r="F10" s="2204"/>
      <c r="G10" s="2200"/>
      <c r="H10" s="2201"/>
      <c r="I10" s="2202"/>
      <c r="J10" s="2200"/>
      <c r="K10" s="2201"/>
      <c r="L10" s="2202"/>
      <c r="M10" s="2195"/>
      <c r="N10" s="2195"/>
      <c r="O10" s="2195"/>
      <c r="P10" s="2195"/>
      <c r="Q10" s="2191"/>
      <c r="R10" s="2191"/>
      <c r="S10" s="2195"/>
      <c r="T10" s="2195"/>
      <c r="U10" s="2195"/>
      <c r="V10" s="2199"/>
      <c r="W10" s="362"/>
      <c r="X10" s="2200"/>
      <c r="Y10" s="2201"/>
      <c r="Z10" s="2202"/>
      <c r="AA10" s="1328"/>
      <c r="AB10" s="2191"/>
      <c r="AC10" s="2195"/>
      <c r="AD10" s="2195"/>
      <c r="AE10" s="2191"/>
      <c r="AF10" s="362"/>
      <c r="AG10" s="363"/>
      <c r="AH10" s="364"/>
      <c r="AI10" s="2197"/>
      <c r="AJ10" s="364"/>
      <c r="AK10" s="2197"/>
      <c r="AL10" s="365"/>
      <c r="AM10" s="2199"/>
      <c r="AN10" s="1327"/>
      <c r="AO10" s="1327"/>
      <c r="AP10" s="1355"/>
      <c r="AQ10" s="1502"/>
      <c r="AR10" s="2193"/>
      <c r="AS10" s="608" t="s">
        <v>36</v>
      </c>
      <c r="AT10" s="259"/>
      <c r="AU10" s="259"/>
      <c r="AV10" s="261"/>
      <c r="AW10" s="261"/>
      <c r="AX10" s="608"/>
      <c r="AY10" s="262"/>
    </row>
    <row r="11" spans="1:1027" s="260" customFormat="1" ht="197.25" customHeight="1">
      <c r="A11" s="626" t="s">
        <v>92</v>
      </c>
      <c r="B11" s="367" t="s">
        <v>2065</v>
      </c>
      <c r="C11" s="2187" t="s">
        <v>685</v>
      </c>
      <c r="D11" s="2188"/>
      <c r="E11" s="2189"/>
      <c r="F11" s="368" t="s">
        <v>34</v>
      </c>
      <c r="G11" s="1272" t="s">
        <v>3735</v>
      </c>
      <c r="H11" s="1273"/>
      <c r="I11" s="1274"/>
      <c r="J11" s="1382" t="s">
        <v>93</v>
      </c>
      <c r="K11" s="1382"/>
      <c r="L11" s="1382"/>
      <c r="M11" s="609" t="s">
        <v>8</v>
      </c>
      <c r="N11" s="609">
        <v>1</v>
      </c>
      <c r="O11" s="609"/>
      <c r="P11" s="609" t="s">
        <v>8</v>
      </c>
      <c r="Q11" s="367" t="s">
        <v>64</v>
      </c>
      <c r="R11" s="367" t="s">
        <v>274</v>
      </c>
      <c r="S11" s="362"/>
      <c r="T11" s="363">
        <f>VLOOKUP(Q11,[86]Listas!$D$6:$E$10,2,0)</f>
        <v>3</v>
      </c>
      <c r="U11" s="363">
        <f>HLOOKUP(R11,[86]Listas!$F$4:$J$5,2,0)</f>
        <v>3</v>
      </c>
      <c r="V11" s="369" t="str">
        <f>INDEX([86]Listas!$F$6:$J$10,MATCH(Q11,[86]Listas!$D$6:$D$10,0),MATCH(R11,[86]Listas!$F$4:$J$4,0))</f>
        <v>9
MODERADO</v>
      </c>
      <c r="W11" s="362"/>
      <c r="X11" s="1272" t="s">
        <v>3736</v>
      </c>
      <c r="Y11" s="1273"/>
      <c r="Z11" s="1274"/>
      <c r="AA11" s="1071" t="s">
        <v>4013</v>
      </c>
      <c r="AB11" s="368" t="s">
        <v>1254</v>
      </c>
      <c r="AC11" s="609" t="s">
        <v>3737</v>
      </c>
      <c r="AD11" s="609">
        <v>76</v>
      </c>
      <c r="AE11" s="368" t="s">
        <v>153</v>
      </c>
      <c r="AF11" s="362"/>
      <c r="AG11" s="363">
        <f t="shared" ref="AG11:AG19" si="0">IF(AD11&lt;=33,0,IF(AD11&gt;81,2,1))</f>
        <v>1</v>
      </c>
      <c r="AH11" s="364">
        <f t="shared" ref="AH11:AH19" si="1">IF(OR(AE11="Probabilidad",AE11="Ambos"),T11-AG11,T11)</f>
        <v>2</v>
      </c>
      <c r="AI11" s="370" t="str">
        <f>IF(AH11&lt;=1,"Remota",VLOOKUP(AH11,[86]Listas!$C$6:$D$10,2,0))</f>
        <v>Baja</v>
      </c>
      <c r="AJ11" s="364">
        <f t="shared" ref="AJ11:AJ19" si="2">IF(OR(AE11="Impacto",AE11="Ambos"),U11-AG11,U11)</f>
        <v>3</v>
      </c>
      <c r="AK11" s="370" t="str">
        <f>IF(AJ11&lt;=1,"Insignificante",HLOOKUP(AJ11,[86]Listas!$F$3:$J$4,2,0))</f>
        <v>Moderado</v>
      </c>
      <c r="AL11" s="365">
        <f t="shared" ref="AL11:AL19" si="3">AH11*AJ11</f>
        <v>6</v>
      </c>
      <c r="AM11" s="369" t="str">
        <f>INDEX([86]Listas!$F$6:$J$10,MATCH(AI11,[86]Listas!$D$6:$D$10,0),MATCH(AK11,[86]Listas!$F$4:$J$4,0))</f>
        <v>6
MODERADO</v>
      </c>
      <c r="AN11" s="259" t="s">
        <v>2805</v>
      </c>
      <c r="AO11" s="259" t="s">
        <v>3738</v>
      </c>
      <c r="AP11" s="610">
        <v>1</v>
      </c>
      <c r="AQ11" s="259" t="s">
        <v>3739</v>
      </c>
      <c r="AR11" s="697" t="s">
        <v>3740</v>
      </c>
      <c r="AS11" s="608" t="s">
        <v>36</v>
      </c>
      <c r="AT11" s="259"/>
      <c r="AU11" s="259"/>
      <c r="AV11" s="261"/>
      <c r="AW11" s="261"/>
      <c r="AX11" s="608"/>
      <c r="AY11" s="262"/>
    </row>
    <row r="12" spans="1:1027" s="260" customFormat="1" ht="234" customHeight="1">
      <c r="A12" s="626" t="s">
        <v>94</v>
      </c>
      <c r="B12" s="367" t="s">
        <v>2064</v>
      </c>
      <c r="C12" s="2187" t="s">
        <v>1255</v>
      </c>
      <c r="D12" s="2188"/>
      <c r="E12" s="2189"/>
      <c r="F12" s="368" t="s">
        <v>1256</v>
      </c>
      <c r="G12" s="1272" t="s">
        <v>1257</v>
      </c>
      <c r="H12" s="1273"/>
      <c r="I12" s="1274"/>
      <c r="J12" s="1382" t="s">
        <v>1258</v>
      </c>
      <c r="K12" s="1382"/>
      <c r="L12" s="1382"/>
      <c r="M12" s="609" t="s">
        <v>8</v>
      </c>
      <c r="N12" s="609">
        <v>1</v>
      </c>
      <c r="O12" s="609" t="s">
        <v>8</v>
      </c>
      <c r="P12" s="609" t="s">
        <v>8</v>
      </c>
      <c r="Q12" s="367" t="s">
        <v>64</v>
      </c>
      <c r="R12" s="367" t="s">
        <v>270</v>
      </c>
      <c r="S12" s="362"/>
      <c r="T12" s="363">
        <f>VLOOKUP(Q12,[86]Listas!$D$6:$E$10,2,0)</f>
        <v>3</v>
      </c>
      <c r="U12" s="363">
        <f>HLOOKUP(R12,[86]Listas!$F$4:$J$5,2,0)</f>
        <v>4</v>
      </c>
      <c r="V12" s="369" t="str">
        <f>INDEX([86]Listas!$F$6:$J$10,MATCH(Q12,[86]Listas!$D$6:$D$10,0),MATCH(R12,[86]Listas!$F$4:$J$4,0))</f>
        <v>12
ALTO</v>
      </c>
      <c r="W12" s="362"/>
      <c r="X12" s="1272" t="s">
        <v>1259</v>
      </c>
      <c r="Y12" s="1273"/>
      <c r="Z12" s="1274"/>
      <c r="AA12" s="1071" t="s">
        <v>4202</v>
      </c>
      <c r="AB12" s="698" t="s">
        <v>3741</v>
      </c>
      <c r="AC12" s="609" t="s">
        <v>2806</v>
      </c>
      <c r="AD12" s="609">
        <v>68</v>
      </c>
      <c r="AE12" s="368" t="s">
        <v>152</v>
      </c>
      <c r="AF12" s="362"/>
      <c r="AG12" s="363">
        <f t="shared" si="0"/>
        <v>1</v>
      </c>
      <c r="AH12" s="364">
        <f t="shared" si="1"/>
        <v>2</v>
      </c>
      <c r="AI12" s="370" t="str">
        <f>IF(AH12&lt;=1,"Remota",VLOOKUP(AH12,[86]Listas!$C$6:$D$10,2,0))</f>
        <v>Baja</v>
      </c>
      <c r="AJ12" s="364">
        <f t="shared" si="2"/>
        <v>3</v>
      </c>
      <c r="AK12" s="370" t="str">
        <f>IF(AJ12&lt;=1,"Insignificante",HLOOKUP(AJ12,[86]Listas!$F$3:$J$4,2,0))</f>
        <v>Moderado</v>
      </c>
      <c r="AL12" s="365">
        <f t="shared" si="3"/>
        <v>6</v>
      </c>
      <c r="AM12" s="369" t="str">
        <f>INDEX([86]Listas!$F$6:$J$10,MATCH(AI12,[86]Listas!$D$6:$D$10,0),MATCH(AK12,[86]Listas!$F$4:$J$4,0))</f>
        <v>6
MODERADO</v>
      </c>
      <c r="AN12" s="259" t="s">
        <v>2807</v>
      </c>
      <c r="AO12" s="259" t="s">
        <v>2808</v>
      </c>
      <c r="AP12" s="610">
        <f>1*100%</f>
        <v>1</v>
      </c>
      <c r="AQ12" s="259" t="s">
        <v>3742</v>
      </c>
      <c r="AR12" s="259" t="s">
        <v>3743</v>
      </c>
      <c r="AS12" s="608" t="s">
        <v>36</v>
      </c>
      <c r="AT12" s="259"/>
      <c r="AU12" s="259"/>
      <c r="AV12" s="261"/>
      <c r="AW12" s="261"/>
      <c r="AX12" s="608"/>
      <c r="AY12" s="262"/>
    </row>
    <row r="13" spans="1:1027" s="260" customFormat="1" ht="198.75" customHeight="1">
      <c r="A13" s="609" t="s">
        <v>1260</v>
      </c>
      <c r="B13" s="367" t="s">
        <v>2066</v>
      </c>
      <c r="C13" s="1428" t="s">
        <v>686</v>
      </c>
      <c r="D13" s="1429"/>
      <c r="E13" s="1430"/>
      <c r="F13" s="368" t="s">
        <v>12</v>
      </c>
      <c r="G13" s="1272" t="s">
        <v>1261</v>
      </c>
      <c r="H13" s="1273"/>
      <c r="I13" s="1274"/>
      <c r="J13" s="1382" t="s">
        <v>687</v>
      </c>
      <c r="K13" s="1382"/>
      <c r="L13" s="1382"/>
      <c r="M13" s="609" t="s">
        <v>8</v>
      </c>
      <c r="N13" s="609">
        <v>1</v>
      </c>
      <c r="O13" s="609"/>
      <c r="P13" s="609" t="s">
        <v>8</v>
      </c>
      <c r="Q13" s="367" t="s">
        <v>64</v>
      </c>
      <c r="R13" s="367" t="s">
        <v>274</v>
      </c>
      <c r="S13" s="362"/>
      <c r="T13" s="363">
        <f>VLOOKUP(Q13,[86]Listas!$D$6:$E$10,2,0)</f>
        <v>3</v>
      </c>
      <c r="U13" s="363">
        <f>HLOOKUP(R13,[86]Listas!$F$4:$J$5,2,0)</f>
        <v>3</v>
      </c>
      <c r="V13" s="369" t="str">
        <f>INDEX([86]Listas!$F$6:$J$10,MATCH(Q13,[86]Listas!$D$6:$D$10,0),MATCH(R13,[86]Listas!$F$4:$J$4,0))</f>
        <v>9
MODERADO</v>
      </c>
      <c r="W13" s="362"/>
      <c r="X13" s="1272" t="s">
        <v>1262</v>
      </c>
      <c r="Y13" s="1273"/>
      <c r="Z13" s="1274"/>
      <c r="AA13" s="1071" t="s">
        <v>4013</v>
      </c>
      <c r="AB13" s="368" t="s">
        <v>1254</v>
      </c>
      <c r="AC13" s="609" t="s">
        <v>1263</v>
      </c>
      <c r="AD13" s="609">
        <v>67</v>
      </c>
      <c r="AE13" s="368" t="s">
        <v>152</v>
      </c>
      <c r="AF13" s="362"/>
      <c r="AG13" s="363">
        <f t="shared" si="0"/>
        <v>1</v>
      </c>
      <c r="AH13" s="364">
        <f t="shared" si="1"/>
        <v>2</v>
      </c>
      <c r="AI13" s="370" t="str">
        <f>IF(AH13&lt;=1,"Remota",VLOOKUP(AH13,[86]Listas!$C$6:$D$10,2,0))</f>
        <v>Baja</v>
      </c>
      <c r="AJ13" s="364">
        <f t="shared" si="2"/>
        <v>2</v>
      </c>
      <c r="AK13" s="370" t="str">
        <f>IF(AJ13&lt;=1,"Insignificante",HLOOKUP(AJ13,[86]Listas!$F$3:$J$4,2,0))</f>
        <v>Menor</v>
      </c>
      <c r="AL13" s="365">
        <f t="shared" si="3"/>
        <v>4</v>
      </c>
      <c r="AM13" s="369" t="str">
        <f>INDEX([86]Listas!$F$6:$J$10,MATCH(AI13,[86]Listas!$D$6:$D$10,0),MATCH(AK13,[86]Listas!$F$4:$J$4,0))</f>
        <v>4
INFERIOR</v>
      </c>
      <c r="AN13" s="259" t="s">
        <v>2809</v>
      </c>
      <c r="AO13" s="259" t="s">
        <v>2810</v>
      </c>
      <c r="AP13" s="610">
        <f>21/23</f>
        <v>0.91304347826086951</v>
      </c>
      <c r="AQ13" s="259" t="s">
        <v>3744</v>
      </c>
      <c r="AR13" s="259" t="s">
        <v>3745</v>
      </c>
      <c r="AS13" s="608" t="s">
        <v>36</v>
      </c>
      <c r="AT13" s="259"/>
      <c r="AU13" s="259"/>
      <c r="AV13" s="261"/>
      <c r="AW13" s="261"/>
      <c r="AX13" s="608"/>
      <c r="AY13" s="262"/>
    </row>
    <row r="14" spans="1:1027" s="260" customFormat="1" ht="175.5" customHeight="1">
      <c r="A14" s="609" t="s">
        <v>1264</v>
      </c>
      <c r="B14" s="367" t="s">
        <v>2062</v>
      </c>
      <c r="C14" s="1428" t="s">
        <v>688</v>
      </c>
      <c r="D14" s="1429"/>
      <c r="E14" s="1430"/>
      <c r="F14" s="368" t="s">
        <v>12</v>
      </c>
      <c r="G14" s="1272" t="s">
        <v>1265</v>
      </c>
      <c r="H14" s="1273"/>
      <c r="I14" s="1274"/>
      <c r="J14" s="1382" t="s">
        <v>1266</v>
      </c>
      <c r="K14" s="1382"/>
      <c r="L14" s="1382"/>
      <c r="M14" s="609" t="s">
        <v>8</v>
      </c>
      <c r="N14" s="609">
        <v>1</v>
      </c>
      <c r="O14" s="1133"/>
      <c r="P14" s="609" t="s">
        <v>8</v>
      </c>
      <c r="Q14" s="367" t="s">
        <v>64</v>
      </c>
      <c r="R14" s="367" t="s">
        <v>274</v>
      </c>
      <c r="S14" s="362"/>
      <c r="T14" s="363">
        <f>VLOOKUP(Q14,[86]Listas!$D$6:$E$10,2,0)</f>
        <v>3</v>
      </c>
      <c r="U14" s="363">
        <f>HLOOKUP(R14,[86]Listas!$F$4:$J$5,2,0)</f>
        <v>3</v>
      </c>
      <c r="V14" s="369" t="str">
        <f>INDEX([86]Listas!$F$6:$J$10,MATCH(Q14,[86]Listas!$D$6:$D$10,0),MATCH(R14,[86]Listas!$F$4:$J$4,0))</f>
        <v>9
MODERADO</v>
      </c>
      <c r="W14" s="362"/>
      <c r="X14" s="1272" t="s">
        <v>1267</v>
      </c>
      <c r="Y14" s="1273"/>
      <c r="Z14" s="1274"/>
      <c r="AA14" s="1071" t="s">
        <v>4013</v>
      </c>
      <c r="AB14" s="368" t="s">
        <v>1254</v>
      </c>
      <c r="AC14" s="609" t="s">
        <v>689</v>
      </c>
      <c r="AD14" s="609">
        <v>67</v>
      </c>
      <c r="AE14" s="368" t="s">
        <v>153</v>
      </c>
      <c r="AF14" s="362"/>
      <c r="AG14" s="363">
        <f t="shared" si="0"/>
        <v>1</v>
      </c>
      <c r="AH14" s="364">
        <f t="shared" si="1"/>
        <v>2</v>
      </c>
      <c r="AI14" s="370" t="str">
        <f>IF(AH14&lt;=1,"Remota",VLOOKUP(AH14,[86]Listas!$C$6:$D$10,2,0))</f>
        <v>Baja</v>
      </c>
      <c r="AJ14" s="364">
        <f t="shared" si="2"/>
        <v>3</v>
      </c>
      <c r="AK14" s="370" t="str">
        <f>IF(AJ14&lt;=1,"Insignificante",HLOOKUP(AJ14,[86]Listas!$F$3:$J$4,2,0))</f>
        <v>Moderado</v>
      </c>
      <c r="AL14" s="365">
        <f t="shared" si="3"/>
        <v>6</v>
      </c>
      <c r="AM14" s="369" t="str">
        <f>INDEX([86]Listas!$F$6:$J$10,MATCH(AI14,[86]Listas!$D$6:$D$10,0),MATCH(AK14,[86]Listas!$F$4:$J$4,0))</f>
        <v>6
MODERADO</v>
      </c>
      <c r="AN14" s="259" t="s">
        <v>2811</v>
      </c>
      <c r="AO14" s="259" t="s">
        <v>2812</v>
      </c>
      <c r="AP14" s="610">
        <f>0/46%</f>
        <v>0</v>
      </c>
      <c r="AQ14" s="259" t="s">
        <v>3746</v>
      </c>
      <c r="AR14" s="259" t="s">
        <v>3460</v>
      </c>
      <c r="AS14" s="608" t="s">
        <v>36</v>
      </c>
      <c r="AT14" s="259"/>
      <c r="AU14" s="259"/>
      <c r="AV14" s="261"/>
      <c r="AW14" s="261"/>
      <c r="AX14" s="608"/>
      <c r="AY14" s="262"/>
    </row>
    <row r="15" spans="1:1027" s="260" customFormat="1" ht="207" customHeight="1">
      <c r="A15" s="609" t="s">
        <v>2813</v>
      </c>
      <c r="B15" s="1118" t="s">
        <v>1268</v>
      </c>
      <c r="C15" s="1428" t="s">
        <v>729</v>
      </c>
      <c r="D15" s="1429"/>
      <c r="E15" s="1430"/>
      <c r="F15" s="368" t="s">
        <v>1256</v>
      </c>
      <c r="G15" s="1272" t="s">
        <v>1269</v>
      </c>
      <c r="H15" s="1273"/>
      <c r="I15" s="1274"/>
      <c r="J15" s="1382" t="s">
        <v>993</v>
      </c>
      <c r="K15" s="1382"/>
      <c r="L15" s="1382"/>
      <c r="M15" s="609" t="s">
        <v>8</v>
      </c>
      <c r="N15" s="609">
        <v>1</v>
      </c>
      <c r="O15" s="609" t="s">
        <v>8</v>
      </c>
      <c r="P15" s="609" t="s">
        <v>8</v>
      </c>
      <c r="Q15" s="367" t="s">
        <v>655</v>
      </c>
      <c r="R15" s="367" t="s">
        <v>274</v>
      </c>
      <c r="S15" s="362"/>
      <c r="T15" s="363">
        <f>VLOOKUP(Q15,[86]Listas!$D$6:$E$10,2,0)</f>
        <v>2</v>
      </c>
      <c r="U15" s="363">
        <f>HLOOKUP(R15,[86]Listas!$F$4:$J$5,2,0)</f>
        <v>3</v>
      </c>
      <c r="V15" s="369" t="str">
        <f>INDEX([86]Listas!$F$6:$J$10,MATCH(Q15,[86]Listas!$D$6:$D$10,0),MATCH(R15,[86]Listas!$F$4:$J$4,0))</f>
        <v>6
MODERADO</v>
      </c>
      <c r="W15" s="362"/>
      <c r="X15" s="1272" t="s">
        <v>1270</v>
      </c>
      <c r="Y15" s="1273"/>
      <c r="Z15" s="1274"/>
      <c r="AA15" s="1071" t="s">
        <v>4203</v>
      </c>
      <c r="AB15" s="368" t="s">
        <v>1254</v>
      </c>
      <c r="AC15" s="609" t="s">
        <v>1271</v>
      </c>
      <c r="AD15" s="609">
        <v>50</v>
      </c>
      <c r="AE15" s="368" t="s">
        <v>152</v>
      </c>
      <c r="AF15" s="362"/>
      <c r="AG15" s="363">
        <f t="shared" si="0"/>
        <v>1</v>
      </c>
      <c r="AH15" s="364">
        <f t="shared" si="1"/>
        <v>1</v>
      </c>
      <c r="AI15" s="370" t="str">
        <f>IF(AH15&lt;=1,"Remota",VLOOKUP(AH15,[86]Listas!$C$6:$D$10,2,0))</f>
        <v>Remota</v>
      </c>
      <c r="AJ15" s="364">
        <f t="shared" si="2"/>
        <v>2</v>
      </c>
      <c r="AK15" s="370" t="str">
        <f>IF(AJ15&lt;=1,"Insignificante",HLOOKUP(AJ15,[86]Listas!$F$3:$J$4,2,0))</f>
        <v>Menor</v>
      </c>
      <c r="AL15" s="365">
        <f t="shared" si="3"/>
        <v>2</v>
      </c>
      <c r="AM15" s="369" t="str">
        <f>INDEX([86]Listas!$F$6:$J$10,MATCH(AI15,[86]Listas!$D$6:$D$10,0),MATCH(AK15,[86]Listas!$F$4:$J$4,0))</f>
        <v>2
INFERIOR</v>
      </c>
      <c r="AN15" s="259" t="s">
        <v>2814</v>
      </c>
      <c r="AO15" s="259" t="s">
        <v>2815</v>
      </c>
      <c r="AP15" s="610">
        <v>0</v>
      </c>
      <c r="AQ15" s="259" t="s">
        <v>3461</v>
      </c>
      <c r="AR15" s="259" t="s">
        <v>3460</v>
      </c>
      <c r="AS15" s="608" t="s">
        <v>36</v>
      </c>
      <c r="AT15" s="259"/>
      <c r="AU15" s="259"/>
      <c r="AV15" s="261"/>
      <c r="AW15" s="261"/>
      <c r="AX15" s="608"/>
      <c r="AY15" s="262"/>
    </row>
    <row r="16" spans="1:1027" s="260" customFormat="1" ht="103.5" customHeight="1">
      <c r="A16" s="609" t="s">
        <v>2813</v>
      </c>
      <c r="B16" s="1118" t="s">
        <v>1272</v>
      </c>
      <c r="C16" s="1428" t="s">
        <v>988</v>
      </c>
      <c r="D16" s="1429"/>
      <c r="E16" s="1430"/>
      <c r="F16" s="368" t="s">
        <v>1256</v>
      </c>
      <c r="G16" s="1272" t="s">
        <v>1273</v>
      </c>
      <c r="H16" s="1273"/>
      <c r="I16" s="1274"/>
      <c r="J16" s="1382" t="s">
        <v>986</v>
      </c>
      <c r="K16" s="1382"/>
      <c r="L16" s="1382"/>
      <c r="M16" s="609" t="s">
        <v>8</v>
      </c>
      <c r="N16" s="609">
        <v>1</v>
      </c>
      <c r="O16" s="609" t="s">
        <v>8</v>
      </c>
      <c r="P16" s="609" t="s">
        <v>8</v>
      </c>
      <c r="Q16" s="367" t="s">
        <v>655</v>
      </c>
      <c r="R16" s="367" t="s">
        <v>274</v>
      </c>
      <c r="S16" s="362"/>
      <c r="T16" s="363">
        <f>VLOOKUP(Q16,[86]Listas!$D$6:$E$10,2,0)</f>
        <v>2</v>
      </c>
      <c r="U16" s="363">
        <f>HLOOKUP(R16,[86]Listas!$F$4:$J$5,2,0)</f>
        <v>3</v>
      </c>
      <c r="V16" s="369" t="str">
        <f>INDEX([86]Listas!$F$6:$J$10,MATCH(Q16,[86]Listas!$D$6:$D$10,0),MATCH(R16,[86]Listas!$F$4:$J$4,0))</f>
        <v>6
MODERADO</v>
      </c>
      <c r="W16" s="362"/>
      <c r="X16" s="1272" t="s">
        <v>1274</v>
      </c>
      <c r="Y16" s="1273"/>
      <c r="Z16" s="1274"/>
      <c r="AA16" s="1071" t="s">
        <v>4204</v>
      </c>
      <c r="AB16" s="368" t="s">
        <v>1254</v>
      </c>
      <c r="AC16" s="609" t="s">
        <v>1271</v>
      </c>
      <c r="AD16" s="609">
        <v>50</v>
      </c>
      <c r="AE16" s="368" t="s">
        <v>153</v>
      </c>
      <c r="AF16" s="362"/>
      <c r="AG16" s="363">
        <f t="shared" si="0"/>
        <v>1</v>
      </c>
      <c r="AH16" s="364">
        <f t="shared" si="1"/>
        <v>1</v>
      </c>
      <c r="AI16" s="370" t="str">
        <f>IF(AH16&lt;=1,"Remota",VLOOKUP(AH16,[86]Listas!$C$6:$D$10,2,0))</f>
        <v>Remota</v>
      </c>
      <c r="AJ16" s="364">
        <f t="shared" si="2"/>
        <v>3</v>
      </c>
      <c r="AK16" s="370" t="str">
        <f>IF(AJ16&lt;=1,"Insignificante",HLOOKUP(AJ16,[86]Listas!$F$3:$J$4,2,0))</f>
        <v>Moderado</v>
      </c>
      <c r="AL16" s="365">
        <f t="shared" si="3"/>
        <v>3</v>
      </c>
      <c r="AM16" s="369" t="str">
        <f>INDEX([86]Listas!$F$6:$J$10,MATCH(AI16,[86]Listas!$D$6:$D$10,0),MATCH(AK16,[86]Listas!$F$4:$J$4,0))</f>
        <v>3
INFERIOR</v>
      </c>
      <c r="AN16" s="259" t="s">
        <v>2814</v>
      </c>
      <c r="AO16" s="259" t="s">
        <v>2816</v>
      </c>
      <c r="AP16" s="610">
        <v>0</v>
      </c>
      <c r="AQ16" s="259" t="s">
        <v>3461</v>
      </c>
      <c r="AR16" s="259" t="s">
        <v>3460</v>
      </c>
      <c r="AS16" s="608" t="s">
        <v>36</v>
      </c>
      <c r="AT16" s="259"/>
      <c r="AU16" s="259"/>
      <c r="AV16" s="261"/>
      <c r="AW16" s="261"/>
      <c r="AX16" s="608"/>
      <c r="AY16" s="262"/>
    </row>
    <row r="17" spans="1:51" s="260" customFormat="1" ht="119.25" customHeight="1">
      <c r="A17" s="609" t="s">
        <v>2813</v>
      </c>
      <c r="B17" s="1118" t="s">
        <v>1275</v>
      </c>
      <c r="C17" s="1428" t="s">
        <v>982</v>
      </c>
      <c r="D17" s="1429"/>
      <c r="E17" s="1430"/>
      <c r="F17" s="368" t="s">
        <v>1256</v>
      </c>
      <c r="G17" s="1272" t="s">
        <v>1276</v>
      </c>
      <c r="H17" s="1273"/>
      <c r="I17" s="1274"/>
      <c r="J17" s="1382" t="s">
        <v>1277</v>
      </c>
      <c r="K17" s="1382"/>
      <c r="L17" s="1382"/>
      <c r="M17" s="609" t="s">
        <v>8</v>
      </c>
      <c r="N17" s="609">
        <v>1</v>
      </c>
      <c r="O17" s="609" t="s">
        <v>8</v>
      </c>
      <c r="P17" s="609" t="s">
        <v>8</v>
      </c>
      <c r="Q17" s="367" t="s">
        <v>654</v>
      </c>
      <c r="R17" s="367" t="s">
        <v>274</v>
      </c>
      <c r="S17" s="362"/>
      <c r="T17" s="363">
        <f>VLOOKUP(Q17,[86]Listas!$D$6:$E$10,2,0)</f>
        <v>1</v>
      </c>
      <c r="U17" s="363">
        <f>HLOOKUP(R17,[86]Listas!$F$4:$J$5,2,0)</f>
        <v>3</v>
      </c>
      <c r="V17" s="369" t="str">
        <f>INDEX([86]Listas!$F$6:$J$10,MATCH(Q17,[86]Listas!$D$6:$D$10,0),MATCH(R17,[86]Listas!$F$4:$J$4,0))</f>
        <v>3
INFERIOR</v>
      </c>
      <c r="W17" s="362"/>
      <c r="X17" s="1272" t="s">
        <v>1278</v>
      </c>
      <c r="Y17" s="1273"/>
      <c r="Z17" s="1274"/>
      <c r="AA17" s="1071" t="s">
        <v>4205</v>
      </c>
      <c r="AB17" s="368" t="s">
        <v>1254</v>
      </c>
      <c r="AC17" s="609" t="s">
        <v>1271</v>
      </c>
      <c r="AD17" s="609">
        <v>50</v>
      </c>
      <c r="AE17" s="368" t="s">
        <v>153</v>
      </c>
      <c r="AF17" s="362"/>
      <c r="AG17" s="363">
        <f t="shared" si="0"/>
        <v>1</v>
      </c>
      <c r="AH17" s="364">
        <f t="shared" si="1"/>
        <v>0</v>
      </c>
      <c r="AI17" s="370" t="str">
        <f>IF(AH17&lt;=1,"Remota",VLOOKUP(AH17,[86]Listas!$C$6:$D$10,2,0))</f>
        <v>Remota</v>
      </c>
      <c r="AJ17" s="364">
        <f t="shared" si="2"/>
        <v>3</v>
      </c>
      <c r="AK17" s="370" t="str">
        <f>IF(AJ17&lt;=1,"Insignificante",HLOOKUP(AJ17,[86]Listas!$F$3:$J$4,2,0))</f>
        <v>Moderado</v>
      </c>
      <c r="AL17" s="365">
        <f t="shared" si="3"/>
        <v>0</v>
      </c>
      <c r="AM17" s="369" t="str">
        <f>INDEX([86]Listas!$F$6:$J$10,MATCH(AI17,[86]Listas!$D$6:$D$10,0),MATCH(AK17,[86]Listas!$F$4:$J$4,0))</f>
        <v>3
INFERIOR</v>
      </c>
      <c r="AN17" s="259" t="s">
        <v>2817</v>
      </c>
      <c r="AO17" s="259" t="s">
        <v>3462</v>
      </c>
      <c r="AP17" s="610">
        <v>0</v>
      </c>
      <c r="AQ17" s="259" t="s">
        <v>3463</v>
      </c>
      <c r="AR17" s="259" t="s">
        <v>3460</v>
      </c>
      <c r="AS17" s="608" t="s">
        <v>36</v>
      </c>
      <c r="AT17" s="259"/>
      <c r="AU17" s="259"/>
      <c r="AV17" s="261"/>
      <c r="AW17" s="261"/>
      <c r="AX17" s="608"/>
      <c r="AY17" s="262"/>
    </row>
    <row r="18" spans="1:51" s="260" customFormat="1" ht="225.75" customHeight="1">
      <c r="A18" s="609" t="s">
        <v>1279</v>
      </c>
      <c r="B18" s="1118" t="s">
        <v>1280</v>
      </c>
      <c r="C18" s="1428" t="s">
        <v>1071</v>
      </c>
      <c r="D18" s="1429"/>
      <c r="E18" s="1430"/>
      <c r="F18" s="368" t="s">
        <v>1256</v>
      </c>
      <c r="G18" s="1272" t="s">
        <v>1281</v>
      </c>
      <c r="H18" s="1273"/>
      <c r="I18" s="1274"/>
      <c r="J18" s="1382" t="s">
        <v>1073</v>
      </c>
      <c r="K18" s="1382"/>
      <c r="L18" s="1382"/>
      <c r="M18" s="609" t="s">
        <v>8</v>
      </c>
      <c r="N18" s="609">
        <v>1</v>
      </c>
      <c r="O18" s="609" t="s">
        <v>8</v>
      </c>
      <c r="P18" s="609" t="s">
        <v>8</v>
      </c>
      <c r="Q18" s="367" t="s">
        <v>654</v>
      </c>
      <c r="R18" s="367" t="s">
        <v>274</v>
      </c>
      <c r="S18" s="362"/>
      <c r="T18" s="363">
        <f>VLOOKUP(Q18,[86]Listas!$D$6:$E$10,2,0)</f>
        <v>1</v>
      </c>
      <c r="U18" s="363">
        <f>HLOOKUP(R18,[86]Listas!$F$4:$J$5,2,0)</f>
        <v>3</v>
      </c>
      <c r="V18" s="369" t="str">
        <f>INDEX([86]Listas!$F$6:$J$10,MATCH(Q18,[86]Listas!$D$6:$D$10,0),MATCH(R18,[86]Listas!$F$4:$J$4,0))</f>
        <v>3
INFERIOR</v>
      </c>
      <c r="W18" s="362"/>
      <c r="X18" s="1272" t="s">
        <v>1282</v>
      </c>
      <c r="Y18" s="1273"/>
      <c r="Z18" s="1274"/>
      <c r="AA18" s="1071" t="s">
        <v>4188</v>
      </c>
      <c r="AB18" s="368" t="s">
        <v>1254</v>
      </c>
      <c r="AC18" s="609" t="s">
        <v>1271</v>
      </c>
      <c r="AD18" s="609">
        <v>47</v>
      </c>
      <c r="AE18" s="368" t="s">
        <v>152</v>
      </c>
      <c r="AF18" s="362"/>
      <c r="AG18" s="363">
        <f t="shared" si="0"/>
        <v>1</v>
      </c>
      <c r="AH18" s="364">
        <f t="shared" si="1"/>
        <v>0</v>
      </c>
      <c r="AI18" s="370" t="str">
        <f>IF(AH18&lt;=1,"Remota",VLOOKUP(AH18,[86]Listas!$C$6:$D$10,2,0))</f>
        <v>Remota</v>
      </c>
      <c r="AJ18" s="364">
        <f t="shared" si="2"/>
        <v>2</v>
      </c>
      <c r="AK18" s="370" t="str">
        <f>IF(AJ18&lt;=1,"Insignificante",HLOOKUP(AJ18,[86]Listas!$F$3:$J$4,2,0))</f>
        <v>Menor</v>
      </c>
      <c r="AL18" s="365">
        <f t="shared" si="3"/>
        <v>0</v>
      </c>
      <c r="AM18" s="369" t="str">
        <f>INDEX([86]Listas!$F$6:$J$10,MATCH(AI18,[86]Listas!$D$6:$D$10,0),MATCH(AK18,[86]Listas!$F$4:$J$4,0))</f>
        <v>2
INFERIOR</v>
      </c>
      <c r="AN18" s="259" t="s">
        <v>2818</v>
      </c>
      <c r="AO18" s="259" t="s">
        <v>2819</v>
      </c>
      <c r="AP18" s="610"/>
      <c r="AQ18" s="259" t="s">
        <v>3464</v>
      </c>
      <c r="AR18" s="259" t="s">
        <v>3460</v>
      </c>
      <c r="AS18" s="608" t="s">
        <v>36</v>
      </c>
      <c r="AT18" s="259"/>
      <c r="AU18" s="259"/>
      <c r="AV18" s="261"/>
      <c r="AW18" s="261"/>
      <c r="AX18" s="608"/>
      <c r="AY18" s="262"/>
    </row>
    <row r="19" spans="1:51" s="260" customFormat="1" ht="221.25" customHeight="1">
      <c r="A19" s="609" t="s">
        <v>1279</v>
      </c>
      <c r="B19" s="1118" t="s">
        <v>1283</v>
      </c>
      <c r="C19" s="1428" t="s">
        <v>1198</v>
      </c>
      <c r="D19" s="1429"/>
      <c r="E19" s="1430"/>
      <c r="F19" s="368" t="s">
        <v>1256</v>
      </c>
      <c r="G19" s="1272" t="s">
        <v>1284</v>
      </c>
      <c r="H19" s="1273"/>
      <c r="I19" s="1274"/>
      <c r="J19" s="1382" t="s">
        <v>1285</v>
      </c>
      <c r="K19" s="1382"/>
      <c r="L19" s="1382"/>
      <c r="M19" s="609" t="s">
        <v>8</v>
      </c>
      <c r="N19" s="609">
        <v>1</v>
      </c>
      <c r="O19" s="609" t="s">
        <v>8</v>
      </c>
      <c r="P19" s="609" t="s">
        <v>8</v>
      </c>
      <c r="Q19" s="367" t="s">
        <v>654</v>
      </c>
      <c r="R19" s="367" t="s">
        <v>274</v>
      </c>
      <c r="S19" s="362"/>
      <c r="T19" s="363">
        <f>VLOOKUP(Q19,[86]Listas!$D$6:$E$10,2,0)</f>
        <v>1</v>
      </c>
      <c r="U19" s="363">
        <f>HLOOKUP(R19,[86]Listas!$F$4:$J$5,2,0)</f>
        <v>3</v>
      </c>
      <c r="V19" s="369" t="str">
        <f>INDEX([86]Listas!$F$6:$J$10,MATCH(Q19,[86]Listas!$D$6:$D$10,0),MATCH(R19,[86]Listas!$F$4:$J$4,0))</f>
        <v>3
INFERIOR</v>
      </c>
      <c r="W19" s="362"/>
      <c r="X19" s="1272" t="s">
        <v>1286</v>
      </c>
      <c r="Y19" s="1273"/>
      <c r="Z19" s="1274"/>
      <c r="AA19" s="1071" t="s">
        <v>4206</v>
      </c>
      <c r="AB19" s="368" t="s">
        <v>1254</v>
      </c>
      <c r="AC19" s="609" t="s">
        <v>1271</v>
      </c>
      <c r="AD19" s="609">
        <v>47</v>
      </c>
      <c r="AE19" s="368" t="s">
        <v>153</v>
      </c>
      <c r="AF19" s="362"/>
      <c r="AG19" s="363">
        <f t="shared" si="0"/>
        <v>1</v>
      </c>
      <c r="AH19" s="364">
        <f t="shared" si="1"/>
        <v>0</v>
      </c>
      <c r="AI19" s="370" t="str">
        <f>IF(AH19&lt;=1,"Remota",VLOOKUP(AH19,[86]Listas!$C$6:$D$10,2,0))</f>
        <v>Remota</v>
      </c>
      <c r="AJ19" s="364">
        <f t="shared" si="2"/>
        <v>3</v>
      </c>
      <c r="AK19" s="370" t="str">
        <f>IF(AJ19&lt;=1,"Insignificante",HLOOKUP(AJ19,[86]Listas!$F$3:$J$4,2,0))</f>
        <v>Moderado</v>
      </c>
      <c r="AL19" s="365">
        <f t="shared" si="3"/>
        <v>0</v>
      </c>
      <c r="AM19" s="369" t="str">
        <f>INDEX([86]Listas!$F$6:$J$10,MATCH(AI19,[86]Listas!$D$6:$D$10,0),MATCH(AK19,[86]Listas!$F$4:$J$4,0))</f>
        <v>3
INFERIOR</v>
      </c>
      <c r="AN19" s="259" t="s">
        <v>2814</v>
      </c>
      <c r="AO19" s="259" t="s">
        <v>2815</v>
      </c>
      <c r="AP19" s="610">
        <v>0</v>
      </c>
      <c r="AQ19" s="259" t="s">
        <v>3465</v>
      </c>
      <c r="AR19" s="259" t="s">
        <v>3460</v>
      </c>
      <c r="AS19" s="608" t="s">
        <v>36</v>
      </c>
      <c r="AT19" s="259"/>
      <c r="AU19" s="259"/>
      <c r="AV19" s="261"/>
      <c r="AW19" s="261"/>
      <c r="AX19" s="608"/>
      <c r="AY19" s="262"/>
    </row>
    <row r="20" spans="1:51" s="260" customFormat="1" ht="103.5" hidden="1" customHeight="1">
      <c r="A20" s="608"/>
      <c r="B20" s="266"/>
      <c r="C20" s="1399"/>
      <c r="D20" s="1408"/>
      <c r="E20" s="1400"/>
      <c r="F20" s="266"/>
      <c r="G20" s="1399"/>
      <c r="H20" s="1408"/>
      <c r="I20" s="1400"/>
      <c r="J20" s="1380"/>
      <c r="K20" s="1380"/>
      <c r="L20" s="1380"/>
      <c r="M20" s="608"/>
      <c r="N20" s="608"/>
      <c r="O20" s="608"/>
      <c r="P20" s="608"/>
      <c r="Q20" s="266"/>
      <c r="R20" s="266"/>
      <c r="S20" s="268"/>
      <c r="T20" s="269" t="e">
        <f>VLOOKUP(Q20,[71]Listas!$D$6:$E$10,2,0)</f>
        <v>#N/A</v>
      </c>
      <c r="U20" s="269" t="e">
        <f>HLOOKUP(R20,[71]Listas!$F$4:$J$5,2,0)</f>
        <v>#N/A</v>
      </c>
      <c r="V20" s="270" t="e">
        <f>INDEX([71]Listas!$F$6:$J$10,MATCH(Q20,[71]Listas!$D$6:$D$10,0),MATCH(R20,[71]Listas!$F$4:$J$4,0))</f>
        <v>#N/A</v>
      </c>
      <c r="W20" s="268"/>
      <c r="X20" s="1399"/>
      <c r="Y20" s="1408"/>
      <c r="Z20" s="1400"/>
      <c r="AA20" s="1063"/>
      <c r="AB20" s="267"/>
      <c r="AC20" s="259"/>
      <c r="AD20" s="608"/>
      <c r="AE20" s="267"/>
      <c r="AF20" s="268"/>
      <c r="AG20" s="269">
        <f>IF(AD20&lt;=33,0,IF(AD20&gt;81,2,1))</f>
        <v>0</v>
      </c>
      <c r="AH20" s="271" t="e">
        <f>IF(OR(AE20="Probabilidad",AE20="Ambos"),T20-AG20,T20)</f>
        <v>#N/A</v>
      </c>
      <c r="AI20" s="272" t="e">
        <f>IF(AH20&lt;=1,"Remota",VLOOKUP(AH20,[71]Listas!$C$6:$D$10,2,0))</f>
        <v>#N/A</v>
      </c>
      <c r="AJ20" s="271" t="e">
        <f>IF(OR(AE20="Impacto",AE20="Ambos"),U20-AG20,U20)</f>
        <v>#N/A</v>
      </c>
      <c r="AK20" s="272" t="e">
        <f>IF(AJ20&lt;=1,"Insignificante",HLOOKUP(AJ20,[71]Listas!$F$3:$J$4,2,0))</f>
        <v>#N/A</v>
      </c>
      <c r="AL20" s="273" t="e">
        <f>AH20*AJ20</f>
        <v>#N/A</v>
      </c>
      <c r="AM20" s="270" t="e">
        <f>INDEX([71]Listas!$F$6:$J$10,MATCH(AI20,[71]Listas!$D$6:$D$10,0),MATCH(AK20,[71]Listas!$F$4:$J$4,0))</f>
        <v>#N/A</v>
      </c>
      <c r="AN20" s="259"/>
      <c r="AO20" s="259"/>
      <c r="AP20" s="610"/>
      <c r="AQ20" s="259"/>
      <c r="AR20" s="259" t="s">
        <v>2343</v>
      </c>
      <c r="AS20" s="608"/>
      <c r="AU20" s="259"/>
      <c r="AV20" s="261"/>
      <c r="AW20" s="261"/>
      <c r="AX20" s="608"/>
      <c r="AY20" s="262"/>
    </row>
    <row r="21" spans="1:51" s="260" customFormat="1" ht="103.5" hidden="1" customHeight="1">
      <c r="A21" s="608"/>
      <c r="B21" s="266"/>
      <c r="C21" s="1399"/>
      <c r="D21" s="1408"/>
      <c r="E21" s="1400"/>
      <c r="F21" s="267"/>
      <c r="G21" s="1399"/>
      <c r="H21" s="1408"/>
      <c r="I21" s="1400"/>
      <c r="J21" s="1380"/>
      <c r="K21" s="1380"/>
      <c r="L21" s="1380"/>
      <c r="M21" s="608"/>
      <c r="N21" s="608"/>
      <c r="O21" s="608"/>
      <c r="P21" s="608"/>
      <c r="Q21" s="266"/>
      <c r="R21" s="266"/>
      <c r="S21" s="268"/>
      <c r="T21" s="269" t="e">
        <f>VLOOKUP(Q21,[71]Listas!$D$6:$E$10,2,0)</f>
        <v>#N/A</v>
      </c>
      <c r="U21" s="269" t="e">
        <f>HLOOKUP(R21,[71]Listas!$F$4:$J$5,2,0)</f>
        <v>#N/A</v>
      </c>
      <c r="V21" s="270" t="e">
        <f>INDEX([71]Listas!$F$6:$J$10,MATCH(Q21,[71]Listas!$D$6:$D$10,0),MATCH(R21,[71]Listas!$F$4:$J$4,0))</f>
        <v>#N/A</v>
      </c>
      <c r="W21" s="268"/>
      <c r="X21" s="1399"/>
      <c r="Y21" s="1408"/>
      <c r="Z21" s="1400"/>
      <c r="AA21" s="1063"/>
      <c r="AB21" s="267"/>
      <c r="AC21" s="259"/>
      <c r="AD21" s="608"/>
      <c r="AE21" s="267"/>
      <c r="AF21" s="268"/>
      <c r="AG21" s="269">
        <f t="shared" ref="AG21:AG41" si="4">IF(AD21&lt;=33,0,IF(AD21&gt;81,2,1))</f>
        <v>0</v>
      </c>
      <c r="AH21" s="271" t="e">
        <f t="shared" ref="AH21:AH41" si="5">IF(OR(AE21="Probabilidad",AE21="Ambos"),T21-AG21,T21)</f>
        <v>#N/A</v>
      </c>
      <c r="AI21" s="272" t="e">
        <f>IF(AH21&lt;=1,"Remota",VLOOKUP(AH21,[71]Listas!$C$6:$D$10,2,0))</f>
        <v>#N/A</v>
      </c>
      <c r="AJ21" s="271" t="e">
        <f t="shared" ref="AJ21:AJ41" si="6">IF(OR(AE21="Impacto",AE21="Ambos"),U21-AG21,U21)</f>
        <v>#N/A</v>
      </c>
      <c r="AK21" s="272" t="e">
        <f>IF(AJ21&lt;=1,"Insignificante",HLOOKUP(AJ21,[71]Listas!$F$3:$J$4,2,0))</f>
        <v>#N/A</v>
      </c>
      <c r="AL21" s="273" t="e">
        <f t="shared" ref="AL21:AL41" si="7">AH21*AJ21</f>
        <v>#N/A</v>
      </c>
      <c r="AM21" s="270" t="e">
        <f>INDEX([71]Listas!$F$6:$J$10,MATCH(AI21,[71]Listas!$D$6:$D$10,0),MATCH(AK21,[71]Listas!$F$4:$J$4,0))</f>
        <v>#N/A</v>
      </c>
      <c r="AN21" s="259"/>
      <c r="AO21" s="259"/>
      <c r="AP21" s="610"/>
      <c r="AQ21" s="259"/>
      <c r="AR21" s="259" t="s">
        <v>2343</v>
      </c>
      <c r="AS21" s="608"/>
      <c r="AT21" s="259"/>
      <c r="AU21" s="259"/>
      <c r="AV21" s="261"/>
      <c r="AW21" s="261"/>
      <c r="AX21" s="608"/>
      <c r="AY21" s="262"/>
    </row>
    <row r="22" spans="1:51" s="260" customFormat="1" ht="103.5" hidden="1" customHeight="1">
      <c r="A22" s="608"/>
      <c r="B22" s="266"/>
      <c r="C22" s="1399"/>
      <c r="D22" s="1408"/>
      <c r="E22" s="1400"/>
      <c r="F22" s="267"/>
      <c r="G22" s="1399"/>
      <c r="H22" s="1408"/>
      <c r="I22" s="1400"/>
      <c r="J22" s="1380"/>
      <c r="K22" s="1380"/>
      <c r="L22" s="1380"/>
      <c r="M22" s="608"/>
      <c r="N22" s="608"/>
      <c r="O22" s="608"/>
      <c r="P22" s="608"/>
      <c r="Q22" s="266"/>
      <c r="R22" s="266"/>
      <c r="S22" s="268"/>
      <c r="T22" s="269" t="e">
        <f>VLOOKUP(Q22,[71]Listas!$D$6:$E$10,2,0)</f>
        <v>#N/A</v>
      </c>
      <c r="U22" s="269" t="e">
        <f>HLOOKUP(R22,[71]Listas!$F$4:$J$5,2,0)</f>
        <v>#N/A</v>
      </c>
      <c r="V22" s="270" t="e">
        <f>INDEX([71]Listas!$F$6:$J$10,MATCH(Q22,[71]Listas!$D$6:$D$10,0),MATCH(R22,[71]Listas!$F$4:$J$4,0))</f>
        <v>#N/A</v>
      </c>
      <c r="W22" s="268"/>
      <c r="X22" s="1399"/>
      <c r="Y22" s="1408"/>
      <c r="Z22" s="1400"/>
      <c r="AA22" s="1063"/>
      <c r="AB22" s="267"/>
      <c r="AC22" s="259"/>
      <c r="AD22" s="608"/>
      <c r="AE22" s="267"/>
      <c r="AF22" s="268"/>
      <c r="AG22" s="269">
        <f t="shared" si="4"/>
        <v>0</v>
      </c>
      <c r="AH22" s="271" t="e">
        <f t="shared" si="5"/>
        <v>#N/A</v>
      </c>
      <c r="AI22" s="272" t="e">
        <f>IF(AH22&lt;=1,"Remota",VLOOKUP(AH22,[71]Listas!$C$6:$D$10,2,0))</f>
        <v>#N/A</v>
      </c>
      <c r="AJ22" s="271" t="e">
        <f t="shared" si="6"/>
        <v>#N/A</v>
      </c>
      <c r="AK22" s="272" t="e">
        <f>IF(AJ22&lt;=1,"Insignificante",HLOOKUP(AJ22,[71]Listas!$F$3:$J$4,2,0))</f>
        <v>#N/A</v>
      </c>
      <c r="AL22" s="273" t="e">
        <f t="shared" si="7"/>
        <v>#N/A</v>
      </c>
      <c r="AM22" s="270" t="e">
        <f>INDEX([71]Listas!$F$6:$J$10,MATCH(AI22,[71]Listas!$D$6:$D$10,0),MATCH(AK22,[71]Listas!$F$4:$J$4,0))</f>
        <v>#N/A</v>
      </c>
      <c r="AN22" s="259"/>
      <c r="AO22" s="259"/>
      <c r="AP22" s="610"/>
      <c r="AQ22" s="259"/>
      <c r="AR22" s="259" t="s">
        <v>2343</v>
      </c>
      <c r="AS22" s="608"/>
      <c r="AT22" s="259"/>
      <c r="AU22" s="259"/>
      <c r="AV22" s="261"/>
      <c r="AW22" s="261"/>
      <c r="AX22" s="608"/>
      <c r="AY22" s="262"/>
    </row>
    <row r="23" spans="1:51" s="260" customFormat="1" ht="103.5" hidden="1" customHeight="1">
      <c r="A23" s="608"/>
      <c r="B23" s="266"/>
      <c r="C23" s="1399"/>
      <c r="D23" s="1408"/>
      <c r="E23" s="1400"/>
      <c r="F23" s="267"/>
      <c r="G23" s="1399"/>
      <c r="H23" s="1408"/>
      <c r="I23" s="1400"/>
      <c r="J23" s="1380"/>
      <c r="K23" s="1380"/>
      <c r="L23" s="1380"/>
      <c r="M23" s="608"/>
      <c r="N23" s="608"/>
      <c r="O23" s="608"/>
      <c r="P23" s="608"/>
      <c r="Q23" s="266"/>
      <c r="R23" s="266"/>
      <c r="S23" s="268"/>
      <c r="T23" s="269" t="e">
        <f>VLOOKUP(Q23,[71]Listas!$D$6:$E$10,2,0)</f>
        <v>#N/A</v>
      </c>
      <c r="U23" s="269" t="e">
        <f>HLOOKUP(R23,[71]Listas!$F$4:$J$5,2,0)</f>
        <v>#N/A</v>
      </c>
      <c r="V23" s="270" t="e">
        <f>INDEX([71]Listas!$F$6:$J$10,MATCH(Q23,[71]Listas!$D$6:$D$10,0),MATCH(R23,[71]Listas!$F$4:$J$4,0))</f>
        <v>#N/A</v>
      </c>
      <c r="W23" s="268"/>
      <c r="X23" s="1399"/>
      <c r="Y23" s="1408"/>
      <c r="Z23" s="1400"/>
      <c r="AA23" s="1063"/>
      <c r="AB23" s="267"/>
      <c r="AC23" s="259"/>
      <c r="AD23" s="608"/>
      <c r="AE23" s="267"/>
      <c r="AF23" s="268"/>
      <c r="AG23" s="269">
        <f t="shared" si="4"/>
        <v>0</v>
      </c>
      <c r="AH23" s="271" t="e">
        <f t="shared" si="5"/>
        <v>#N/A</v>
      </c>
      <c r="AI23" s="272" t="e">
        <f>IF(AH23&lt;=1,"Remota",VLOOKUP(AH23,[71]Listas!$C$6:$D$10,2,0))</f>
        <v>#N/A</v>
      </c>
      <c r="AJ23" s="271" t="e">
        <f t="shared" si="6"/>
        <v>#N/A</v>
      </c>
      <c r="AK23" s="272" t="e">
        <f>IF(AJ23&lt;=1,"Insignificante",HLOOKUP(AJ23,[71]Listas!$F$3:$J$4,2,0))</f>
        <v>#N/A</v>
      </c>
      <c r="AL23" s="273" t="e">
        <f t="shared" si="7"/>
        <v>#N/A</v>
      </c>
      <c r="AM23" s="270" t="e">
        <f>INDEX([71]Listas!$F$6:$J$10,MATCH(AI23,[71]Listas!$D$6:$D$10,0),MATCH(AK23,[71]Listas!$F$4:$J$4,0))</f>
        <v>#N/A</v>
      </c>
      <c r="AN23" s="259"/>
      <c r="AO23" s="259"/>
      <c r="AP23" s="610"/>
      <c r="AQ23" s="259"/>
      <c r="AR23" s="259" t="s">
        <v>2343</v>
      </c>
      <c r="AS23" s="608"/>
      <c r="AT23" s="259"/>
      <c r="AU23" s="259"/>
      <c r="AV23" s="261"/>
      <c r="AW23" s="261"/>
      <c r="AX23" s="608"/>
      <c r="AY23" s="262"/>
    </row>
    <row r="24" spans="1:51" s="260" customFormat="1" ht="103.5" hidden="1" customHeight="1">
      <c r="A24" s="608"/>
      <c r="B24" s="266"/>
      <c r="C24" s="1399"/>
      <c r="D24" s="1408"/>
      <c r="E24" s="1400"/>
      <c r="F24" s="267"/>
      <c r="G24" s="1399"/>
      <c r="H24" s="1408"/>
      <c r="I24" s="1400"/>
      <c r="J24" s="1380"/>
      <c r="K24" s="1380"/>
      <c r="L24" s="1380"/>
      <c r="M24" s="608"/>
      <c r="N24" s="608"/>
      <c r="O24" s="608"/>
      <c r="P24" s="608"/>
      <c r="Q24" s="266"/>
      <c r="R24" s="266"/>
      <c r="S24" s="268"/>
      <c r="T24" s="269" t="e">
        <f>VLOOKUP(Q24,[71]Listas!$D$6:$E$10,2,0)</f>
        <v>#N/A</v>
      </c>
      <c r="U24" s="269" t="e">
        <f>HLOOKUP(R24,[71]Listas!$F$4:$J$5,2,0)</f>
        <v>#N/A</v>
      </c>
      <c r="V24" s="270" t="e">
        <f>INDEX([71]Listas!$F$6:$J$10,MATCH(Q24,[71]Listas!$D$6:$D$10,0),MATCH(R24,[71]Listas!$F$4:$J$4,0))</f>
        <v>#N/A</v>
      </c>
      <c r="W24" s="268"/>
      <c r="X24" s="1399"/>
      <c r="Y24" s="1408"/>
      <c r="Z24" s="1400"/>
      <c r="AA24" s="1063"/>
      <c r="AB24" s="267"/>
      <c r="AC24" s="259"/>
      <c r="AD24" s="608"/>
      <c r="AE24" s="267"/>
      <c r="AF24" s="268"/>
      <c r="AG24" s="269">
        <f t="shared" si="4"/>
        <v>0</v>
      </c>
      <c r="AH24" s="271" t="e">
        <f t="shared" si="5"/>
        <v>#N/A</v>
      </c>
      <c r="AI24" s="272" t="e">
        <f>IF(AH24&lt;=1,"Remota",VLOOKUP(AH24,[71]Listas!$C$6:$D$10,2,0))</f>
        <v>#N/A</v>
      </c>
      <c r="AJ24" s="271" t="e">
        <f t="shared" si="6"/>
        <v>#N/A</v>
      </c>
      <c r="AK24" s="272" t="e">
        <f>IF(AJ24&lt;=1,"Insignificante",HLOOKUP(AJ24,[71]Listas!$F$3:$J$4,2,0))</f>
        <v>#N/A</v>
      </c>
      <c r="AL24" s="273" t="e">
        <f t="shared" si="7"/>
        <v>#N/A</v>
      </c>
      <c r="AM24" s="270" t="e">
        <f>INDEX([71]Listas!$F$6:$J$10,MATCH(AI24,[71]Listas!$D$6:$D$10,0),MATCH(AK24,[71]Listas!$F$4:$J$4,0))</f>
        <v>#N/A</v>
      </c>
      <c r="AN24" s="259"/>
      <c r="AO24" s="259"/>
      <c r="AP24" s="610"/>
      <c r="AQ24" s="259"/>
      <c r="AR24" s="259" t="s">
        <v>2343</v>
      </c>
      <c r="AS24" s="608"/>
      <c r="AT24" s="259"/>
      <c r="AU24" s="259"/>
      <c r="AV24" s="261"/>
      <c r="AW24" s="261"/>
      <c r="AX24" s="608"/>
      <c r="AY24" s="262"/>
    </row>
    <row r="25" spans="1:51" s="260" customFormat="1" ht="103.5" hidden="1" customHeight="1">
      <c r="A25" s="608"/>
      <c r="B25" s="266"/>
      <c r="C25" s="1399"/>
      <c r="D25" s="1408"/>
      <c r="E25" s="1400"/>
      <c r="F25" s="267"/>
      <c r="G25" s="1399"/>
      <c r="H25" s="1408"/>
      <c r="I25" s="1400"/>
      <c r="J25" s="1380"/>
      <c r="K25" s="1380"/>
      <c r="L25" s="1380"/>
      <c r="M25" s="608"/>
      <c r="N25" s="608"/>
      <c r="O25" s="608"/>
      <c r="P25" s="608"/>
      <c r="Q25" s="266"/>
      <c r="R25" s="266"/>
      <c r="S25" s="268"/>
      <c r="T25" s="269" t="e">
        <f>VLOOKUP(Q25,[71]Listas!$D$6:$E$10,2,0)</f>
        <v>#N/A</v>
      </c>
      <c r="U25" s="269" t="e">
        <f>HLOOKUP(R25,[71]Listas!$F$4:$J$5,2,0)</f>
        <v>#N/A</v>
      </c>
      <c r="V25" s="270" t="e">
        <f>INDEX([71]Listas!$F$6:$J$10,MATCH(Q25,[71]Listas!$D$6:$D$10,0),MATCH(R25,[71]Listas!$F$4:$J$4,0))</f>
        <v>#N/A</v>
      </c>
      <c r="W25" s="268"/>
      <c r="X25" s="1399"/>
      <c r="Y25" s="1408"/>
      <c r="Z25" s="1400"/>
      <c r="AA25" s="1063"/>
      <c r="AB25" s="267"/>
      <c r="AC25" s="259"/>
      <c r="AD25" s="608"/>
      <c r="AE25" s="267"/>
      <c r="AF25" s="268"/>
      <c r="AG25" s="269">
        <f t="shared" si="4"/>
        <v>0</v>
      </c>
      <c r="AH25" s="271" t="e">
        <f t="shared" si="5"/>
        <v>#N/A</v>
      </c>
      <c r="AI25" s="272" t="e">
        <f>IF(AH25&lt;=1,"Remota",VLOOKUP(AH25,[71]Listas!$C$6:$D$10,2,0))</f>
        <v>#N/A</v>
      </c>
      <c r="AJ25" s="271" t="e">
        <f t="shared" si="6"/>
        <v>#N/A</v>
      </c>
      <c r="AK25" s="272" t="e">
        <f>IF(AJ25&lt;=1,"Insignificante",HLOOKUP(AJ25,[71]Listas!$F$3:$J$4,2,0))</f>
        <v>#N/A</v>
      </c>
      <c r="AL25" s="273" t="e">
        <f t="shared" si="7"/>
        <v>#N/A</v>
      </c>
      <c r="AM25" s="270" t="e">
        <f>INDEX([71]Listas!$F$6:$J$10,MATCH(AI25,[71]Listas!$D$6:$D$10,0),MATCH(AK25,[71]Listas!$F$4:$J$4,0))</f>
        <v>#N/A</v>
      </c>
      <c r="AN25" s="259"/>
      <c r="AO25" s="259"/>
      <c r="AP25" s="610"/>
      <c r="AQ25" s="259"/>
      <c r="AR25" s="259" t="s">
        <v>2343</v>
      </c>
      <c r="AS25" s="608"/>
      <c r="AT25" s="259"/>
      <c r="AU25" s="259"/>
      <c r="AV25" s="261"/>
      <c r="AW25" s="261"/>
      <c r="AX25" s="608"/>
      <c r="AY25" s="262"/>
    </row>
    <row r="26" spans="1:51" s="260" customFormat="1" ht="103.5" hidden="1" customHeight="1">
      <c r="A26" s="608"/>
      <c r="B26" s="266"/>
      <c r="C26" s="1399"/>
      <c r="D26" s="1408"/>
      <c r="E26" s="1400"/>
      <c r="F26" s="267"/>
      <c r="G26" s="1399"/>
      <c r="H26" s="1408"/>
      <c r="I26" s="1400"/>
      <c r="J26" s="1380"/>
      <c r="K26" s="1380"/>
      <c r="L26" s="1380"/>
      <c r="M26" s="608"/>
      <c r="N26" s="608"/>
      <c r="O26" s="608"/>
      <c r="P26" s="608"/>
      <c r="Q26" s="266"/>
      <c r="R26" s="266"/>
      <c r="S26" s="268"/>
      <c r="T26" s="269" t="e">
        <f>VLOOKUP(Q26,[71]Listas!$D$6:$E$10,2,0)</f>
        <v>#N/A</v>
      </c>
      <c r="U26" s="269" t="e">
        <f>HLOOKUP(R26,[71]Listas!$F$4:$J$5,2,0)</f>
        <v>#N/A</v>
      </c>
      <c r="V26" s="270" t="e">
        <f>INDEX([71]Listas!$F$6:$J$10,MATCH(Q26,[71]Listas!$D$6:$D$10,0),MATCH(R26,[71]Listas!$F$4:$J$4,0))</f>
        <v>#N/A</v>
      </c>
      <c r="W26" s="268"/>
      <c r="X26" s="1399"/>
      <c r="Y26" s="1408"/>
      <c r="Z26" s="1400"/>
      <c r="AA26" s="1063"/>
      <c r="AB26" s="267"/>
      <c r="AC26" s="259"/>
      <c r="AD26" s="608"/>
      <c r="AE26" s="267"/>
      <c r="AF26" s="268"/>
      <c r="AG26" s="269">
        <f t="shared" si="4"/>
        <v>0</v>
      </c>
      <c r="AH26" s="271" t="e">
        <f t="shared" si="5"/>
        <v>#N/A</v>
      </c>
      <c r="AI26" s="272" t="e">
        <f>IF(AH26&lt;=1,"Remota",VLOOKUP(AH26,[71]Listas!$C$6:$D$10,2,0))</f>
        <v>#N/A</v>
      </c>
      <c r="AJ26" s="271" t="e">
        <f t="shared" si="6"/>
        <v>#N/A</v>
      </c>
      <c r="AK26" s="272" t="e">
        <f>IF(AJ26&lt;=1,"Insignificante",HLOOKUP(AJ26,[71]Listas!$F$3:$J$4,2,0))</f>
        <v>#N/A</v>
      </c>
      <c r="AL26" s="273" t="e">
        <f t="shared" si="7"/>
        <v>#N/A</v>
      </c>
      <c r="AM26" s="270" t="e">
        <f>INDEX([71]Listas!$F$6:$J$10,MATCH(AI26,[71]Listas!$D$6:$D$10,0),MATCH(AK26,[71]Listas!$F$4:$J$4,0))</f>
        <v>#N/A</v>
      </c>
      <c r="AN26" s="259"/>
      <c r="AO26" s="259"/>
      <c r="AP26" s="610"/>
      <c r="AQ26" s="259"/>
      <c r="AR26" s="259" t="s">
        <v>2343</v>
      </c>
      <c r="AS26" s="608"/>
      <c r="AT26" s="259"/>
      <c r="AU26" s="259"/>
      <c r="AV26" s="261"/>
      <c r="AW26" s="261"/>
      <c r="AX26" s="608"/>
      <c r="AY26" s="262"/>
    </row>
    <row r="27" spans="1:51" s="260" customFormat="1" ht="103.5" hidden="1" customHeight="1">
      <c r="A27" s="608"/>
      <c r="B27" s="266"/>
      <c r="C27" s="1399"/>
      <c r="D27" s="1408"/>
      <c r="E27" s="1400"/>
      <c r="F27" s="267"/>
      <c r="G27" s="1399"/>
      <c r="H27" s="1408"/>
      <c r="I27" s="1400"/>
      <c r="J27" s="1380"/>
      <c r="K27" s="1380"/>
      <c r="L27" s="1380"/>
      <c r="M27" s="608"/>
      <c r="N27" s="608"/>
      <c r="O27" s="608"/>
      <c r="P27" s="608"/>
      <c r="Q27" s="266"/>
      <c r="R27" s="266"/>
      <c r="S27" s="268"/>
      <c r="T27" s="269" t="e">
        <f>VLOOKUP(Q27,[71]Listas!$D$6:$E$10,2,0)</f>
        <v>#N/A</v>
      </c>
      <c r="U27" s="269" t="e">
        <f>HLOOKUP(R27,[71]Listas!$F$4:$J$5,2,0)</f>
        <v>#N/A</v>
      </c>
      <c r="V27" s="270" t="e">
        <f>INDEX([71]Listas!$F$6:$J$10,MATCH(Q27,[71]Listas!$D$6:$D$10,0),MATCH(R27,[71]Listas!$F$4:$J$4,0))</f>
        <v>#N/A</v>
      </c>
      <c r="W27" s="268"/>
      <c r="X27" s="1399"/>
      <c r="Y27" s="1408"/>
      <c r="Z27" s="1400"/>
      <c r="AA27" s="1063"/>
      <c r="AB27" s="267"/>
      <c r="AC27" s="259"/>
      <c r="AD27" s="608"/>
      <c r="AE27" s="267"/>
      <c r="AF27" s="268"/>
      <c r="AG27" s="269">
        <f t="shared" si="4"/>
        <v>0</v>
      </c>
      <c r="AH27" s="271" t="e">
        <f t="shared" si="5"/>
        <v>#N/A</v>
      </c>
      <c r="AI27" s="272" t="e">
        <f>IF(AH27&lt;=1,"Remota",VLOOKUP(AH27,[71]Listas!$C$6:$D$10,2,0))</f>
        <v>#N/A</v>
      </c>
      <c r="AJ27" s="271" t="e">
        <f t="shared" si="6"/>
        <v>#N/A</v>
      </c>
      <c r="AK27" s="272" t="e">
        <f>IF(AJ27&lt;=1,"Insignificante",HLOOKUP(AJ27,[71]Listas!$F$3:$J$4,2,0))</f>
        <v>#N/A</v>
      </c>
      <c r="AL27" s="273" t="e">
        <f t="shared" si="7"/>
        <v>#N/A</v>
      </c>
      <c r="AM27" s="270" t="e">
        <f>INDEX([71]Listas!$F$6:$J$10,MATCH(AI27,[71]Listas!$D$6:$D$10,0),MATCH(AK27,[71]Listas!$F$4:$J$4,0))</f>
        <v>#N/A</v>
      </c>
      <c r="AN27" s="259"/>
      <c r="AO27" s="259"/>
      <c r="AP27" s="610"/>
      <c r="AQ27" s="259"/>
      <c r="AR27" s="259" t="s">
        <v>2343</v>
      </c>
      <c r="AS27" s="608"/>
      <c r="AT27" s="259"/>
      <c r="AU27" s="259"/>
      <c r="AV27" s="261"/>
      <c r="AW27" s="261"/>
      <c r="AX27" s="608"/>
      <c r="AY27" s="262"/>
    </row>
    <row r="28" spans="1:51" s="260" customFormat="1" ht="103.5" hidden="1" customHeight="1">
      <c r="A28" s="608"/>
      <c r="B28" s="266"/>
      <c r="C28" s="1399"/>
      <c r="D28" s="1408"/>
      <c r="E28" s="1400"/>
      <c r="F28" s="267"/>
      <c r="G28" s="1399"/>
      <c r="H28" s="1408"/>
      <c r="I28" s="1400"/>
      <c r="J28" s="1380"/>
      <c r="K28" s="1380"/>
      <c r="L28" s="1380"/>
      <c r="M28" s="608"/>
      <c r="N28" s="608"/>
      <c r="O28" s="608"/>
      <c r="P28" s="608"/>
      <c r="Q28" s="266"/>
      <c r="R28" s="266"/>
      <c r="S28" s="268"/>
      <c r="T28" s="269" t="e">
        <f>VLOOKUP(Q28,[71]Listas!$D$6:$E$10,2,0)</f>
        <v>#N/A</v>
      </c>
      <c r="U28" s="269" t="e">
        <f>HLOOKUP(R28,[71]Listas!$F$4:$J$5,2,0)</f>
        <v>#N/A</v>
      </c>
      <c r="V28" s="270" t="e">
        <f>INDEX([71]Listas!$F$6:$J$10,MATCH(Q28,[71]Listas!$D$6:$D$10,0),MATCH(R28,[71]Listas!$F$4:$J$4,0))</f>
        <v>#N/A</v>
      </c>
      <c r="W28" s="268"/>
      <c r="X28" s="1399"/>
      <c r="Y28" s="1408"/>
      <c r="Z28" s="1400"/>
      <c r="AA28" s="1063"/>
      <c r="AB28" s="267"/>
      <c r="AC28" s="259"/>
      <c r="AD28" s="608"/>
      <c r="AE28" s="267"/>
      <c r="AF28" s="268"/>
      <c r="AG28" s="269">
        <f t="shared" si="4"/>
        <v>0</v>
      </c>
      <c r="AH28" s="271" t="e">
        <f t="shared" si="5"/>
        <v>#N/A</v>
      </c>
      <c r="AI28" s="272" t="e">
        <f>IF(AH28&lt;=1,"Remota",VLOOKUP(AH28,[71]Listas!$C$6:$D$10,2,0))</f>
        <v>#N/A</v>
      </c>
      <c r="AJ28" s="271" t="e">
        <f t="shared" si="6"/>
        <v>#N/A</v>
      </c>
      <c r="AK28" s="272" t="e">
        <f>IF(AJ28&lt;=1,"Insignificante",HLOOKUP(AJ28,[71]Listas!$F$3:$J$4,2,0))</f>
        <v>#N/A</v>
      </c>
      <c r="AL28" s="273" t="e">
        <f t="shared" si="7"/>
        <v>#N/A</v>
      </c>
      <c r="AM28" s="270" t="e">
        <f>INDEX([71]Listas!$F$6:$J$10,MATCH(AI28,[71]Listas!$D$6:$D$10,0),MATCH(AK28,[71]Listas!$F$4:$J$4,0))</f>
        <v>#N/A</v>
      </c>
      <c r="AN28" s="259"/>
      <c r="AO28" s="259"/>
      <c r="AP28" s="610"/>
      <c r="AQ28" s="259"/>
      <c r="AR28" s="259" t="s">
        <v>2343</v>
      </c>
      <c r="AS28" s="608"/>
      <c r="AT28" s="259"/>
      <c r="AU28" s="259"/>
      <c r="AV28" s="261"/>
      <c r="AW28" s="261"/>
      <c r="AX28" s="608"/>
      <c r="AY28" s="262"/>
    </row>
    <row r="29" spans="1:51" s="260" customFormat="1" ht="103.5" hidden="1" customHeight="1">
      <c r="A29" s="608"/>
      <c r="B29" s="266"/>
      <c r="C29" s="1399"/>
      <c r="D29" s="1408"/>
      <c r="E29" s="1400"/>
      <c r="F29" s="267"/>
      <c r="G29" s="1399"/>
      <c r="H29" s="1408"/>
      <c r="I29" s="1400"/>
      <c r="J29" s="1380"/>
      <c r="K29" s="1380"/>
      <c r="L29" s="1380"/>
      <c r="M29" s="608"/>
      <c r="N29" s="608"/>
      <c r="O29" s="608"/>
      <c r="P29" s="608"/>
      <c r="Q29" s="266"/>
      <c r="R29" s="266"/>
      <c r="S29" s="268"/>
      <c r="T29" s="269" t="e">
        <f>VLOOKUP(Q29,[71]Listas!$D$6:$E$10,2,0)</f>
        <v>#N/A</v>
      </c>
      <c r="U29" s="269" t="e">
        <f>HLOOKUP(R29,[71]Listas!$F$4:$J$5,2,0)</f>
        <v>#N/A</v>
      </c>
      <c r="V29" s="270" t="e">
        <f>INDEX([71]Listas!$F$6:$J$10,MATCH(Q29,[71]Listas!$D$6:$D$10,0),MATCH(R29,[71]Listas!$F$4:$J$4,0))</f>
        <v>#N/A</v>
      </c>
      <c r="W29" s="268"/>
      <c r="X29" s="1399"/>
      <c r="Y29" s="1408"/>
      <c r="Z29" s="1400"/>
      <c r="AA29" s="1063"/>
      <c r="AB29" s="267"/>
      <c r="AC29" s="259"/>
      <c r="AD29" s="608"/>
      <c r="AE29" s="267"/>
      <c r="AF29" s="268"/>
      <c r="AG29" s="269">
        <f t="shared" si="4"/>
        <v>0</v>
      </c>
      <c r="AH29" s="271" t="e">
        <f t="shared" si="5"/>
        <v>#N/A</v>
      </c>
      <c r="AI29" s="272" t="e">
        <f>IF(AH29&lt;=1,"Remota",VLOOKUP(AH29,[71]Listas!$C$6:$D$10,2,0))</f>
        <v>#N/A</v>
      </c>
      <c r="AJ29" s="271" t="e">
        <f t="shared" si="6"/>
        <v>#N/A</v>
      </c>
      <c r="AK29" s="272" t="e">
        <f>IF(AJ29&lt;=1,"Insignificante",HLOOKUP(AJ29,[71]Listas!$F$3:$J$4,2,0))</f>
        <v>#N/A</v>
      </c>
      <c r="AL29" s="273" t="e">
        <f t="shared" si="7"/>
        <v>#N/A</v>
      </c>
      <c r="AM29" s="270" t="e">
        <f>INDEX([71]Listas!$F$6:$J$10,MATCH(AI29,[71]Listas!$D$6:$D$10,0),MATCH(AK29,[71]Listas!$F$4:$J$4,0))</f>
        <v>#N/A</v>
      </c>
      <c r="AN29" s="259"/>
      <c r="AO29" s="259"/>
      <c r="AP29" s="610"/>
      <c r="AQ29" s="259"/>
      <c r="AR29" s="259" t="s">
        <v>2343</v>
      </c>
      <c r="AS29" s="608"/>
      <c r="AT29" s="259"/>
      <c r="AU29" s="259"/>
      <c r="AV29" s="261"/>
      <c r="AW29" s="261"/>
      <c r="AX29" s="608"/>
      <c r="AY29" s="262"/>
    </row>
    <row r="30" spans="1:51" s="260" customFormat="1" ht="103.5" hidden="1" customHeight="1">
      <c r="A30" s="608"/>
      <c r="B30" s="266"/>
      <c r="C30" s="1399"/>
      <c r="D30" s="1408"/>
      <c r="E30" s="1400"/>
      <c r="F30" s="267"/>
      <c r="G30" s="1399"/>
      <c r="H30" s="1408"/>
      <c r="I30" s="1400"/>
      <c r="J30" s="1380"/>
      <c r="K30" s="1380"/>
      <c r="L30" s="1380"/>
      <c r="M30" s="608"/>
      <c r="N30" s="608"/>
      <c r="O30" s="608"/>
      <c r="P30" s="608"/>
      <c r="Q30" s="266"/>
      <c r="R30" s="266"/>
      <c r="S30" s="268"/>
      <c r="T30" s="269" t="e">
        <f>VLOOKUP(Q30,[71]Listas!$D$6:$E$10,2,0)</f>
        <v>#N/A</v>
      </c>
      <c r="U30" s="269" t="e">
        <f>HLOOKUP(R30,[71]Listas!$F$4:$J$5,2,0)</f>
        <v>#N/A</v>
      </c>
      <c r="V30" s="270" t="e">
        <f>INDEX([71]Listas!$F$6:$J$10,MATCH(Q30,[71]Listas!$D$6:$D$10,0),MATCH(R30,[71]Listas!$F$4:$J$4,0))</f>
        <v>#N/A</v>
      </c>
      <c r="W30" s="268"/>
      <c r="X30" s="1399"/>
      <c r="Y30" s="1408"/>
      <c r="Z30" s="1400"/>
      <c r="AA30" s="1063"/>
      <c r="AB30" s="267"/>
      <c r="AC30" s="259"/>
      <c r="AD30" s="608"/>
      <c r="AE30" s="267"/>
      <c r="AF30" s="268"/>
      <c r="AG30" s="269">
        <f t="shared" si="4"/>
        <v>0</v>
      </c>
      <c r="AH30" s="271" t="e">
        <f t="shared" si="5"/>
        <v>#N/A</v>
      </c>
      <c r="AI30" s="272" t="e">
        <f>IF(AH30&lt;=1,"Remota",VLOOKUP(AH30,[71]Listas!$C$6:$D$10,2,0))</f>
        <v>#N/A</v>
      </c>
      <c r="AJ30" s="271" t="e">
        <f t="shared" si="6"/>
        <v>#N/A</v>
      </c>
      <c r="AK30" s="272" t="e">
        <f>IF(AJ30&lt;=1,"Insignificante",HLOOKUP(AJ30,[71]Listas!$F$3:$J$4,2,0))</f>
        <v>#N/A</v>
      </c>
      <c r="AL30" s="273" t="e">
        <f t="shared" si="7"/>
        <v>#N/A</v>
      </c>
      <c r="AM30" s="270" t="e">
        <f>INDEX([71]Listas!$F$6:$J$10,MATCH(AI30,[71]Listas!$D$6:$D$10,0),MATCH(AK30,[71]Listas!$F$4:$J$4,0))</f>
        <v>#N/A</v>
      </c>
      <c r="AN30" s="259"/>
      <c r="AO30" s="259"/>
      <c r="AP30" s="610"/>
      <c r="AQ30" s="259"/>
      <c r="AR30" s="259" t="s">
        <v>2343</v>
      </c>
      <c r="AS30" s="608"/>
      <c r="AT30" s="259"/>
      <c r="AU30" s="259"/>
      <c r="AV30" s="261"/>
      <c r="AW30" s="261"/>
      <c r="AX30" s="608"/>
      <c r="AY30" s="262"/>
    </row>
    <row r="31" spans="1:51" s="260" customFormat="1" ht="103.5" hidden="1" customHeight="1">
      <c r="A31" s="608"/>
      <c r="B31" s="266"/>
      <c r="C31" s="1399"/>
      <c r="D31" s="1408"/>
      <c r="E31" s="1400"/>
      <c r="F31" s="267"/>
      <c r="G31" s="1399"/>
      <c r="H31" s="1408"/>
      <c r="I31" s="1400"/>
      <c r="J31" s="1380"/>
      <c r="K31" s="1380"/>
      <c r="L31" s="1380"/>
      <c r="M31" s="608"/>
      <c r="N31" s="608"/>
      <c r="O31" s="608"/>
      <c r="P31" s="608"/>
      <c r="Q31" s="266"/>
      <c r="R31" s="266"/>
      <c r="S31" s="268"/>
      <c r="T31" s="269" t="e">
        <f>VLOOKUP(Q31,[71]Listas!$D$6:$E$10,2,0)</f>
        <v>#N/A</v>
      </c>
      <c r="U31" s="269" t="e">
        <f>HLOOKUP(R31,[71]Listas!$F$4:$J$5,2,0)</f>
        <v>#N/A</v>
      </c>
      <c r="V31" s="270" t="e">
        <f>INDEX([71]Listas!$F$6:$J$10,MATCH(Q31,[71]Listas!$D$6:$D$10,0),MATCH(R31,[71]Listas!$F$4:$J$4,0))</f>
        <v>#N/A</v>
      </c>
      <c r="W31" s="268"/>
      <c r="X31" s="1399"/>
      <c r="Y31" s="1408"/>
      <c r="Z31" s="1400"/>
      <c r="AA31" s="1063"/>
      <c r="AB31" s="267"/>
      <c r="AC31" s="259"/>
      <c r="AD31" s="608"/>
      <c r="AE31" s="267"/>
      <c r="AF31" s="268"/>
      <c r="AG31" s="269">
        <f t="shared" si="4"/>
        <v>0</v>
      </c>
      <c r="AH31" s="271" t="e">
        <f t="shared" si="5"/>
        <v>#N/A</v>
      </c>
      <c r="AI31" s="272" t="e">
        <f>IF(AH31&lt;=1,"Remota",VLOOKUP(AH31,[71]Listas!$C$6:$D$10,2,0))</f>
        <v>#N/A</v>
      </c>
      <c r="AJ31" s="271" t="e">
        <f t="shared" si="6"/>
        <v>#N/A</v>
      </c>
      <c r="AK31" s="272" t="e">
        <f>IF(AJ31&lt;=1,"Insignificante",HLOOKUP(AJ31,[71]Listas!$F$3:$J$4,2,0))</f>
        <v>#N/A</v>
      </c>
      <c r="AL31" s="273" t="e">
        <f t="shared" si="7"/>
        <v>#N/A</v>
      </c>
      <c r="AM31" s="270" t="e">
        <f>INDEX([71]Listas!$F$6:$J$10,MATCH(AI31,[71]Listas!$D$6:$D$10,0),MATCH(AK31,[71]Listas!$F$4:$J$4,0))</f>
        <v>#N/A</v>
      </c>
      <c r="AN31" s="259"/>
      <c r="AO31" s="259"/>
      <c r="AP31" s="610"/>
      <c r="AQ31" s="259"/>
      <c r="AR31" s="259" t="s">
        <v>2343</v>
      </c>
      <c r="AS31" s="608"/>
      <c r="AT31" s="259"/>
      <c r="AU31" s="259"/>
      <c r="AV31" s="261"/>
      <c r="AW31" s="261"/>
      <c r="AX31" s="608"/>
      <c r="AY31" s="262"/>
    </row>
    <row r="32" spans="1:51" s="260" customFormat="1" ht="103.5" hidden="1" customHeight="1">
      <c r="A32" s="608"/>
      <c r="B32" s="266"/>
      <c r="C32" s="1399"/>
      <c r="D32" s="1408"/>
      <c r="E32" s="1400"/>
      <c r="F32" s="267"/>
      <c r="G32" s="1399"/>
      <c r="H32" s="1408"/>
      <c r="I32" s="1400"/>
      <c r="J32" s="1380"/>
      <c r="K32" s="1380"/>
      <c r="L32" s="1380"/>
      <c r="M32" s="608"/>
      <c r="N32" s="608"/>
      <c r="O32" s="608"/>
      <c r="P32" s="608"/>
      <c r="Q32" s="266"/>
      <c r="R32" s="266"/>
      <c r="S32" s="268"/>
      <c r="T32" s="269" t="e">
        <f>VLOOKUP(Q32,[71]Listas!$D$6:$E$10,2,0)</f>
        <v>#N/A</v>
      </c>
      <c r="U32" s="269" t="e">
        <f>HLOOKUP(R32,[71]Listas!$F$4:$J$5,2,0)</f>
        <v>#N/A</v>
      </c>
      <c r="V32" s="270" t="e">
        <f>INDEX([71]Listas!$F$6:$J$10,MATCH(Q32,[71]Listas!$D$6:$D$10,0),MATCH(R32,[71]Listas!$F$4:$J$4,0))</f>
        <v>#N/A</v>
      </c>
      <c r="W32" s="268"/>
      <c r="X32" s="1399"/>
      <c r="Y32" s="1408"/>
      <c r="Z32" s="1400"/>
      <c r="AA32" s="1063"/>
      <c r="AB32" s="267"/>
      <c r="AC32" s="259"/>
      <c r="AD32" s="608"/>
      <c r="AE32" s="267"/>
      <c r="AF32" s="268"/>
      <c r="AG32" s="269">
        <f t="shared" si="4"/>
        <v>0</v>
      </c>
      <c r="AH32" s="271" t="e">
        <f t="shared" si="5"/>
        <v>#N/A</v>
      </c>
      <c r="AI32" s="272" t="e">
        <f>IF(AH32&lt;=1,"Remota",VLOOKUP(AH32,[71]Listas!$C$6:$D$10,2,0))</f>
        <v>#N/A</v>
      </c>
      <c r="AJ32" s="271" t="e">
        <f t="shared" si="6"/>
        <v>#N/A</v>
      </c>
      <c r="AK32" s="272" t="e">
        <f>IF(AJ32&lt;=1,"Insignificante",HLOOKUP(AJ32,[71]Listas!$F$3:$J$4,2,0))</f>
        <v>#N/A</v>
      </c>
      <c r="AL32" s="273" t="e">
        <f t="shared" si="7"/>
        <v>#N/A</v>
      </c>
      <c r="AM32" s="270" t="e">
        <f>INDEX([71]Listas!$F$6:$J$10,MATCH(AI32,[71]Listas!$D$6:$D$10,0),MATCH(AK32,[71]Listas!$F$4:$J$4,0))</f>
        <v>#N/A</v>
      </c>
      <c r="AN32" s="259"/>
      <c r="AO32" s="259"/>
      <c r="AP32" s="610"/>
      <c r="AQ32" s="259"/>
      <c r="AR32" s="259" t="s">
        <v>2343</v>
      </c>
      <c r="AS32" s="608"/>
      <c r="AT32" s="259"/>
      <c r="AU32" s="259"/>
      <c r="AV32" s="261"/>
      <c r="AW32" s="261"/>
      <c r="AX32" s="608"/>
      <c r="AY32" s="262"/>
    </row>
    <row r="33" spans="1:51" s="260" customFormat="1" ht="103.5" hidden="1" customHeight="1">
      <c r="A33" s="608"/>
      <c r="B33" s="266"/>
      <c r="C33" s="1399"/>
      <c r="D33" s="1408"/>
      <c r="E33" s="1400"/>
      <c r="F33" s="267"/>
      <c r="G33" s="1399"/>
      <c r="H33" s="1408"/>
      <c r="I33" s="1400"/>
      <c r="J33" s="1380"/>
      <c r="K33" s="1380"/>
      <c r="L33" s="1380"/>
      <c r="M33" s="608"/>
      <c r="N33" s="608"/>
      <c r="O33" s="608"/>
      <c r="P33" s="608"/>
      <c r="Q33" s="266"/>
      <c r="R33" s="266"/>
      <c r="S33" s="268"/>
      <c r="T33" s="269" t="e">
        <f>VLOOKUP(Q33,[71]Listas!$D$6:$E$10,2,0)</f>
        <v>#N/A</v>
      </c>
      <c r="U33" s="269" t="e">
        <f>HLOOKUP(R33,[71]Listas!$F$4:$J$5,2,0)</f>
        <v>#N/A</v>
      </c>
      <c r="V33" s="270" t="e">
        <f>INDEX([71]Listas!$F$6:$J$10,MATCH(Q33,[71]Listas!$D$6:$D$10,0),MATCH(R33,[71]Listas!$F$4:$J$4,0))</f>
        <v>#N/A</v>
      </c>
      <c r="W33" s="268"/>
      <c r="X33" s="1399"/>
      <c r="Y33" s="1408"/>
      <c r="Z33" s="1400"/>
      <c r="AA33" s="1063"/>
      <c r="AB33" s="267"/>
      <c r="AC33" s="259"/>
      <c r="AD33" s="608"/>
      <c r="AE33" s="267"/>
      <c r="AF33" s="268"/>
      <c r="AG33" s="269">
        <f t="shared" si="4"/>
        <v>0</v>
      </c>
      <c r="AH33" s="271" t="e">
        <f t="shared" si="5"/>
        <v>#N/A</v>
      </c>
      <c r="AI33" s="272" t="e">
        <f>IF(AH33&lt;=1,"Remota",VLOOKUP(AH33,[71]Listas!$C$6:$D$10,2,0))</f>
        <v>#N/A</v>
      </c>
      <c r="AJ33" s="271" t="e">
        <f t="shared" si="6"/>
        <v>#N/A</v>
      </c>
      <c r="AK33" s="272" t="e">
        <f>IF(AJ33&lt;=1,"Insignificante",HLOOKUP(AJ33,[71]Listas!$F$3:$J$4,2,0))</f>
        <v>#N/A</v>
      </c>
      <c r="AL33" s="273" t="e">
        <f t="shared" si="7"/>
        <v>#N/A</v>
      </c>
      <c r="AM33" s="270" t="e">
        <f>INDEX([71]Listas!$F$6:$J$10,MATCH(AI33,[71]Listas!$D$6:$D$10,0),MATCH(AK33,[71]Listas!$F$4:$J$4,0))</f>
        <v>#N/A</v>
      </c>
      <c r="AN33" s="259"/>
      <c r="AO33" s="259"/>
      <c r="AP33" s="610"/>
      <c r="AQ33" s="259"/>
      <c r="AR33" s="259" t="s">
        <v>2343</v>
      </c>
      <c r="AS33" s="608"/>
      <c r="AT33" s="259"/>
      <c r="AU33" s="259"/>
      <c r="AV33" s="261"/>
      <c r="AW33" s="261"/>
      <c r="AX33" s="608"/>
      <c r="AY33" s="262"/>
    </row>
    <row r="34" spans="1:51" s="260" customFormat="1" ht="103.5" hidden="1" customHeight="1">
      <c r="A34" s="608"/>
      <c r="B34" s="266"/>
      <c r="C34" s="1399"/>
      <c r="D34" s="1408"/>
      <c r="E34" s="1400"/>
      <c r="F34" s="267"/>
      <c r="G34" s="1399"/>
      <c r="H34" s="1408"/>
      <c r="I34" s="1400"/>
      <c r="J34" s="1380"/>
      <c r="K34" s="1380"/>
      <c r="L34" s="1380"/>
      <c r="M34" s="608"/>
      <c r="N34" s="608"/>
      <c r="O34" s="608"/>
      <c r="P34" s="608"/>
      <c r="Q34" s="266"/>
      <c r="R34" s="266"/>
      <c r="S34" s="268"/>
      <c r="T34" s="269" t="e">
        <f>VLOOKUP(Q34,[71]Listas!$D$6:$E$10,2,0)</f>
        <v>#N/A</v>
      </c>
      <c r="U34" s="269" t="e">
        <f>HLOOKUP(R34,[71]Listas!$F$4:$J$5,2,0)</f>
        <v>#N/A</v>
      </c>
      <c r="V34" s="270" t="e">
        <f>INDEX([71]Listas!$F$6:$J$10,MATCH(Q34,[71]Listas!$D$6:$D$10,0),MATCH(R34,[71]Listas!$F$4:$J$4,0))</f>
        <v>#N/A</v>
      </c>
      <c r="W34" s="268"/>
      <c r="X34" s="1399"/>
      <c r="Y34" s="1408"/>
      <c r="Z34" s="1400"/>
      <c r="AA34" s="1063"/>
      <c r="AB34" s="267"/>
      <c r="AC34" s="259"/>
      <c r="AD34" s="608"/>
      <c r="AE34" s="267"/>
      <c r="AF34" s="268"/>
      <c r="AG34" s="269">
        <f t="shared" si="4"/>
        <v>0</v>
      </c>
      <c r="AH34" s="271" t="e">
        <f t="shared" si="5"/>
        <v>#N/A</v>
      </c>
      <c r="AI34" s="272" t="e">
        <f>IF(AH34&lt;=1,"Remota",VLOOKUP(AH34,[71]Listas!$C$6:$D$10,2,0))</f>
        <v>#N/A</v>
      </c>
      <c r="AJ34" s="271" t="e">
        <f t="shared" si="6"/>
        <v>#N/A</v>
      </c>
      <c r="AK34" s="272" t="e">
        <f>IF(AJ34&lt;=1,"Insignificante",HLOOKUP(AJ34,[71]Listas!$F$3:$J$4,2,0))</f>
        <v>#N/A</v>
      </c>
      <c r="AL34" s="273" t="e">
        <f t="shared" si="7"/>
        <v>#N/A</v>
      </c>
      <c r="AM34" s="270" t="e">
        <f>INDEX([71]Listas!$F$6:$J$10,MATCH(AI34,[71]Listas!$D$6:$D$10,0),MATCH(AK34,[71]Listas!$F$4:$J$4,0))</f>
        <v>#N/A</v>
      </c>
      <c r="AN34" s="259"/>
      <c r="AO34" s="259"/>
      <c r="AP34" s="610"/>
      <c r="AQ34" s="259"/>
      <c r="AR34" s="259" t="s">
        <v>2343</v>
      </c>
      <c r="AS34" s="608"/>
      <c r="AT34" s="259"/>
      <c r="AU34" s="259"/>
      <c r="AV34" s="261"/>
      <c r="AW34" s="261"/>
      <c r="AX34" s="608"/>
      <c r="AY34" s="262"/>
    </row>
    <row r="35" spans="1:51" s="260" customFormat="1" ht="103.5" hidden="1" customHeight="1">
      <c r="A35" s="608"/>
      <c r="B35" s="266"/>
      <c r="C35" s="1399"/>
      <c r="D35" s="1408"/>
      <c r="E35" s="1400"/>
      <c r="F35" s="267"/>
      <c r="G35" s="1399"/>
      <c r="H35" s="1408"/>
      <c r="I35" s="1400"/>
      <c r="J35" s="1380"/>
      <c r="K35" s="1380"/>
      <c r="L35" s="1380"/>
      <c r="M35" s="608"/>
      <c r="N35" s="608"/>
      <c r="O35" s="608"/>
      <c r="P35" s="608"/>
      <c r="Q35" s="266"/>
      <c r="R35" s="266"/>
      <c r="S35" s="268"/>
      <c r="T35" s="269" t="e">
        <f>VLOOKUP(Q35,[71]Listas!$D$6:$E$10,2,0)</f>
        <v>#N/A</v>
      </c>
      <c r="U35" s="269" t="e">
        <f>HLOOKUP(R35,[71]Listas!$F$4:$J$5,2,0)</f>
        <v>#N/A</v>
      </c>
      <c r="V35" s="270" t="e">
        <f>INDEX([71]Listas!$F$6:$J$10,MATCH(Q35,[71]Listas!$D$6:$D$10,0),MATCH(R35,[71]Listas!$F$4:$J$4,0))</f>
        <v>#N/A</v>
      </c>
      <c r="W35" s="268"/>
      <c r="X35" s="1399"/>
      <c r="Y35" s="1408"/>
      <c r="Z35" s="1400"/>
      <c r="AA35" s="1063"/>
      <c r="AB35" s="267"/>
      <c r="AC35" s="259"/>
      <c r="AD35" s="608"/>
      <c r="AE35" s="267"/>
      <c r="AF35" s="268"/>
      <c r="AG35" s="269">
        <f t="shared" si="4"/>
        <v>0</v>
      </c>
      <c r="AH35" s="271" t="e">
        <f t="shared" si="5"/>
        <v>#N/A</v>
      </c>
      <c r="AI35" s="272" t="e">
        <f>IF(AH35&lt;=1,"Remota",VLOOKUP(AH35,[71]Listas!$C$6:$D$10,2,0))</f>
        <v>#N/A</v>
      </c>
      <c r="AJ35" s="271" t="e">
        <f t="shared" si="6"/>
        <v>#N/A</v>
      </c>
      <c r="AK35" s="272" t="e">
        <f>IF(AJ35&lt;=1,"Insignificante",HLOOKUP(AJ35,[71]Listas!$F$3:$J$4,2,0))</f>
        <v>#N/A</v>
      </c>
      <c r="AL35" s="273" t="e">
        <f t="shared" si="7"/>
        <v>#N/A</v>
      </c>
      <c r="AM35" s="270" t="e">
        <f>INDEX([71]Listas!$F$6:$J$10,MATCH(AI35,[71]Listas!$D$6:$D$10,0),MATCH(AK35,[71]Listas!$F$4:$J$4,0))</f>
        <v>#N/A</v>
      </c>
      <c r="AN35" s="259"/>
      <c r="AO35" s="259"/>
      <c r="AP35" s="610"/>
      <c r="AQ35" s="259"/>
      <c r="AR35" s="259" t="s">
        <v>2343</v>
      </c>
      <c r="AS35" s="608"/>
      <c r="AT35" s="259"/>
      <c r="AU35" s="259"/>
      <c r="AV35" s="261"/>
      <c r="AW35" s="261"/>
      <c r="AX35" s="608"/>
      <c r="AY35" s="262"/>
    </row>
    <row r="36" spans="1:51" s="260" customFormat="1" ht="103.5" hidden="1" customHeight="1">
      <c r="A36" s="608"/>
      <c r="B36" s="266"/>
      <c r="C36" s="1399"/>
      <c r="D36" s="1408"/>
      <c r="E36" s="1400"/>
      <c r="F36" s="267"/>
      <c r="G36" s="1399"/>
      <c r="H36" s="1408"/>
      <c r="I36" s="1400"/>
      <c r="J36" s="1380"/>
      <c r="K36" s="1380"/>
      <c r="L36" s="1380"/>
      <c r="M36" s="608"/>
      <c r="N36" s="608"/>
      <c r="O36" s="608"/>
      <c r="P36" s="608"/>
      <c r="Q36" s="266"/>
      <c r="R36" s="266"/>
      <c r="S36" s="268"/>
      <c r="T36" s="269" t="e">
        <f>VLOOKUP(Q36,[71]Listas!$D$6:$E$10,2,0)</f>
        <v>#N/A</v>
      </c>
      <c r="U36" s="269" t="e">
        <f>HLOOKUP(R36,[71]Listas!$F$4:$J$5,2,0)</f>
        <v>#N/A</v>
      </c>
      <c r="V36" s="270" t="e">
        <f>INDEX([71]Listas!$F$6:$J$10,MATCH(Q36,[71]Listas!$D$6:$D$10,0),MATCH(R36,[71]Listas!$F$4:$J$4,0))</f>
        <v>#N/A</v>
      </c>
      <c r="W36" s="268"/>
      <c r="X36" s="1399"/>
      <c r="Y36" s="1408"/>
      <c r="Z36" s="1400"/>
      <c r="AA36" s="1063"/>
      <c r="AB36" s="267"/>
      <c r="AC36" s="259"/>
      <c r="AD36" s="608"/>
      <c r="AE36" s="267"/>
      <c r="AF36" s="268"/>
      <c r="AG36" s="269">
        <f t="shared" si="4"/>
        <v>0</v>
      </c>
      <c r="AH36" s="271" t="e">
        <f t="shared" si="5"/>
        <v>#N/A</v>
      </c>
      <c r="AI36" s="272" t="e">
        <f>IF(AH36&lt;=1,"Remota",VLOOKUP(AH36,[71]Listas!$C$6:$D$10,2,0))</f>
        <v>#N/A</v>
      </c>
      <c r="AJ36" s="271" t="e">
        <f t="shared" si="6"/>
        <v>#N/A</v>
      </c>
      <c r="AK36" s="272" t="e">
        <f>IF(AJ36&lt;=1,"Insignificante",HLOOKUP(AJ36,[71]Listas!$F$3:$J$4,2,0))</f>
        <v>#N/A</v>
      </c>
      <c r="AL36" s="273" t="e">
        <f t="shared" si="7"/>
        <v>#N/A</v>
      </c>
      <c r="AM36" s="270" t="e">
        <f>INDEX([71]Listas!$F$6:$J$10,MATCH(AI36,[71]Listas!$D$6:$D$10,0),MATCH(AK36,[71]Listas!$F$4:$J$4,0))</f>
        <v>#N/A</v>
      </c>
      <c r="AN36" s="259"/>
      <c r="AO36" s="259"/>
      <c r="AP36" s="610"/>
      <c r="AQ36" s="259"/>
      <c r="AR36" s="259" t="s">
        <v>2343</v>
      </c>
      <c r="AS36" s="608"/>
      <c r="AT36" s="259"/>
      <c r="AU36" s="259"/>
      <c r="AV36" s="261"/>
      <c r="AW36" s="261"/>
      <c r="AX36" s="608"/>
      <c r="AY36" s="262"/>
    </row>
    <row r="37" spans="1:51" s="260" customFormat="1" ht="103.5" hidden="1" customHeight="1">
      <c r="A37" s="608"/>
      <c r="B37" s="266"/>
      <c r="C37" s="1399"/>
      <c r="D37" s="1408"/>
      <c r="E37" s="1400"/>
      <c r="F37" s="267"/>
      <c r="G37" s="1399"/>
      <c r="H37" s="1408"/>
      <c r="I37" s="1400"/>
      <c r="J37" s="1380"/>
      <c r="K37" s="1380"/>
      <c r="L37" s="1380"/>
      <c r="M37" s="608"/>
      <c r="N37" s="608"/>
      <c r="O37" s="608"/>
      <c r="P37" s="608"/>
      <c r="Q37" s="266"/>
      <c r="R37" s="266"/>
      <c r="S37" s="268"/>
      <c r="T37" s="269" t="e">
        <f>VLOOKUP(Q37,[71]Listas!$D$6:$E$10,2,0)</f>
        <v>#N/A</v>
      </c>
      <c r="U37" s="269" t="e">
        <f>HLOOKUP(R37,[71]Listas!$F$4:$J$5,2,0)</f>
        <v>#N/A</v>
      </c>
      <c r="V37" s="270" t="e">
        <f>INDEX([71]Listas!$F$6:$J$10,MATCH(Q37,[71]Listas!$D$6:$D$10,0),MATCH(R37,[71]Listas!$F$4:$J$4,0))</f>
        <v>#N/A</v>
      </c>
      <c r="W37" s="268"/>
      <c r="X37" s="1399"/>
      <c r="Y37" s="1408"/>
      <c r="Z37" s="1400"/>
      <c r="AA37" s="1063"/>
      <c r="AB37" s="267"/>
      <c r="AC37" s="259"/>
      <c r="AD37" s="608"/>
      <c r="AE37" s="267"/>
      <c r="AF37" s="268"/>
      <c r="AG37" s="269">
        <f t="shared" si="4"/>
        <v>0</v>
      </c>
      <c r="AH37" s="271" t="e">
        <f t="shared" si="5"/>
        <v>#N/A</v>
      </c>
      <c r="AI37" s="272" t="e">
        <f>IF(AH37&lt;=1,"Remota",VLOOKUP(AH37,[71]Listas!$C$6:$D$10,2,0))</f>
        <v>#N/A</v>
      </c>
      <c r="AJ37" s="271" t="e">
        <f t="shared" si="6"/>
        <v>#N/A</v>
      </c>
      <c r="AK37" s="272" t="e">
        <f>IF(AJ37&lt;=1,"Insignificante",HLOOKUP(AJ37,[71]Listas!$F$3:$J$4,2,0))</f>
        <v>#N/A</v>
      </c>
      <c r="AL37" s="273" t="e">
        <f t="shared" si="7"/>
        <v>#N/A</v>
      </c>
      <c r="AM37" s="270" t="e">
        <f>INDEX([71]Listas!$F$6:$J$10,MATCH(AI37,[71]Listas!$D$6:$D$10,0),MATCH(AK37,[71]Listas!$F$4:$J$4,0))</f>
        <v>#N/A</v>
      </c>
      <c r="AN37" s="259"/>
      <c r="AO37" s="259"/>
      <c r="AP37" s="610"/>
      <c r="AQ37" s="259"/>
      <c r="AR37" s="259" t="s">
        <v>2343</v>
      </c>
      <c r="AS37" s="608"/>
      <c r="AT37" s="259"/>
      <c r="AU37" s="259"/>
      <c r="AV37" s="261"/>
      <c r="AW37" s="261"/>
      <c r="AX37" s="608"/>
      <c r="AY37" s="262"/>
    </row>
    <row r="38" spans="1:51" s="260" customFormat="1" ht="103.5" hidden="1" customHeight="1">
      <c r="A38" s="608"/>
      <c r="B38" s="266"/>
      <c r="C38" s="1399"/>
      <c r="D38" s="1408"/>
      <c r="E38" s="1400"/>
      <c r="F38" s="267"/>
      <c r="G38" s="1399"/>
      <c r="H38" s="1408"/>
      <c r="I38" s="1400"/>
      <c r="J38" s="1380"/>
      <c r="K38" s="1380"/>
      <c r="L38" s="1380"/>
      <c r="M38" s="608"/>
      <c r="N38" s="608"/>
      <c r="O38" s="608"/>
      <c r="P38" s="608"/>
      <c r="Q38" s="266"/>
      <c r="R38" s="266"/>
      <c r="S38" s="268"/>
      <c r="T38" s="269" t="e">
        <f>VLOOKUP(Q38,[71]Listas!$D$6:$E$10,2,0)</f>
        <v>#N/A</v>
      </c>
      <c r="U38" s="269" t="e">
        <f>HLOOKUP(R38,[71]Listas!$F$4:$J$5,2,0)</f>
        <v>#N/A</v>
      </c>
      <c r="V38" s="270" t="e">
        <f>INDEX([71]Listas!$F$6:$J$10,MATCH(Q38,[71]Listas!$D$6:$D$10,0),MATCH(R38,[71]Listas!$F$4:$J$4,0))</f>
        <v>#N/A</v>
      </c>
      <c r="W38" s="268"/>
      <c r="X38" s="1399"/>
      <c r="Y38" s="1408"/>
      <c r="Z38" s="1400"/>
      <c r="AA38" s="1063"/>
      <c r="AB38" s="267"/>
      <c r="AC38" s="259"/>
      <c r="AD38" s="608"/>
      <c r="AE38" s="267"/>
      <c r="AF38" s="268"/>
      <c r="AG38" s="269">
        <f t="shared" si="4"/>
        <v>0</v>
      </c>
      <c r="AH38" s="271" t="e">
        <f t="shared" si="5"/>
        <v>#N/A</v>
      </c>
      <c r="AI38" s="272" t="e">
        <f>IF(AH38&lt;=1,"Remota",VLOOKUP(AH38,[71]Listas!$C$6:$D$10,2,0))</f>
        <v>#N/A</v>
      </c>
      <c r="AJ38" s="271" t="e">
        <f t="shared" si="6"/>
        <v>#N/A</v>
      </c>
      <c r="AK38" s="272" t="e">
        <f>IF(AJ38&lt;=1,"Insignificante",HLOOKUP(AJ38,[71]Listas!$F$3:$J$4,2,0))</f>
        <v>#N/A</v>
      </c>
      <c r="AL38" s="273" t="e">
        <f t="shared" si="7"/>
        <v>#N/A</v>
      </c>
      <c r="AM38" s="270" t="e">
        <f>INDEX([71]Listas!$F$6:$J$10,MATCH(AI38,[71]Listas!$D$6:$D$10,0),MATCH(AK38,[71]Listas!$F$4:$J$4,0))</f>
        <v>#N/A</v>
      </c>
      <c r="AN38" s="259"/>
      <c r="AO38" s="259"/>
      <c r="AP38" s="610"/>
      <c r="AQ38" s="259"/>
      <c r="AR38" s="259" t="s">
        <v>2343</v>
      </c>
      <c r="AS38" s="608"/>
      <c r="AT38" s="259"/>
      <c r="AU38" s="259"/>
      <c r="AV38" s="261"/>
      <c r="AW38" s="261"/>
      <c r="AX38" s="608"/>
      <c r="AY38" s="262"/>
    </row>
    <row r="39" spans="1:51" s="260" customFormat="1" ht="103.5" hidden="1" customHeight="1">
      <c r="A39" s="608"/>
      <c r="B39" s="266"/>
      <c r="C39" s="1399"/>
      <c r="D39" s="1408"/>
      <c r="E39" s="1400"/>
      <c r="F39" s="267"/>
      <c r="G39" s="1399"/>
      <c r="H39" s="1408"/>
      <c r="I39" s="1400"/>
      <c r="J39" s="1380"/>
      <c r="K39" s="1380"/>
      <c r="L39" s="1380"/>
      <c r="M39" s="608"/>
      <c r="N39" s="608"/>
      <c r="O39" s="608"/>
      <c r="P39" s="608"/>
      <c r="Q39" s="266"/>
      <c r="R39" s="266"/>
      <c r="S39" s="268"/>
      <c r="T39" s="269" t="e">
        <f>VLOOKUP(Q39,[71]Listas!$D$6:$E$10,2,0)</f>
        <v>#N/A</v>
      </c>
      <c r="U39" s="269" t="e">
        <f>HLOOKUP(R39,[71]Listas!$F$4:$J$5,2,0)</f>
        <v>#N/A</v>
      </c>
      <c r="V39" s="270" t="e">
        <f>INDEX([71]Listas!$F$6:$J$10,MATCH(Q39,[71]Listas!$D$6:$D$10,0),MATCH(R39,[71]Listas!$F$4:$J$4,0))</f>
        <v>#N/A</v>
      </c>
      <c r="W39" s="268"/>
      <c r="X39" s="1399"/>
      <c r="Y39" s="1408"/>
      <c r="Z39" s="1400"/>
      <c r="AA39" s="1063"/>
      <c r="AB39" s="267"/>
      <c r="AC39" s="259"/>
      <c r="AD39" s="608"/>
      <c r="AE39" s="267"/>
      <c r="AF39" s="268"/>
      <c r="AG39" s="269">
        <f t="shared" si="4"/>
        <v>0</v>
      </c>
      <c r="AH39" s="271" t="e">
        <f t="shared" si="5"/>
        <v>#N/A</v>
      </c>
      <c r="AI39" s="272" t="e">
        <f>IF(AH39&lt;=1,"Remota",VLOOKUP(AH39,[71]Listas!$C$6:$D$10,2,0))</f>
        <v>#N/A</v>
      </c>
      <c r="AJ39" s="271" t="e">
        <f t="shared" si="6"/>
        <v>#N/A</v>
      </c>
      <c r="AK39" s="272" t="e">
        <f>IF(AJ39&lt;=1,"Insignificante",HLOOKUP(AJ39,[71]Listas!$F$3:$J$4,2,0))</f>
        <v>#N/A</v>
      </c>
      <c r="AL39" s="273" t="e">
        <f t="shared" si="7"/>
        <v>#N/A</v>
      </c>
      <c r="AM39" s="270" t="e">
        <f>INDEX([71]Listas!$F$6:$J$10,MATCH(AI39,[71]Listas!$D$6:$D$10,0),MATCH(AK39,[71]Listas!$F$4:$J$4,0))</f>
        <v>#N/A</v>
      </c>
      <c r="AN39" s="259"/>
      <c r="AO39" s="259"/>
      <c r="AP39" s="610"/>
      <c r="AQ39" s="259"/>
      <c r="AR39" s="259" t="s">
        <v>2343</v>
      </c>
      <c r="AS39" s="608"/>
      <c r="AT39" s="259"/>
      <c r="AU39" s="259"/>
      <c r="AV39" s="261"/>
      <c r="AW39" s="261"/>
      <c r="AX39" s="608"/>
      <c r="AY39" s="262"/>
    </row>
    <row r="40" spans="1:51" s="260" customFormat="1" ht="103.5" hidden="1" customHeight="1">
      <c r="A40" s="608"/>
      <c r="B40" s="266"/>
      <c r="C40" s="1399"/>
      <c r="D40" s="1408"/>
      <c r="E40" s="1400"/>
      <c r="F40" s="267"/>
      <c r="G40" s="1399"/>
      <c r="H40" s="1408"/>
      <c r="I40" s="1400"/>
      <c r="J40" s="1380"/>
      <c r="K40" s="1380"/>
      <c r="L40" s="1380"/>
      <c r="M40" s="608"/>
      <c r="N40" s="608"/>
      <c r="O40" s="608"/>
      <c r="P40" s="608"/>
      <c r="Q40" s="266"/>
      <c r="R40" s="266"/>
      <c r="S40" s="268"/>
      <c r="T40" s="269" t="e">
        <f>VLOOKUP(Q40,[71]Listas!$D$6:$E$10,2,0)</f>
        <v>#N/A</v>
      </c>
      <c r="U40" s="269" t="e">
        <f>HLOOKUP(R40,[71]Listas!$F$4:$J$5,2,0)</f>
        <v>#N/A</v>
      </c>
      <c r="V40" s="270" t="e">
        <f>INDEX([71]Listas!$F$6:$J$10,MATCH(Q40,[71]Listas!$D$6:$D$10,0),MATCH(R40,[71]Listas!$F$4:$J$4,0))</f>
        <v>#N/A</v>
      </c>
      <c r="W40" s="268"/>
      <c r="X40" s="1399"/>
      <c r="Y40" s="1408"/>
      <c r="Z40" s="1400"/>
      <c r="AA40" s="1063"/>
      <c r="AB40" s="267"/>
      <c r="AC40" s="259"/>
      <c r="AD40" s="608"/>
      <c r="AE40" s="267"/>
      <c r="AF40" s="268"/>
      <c r="AG40" s="269">
        <f t="shared" si="4"/>
        <v>0</v>
      </c>
      <c r="AH40" s="271" t="e">
        <f t="shared" si="5"/>
        <v>#N/A</v>
      </c>
      <c r="AI40" s="272" t="e">
        <f>IF(AH40&lt;=1,"Remota",VLOOKUP(AH40,[71]Listas!$C$6:$D$10,2,0))</f>
        <v>#N/A</v>
      </c>
      <c r="AJ40" s="271" t="e">
        <f t="shared" si="6"/>
        <v>#N/A</v>
      </c>
      <c r="AK40" s="272" t="e">
        <f>IF(AJ40&lt;=1,"Insignificante",HLOOKUP(AJ40,[71]Listas!$F$3:$J$4,2,0))</f>
        <v>#N/A</v>
      </c>
      <c r="AL40" s="273" t="e">
        <f t="shared" si="7"/>
        <v>#N/A</v>
      </c>
      <c r="AM40" s="270" t="e">
        <f>INDEX([71]Listas!$F$6:$J$10,MATCH(AI40,[71]Listas!$D$6:$D$10,0),MATCH(AK40,[71]Listas!$F$4:$J$4,0))</f>
        <v>#N/A</v>
      </c>
      <c r="AN40" s="259"/>
      <c r="AO40" s="259"/>
      <c r="AP40" s="610"/>
      <c r="AQ40" s="259"/>
      <c r="AR40" s="259" t="s">
        <v>2343</v>
      </c>
      <c r="AS40" s="608"/>
      <c r="AT40" s="259"/>
      <c r="AU40" s="259"/>
      <c r="AV40" s="261"/>
      <c r="AW40" s="261"/>
      <c r="AX40" s="608"/>
      <c r="AY40" s="262"/>
    </row>
    <row r="41" spans="1:51" s="260" customFormat="1" ht="103.5" hidden="1" customHeight="1">
      <c r="A41" s="608"/>
      <c r="B41" s="266"/>
      <c r="C41" s="1399"/>
      <c r="D41" s="1408"/>
      <c r="E41" s="1400"/>
      <c r="F41" s="267"/>
      <c r="G41" s="1399"/>
      <c r="H41" s="1408"/>
      <c r="I41" s="1400"/>
      <c r="J41" s="1380"/>
      <c r="K41" s="1380"/>
      <c r="L41" s="1380"/>
      <c r="M41" s="608"/>
      <c r="N41" s="608"/>
      <c r="O41" s="608"/>
      <c r="P41" s="608"/>
      <c r="Q41" s="266"/>
      <c r="R41" s="266"/>
      <c r="S41" s="268"/>
      <c r="T41" s="269" t="e">
        <f>VLOOKUP(Q41,[71]Listas!$D$6:$E$10,2,0)</f>
        <v>#N/A</v>
      </c>
      <c r="U41" s="269" t="e">
        <f>HLOOKUP(R41,[71]Listas!$F$4:$J$5,2,0)</f>
        <v>#N/A</v>
      </c>
      <c r="V41" s="270" t="e">
        <f>INDEX([71]Listas!$F$6:$J$10,MATCH(Q41,[71]Listas!$D$6:$D$10,0),MATCH(R41,[71]Listas!$F$4:$J$4,0))</f>
        <v>#N/A</v>
      </c>
      <c r="W41" s="268"/>
      <c r="X41" s="1399"/>
      <c r="Y41" s="1408"/>
      <c r="Z41" s="1400"/>
      <c r="AA41" s="1063"/>
      <c r="AB41" s="267"/>
      <c r="AC41" s="259"/>
      <c r="AD41" s="608"/>
      <c r="AE41" s="267"/>
      <c r="AF41" s="268"/>
      <c r="AG41" s="269">
        <f t="shared" si="4"/>
        <v>0</v>
      </c>
      <c r="AH41" s="271" t="e">
        <f t="shared" si="5"/>
        <v>#N/A</v>
      </c>
      <c r="AI41" s="272" t="e">
        <f>IF(AH41&lt;=1,"Remota",VLOOKUP(AH41,[71]Listas!$C$6:$D$10,2,0))</f>
        <v>#N/A</v>
      </c>
      <c r="AJ41" s="271" t="e">
        <f t="shared" si="6"/>
        <v>#N/A</v>
      </c>
      <c r="AK41" s="272" t="e">
        <f>IF(AJ41&lt;=1,"Insignificante",HLOOKUP(AJ41,[71]Listas!$F$3:$J$4,2,0))</f>
        <v>#N/A</v>
      </c>
      <c r="AL41" s="273" t="e">
        <f t="shared" si="7"/>
        <v>#N/A</v>
      </c>
      <c r="AM41" s="270" t="e">
        <f>INDEX([71]Listas!$F$6:$J$10,MATCH(AI41,[71]Listas!$D$6:$D$10,0),MATCH(AK41,[71]Listas!$F$4:$J$4,0))</f>
        <v>#N/A</v>
      </c>
      <c r="AN41" s="259"/>
      <c r="AO41" s="259"/>
      <c r="AP41" s="610"/>
      <c r="AQ41" s="259"/>
      <c r="AR41" s="259" t="s">
        <v>2343</v>
      </c>
      <c r="AS41" s="608"/>
      <c r="AT41" s="259"/>
      <c r="AU41" s="259"/>
      <c r="AV41" s="261"/>
      <c r="AW41" s="261"/>
      <c r="AX41" s="608"/>
      <c r="AY41" s="262"/>
    </row>
    <row r="42" spans="1:51" s="260" customFormat="1" ht="103.5" hidden="1" customHeight="1">
      <c r="A42" s="608"/>
      <c r="B42" s="266"/>
      <c r="C42" s="1399"/>
      <c r="D42" s="1408"/>
      <c r="E42" s="1400"/>
      <c r="F42" s="266"/>
      <c r="G42" s="1399"/>
      <c r="H42" s="1408"/>
      <c r="I42" s="1400"/>
      <c r="J42" s="1380"/>
      <c r="K42" s="1380"/>
      <c r="L42" s="1380"/>
      <c r="M42" s="608"/>
      <c r="N42" s="608"/>
      <c r="O42" s="608"/>
      <c r="P42" s="608"/>
      <c r="Q42" s="266"/>
      <c r="R42" s="266"/>
      <c r="S42" s="268"/>
      <c r="T42" s="269" t="e">
        <f>VLOOKUP(Q42,[71]Listas!$D$6:$E$10,2,0)</f>
        <v>#N/A</v>
      </c>
      <c r="U42" s="269" t="e">
        <f>HLOOKUP(R42,[71]Listas!$F$4:$J$5,2,0)</f>
        <v>#N/A</v>
      </c>
      <c r="V42" s="270" t="e">
        <f>INDEX([71]Listas!$F$6:$J$10,MATCH(Q42,[71]Listas!$D$6:$D$10,0),MATCH(R42,[71]Listas!$F$4:$J$4,0))</f>
        <v>#N/A</v>
      </c>
      <c r="W42" s="268"/>
      <c r="X42" s="1399"/>
      <c r="Y42" s="1408"/>
      <c r="Z42" s="1400"/>
      <c r="AA42" s="1063"/>
      <c r="AB42" s="267"/>
      <c r="AC42" s="259"/>
      <c r="AD42" s="608"/>
      <c r="AE42" s="267"/>
      <c r="AF42" s="268"/>
      <c r="AG42" s="269">
        <f>IF(AD42&lt;=33,0,IF(AD42&gt;81,2,1))</f>
        <v>0</v>
      </c>
      <c r="AH42" s="271" t="e">
        <f>IF(OR(AE42="Probabilidad",AE42="Ambos"),T42-AG42,T42)</f>
        <v>#N/A</v>
      </c>
      <c r="AI42" s="272" t="e">
        <f>IF(AH42&lt;=1,"Remota",VLOOKUP(AH42,[71]Listas!$C$6:$D$10,2,0))</f>
        <v>#N/A</v>
      </c>
      <c r="AJ42" s="271" t="e">
        <f>IF(OR(AE42="Impacto",AE42="Ambos"),U42-AG42,U42)</f>
        <v>#N/A</v>
      </c>
      <c r="AK42" s="272" t="e">
        <f>IF(AJ42&lt;=1,"Insignificante",HLOOKUP(AJ42,[71]Listas!$F$3:$J$4,2,0))</f>
        <v>#N/A</v>
      </c>
      <c r="AL42" s="273" t="e">
        <f>AH42*AJ42</f>
        <v>#N/A</v>
      </c>
      <c r="AM42" s="270" t="e">
        <f>INDEX([71]Listas!$F$6:$J$10,MATCH(AI42,[71]Listas!$D$6:$D$10,0),MATCH(AK42,[71]Listas!$F$4:$J$4,0))</f>
        <v>#N/A</v>
      </c>
      <c r="AN42" s="259"/>
      <c r="AO42" s="259"/>
      <c r="AP42" s="610"/>
      <c r="AQ42" s="259"/>
      <c r="AR42" s="259" t="s">
        <v>2343</v>
      </c>
      <c r="AS42" s="608"/>
      <c r="AU42" s="259"/>
      <c r="AV42" s="261"/>
      <c r="AW42" s="261"/>
      <c r="AX42" s="608"/>
      <c r="AY42" s="262"/>
    </row>
    <row r="43" spans="1:51" s="260" customFormat="1" ht="103.5" hidden="1" customHeight="1">
      <c r="A43" s="608"/>
      <c r="B43" s="266"/>
      <c r="C43" s="1399"/>
      <c r="D43" s="1408"/>
      <c r="E43" s="1400"/>
      <c r="F43" s="267"/>
      <c r="G43" s="1399"/>
      <c r="H43" s="1408"/>
      <c r="I43" s="1400"/>
      <c r="J43" s="1380"/>
      <c r="K43" s="1380"/>
      <c r="L43" s="1380"/>
      <c r="M43" s="608"/>
      <c r="N43" s="608"/>
      <c r="O43" s="608"/>
      <c r="P43" s="608"/>
      <c r="Q43" s="266"/>
      <c r="R43" s="266"/>
      <c r="S43" s="268"/>
      <c r="T43" s="269" t="e">
        <f>VLOOKUP(Q43,[71]Listas!$D$6:$E$10,2,0)</f>
        <v>#N/A</v>
      </c>
      <c r="U43" s="269" t="e">
        <f>HLOOKUP(R43,[71]Listas!$F$4:$J$5,2,0)</f>
        <v>#N/A</v>
      </c>
      <c r="V43" s="270" t="e">
        <f>INDEX([71]Listas!$F$6:$J$10,MATCH(Q43,[71]Listas!$D$6:$D$10,0),MATCH(R43,[71]Listas!$F$4:$J$4,0))</f>
        <v>#N/A</v>
      </c>
      <c r="W43" s="268"/>
      <c r="X43" s="1399"/>
      <c r="Y43" s="1408"/>
      <c r="Z43" s="1400"/>
      <c r="AA43" s="1063"/>
      <c r="AB43" s="267"/>
      <c r="AC43" s="259"/>
      <c r="AD43" s="608"/>
      <c r="AE43" s="267"/>
      <c r="AF43" s="268"/>
      <c r="AG43" s="269">
        <f t="shared" ref="AG43:AG63" si="8">IF(AD43&lt;=33,0,IF(AD43&gt;81,2,1))</f>
        <v>0</v>
      </c>
      <c r="AH43" s="271" t="e">
        <f t="shared" ref="AH43:AH63" si="9">IF(OR(AE43="Probabilidad",AE43="Ambos"),T43-AG43,T43)</f>
        <v>#N/A</v>
      </c>
      <c r="AI43" s="272" t="e">
        <f>IF(AH43&lt;=1,"Remota",VLOOKUP(AH43,[71]Listas!$C$6:$D$10,2,0))</f>
        <v>#N/A</v>
      </c>
      <c r="AJ43" s="271" t="e">
        <f t="shared" ref="AJ43:AJ63" si="10">IF(OR(AE43="Impacto",AE43="Ambos"),U43-AG43,U43)</f>
        <v>#N/A</v>
      </c>
      <c r="AK43" s="272" t="e">
        <f>IF(AJ43&lt;=1,"Insignificante",HLOOKUP(AJ43,[71]Listas!$F$3:$J$4,2,0))</f>
        <v>#N/A</v>
      </c>
      <c r="AL43" s="273" t="e">
        <f t="shared" ref="AL43:AL63" si="11">AH43*AJ43</f>
        <v>#N/A</v>
      </c>
      <c r="AM43" s="270" t="e">
        <f>INDEX([71]Listas!$F$6:$J$10,MATCH(AI43,[71]Listas!$D$6:$D$10,0),MATCH(AK43,[71]Listas!$F$4:$J$4,0))</f>
        <v>#N/A</v>
      </c>
      <c r="AN43" s="259"/>
      <c r="AO43" s="259"/>
      <c r="AP43" s="610"/>
      <c r="AQ43" s="259"/>
      <c r="AR43" s="259" t="s">
        <v>2343</v>
      </c>
      <c r="AS43" s="608"/>
      <c r="AT43" s="259"/>
      <c r="AU43" s="259"/>
      <c r="AV43" s="261"/>
      <c r="AW43" s="261"/>
      <c r="AX43" s="608"/>
      <c r="AY43" s="262"/>
    </row>
    <row r="44" spans="1:51" s="260" customFormat="1" ht="103.5" hidden="1" customHeight="1">
      <c r="A44" s="608"/>
      <c r="B44" s="266"/>
      <c r="C44" s="1399"/>
      <c r="D44" s="1408"/>
      <c r="E44" s="1400"/>
      <c r="F44" s="267"/>
      <c r="G44" s="1399"/>
      <c r="H44" s="1408"/>
      <c r="I44" s="1400"/>
      <c r="J44" s="1380"/>
      <c r="K44" s="1380"/>
      <c r="L44" s="1380"/>
      <c r="M44" s="608"/>
      <c r="N44" s="608"/>
      <c r="O44" s="608"/>
      <c r="P44" s="608"/>
      <c r="Q44" s="266"/>
      <c r="R44" s="266"/>
      <c r="S44" s="268"/>
      <c r="T44" s="269" t="e">
        <f>VLOOKUP(Q44,[71]Listas!$D$6:$E$10,2,0)</f>
        <v>#N/A</v>
      </c>
      <c r="U44" s="269" t="e">
        <f>HLOOKUP(R44,[71]Listas!$F$4:$J$5,2,0)</f>
        <v>#N/A</v>
      </c>
      <c r="V44" s="270" t="e">
        <f>INDEX([71]Listas!$F$6:$J$10,MATCH(Q44,[71]Listas!$D$6:$D$10,0),MATCH(R44,[71]Listas!$F$4:$J$4,0))</f>
        <v>#N/A</v>
      </c>
      <c r="W44" s="268"/>
      <c r="X44" s="1399"/>
      <c r="Y44" s="1408"/>
      <c r="Z44" s="1400"/>
      <c r="AA44" s="1063"/>
      <c r="AB44" s="267"/>
      <c r="AC44" s="259"/>
      <c r="AD44" s="608"/>
      <c r="AE44" s="267"/>
      <c r="AF44" s="268"/>
      <c r="AG44" s="269">
        <f t="shared" si="8"/>
        <v>0</v>
      </c>
      <c r="AH44" s="271" t="e">
        <f t="shared" si="9"/>
        <v>#N/A</v>
      </c>
      <c r="AI44" s="272" t="e">
        <f>IF(AH44&lt;=1,"Remota",VLOOKUP(AH44,[71]Listas!$C$6:$D$10,2,0))</f>
        <v>#N/A</v>
      </c>
      <c r="AJ44" s="271" t="e">
        <f t="shared" si="10"/>
        <v>#N/A</v>
      </c>
      <c r="AK44" s="272" t="e">
        <f>IF(AJ44&lt;=1,"Insignificante",HLOOKUP(AJ44,[71]Listas!$F$3:$J$4,2,0))</f>
        <v>#N/A</v>
      </c>
      <c r="AL44" s="273" t="e">
        <f t="shared" si="11"/>
        <v>#N/A</v>
      </c>
      <c r="AM44" s="270" t="e">
        <f>INDEX([71]Listas!$F$6:$J$10,MATCH(AI44,[71]Listas!$D$6:$D$10,0),MATCH(AK44,[71]Listas!$F$4:$J$4,0))</f>
        <v>#N/A</v>
      </c>
      <c r="AN44" s="259"/>
      <c r="AO44" s="259"/>
      <c r="AP44" s="610"/>
      <c r="AQ44" s="259"/>
      <c r="AR44" s="259" t="s">
        <v>2343</v>
      </c>
      <c r="AS44" s="608"/>
      <c r="AT44" s="259"/>
      <c r="AU44" s="259"/>
      <c r="AV44" s="261"/>
      <c r="AW44" s="261"/>
      <c r="AX44" s="608"/>
      <c r="AY44" s="262"/>
    </row>
    <row r="45" spans="1:51" s="260" customFormat="1" ht="103.5" hidden="1" customHeight="1">
      <c r="A45" s="608"/>
      <c r="B45" s="266"/>
      <c r="C45" s="1399"/>
      <c r="D45" s="1408"/>
      <c r="E45" s="1400"/>
      <c r="F45" s="267"/>
      <c r="G45" s="1399"/>
      <c r="H45" s="1408"/>
      <c r="I45" s="1400"/>
      <c r="J45" s="1380"/>
      <c r="K45" s="1380"/>
      <c r="L45" s="1380"/>
      <c r="M45" s="608"/>
      <c r="N45" s="608"/>
      <c r="O45" s="608"/>
      <c r="P45" s="608"/>
      <c r="Q45" s="266"/>
      <c r="R45" s="266"/>
      <c r="S45" s="268"/>
      <c r="T45" s="269" t="e">
        <f>VLOOKUP(Q45,[71]Listas!$D$6:$E$10,2,0)</f>
        <v>#N/A</v>
      </c>
      <c r="U45" s="269" t="e">
        <f>HLOOKUP(R45,[71]Listas!$F$4:$J$5,2,0)</f>
        <v>#N/A</v>
      </c>
      <c r="V45" s="270" t="e">
        <f>INDEX([71]Listas!$F$6:$J$10,MATCH(Q45,[71]Listas!$D$6:$D$10,0),MATCH(R45,[71]Listas!$F$4:$J$4,0))</f>
        <v>#N/A</v>
      </c>
      <c r="W45" s="268"/>
      <c r="X45" s="1399"/>
      <c r="Y45" s="1408"/>
      <c r="Z45" s="1400"/>
      <c r="AA45" s="1063"/>
      <c r="AB45" s="267"/>
      <c r="AC45" s="259"/>
      <c r="AD45" s="608"/>
      <c r="AE45" s="267"/>
      <c r="AF45" s="268"/>
      <c r="AG45" s="269">
        <f t="shared" si="8"/>
        <v>0</v>
      </c>
      <c r="AH45" s="271" t="e">
        <f t="shared" si="9"/>
        <v>#N/A</v>
      </c>
      <c r="AI45" s="272" t="e">
        <f>IF(AH45&lt;=1,"Remota",VLOOKUP(AH45,[71]Listas!$C$6:$D$10,2,0))</f>
        <v>#N/A</v>
      </c>
      <c r="AJ45" s="271" t="e">
        <f t="shared" si="10"/>
        <v>#N/A</v>
      </c>
      <c r="AK45" s="272" t="e">
        <f>IF(AJ45&lt;=1,"Insignificante",HLOOKUP(AJ45,[71]Listas!$F$3:$J$4,2,0))</f>
        <v>#N/A</v>
      </c>
      <c r="AL45" s="273" t="e">
        <f t="shared" si="11"/>
        <v>#N/A</v>
      </c>
      <c r="AM45" s="270" t="e">
        <f>INDEX([71]Listas!$F$6:$J$10,MATCH(AI45,[71]Listas!$D$6:$D$10,0),MATCH(AK45,[71]Listas!$F$4:$J$4,0))</f>
        <v>#N/A</v>
      </c>
      <c r="AN45" s="259"/>
      <c r="AO45" s="259"/>
      <c r="AP45" s="610"/>
      <c r="AQ45" s="259"/>
      <c r="AR45" s="259" t="s">
        <v>2343</v>
      </c>
      <c r="AS45" s="608"/>
      <c r="AT45" s="259"/>
      <c r="AU45" s="259"/>
      <c r="AV45" s="261"/>
      <c r="AW45" s="261"/>
      <c r="AX45" s="608"/>
      <c r="AY45" s="262"/>
    </row>
    <row r="46" spans="1:51" s="260" customFormat="1" ht="103.5" hidden="1" customHeight="1">
      <c r="A46" s="608"/>
      <c r="B46" s="266"/>
      <c r="C46" s="1399"/>
      <c r="D46" s="1408"/>
      <c r="E46" s="1400"/>
      <c r="F46" s="267"/>
      <c r="G46" s="1399"/>
      <c r="H46" s="1408"/>
      <c r="I46" s="1400"/>
      <c r="J46" s="1380"/>
      <c r="K46" s="1380"/>
      <c r="L46" s="1380"/>
      <c r="M46" s="608"/>
      <c r="N46" s="608"/>
      <c r="O46" s="608"/>
      <c r="P46" s="608"/>
      <c r="Q46" s="266"/>
      <c r="R46" s="266"/>
      <c r="S46" s="268"/>
      <c r="T46" s="269" t="e">
        <f>VLOOKUP(Q46,[71]Listas!$D$6:$E$10,2,0)</f>
        <v>#N/A</v>
      </c>
      <c r="U46" s="269" t="e">
        <f>HLOOKUP(R46,[71]Listas!$F$4:$J$5,2,0)</f>
        <v>#N/A</v>
      </c>
      <c r="V46" s="270" t="e">
        <f>INDEX([71]Listas!$F$6:$J$10,MATCH(Q46,[71]Listas!$D$6:$D$10,0),MATCH(R46,[71]Listas!$F$4:$J$4,0))</f>
        <v>#N/A</v>
      </c>
      <c r="W46" s="268"/>
      <c r="X46" s="1399"/>
      <c r="Y46" s="1408"/>
      <c r="Z46" s="1400"/>
      <c r="AA46" s="1063"/>
      <c r="AB46" s="267"/>
      <c r="AC46" s="259"/>
      <c r="AD46" s="608"/>
      <c r="AE46" s="267"/>
      <c r="AF46" s="268"/>
      <c r="AG46" s="269">
        <f t="shared" si="8"/>
        <v>0</v>
      </c>
      <c r="AH46" s="271" t="e">
        <f t="shared" si="9"/>
        <v>#N/A</v>
      </c>
      <c r="AI46" s="272" t="e">
        <f>IF(AH46&lt;=1,"Remota",VLOOKUP(AH46,[71]Listas!$C$6:$D$10,2,0))</f>
        <v>#N/A</v>
      </c>
      <c r="AJ46" s="271" t="e">
        <f t="shared" si="10"/>
        <v>#N/A</v>
      </c>
      <c r="AK46" s="272" t="e">
        <f>IF(AJ46&lt;=1,"Insignificante",HLOOKUP(AJ46,[71]Listas!$F$3:$J$4,2,0))</f>
        <v>#N/A</v>
      </c>
      <c r="AL46" s="273" t="e">
        <f t="shared" si="11"/>
        <v>#N/A</v>
      </c>
      <c r="AM46" s="270" t="e">
        <f>INDEX([71]Listas!$F$6:$J$10,MATCH(AI46,[71]Listas!$D$6:$D$10,0),MATCH(AK46,[71]Listas!$F$4:$J$4,0))</f>
        <v>#N/A</v>
      </c>
      <c r="AN46" s="259"/>
      <c r="AO46" s="259"/>
      <c r="AP46" s="610"/>
      <c r="AQ46" s="259"/>
      <c r="AR46" s="259" t="s">
        <v>2343</v>
      </c>
      <c r="AS46" s="608"/>
      <c r="AT46" s="259"/>
      <c r="AU46" s="259"/>
      <c r="AV46" s="261"/>
      <c r="AW46" s="261"/>
      <c r="AX46" s="608"/>
      <c r="AY46" s="262"/>
    </row>
    <row r="47" spans="1:51" s="260" customFormat="1" ht="103.5" hidden="1" customHeight="1">
      <c r="A47" s="608"/>
      <c r="B47" s="266"/>
      <c r="C47" s="1399"/>
      <c r="D47" s="1408"/>
      <c r="E47" s="1400"/>
      <c r="F47" s="267"/>
      <c r="G47" s="1399"/>
      <c r="H47" s="1408"/>
      <c r="I47" s="1400"/>
      <c r="J47" s="1380"/>
      <c r="K47" s="1380"/>
      <c r="L47" s="1380"/>
      <c r="M47" s="608"/>
      <c r="N47" s="608"/>
      <c r="O47" s="608"/>
      <c r="P47" s="608"/>
      <c r="Q47" s="266"/>
      <c r="R47" s="266"/>
      <c r="S47" s="268"/>
      <c r="T47" s="269" t="e">
        <f>VLOOKUP(Q47,[71]Listas!$D$6:$E$10,2,0)</f>
        <v>#N/A</v>
      </c>
      <c r="U47" s="269" t="e">
        <f>HLOOKUP(R47,[71]Listas!$F$4:$J$5,2,0)</f>
        <v>#N/A</v>
      </c>
      <c r="V47" s="270" t="e">
        <f>INDEX([71]Listas!$F$6:$J$10,MATCH(Q47,[71]Listas!$D$6:$D$10,0),MATCH(R47,[71]Listas!$F$4:$J$4,0))</f>
        <v>#N/A</v>
      </c>
      <c r="W47" s="268"/>
      <c r="X47" s="1399"/>
      <c r="Y47" s="1408"/>
      <c r="Z47" s="1400"/>
      <c r="AA47" s="1063"/>
      <c r="AB47" s="267"/>
      <c r="AC47" s="259"/>
      <c r="AD47" s="608"/>
      <c r="AE47" s="267"/>
      <c r="AF47" s="268"/>
      <c r="AG47" s="269">
        <f t="shared" si="8"/>
        <v>0</v>
      </c>
      <c r="AH47" s="271" t="e">
        <f t="shared" si="9"/>
        <v>#N/A</v>
      </c>
      <c r="AI47" s="272" t="e">
        <f>IF(AH47&lt;=1,"Remota",VLOOKUP(AH47,[71]Listas!$C$6:$D$10,2,0))</f>
        <v>#N/A</v>
      </c>
      <c r="AJ47" s="271" t="e">
        <f t="shared" si="10"/>
        <v>#N/A</v>
      </c>
      <c r="AK47" s="272" t="e">
        <f>IF(AJ47&lt;=1,"Insignificante",HLOOKUP(AJ47,[71]Listas!$F$3:$J$4,2,0))</f>
        <v>#N/A</v>
      </c>
      <c r="AL47" s="273" t="e">
        <f t="shared" si="11"/>
        <v>#N/A</v>
      </c>
      <c r="AM47" s="270" t="e">
        <f>INDEX([71]Listas!$F$6:$J$10,MATCH(AI47,[71]Listas!$D$6:$D$10,0),MATCH(AK47,[71]Listas!$F$4:$J$4,0))</f>
        <v>#N/A</v>
      </c>
      <c r="AN47" s="259"/>
      <c r="AO47" s="259"/>
      <c r="AP47" s="610"/>
      <c r="AQ47" s="259"/>
      <c r="AR47" s="259" t="s">
        <v>2343</v>
      </c>
      <c r="AS47" s="608"/>
      <c r="AT47" s="259"/>
      <c r="AU47" s="259"/>
      <c r="AV47" s="261"/>
      <c r="AW47" s="261"/>
      <c r="AX47" s="608"/>
      <c r="AY47" s="262"/>
    </row>
    <row r="48" spans="1:51" s="260" customFormat="1" ht="103.5" hidden="1" customHeight="1">
      <c r="A48" s="608"/>
      <c r="B48" s="266"/>
      <c r="C48" s="1399"/>
      <c r="D48" s="1408"/>
      <c r="E48" s="1400"/>
      <c r="F48" s="267"/>
      <c r="G48" s="1399"/>
      <c r="H48" s="1408"/>
      <c r="I48" s="1400"/>
      <c r="J48" s="1380"/>
      <c r="K48" s="1380"/>
      <c r="L48" s="1380"/>
      <c r="M48" s="608"/>
      <c r="N48" s="608"/>
      <c r="O48" s="608"/>
      <c r="P48" s="608"/>
      <c r="Q48" s="266"/>
      <c r="R48" s="266"/>
      <c r="S48" s="268"/>
      <c r="T48" s="269" t="e">
        <f>VLOOKUP(Q48,[71]Listas!$D$6:$E$10,2,0)</f>
        <v>#N/A</v>
      </c>
      <c r="U48" s="269" t="e">
        <f>HLOOKUP(R48,[71]Listas!$F$4:$J$5,2,0)</f>
        <v>#N/A</v>
      </c>
      <c r="V48" s="270" t="e">
        <f>INDEX([71]Listas!$F$6:$J$10,MATCH(Q48,[71]Listas!$D$6:$D$10,0),MATCH(R48,[71]Listas!$F$4:$J$4,0))</f>
        <v>#N/A</v>
      </c>
      <c r="W48" s="268"/>
      <c r="X48" s="1399"/>
      <c r="Y48" s="1408"/>
      <c r="Z48" s="1400"/>
      <c r="AA48" s="1063"/>
      <c r="AB48" s="267"/>
      <c r="AC48" s="259"/>
      <c r="AD48" s="608"/>
      <c r="AE48" s="267"/>
      <c r="AF48" s="268"/>
      <c r="AG48" s="269">
        <f t="shared" si="8"/>
        <v>0</v>
      </c>
      <c r="AH48" s="271" t="e">
        <f t="shared" si="9"/>
        <v>#N/A</v>
      </c>
      <c r="AI48" s="272" t="e">
        <f>IF(AH48&lt;=1,"Remota",VLOOKUP(AH48,[71]Listas!$C$6:$D$10,2,0))</f>
        <v>#N/A</v>
      </c>
      <c r="AJ48" s="271" t="e">
        <f t="shared" si="10"/>
        <v>#N/A</v>
      </c>
      <c r="AK48" s="272" t="e">
        <f>IF(AJ48&lt;=1,"Insignificante",HLOOKUP(AJ48,[71]Listas!$F$3:$J$4,2,0))</f>
        <v>#N/A</v>
      </c>
      <c r="AL48" s="273" t="e">
        <f t="shared" si="11"/>
        <v>#N/A</v>
      </c>
      <c r="AM48" s="270" t="e">
        <f>INDEX([71]Listas!$F$6:$J$10,MATCH(AI48,[71]Listas!$D$6:$D$10,0),MATCH(AK48,[71]Listas!$F$4:$J$4,0))</f>
        <v>#N/A</v>
      </c>
      <c r="AN48" s="259"/>
      <c r="AO48" s="259"/>
      <c r="AP48" s="610"/>
      <c r="AQ48" s="259"/>
      <c r="AR48" s="259" t="s">
        <v>2343</v>
      </c>
      <c r="AS48" s="608"/>
      <c r="AT48" s="259"/>
      <c r="AU48" s="259"/>
      <c r="AV48" s="261"/>
      <c r="AW48" s="261"/>
      <c r="AX48" s="608"/>
      <c r="AY48" s="262"/>
    </row>
    <row r="49" spans="1:51" s="260" customFormat="1" ht="103.5" hidden="1" customHeight="1">
      <c r="A49" s="608"/>
      <c r="B49" s="266"/>
      <c r="C49" s="1399"/>
      <c r="D49" s="1408"/>
      <c r="E49" s="1400"/>
      <c r="F49" s="267"/>
      <c r="G49" s="1399"/>
      <c r="H49" s="1408"/>
      <c r="I49" s="1400"/>
      <c r="J49" s="1380"/>
      <c r="K49" s="1380"/>
      <c r="L49" s="1380"/>
      <c r="M49" s="608"/>
      <c r="N49" s="608"/>
      <c r="O49" s="608"/>
      <c r="P49" s="608"/>
      <c r="Q49" s="266"/>
      <c r="R49" s="266"/>
      <c r="S49" s="268"/>
      <c r="T49" s="269" t="e">
        <f>VLOOKUP(Q49,[71]Listas!$D$6:$E$10,2,0)</f>
        <v>#N/A</v>
      </c>
      <c r="U49" s="269" t="e">
        <f>HLOOKUP(R49,[71]Listas!$F$4:$J$5,2,0)</f>
        <v>#N/A</v>
      </c>
      <c r="V49" s="270" t="e">
        <f>INDEX([71]Listas!$F$6:$J$10,MATCH(Q49,[71]Listas!$D$6:$D$10,0),MATCH(R49,[71]Listas!$F$4:$J$4,0))</f>
        <v>#N/A</v>
      </c>
      <c r="W49" s="268"/>
      <c r="X49" s="1399"/>
      <c r="Y49" s="1408"/>
      <c r="Z49" s="1400"/>
      <c r="AA49" s="1063"/>
      <c r="AB49" s="267"/>
      <c r="AC49" s="259"/>
      <c r="AD49" s="608"/>
      <c r="AE49" s="267"/>
      <c r="AF49" s="268"/>
      <c r="AG49" s="269">
        <f t="shared" si="8"/>
        <v>0</v>
      </c>
      <c r="AH49" s="271" t="e">
        <f t="shared" si="9"/>
        <v>#N/A</v>
      </c>
      <c r="AI49" s="272" t="e">
        <f>IF(AH49&lt;=1,"Remota",VLOOKUP(AH49,[71]Listas!$C$6:$D$10,2,0))</f>
        <v>#N/A</v>
      </c>
      <c r="AJ49" s="271" t="e">
        <f t="shared" si="10"/>
        <v>#N/A</v>
      </c>
      <c r="AK49" s="272" t="e">
        <f>IF(AJ49&lt;=1,"Insignificante",HLOOKUP(AJ49,[71]Listas!$F$3:$J$4,2,0))</f>
        <v>#N/A</v>
      </c>
      <c r="AL49" s="273" t="e">
        <f t="shared" si="11"/>
        <v>#N/A</v>
      </c>
      <c r="AM49" s="270" t="e">
        <f>INDEX([71]Listas!$F$6:$J$10,MATCH(AI49,[71]Listas!$D$6:$D$10,0),MATCH(AK49,[71]Listas!$F$4:$J$4,0))</f>
        <v>#N/A</v>
      </c>
      <c r="AN49" s="259"/>
      <c r="AO49" s="259"/>
      <c r="AP49" s="610"/>
      <c r="AQ49" s="259"/>
      <c r="AR49" s="259" t="s">
        <v>2343</v>
      </c>
      <c r="AS49" s="608"/>
      <c r="AT49" s="259"/>
      <c r="AU49" s="259"/>
      <c r="AV49" s="261"/>
      <c r="AW49" s="261"/>
      <c r="AX49" s="608"/>
      <c r="AY49" s="262"/>
    </row>
    <row r="50" spans="1:51" s="260" customFormat="1" ht="103.5" hidden="1" customHeight="1">
      <c r="A50" s="608"/>
      <c r="B50" s="266"/>
      <c r="C50" s="1399"/>
      <c r="D50" s="1408"/>
      <c r="E50" s="1400"/>
      <c r="F50" s="267"/>
      <c r="G50" s="1399"/>
      <c r="H50" s="1408"/>
      <c r="I50" s="1400"/>
      <c r="J50" s="1380"/>
      <c r="K50" s="1380"/>
      <c r="L50" s="1380"/>
      <c r="M50" s="608"/>
      <c r="N50" s="608"/>
      <c r="O50" s="608"/>
      <c r="P50" s="608"/>
      <c r="Q50" s="266"/>
      <c r="R50" s="266"/>
      <c r="S50" s="268"/>
      <c r="T50" s="269" t="e">
        <f>VLOOKUP(Q50,[71]Listas!$D$6:$E$10,2,0)</f>
        <v>#N/A</v>
      </c>
      <c r="U50" s="269" t="e">
        <f>HLOOKUP(R50,[71]Listas!$F$4:$J$5,2,0)</f>
        <v>#N/A</v>
      </c>
      <c r="V50" s="270" t="e">
        <f>INDEX([71]Listas!$F$6:$J$10,MATCH(Q50,[71]Listas!$D$6:$D$10,0),MATCH(R50,[71]Listas!$F$4:$J$4,0))</f>
        <v>#N/A</v>
      </c>
      <c r="W50" s="268"/>
      <c r="X50" s="1399"/>
      <c r="Y50" s="1408"/>
      <c r="Z50" s="1400"/>
      <c r="AA50" s="1063"/>
      <c r="AB50" s="267"/>
      <c r="AC50" s="259"/>
      <c r="AD50" s="608"/>
      <c r="AE50" s="267"/>
      <c r="AF50" s="268"/>
      <c r="AG50" s="269">
        <f t="shared" si="8"/>
        <v>0</v>
      </c>
      <c r="AH50" s="271" t="e">
        <f t="shared" si="9"/>
        <v>#N/A</v>
      </c>
      <c r="AI50" s="272" t="e">
        <f>IF(AH50&lt;=1,"Remota",VLOOKUP(AH50,[71]Listas!$C$6:$D$10,2,0))</f>
        <v>#N/A</v>
      </c>
      <c r="AJ50" s="271" t="e">
        <f t="shared" si="10"/>
        <v>#N/A</v>
      </c>
      <c r="AK50" s="272" t="e">
        <f>IF(AJ50&lt;=1,"Insignificante",HLOOKUP(AJ50,[71]Listas!$F$3:$J$4,2,0))</f>
        <v>#N/A</v>
      </c>
      <c r="AL50" s="273" t="e">
        <f t="shared" si="11"/>
        <v>#N/A</v>
      </c>
      <c r="AM50" s="270" t="e">
        <f>INDEX([71]Listas!$F$6:$J$10,MATCH(AI50,[71]Listas!$D$6:$D$10,0),MATCH(AK50,[71]Listas!$F$4:$J$4,0))</f>
        <v>#N/A</v>
      </c>
      <c r="AN50" s="259"/>
      <c r="AO50" s="259"/>
      <c r="AP50" s="610"/>
      <c r="AQ50" s="259"/>
      <c r="AR50" s="259" t="s">
        <v>2343</v>
      </c>
      <c r="AS50" s="608"/>
      <c r="AT50" s="259"/>
      <c r="AU50" s="259"/>
      <c r="AV50" s="261"/>
      <c r="AW50" s="261"/>
      <c r="AX50" s="608"/>
      <c r="AY50" s="262"/>
    </row>
    <row r="51" spans="1:51" s="260" customFormat="1" ht="103.5" hidden="1" customHeight="1">
      <c r="A51" s="608"/>
      <c r="B51" s="266"/>
      <c r="C51" s="1399"/>
      <c r="D51" s="1408"/>
      <c r="E51" s="1400"/>
      <c r="F51" s="267"/>
      <c r="G51" s="1399"/>
      <c r="H51" s="1408"/>
      <c r="I51" s="1400"/>
      <c r="J51" s="1380"/>
      <c r="K51" s="1380"/>
      <c r="L51" s="1380"/>
      <c r="M51" s="608"/>
      <c r="N51" s="608"/>
      <c r="O51" s="608"/>
      <c r="P51" s="608"/>
      <c r="Q51" s="266"/>
      <c r="R51" s="266"/>
      <c r="S51" s="268"/>
      <c r="T51" s="269" t="e">
        <f>VLOOKUP(Q51,[71]Listas!$D$6:$E$10,2,0)</f>
        <v>#N/A</v>
      </c>
      <c r="U51" s="269" t="e">
        <f>HLOOKUP(R51,[71]Listas!$F$4:$J$5,2,0)</f>
        <v>#N/A</v>
      </c>
      <c r="V51" s="270" t="e">
        <f>INDEX([71]Listas!$F$6:$J$10,MATCH(Q51,[71]Listas!$D$6:$D$10,0),MATCH(R51,[71]Listas!$F$4:$J$4,0))</f>
        <v>#N/A</v>
      </c>
      <c r="W51" s="268"/>
      <c r="X51" s="1399"/>
      <c r="Y51" s="1408"/>
      <c r="Z51" s="1400"/>
      <c r="AA51" s="1063"/>
      <c r="AB51" s="267"/>
      <c r="AC51" s="259"/>
      <c r="AD51" s="608"/>
      <c r="AE51" s="267"/>
      <c r="AF51" s="268"/>
      <c r="AG51" s="269">
        <f t="shared" si="8"/>
        <v>0</v>
      </c>
      <c r="AH51" s="271" t="e">
        <f t="shared" si="9"/>
        <v>#N/A</v>
      </c>
      <c r="AI51" s="272" t="e">
        <f>IF(AH51&lt;=1,"Remota",VLOOKUP(AH51,[71]Listas!$C$6:$D$10,2,0))</f>
        <v>#N/A</v>
      </c>
      <c r="AJ51" s="271" t="e">
        <f t="shared" si="10"/>
        <v>#N/A</v>
      </c>
      <c r="AK51" s="272" t="e">
        <f>IF(AJ51&lt;=1,"Insignificante",HLOOKUP(AJ51,[71]Listas!$F$3:$J$4,2,0))</f>
        <v>#N/A</v>
      </c>
      <c r="AL51" s="273" t="e">
        <f t="shared" si="11"/>
        <v>#N/A</v>
      </c>
      <c r="AM51" s="270" t="e">
        <f>INDEX([71]Listas!$F$6:$J$10,MATCH(AI51,[71]Listas!$D$6:$D$10,0),MATCH(AK51,[71]Listas!$F$4:$J$4,0))</f>
        <v>#N/A</v>
      </c>
      <c r="AN51" s="259"/>
      <c r="AO51" s="259"/>
      <c r="AP51" s="610"/>
      <c r="AQ51" s="259"/>
      <c r="AR51" s="259" t="s">
        <v>2343</v>
      </c>
      <c r="AS51" s="608"/>
      <c r="AT51" s="259"/>
      <c r="AU51" s="259"/>
      <c r="AV51" s="261"/>
      <c r="AW51" s="261"/>
      <c r="AX51" s="608"/>
      <c r="AY51" s="262"/>
    </row>
    <row r="52" spans="1:51" s="260" customFormat="1" ht="103.5" hidden="1" customHeight="1">
      <c r="A52" s="608"/>
      <c r="B52" s="266"/>
      <c r="C52" s="1399"/>
      <c r="D52" s="1408"/>
      <c r="E52" s="1400"/>
      <c r="F52" s="267"/>
      <c r="G52" s="1399"/>
      <c r="H52" s="1408"/>
      <c r="I52" s="1400"/>
      <c r="J52" s="1380"/>
      <c r="K52" s="1380"/>
      <c r="L52" s="1380"/>
      <c r="M52" s="608"/>
      <c r="N52" s="608"/>
      <c r="O52" s="608"/>
      <c r="P52" s="608"/>
      <c r="Q52" s="266"/>
      <c r="R52" s="266"/>
      <c r="S52" s="268"/>
      <c r="T52" s="269" t="e">
        <f>VLOOKUP(Q52,[71]Listas!$D$6:$E$10,2,0)</f>
        <v>#N/A</v>
      </c>
      <c r="U52" s="269" t="e">
        <f>HLOOKUP(R52,[71]Listas!$F$4:$J$5,2,0)</f>
        <v>#N/A</v>
      </c>
      <c r="V52" s="270" t="e">
        <f>INDEX([71]Listas!$F$6:$J$10,MATCH(Q52,[71]Listas!$D$6:$D$10,0),MATCH(R52,[71]Listas!$F$4:$J$4,0))</f>
        <v>#N/A</v>
      </c>
      <c r="W52" s="268"/>
      <c r="X52" s="1399"/>
      <c r="Y52" s="1408"/>
      <c r="Z52" s="1400"/>
      <c r="AA52" s="1063"/>
      <c r="AB52" s="267"/>
      <c r="AC52" s="259"/>
      <c r="AD52" s="608"/>
      <c r="AE52" s="267"/>
      <c r="AF52" s="268"/>
      <c r="AG52" s="269">
        <f t="shared" si="8"/>
        <v>0</v>
      </c>
      <c r="AH52" s="271" t="e">
        <f t="shared" si="9"/>
        <v>#N/A</v>
      </c>
      <c r="AI52" s="272" t="e">
        <f>IF(AH52&lt;=1,"Remota",VLOOKUP(AH52,[71]Listas!$C$6:$D$10,2,0))</f>
        <v>#N/A</v>
      </c>
      <c r="AJ52" s="271" t="e">
        <f t="shared" si="10"/>
        <v>#N/A</v>
      </c>
      <c r="AK52" s="272" t="e">
        <f>IF(AJ52&lt;=1,"Insignificante",HLOOKUP(AJ52,[71]Listas!$F$3:$J$4,2,0))</f>
        <v>#N/A</v>
      </c>
      <c r="AL52" s="273" t="e">
        <f t="shared" si="11"/>
        <v>#N/A</v>
      </c>
      <c r="AM52" s="270" t="e">
        <f>INDEX([71]Listas!$F$6:$J$10,MATCH(AI52,[71]Listas!$D$6:$D$10,0),MATCH(AK52,[71]Listas!$F$4:$J$4,0))</f>
        <v>#N/A</v>
      </c>
      <c r="AN52" s="259"/>
      <c r="AO52" s="259"/>
      <c r="AP52" s="610"/>
      <c r="AQ52" s="259"/>
      <c r="AR52" s="259" t="s">
        <v>2343</v>
      </c>
      <c r="AS52" s="608"/>
      <c r="AT52" s="259"/>
      <c r="AU52" s="259"/>
      <c r="AV52" s="261"/>
      <c r="AW52" s="261"/>
      <c r="AX52" s="608"/>
      <c r="AY52" s="262"/>
    </row>
    <row r="53" spans="1:51" s="260" customFormat="1" ht="103.5" hidden="1" customHeight="1">
      <c r="A53" s="608"/>
      <c r="B53" s="266"/>
      <c r="C53" s="1399"/>
      <c r="D53" s="1408"/>
      <c r="E53" s="1400"/>
      <c r="F53" s="267"/>
      <c r="G53" s="1399"/>
      <c r="H53" s="1408"/>
      <c r="I53" s="1400"/>
      <c r="J53" s="1380"/>
      <c r="K53" s="1380"/>
      <c r="L53" s="1380"/>
      <c r="M53" s="608"/>
      <c r="N53" s="608"/>
      <c r="O53" s="608"/>
      <c r="P53" s="608"/>
      <c r="Q53" s="266"/>
      <c r="R53" s="266"/>
      <c r="S53" s="268"/>
      <c r="T53" s="269" t="e">
        <f>VLOOKUP(Q53,[71]Listas!$D$6:$E$10,2,0)</f>
        <v>#N/A</v>
      </c>
      <c r="U53" s="269" t="e">
        <f>HLOOKUP(R53,[71]Listas!$F$4:$J$5,2,0)</f>
        <v>#N/A</v>
      </c>
      <c r="V53" s="270" t="e">
        <f>INDEX([71]Listas!$F$6:$J$10,MATCH(Q53,[71]Listas!$D$6:$D$10,0),MATCH(R53,[71]Listas!$F$4:$J$4,0))</f>
        <v>#N/A</v>
      </c>
      <c r="W53" s="268"/>
      <c r="X53" s="1399"/>
      <c r="Y53" s="1408"/>
      <c r="Z53" s="1400"/>
      <c r="AA53" s="1063"/>
      <c r="AB53" s="267"/>
      <c r="AC53" s="259"/>
      <c r="AD53" s="608"/>
      <c r="AE53" s="267"/>
      <c r="AF53" s="268"/>
      <c r="AG53" s="269">
        <f t="shared" si="8"/>
        <v>0</v>
      </c>
      <c r="AH53" s="271" t="e">
        <f t="shared" si="9"/>
        <v>#N/A</v>
      </c>
      <c r="AI53" s="272" t="e">
        <f>IF(AH53&lt;=1,"Remota",VLOOKUP(AH53,[71]Listas!$C$6:$D$10,2,0))</f>
        <v>#N/A</v>
      </c>
      <c r="AJ53" s="271" t="e">
        <f t="shared" si="10"/>
        <v>#N/A</v>
      </c>
      <c r="AK53" s="272" t="e">
        <f>IF(AJ53&lt;=1,"Insignificante",HLOOKUP(AJ53,[71]Listas!$F$3:$J$4,2,0))</f>
        <v>#N/A</v>
      </c>
      <c r="AL53" s="273" t="e">
        <f t="shared" si="11"/>
        <v>#N/A</v>
      </c>
      <c r="AM53" s="270" t="e">
        <f>INDEX([71]Listas!$F$6:$J$10,MATCH(AI53,[71]Listas!$D$6:$D$10,0),MATCH(AK53,[71]Listas!$F$4:$J$4,0))</f>
        <v>#N/A</v>
      </c>
      <c r="AN53" s="259"/>
      <c r="AO53" s="259"/>
      <c r="AP53" s="610"/>
      <c r="AQ53" s="259"/>
      <c r="AR53" s="259" t="s">
        <v>2343</v>
      </c>
      <c r="AS53" s="608"/>
      <c r="AT53" s="259"/>
      <c r="AU53" s="259"/>
      <c r="AV53" s="261"/>
      <c r="AW53" s="261"/>
      <c r="AX53" s="608"/>
      <c r="AY53" s="262"/>
    </row>
    <row r="54" spans="1:51" s="260" customFormat="1" ht="103.5" hidden="1" customHeight="1">
      <c r="A54" s="608"/>
      <c r="B54" s="266"/>
      <c r="C54" s="1399"/>
      <c r="D54" s="1408"/>
      <c r="E54" s="1400"/>
      <c r="F54" s="267"/>
      <c r="G54" s="1399"/>
      <c r="H54" s="1408"/>
      <c r="I54" s="1400"/>
      <c r="J54" s="1380"/>
      <c r="K54" s="1380"/>
      <c r="L54" s="1380"/>
      <c r="M54" s="608"/>
      <c r="N54" s="608"/>
      <c r="O54" s="608"/>
      <c r="P54" s="608"/>
      <c r="Q54" s="266"/>
      <c r="R54" s="266"/>
      <c r="S54" s="268"/>
      <c r="T54" s="269" t="e">
        <f>VLOOKUP(Q54,[71]Listas!$D$6:$E$10,2,0)</f>
        <v>#N/A</v>
      </c>
      <c r="U54" s="269" t="e">
        <f>HLOOKUP(R54,[71]Listas!$F$4:$J$5,2,0)</f>
        <v>#N/A</v>
      </c>
      <c r="V54" s="270" t="e">
        <f>INDEX([71]Listas!$F$6:$J$10,MATCH(Q54,[71]Listas!$D$6:$D$10,0),MATCH(R54,[71]Listas!$F$4:$J$4,0))</f>
        <v>#N/A</v>
      </c>
      <c r="W54" s="268"/>
      <c r="X54" s="1399"/>
      <c r="Y54" s="1408"/>
      <c r="Z54" s="1400"/>
      <c r="AA54" s="1063"/>
      <c r="AB54" s="267"/>
      <c r="AC54" s="259"/>
      <c r="AD54" s="608"/>
      <c r="AE54" s="267"/>
      <c r="AF54" s="268"/>
      <c r="AG54" s="269">
        <f t="shared" si="8"/>
        <v>0</v>
      </c>
      <c r="AH54" s="271" t="e">
        <f t="shared" si="9"/>
        <v>#N/A</v>
      </c>
      <c r="AI54" s="272" t="e">
        <f>IF(AH54&lt;=1,"Remota",VLOOKUP(AH54,[71]Listas!$C$6:$D$10,2,0))</f>
        <v>#N/A</v>
      </c>
      <c r="AJ54" s="271" t="e">
        <f t="shared" si="10"/>
        <v>#N/A</v>
      </c>
      <c r="AK54" s="272" t="e">
        <f>IF(AJ54&lt;=1,"Insignificante",HLOOKUP(AJ54,[71]Listas!$F$3:$J$4,2,0))</f>
        <v>#N/A</v>
      </c>
      <c r="AL54" s="273" t="e">
        <f t="shared" si="11"/>
        <v>#N/A</v>
      </c>
      <c r="AM54" s="270" t="e">
        <f>INDEX([71]Listas!$F$6:$J$10,MATCH(AI54,[71]Listas!$D$6:$D$10,0),MATCH(AK54,[71]Listas!$F$4:$J$4,0))</f>
        <v>#N/A</v>
      </c>
      <c r="AN54" s="259"/>
      <c r="AO54" s="259"/>
      <c r="AP54" s="610"/>
      <c r="AQ54" s="259"/>
      <c r="AR54" s="259" t="s">
        <v>2343</v>
      </c>
      <c r="AS54" s="608"/>
      <c r="AT54" s="259"/>
      <c r="AU54" s="259"/>
      <c r="AV54" s="261"/>
      <c r="AW54" s="261"/>
      <c r="AX54" s="608"/>
      <c r="AY54" s="262"/>
    </row>
    <row r="55" spans="1:51" s="260" customFormat="1" ht="103.5" hidden="1" customHeight="1">
      <c r="A55" s="608"/>
      <c r="B55" s="266"/>
      <c r="C55" s="1399"/>
      <c r="D55" s="1408"/>
      <c r="E55" s="1400"/>
      <c r="F55" s="267"/>
      <c r="G55" s="1399"/>
      <c r="H55" s="1408"/>
      <c r="I55" s="1400"/>
      <c r="J55" s="1380"/>
      <c r="K55" s="1380"/>
      <c r="L55" s="1380"/>
      <c r="M55" s="608"/>
      <c r="N55" s="608"/>
      <c r="O55" s="608"/>
      <c r="P55" s="608"/>
      <c r="Q55" s="266"/>
      <c r="R55" s="266"/>
      <c r="S55" s="268"/>
      <c r="T55" s="269" t="e">
        <f>VLOOKUP(Q55,[71]Listas!$D$6:$E$10,2,0)</f>
        <v>#N/A</v>
      </c>
      <c r="U55" s="269" t="e">
        <f>HLOOKUP(R55,[71]Listas!$F$4:$J$5,2,0)</f>
        <v>#N/A</v>
      </c>
      <c r="V55" s="270" t="e">
        <f>INDEX([71]Listas!$F$6:$J$10,MATCH(Q55,[71]Listas!$D$6:$D$10,0),MATCH(R55,[71]Listas!$F$4:$J$4,0))</f>
        <v>#N/A</v>
      </c>
      <c r="W55" s="268"/>
      <c r="X55" s="1399"/>
      <c r="Y55" s="1408"/>
      <c r="Z55" s="1400"/>
      <c r="AA55" s="1063"/>
      <c r="AB55" s="267"/>
      <c r="AC55" s="259"/>
      <c r="AD55" s="608"/>
      <c r="AE55" s="267"/>
      <c r="AF55" s="268"/>
      <c r="AG55" s="269">
        <f t="shared" si="8"/>
        <v>0</v>
      </c>
      <c r="AH55" s="271" t="e">
        <f t="shared" si="9"/>
        <v>#N/A</v>
      </c>
      <c r="AI55" s="272" t="e">
        <f>IF(AH55&lt;=1,"Remota",VLOOKUP(AH55,[71]Listas!$C$6:$D$10,2,0))</f>
        <v>#N/A</v>
      </c>
      <c r="AJ55" s="271" t="e">
        <f t="shared" si="10"/>
        <v>#N/A</v>
      </c>
      <c r="AK55" s="272" t="e">
        <f>IF(AJ55&lt;=1,"Insignificante",HLOOKUP(AJ55,[71]Listas!$F$3:$J$4,2,0))</f>
        <v>#N/A</v>
      </c>
      <c r="AL55" s="273" t="e">
        <f t="shared" si="11"/>
        <v>#N/A</v>
      </c>
      <c r="AM55" s="270" t="e">
        <f>INDEX([71]Listas!$F$6:$J$10,MATCH(AI55,[71]Listas!$D$6:$D$10,0),MATCH(AK55,[71]Listas!$F$4:$J$4,0))</f>
        <v>#N/A</v>
      </c>
      <c r="AN55" s="259"/>
      <c r="AO55" s="259"/>
      <c r="AP55" s="610"/>
      <c r="AQ55" s="259"/>
      <c r="AR55" s="259" t="s">
        <v>2343</v>
      </c>
      <c r="AS55" s="608"/>
      <c r="AT55" s="259"/>
      <c r="AU55" s="259"/>
      <c r="AV55" s="261"/>
      <c r="AW55" s="261"/>
      <c r="AX55" s="608"/>
      <c r="AY55" s="262"/>
    </row>
    <row r="56" spans="1:51" s="260" customFormat="1" ht="103.5" hidden="1" customHeight="1">
      <c r="A56" s="608"/>
      <c r="B56" s="266"/>
      <c r="C56" s="1399"/>
      <c r="D56" s="1408"/>
      <c r="E56" s="1400"/>
      <c r="F56" s="267"/>
      <c r="G56" s="1399"/>
      <c r="H56" s="1408"/>
      <c r="I56" s="1400"/>
      <c r="J56" s="1380"/>
      <c r="K56" s="1380"/>
      <c r="L56" s="1380"/>
      <c r="M56" s="608"/>
      <c r="N56" s="608"/>
      <c r="O56" s="608"/>
      <c r="P56" s="608"/>
      <c r="Q56" s="266"/>
      <c r="R56" s="266"/>
      <c r="S56" s="268"/>
      <c r="T56" s="269" t="e">
        <f>VLOOKUP(Q56,[71]Listas!$D$6:$E$10,2,0)</f>
        <v>#N/A</v>
      </c>
      <c r="U56" s="269" t="e">
        <f>HLOOKUP(R56,[71]Listas!$F$4:$J$5,2,0)</f>
        <v>#N/A</v>
      </c>
      <c r="V56" s="270" t="e">
        <f>INDEX([71]Listas!$F$6:$J$10,MATCH(Q56,[71]Listas!$D$6:$D$10,0),MATCH(R56,[71]Listas!$F$4:$J$4,0))</f>
        <v>#N/A</v>
      </c>
      <c r="W56" s="268"/>
      <c r="X56" s="1399"/>
      <c r="Y56" s="1408"/>
      <c r="Z56" s="1400"/>
      <c r="AA56" s="1063"/>
      <c r="AB56" s="267"/>
      <c r="AC56" s="259"/>
      <c r="AD56" s="608"/>
      <c r="AE56" s="267"/>
      <c r="AF56" s="268"/>
      <c r="AG56" s="269">
        <f t="shared" si="8"/>
        <v>0</v>
      </c>
      <c r="AH56" s="271" t="e">
        <f t="shared" si="9"/>
        <v>#N/A</v>
      </c>
      <c r="AI56" s="272" t="e">
        <f>IF(AH56&lt;=1,"Remota",VLOOKUP(AH56,[71]Listas!$C$6:$D$10,2,0))</f>
        <v>#N/A</v>
      </c>
      <c r="AJ56" s="271" t="e">
        <f t="shared" si="10"/>
        <v>#N/A</v>
      </c>
      <c r="AK56" s="272" t="e">
        <f>IF(AJ56&lt;=1,"Insignificante",HLOOKUP(AJ56,[71]Listas!$F$3:$J$4,2,0))</f>
        <v>#N/A</v>
      </c>
      <c r="AL56" s="273" t="e">
        <f t="shared" si="11"/>
        <v>#N/A</v>
      </c>
      <c r="AM56" s="270" t="e">
        <f>INDEX([71]Listas!$F$6:$J$10,MATCH(AI56,[71]Listas!$D$6:$D$10,0),MATCH(AK56,[71]Listas!$F$4:$J$4,0))</f>
        <v>#N/A</v>
      </c>
      <c r="AN56" s="259"/>
      <c r="AO56" s="259"/>
      <c r="AP56" s="610"/>
      <c r="AQ56" s="259"/>
      <c r="AR56" s="259" t="s">
        <v>2343</v>
      </c>
      <c r="AS56" s="608"/>
      <c r="AT56" s="259"/>
      <c r="AU56" s="259"/>
      <c r="AV56" s="261"/>
      <c r="AW56" s="261"/>
      <c r="AX56" s="608"/>
      <c r="AY56" s="262"/>
    </row>
    <row r="57" spans="1:51" s="260" customFormat="1" ht="103.5" hidden="1" customHeight="1">
      <c r="A57" s="608"/>
      <c r="B57" s="266"/>
      <c r="C57" s="1399"/>
      <c r="D57" s="1408"/>
      <c r="E57" s="1400"/>
      <c r="F57" s="267"/>
      <c r="G57" s="1399"/>
      <c r="H57" s="1408"/>
      <c r="I57" s="1400"/>
      <c r="J57" s="1380"/>
      <c r="K57" s="1380"/>
      <c r="L57" s="1380"/>
      <c r="M57" s="608"/>
      <c r="N57" s="608"/>
      <c r="O57" s="608"/>
      <c r="P57" s="608"/>
      <c r="Q57" s="266"/>
      <c r="R57" s="266"/>
      <c r="S57" s="268"/>
      <c r="T57" s="269" t="e">
        <f>VLOOKUP(Q57,[71]Listas!$D$6:$E$10,2,0)</f>
        <v>#N/A</v>
      </c>
      <c r="U57" s="269" t="e">
        <f>HLOOKUP(R57,[71]Listas!$F$4:$J$5,2,0)</f>
        <v>#N/A</v>
      </c>
      <c r="V57" s="270" t="e">
        <f>INDEX([71]Listas!$F$6:$J$10,MATCH(Q57,[71]Listas!$D$6:$D$10,0),MATCH(R57,[71]Listas!$F$4:$J$4,0))</f>
        <v>#N/A</v>
      </c>
      <c r="W57" s="268"/>
      <c r="X57" s="1399"/>
      <c r="Y57" s="1408"/>
      <c r="Z57" s="1400"/>
      <c r="AA57" s="1063"/>
      <c r="AB57" s="267"/>
      <c r="AC57" s="259"/>
      <c r="AD57" s="608"/>
      <c r="AE57" s="267"/>
      <c r="AF57" s="268"/>
      <c r="AG57" s="269">
        <f t="shared" si="8"/>
        <v>0</v>
      </c>
      <c r="AH57" s="271" t="e">
        <f t="shared" si="9"/>
        <v>#N/A</v>
      </c>
      <c r="AI57" s="272" t="e">
        <f>IF(AH57&lt;=1,"Remota",VLOOKUP(AH57,[71]Listas!$C$6:$D$10,2,0))</f>
        <v>#N/A</v>
      </c>
      <c r="AJ57" s="271" t="e">
        <f t="shared" si="10"/>
        <v>#N/A</v>
      </c>
      <c r="AK57" s="272" t="e">
        <f>IF(AJ57&lt;=1,"Insignificante",HLOOKUP(AJ57,[71]Listas!$F$3:$J$4,2,0))</f>
        <v>#N/A</v>
      </c>
      <c r="AL57" s="273" t="e">
        <f t="shared" si="11"/>
        <v>#N/A</v>
      </c>
      <c r="AM57" s="270" t="e">
        <f>INDEX([71]Listas!$F$6:$J$10,MATCH(AI57,[71]Listas!$D$6:$D$10,0),MATCH(AK57,[71]Listas!$F$4:$J$4,0))</f>
        <v>#N/A</v>
      </c>
      <c r="AN57" s="259"/>
      <c r="AO57" s="259"/>
      <c r="AP57" s="610"/>
      <c r="AQ57" s="259"/>
      <c r="AR57" s="259" t="s">
        <v>2343</v>
      </c>
      <c r="AS57" s="608"/>
      <c r="AT57" s="259"/>
      <c r="AU57" s="259"/>
      <c r="AV57" s="261"/>
      <c r="AW57" s="261"/>
      <c r="AX57" s="608"/>
      <c r="AY57" s="262"/>
    </row>
    <row r="58" spans="1:51" s="260" customFormat="1" ht="103.5" hidden="1" customHeight="1">
      <c r="A58" s="608"/>
      <c r="B58" s="266"/>
      <c r="C58" s="1399"/>
      <c r="D58" s="1408"/>
      <c r="E58" s="1400"/>
      <c r="F58" s="267"/>
      <c r="G58" s="1399"/>
      <c r="H58" s="1408"/>
      <c r="I58" s="1400"/>
      <c r="J58" s="1380"/>
      <c r="K58" s="1380"/>
      <c r="L58" s="1380"/>
      <c r="M58" s="608"/>
      <c r="N58" s="608"/>
      <c r="O58" s="608"/>
      <c r="P58" s="608"/>
      <c r="Q58" s="266"/>
      <c r="R58" s="266"/>
      <c r="S58" s="268"/>
      <c r="T58" s="269" t="e">
        <f>VLOOKUP(Q58,[71]Listas!$D$6:$E$10,2,0)</f>
        <v>#N/A</v>
      </c>
      <c r="U58" s="269" t="e">
        <f>HLOOKUP(R58,[71]Listas!$F$4:$J$5,2,0)</f>
        <v>#N/A</v>
      </c>
      <c r="V58" s="270" t="e">
        <f>INDEX([71]Listas!$F$6:$J$10,MATCH(Q58,[71]Listas!$D$6:$D$10,0),MATCH(R58,[71]Listas!$F$4:$J$4,0))</f>
        <v>#N/A</v>
      </c>
      <c r="W58" s="268"/>
      <c r="X58" s="1399"/>
      <c r="Y58" s="1408"/>
      <c r="Z58" s="1400"/>
      <c r="AA58" s="1063"/>
      <c r="AB58" s="267"/>
      <c r="AC58" s="259"/>
      <c r="AD58" s="608"/>
      <c r="AE58" s="267"/>
      <c r="AF58" s="268"/>
      <c r="AG58" s="269">
        <f t="shared" si="8"/>
        <v>0</v>
      </c>
      <c r="AH58" s="271" t="e">
        <f t="shared" si="9"/>
        <v>#N/A</v>
      </c>
      <c r="AI58" s="272" t="e">
        <f>IF(AH58&lt;=1,"Remota",VLOOKUP(AH58,[71]Listas!$C$6:$D$10,2,0))</f>
        <v>#N/A</v>
      </c>
      <c r="AJ58" s="271" t="e">
        <f t="shared" si="10"/>
        <v>#N/A</v>
      </c>
      <c r="AK58" s="272" t="e">
        <f>IF(AJ58&lt;=1,"Insignificante",HLOOKUP(AJ58,[71]Listas!$F$3:$J$4,2,0))</f>
        <v>#N/A</v>
      </c>
      <c r="AL58" s="273" t="e">
        <f t="shared" si="11"/>
        <v>#N/A</v>
      </c>
      <c r="AM58" s="270" t="e">
        <f>INDEX([71]Listas!$F$6:$J$10,MATCH(AI58,[71]Listas!$D$6:$D$10,0),MATCH(AK58,[71]Listas!$F$4:$J$4,0))</f>
        <v>#N/A</v>
      </c>
      <c r="AN58" s="259"/>
      <c r="AO58" s="259"/>
      <c r="AP58" s="610"/>
      <c r="AQ58" s="259"/>
      <c r="AR58" s="259" t="s">
        <v>2343</v>
      </c>
      <c r="AS58" s="608"/>
      <c r="AT58" s="259"/>
      <c r="AU58" s="259"/>
      <c r="AV58" s="261"/>
      <c r="AW58" s="261"/>
      <c r="AX58" s="608"/>
      <c r="AY58" s="262"/>
    </row>
    <row r="59" spans="1:51" s="260" customFormat="1" ht="103.5" hidden="1" customHeight="1">
      <c r="A59" s="608"/>
      <c r="B59" s="266"/>
      <c r="C59" s="1399"/>
      <c r="D59" s="1408"/>
      <c r="E59" s="1400"/>
      <c r="F59" s="267"/>
      <c r="G59" s="1399"/>
      <c r="H59" s="1408"/>
      <c r="I59" s="1400"/>
      <c r="J59" s="1380"/>
      <c r="K59" s="1380"/>
      <c r="L59" s="1380"/>
      <c r="M59" s="608"/>
      <c r="N59" s="608"/>
      <c r="O59" s="608"/>
      <c r="P59" s="608"/>
      <c r="Q59" s="266"/>
      <c r="R59" s="266"/>
      <c r="S59" s="268"/>
      <c r="T59" s="269" t="e">
        <f>VLOOKUP(Q59,[71]Listas!$D$6:$E$10,2,0)</f>
        <v>#N/A</v>
      </c>
      <c r="U59" s="269" t="e">
        <f>HLOOKUP(R59,[71]Listas!$F$4:$J$5,2,0)</f>
        <v>#N/A</v>
      </c>
      <c r="V59" s="270" t="e">
        <f>INDEX([71]Listas!$F$6:$J$10,MATCH(Q59,[71]Listas!$D$6:$D$10,0),MATCH(R59,[71]Listas!$F$4:$J$4,0))</f>
        <v>#N/A</v>
      </c>
      <c r="W59" s="268"/>
      <c r="X59" s="1399"/>
      <c r="Y59" s="1408"/>
      <c r="Z59" s="1400"/>
      <c r="AA59" s="1063"/>
      <c r="AB59" s="267"/>
      <c r="AC59" s="259"/>
      <c r="AD59" s="608"/>
      <c r="AE59" s="267"/>
      <c r="AF59" s="268"/>
      <c r="AG59" s="269">
        <f t="shared" si="8"/>
        <v>0</v>
      </c>
      <c r="AH59" s="271" t="e">
        <f t="shared" si="9"/>
        <v>#N/A</v>
      </c>
      <c r="AI59" s="272" t="e">
        <f>IF(AH59&lt;=1,"Remota",VLOOKUP(AH59,[71]Listas!$C$6:$D$10,2,0))</f>
        <v>#N/A</v>
      </c>
      <c r="AJ59" s="271" t="e">
        <f t="shared" si="10"/>
        <v>#N/A</v>
      </c>
      <c r="AK59" s="272" t="e">
        <f>IF(AJ59&lt;=1,"Insignificante",HLOOKUP(AJ59,[71]Listas!$F$3:$J$4,2,0))</f>
        <v>#N/A</v>
      </c>
      <c r="AL59" s="273" t="e">
        <f t="shared" si="11"/>
        <v>#N/A</v>
      </c>
      <c r="AM59" s="270" t="e">
        <f>INDEX([71]Listas!$F$6:$J$10,MATCH(AI59,[71]Listas!$D$6:$D$10,0),MATCH(AK59,[71]Listas!$F$4:$J$4,0))</f>
        <v>#N/A</v>
      </c>
      <c r="AN59" s="259"/>
      <c r="AO59" s="259"/>
      <c r="AP59" s="610"/>
      <c r="AQ59" s="259"/>
      <c r="AR59" s="259" t="s">
        <v>2343</v>
      </c>
      <c r="AS59" s="608"/>
      <c r="AT59" s="259"/>
      <c r="AU59" s="259"/>
      <c r="AV59" s="261"/>
      <c r="AW59" s="261"/>
      <c r="AX59" s="608"/>
      <c r="AY59" s="262"/>
    </row>
    <row r="60" spans="1:51" s="260" customFormat="1" ht="103.5" hidden="1" customHeight="1">
      <c r="A60" s="608"/>
      <c r="B60" s="266"/>
      <c r="C60" s="1399"/>
      <c r="D60" s="1408"/>
      <c r="E60" s="1400"/>
      <c r="F60" s="267"/>
      <c r="G60" s="1399"/>
      <c r="H60" s="1408"/>
      <c r="I60" s="1400"/>
      <c r="J60" s="1380"/>
      <c r="K60" s="1380"/>
      <c r="L60" s="1380"/>
      <c r="M60" s="608"/>
      <c r="N60" s="608"/>
      <c r="O60" s="608"/>
      <c r="P60" s="608"/>
      <c r="Q60" s="266"/>
      <c r="R60" s="266"/>
      <c r="S60" s="268"/>
      <c r="T60" s="269" t="e">
        <f>VLOOKUP(Q60,[71]Listas!$D$6:$E$10,2,0)</f>
        <v>#N/A</v>
      </c>
      <c r="U60" s="269" t="e">
        <f>HLOOKUP(R60,[71]Listas!$F$4:$J$5,2,0)</f>
        <v>#N/A</v>
      </c>
      <c r="V60" s="270" t="e">
        <f>INDEX([71]Listas!$F$6:$J$10,MATCH(Q60,[71]Listas!$D$6:$D$10,0),MATCH(R60,[71]Listas!$F$4:$J$4,0))</f>
        <v>#N/A</v>
      </c>
      <c r="W60" s="268"/>
      <c r="X60" s="1399"/>
      <c r="Y60" s="1408"/>
      <c r="Z60" s="1400"/>
      <c r="AA60" s="1063"/>
      <c r="AB60" s="267"/>
      <c r="AC60" s="259"/>
      <c r="AD60" s="608"/>
      <c r="AE60" s="267"/>
      <c r="AF60" s="268"/>
      <c r="AG60" s="269">
        <f t="shared" si="8"/>
        <v>0</v>
      </c>
      <c r="AH60" s="271" t="e">
        <f t="shared" si="9"/>
        <v>#N/A</v>
      </c>
      <c r="AI60" s="272" t="e">
        <f>IF(AH60&lt;=1,"Remota",VLOOKUP(AH60,[71]Listas!$C$6:$D$10,2,0))</f>
        <v>#N/A</v>
      </c>
      <c r="AJ60" s="271" t="e">
        <f t="shared" si="10"/>
        <v>#N/A</v>
      </c>
      <c r="AK60" s="272" t="e">
        <f>IF(AJ60&lt;=1,"Insignificante",HLOOKUP(AJ60,[71]Listas!$F$3:$J$4,2,0))</f>
        <v>#N/A</v>
      </c>
      <c r="AL60" s="273" t="e">
        <f t="shared" si="11"/>
        <v>#N/A</v>
      </c>
      <c r="AM60" s="270" t="e">
        <f>INDEX([71]Listas!$F$6:$J$10,MATCH(AI60,[71]Listas!$D$6:$D$10,0),MATCH(AK60,[71]Listas!$F$4:$J$4,0))</f>
        <v>#N/A</v>
      </c>
      <c r="AN60" s="259"/>
      <c r="AO60" s="259"/>
      <c r="AP60" s="610"/>
      <c r="AQ60" s="259"/>
      <c r="AR60" s="259" t="s">
        <v>2343</v>
      </c>
      <c r="AS60" s="608"/>
      <c r="AT60" s="259"/>
      <c r="AU60" s="259"/>
      <c r="AV60" s="261"/>
      <c r="AW60" s="261"/>
      <c r="AX60" s="608"/>
      <c r="AY60" s="262"/>
    </row>
    <row r="61" spans="1:51" s="260" customFormat="1" ht="103.5" hidden="1" customHeight="1">
      <c r="A61" s="608"/>
      <c r="B61" s="266"/>
      <c r="C61" s="1399"/>
      <c r="D61" s="1408"/>
      <c r="E61" s="1400"/>
      <c r="F61" s="267"/>
      <c r="G61" s="1399"/>
      <c r="H61" s="1408"/>
      <c r="I61" s="1400"/>
      <c r="J61" s="1380"/>
      <c r="K61" s="1380"/>
      <c r="L61" s="1380"/>
      <c r="M61" s="608"/>
      <c r="N61" s="608"/>
      <c r="O61" s="608"/>
      <c r="P61" s="608"/>
      <c r="Q61" s="266"/>
      <c r="R61" s="266"/>
      <c r="S61" s="268"/>
      <c r="T61" s="269" t="e">
        <f>VLOOKUP(Q61,[71]Listas!$D$6:$E$10,2,0)</f>
        <v>#N/A</v>
      </c>
      <c r="U61" s="269" t="e">
        <f>HLOOKUP(R61,[71]Listas!$F$4:$J$5,2,0)</f>
        <v>#N/A</v>
      </c>
      <c r="V61" s="270" t="e">
        <f>INDEX([71]Listas!$F$6:$J$10,MATCH(Q61,[71]Listas!$D$6:$D$10,0),MATCH(R61,[71]Listas!$F$4:$J$4,0))</f>
        <v>#N/A</v>
      </c>
      <c r="W61" s="268"/>
      <c r="X61" s="1399"/>
      <c r="Y61" s="1408"/>
      <c r="Z61" s="1400"/>
      <c r="AA61" s="1063"/>
      <c r="AB61" s="267"/>
      <c r="AC61" s="259"/>
      <c r="AD61" s="608"/>
      <c r="AE61" s="267"/>
      <c r="AF61" s="268"/>
      <c r="AG61" s="269">
        <f t="shared" si="8"/>
        <v>0</v>
      </c>
      <c r="AH61" s="271" t="e">
        <f t="shared" si="9"/>
        <v>#N/A</v>
      </c>
      <c r="AI61" s="272" t="e">
        <f>IF(AH61&lt;=1,"Remota",VLOOKUP(AH61,[71]Listas!$C$6:$D$10,2,0))</f>
        <v>#N/A</v>
      </c>
      <c r="AJ61" s="271" t="e">
        <f t="shared" si="10"/>
        <v>#N/A</v>
      </c>
      <c r="AK61" s="272" t="e">
        <f>IF(AJ61&lt;=1,"Insignificante",HLOOKUP(AJ61,[71]Listas!$F$3:$J$4,2,0))</f>
        <v>#N/A</v>
      </c>
      <c r="AL61" s="273" t="e">
        <f t="shared" si="11"/>
        <v>#N/A</v>
      </c>
      <c r="AM61" s="270" t="e">
        <f>INDEX([71]Listas!$F$6:$J$10,MATCH(AI61,[71]Listas!$D$6:$D$10,0),MATCH(AK61,[71]Listas!$F$4:$J$4,0))</f>
        <v>#N/A</v>
      </c>
      <c r="AN61" s="259"/>
      <c r="AO61" s="259"/>
      <c r="AP61" s="610"/>
      <c r="AQ61" s="259"/>
      <c r="AR61" s="259" t="s">
        <v>2343</v>
      </c>
      <c r="AS61" s="608"/>
      <c r="AT61" s="259"/>
      <c r="AU61" s="259"/>
      <c r="AV61" s="261"/>
      <c r="AW61" s="261"/>
      <c r="AX61" s="608"/>
      <c r="AY61" s="262"/>
    </row>
    <row r="62" spans="1:51" s="260" customFormat="1" ht="103.5" hidden="1" customHeight="1">
      <c r="A62" s="608"/>
      <c r="B62" s="266"/>
      <c r="C62" s="1399"/>
      <c r="D62" s="1408"/>
      <c r="E62" s="1400"/>
      <c r="F62" s="267"/>
      <c r="G62" s="1399"/>
      <c r="H62" s="1408"/>
      <c r="I62" s="1400"/>
      <c r="J62" s="1380"/>
      <c r="K62" s="1380"/>
      <c r="L62" s="1380"/>
      <c r="M62" s="608"/>
      <c r="N62" s="608"/>
      <c r="O62" s="608"/>
      <c r="P62" s="608"/>
      <c r="Q62" s="266"/>
      <c r="R62" s="266"/>
      <c r="S62" s="268"/>
      <c r="T62" s="269" t="e">
        <f>VLOOKUP(Q62,[71]Listas!$D$6:$E$10,2,0)</f>
        <v>#N/A</v>
      </c>
      <c r="U62" s="269" t="e">
        <f>HLOOKUP(R62,[71]Listas!$F$4:$J$5,2,0)</f>
        <v>#N/A</v>
      </c>
      <c r="V62" s="270" t="e">
        <f>INDEX([71]Listas!$F$6:$J$10,MATCH(Q62,[71]Listas!$D$6:$D$10,0),MATCH(R62,[71]Listas!$F$4:$J$4,0))</f>
        <v>#N/A</v>
      </c>
      <c r="W62" s="268"/>
      <c r="X62" s="1399"/>
      <c r="Y62" s="1408"/>
      <c r="Z62" s="1400"/>
      <c r="AA62" s="1063"/>
      <c r="AB62" s="267"/>
      <c r="AC62" s="259"/>
      <c r="AD62" s="608"/>
      <c r="AE62" s="267"/>
      <c r="AF62" s="268"/>
      <c r="AG62" s="269">
        <f t="shared" si="8"/>
        <v>0</v>
      </c>
      <c r="AH62" s="271" t="e">
        <f t="shared" si="9"/>
        <v>#N/A</v>
      </c>
      <c r="AI62" s="272" t="e">
        <f>IF(AH62&lt;=1,"Remota",VLOOKUP(AH62,[71]Listas!$C$6:$D$10,2,0))</f>
        <v>#N/A</v>
      </c>
      <c r="AJ62" s="271" t="e">
        <f t="shared" si="10"/>
        <v>#N/A</v>
      </c>
      <c r="AK62" s="272" t="e">
        <f>IF(AJ62&lt;=1,"Insignificante",HLOOKUP(AJ62,[71]Listas!$F$3:$J$4,2,0))</f>
        <v>#N/A</v>
      </c>
      <c r="AL62" s="273" t="e">
        <f t="shared" si="11"/>
        <v>#N/A</v>
      </c>
      <c r="AM62" s="270" t="e">
        <f>INDEX([71]Listas!$F$6:$J$10,MATCH(AI62,[71]Listas!$D$6:$D$10,0),MATCH(AK62,[71]Listas!$F$4:$J$4,0))</f>
        <v>#N/A</v>
      </c>
      <c r="AN62" s="259"/>
      <c r="AO62" s="259"/>
      <c r="AP62" s="610"/>
      <c r="AQ62" s="259"/>
      <c r="AR62" s="259" t="s">
        <v>2343</v>
      </c>
      <c r="AS62" s="608"/>
      <c r="AT62" s="259"/>
      <c r="AU62" s="259"/>
      <c r="AV62" s="261"/>
      <c r="AW62" s="261"/>
      <c r="AX62" s="608"/>
      <c r="AY62" s="262"/>
    </row>
    <row r="63" spans="1:51" s="260" customFormat="1" ht="103.5" hidden="1" customHeight="1">
      <c r="A63" s="608"/>
      <c r="B63" s="266"/>
      <c r="C63" s="1399"/>
      <c r="D63" s="1408"/>
      <c r="E63" s="1400"/>
      <c r="F63" s="267"/>
      <c r="G63" s="1399"/>
      <c r="H63" s="1408"/>
      <c r="I63" s="1400"/>
      <c r="J63" s="1380"/>
      <c r="K63" s="1380"/>
      <c r="L63" s="1380"/>
      <c r="M63" s="608"/>
      <c r="N63" s="608"/>
      <c r="O63" s="608"/>
      <c r="P63" s="608"/>
      <c r="Q63" s="266"/>
      <c r="R63" s="266"/>
      <c r="S63" s="268"/>
      <c r="T63" s="269" t="e">
        <f>VLOOKUP(Q63,[71]Listas!$D$6:$E$10,2,0)</f>
        <v>#N/A</v>
      </c>
      <c r="U63" s="269" t="e">
        <f>HLOOKUP(R63,[71]Listas!$F$4:$J$5,2,0)</f>
        <v>#N/A</v>
      </c>
      <c r="V63" s="270" t="e">
        <f>INDEX([71]Listas!$F$6:$J$10,MATCH(Q63,[71]Listas!$D$6:$D$10,0),MATCH(R63,[71]Listas!$F$4:$J$4,0))</f>
        <v>#N/A</v>
      </c>
      <c r="W63" s="268"/>
      <c r="X63" s="1399"/>
      <c r="Y63" s="1408"/>
      <c r="Z63" s="1400"/>
      <c r="AA63" s="1063"/>
      <c r="AB63" s="267"/>
      <c r="AC63" s="259"/>
      <c r="AD63" s="608"/>
      <c r="AE63" s="267"/>
      <c r="AF63" s="268"/>
      <c r="AG63" s="269">
        <f t="shared" si="8"/>
        <v>0</v>
      </c>
      <c r="AH63" s="271" t="e">
        <f t="shared" si="9"/>
        <v>#N/A</v>
      </c>
      <c r="AI63" s="272" t="e">
        <f>IF(AH63&lt;=1,"Remota",VLOOKUP(AH63,[71]Listas!$C$6:$D$10,2,0))</f>
        <v>#N/A</v>
      </c>
      <c r="AJ63" s="271" t="e">
        <f t="shared" si="10"/>
        <v>#N/A</v>
      </c>
      <c r="AK63" s="272" t="e">
        <f>IF(AJ63&lt;=1,"Insignificante",HLOOKUP(AJ63,[71]Listas!$F$3:$J$4,2,0))</f>
        <v>#N/A</v>
      </c>
      <c r="AL63" s="273" t="e">
        <f t="shared" si="11"/>
        <v>#N/A</v>
      </c>
      <c r="AM63" s="270" t="e">
        <f>INDEX([71]Listas!$F$6:$J$10,MATCH(AI63,[71]Listas!$D$6:$D$10,0),MATCH(AK63,[71]Listas!$F$4:$J$4,0))</f>
        <v>#N/A</v>
      </c>
      <c r="AN63" s="259"/>
      <c r="AO63" s="259"/>
      <c r="AP63" s="610"/>
      <c r="AQ63" s="259"/>
      <c r="AR63" s="259" t="s">
        <v>2343</v>
      </c>
      <c r="AS63" s="608"/>
      <c r="AT63" s="259"/>
      <c r="AU63" s="259"/>
      <c r="AV63" s="261"/>
      <c r="AW63" s="261"/>
      <c r="AX63" s="608"/>
      <c r="AY63" s="262"/>
    </row>
    <row r="64" spans="1:51" s="260" customFormat="1" ht="103.5" hidden="1" customHeight="1">
      <c r="A64" s="608"/>
      <c r="B64" s="266"/>
      <c r="C64" s="1399"/>
      <c r="D64" s="1408"/>
      <c r="E64" s="1400"/>
      <c r="F64" s="266"/>
      <c r="G64" s="1399"/>
      <c r="H64" s="1408"/>
      <c r="I64" s="1400"/>
      <c r="J64" s="1380"/>
      <c r="K64" s="1380"/>
      <c r="L64" s="1380"/>
      <c r="M64" s="608"/>
      <c r="N64" s="608"/>
      <c r="O64" s="608"/>
      <c r="P64" s="608"/>
      <c r="Q64" s="266"/>
      <c r="R64" s="266"/>
      <c r="S64" s="268"/>
      <c r="T64" s="269" t="e">
        <f>VLOOKUP(Q64,[71]Listas!$D$6:$E$10,2,0)</f>
        <v>#N/A</v>
      </c>
      <c r="U64" s="269" t="e">
        <f>HLOOKUP(R64,[71]Listas!$F$4:$J$5,2,0)</f>
        <v>#N/A</v>
      </c>
      <c r="V64" s="270" t="e">
        <f>INDEX([71]Listas!$F$6:$J$10,MATCH(Q64,[71]Listas!$D$6:$D$10,0),MATCH(R64,[71]Listas!$F$4:$J$4,0))</f>
        <v>#N/A</v>
      </c>
      <c r="W64" s="268"/>
      <c r="X64" s="1399"/>
      <c r="Y64" s="1408"/>
      <c r="Z64" s="1400"/>
      <c r="AA64" s="1063"/>
      <c r="AB64" s="267"/>
      <c r="AC64" s="259"/>
      <c r="AD64" s="608"/>
      <c r="AE64" s="267"/>
      <c r="AF64" s="268"/>
      <c r="AG64" s="269">
        <f>IF(AD64&lt;=33,0,IF(AD64&gt;81,2,1))</f>
        <v>0</v>
      </c>
      <c r="AH64" s="271" t="e">
        <f>IF(OR(AE64="Probabilidad",AE64="Ambos"),T64-AG64,T64)</f>
        <v>#N/A</v>
      </c>
      <c r="AI64" s="272" t="e">
        <f>IF(AH64&lt;=1,"Remota",VLOOKUP(AH64,[71]Listas!$C$6:$D$10,2,0))</f>
        <v>#N/A</v>
      </c>
      <c r="AJ64" s="271" t="e">
        <f>IF(OR(AE64="Impacto",AE64="Ambos"),U64-AG64,U64)</f>
        <v>#N/A</v>
      </c>
      <c r="AK64" s="272" t="e">
        <f>IF(AJ64&lt;=1,"Insignificante",HLOOKUP(AJ64,[71]Listas!$F$3:$J$4,2,0))</f>
        <v>#N/A</v>
      </c>
      <c r="AL64" s="273" t="e">
        <f>AH64*AJ64</f>
        <v>#N/A</v>
      </c>
      <c r="AM64" s="270" t="e">
        <f>INDEX([71]Listas!$F$6:$J$10,MATCH(AI64,[71]Listas!$D$6:$D$10,0),MATCH(AK64,[71]Listas!$F$4:$J$4,0))</f>
        <v>#N/A</v>
      </c>
      <c r="AN64" s="259"/>
      <c r="AO64" s="259"/>
      <c r="AP64" s="610"/>
      <c r="AQ64" s="259"/>
      <c r="AR64" s="259" t="s">
        <v>2343</v>
      </c>
      <c r="AS64" s="608"/>
      <c r="AU64" s="259"/>
      <c r="AV64" s="261"/>
      <c r="AW64" s="261"/>
      <c r="AX64" s="608"/>
      <c r="AY64" s="262"/>
    </row>
    <row r="65" spans="1:51" s="260" customFormat="1" ht="103.5" hidden="1" customHeight="1">
      <c r="A65" s="608"/>
      <c r="B65" s="266"/>
      <c r="C65" s="1399"/>
      <c r="D65" s="1408"/>
      <c r="E65" s="1400"/>
      <c r="F65" s="267"/>
      <c r="G65" s="1399"/>
      <c r="H65" s="1408"/>
      <c r="I65" s="1400"/>
      <c r="J65" s="1380"/>
      <c r="K65" s="1380"/>
      <c r="L65" s="1380"/>
      <c r="M65" s="608"/>
      <c r="N65" s="608"/>
      <c r="O65" s="608"/>
      <c r="P65" s="608"/>
      <c r="Q65" s="266"/>
      <c r="R65" s="266"/>
      <c r="S65" s="268"/>
      <c r="T65" s="269" t="e">
        <f>VLOOKUP(Q65,[71]Listas!$D$6:$E$10,2,0)</f>
        <v>#N/A</v>
      </c>
      <c r="U65" s="269" t="e">
        <f>HLOOKUP(R65,[71]Listas!$F$4:$J$5,2,0)</f>
        <v>#N/A</v>
      </c>
      <c r="V65" s="270" t="e">
        <f>INDEX([71]Listas!$F$6:$J$10,MATCH(Q65,[71]Listas!$D$6:$D$10,0),MATCH(R65,[71]Listas!$F$4:$J$4,0))</f>
        <v>#N/A</v>
      </c>
      <c r="W65" s="268"/>
      <c r="X65" s="1399"/>
      <c r="Y65" s="1408"/>
      <c r="Z65" s="1400"/>
      <c r="AA65" s="1063"/>
      <c r="AB65" s="267"/>
      <c r="AC65" s="259"/>
      <c r="AD65" s="608"/>
      <c r="AE65" s="267"/>
      <c r="AF65" s="268"/>
      <c r="AG65" s="269">
        <f t="shared" ref="AG65:AG85" si="12">IF(AD65&lt;=33,0,IF(AD65&gt;81,2,1))</f>
        <v>0</v>
      </c>
      <c r="AH65" s="271" t="e">
        <f t="shared" ref="AH65:AH85" si="13">IF(OR(AE65="Probabilidad",AE65="Ambos"),T65-AG65,T65)</f>
        <v>#N/A</v>
      </c>
      <c r="AI65" s="272" t="e">
        <f>IF(AH65&lt;=1,"Remota",VLOOKUP(AH65,[71]Listas!$C$6:$D$10,2,0))</f>
        <v>#N/A</v>
      </c>
      <c r="AJ65" s="271" t="e">
        <f t="shared" ref="AJ65:AJ85" si="14">IF(OR(AE65="Impacto",AE65="Ambos"),U65-AG65,U65)</f>
        <v>#N/A</v>
      </c>
      <c r="AK65" s="272" t="e">
        <f>IF(AJ65&lt;=1,"Insignificante",HLOOKUP(AJ65,[71]Listas!$F$3:$J$4,2,0))</f>
        <v>#N/A</v>
      </c>
      <c r="AL65" s="273" t="e">
        <f t="shared" ref="AL65:AL85" si="15">AH65*AJ65</f>
        <v>#N/A</v>
      </c>
      <c r="AM65" s="270" t="e">
        <f>INDEX([71]Listas!$F$6:$J$10,MATCH(AI65,[71]Listas!$D$6:$D$10,0),MATCH(AK65,[71]Listas!$F$4:$J$4,0))</f>
        <v>#N/A</v>
      </c>
      <c r="AN65" s="259"/>
      <c r="AO65" s="259"/>
      <c r="AP65" s="610"/>
      <c r="AQ65" s="259"/>
      <c r="AR65" s="259" t="s">
        <v>2343</v>
      </c>
      <c r="AS65" s="608"/>
      <c r="AT65" s="259"/>
      <c r="AU65" s="259"/>
      <c r="AV65" s="261"/>
      <c r="AW65" s="261"/>
      <c r="AX65" s="608"/>
      <c r="AY65" s="262"/>
    </row>
    <row r="66" spans="1:51" s="260" customFormat="1" ht="103.5" hidden="1" customHeight="1">
      <c r="A66" s="608"/>
      <c r="B66" s="266"/>
      <c r="C66" s="1399"/>
      <c r="D66" s="1408"/>
      <c r="E66" s="1400"/>
      <c r="F66" s="267"/>
      <c r="G66" s="1399"/>
      <c r="H66" s="1408"/>
      <c r="I66" s="1400"/>
      <c r="J66" s="1380"/>
      <c r="K66" s="1380"/>
      <c r="L66" s="1380"/>
      <c r="M66" s="608"/>
      <c r="N66" s="608"/>
      <c r="O66" s="608"/>
      <c r="P66" s="608"/>
      <c r="Q66" s="266"/>
      <c r="R66" s="266"/>
      <c r="S66" s="268"/>
      <c r="T66" s="269" t="e">
        <f>VLOOKUP(Q66,[71]Listas!$D$6:$E$10,2,0)</f>
        <v>#N/A</v>
      </c>
      <c r="U66" s="269" t="e">
        <f>HLOOKUP(R66,[71]Listas!$F$4:$J$5,2,0)</f>
        <v>#N/A</v>
      </c>
      <c r="V66" s="270" t="e">
        <f>INDEX([71]Listas!$F$6:$J$10,MATCH(Q66,[71]Listas!$D$6:$D$10,0),MATCH(R66,[71]Listas!$F$4:$J$4,0))</f>
        <v>#N/A</v>
      </c>
      <c r="W66" s="268"/>
      <c r="X66" s="1399"/>
      <c r="Y66" s="1408"/>
      <c r="Z66" s="1400"/>
      <c r="AA66" s="1063"/>
      <c r="AB66" s="267"/>
      <c r="AC66" s="259"/>
      <c r="AD66" s="608"/>
      <c r="AE66" s="267"/>
      <c r="AF66" s="268"/>
      <c r="AG66" s="269">
        <f t="shared" si="12"/>
        <v>0</v>
      </c>
      <c r="AH66" s="271" t="e">
        <f t="shared" si="13"/>
        <v>#N/A</v>
      </c>
      <c r="AI66" s="272" t="e">
        <f>IF(AH66&lt;=1,"Remota",VLOOKUP(AH66,[71]Listas!$C$6:$D$10,2,0))</f>
        <v>#N/A</v>
      </c>
      <c r="AJ66" s="271" t="e">
        <f t="shared" si="14"/>
        <v>#N/A</v>
      </c>
      <c r="AK66" s="272" t="e">
        <f>IF(AJ66&lt;=1,"Insignificante",HLOOKUP(AJ66,[71]Listas!$F$3:$J$4,2,0))</f>
        <v>#N/A</v>
      </c>
      <c r="AL66" s="273" t="e">
        <f t="shared" si="15"/>
        <v>#N/A</v>
      </c>
      <c r="AM66" s="270" t="e">
        <f>INDEX([71]Listas!$F$6:$J$10,MATCH(AI66,[71]Listas!$D$6:$D$10,0),MATCH(AK66,[71]Listas!$F$4:$J$4,0))</f>
        <v>#N/A</v>
      </c>
      <c r="AN66" s="259"/>
      <c r="AO66" s="259"/>
      <c r="AP66" s="610"/>
      <c r="AQ66" s="259"/>
      <c r="AR66" s="259" t="s">
        <v>2343</v>
      </c>
      <c r="AS66" s="608"/>
      <c r="AT66" s="259"/>
      <c r="AU66" s="259"/>
      <c r="AV66" s="261"/>
      <c r="AW66" s="261"/>
      <c r="AX66" s="608"/>
      <c r="AY66" s="262"/>
    </row>
    <row r="67" spans="1:51" s="260" customFormat="1" ht="103.5" hidden="1" customHeight="1">
      <c r="A67" s="608"/>
      <c r="B67" s="266"/>
      <c r="C67" s="1399"/>
      <c r="D67" s="1408"/>
      <c r="E67" s="1400"/>
      <c r="F67" s="267"/>
      <c r="G67" s="1399"/>
      <c r="H67" s="1408"/>
      <c r="I67" s="1400"/>
      <c r="J67" s="1380"/>
      <c r="K67" s="1380"/>
      <c r="L67" s="1380"/>
      <c r="M67" s="608"/>
      <c r="N67" s="608"/>
      <c r="O67" s="608"/>
      <c r="P67" s="608"/>
      <c r="Q67" s="266"/>
      <c r="R67" s="266"/>
      <c r="S67" s="268"/>
      <c r="T67" s="269" t="e">
        <f>VLOOKUP(Q67,[71]Listas!$D$6:$E$10,2,0)</f>
        <v>#N/A</v>
      </c>
      <c r="U67" s="269" t="e">
        <f>HLOOKUP(R67,[71]Listas!$F$4:$J$5,2,0)</f>
        <v>#N/A</v>
      </c>
      <c r="V67" s="270" t="e">
        <f>INDEX([71]Listas!$F$6:$J$10,MATCH(Q67,[71]Listas!$D$6:$D$10,0),MATCH(R67,[71]Listas!$F$4:$J$4,0))</f>
        <v>#N/A</v>
      </c>
      <c r="W67" s="268"/>
      <c r="X67" s="1399"/>
      <c r="Y67" s="1408"/>
      <c r="Z67" s="1400"/>
      <c r="AA67" s="1063"/>
      <c r="AB67" s="267"/>
      <c r="AC67" s="259"/>
      <c r="AD67" s="608"/>
      <c r="AE67" s="267"/>
      <c r="AF67" s="268"/>
      <c r="AG67" s="269">
        <f t="shared" si="12"/>
        <v>0</v>
      </c>
      <c r="AH67" s="271" t="e">
        <f t="shared" si="13"/>
        <v>#N/A</v>
      </c>
      <c r="AI67" s="272" t="e">
        <f>IF(AH67&lt;=1,"Remota",VLOOKUP(AH67,[71]Listas!$C$6:$D$10,2,0))</f>
        <v>#N/A</v>
      </c>
      <c r="AJ67" s="271" t="e">
        <f t="shared" si="14"/>
        <v>#N/A</v>
      </c>
      <c r="AK67" s="272" t="e">
        <f>IF(AJ67&lt;=1,"Insignificante",HLOOKUP(AJ67,[71]Listas!$F$3:$J$4,2,0))</f>
        <v>#N/A</v>
      </c>
      <c r="AL67" s="273" t="e">
        <f t="shared" si="15"/>
        <v>#N/A</v>
      </c>
      <c r="AM67" s="270" t="e">
        <f>INDEX([71]Listas!$F$6:$J$10,MATCH(AI67,[71]Listas!$D$6:$D$10,0),MATCH(AK67,[71]Listas!$F$4:$J$4,0))</f>
        <v>#N/A</v>
      </c>
      <c r="AN67" s="259"/>
      <c r="AO67" s="259"/>
      <c r="AP67" s="610"/>
      <c r="AQ67" s="259"/>
      <c r="AR67" s="259" t="s">
        <v>2343</v>
      </c>
      <c r="AS67" s="608"/>
      <c r="AT67" s="259"/>
      <c r="AU67" s="259"/>
      <c r="AV67" s="261"/>
      <c r="AW67" s="261"/>
      <c r="AX67" s="608"/>
      <c r="AY67" s="262"/>
    </row>
    <row r="68" spans="1:51" s="260" customFormat="1" ht="103.5" hidden="1" customHeight="1">
      <c r="A68" s="608"/>
      <c r="B68" s="266"/>
      <c r="C68" s="1399"/>
      <c r="D68" s="1408"/>
      <c r="E68" s="1400"/>
      <c r="F68" s="267"/>
      <c r="G68" s="1399"/>
      <c r="H68" s="1408"/>
      <c r="I68" s="1400"/>
      <c r="J68" s="1380"/>
      <c r="K68" s="1380"/>
      <c r="L68" s="1380"/>
      <c r="M68" s="608"/>
      <c r="N68" s="608"/>
      <c r="O68" s="608"/>
      <c r="P68" s="608"/>
      <c r="Q68" s="266"/>
      <c r="R68" s="266"/>
      <c r="S68" s="268"/>
      <c r="T68" s="269" t="e">
        <f>VLOOKUP(Q68,[71]Listas!$D$6:$E$10,2,0)</f>
        <v>#N/A</v>
      </c>
      <c r="U68" s="269" t="e">
        <f>HLOOKUP(R68,[71]Listas!$F$4:$J$5,2,0)</f>
        <v>#N/A</v>
      </c>
      <c r="V68" s="270" t="e">
        <f>INDEX([71]Listas!$F$6:$J$10,MATCH(Q68,[71]Listas!$D$6:$D$10,0),MATCH(R68,[71]Listas!$F$4:$J$4,0))</f>
        <v>#N/A</v>
      </c>
      <c r="W68" s="268"/>
      <c r="X68" s="1399"/>
      <c r="Y68" s="1408"/>
      <c r="Z68" s="1400"/>
      <c r="AA68" s="1063"/>
      <c r="AB68" s="267"/>
      <c r="AC68" s="259"/>
      <c r="AD68" s="608"/>
      <c r="AE68" s="267"/>
      <c r="AF68" s="268"/>
      <c r="AG68" s="269">
        <f t="shared" si="12"/>
        <v>0</v>
      </c>
      <c r="AH68" s="271" t="e">
        <f t="shared" si="13"/>
        <v>#N/A</v>
      </c>
      <c r="AI68" s="272" t="e">
        <f>IF(AH68&lt;=1,"Remota",VLOOKUP(AH68,[71]Listas!$C$6:$D$10,2,0))</f>
        <v>#N/A</v>
      </c>
      <c r="AJ68" s="271" t="e">
        <f t="shared" si="14"/>
        <v>#N/A</v>
      </c>
      <c r="AK68" s="272" t="e">
        <f>IF(AJ68&lt;=1,"Insignificante",HLOOKUP(AJ68,[71]Listas!$F$3:$J$4,2,0))</f>
        <v>#N/A</v>
      </c>
      <c r="AL68" s="273" t="e">
        <f t="shared" si="15"/>
        <v>#N/A</v>
      </c>
      <c r="AM68" s="270" t="e">
        <f>INDEX([71]Listas!$F$6:$J$10,MATCH(AI68,[71]Listas!$D$6:$D$10,0),MATCH(AK68,[71]Listas!$F$4:$J$4,0))</f>
        <v>#N/A</v>
      </c>
      <c r="AN68" s="259"/>
      <c r="AO68" s="259"/>
      <c r="AP68" s="610"/>
      <c r="AQ68" s="259"/>
      <c r="AR68" s="259" t="s">
        <v>2343</v>
      </c>
      <c r="AS68" s="608"/>
      <c r="AT68" s="259"/>
      <c r="AU68" s="259"/>
      <c r="AV68" s="261"/>
      <c r="AW68" s="261"/>
      <c r="AX68" s="608"/>
      <c r="AY68" s="262"/>
    </row>
    <row r="69" spans="1:51" s="260" customFormat="1" ht="103.5" hidden="1" customHeight="1">
      <c r="A69" s="608"/>
      <c r="B69" s="266"/>
      <c r="C69" s="1399"/>
      <c r="D69" s="1408"/>
      <c r="E69" s="1400"/>
      <c r="F69" s="267"/>
      <c r="G69" s="1399"/>
      <c r="H69" s="1408"/>
      <c r="I69" s="1400"/>
      <c r="J69" s="1380"/>
      <c r="K69" s="1380"/>
      <c r="L69" s="1380"/>
      <c r="M69" s="608"/>
      <c r="N69" s="608"/>
      <c r="O69" s="608"/>
      <c r="P69" s="608"/>
      <c r="Q69" s="266"/>
      <c r="R69" s="266"/>
      <c r="S69" s="268"/>
      <c r="T69" s="269" t="e">
        <f>VLOOKUP(Q69,[71]Listas!$D$6:$E$10,2,0)</f>
        <v>#N/A</v>
      </c>
      <c r="U69" s="269" t="e">
        <f>HLOOKUP(R69,[71]Listas!$F$4:$J$5,2,0)</f>
        <v>#N/A</v>
      </c>
      <c r="V69" s="270" t="e">
        <f>INDEX([71]Listas!$F$6:$J$10,MATCH(Q69,[71]Listas!$D$6:$D$10,0),MATCH(R69,[71]Listas!$F$4:$J$4,0))</f>
        <v>#N/A</v>
      </c>
      <c r="W69" s="268"/>
      <c r="X69" s="1399"/>
      <c r="Y69" s="1408"/>
      <c r="Z69" s="1400"/>
      <c r="AA69" s="1063"/>
      <c r="AB69" s="267"/>
      <c r="AC69" s="259"/>
      <c r="AD69" s="608"/>
      <c r="AE69" s="267"/>
      <c r="AF69" s="268"/>
      <c r="AG69" s="269">
        <f t="shared" si="12"/>
        <v>0</v>
      </c>
      <c r="AH69" s="271" t="e">
        <f t="shared" si="13"/>
        <v>#N/A</v>
      </c>
      <c r="AI69" s="272" t="e">
        <f>IF(AH69&lt;=1,"Remota",VLOOKUP(AH69,[71]Listas!$C$6:$D$10,2,0))</f>
        <v>#N/A</v>
      </c>
      <c r="AJ69" s="271" t="e">
        <f t="shared" si="14"/>
        <v>#N/A</v>
      </c>
      <c r="AK69" s="272" t="e">
        <f>IF(AJ69&lt;=1,"Insignificante",HLOOKUP(AJ69,[71]Listas!$F$3:$J$4,2,0))</f>
        <v>#N/A</v>
      </c>
      <c r="AL69" s="273" t="e">
        <f t="shared" si="15"/>
        <v>#N/A</v>
      </c>
      <c r="AM69" s="270" t="e">
        <f>INDEX([71]Listas!$F$6:$J$10,MATCH(AI69,[71]Listas!$D$6:$D$10,0),MATCH(AK69,[71]Listas!$F$4:$J$4,0))</f>
        <v>#N/A</v>
      </c>
      <c r="AN69" s="259"/>
      <c r="AO69" s="259"/>
      <c r="AP69" s="610"/>
      <c r="AQ69" s="259"/>
      <c r="AR69" s="259" t="s">
        <v>2343</v>
      </c>
      <c r="AS69" s="608"/>
      <c r="AT69" s="259"/>
      <c r="AU69" s="259"/>
      <c r="AV69" s="261"/>
      <c r="AW69" s="261"/>
      <c r="AX69" s="608"/>
      <c r="AY69" s="262"/>
    </row>
    <row r="70" spans="1:51" s="260" customFormat="1" ht="103.5" hidden="1" customHeight="1">
      <c r="A70" s="608"/>
      <c r="B70" s="266"/>
      <c r="C70" s="1399"/>
      <c r="D70" s="1408"/>
      <c r="E70" s="1400"/>
      <c r="F70" s="267"/>
      <c r="G70" s="1399"/>
      <c r="H70" s="1408"/>
      <c r="I70" s="1400"/>
      <c r="J70" s="1380"/>
      <c r="K70" s="1380"/>
      <c r="L70" s="1380"/>
      <c r="M70" s="608"/>
      <c r="N70" s="608"/>
      <c r="O70" s="608"/>
      <c r="P70" s="608"/>
      <c r="Q70" s="266"/>
      <c r="R70" s="266"/>
      <c r="S70" s="268"/>
      <c r="T70" s="269" t="e">
        <f>VLOOKUP(Q70,[71]Listas!$D$6:$E$10,2,0)</f>
        <v>#N/A</v>
      </c>
      <c r="U70" s="269" t="e">
        <f>HLOOKUP(R70,[71]Listas!$F$4:$J$5,2,0)</f>
        <v>#N/A</v>
      </c>
      <c r="V70" s="270" t="e">
        <f>INDEX([71]Listas!$F$6:$J$10,MATCH(Q70,[71]Listas!$D$6:$D$10,0),MATCH(R70,[71]Listas!$F$4:$J$4,0))</f>
        <v>#N/A</v>
      </c>
      <c r="W70" s="268"/>
      <c r="X70" s="1399"/>
      <c r="Y70" s="1408"/>
      <c r="Z70" s="1400"/>
      <c r="AA70" s="1063"/>
      <c r="AB70" s="267"/>
      <c r="AC70" s="259"/>
      <c r="AD70" s="608"/>
      <c r="AE70" s="267"/>
      <c r="AF70" s="268"/>
      <c r="AG70" s="269">
        <f t="shared" si="12"/>
        <v>0</v>
      </c>
      <c r="AH70" s="271" t="e">
        <f t="shared" si="13"/>
        <v>#N/A</v>
      </c>
      <c r="AI70" s="272" t="e">
        <f>IF(AH70&lt;=1,"Remota",VLOOKUP(AH70,[71]Listas!$C$6:$D$10,2,0))</f>
        <v>#N/A</v>
      </c>
      <c r="AJ70" s="271" t="e">
        <f t="shared" si="14"/>
        <v>#N/A</v>
      </c>
      <c r="AK70" s="272" t="e">
        <f>IF(AJ70&lt;=1,"Insignificante",HLOOKUP(AJ70,[71]Listas!$F$3:$J$4,2,0))</f>
        <v>#N/A</v>
      </c>
      <c r="AL70" s="273" t="e">
        <f t="shared" si="15"/>
        <v>#N/A</v>
      </c>
      <c r="AM70" s="270" t="e">
        <f>INDEX([71]Listas!$F$6:$J$10,MATCH(AI70,[71]Listas!$D$6:$D$10,0),MATCH(AK70,[71]Listas!$F$4:$J$4,0))</f>
        <v>#N/A</v>
      </c>
      <c r="AN70" s="259"/>
      <c r="AO70" s="259"/>
      <c r="AP70" s="610"/>
      <c r="AQ70" s="259"/>
      <c r="AR70" s="259" t="s">
        <v>2343</v>
      </c>
      <c r="AS70" s="608"/>
      <c r="AT70" s="259"/>
      <c r="AU70" s="259"/>
      <c r="AV70" s="261"/>
      <c r="AW70" s="261"/>
      <c r="AX70" s="608"/>
      <c r="AY70" s="262"/>
    </row>
    <row r="71" spans="1:51" s="260" customFormat="1" ht="103.5" hidden="1" customHeight="1">
      <c r="A71" s="608"/>
      <c r="B71" s="266"/>
      <c r="C71" s="1399"/>
      <c r="D71" s="1408"/>
      <c r="E71" s="1400"/>
      <c r="F71" s="267"/>
      <c r="G71" s="1399"/>
      <c r="H71" s="1408"/>
      <c r="I71" s="1400"/>
      <c r="J71" s="1380"/>
      <c r="K71" s="1380"/>
      <c r="L71" s="1380"/>
      <c r="M71" s="608"/>
      <c r="N71" s="608"/>
      <c r="O71" s="608"/>
      <c r="P71" s="608"/>
      <c r="Q71" s="266"/>
      <c r="R71" s="266"/>
      <c r="S71" s="268"/>
      <c r="T71" s="269" t="e">
        <f>VLOOKUP(Q71,[71]Listas!$D$6:$E$10,2,0)</f>
        <v>#N/A</v>
      </c>
      <c r="U71" s="269" t="e">
        <f>HLOOKUP(R71,[71]Listas!$F$4:$J$5,2,0)</f>
        <v>#N/A</v>
      </c>
      <c r="V71" s="270" t="e">
        <f>INDEX([71]Listas!$F$6:$J$10,MATCH(Q71,[71]Listas!$D$6:$D$10,0),MATCH(R71,[71]Listas!$F$4:$J$4,0))</f>
        <v>#N/A</v>
      </c>
      <c r="W71" s="268"/>
      <c r="X71" s="1399"/>
      <c r="Y71" s="1408"/>
      <c r="Z71" s="1400"/>
      <c r="AA71" s="1063"/>
      <c r="AB71" s="267"/>
      <c r="AC71" s="259"/>
      <c r="AD71" s="608"/>
      <c r="AE71" s="267"/>
      <c r="AF71" s="268"/>
      <c r="AG71" s="269">
        <f t="shared" si="12"/>
        <v>0</v>
      </c>
      <c r="AH71" s="271" t="e">
        <f t="shared" si="13"/>
        <v>#N/A</v>
      </c>
      <c r="AI71" s="272" t="e">
        <f>IF(AH71&lt;=1,"Remota",VLOOKUP(AH71,[71]Listas!$C$6:$D$10,2,0))</f>
        <v>#N/A</v>
      </c>
      <c r="AJ71" s="271" t="e">
        <f t="shared" si="14"/>
        <v>#N/A</v>
      </c>
      <c r="AK71" s="272" t="e">
        <f>IF(AJ71&lt;=1,"Insignificante",HLOOKUP(AJ71,[71]Listas!$F$3:$J$4,2,0))</f>
        <v>#N/A</v>
      </c>
      <c r="AL71" s="273" t="e">
        <f t="shared" si="15"/>
        <v>#N/A</v>
      </c>
      <c r="AM71" s="270" t="e">
        <f>INDEX([71]Listas!$F$6:$J$10,MATCH(AI71,[71]Listas!$D$6:$D$10,0),MATCH(AK71,[71]Listas!$F$4:$J$4,0))</f>
        <v>#N/A</v>
      </c>
      <c r="AN71" s="259"/>
      <c r="AO71" s="259"/>
      <c r="AP71" s="610"/>
      <c r="AQ71" s="259"/>
      <c r="AR71" s="259" t="s">
        <v>2343</v>
      </c>
      <c r="AS71" s="608"/>
      <c r="AT71" s="259"/>
      <c r="AU71" s="259"/>
      <c r="AV71" s="261"/>
      <c r="AW71" s="261"/>
      <c r="AX71" s="608"/>
      <c r="AY71" s="262"/>
    </row>
    <row r="72" spans="1:51" s="260" customFormat="1" ht="103.5" hidden="1" customHeight="1">
      <c r="A72" s="608"/>
      <c r="B72" s="266"/>
      <c r="C72" s="1399"/>
      <c r="D72" s="1408"/>
      <c r="E72" s="1400"/>
      <c r="F72" s="267"/>
      <c r="G72" s="1399"/>
      <c r="H72" s="1408"/>
      <c r="I72" s="1400"/>
      <c r="J72" s="1380"/>
      <c r="K72" s="1380"/>
      <c r="L72" s="1380"/>
      <c r="M72" s="608"/>
      <c r="N72" s="608"/>
      <c r="O72" s="608"/>
      <c r="P72" s="608"/>
      <c r="Q72" s="266"/>
      <c r="R72" s="266"/>
      <c r="S72" s="268"/>
      <c r="T72" s="269" t="e">
        <f>VLOOKUP(Q72,[71]Listas!$D$6:$E$10,2,0)</f>
        <v>#N/A</v>
      </c>
      <c r="U72" s="269" t="e">
        <f>HLOOKUP(R72,[71]Listas!$F$4:$J$5,2,0)</f>
        <v>#N/A</v>
      </c>
      <c r="V72" s="270" t="e">
        <f>INDEX([71]Listas!$F$6:$J$10,MATCH(Q72,[71]Listas!$D$6:$D$10,0),MATCH(R72,[71]Listas!$F$4:$J$4,0))</f>
        <v>#N/A</v>
      </c>
      <c r="W72" s="268"/>
      <c r="X72" s="1399"/>
      <c r="Y72" s="1408"/>
      <c r="Z72" s="1400"/>
      <c r="AA72" s="1063"/>
      <c r="AB72" s="267"/>
      <c r="AC72" s="259"/>
      <c r="AD72" s="608"/>
      <c r="AE72" s="267"/>
      <c r="AF72" s="268"/>
      <c r="AG72" s="269">
        <f t="shared" si="12"/>
        <v>0</v>
      </c>
      <c r="AH72" s="271" t="e">
        <f t="shared" si="13"/>
        <v>#N/A</v>
      </c>
      <c r="AI72" s="272" t="e">
        <f>IF(AH72&lt;=1,"Remota",VLOOKUP(AH72,[71]Listas!$C$6:$D$10,2,0))</f>
        <v>#N/A</v>
      </c>
      <c r="AJ72" s="271" t="e">
        <f t="shared" si="14"/>
        <v>#N/A</v>
      </c>
      <c r="AK72" s="272" t="e">
        <f>IF(AJ72&lt;=1,"Insignificante",HLOOKUP(AJ72,[71]Listas!$F$3:$J$4,2,0))</f>
        <v>#N/A</v>
      </c>
      <c r="AL72" s="273" t="e">
        <f t="shared" si="15"/>
        <v>#N/A</v>
      </c>
      <c r="AM72" s="270" t="e">
        <f>INDEX([71]Listas!$F$6:$J$10,MATCH(AI72,[71]Listas!$D$6:$D$10,0),MATCH(AK72,[71]Listas!$F$4:$J$4,0))</f>
        <v>#N/A</v>
      </c>
      <c r="AN72" s="259"/>
      <c r="AO72" s="259"/>
      <c r="AP72" s="610"/>
      <c r="AQ72" s="259"/>
      <c r="AR72" s="259" t="s">
        <v>2343</v>
      </c>
      <c r="AS72" s="608"/>
      <c r="AT72" s="259"/>
      <c r="AU72" s="259"/>
      <c r="AV72" s="261"/>
      <c r="AW72" s="261"/>
      <c r="AX72" s="608"/>
      <c r="AY72" s="262"/>
    </row>
    <row r="73" spans="1:51" s="260" customFormat="1" ht="103.5" hidden="1" customHeight="1">
      <c r="A73" s="608"/>
      <c r="B73" s="266"/>
      <c r="C73" s="1399"/>
      <c r="D73" s="1408"/>
      <c r="E73" s="1400"/>
      <c r="F73" s="267"/>
      <c r="G73" s="1399"/>
      <c r="H73" s="1408"/>
      <c r="I73" s="1400"/>
      <c r="J73" s="1380"/>
      <c r="K73" s="1380"/>
      <c r="L73" s="1380"/>
      <c r="M73" s="608"/>
      <c r="N73" s="608"/>
      <c r="O73" s="608"/>
      <c r="P73" s="608"/>
      <c r="Q73" s="266"/>
      <c r="R73" s="266"/>
      <c r="S73" s="268"/>
      <c r="T73" s="269" t="e">
        <f>VLOOKUP(Q73,[71]Listas!$D$6:$E$10,2,0)</f>
        <v>#N/A</v>
      </c>
      <c r="U73" s="269" t="e">
        <f>HLOOKUP(R73,[71]Listas!$F$4:$J$5,2,0)</f>
        <v>#N/A</v>
      </c>
      <c r="V73" s="270" t="e">
        <f>INDEX([71]Listas!$F$6:$J$10,MATCH(Q73,[71]Listas!$D$6:$D$10,0),MATCH(R73,[71]Listas!$F$4:$J$4,0))</f>
        <v>#N/A</v>
      </c>
      <c r="W73" s="268"/>
      <c r="X73" s="1399"/>
      <c r="Y73" s="1408"/>
      <c r="Z73" s="1400"/>
      <c r="AA73" s="1063"/>
      <c r="AB73" s="267"/>
      <c r="AC73" s="259"/>
      <c r="AD73" s="608"/>
      <c r="AE73" s="267"/>
      <c r="AF73" s="268"/>
      <c r="AG73" s="269">
        <f t="shared" si="12"/>
        <v>0</v>
      </c>
      <c r="AH73" s="271" t="e">
        <f t="shared" si="13"/>
        <v>#N/A</v>
      </c>
      <c r="AI73" s="272" t="e">
        <f>IF(AH73&lt;=1,"Remota",VLOOKUP(AH73,[71]Listas!$C$6:$D$10,2,0))</f>
        <v>#N/A</v>
      </c>
      <c r="AJ73" s="271" t="e">
        <f t="shared" si="14"/>
        <v>#N/A</v>
      </c>
      <c r="AK73" s="272" t="e">
        <f>IF(AJ73&lt;=1,"Insignificante",HLOOKUP(AJ73,[71]Listas!$F$3:$J$4,2,0))</f>
        <v>#N/A</v>
      </c>
      <c r="AL73" s="273" t="e">
        <f t="shared" si="15"/>
        <v>#N/A</v>
      </c>
      <c r="AM73" s="270" t="e">
        <f>INDEX([71]Listas!$F$6:$J$10,MATCH(AI73,[71]Listas!$D$6:$D$10,0),MATCH(AK73,[71]Listas!$F$4:$J$4,0))</f>
        <v>#N/A</v>
      </c>
      <c r="AN73" s="259"/>
      <c r="AO73" s="259"/>
      <c r="AP73" s="610"/>
      <c r="AQ73" s="259"/>
      <c r="AR73" s="259" t="s">
        <v>2343</v>
      </c>
      <c r="AS73" s="608"/>
      <c r="AT73" s="259"/>
      <c r="AU73" s="259"/>
      <c r="AV73" s="261"/>
      <c r="AW73" s="261"/>
      <c r="AX73" s="608"/>
      <c r="AY73" s="262"/>
    </row>
    <row r="74" spans="1:51" s="260" customFormat="1" ht="103.5" hidden="1" customHeight="1">
      <c r="A74" s="608"/>
      <c r="B74" s="266"/>
      <c r="C74" s="1399"/>
      <c r="D74" s="1408"/>
      <c r="E74" s="1400"/>
      <c r="F74" s="267"/>
      <c r="G74" s="1399"/>
      <c r="H74" s="1408"/>
      <c r="I74" s="1400"/>
      <c r="J74" s="1380"/>
      <c r="K74" s="1380"/>
      <c r="L74" s="1380"/>
      <c r="M74" s="608"/>
      <c r="N74" s="608"/>
      <c r="O74" s="608"/>
      <c r="P74" s="608"/>
      <c r="Q74" s="266"/>
      <c r="R74" s="266"/>
      <c r="S74" s="268"/>
      <c r="T74" s="269" t="e">
        <f>VLOOKUP(Q74,[71]Listas!$D$6:$E$10,2,0)</f>
        <v>#N/A</v>
      </c>
      <c r="U74" s="269" t="e">
        <f>HLOOKUP(R74,[71]Listas!$F$4:$J$5,2,0)</f>
        <v>#N/A</v>
      </c>
      <c r="V74" s="270" t="e">
        <f>INDEX([71]Listas!$F$6:$J$10,MATCH(Q74,[71]Listas!$D$6:$D$10,0),MATCH(R74,[71]Listas!$F$4:$J$4,0))</f>
        <v>#N/A</v>
      </c>
      <c r="W74" s="268"/>
      <c r="X74" s="1399"/>
      <c r="Y74" s="1408"/>
      <c r="Z74" s="1400"/>
      <c r="AA74" s="1063"/>
      <c r="AB74" s="267"/>
      <c r="AC74" s="259"/>
      <c r="AD74" s="608"/>
      <c r="AE74" s="267"/>
      <c r="AF74" s="268"/>
      <c r="AG74" s="269">
        <f t="shared" si="12"/>
        <v>0</v>
      </c>
      <c r="AH74" s="271" t="e">
        <f t="shared" si="13"/>
        <v>#N/A</v>
      </c>
      <c r="AI74" s="272" t="e">
        <f>IF(AH74&lt;=1,"Remota",VLOOKUP(AH74,[71]Listas!$C$6:$D$10,2,0))</f>
        <v>#N/A</v>
      </c>
      <c r="AJ74" s="271" t="e">
        <f t="shared" si="14"/>
        <v>#N/A</v>
      </c>
      <c r="AK74" s="272" t="e">
        <f>IF(AJ74&lt;=1,"Insignificante",HLOOKUP(AJ74,[71]Listas!$F$3:$J$4,2,0))</f>
        <v>#N/A</v>
      </c>
      <c r="AL74" s="273" t="e">
        <f t="shared" si="15"/>
        <v>#N/A</v>
      </c>
      <c r="AM74" s="270" t="e">
        <f>INDEX([71]Listas!$F$6:$J$10,MATCH(AI74,[71]Listas!$D$6:$D$10,0),MATCH(AK74,[71]Listas!$F$4:$J$4,0))</f>
        <v>#N/A</v>
      </c>
      <c r="AN74" s="259"/>
      <c r="AO74" s="259"/>
      <c r="AP74" s="610"/>
      <c r="AQ74" s="259"/>
      <c r="AR74" s="259" t="s">
        <v>2343</v>
      </c>
      <c r="AS74" s="608"/>
      <c r="AT74" s="259"/>
      <c r="AU74" s="259"/>
      <c r="AV74" s="261"/>
      <c r="AW74" s="261"/>
      <c r="AX74" s="608"/>
      <c r="AY74" s="262"/>
    </row>
    <row r="75" spans="1:51" s="260" customFormat="1" ht="103.5" hidden="1" customHeight="1">
      <c r="A75" s="608"/>
      <c r="B75" s="266"/>
      <c r="C75" s="1399"/>
      <c r="D75" s="1408"/>
      <c r="E75" s="1400"/>
      <c r="F75" s="267"/>
      <c r="G75" s="1399"/>
      <c r="H75" s="1408"/>
      <c r="I75" s="1400"/>
      <c r="J75" s="1380"/>
      <c r="K75" s="1380"/>
      <c r="L75" s="1380"/>
      <c r="M75" s="608"/>
      <c r="N75" s="608"/>
      <c r="O75" s="608"/>
      <c r="P75" s="608"/>
      <c r="Q75" s="266"/>
      <c r="R75" s="266"/>
      <c r="S75" s="268"/>
      <c r="T75" s="269" t="e">
        <f>VLOOKUP(Q75,[71]Listas!$D$6:$E$10,2,0)</f>
        <v>#N/A</v>
      </c>
      <c r="U75" s="269" t="e">
        <f>HLOOKUP(R75,[71]Listas!$F$4:$J$5,2,0)</f>
        <v>#N/A</v>
      </c>
      <c r="V75" s="270" t="e">
        <f>INDEX([71]Listas!$F$6:$J$10,MATCH(Q75,[71]Listas!$D$6:$D$10,0),MATCH(R75,[71]Listas!$F$4:$J$4,0))</f>
        <v>#N/A</v>
      </c>
      <c r="W75" s="268"/>
      <c r="X75" s="1399"/>
      <c r="Y75" s="1408"/>
      <c r="Z75" s="1400"/>
      <c r="AA75" s="1063"/>
      <c r="AB75" s="267"/>
      <c r="AC75" s="259"/>
      <c r="AD75" s="608"/>
      <c r="AE75" s="267"/>
      <c r="AF75" s="268"/>
      <c r="AG75" s="269">
        <f t="shared" si="12"/>
        <v>0</v>
      </c>
      <c r="AH75" s="271" t="e">
        <f t="shared" si="13"/>
        <v>#N/A</v>
      </c>
      <c r="AI75" s="272" t="e">
        <f>IF(AH75&lt;=1,"Remota",VLOOKUP(AH75,[71]Listas!$C$6:$D$10,2,0))</f>
        <v>#N/A</v>
      </c>
      <c r="AJ75" s="271" t="e">
        <f t="shared" si="14"/>
        <v>#N/A</v>
      </c>
      <c r="AK75" s="272" t="e">
        <f>IF(AJ75&lt;=1,"Insignificante",HLOOKUP(AJ75,[71]Listas!$F$3:$J$4,2,0))</f>
        <v>#N/A</v>
      </c>
      <c r="AL75" s="273" t="e">
        <f t="shared" si="15"/>
        <v>#N/A</v>
      </c>
      <c r="AM75" s="270" t="e">
        <f>INDEX([71]Listas!$F$6:$J$10,MATCH(AI75,[71]Listas!$D$6:$D$10,0),MATCH(AK75,[71]Listas!$F$4:$J$4,0))</f>
        <v>#N/A</v>
      </c>
      <c r="AN75" s="259"/>
      <c r="AO75" s="259"/>
      <c r="AP75" s="610"/>
      <c r="AQ75" s="259"/>
      <c r="AR75" s="259" t="s">
        <v>2343</v>
      </c>
      <c r="AS75" s="608"/>
      <c r="AT75" s="259"/>
      <c r="AU75" s="259"/>
      <c r="AV75" s="261"/>
      <c r="AW75" s="261"/>
      <c r="AX75" s="608"/>
      <c r="AY75" s="262"/>
    </row>
    <row r="76" spans="1:51" s="260" customFormat="1" ht="103.5" hidden="1" customHeight="1">
      <c r="A76" s="608"/>
      <c r="B76" s="266"/>
      <c r="C76" s="1399"/>
      <c r="D76" s="1408"/>
      <c r="E76" s="1400"/>
      <c r="F76" s="267"/>
      <c r="G76" s="1399"/>
      <c r="H76" s="1408"/>
      <c r="I76" s="1400"/>
      <c r="J76" s="1380"/>
      <c r="K76" s="1380"/>
      <c r="L76" s="1380"/>
      <c r="M76" s="608"/>
      <c r="N76" s="608"/>
      <c r="O76" s="608"/>
      <c r="P76" s="608"/>
      <c r="Q76" s="266"/>
      <c r="R76" s="266"/>
      <c r="S76" s="268"/>
      <c r="T76" s="269" t="e">
        <f>VLOOKUP(Q76,[71]Listas!$D$6:$E$10,2,0)</f>
        <v>#N/A</v>
      </c>
      <c r="U76" s="269" t="e">
        <f>HLOOKUP(R76,[71]Listas!$F$4:$J$5,2,0)</f>
        <v>#N/A</v>
      </c>
      <c r="V76" s="270" t="e">
        <f>INDEX([71]Listas!$F$6:$J$10,MATCH(Q76,[71]Listas!$D$6:$D$10,0),MATCH(R76,[71]Listas!$F$4:$J$4,0))</f>
        <v>#N/A</v>
      </c>
      <c r="W76" s="268"/>
      <c r="X76" s="1399"/>
      <c r="Y76" s="1408"/>
      <c r="Z76" s="1400"/>
      <c r="AA76" s="1063"/>
      <c r="AB76" s="267"/>
      <c r="AC76" s="259"/>
      <c r="AD76" s="608"/>
      <c r="AE76" s="267"/>
      <c r="AF76" s="268"/>
      <c r="AG76" s="269">
        <f t="shared" si="12"/>
        <v>0</v>
      </c>
      <c r="AH76" s="271" t="e">
        <f t="shared" si="13"/>
        <v>#N/A</v>
      </c>
      <c r="AI76" s="272" t="e">
        <f>IF(AH76&lt;=1,"Remota",VLOOKUP(AH76,[71]Listas!$C$6:$D$10,2,0))</f>
        <v>#N/A</v>
      </c>
      <c r="AJ76" s="271" t="e">
        <f t="shared" si="14"/>
        <v>#N/A</v>
      </c>
      <c r="AK76" s="272" t="e">
        <f>IF(AJ76&lt;=1,"Insignificante",HLOOKUP(AJ76,[71]Listas!$F$3:$J$4,2,0))</f>
        <v>#N/A</v>
      </c>
      <c r="AL76" s="273" t="e">
        <f t="shared" si="15"/>
        <v>#N/A</v>
      </c>
      <c r="AM76" s="270" t="e">
        <f>INDEX([71]Listas!$F$6:$J$10,MATCH(AI76,[71]Listas!$D$6:$D$10,0),MATCH(AK76,[71]Listas!$F$4:$J$4,0))</f>
        <v>#N/A</v>
      </c>
      <c r="AN76" s="259"/>
      <c r="AO76" s="259"/>
      <c r="AP76" s="610"/>
      <c r="AQ76" s="259"/>
      <c r="AR76" s="259" t="s">
        <v>2343</v>
      </c>
      <c r="AS76" s="608"/>
      <c r="AT76" s="259"/>
      <c r="AU76" s="259"/>
      <c r="AV76" s="261"/>
      <c r="AW76" s="261"/>
      <c r="AX76" s="608"/>
      <c r="AY76" s="262"/>
    </row>
    <row r="77" spans="1:51" s="260" customFormat="1" ht="103.5" hidden="1" customHeight="1">
      <c r="A77" s="608"/>
      <c r="B77" s="266"/>
      <c r="C77" s="1399"/>
      <c r="D77" s="1408"/>
      <c r="E77" s="1400"/>
      <c r="F77" s="267"/>
      <c r="G77" s="1399"/>
      <c r="H77" s="1408"/>
      <c r="I77" s="1400"/>
      <c r="J77" s="1380"/>
      <c r="K77" s="1380"/>
      <c r="L77" s="1380"/>
      <c r="M77" s="608"/>
      <c r="N77" s="608"/>
      <c r="O77" s="608"/>
      <c r="P77" s="608"/>
      <c r="Q77" s="266"/>
      <c r="R77" s="266"/>
      <c r="S77" s="268"/>
      <c r="T77" s="269" t="e">
        <f>VLOOKUP(Q77,[71]Listas!$D$6:$E$10,2,0)</f>
        <v>#N/A</v>
      </c>
      <c r="U77" s="269" t="e">
        <f>HLOOKUP(R77,[71]Listas!$F$4:$J$5,2,0)</f>
        <v>#N/A</v>
      </c>
      <c r="V77" s="270" t="e">
        <f>INDEX([71]Listas!$F$6:$J$10,MATCH(Q77,[71]Listas!$D$6:$D$10,0),MATCH(R77,[71]Listas!$F$4:$J$4,0))</f>
        <v>#N/A</v>
      </c>
      <c r="W77" s="268"/>
      <c r="X77" s="1399"/>
      <c r="Y77" s="1408"/>
      <c r="Z77" s="1400"/>
      <c r="AA77" s="1063"/>
      <c r="AB77" s="267"/>
      <c r="AC77" s="259"/>
      <c r="AD77" s="608"/>
      <c r="AE77" s="267"/>
      <c r="AF77" s="268"/>
      <c r="AG77" s="269">
        <f t="shared" si="12"/>
        <v>0</v>
      </c>
      <c r="AH77" s="271" t="e">
        <f t="shared" si="13"/>
        <v>#N/A</v>
      </c>
      <c r="AI77" s="272" t="e">
        <f>IF(AH77&lt;=1,"Remota",VLOOKUP(AH77,[71]Listas!$C$6:$D$10,2,0))</f>
        <v>#N/A</v>
      </c>
      <c r="AJ77" s="271" t="e">
        <f t="shared" si="14"/>
        <v>#N/A</v>
      </c>
      <c r="AK77" s="272" t="e">
        <f>IF(AJ77&lt;=1,"Insignificante",HLOOKUP(AJ77,[71]Listas!$F$3:$J$4,2,0))</f>
        <v>#N/A</v>
      </c>
      <c r="AL77" s="273" t="e">
        <f t="shared" si="15"/>
        <v>#N/A</v>
      </c>
      <c r="AM77" s="270" t="e">
        <f>INDEX([71]Listas!$F$6:$J$10,MATCH(AI77,[71]Listas!$D$6:$D$10,0),MATCH(AK77,[71]Listas!$F$4:$J$4,0))</f>
        <v>#N/A</v>
      </c>
      <c r="AN77" s="259"/>
      <c r="AO77" s="259"/>
      <c r="AP77" s="610"/>
      <c r="AQ77" s="259"/>
      <c r="AR77" s="259" t="s">
        <v>2343</v>
      </c>
      <c r="AS77" s="608"/>
      <c r="AT77" s="259"/>
      <c r="AU77" s="259"/>
      <c r="AV77" s="261"/>
      <c r="AW77" s="261"/>
      <c r="AX77" s="608"/>
      <c r="AY77" s="262"/>
    </row>
    <row r="78" spans="1:51" s="260" customFormat="1" ht="103.5" hidden="1" customHeight="1">
      <c r="A78" s="608"/>
      <c r="B78" s="266"/>
      <c r="C78" s="1399"/>
      <c r="D78" s="1408"/>
      <c r="E78" s="1400"/>
      <c r="F78" s="267"/>
      <c r="G78" s="1399"/>
      <c r="H78" s="1408"/>
      <c r="I78" s="1400"/>
      <c r="J78" s="1380"/>
      <c r="K78" s="1380"/>
      <c r="L78" s="1380"/>
      <c r="M78" s="608"/>
      <c r="N78" s="608"/>
      <c r="O78" s="608"/>
      <c r="P78" s="608"/>
      <c r="Q78" s="266"/>
      <c r="R78" s="266"/>
      <c r="S78" s="268"/>
      <c r="T78" s="269" t="e">
        <f>VLOOKUP(Q78,[71]Listas!$D$6:$E$10,2,0)</f>
        <v>#N/A</v>
      </c>
      <c r="U78" s="269" t="e">
        <f>HLOOKUP(R78,[71]Listas!$F$4:$J$5,2,0)</f>
        <v>#N/A</v>
      </c>
      <c r="V78" s="270" t="e">
        <f>INDEX([71]Listas!$F$6:$J$10,MATCH(Q78,[71]Listas!$D$6:$D$10,0),MATCH(R78,[71]Listas!$F$4:$J$4,0))</f>
        <v>#N/A</v>
      </c>
      <c r="W78" s="268"/>
      <c r="X78" s="1399"/>
      <c r="Y78" s="1408"/>
      <c r="Z78" s="1400"/>
      <c r="AA78" s="1063"/>
      <c r="AB78" s="267"/>
      <c r="AC78" s="259"/>
      <c r="AD78" s="608"/>
      <c r="AE78" s="267"/>
      <c r="AF78" s="268"/>
      <c r="AG78" s="269">
        <f t="shared" si="12"/>
        <v>0</v>
      </c>
      <c r="AH78" s="271" t="e">
        <f t="shared" si="13"/>
        <v>#N/A</v>
      </c>
      <c r="AI78" s="272" t="e">
        <f>IF(AH78&lt;=1,"Remota",VLOOKUP(AH78,[71]Listas!$C$6:$D$10,2,0))</f>
        <v>#N/A</v>
      </c>
      <c r="AJ78" s="271" t="e">
        <f t="shared" si="14"/>
        <v>#N/A</v>
      </c>
      <c r="AK78" s="272" t="e">
        <f>IF(AJ78&lt;=1,"Insignificante",HLOOKUP(AJ78,[71]Listas!$F$3:$J$4,2,0))</f>
        <v>#N/A</v>
      </c>
      <c r="AL78" s="273" t="e">
        <f t="shared" si="15"/>
        <v>#N/A</v>
      </c>
      <c r="AM78" s="270" t="e">
        <f>INDEX([71]Listas!$F$6:$J$10,MATCH(AI78,[71]Listas!$D$6:$D$10,0),MATCH(AK78,[71]Listas!$F$4:$J$4,0))</f>
        <v>#N/A</v>
      </c>
      <c r="AN78" s="259"/>
      <c r="AO78" s="259"/>
      <c r="AP78" s="610"/>
      <c r="AQ78" s="259"/>
      <c r="AR78" s="259" t="s">
        <v>2343</v>
      </c>
      <c r="AS78" s="608"/>
      <c r="AT78" s="259"/>
      <c r="AU78" s="259"/>
      <c r="AV78" s="261"/>
      <c r="AW78" s="261"/>
      <c r="AX78" s="608"/>
      <c r="AY78" s="262"/>
    </row>
    <row r="79" spans="1:51" s="260" customFormat="1" ht="103.5" hidden="1" customHeight="1">
      <c r="A79" s="608"/>
      <c r="B79" s="266"/>
      <c r="C79" s="1399"/>
      <c r="D79" s="1408"/>
      <c r="E79" s="1400"/>
      <c r="F79" s="267"/>
      <c r="G79" s="1399"/>
      <c r="H79" s="1408"/>
      <c r="I79" s="1400"/>
      <c r="J79" s="1380"/>
      <c r="K79" s="1380"/>
      <c r="L79" s="1380"/>
      <c r="M79" s="608"/>
      <c r="N79" s="608"/>
      <c r="O79" s="608"/>
      <c r="P79" s="608"/>
      <c r="Q79" s="266"/>
      <c r="R79" s="266"/>
      <c r="S79" s="268"/>
      <c r="T79" s="269" t="e">
        <f>VLOOKUP(Q79,[71]Listas!$D$6:$E$10,2,0)</f>
        <v>#N/A</v>
      </c>
      <c r="U79" s="269" t="e">
        <f>HLOOKUP(R79,[71]Listas!$F$4:$J$5,2,0)</f>
        <v>#N/A</v>
      </c>
      <c r="V79" s="270" t="e">
        <f>INDEX([71]Listas!$F$6:$J$10,MATCH(Q79,[71]Listas!$D$6:$D$10,0),MATCH(R79,[71]Listas!$F$4:$J$4,0))</f>
        <v>#N/A</v>
      </c>
      <c r="W79" s="268"/>
      <c r="X79" s="1399"/>
      <c r="Y79" s="1408"/>
      <c r="Z79" s="1400"/>
      <c r="AA79" s="1063"/>
      <c r="AB79" s="267"/>
      <c r="AC79" s="259"/>
      <c r="AD79" s="608"/>
      <c r="AE79" s="267"/>
      <c r="AF79" s="268"/>
      <c r="AG79" s="269">
        <f t="shared" si="12"/>
        <v>0</v>
      </c>
      <c r="AH79" s="271" t="e">
        <f t="shared" si="13"/>
        <v>#N/A</v>
      </c>
      <c r="AI79" s="272" t="e">
        <f>IF(AH79&lt;=1,"Remota",VLOOKUP(AH79,[71]Listas!$C$6:$D$10,2,0))</f>
        <v>#N/A</v>
      </c>
      <c r="AJ79" s="271" t="e">
        <f t="shared" si="14"/>
        <v>#N/A</v>
      </c>
      <c r="AK79" s="272" t="e">
        <f>IF(AJ79&lt;=1,"Insignificante",HLOOKUP(AJ79,[71]Listas!$F$3:$J$4,2,0))</f>
        <v>#N/A</v>
      </c>
      <c r="AL79" s="273" t="e">
        <f t="shared" si="15"/>
        <v>#N/A</v>
      </c>
      <c r="AM79" s="270" t="e">
        <f>INDEX([71]Listas!$F$6:$J$10,MATCH(AI79,[71]Listas!$D$6:$D$10,0),MATCH(AK79,[71]Listas!$F$4:$J$4,0))</f>
        <v>#N/A</v>
      </c>
      <c r="AN79" s="259"/>
      <c r="AO79" s="259"/>
      <c r="AP79" s="610"/>
      <c r="AQ79" s="259"/>
      <c r="AR79" s="259" t="s">
        <v>2343</v>
      </c>
      <c r="AS79" s="608"/>
      <c r="AT79" s="259"/>
      <c r="AU79" s="259"/>
      <c r="AV79" s="261"/>
      <c r="AW79" s="261"/>
      <c r="AX79" s="608"/>
      <c r="AY79" s="262"/>
    </row>
    <row r="80" spans="1:51" s="260" customFormat="1" ht="103.5" hidden="1" customHeight="1">
      <c r="A80" s="608"/>
      <c r="B80" s="266"/>
      <c r="C80" s="1399"/>
      <c r="D80" s="1408"/>
      <c r="E80" s="1400"/>
      <c r="F80" s="267"/>
      <c r="G80" s="1399"/>
      <c r="H80" s="1408"/>
      <c r="I80" s="1400"/>
      <c r="J80" s="1380"/>
      <c r="K80" s="1380"/>
      <c r="L80" s="1380"/>
      <c r="M80" s="608"/>
      <c r="N80" s="608"/>
      <c r="O80" s="608"/>
      <c r="P80" s="608"/>
      <c r="Q80" s="266"/>
      <c r="R80" s="266"/>
      <c r="S80" s="268"/>
      <c r="T80" s="269" t="e">
        <f>VLOOKUP(Q80,[71]Listas!$D$6:$E$10,2,0)</f>
        <v>#N/A</v>
      </c>
      <c r="U80" s="269" t="e">
        <f>HLOOKUP(R80,[71]Listas!$F$4:$J$5,2,0)</f>
        <v>#N/A</v>
      </c>
      <c r="V80" s="270" t="e">
        <f>INDEX([71]Listas!$F$6:$J$10,MATCH(Q80,[71]Listas!$D$6:$D$10,0),MATCH(R80,[71]Listas!$F$4:$J$4,0))</f>
        <v>#N/A</v>
      </c>
      <c r="W80" s="268"/>
      <c r="X80" s="1399"/>
      <c r="Y80" s="1408"/>
      <c r="Z80" s="1400"/>
      <c r="AA80" s="1063"/>
      <c r="AB80" s="267"/>
      <c r="AC80" s="259"/>
      <c r="AD80" s="608"/>
      <c r="AE80" s="267"/>
      <c r="AF80" s="268"/>
      <c r="AG80" s="269">
        <f t="shared" si="12"/>
        <v>0</v>
      </c>
      <c r="AH80" s="271" t="e">
        <f t="shared" si="13"/>
        <v>#N/A</v>
      </c>
      <c r="AI80" s="272" t="e">
        <f>IF(AH80&lt;=1,"Remota",VLOOKUP(AH80,[71]Listas!$C$6:$D$10,2,0))</f>
        <v>#N/A</v>
      </c>
      <c r="AJ80" s="271" t="e">
        <f t="shared" si="14"/>
        <v>#N/A</v>
      </c>
      <c r="AK80" s="272" t="e">
        <f>IF(AJ80&lt;=1,"Insignificante",HLOOKUP(AJ80,[71]Listas!$F$3:$J$4,2,0))</f>
        <v>#N/A</v>
      </c>
      <c r="AL80" s="273" t="e">
        <f t="shared" si="15"/>
        <v>#N/A</v>
      </c>
      <c r="AM80" s="270" t="e">
        <f>INDEX([71]Listas!$F$6:$J$10,MATCH(AI80,[71]Listas!$D$6:$D$10,0),MATCH(AK80,[71]Listas!$F$4:$J$4,0))</f>
        <v>#N/A</v>
      </c>
      <c r="AN80" s="259"/>
      <c r="AO80" s="259"/>
      <c r="AP80" s="610"/>
      <c r="AQ80" s="259"/>
      <c r="AR80" s="259" t="s">
        <v>2343</v>
      </c>
      <c r="AS80" s="608"/>
      <c r="AT80" s="259"/>
      <c r="AU80" s="259"/>
      <c r="AV80" s="261"/>
      <c r="AW80" s="261"/>
      <c r="AX80" s="608"/>
      <c r="AY80" s="262"/>
    </row>
    <row r="81" spans="1:51" s="260" customFormat="1" ht="103.5" hidden="1" customHeight="1">
      <c r="A81" s="608"/>
      <c r="B81" s="266"/>
      <c r="C81" s="1399"/>
      <c r="D81" s="1408"/>
      <c r="E81" s="1400"/>
      <c r="F81" s="267"/>
      <c r="G81" s="1399"/>
      <c r="H81" s="1408"/>
      <c r="I81" s="1400"/>
      <c r="J81" s="1380"/>
      <c r="K81" s="1380"/>
      <c r="L81" s="1380"/>
      <c r="M81" s="608"/>
      <c r="N81" s="608"/>
      <c r="O81" s="608"/>
      <c r="P81" s="608"/>
      <c r="Q81" s="266"/>
      <c r="R81" s="266"/>
      <c r="S81" s="268"/>
      <c r="T81" s="269" t="e">
        <f>VLOOKUP(Q81,[71]Listas!$D$6:$E$10,2,0)</f>
        <v>#N/A</v>
      </c>
      <c r="U81" s="269" t="e">
        <f>HLOOKUP(R81,[71]Listas!$F$4:$J$5,2,0)</f>
        <v>#N/A</v>
      </c>
      <c r="V81" s="270" t="e">
        <f>INDEX([71]Listas!$F$6:$J$10,MATCH(Q81,[71]Listas!$D$6:$D$10,0),MATCH(R81,[71]Listas!$F$4:$J$4,0))</f>
        <v>#N/A</v>
      </c>
      <c r="W81" s="268"/>
      <c r="X81" s="1399"/>
      <c r="Y81" s="1408"/>
      <c r="Z81" s="1400"/>
      <c r="AA81" s="1063"/>
      <c r="AB81" s="267"/>
      <c r="AC81" s="259"/>
      <c r="AD81" s="608"/>
      <c r="AE81" s="267"/>
      <c r="AF81" s="268"/>
      <c r="AG81" s="269">
        <f t="shared" si="12"/>
        <v>0</v>
      </c>
      <c r="AH81" s="271" t="e">
        <f t="shared" si="13"/>
        <v>#N/A</v>
      </c>
      <c r="AI81" s="272" t="e">
        <f>IF(AH81&lt;=1,"Remota",VLOOKUP(AH81,[71]Listas!$C$6:$D$10,2,0))</f>
        <v>#N/A</v>
      </c>
      <c r="AJ81" s="271" t="e">
        <f t="shared" si="14"/>
        <v>#N/A</v>
      </c>
      <c r="AK81" s="272" t="e">
        <f>IF(AJ81&lt;=1,"Insignificante",HLOOKUP(AJ81,[71]Listas!$F$3:$J$4,2,0))</f>
        <v>#N/A</v>
      </c>
      <c r="AL81" s="273" t="e">
        <f t="shared" si="15"/>
        <v>#N/A</v>
      </c>
      <c r="AM81" s="270" t="e">
        <f>INDEX([71]Listas!$F$6:$J$10,MATCH(AI81,[71]Listas!$D$6:$D$10,0),MATCH(AK81,[71]Listas!$F$4:$J$4,0))</f>
        <v>#N/A</v>
      </c>
      <c r="AN81" s="259"/>
      <c r="AO81" s="259"/>
      <c r="AP81" s="610"/>
      <c r="AQ81" s="259"/>
      <c r="AR81" s="259" t="s">
        <v>2343</v>
      </c>
      <c r="AS81" s="608"/>
      <c r="AT81" s="259"/>
      <c r="AU81" s="259"/>
      <c r="AV81" s="261"/>
      <c r="AW81" s="261"/>
      <c r="AX81" s="608"/>
      <c r="AY81" s="262"/>
    </row>
    <row r="82" spans="1:51" s="260" customFormat="1" ht="103.5" hidden="1" customHeight="1">
      <c r="A82" s="608"/>
      <c r="B82" s="266"/>
      <c r="C82" s="1399"/>
      <c r="D82" s="1408"/>
      <c r="E82" s="1400"/>
      <c r="F82" s="267"/>
      <c r="G82" s="1399"/>
      <c r="H82" s="1408"/>
      <c r="I82" s="1400"/>
      <c r="J82" s="1380"/>
      <c r="K82" s="1380"/>
      <c r="L82" s="1380"/>
      <c r="M82" s="608"/>
      <c r="N82" s="608"/>
      <c r="O82" s="608"/>
      <c r="P82" s="608"/>
      <c r="Q82" s="266"/>
      <c r="R82" s="266"/>
      <c r="S82" s="268"/>
      <c r="T82" s="269" t="e">
        <f>VLOOKUP(Q82,[71]Listas!$D$6:$E$10,2,0)</f>
        <v>#N/A</v>
      </c>
      <c r="U82" s="269" t="e">
        <f>HLOOKUP(R82,[71]Listas!$F$4:$J$5,2,0)</f>
        <v>#N/A</v>
      </c>
      <c r="V82" s="270" t="e">
        <f>INDEX([71]Listas!$F$6:$J$10,MATCH(Q82,[71]Listas!$D$6:$D$10,0),MATCH(R82,[71]Listas!$F$4:$J$4,0))</f>
        <v>#N/A</v>
      </c>
      <c r="W82" s="268"/>
      <c r="X82" s="1399"/>
      <c r="Y82" s="1408"/>
      <c r="Z82" s="1400"/>
      <c r="AA82" s="1063"/>
      <c r="AB82" s="267"/>
      <c r="AC82" s="259"/>
      <c r="AD82" s="608"/>
      <c r="AE82" s="267"/>
      <c r="AF82" s="268"/>
      <c r="AG82" s="269">
        <f t="shared" si="12"/>
        <v>0</v>
      </c>
      <c r="AH82" s="271" t="e">
        <f t="shared" si="13"/>
        <v>#N/A</v>
      </c>
      <c r="AI82" s="272" t="e">
        <f>IF(AH82&lt;=1,"Remota",VLOOKUP(AH82,[71]Listas!$C$6:$D$10,2,0))</f>
        <v>#N/A</v>
      </c>
      <c r="AJ82" s="271" t="e">
        <f t="shared" si="14"/>
        <v>#N/A</v>
      </c>
      <c r="AK82" s="272" t="e">
        <f>IF(AJ82&lt;=1,"Insignificante",HLOOKUP(AJ82,[71]Listas!$F$3:$J$4,2,0))</f>
        <v>#N/A</v>
      </c>
      <c r="AL82" s="273" t="e">
        <f t="shared" si="15"/>
        <v>#N/A</v>
      </c>
      <c r="AM82" s="270" t="e">
        <f>INDEX([71]Listas!$F$6:$J$10,MATCH(AI82,[71]Listas!$D$6:$D$10,0),MATCH(AK82,[71]Listas!$F$4:$J$4,0))</f>
        <v>#N/A</v>
      </c>
      <c r="AN82" s="259"/>
      <c r="AO82" s="259"/>
      <c r="AP82" s="610"/>
      <c r="AQ82" s="259"/>
      <c r="AR82" s="259" t="s">
        <v>2343</v>
      </c>
      <c r="AS82" s="608"/>
      <c r="AT82" s="259"/>
      <c r="AU82" s="259"/>
      <c r="AV82" s="261"/>
      <c r="AW82" s="261"/>
      <c r="AX82" s="608"/>
      <c r="AY82" s="262"/>
    </row>
    <row r="83" spans="1:51" s="260" customFormat="1" ht="103.5" hidden="1" customHeight="1">
      <c r="A83" s="608"/>
      <c r="B83" s="266"/>
      <c r="C83" s="1399"/>
      <c r="D83" s="1408"/>
      <c r="E83" s="1400"/>
      <c r="F83" s="267"/>
      <c r="G83" s="1399"/>
      <c r="H83" s="1408"/>
      <c r="I83" s="1400"/>
      <c r="J83" s="1380"/>
      <c r="K83" s="1380"/>
      <c r="L83" s="1380"/>
      <c r="M83" s="608"/>
      <c r="N83" s="608"/>
      <c r="O83" s="608"/>
      <c r="P83" s="608"/>
      <c r="Q83" s="266"/>
      <c r="R83" s="266"/>
      <c r="S83" s="268"/>
      <c r="T83" s="269" t="e">
        <f>VLOOKUP(Q83,[71]Listas!$D$6:$E$10,2,0)</f>
        <v>#N/A</v>
      </c>
      <c r="U83" s="269" t="e">
        <f>HLOOKUP(R83,[71]Listas!$F$4:$J$5,2,0)</f>
        <v>#N/A</v>
      </c>
      <c r="V83" s="270" t="e">
        <f>INDEX([71]Listas!$F$6:$J$10,MATCH(Q83,[71]Listas!$D$6:$D$10,0),MATCH(R83,[71]Listas!$F$4:$J$4,0))</f>
        <v>#N/A</v>
      </c>
      <c r="W83" s="268"/>
      <c r="X83" s="1399"/>
      <c r="Y83" s="1408"/>
      <c r="Z83" s="1400"/>
      <c r="AA83" s="1063"/>
      <c r="AB83" s="267"/>
      <c r="AC83" s="259"/>
      <c r="AD83" s="608"/>
      <c r="AE83" s="267"/>
      <c r="AF83" s="268"/>
      <c r="AG83" s="269">
        <f t="shared" si="12"/>
        <v>0</v>
      </c>
      <c r="AH83" s="271" t="e">
        <f t="shared" si="13"/>
        <v>#N/A</v>
      </c>
      <c r="AI83" s="272" t="e">
        <f>IF(AH83&lt;=1,"Remota",VLOOKUP(AH83,[71]Listas!$C$6:$D$10,2,0))</f>
        <v>#N/A</v>
      </c>
      <c r="AJ83" s="271" t="e">
        <f t="shared" si="14"/>
        <v>#N/A</v>
      </c>
      <c r="AK83" s="272" t="e">
        <f>IF(AJ83&lt;=1,"Insignificante",HLOOKUP(AJ83,[71]Listas!$F$3:$J$4,2,0))</f>
        <v>#N/A</v>
      </c>
      <c r="AL83" s="273" t="e">
        <f t="shared" si="15"/>
        <v>#N/A</v>
      </c>
      <c r="AM83" s="270" t="e">
        <f>INDEX([71]Listas!$F$6:$J$10,MATCH(AI83,[71]Listas!$D$6:$D$10,0),MATCH(AK83,[71]Listas!$F$4:$J$4,0))</f>
        <v>#N/A</v>
      </c>
      <c r="AN83" s="259"/>
      <c r="AO83" s="259"/>
      <c r="AP83" s="610"/>
      <c r="AQ83" s="259"/>
      <c r="AR83" s="259" t="s">
        <v>2343</v>
      </c>
      <c r="AS83" s="608"/>
      <c r="AT83" s="259"/>
      <c r="AU83" s="259"/>
      <c r="AV83" s="261"/>
      <c r="AW83" s="261"/>
      <c r="AX83" s="608"/>
      <c r="AY83" s="262"/>
    </row>
    <row r="84" spans="1:51" s="260" customFormat="1" ht="103.5" hidden="1" customHeight="1">
      <c r="A84" s="608"/>
      <c r="B84" s="266"/>
      <c r="C84" s="1399"/>
      <c r="D84" s="1408"/>
      <c r="E84" s="1400"/>
      <c r="F84" s="267"/>
      <c r="G84" s="1399"/>
      <c r="H84" s="1408"/>
      <c r="I84" s="1400"/>
      <c r="J84" s="1380"/>
      <c r="K84" s="1380"/>
      <c r="L84" s="1380"/>
      <c r="M84" s="608"/>
      <c r="N84" s="608"/>
      <c r="O84" s="608"/>
      <c r="P84" s="608"/>
      <c r="Q84" s="266"/>
      <c r="R84" s="266"/>
      <c r="S84" s="268"/>
      <c r="T84" s="269" t="e">
        <f>VLOOKUP(Q84,[71]Listas!$D$6:$E$10,2,0)</f>
        <v>#N/A</v>
      </c>
      <c r="U84" s="269" t="e">
        <f>HLOOKUP(R84,[71]Listas!$F$4:$J$5,2,0)</f>
        <v>#N/A</v>
      </c>
      <c r="V84" s="270" t="e">
        <f>INDEX([71]Listas!$F$6:$J$10,MATCH(Q84,[71]Listas!$D$6:$D$10,0),MATCH(R84,[71]Listas!$F$4:$J$4,0))</f>
        <v>#N/A</v>
      </c>
      <c r="W84" s="268"/>
      <c r="X84" s="1399"/>
      <c r="Y84" s="1408"/>
      <c r="Z84" s="1400"/>
      <c r="AA84" s="1063"/>
      <c r="AB84" s="267"/>
      <c r="AC84" s="259"/>
      <c r="AD84" s="608"/>
      <c r="AE84" s="267"/>
      <c r="AF84" s="268"/>
      <c r="AG84" s="269">
        <f t="shared" si="12"/>
        <v>0</v>
      </c>
      <c r="AH84" s="271" t="e">
        <f t="shared" si="13"/>
        <v>#N/A</v>
      </c>
      <c r="AI84" s="272" t="e">
        <f>IF(AH84&lt;=1,"Remota",VLOOKUP(AH84,[71]Listas!$C$6:$D$10,2,0))</f>
        <v>#N/A</v>
      </c>
      <c r="AJ84" s="271" t="e">
        <f t="shared" si="14"/>
        <v>#N/A</v>
      </c>
      <c r="AK84" s="272" t="e">
        <f>IF(AJ84&lt;=1,"Insignificante",HLOOKUP(AJ84,[71]Listas!$F$3:$J$4,2,0))</f>
        <v>#N/A</v>
      </c>
      <c r="AL84" s="273" t="e">
        <f t="shared" si="15"/>
        <v>#N/A</v>
      </c>
      <c r="AM84" s="270" t="e">
        <f>INDEX([71]Listas!$F$6:$J$10,MATCH(AI84,[71]Listas!$D$6:$D$10,0),MATCH(AK84,[71]Listas!$F$4:$J$4,0))</f>
        <v>#N/A</v>
      </c>
      <c r="AN84" s="259"/>
      <c r="AO84" s="259"/>
      <c r="AP84" s="610"/>
      <c r="AQ84" s="259"/>
      <c r="AR84" s="259" t="s">
        <v>2343</v>
      </c>
      <c r="AS84" s="608"/>
      <c r="AT84" s="259"/>
      <c r="AU84" s="259"/>
      <c r="AV84" s="261"/>
      <c r="AW84" s="261"/>
      <c r="AX84" s="608"/>
      <c r="AY84" s="262"/>
    </row>
    <row r="85" spans="1:51" s="260" customFormat="1" ht="103.5" hidden="1" customHeight="1">
      <c r="A85" s="608"/>
      <c r="B85" s="266"/>
      <c r="C85" s="1399"/>
      <c r="D85" s="1408"/>
      <c r="E85" s="1400"/>
      <c r="F85" s="267"/>
      <c r="G85" s="1399"/>
      <c r="H85" s="1408"/>
      <c r="I85" s="1400"/>
      <c r="J85" s="1380"/>
      <c r="K85" s="1380"/>
      <c r="L85" s="1380"/>
      <c r="M85" s="608"/>
      <c r="N85" s="608"/>
      <c r="O85" s="608"/>
      <c r="P85" s="608"/>
      <c r="Q85" s="266"/>
      <c r="R85" s="266"/>
      <c r="S85" s="268"/>
      <c r="T85" s="269" t="e">
        <f>VLOOKUP(Q85,[71]Listas!$D$6:$E$10,2,0)</f>
        <v>#N/A</v>
      </c>
      <c r="U85" s="269" t="e">
        <f>HLOOKUP(R85,[71]Listas!$F$4:$J$5,2,0)</f>
        <v>#N/A</v>
      </c>
      <c r="V85" s="270" t="e">
        <f>INDEX([71]Listas!$F$6:$J$10,MATCH(Q85,[71]Listas!$D$6:$D$10,0),MATCH(R85,[71]Listas!$F$4:$J$4,0))</f>
        <v>#N/A</v>
      </c>
      <c r="W85" s="268"/>
      <c r="X85" s="1399"/>
      <c r="Y85" s="1408"/>
      <c r="Z85" s="1400"/>
      <c r="AA85" s="1063"/>
      <c r="AB85" s="267"/>
      <c r="AC85" s="259"/>
      <c r="AD85" s="608"/>
      <c r="AE85" s="267"/>
      <c r="AF85" s="268"/>
      <c r="AG85" s="269">
        <f t="shared" si="12"/>
        <v>0</v>
      </c>
      <c r="AH85" s="271" t="e">
        <f t="shared" si="13"/>
        <v>#N/A</v>
      </c>
      <c r="AI85" s="272" t="e">
        <f>IF(AH85&lt;=1,"Remota",VLOOKUP(AH85,[71]Listas!$C$6:$D$10,2,0))</f>
        <v>#N/A</v>
      </c>
      <c r="AJ85" s="271" t="e">
        <f t="shared" si="14"/>
        <v>#N/A</v>
      </c>
      <c r="AK85" s="272" t="e">
        <f>IF(AJ85&lt;=1,"Insignificante",HLOOKUP(AJ85,[71]Listas!$F$3:$J$4,2,0))</f>
        <v>#N/A</v>
      </c>
      <c r="AL85" s="273" t="e">
        <f t="shared" si="15"/>
        <v>#N/A</v>
      </c>
      <c r="AM85" s="270" t="e">
        <f>INDEX([71]Listas!$F$6:$J$10,MATCH(AI85,[71]Listas!$D$6:$D$10,0),MATCH(AK85,[71]Listas!$F$4:$J$4,0))</f>
        <v>#N/A</v>
      </c>
      <c r="AN85" s="259"/>
      <c r="AO85" s="259"/>
      <c r="AP85" s="610"/>
      <c r="AQ85" s="259"/>
      <c r="AR85" s="259" t="s">
        <v>2343</v>
      </c>
      <c r="AS85" s="608"/>
      <c r="AT85" s="259"/>
      <c r="AU85" s="259"/>
      <c r="AV85" s="261"/>
      <c r="AW85" s="261"/>
      <c r="AX85" s="608"/>
      <c r="AY85" s="262"/>
    </row>
    <row r="86" spans="1:51" s="260" customFormat="1" ht="103.5" hidden="1" customHeight="1">
      <c r="A86" s="608"/>
      <c r="B86" s="266"/>
      <c r="C86" s="1399"/>
      <c r="D86" s="1408"/>
      <c r="E86" s="1400"/>
      <c r="F86" s="266"/>
      <c r="G86" s="1399"/>
      <c r="H86" s="1408"/>
      <c r="I86" s="1400"/>
      <c r="J86" s="1380"/>
      <c r="K86" s="1380"/>
      <c r="L86" s="1380"/>
      <c r="M86" s="608"/>
      <c r="N86" s="608"/>
      <c r="O86" s="608"/>
      <c r="P86" s="608"/>
      <c r="Q86" s="266"/>
      <c r="R86" s="266"/>
      <c r="S86" s="268"/>
      <c r="T86" s="269" t="e">
        <f>VLOOKUP(Q86,[71]Listas!$D$6:$E$10,2,0)</f>
        <v>#N/A</v>
      </c>
      <c r="U86" s="269" t="e">
        <f>HLOOKUP(R86,[71]Listas!$F$4:$J$5,2,0)</f>
        <v>#N/A</v>
      </c>
      <c r="V86" s="270" t="e">
        <f>INDEX([71]Listas!$F$6:$J$10,MATCH(Q86,[71]Listas!$D$6:$D$10,0),MATCH(R86,[71]Listas!$F$4:$J$4,0))</f>
        <v>#N/A</v>
      </c>
      <c r="W86" s="268"/>
      <c r="X86" s="1399"/>
      <c r="Y86" s="1408"/>
      <c r="Z86" s="1400"/>
      <c r="AA86" s="1063"/>
      <c r="AB86" s="267"/>
      <c r="AC86" s="259"/>
      <c r="AD86" s="608"/>
      <c r="AE86" s="267"/>
      <c r="AF86" s="268"/>
      <c r="AG86" s="269">
        <f>IF(AD86&lt;=33,0,IF(AD86&gt;81,2,1))</f>
        <v>0</v>
      </c>
      <c r="AH86" s="271" t="e">
        <f>IF(OR(AE86="Probabilidad",AE86="Ambos"),T86-AG86,T86)</f>
        <v>#N/A</v>
      </c>
      <c r="AI86" s="272" t="e">
        <f>IF(AH86&lt;=1,"Remota",VLOOKUP(AH86,[71]Listas!$C$6:$D$10,2,0))</f>
        <v>#N/A</v>
      </c>
      <c r="AJ86" s="271" t="e">
        <f>IF(OR(AE86="Impacto",AE86="Ambos"),U86-AG86,U86)</f>
        <v>#N/A</v>
      </c>
      <c r="AK86" s="272" t="e">
        <f>IF(AJ86&lt;=1,"Insignificante",HLOOKUP(AJ86,[71]Listas!$F$3:$J$4,2,0))</f>
        <v>#N/A</v>
      </c>
      <c r="AL86" s="273" t="e">
        <f>AH86*AJ86</f>
        <v>#N/A</v>
      </c>
      <c r="AM86" s="270" t="e">
        <f>INDEX([71]Listas!$F$6:$J$10,MATCH(AI86,[71]Listas!$D$6:$D$10,0),MATCH(AK86,[71]Listas!$F$4:$J$4,0))</f>
        <v>#N/A</v>
      </c>
      <c r="AN86" s="259"/>
      <c r="AO86" s="259"/>
      <c r="AP86" s="610"/>
      <c r="AQ86" s="259"/>
      <c r="AR86" s="259" t="s">
        <v>2343</v>
      </c>
      <c r="AS86" s="608"/>
      <c r="AU86" s="259"/>
      <c r="AV86" s="261"/>
      <c r="AW86" s="261"/>
      <c r="AX86" s="608"/>
      <c r="AY86" s="262"/>
    </row>
    <row r="87" spans="1:51" s="260" customFormat="1" ht="103.5" hidden="1" customHeight="1">
      <c r="A87" s="608"/>
      <c r="B87" s="266"/>
      <c r="C87" s="1399"/>
      <c r="D87" s="1408"/>
      <c r="E87" s="1400"/>
      <c r="F87" s="267"/>
      <c r="G87" s="1399"/>
      <c r="H87" s="1408"/>
      <c r="I87" s="1400"/>
      <c r="J87" s="1380"/>
      <c r="K87" s="1380"/>
      <c r="L87" s="1380"/>
      <c r="M87" s="608"/>
      <c r="N87" s="608"/>
      <c r="O87" s="608"/>
      <c r="P87" s="608"/>
      <c r="Q87" s="266"/>
      <c r="R87" s="266"/>
      <c r="S87" s="268"/>
      <c r="T87" s="269" t="e">
        <f>VLOOKUP(Q87,[71]Listas!$D$6:$E$10,2,0)</f>
        <v>#N/A</v>
      </c>
      <c r="U87" s="269" t="e">
        <f>HLOOKUP(R87,[71]Listas!$F$4:$J$5,2,0)</f>
        <v>#N/A</v>
      </c>
      <c r="V87" s="270" t="e">
        <f>INDEX([71]Listas!$F$6:$J$10,MATCH(Q87,[71]Listas!$D$6:$D$10,0),MATCH(R87,[71]Listas!$F$4:$J$4,0))</f>
        <v>#N/A</v>
      </c>
      <c r="W87" s="268"/>
      <c r="X87" s="1399"/>
      <c r="Y87" s="1408"/>
      <c r="Z87" s="1400"/>
      <c r="AA87" s="1063"/>
      <c r="AB87" s="267"/>
      <c r="AC87" s="259"/>
      <c r="AD87" s="608"/>
      <c r="AE87" s="267"/>
      <c r="AF87" s="268"/>
      <c r="AG87" s="269">
        <f t="shared" ref="AG87:AG150" si="16">IF(AD87&lt;=33,0,IF(AD87&gt;81,2,1))</f>
        <v>0</v>
      </c>
      <c r="AH87" s="271" t="e">
        <f t="shared" ref="AH87:AH150" si="17">IF(OR(AE87="Probabilidad",AE87="Ambos"),T87-AG87,T87)</f>
        <v>#N/A</v>
      </c>
      <c r="AI87" s="272" t="e">
        <f>IF(AH87&lt;=1,"Remota",VLOOKUP(AH87,[71]Listas!$C$6:$D$10,2,0))</f>
        <v>#N/A</v>
      </c>
      <c r="AJ87" s="271" t="e">
        <f t="shared" ref="AJ87:AJ150" si="18">IF(OR(AE87="Impacto",AE87="Ambos"),U87-AG87,U87)</f>
        <v>#N/A</v>
      </c>
      <c r="AK87" s="272" t="e">
        <f>IF(AJ87&lt;=1,"Insignificante",HLOOKUP(AJ87,[71]Listas!$F$3:$J$4,2,0))</f>
        <v>#N/A</v>
      </c>
      <c r="AL87" s="273" t="e">
        <f t="shared" ref="AL87:AL150" si="19">AH87*AJ87</f>
        <v>#N/A</v>
      </c>
      <c r="AM87" s="270" t="e">
        <f>INDEX([71]Listas!$F$6:$J$10,MATCH(AI87,[71]Listas!$D$6:$D$10,0),MATCH(AK87,[71]Listas!$F$4:$J$4,0))</f>
        <v>#N/A</v>
      </c>
      <c r="AN87" s="259"/>
      <c r="AO87" s="259"/>
      <c r="AP87" s="610"/>
      <c r="AQ87" s="259"/>
      <c r="AR87" s="259" t="s">
        <v>2343</v>
      </c>
      <c r="AS87" s="608"/>
      <c r="AT87" s="259"/>
      <c r="AU87" s="259"/>
      <c r="AV87" s="261"/>
      <c r="AW87" s="261"/>
      <c r="AX87" s="608"/>
      <c r="AY87" s="262"/>
    </row>
    <row r="88" spans="1:51" s="260" customFormat="1" ht="103.5" hidden="1" customHeight="1">
      <c r="A88" s="608"/>
      <c r="B88" s="266"/>
      <c r="C88" s="1399"/>
      <c r="D88" s="1408"/>
      <c r="E88" s="1400"/>
      <c r="F88" s="267"/>
      <c r="G88" s="1399"/>
      <c r="H88" s="1408"/>
      <c r="I88" s="1400"/>
      <c r="J88" s="1380"/>
      <c r="K88" s="1380"/>
      <c r="L88" s="1380"/>
      <c r="M88" s="608"/>
      <c r="N88" s="608"/>
      <c r="O88" s="608"/>
      <c r="P88" s="608"/>
      <c r="Q88" s="266"/>
      <c r="R88" s="266"/>
      <c r="S88" s="268"/>
      <c r="T88" s="269" t="e">
        <f>VLOOKUP(Q88,[71]Listas!$D$6:$E$10,2,0)</f>
        <v>#N/A</v>
      </c>
      <c r="U88" s="269" t="e">
        <f>HLOOKUP(R88,[71]Listas!$F$4:$J$5,2,0)</f>
        <v>#N/A</v>
      </c>
      <c r="V88" s="270" t="e">
        <f>INDEX([71]Listas!$F$6:$J$10,MATCH(Q88,[71]Listas!$D$6:$D$10,0),MATCH(R88,[71]Listas!$F$4:$J$4,0))</f>
        <v>#N/A</v>
      </c>
      <c r="W88" s="268"/>
      <c r="X88" s="1399"/>
      <c r="Y88" s="1408"/>
      <c r="Z88" s="1400"/>
      <c r="AA88" s="1063"/>
      <c r="AB88" s="267"/>
      <c r="AC88" s="259"/>
      <c r="AD88" s="608"/>
      <c r="AE88" s="267"/>
      <c r="AF88" s="268"/>
      <c r="AG88" s="269">
        <f t="shared" si="16"/>
        <v>0</v>
      </c>
      <c r="AH88" s="271" t="e">
        <f t="shared" si="17"/>
        <v>#N/A</v>
      </c>
      <c r="AI88" s="272" t="e">
        <f>IF(AH88&lt;=1,"Remota",VLOOKUP(AH88,[71]Listas!$C$6:$D$10,2,0))</f>
        <v>#N/A</v>
      </c>
      <c r="AJ88" s="271" t="e">
        <f t="shared" si="18"/>
        <v>#N/A</v>
      </c>
      <c r="AK88" s="272" t="e">
        <f>IF(AJ88&lt;=1,"Insignificante",HLOOKUP(AJ88,[71]Listas!$F$3:$J$4,2,0))</f>
        <v>#N/A</v>
      </c>
      <c r="AL88" s="273" t="e">
        <f t="shared" si="19"/>
        <v>#N/A</v>
      </c>
      <c r="AM88" s="270" t="e">
        <f>INDEX([71]Listas!$F$6:$J$10,MATCH(AI88,[71]Listas!$D$6:$D$10,0),MATCH(AK88,[71]Listas!$F$4:$J$4,0))</f>
        <v>#N/A</v>
      </c>
      <c r="AN88" s="259"/>
      <c r="AO88" s="259"/>
      <c r="AP88" s="610"/>
      <c r="AQ88" s="259"/>
      <c r="AR88" s="259" t="s">
        <v>2343</v>
      </c>
      <c r="AS88" s="608"/>
      <c r="AT88" s="259"/>
      <c r="AU88" s="259"/>
      <c r="AV88" s="261"/>
      <c r="AW88" s="261"/>
      <c r="AX88" s="608"/>
      <c r="AY88" s="262"/>
    </row>
    <row r="89" spans="1:51" s="260" customFormat="1" ht="103.5" hidden="1" customHeight="1">
      <c r="A89" s="608"/>
      <c r="B89" s="266"/>
      <c r="C89" s="1399"/>
      <c r="D89" s="1408"/>
      <c r="E89" s="1400"/>
      <c r="F89" s="267"/>
      <c r="G89" s="1399"/>
      <c r="H89" s="1408"/>
      <c r="I89" s="1400"/>
      <c r="J89" s="1380"/>
      <c r="K89" s="1380"/>
      <c r="L89" s="1380"/>
      <c r="M89" s="608"/>
      <c r="N89" s="608"/>
      <c r="O89" s="608"/>
      <c r="P89" s="608"/>
      <c r="Q89" s="266"/>
      <c r="R89" s="266"/>
      <c r="S89" s="268"/>
      <c r="T89" s="269" t="e">
        <f>VLOOKUP(Q89,[71]Listas!$D$6:$E$10,2,0)</f>
        <v>#N/A</v>
      </c>
      <c r="U89" s="269" t="e">
        <f>HLOOKUP(R89,[71]Listas!$F$4:$J$5,2,0)</f>
        <v>#N/A</v>
      </c>
      <c r="V89" s="270" t="e">
        <f>INDEX([71]Listas!$F$6:$J$10,MATCH(Q89,[71]Listas!$D$6:$D$10,0),MATCH(R89,[71]Listas!$F$4:$J$4,0))</f>
        <v>#N/A</v>
      </c>
      <c r="W89" s="268"/>
      <c r="X89" s="1399"/>
      <c r="Y89" s="1408"/>
      <c r="Z89" s="1400"/>
      <c r="AA89" s="1063"/>
      <c r="AB89" s="267"/>
      <c r="AC89" s="259"/>
      <c r="AD89" s="608"/>
      <c r="AE89" s="267"/>
      <c r="AF89" s="268"/>
      <c r="AG89" s="269">
        <f t="shared" si="16"/>
        <v>0</v>
      </c>
      <c r="AH89" s="271" t="e">
        <f t="shared" si="17"/>
        <v>#N/A</v>
      </c>
      <c r="AI89" s="272" t="e">
        <f>IF(AH89&lt;=1,"Remota",VLOOKUP(AH89,[71]Listas!$C$6:$D$10,2,0))</f>
        <v>#N/A</v>
      </c>
      <c r="AJ89" s="271" t="e">
        <f t="shared" si="18"/>
        <v>#N/A</v>
      </c>
      <c r="AK89" s="272" t="e">
        <f>IF(AJ89&lt;=1,"Insignificante",HLOOKUP(AJ89,[71]Listas!$F$3:$J$4,2,0))</f>
        <v>#N/A</v>
      </c>
      <c r="AL89" s="273" t="e">
        <f t="shared" si="19"/>
        <v>#N/A</v>
      </c>
      <c r="AM89" s="270" t="e">
        <f>INDEX([71]Listas!$F$6:$J$10,MATCH(AI89,[71]Listas!$D$6:$D$10,0),MATCH(AK89,[71]Listas!$F$4:$J$4,0))</f>
        <v>#N/A</v>
      </c>
      <c r="AN89" s="259"/>
      <c r="AO89" s="259"/>
      <c r="AP89" s="610"/>
      <c r="AQ89" s="259"/>
      <c r="AR89" s="259" t="s">
        <v>2343</v>
      </c>
      <c r="AS89" s="608"/>
      <c r="AT89" s="259"/>
      <c r="AU89" s="259"/>
      <c r="AV89" s="261"/>
      <c r="AW89" s="261"/>
      <c r="AX89" s="608"/>
      <c r="AY89" s="262"/>
    </row>
    <row r="90" spans="1:51" s="260" customFormat="1" ht="103.5" hidden="1" customHeight="1">
      <c r="A90" s="608"/>
      <c r="B90" s="266"/>
      <c r="C90" s="1399"/>
      <c r="D90" s="1408"/>
      <c r="E90" s="1400"/>
      <c r="F90" s="267"/>
      <c r="G90" s="1399"/>
      <c r="H90" s="1408"/>
      <c r="I90" s="1400"/>
      <c r="J90" s="1380"/>
      <c r="K90" s="1380"/>
      <c r="L90" s="1380"/>
      <c r="M90" s="608"/>
      <c r="N90" s="608"/>
      <c r="O90" s="608"/>
      <c r="P90" s="608"/>
      <c r="Q90" s="266"/>
      <c r="R90" s="266"/>
      <c r="S90" s="268"/>
      <c r="T90" s="269" t="e">
        <f>VLOOKUP(Q90,[71]Listas!$D$6:$E$10,2,0)</f>
        <v>#N/A</v>
      </c>
      <c r="U90" s="269" t="e">
        <f>HLOOKUP(R90,[71]Listas!$F$4:$J$5,2,0)</f>
        <v>#N/A</v>
      </c>
      <c r="V90" s="270" t="e">
        <f>INDEX([71]Listas!$F$6:$J$10,MATCH(Q90,[71]Listas!$D$6:$D$10,0),MATCH(R90,[71]Listas!$F$4:$J$4,0))</f>
        <v>#N/A</v>
      </c>
      <c r="W90" s="268"/>
      <c r="X90" s="1399"/>
      <c r="Y90" s="1408"/>
      <c r="Z90" s="1400"/>
      <c r="AA90" s="1063"/>
      <c r="AB90" s="267"/>
      <c r="AC90" s="259"/>
      <c r="AD90" s="608"/>
      <c r="AE90" s="267"/>
      <c r="AF90" s="268"/>
      <c r="AG90" s="269">
        <f t="shared" si="16"/>
        <v>0</v>
      </c>
      <c r="AH90" s="271" t="e">
        <f t="shared" si="17"/>
        <v>#N/A</v>
      </c>
      <c r="AI90" s="272" t="e">
        <f>IF(AH90&lt;=1,"Remota",VLOOKUP(AH90,[71]Listas!$C$6:$D$10,2,0))</f>
        <v>#N/A</v>
      </c>
      <c r="AJ90" s="271" t="e">
        <f t="shared" si="18"/>
        <v>#N/A</v>
      </c>
      <c r="AK90" s="272" t="e">
        <f>IF(AJ90&lt;=1,"Insignificante",HLOOKUP(AJ90,[71]Listas!$F$3:$J$4,2,0))</f>
        <v>#N/A</v>
      </c>
      <c r="AL90" s="273" t="e">
        <f t="shared" si="19"/>
        <v>#N/A</v>
      </c>
      <c r="AM90" s="270" t="e">
        <f>INDEX([71]Listas!$F$6:$J$10,MATCH(AI90,[71]Listas!$D$6:$D$10,0),MATCH(AK90,[71]Listas!$F$4:$J$4,0))</f>
        <v>#N/A</v>
      </c>
      <c r="AN90" s="259"/>
      <c r="AO90" s="259"/>
      <c r="AP90" s="610"/>
      <c r="AQ90" s="259"/>
      <c r="AR90" s="259" t="s">
        <v>2343</v>
      </c>
      <c r="AS90" s="608"/>
      <c r="AT90" s="259"/>
      <c r="AU90" s="259"/>
      <c r="AV90" s="261"/>
      <c r="AW90" s="261"/>
      <c r="AX90" s="608"/>
      <c r="AY90" s="262"/>
    </row>
    <row r="91" spans="1:51" s="260" customFormat="1" ht="103.5" hidden="1" customHeight="1">
      <c r="A91" s="608"/>
      <c r="B91" s="266"/>
      <c r="C91" s="1399"/>
      <c r="D91" s="1408"/>
      <c r="E91" s="1400"/>
      <c r="F91" s="267"/>
      <c r="G91" s="1399"/>
      <c r="H91" s="1408"/>
      <c r="I91" s="1400"/>
      <c r="J91" s="1380"/>
      <c r="K91" s="1380"/>
      <c r="L91" s="1380"/>
      <c r="M91" s="608"/>
      <c r="N91" s="608"/>
      <c r="O91" s="608"/>
      <c r="P91" s="608"/>
      <c r="Q91" s="266"/>
      <c r="R91" s="266"/>
      <c r="S91" s="268"/>
      <c r="T91" s="269" t="e">
        <f>VLOOKUP(Q91,[71]Listas!$D$6:$E$10,2,0)</f>
        <v>#N/A</v>
      </c>
      <c r="U91" s="269" t="e">
        <f>HLOOKUP(R91,[71]Listas!$F$4:$J$5,2,0)</f>
        <v>#N/A</v>
      </c>
      <c r="V91" s="270" t="e">
        <f>INDEX([71]Listas!$F$6:$J$10,MATCH(Q91,[71]Listas!$D$6:$D$10,0),MATCH(R91,[71]Listas!$F$4:$J$4,0))</f>
        <v>#N/A</v>
      </c>
      <c r="W91" s="268"/>
      <c r="X91" s="1399"/>
      <c r="Y91" s="1408"/>
      <c r="Z91" s="1400"/>
      <c r="AA91" s="1063"/>
      <c r="AB91" s="267"/>
      <c r="AC91" s="259"/>
      <c r="AD91" s="608"/>
      <c r="AE91" s="267"/>
      <c r="AF91" s="268"/>
      <c r="AG91" s="269">
        <f t="shared" si="16"/>
        <v>0</v>
      </c>
      <c r="AH91" s="271" t="e">
        <f t="shared" si="17"/>
        <v>#N/A</v>
      </c>
      <c r="AI91" s="272" t="e">
        <f>IF(AH91&lt;=1,"Remota",VLOOKUP(AH91,[71]Listas!$C$6:$D$10,2,0))</f>
        <v>#N/A</v>
      </c>
      <c r="AJ91" s="271" t="e">
        <f t="shared" si="18"/>
        <v>#N/A</v>
      </c>
      <c r="AK91" s="272" t="e">
        <f>IF(AJ91&lt;=1,"Insignificante",HLOOKUP(AJ91,[71]Listas!$F$3:$J$4,2,0))</f>
        <v>#N/A</v>
      </c>
      <c r="AL91" s="273" t="e">
        <f t="shared" si="19"/>
        <v>#N/A</v>
      </c>
      <c r="AM91" s="270" t="e">
        <f>INDEX([71]Listas!$F$6:$J$10,MATCH(AI91,[71]Listas!$D$6:$D$10,0),MATCH(AK91,[71]Listas!$F$4:$J$4,0))</f>
        <v>#N/A</v>
      </c>
      <c r="AN91" s="259"/>
      <c r="AO91" s="259"/>
      <c r="AP91" s="610"/>
      <c r="AQ91" s="259"/>
      <c r="AR91" s="259" t="s">
        <v>2343</v>
      </c>
      <c r="AS91" s="608"/>
      <c r="AT91" s="259"/>
      <c r="AU91" s="259"/>
      <c r="AV91" s="261"/>
      <c r="AW91" s="261"/>
      <c r="AX91" s="608"/>
      <c r="AY91" s="262"/>
    </row>
    <row r="92" spans="1:51" s="260" customFormat="1" ht="103.5" hidden="1" customHeight="1">
      <c r="A92" s="608"/>
      <c r="B92" s="266"/>
      <c r="C92" s="1399"/>
      <c r="D92" s="1408"/>
      <c r="E92" s="1400"/>
      <c r="F92" s="267"/>
      <c r="G92" s="1399"/>
      <c r="H92" s="1408"/>
      <c r="I92" s="1400"/>
      <c r="J92" s="1380"/>
      <c r="K92" s="1380"/>
      <c r="L92" s="1380"/>
      <c r="M92" s="608"/>
      <c r="N92" s="608"/>
      <c r="O92" s="608"/>
      <c r="P92" s="608"/>
      <c r="Q92" s="266"/>
      <c r="R92" s="266"/>
      <c r="S92" s="268"/>
      <c r="T92" s="269" t="e">
        <f>VLOOKUP(Q92,[71]Listas!$D$6:$E$10,2,0)</f>
        <v>#N/A</v>
      </c>
      <c r="U92" s="269" t="e">
        <f>HLOOKUP(R92,[71]Listas!$F$4:$J$5,2,0)</f>
        <v>#N/A</v>
      </c>
      <c r="V92" s="270" t="e">
        <f>INDEX([71]Listas!$F$6:$J$10,MATCH(Q92,[71]Listas!$D$6:$D$10,0),MATCH(R92,[71]Listas!$F$4:$J$4,0))</f>
        <v>#N/A</v>
      </c>
      <c r="W92" s="268"/>
      <c r="X92" s="1399"/>
      <c r="Y92" s="1408"/>
      <c r="Z92" s="1400"/>
      <c r="AA92" s="1063"/>
      <c r="AB92" s="267"/>
      <c r="AC92" s="259"/>
      <c r="AD92" s="608"/>
      <c r="AE92" s="267"/>
      <c r="AF92" s="268"/>
      <c r="AG92" s="269">
        <f t="shared" si="16"/>
        <v>0</v>
      </c>
      <c r="AH92" s="271" t="e">
        <f t="shared" si="17"/>
        <v>#N/A</v>
      </c>
      <c r="AI92" s="272" t="e">
        <f>IF(AH92&lt;=1,"Remota",VLOOKUP(AH92,[71]Listas!$C$6:$D$10,2,0))</f>
        <v>#N/A</v>
      </c>
      <c r="AJ92" s="271" t="e">
        <f t="shared" si="18"/>
        <v>#N/A</v>
      </c>
      <c r="AK92" s="272" t="e">
        <f>IF(AJ92&lt;=1,"Insignificante",HLOOKUP(AJ92,[71]Listas!$F$3:$J$4,2,0))</f>
        <v>#N/A</v>
      </c>
      <c r="AL92" s="273" t="e">
        <f t="shared" si="19"/>
        <v>#N/A</v>
      </c>
      <c r="AM92" s="270" t="e">
        <f>INDEX([71]Listas!$F$6:$J$10,MATCH(AI92,[71]Listas!$D$6:$D$10,0),MATCH(AK92,[71]Listas!$F$4:$J$4,0))</f>
        <v>#N/A</v>
      </c>
      <c r="AN92" s="259"/>
      <c r="AO92" s="259"/>
      <c r="AP92" s="610"/>
      <c r="AQ92" s="259"/>
      <c r="AR92" s="259" t="s">
        <v>2343</v>
      </c>
      <c r="AS92" s="608"/>
      <c r="AT92" s="259"/>
      <c r="AU92" s="259"/>
      <c r="AV92" s="261"/>
      <c r="AW92" s="261"/>
      <c r="AX92" s="608"/>
      <c r="AY92" s="262"/>
    </row>
    <row r="93" spans="1:51" s="260" customFormat="1" ht="103.5" hidden="1" customHeight="1">
      <c r="A93" s="608"/>
      <c r="B93" s="266"/>
      <c r="C93" s="1399"/>
      <c r="D93" s="1408"/>
      <c r="E93" s="1400"/>
      <c r="F93" s="267"/>
      <c r="G93" s="1399"/>
      <c r="H93" s="1408"/>
      <c r="I93" s="1400"/>
      <c r="J93" s="1380"/>
      <c r="K93" s="1380"/>
      <c r="L93" s="1380"/>
      <c r="M93" s="608"/>
      <c r="N93" s="608"/>
      <c r="O93" s="608"/>
      <c r="P93" s="608"/>
      <c r="Q93" s="266"/>
      <c r="R93" s="266"/>
      <c r="S93" s="268"/>
      <c r="T93" s="269" t="e">
        <f>VLOOKUP(Q93,[71]Listas!$D$6:$E$10,2,0)</f>
        <v>#N/A</v>
      </c>
      <c r="U93" s="269" t="e">
        <f>HLOOKUP(R93,[71]Listas!$F$4:$J$5,2,0)</f>
        <v>#N/A</v>
      </c>
      <c r="V93" s="270" t="e">
        <f>INDEX([71]Listas!$F$6:$J$10,MATCH(Q93,[71]Listas!$D$6:$D$10,0),MATCH(R93,[71]Listas!$F$4:$J$4,0))</f>
        <v>#N/A</v>
      </c>
      <c r="W93" s="268"/>
      <c r="X93" s="1399"/>
      <c r="Y93" s="1408"/>
      <c r="Z93" s="1400"/>
      <c r="AA93" s="1063"/>
      <c r="AB93" s="267"/>
      <c r="AC93" s="259"/>
      <c r="AD93" s="608"/>
      <c r="AE93" s="267"/>
      <c r="AF93" s="268"/>
      <c r="AG93" s="269">
        <f t="shared" si="16"/>
        <v>0</v>
      </c>
      <c r="AH93" s="271" t="e">
        <f t="shared" si="17"/>
        <v>#N/A</v>
      </c>
      <c r="AI93" s="272" t="e">
        <f>IF(AH93&lt;=1,"Remota",VLOOKUP(AH93,[71]Listas!$C$6:$D$10,2,0))</f>
        <v>#N/A</v>
      </c>
      <c r="AJ93" s="271" t="e">
        <f t="shared" si="18"/>
        <v>#N/A</v>
      </c>
      <c r="AK93" s="272" t="e">
        <f>IF(AJ93&lt;=1,"Insignificante",HLOOKUP(AJ93,[71]Listas!$F$3:$J$4,2,0))</f>
        <v>#N/A</v>
      </c>
      <c r="AL93" s="273" t="e">
        <f t="shared" si="19"/>
        <v>#N/A</v>
      </c>
      <c r="AM93" s="270" t="e">
        <f>INDEX([71]Listas!$F$6:$J$10,MATCH(AI93,[71]Listas!$D$6:$D$10,0),MATCH(AK93,[71]Listas!$F$4:$J$4,0))</f>
        <v>#N/A</v>
      </c>
      <c r="AN93" s="259"/>
      <c r="AO93" s="259"/>
      <c r="AP93" s="610"/>
      <c r="AQ93" s="259"/>
      <c r="AR93" s="259" t="s">
        <v>2343</v>
      </c>
      <c r="AS93" s="608"/>
      <c r="AT93" s="259"/>
      <c r="AU93" s="259"/>
      <c r="AV93" s="261"/>
      <c r="AW93" s="261"/>
      <c r="AX93" s="608"/>
      <c r="AY93" s="262"/>
    </row>
    <row r="94" spans="1:51" s="260" customFormat="1" ht="103.5" hidden="1" customHeight="1">
      <c r="A94" s="608"/>
      <c r="B94" s="266"/>
      <c r="C94" s="1399"/>
      <c r="D94" s="1408"/>
      <c r="E94" s="1400"/>
      <c r="F94" s="267"/>
      <c r="G94" s="1399"/>
      <c r="H94" s="1408"/>
      <c r="I94" s="1400"/>
      <c r="J94" s="1380"/>
      <c r="K94" s="1380"/>
      <c r="L94" s="1380"/>
      <c r="M94" s="608"/>
      <c r="N94" s="608"/>
      <c r="O94" s="608"/>
      <c r="P94" s="608"/>
      <c r="Q94" s="266"/>
      <c r="R94" s="266"/>
      <c r="S94" s="268"/>
      <c r="T94" s="269" t="e">
        <f>VLOOKUP(Q94,[71]Listas!$D$6:$E$10,2,0)</f>
        <v>#N/A</v>
      </c>
      <c r="U94" s="269" t="e">
        <f>HLOOKUP(R94,[71]Listas!$F$4:$J$5,2,0)</f>
        <v>#N/A</v>
      </c>
      <c r="V94" s="270" t="e">
        <f>INDEX([71]Listas!$F$6:$J$10,MATCH(Q94,[71]Listas!$D$6:$D$10,0),MATCH(R94,[71]Listas!$F$4:$J$4,0))</f>
        <v>#N/A</v>
      </c>
      <c r="W94" s="268"/>
      <c r="X94" s="1399"/>
      <c r="Y94" s="1408"/>
      <c r="Z94" s="1400"/>
      <c r="AA94" s="1063"/>
      <c r="AB94" s="267"/>
      <c r="AC94" s="259"/>
      <c r="AD94" s="608"/>
      <c r="AE94" s="267"/>
      <c r="AF94" s="268"/>
      <c r="AG94" s="269">
        <f t="shared" si="16"/>
        <v>0</v>
      </c>
      <c r="AH94" s="271" t="e">
        <f t="shared" si="17"/>
        <v>#N/A</v>
      </c>
      <c r="AI94" s="272" t="e">
        <f>IF(AH94&lt;=1,"Remota",VLOOKUP(AH94,[71]Listas!$C$6:$D$10,2,0))</f>
        <v>#N/A</v>
      </c>
      <c r="AJ94" s="271" t="e">
        <f t="shared" si="18"/>
        <v>#N/A</v>
      </c>
      <c r="AK94" s="272" t="e">
        <f>IF(AJ94&lt;=1,"Insignificante",HLOOKUP(AJ94,[71]Listas!$F$3:$J$4,2,0))</f>
        <v>#N/A</v>
      </c>
      <c r="AL94" s="273" t="e">
        <f t="shared" si="19"/>
        <v>#N/A</v>
      </c>
      <c r="AM94" s="270" t="e">
        <f>INDEX([71]Listas!$F$6:$J$10,MATCH(AI94,[71]Listas!$D$6:$D$10,0),MATCH(AK94,[71]Listas!$F$4:$J$4,0))</f>
        <v>#N/A</v>
      </c>
      <c r="AN94" s="259"/>
      <c r="AO94" s="259"/>
      <c r="AP94" s="610"/>
      <c r="AQ94" s="259"/>
      <c r="AR94" s="259" t="s">
        <v>2343</v>
      </c>
      <c r="AS94" s="608"/>
      <c r="AT94" s="259"/>
      <c r="AU94" s="259"/>
      <c r="AV94" s="261"/>
      <c r="AW94" s="261"/>
      <c r="AX94" s="608"/>
      <c r="AY94" s="262"/>
    </row>
    <row r="95" spans="1:51" s="260" customFormat="1" ht="103.5" hidden="1" customHeight="1">
      <c r="A95" s="608"/>
      <c r="B95" s="266"/>
      <c r="C95" s="1399"/>
      <c r="D95" s="1408"/>
      <c r="E95" s="1400"/>
      <c r="F95" s="267"/>
      <c r="G95" s="1399"/>
      <c r="H95" s="1408"/>
      <c r="I95" s="1400"/>
      <c r="J95" s="1380"/>
      <c r="K95" s="1380"/>
      <c r="L95" s="1380"/>
      <c r="M95" s="608"/>
      <c r="N95" s="608"/>
      <c r="O95" s="608"/>
      <c r="P95" s="608"/>
      <c r="Q95" s="266"/>
      <c r="R95" s="266"/>
      <c r="S95" s="268"/>
      <c r="T95" s="269" t="e">
        <f>VLOOKUP(Q95,[71]Listas!$D$6:$E$10,2,0)</f>
        <v>#N/A</v>
      </c>
      <c r="U95" s="269" t="e">
        <f>HLOOKUP(R95,[71]Listas!$F$4:$J$5,2,0)</f>
        <v>#N/A</v>
      </c>
      <c r="V95" s="270" t="e">
        <f>INDEX([71]Listas!$F$6:$J$10,MATCH(Q95,[71]Listas!$D$6:$D$10,0),MATCH(R95,[71]Listas!$F$4:$J$4,0))</f>
        <v>#N/A</v>
      </c>
      <c r="W95" s="268"/>
      <c r="X95" s="1399"/>
      <c r="Y95" s="1408"/>
      <c r="Z95" s="1400"/>
      <c r="AA95" s="1063"/>
      <c r="AB95" s="267"/>
      <c r="AC95" s="259"/>
      <c r="AD95" s="608"/>
      <c r="AE95" s="267"/>
      <c r="AF95" s="268"/>
      <c r="AG95" s="269">
        <f t="shared" si="16"/>
        <v>0</v>
      </c>
      <c r="AH95" s="271" t="e">
        <f t="shared" si="17"/>
        <v>#N/A</v>
      </c>
      <c r="AI95" s="272" t="e">
        <f>IF(AH95&lt;=1,"Remota",VLOOKUP(AH95,[71]Listas!$C$6:$D$10,2,0))</f>
        <v>#N/A</v>
      </c>
      <c r="AJ95" s="271" t="e">
        <f t="shared" si="18"/>
        <v>#N/A</v>
      </c>
      <c r="AK95" s="272" t="e">
        <f>IF(AJ95&lt;=1,"Insignificante",HLOOKUP(AJ95,[71]Listas!$F$3:$J$4,2,0))</f>
        <v>#N/A</v>
      </c>
      <c r="AL95" s="273" t="e">
        <f t="shared" si="19"/>
        <v>#N/A</v>
      </c>
      <c r="AM95" s="270" t="e">
        <f>INDEX([71]Listas!$F$6:$J$10,MATCH(AI95,[71]Listas!$D$6:$D$10,0),MATCH(AK95,[71]Listas!$F$4:$J$4,0))</f>
        <v>#N/A</v>
      </c>
      <c r="AN95" s="259"/>
      <c r="AO95" s="259"/>
      <c r="AP95" s="610"/>
      <c r="AQ95" s="259"/>
      <c r="AR95" s="259" t="s">
        <v>2343</v>
      </c>
      <c r="AS95" s="608"/>
      <c r="AT95" s="259"/>
      <c r="AU95" s="259"/>
      <c r="AV95" s="261"/>
      <c r="AW95" s="261"/>
      <c r="AX95" s="608"/>
      <c r="AY95" s="262"/>
    </row>
    <row r="96" spans="1:51" s="260" customFormat="1" ht="103.5" hidden="1" customHeight="1">
      <c r="A96" s="608"/>
      <c r="B96" s="266"/>
      <c r="C96" s="1399"/>
      <c r="D96" s="1408"/>
      <c r="E96" s="1400"/>
      <c r="F96" s="267"/>
      <c r="G96" s="1399"/>
      <c r="H96" s="1408"/>
      <c r="I96" s="1400"/>
      <c r="J96" s="1380"/>
      <c r="K96" s="1380"/>
      <c r="L96" s="1380"/>
      <c r="M96" s="608"/>
      <c r="N96" s="608"/>
      <c r="O96" s="608"/>
      <c r="P96" s="608"/>
      <c r="Q96" s="266"/>
      <c r="R96" s="266"/>
      <c r="S96" s="268"/>
      <c r="T96" s="269" t="e">
        <f>VLOOKUP(Q96,[71]Listas!$D$6:$E$10,2,0)</f>
        <v>#N/A</v>
      </c>
      <c r="U96" s="269" t="e">
        <f>HLOOKUP(R96,[71]Listas!$F$4:$J$5,2,0)</f>
        <v>#N/A</v>
      </c>
      <c r="V96" s="270" t="e">
        <f>INDEX([71]Listas!$F$6:$J$10,MATCH(Q96,[71]Listas!$D$6:$D$10,0),MATCH(R96,[71]Listas!$F$4:$J$4,0))</f>
        <v>#N/A</v>
      </c>
      <c r="W96" s="268"/>
      <c r="X96" s="1399"/>
      <c r="Y96" s="1408"/>
      <c r="Z96" s="1400"/>
      <c r="AA96" s="1063"/>
      <c r="AB96" s="267"/>
      <c r="AC96" s="259"/>
      <c r="AD96" s="608"/>
      <c r="AE96" s="267"/>
      <c r="AF96" s="268"/>
      <c r="AG96" s="269">
        <f t="shared" si="16"/>
        <v>0</v>
      </c>
      <c r="AH96" s="271" t="e">
        <f t="shared" si="17"/>
        <v>#N/A</v>
      </c>
      <c r="AI96" s="272" t="e">
        <f>IF(AH96&lt;=1,"Remota",VLOOKUP(AH96,[71]Listas!$C$6:$D$10,2,0))</f>
        <v>#N/A</v>
      </c>
      <c r="AJ96" s="271" t="e">
        <f t="shared" si="18"/>
        <v>#N/A</v>
      </c>
      <c r="AK96" s="272" t="e">
        <f>IF(AJ96&lt;=1,"Insignificante",HLOOKUP(AJ96,[71]Listas!$F$3:$J$4,2,0))</f>
        <v>#N/A</v>
      </c>
      <c r="AL96" s="273" t="e">
        <f t="shared" si="19"/>
        <v>#N/A</v>
      </c>
      <c r="AM96" s="270" t="e">
        <f>INDEX([71]Listas!$F$6:$J$10,MATCH(AI96,[71]Listas!$D$6:$D$10,0),MATCH(AK96,[71]Listas!$F$4:$J$4,0))</f>
        <v>#N/A</v>
      </c>
      <c r="AN96" s="259"/>
      <c r="AO96" s="259"/>
      <c r="AP96" s="610"/>
      <c r="AQ96" s="259"/>
      <c r="AR96" s="259" t="s">
        <v>2343</v>
      </c>
      <c r="AS96" s="608"/>
      <c r="AT96" s="259"/>
      <c r="AU96" s="259"/>
      <c r="AV96" s="261"/>
      <c r="AW96" s="261"/>
      <c r="AX96" s="608"/>
      <c r="AY96" s="262"/>
    </row>
    <row r="97" spans="1:51" s="260" customFormat="1" ht="103.5" hidden="1" customHeight="1">
      <c r="A97" s="608"/>
      <c r="B97" s="266"/>
      <c r="C97" s="1399"/>
      <c r="D97" s="1408"/>
      <c r="E97" s="1400"/>
      <c r="F97" s="267"/>
      <c r="G97" s="1399"/>
      <c r="H97" s="1408"/>
      <c r="I97" s="1400"/>
      <c r="J97" s="1380"/>
      <c r="K97" s="1380"/>
      <c r="L97" s="1380"/>
      <c r="M97" s="608"/>
      <c r="N97" s="608"/>
      <c r="O97" s="608"/>
      <c r="P97" s="608"/>
      <c r="Q97" s="266"/>
      <c r="R97" s="266"/>
      <c r="S97" s="268"/>
      <c r="T97" s="269" t="e">
        <f>VLOOKUP(Q97,[71]Listas!$D$6:$E$10,2,0)</f>
        <v>#N/A</v>
      </c>
      <c r="U97" s="269" t="e">
        <f>HLOOKUP(R97,[71]Listas!$F$4:$J$5,2,0)</f>
        <v>#N/A</v>
      </c>
      <c r="V97" s="270" t="e">
        <f>INDEX([71]Listas!$F$6:$J$10,MATCH(Q97,[71]Listas!$D$6:$D$10,0),MATCH(R97,[71]Listas!$F$4:$J$4,0))</f>
        <v>#N/A</v>
      </c>
      <c r="W97" s="268"/>
      <c r="X97" s="1399"/>
      <c r="Y97" s="1408"/>
      <c r="Z97" s="1400"/>
      <c r="AA97" s="1063"/>
      <c r="AB97" s="267"/>
      <c r="AC97" s="259"/>
      <c r="AD97" s="608"/>
      <c r="AE97" s="267"/>
      <c r="AF97" s="268"/>
      <c r="AG97" s="269">
        <f t="shared" si="16"/>
        <v>0</v>
      </c>
      <c r="AH97" s="271" t="e">
        <f t="shared" si="17"/>
        <v>#N/A</v>
      </c>
      <c r="AI97" s="272" t="e">
        <f>IF(AH97&lt;=1,"Remota",VLOOKUP(AH97,[71]Listas!$C$6:$D$10,2,0))</f>
        <v>#N/A</v>
      </c>
      <c r="AJ97" s="271" t="e">
        <f t="shared" si="18"/>
        <v>#N/A</v>
      </c>
      <c r="AK97" s="272" t="e">
        <f>IF(AJ97&lt;=1,"Insignificante",HLOOKUP(AJ97,[71]Listas!$F$3:$J$4,2,0))</f>
        <v>#N/A</v>
      </c>
      <c r="AL97" s="273" t="e">
        <f t="shared" si="19"/>
        <v>#N/A</v>
      </c>
      <c r="AM97" s="270" t="e">
        <f>INDEX([71]Listas!$F$6:$J$10,MATCH(AI97,[71]Listas!$D$6:$D$10,0),MATCH(AK97,[71]Listas!$F$4:$J$4,0))</f>
        <v>#N/A</v>
      </c>
      <c r="AN97" s="259"/>
      <c r="AO97" s="259"/>
      <c r="AP97" s="610"/>
      <c r="AQ97" s="259"/>
      <c r="AR97" s="259" t="s">
        <v>2343</v>
      </c>
      <c r="AS97" s="608"/>
      <c r="AT97" s="259"/>
      <c r="AU97" s="259"/>
      <c r="AV97" s="261"/>
      <c r="AW97" s="261"/>
      <c r="AX97" s="608"/>
      <c r="AY97" s="262"/>
    </row>
    <row r="98" spans="1:51" s="260" customFormat="1" ht="103.5" hidden="1" customHeight="1">
      <c r="A98" s="608"/>
      <c r="B98" s="266"/>
      <c r="C98" s="1399"/>
      <c r="D98" s="1408"/>
      <c r="E98" s="1400"/>
      <c r="F98" s="267"/>
      <c r="G98" s="1399"/>
      <c r="H98" s="1408"/>
      <c r="I98" s="1400"/>
      <c r="J98" s="1380"/>
      <c r="K98" s="1380"/>
      <c r="L98" s="1380"/>
      <c r="M98" s="608"/>
      <c r="N98" s="608"/>
      <c r="O98" s="608"/>
      <c r="P98" s="608"/>
      <c r="Q98" s="266"/>
      <c r="R98" s="266"/>
      <c r="S98" s="268"/>
      <c r="T98" s="269" t="e">
        <f>VLOOKUP(Q98,[71]Listas!$D$6:$E$10,2,0)</f>
        <v>#N/A</v>
      </c>
      <c r="U98" s="269" t="e">
        <f>HLOOKUP(R98,[71]Listas!$F$4:$J$5,2,0)</f>
        <v>#N/A</v>
      </c>
      <c r="V98" s="270" t="e">
        <f>INDEX([71]Listas!$F$6:$J$10,MATCH(Q98,[71]Listas!$D$6:$D$10,0),MATCH(R98,[71]Listas!$F$4:$J$4,0))</f>
        <v>#N/A</v>
      </c>
      <c r="W98" s="268"/>
      <c r="X98" s="1399"/>
      <c r="Y98" s="1408"/>
      <c r="Z98" s="1400"/>
      <c r="AA98" s="1063"/>
      <c r="AB98" s="267"/>
      <c r="AC98" s="259"/>
      <c r="AD98" s="608"/>
      <c r="AE98" s="267"/>
      <c r="AF98" s="268"/>
      <c r="AG98" s="269">
        <f t="shared" si="16"/>
        <v>0</v>
      </c>
      <c r="AH98" s="271" t="e">
        <f t="shared" si="17"/>
        <v>#N/A</v>
      </c>
      <c r="AI98" s="272" t="e">
        <f>IF(AH98&lt;=1,"Remota",VLOOKUP(AH98,[71]Listas!$C$6:$D$10,2,0))</f>
        <v>#N/A</v>
      </c>
      <c r="AJ98" s="271" t="e">
        <f t="shared" si="18"/>
        <v>#N/A</v>
      </c>
      <c r="AK98" s="272" t="e">
        <f>IF(AJ98&lt;=1,"Insignificante",HLOOKUP(AJ98,[71]Listas!$F$3:$J$4,2,0))</f>
        <v>#N/A</v>
      </c>
      <c r="AL98" s="273" t="e">
        <f t="shared" si="19"/>
        <v>#N/A</v>
      </c>
      <c r="AM98" s="270" t="e">
        <f>INDEX([71]Listas!$F$6:$J$10,MATCH(AI98,[71]Listas!$D$6:$D$10,0),MATCH(AK98,[71]Listas!$F$4:$J$4,0))</f>
        <v>#N/A</v>
      </c>
      <c r="AN98" s="259"/>
      <c r="AO98" s="259"/>
      <c r="AP98" s="610"/>
      <c r="AQ98" s="259"/>
      <c r="AR98" s="259" t="s">
        <v>2343</v>
      </c>
      <c r="AS98" s="608"/>
      <c r="AT98" s="259"/>
      <c r="AU98" s="259"/>
      <c r="AV98" s="261"/>
      <c r="AW98" s="261"/>
      <c r="AX98" s="608"/>
      <c r="AY98" s="262"/>
    </row>
    <row r="99" spans="1:51" s="260" customFormat="1" ht="103.5" hidden="1" customHeight="1">
      <c r="A99" s="608"/>
      <c r="B99" s="266"/>
      <c r="C99" s="1399"/>
      <c r="D99" s="1408"/>
      <c r="E99" s="1400"/>
      <c r="F99" s="267"/>
      <c r="G99" s="1399"/>
      <c r="H99" s="1408"/>
      <c r="I99" s="1400"/>
      <c r="J99" s="1380"/>
      <c r="K99" s="1380"/>
      <c r="L99" s="1380"/>
      <c r="M99" s="608"/>
      <c r="N99" s="608"/>
      <c r="O99" s="608"/>
      <c r="P99" s="608"/>
      <c r="Q99" s="266"/>
      <c r="R99" s="266"/>
      <c r="S99" s="268"/>
      <c r="T99" s="269" t="e">
        <f>VLOOKUP(Q99,[71]Listas!$D$6:$E$10,2,0)</f>
        <v>#N/A</v>
      </c>
      <c r="U99" s="269" t="e">
        <f>HLOOKUP(R99,[71]Listas!$F$4:$J$5,2,0)</f>
        <v>#N/A</v>
      </c>
      <c r="V99" s="270" t="e">
        <f>INDEX([71]Listas!$F$6:$J$10,MATCH(Q99,[71]Listas!$D$6:$D$10,0),MATCH(R99,[71]Listas!$F$4:$J$4,0))</f>
        <v>#N/A</v>
      </c>
      <c r="W99" s="268"/>
      <c r="X99" s="1399"/>
      <c r="Y99" s="1408"/>
      <c r="Z99" s="1400"/>
      <c r="AA99" s="1063"/>
      <c r="AB99" s="267"/>
      <c r="AC99" s="259"/>
      <c r="AD99" s="608"/>
      <c r="AE99" s="267"/>
      <c r="AF99" s="268"/>
      <c r="AG99" s="269">
        <f t="shared" si="16"/>
        <v>0</v>
      </c>
      <c r="AH99" s="271" t="e">
        <f t="shared" si="17"/>
        <v>#N/A</v>
      </c>
      <c r="AI99" s="272" t="e">
        <f>IF(AH99&lt;=1,"Remota",VLOOKUP(AH99,[71]Listas!$C$6:$D$10,2,0))</f>
        <v>#N/A</v>
      </c>
      <c r="AJ99" s="271" t="e">
        <f t="shared" si="18"/>
        <v>#N/A</v>
      </c>
      <c r="AK99" s="272" t="e">
        <f>IF(AJ99&lt;=1,"Insignificante",HLOOKUP(AJ99,[71]Listas!$F$3:$J$4,2,0))</f>
        <v>#N/A</v>
      </c>
      <c r="AL99" s="273" t="e">
        <f t="shared" si="19"/>
        <v>#N/A</v>
      </c>
      <c r="AM99" s="270" t="e">
        <f>INDEX([71]Listas!$F$6:$J$10,MATCH(AI99,[71]Listas!$D$6:$D$10,0),MATCH(AK99,[71]Listas!$F$4:$J$4,0))</f>
        <v>#N/A</v>
      </c>
      <c r="AN99" s="259"/>
      <c r="AO99" s="259"/>
      <c r="AP99" s="610"/>
      <c r="AQ99" s="259"/>
      <c r="AR99" s="259" t="s">
        <v>2343</v>
      </c>
      <c r="AS99" s="608"/>
      <c r="AT99" s="259"/>
      <c r="AU99" s="259"/>
      <c r="AV99" s="261"/>
      <c r="AW99" s="261"/>
      <c r="AX99" s="608"/>
      <c r="AY99" s="262"/>
    </row>
    <row r="100" spans="1:51" s="260" customFormat="1" ht="103.5" hidden="1" customHeight="1">
      <c r="A100" s="620"/>
      <c r="B100" s="274"/>
      <c r="C100" s="1399"/>
      <c r="D100" s="1408"/>
      <c r="E100" s="1400"/>
      <c r="F100" s="267"/>
      <c r="G100" s="1399"/>
      <c r="H100" s="1408"/>
      <c r="I100" s="1400"/>
      <c r="J100" s="1380"/>
      <c r="K100" s="1380"/>
      <c r="L100" s="1380"/>
      <c r="M100" s="608"/>
      <c r="N100" s="608"/>
      <c r="O100" s="608"/>
      <c r="P100" s="608"/>
      <c r="Q100" s="266"/>
      <c r="R100" s="266"/>
      <c r="S100" s="268"/>
      <c r="T100" s="269" t="e">
        <f>VLOOKUP(Q100,[71]Listas!$D$6:$E$10,2,0)</f>
        <v>#N/A</v>
      </c>
      <c r="U100" s="269" t="e">
        <f>HLOOKUP(R100,[71]Listas!$F$4:$J$5,2,0)</f>
        <v>#N/A</v>
      </c>
      <c r="V100" s="270" t="e">
        <f>INDEX([71]Listas!$F$6:$J$10,MATCH(Q100,[71]Listas!$D$6:$D$10,0),MATCH(R100,[71]Listas!$F$4:$J$4,0))</f>
        <v>#N/A</v>
      </c>
      <c r="W100" s="268"/>
      <c r="X100" s="1399"/>
      <c r="Y100" s="1408"/>
      <c r="Z100" s="1400"/>
      <c r="AA100" s="1063"/>
      <c r="AB100" s="267"/>
      <c r="AC100" s="259"/>
      <c r="AD100" s="608"/>
      <c r="AE100" s="267"/>
      <c r="AF100" s="268"/>
      <c r="AG100" s="269">
        <f t="shared" si="16"/>
        <v>0</v>
      </c>
      <c r="AH100" s="271" t="e">
        <f t="shared" si="17"/>
        <v>#N/A</v>
      </c>
      <c r="AI100" s="272" t="e">
        <f>IF(AH100&lt;=1,"Remota",VLOOKUP(AH100,[71]Listas!$C$6:$D$10,2,0))</f>
        <v>#N/A</v>
      </c>
      <c r="AJ100" s="271" t="e">
        <f t="shared" si="18"/>
        <v>#N/A</v>
      </c>
      <c r="AK100" s="272" t="e">
        <f>IF(AJ100&lt;=1,"Insignificante",HLOOKUP(AJ100,[71]Listas!$F$3:$J$4,2,0))</f>
        <v>#N/A</v>
      </c>
      <c r="AL100" s="273" t="e">
        <f t="shared" si="19"/>
        <v>#N/A</v>
      </c>
      <c r="AM100" s="270" t="e">
        <f>INDEX([71]Listas!$F$6:$J$10,MATCH(AI100,[71]Listas!$D$6:$D$10,0),MATCH(AK100,[71]Listas!$F$4:$J$4,0))</f>
        <v>#N/A</v>
      </c>
      <c r="AN100" s="259"/>
      <c r="AO100" s="259"/>
      <c r="AP100" s="610"/>
      <c r="AQ100" s="259"/>
      <c r="AR100" s="259" t="s">
        <v>2343</v>
      </c>
      <c r="AS100" s="608"/>
      <c r="AT100" s="259"/>
      <c r="AU100" s="259"/>
      <c r="AV100" s="261"/>
      <c r="AW100" s="261"/>
      <c r="AX100" s="608"/>
      <c r="AY100" s="262"/>
    </row>
    <row r="101" spans="1:51" s="260" customFormat="1" ht="103.5" hidden="1" customHeight="1">
      <c r="A101" s="608"/>
      <c r="B101" s="266"/>
      <c r="C101" s="1399"/>
      <c r="D101" s="1408"/>
      <c r="E101" s="1400"/>
      <c r="F101" s="267"/>
      <c r="G101" s="1399"/>
      <c r="H101" s="1408"/>
      <c r="I101" s="1400"/>
      <c r="J101" s="1380"/>
      <c r="K101" s="1380"/>
      <c r="L101" s="1380"/>
      <c r="M101" s="608"/>
      <c r="N101" s="608"/>
      <c r="O101" s="608"/>
      <c r="P101" s="608"/>
      <c r="Q101" s="266"/>
      <c r="R101" s="266"/>
      <c r="S101" s="268"/>
      <c r="T101" s="269" t="e">
        <f>VLOOKUP(Q101,[71]Listas!$D$6:$E$10,2,0)</f>
        <v>#N/A</v>
      </c>
      <c r="U101" s="269" t="e">
        <f>HLOOKUP(R101,[71]Listas!$F$4:$J$5,2,0)</f>
        <v>#N/A</v>
      </c>
      <c r="V101" s="270" t="e">
        <f>INDEX([71]Listas!$F$6:$J$10,MATCH(Q101,[71]Listas!$D$6:$D$10,0),MATCH(R101,[71]Listas!$F$4:$J$4,0))</f>
        <v>#N/A</v>
      </c>
      <c r="W101" s="268"/>
      <c r="X101" s="1399"/>
      <c r="Y101" s="1408"/>
      <c r="Z101" s="1400"/>
      <c r="AA101" s="1063"/>
      <c r="AB101" s="267"/>
      <c r="AC101" s="259"/>
      <c r="AD101" s="608"/>
      <c r="AE101" s="267"/>
      <c r="AF101" s="268"/>
      <c r="AG101" s="269">
        <f t="shared" si="16"/>
        <v>0</v>
      </c>
      <c r="AH101" s="271" t="e">
        <f t="shared" si="17"/>
        <v>#N/A</v>
      </c>
      <c r="AI101" s="272" t="e">
        <f>IF(AH101&lt;=1,"Remota",VLOOKUP(AH101,[71]Listas!$C$6:$D$10,2,0))</f>
        <v>#N/A</v>
      </c>
      <c r="AJ101" s="271" t="e">
        <f t="shared" si="18"/>
        <v>#N/A</v>
      </c>
      <c r="AK101" s="272" t="e">
        <f>IF(AJ101&lt;=1,"Insignificante",HLOOKUP(AJ101,[71]Listas!$F$3:$J$4,2,0))</f>
        <v>#N/A</v>
      </c>
      <c r="AL101" s="273" t="e">
        <f t="shared" si="19"/>
        <v>#N/A</v>
      </c>
      <c r="AM101" s="270" t="e">
        <f>INDEX([71]Listas!$F$6:$J$10,MATCH(AI101,[71]Listas!$D$6:$D$10,0),MATCH(AK101,[71]Listas!$F$4:$J$4,0))</f>
        <v>#N/A</v>
      </c>
      <c r="AN101" s="259"/>
      <c r="AO101" s="259"/>
      <c r="AP101" s="610"/>
      <c r="AQ101" s="259"/>
      <c r="AR101" s="259" t="s">
        <v>2343</v>
      </c>
      <c r="AS101" s="608"/>
      <c r="AT101" s="259"/>
      <c r="AU101" s="259"/>
      <c r="AV101" s="261"/>
      <c r="AW101" s="261"/>
      <c r="AX101" s="608"/>
      <c r="AY101" s="262"/>
    </row>
    <row r="102" spans="1:51" s="260" customFormat="1" ht="103.5" hidden="1" customHeight="1">
      <c r="A102" s="608"/>
      <c r="B102" s="266"/>
      <c r="C102" s="1399"/>
      <c r="D102" s="1408"/>
      <c r="E102" s="1400"/>
      <c r="F102" s="267"/>
      <c r="G102" s="1399"/>
      <c r="H102" s="1408"/>
      <c r="I102" s="1400"/>
      <c r="J102" s="1380"/>
      <c r="K102" s="1380"/>
      <c r="L102" s="1380"/>
      <c r="M102" s="608"/>
      <c r="N102" s="608"/>
      <c r="O102" s="608"/>
      <c r="P102" s="608"/>
      <c r="Q102" s="266"/>
      <c r="R102" s="266"/>
      <c r="S102" s="268"/>
      <c r="T102" s="269" t="e">
        <f>VLOOKUP(Q102,[71]Listas!$D$6:$E$10,2,0)</f>
        <v>#N/A</v>
      </c>
      <c r="U102" s="269" t="e">
        <f>HLOOKUP(R102,[71]Listas!$F$4:$J$5,2,0)</f>
        <v>#N/A</v>
      </c>
      <c r="V102" s="270" t="e">
        <f>INDEX([71]Listas!$F$6:$J$10,MATCH(Q102,[71]Listas!$D$6:$D$10,0),MATCH(R102,[71]Listas!$F$4:$J$4,0))</f>
        <v>#N/A</v>
      </c>
      <c r="W102" s="268"/>
      <c r="X102" s="1399"/>
      <c r="Y102" s="1408"/>
      <c r="Z102" s="1400"/>
      <c r="AA102" s="1063"/>
      <c r="AB102" s="267"/>
      <c r="AC102" s="259"/>
      <c r="AD102" s="608"/>
      <c r="AE102" s="267"/>
      <c r="AF102" s="268"/>
      <c r="AG102" s="269">
        <f t="shared" si="16"/>
        <v>0</v>
      </c>
      <c r="AH102" s="271" t="e">
        <f t="shared" si="17"/>
        <v>#N/A</v>
      </c>
      <c r="AI102" s="272" t="e">
        <f>IF(AH102&lt;=1,"Remota",VLOOKUP(AH102,[71]Listas!$C$6:$D$10,2,0))</f>
        <v>#N/A</v>
      </c>
      <c r="AJ102" s="271" t="e">
        <f t="shared" si="18"/>
        <v>#N/A</v>
      </c>
      <c r="AK102" s="272" t="e">
        <f>IF(AJ102&lt;=1,"Insignificante",HLOOKUP(AJ102,[71]Listas!$F$3:$J$4,2,0))</f>
        <v>#N/A</v>
      </c>
      <c r="AL102" s="273" t="e">
        <f t="shared" si="19"/>
        <v>#N/A</v>
      </c>
      <c r="AM102" s="270" t="e">
        <f>INDEX([71]Listas!$F$6:$J$10,MATCH(AI102,[71]Listas!$D$6:$D$10,0),MATCH(AK102,[71]Listas!$F$4:$J$4,0))</f>
        <v>#N/A</v>
      </c>
      <c r="AN102" s="259"/>
      <c r="AO102" s="259"/>
      <c r="AP102" s="610"/>
      <c r="AQ102" s="259"/>
      <c r="AR102" s="259" t="s">
        <v>2343</v>
      </c>
      <c r="AS102" s="608"/>
      <c r="AT102" s="259"/>
      <c r="AU102" s="259"/>
      <c r="AV102" s="261"/>
      <c r="AW102" s="261"/>
      <c r="AX102" s="608"/>
      <c r="AY102" s="262"/>
    </row>
    <row r="103" spans="1:51" s="260" customFormat="1" ht="103.5" hidden="1" customHeight="1">
      <c r="A103" s="608"/>
      <c r="B103" s="266"/>
      <c r="C103" s="1399"/>
      <c r="D103" s="1408"/>
      <c r="E103" s="1400"/>
      <c r="F103" s="267"/>
      <c r="G103" s="1399"/>
      <c r="H103" s="1408"/>
      <c r="I103" s="1400"/>
      <c r="J103" s="1380"/>
      <c r="K103" s="1380"/>
      <c r="L103" s="1380"/>
      <c r="M103" s="608"/>
      <c r="N103" s="608"/>
      <c r="O103" s="608"/>
      <c r="P103" s="608"/>
      <c r="Q103" s="266"/>
      <c r="R103" s="266"/>
      <c r="S103" s="268"/>
      <c r="T103" s="269" t="e">
        <f>VLOOKUP(Q103,[71]Listas!$D$6:$E$10,2,0)</f>
        <v>#N/A</v>
      </c>
      <c r="U103" s="269" t="e">
        <f>HLOOKUP(R103,[71]Listas!$F$4:$J$5,2,0)</f>
        <v>#N/A</v>
      </c>
      <c r="V103" s="270" t="e">
        <f>INDEX([71]Listas!$F$6:$J$10,MATCH(Q103,[71]Listas!$D$6:$D$10,0),MATCH(R103,[71]Listas!$F$4:$J$4,0))</f>
        <v>#N/A</v>
      </c>
      <c r="W103" s="268"/>
      <c r="X103" s="1399"/>
      <c r="Y103" s="1408"/>
      <c r="Z103" s="1400"/>
      <c r="AA103" s="1063"/>
      <c r="AB103" s="267"/>
      <c r="AC103" s="259"/>
      <c r="AD103" s="608"/>
      <c r="AE103" s="267"/>
      <c r="AF103" s="268"/>
      <c r="AG103" s="269">
        <f t="shared" si="16"/>
        <v>0</v>
      </c>
      <c r="AH103" s="271" t="e">
        <f t="shared" si="17"/>
        <v>#N/A</v>
      </c>
      <c r="AI103" s="272" t="e">
        <f>IF(AH103&lt;=1,"Remota",VLOOKUP(AH103,[71]Listas!$C$6:$D$10,2,0))</f>
        <v>#N/A</v>
      </c>
      <c r="AJ103" s="271" t="e">
        <f t="shared" si="18"/>
        <v>#N/A</v>
      </c>
      <c r="AK103" s="272" t="e">
        <f>IF(AJ103&lt;=1,"Insignificante",HLOOKUP(AJ103,[71]Listas!$F$3:$J$4,2,0))</f>
        <v>#N/A</v>
      </c>
      <c r="AL103" s="273" t="e">
        <f t="shared" si="19"/>
        <v>#N/A</v>
      </c>
      <c r="AM103" s="270" t="e">
        <f>INDEX([71]Listas!$F$6:$J$10,MATCH(AI103,[71]Listas!$D$6:$D$10,0),MATCH(AK103,[71]Listas!$F$4:$J$4,0))</f>
        <v>#N/A</v>
      </c>
      <c r="AN103" s="259"/>
      <c r="AO103" s="259"/>
      <c r="AP103" s="610"/>
      <c r="AQ103" s="259"/>
      <c r="AR103" s="259" t="s">
        <v>2343</v>
      </c>
      <c r="AS103" s="608"/>
      <c r="AT103" s="259"/>
      <c r="AU103" s="259"/>
      <c r="AV103" s="261"/>
      <c r="AW103" s="261"/>
      <c r="AX103" s="608"/>
      <c r="AY103" s="262"/>
    </row>
    <row r="104" spans="1:51" s="260" customFormat="1" ht="103.5" hidden="1" customHeight="1">
      <c r="A104" s="608"/>
      <c r="B104" s="266"/>
      <c r="C104" s="1399"/>
      <c r="D104" s="1408"/>
      <c r="E104" s="1400"/>
      <c r="F104" s="267"/>
      <c r="G104" s="1399"/>
      <c r="H104" s="1408"/>
      <c r="I104" s="1400"/>
      <c r="J104" s="1380"/>
      <c r="K104" s="1380"/>
      <c r="L104" s="1380"/>
      <c r="M104" s="608"/>
      <c r="N104" s="608"/>
      <c r="O104" s="608"/>
      <c r="P104" s="608"/>
      <c r="Q104" s="266"/>
      <c r="R104" s="266"/>
      <c r="S104" s="268"/>
      <c r="T104" s="269" t="e">
        <f>VLOOKUP(Q104,[71]Listas!$D$6:$E$10,2,0)</f>
        <v>#N/A</v>
      </c>
      <c r="U104" s="269" t="e">
        <f>HLOOKUP(R104,[71]Listas!$F$4:$J$5,2,0)</f>
        <v>#N/A</v>
      </c>
      <c r="V104" s="270" t="e">
        <f>INDEX([71]Listas!$F$6:$J$10,MATCH(Q104,[71]Listas!$D$6:$D$10,0),MATCH(R104,[71]Listas!$F$4:$J$4,0))</f>
        <v>#N/A</v>
      </c>
      <c r="W104" s="268"/>
      <c r="X104" s="1399"/>
      <c r="Y104" s="1408"/>
      <c r="Z104" s="1400"/>
      <c r="AA104" s="1063"/>
      <c r="AB104" s="267"/>
      <c r="AC104" s="259"/>
      <c r="AD104" s="608"/>
      <c r="AE104" s="267"/>
      <c r="AF104" s="268"/>
      <c r="AG104" s="269">
        <f t="shared" si="16"/>
        <v>0</v>
      </c>
      <c r="AH104" s="271" t="e">
        <f t="shared" si="17"/>
        <v>#N/A</v>
      </c>
      <c r="AI104" s="272" t="e">
        <f>IF(AH104&lt;=1,"Remota",VLOOKUP(AH104,[71]Listas!$C$6:$D$10,2,0))</f>
        <v>#N/A</v>
      </c>
      <c r="AJ104" s="271" t="e">
        <f t="shared" si="18"/>
        <v>#N/A</v>
      </c>
      <c r="AK104" s="272" t="e">
        <f>IF(AJ104&lt;=1,"Insignificante",HLOOKUP(AJ104,[71]Listas!$F$3:$J$4,2,0))</f>
        <v>#N/A</v>
      </c>
      <c r="AL104" s="273" t="e">
        <f t="shared" si="19"/>
        <v>#N/A</v>
      </c>
      <c r="AM104" s="270" t="e">
        <f>INDEX([71]Listas!$F$6:$J$10,MATCH(AI104,[71]Listas!$D$6:$D$10,0),MATCH(AK104,[71]Listas!$F$4:$J$4,0))</f>
        <v>#N/A</v>
      </c>
      <c r="AN104" s="259"/>
      <c r="AO104" s="259"/>
      <c r="AP104" s="610"/>
      <c r="AQ104" s="259"/>
      <c r="AR104" s="259" t="s">
        <v>2343</v>
      </c>
      <c r="AS104" s="608"/>
      <c r="AT104" s="259"/>
      <c r="AU104" s="259"/>
      <c r="AV104" s="261"/>
      <c r="AW104" s="261"/>
      <c r="AX104" s="608"/>
      <c r="AY104" s="262"/>
    </row>
    <row r="105" spans="1:51" s="260" customFormat="1" ht="103.5" hidden="1" customHeight="1">
      <c r="A105" s="608"/>
      <c r="B105" s="266"/>
      <c r="C105" s="1399"/>
      <c r="D105" s="1408"/>
      <c r="E105" s="1400"/>
      <c r="F105" s="267"/>
      <c r="G105" s="1399"/>
      <c r="H105" s="1408"/>
      <c r="I105" s="1400"/>
      <c r="J105" s="1380"/>
      <c r="K105" s="1380"/>
      <c r="L105" s="1380"/>
      <c r="M105" s="608"/>
      <c r="N105" s="608"/>
      <c r="O105" s="608"/>
      <c r="P105" s="608"/>
      <c r="Q105" s="266"/>
      <c r="R105" s="266"/>
      <c r="S105" s="268"/>
      <c r="T105" s="269" t="e">
        <f>VLOOKUP(Q105,[71]Listas!$D$6:$E$10,2,0)</f>
        <v>#N/A</v>
      </c>
      <c r="U105" s="269" t="e">
        <f>HLOOKUP(R105,[71]Listas!$F$4:$J$5,2,0)</f>
        <v>#N/A</v>
      </c>
      <c r="V105" s="270" t="e">
        <f>INDEX([71]Listas!$F$6:$J$10,MATCH(Q105,[71]Listas!$D$6:$D$10,0),MATCH(R105,[71]Listas!$F$4:$J$4,0))</f>
        <v>#N/A</v>
      </c>
      <c r="W105" s="268"/>
      <c r="X105" s="1399"/>
      <c r="Y105" s="1408"/>
      <c r="Z105" s="1400"/>
      <c r="AA105" s="1063"/>
      <c r="AB105" s="267"/>
      <c r="AC105" s="259"/>
      <c r="AD105" s="608"/>
      <c r="AE105" s="267"/>
      <c r="AF105" s="268"/>
      <c r="AG105" s="269">
        <f t="shared" si="16"/>
        <v>0</v>
      </c>
      <c r="AH105" s="271" t="e">
        <f t="shared" si="17"/>
        <v>#N/A</v>
      </c>
      <c r="AI105" s="272" t="e">
        <f>IF(AH105&lt;=1,"Remota",VLOOKUP(AH105,[71]Listas!$C$6:$D$10,2,0))</f>
        <v>#N/A</v>
      </c>
      <c r="AJ105" s="271" t="e">
        <f t="shared" si="18"/>
        <v>#N/A</v>
      </c>
      <c r="AK105" s="272" t="e">
        <f>IF(AJ105&lt;=1,"Insignificante",HLOOKUP(AJ105,[71]Listas!$F$3:$J$4,2,0))</f>
        <v>#N/A</v>
      </c>
      <c r="AL105" s="273" t="e">
        <f t="shared" si="19"/>
        <v>#N/A</v>
      </c>
      <c r="AM105" s="270" t="e">
        <f>INDEX([71]Listas!$F$6:$J$10,MATCH(AI105,[71]Listas!$D$6:$D$10,0),MATCH(AK105,[71]Listas!$F$4:$J$4,0))</f>
        <v>#N/A</v>
      </c>
      <c r="AN105" s="259"/>
      <c r="AO105" s="259"/>
      <c r="AP105" s="610"/>
      <c r="AQ105" s="259"/>
      <c r="AR105" s="259" t="s">
        <v>2343</v>
      </c>
      <c r="AS105" s="608"/>
      <c r="AT105" s="259"/>
      <c r="AU105" s="259"/>
      <c r="AV105" s="261"/>
      <c r="AW105" s="261"/>
      <c r="AX105" s="608"/>
      <c r="AY105" s="262"/>
    </row>
    <row r="106" spans="1:51" s="260" customFormat="1" ht="103.5" hidden="1" customHeight="1">
      <c r="A106" s="608"/>
      <c r="B106" s="266"/>
      <c r="C106" s="1399"/>
      <c r="D106" s="1408"/>
      <c r="E106" s="1400"/>
      <c r="F106" s="267"/>
      <c r="G106" s="1399"/>
      <c r="H106" s="1408"/>
      <c r="I106" s="1400"/>
      <c r="J106" s="1380"/>
      <c r="K106" s="1380"/>
      <c r="L106" s="1380"/>
      <c r="M106" s="608"/>
      <c r="N106" s="608"/>
      <c r="O106" s="608"/>
      <c r="P106" s="608"/>
      <c r="Q106" s="266"/>
      <c r="R106" s="266"/>
      <c r="S106" s="268"/>
      <c r="T106" s="269" t="e">
        <f>VLOOKUP(Q106,[71]Listas!$D$6:$E$10,2,0)</f>
        <v>#N/A</v>
      </c>
      <c r="U106" s="269" t="e">
        <f>HLOOKUP(R106,[71]Listas!$F$4:$J$5,2,0)</f>
        <v>#N/A</v>
      </c>
      <c r="V106" s="270" t="e">
        <f>INDEX([71]Listas!$F$6:$J$10,MATCH(Q106,[71]Listas!$D$6:$D$10,0),MATCH(R106,[71]Listas!$F$4:$J$4,0))</f>
        <v>#N/A</v>
      </c>
      <c r="W106" s="268"/>
      <c r="X106" s="1399"/>
      <c r="Y106" s="1408"/>
      <c r="Z106" s="1400"/>
      <c r="AA106" s="1063"/>
      <c r="AB106" s="267"/>
      <c r="AC106" s="259"/>
      <c r="AD106" s="608"/>
      <c r="AE106" s="267"/>
      <c r="AF106" s="268"/>
      <c r="AG106" s="269">
        <f t="shared" si="16"/>
        <v>0</v>
      </c>
      <c r="AH106" s="271" t="e">
        <f t="shared" si="17"/>
        <v>#N/A</v>
      </c>
      <c r="AI106" s="272" t="e">
        <f>IF(AH106&lt;=1,"Remota",VLOOKUP(AH106,[71]Listas!$C$6:$D$10,2,0))</f>
        <v>#N/A</v>
      </c>
      <c r="AJ106" s="271" t="e">
        <f t="shared" si="18"/>
        <v>#N/A</v>
      </c>
      <c r="AK106" s="272" t="e">
        <f>IF(AJ106&lt;=1,"Insignificante",HLOOKUP(AJ106,[71]Listas!$F$3:$J$4,2,0))</f>
        <v>#N/A</v>
      </c>
      <c r="AL106" s="273" t="e">
        <f t="shared" si="19"/>
        <v>#N/A</v>
      </c>
      <c r="AM106" s="270" t="e">
        <f>INDEX([71]Listas!$F$6:$J$10,MATCH(AI106,[71]Listas!$D$6:$D$10,0),MATCH(AK106,[71]Listas!$F$4:$J$4,0))</f>
        <v>#N/A</v>
      </c>
      <c r="AN106" s="259"/>
      <c r="AO106" s="259"/>
      <c r="AP106" s="610"/>
      <c r="AQ106" s="259"/>
      <c r="AR106" s="259" t="s">
        <v>2343</v>
      </c>
      <c r="AS106" s="608"/>
      <c r="AT106" s="259"/>
      <c r="AU106" s="259"/>
      <c r="AV106" s="261"/>
      <c r="AW106" s="261"/>
      <c r="AX106" s="608"/>
      <c r="AY106" s="262"/>
    </row>
    <row r="107" spans="1:51" s="260" customFormat="1" ht="103.5" hidden="1" customHeight="1">
      <c r="A107" s="608"/>
      <c r="B107" s="266"/>
      <c r="C107" s="1399"/>
      <c r="D107" s="1408"/>
      <c r="E107" s="1400"/>
      <c r="F107" s="267"/>
      <c r="G107" s="1399"/>
      <c r="H107" s="1408"/>
      <c r="I107" s="1400"/>
      <c r="J107" s="1380"/>
      <c r="K107" s="1380"/>
      <c r="L107" s="1380"/>
      <c r="M107" s="608"/>
      <c r="N107" s="608"/>
      <c r="O107" s="608"/>
      <c r="P107" s="608"/>
      <c r="Q107" s="266"/>
      <c r="R107" s="266"/>
      <c r="S107" s="268"/>
      <c r="T107" s="269" t="e">
        <f>VLOOKUP(Q107,[71]Listas!$D$6:$E$10,2,0)</f>
        <v>#N/A</v>
      </c>
      <c r="U107" s="269" t="e">
        <f>HLOOKUP(R107,[71]Listas!$F$4:$J$5,2,0)</f>
        <v>#N/A</v>
      </c>
      <c r="V107" s="270" t="e">
        <f>INDEX([71]Listas!$F$6:$J$10,MATCH(Q107,[71]Listas!$D$6:$D$10,0),MATCH(R107,[71]Listas!$F$4:$J$4,0))</f>
        <v>#N/A</v>
      </c>
      <c r="W107" s="268"/>
      <c r="X107" s="1399"/>
      <c r="Y107" s="1408"/>
      <c r="Z107" s="1400"/>
      <c r="AA107" s="1063"/>
      <c r="AB107" s="267"/>
      <c r="AC107" s="259"/>
      <c r="AD107" s="608"/>
      <c r="AE107" s="267"/>
      <c r="AF107" s="268"/>
      <c r="AG107" s="269">
        <f t="shared" si="16"/>
        <v>0</v>
      </c>
      <c r="AH107" s="271" t="e">
        <f t="shared" si="17"/>
        <v>#N/A</v>
      </c>
      <c r="AI107" s="272" t="e">
        <f>IF(AH107&lt;=1,"Remota",VLOOKUP(AH107,[71]Listas!$C$6:$D$10,2,0))</f>
        <v>#N/A</v>
      </c>
      <c r="AJ107" s="271" t="e">
        <f t="shared" si="18"/>
        <v>#N/A</v>
      </c>
      <c r="AK107" s="272" t="e">
        <f>IF(AJ107&lt;=1,"Insignificante",HLOOKUP(AJ107,[71]Listas!$F$3:$J$4,2,0))</f>
        <v>#N/A</v>
      </c>
      <c r="AL107" s="273" t="e">
        <f t="shared" si="19"/>
        <v>#N/A</v>
      </c>
      <c r="AM107" s="270" t="e">
        <f>INDEX([71]Listas!$F$6:$J$10,MATCH(AI107,[71]Listas!$D$6:$D$10,0),MATCH(AK107,[71]Listas!$F$4:$J$4,0))</f>
        <v>#N/A</v>
      </c>
      <c r="AN107" s="259"/>
      <c r="AO107" s="259"/>
      <c r="AP107" s="610"/>
      <c r="AQ107" s="259"/>
      <c r="AR107" s="259" t="s">
        <v>2343</v>
      </c>
      <c r="AS107" s="608"/>
      <c r="AT107" s="259"/>
      <c r="AU107" s="259"/>
      <c r="AV107" s="261"/>
      <c r="AW107" s="261"/>
      <c r="AX107" s="608"/>
      <c r="AY107" s="262"/>
    </row>
    <row r="108" spans="1:51" s="260" customFormat="1" ht="103.5" hidden="1" customHeight="1">
      <c r="A108" s="608"/>
      <c r="B108" s="266"/>
      <c r="C108" s="1399"/>
      <c r="D108" s="1408"/>
      <c r="E108" s="1400"/>
      <c r="F108" s="267"/>
      <c r="G108" s="1399"/>
      <c r="H108" s="1408"/>
      <c r="I108" s="1400"/>
      <c r="J108" s="1380"/>
      <c r="K108" s="1380"/>
      <c r="L108" s="1380"/>
      <c r="M108" s="608"/>
      <c r="N108" s="608"/>
      <c r="O108" s="608"/>
      <c r="P108" s="608"/>
      <c r="Q108" s="266"/>
      <c r="R108" s="266"/>
      <c r="S108" s="268"/>
      <c r="T108" s="269" t="e">
        <f>VLOOKUP(Q108,[71]Listas!$D$6:$E$10,2,0)</f>
        <v>#N/A</v>
      </c>
      <c r="U108" s="269" t="e">
        <f>HLOOKUP(R108,[71]Listas!$F$4:$J$5,2,0)</f>
        <v>#N/A</v>
      </c>
      <c r="V108" s="270" t="e">
        <f>INDEX([71]Listas!$F$6:$J$10,MATCH(Q108,[71]Listas!$D$6:$D$10,0),MATCH(R108,[71]Listas!$F$4:$J$4,0))</f>
        <v>#N/A</v>
      </c>
      <c r="W108" s="268"/>
      <c r="X108" s="1399"/>
      <c r="Y108" s="1408"/>
      <c r="Z108" s="1400"/>
      <c r="AA108" s="1063"/>
      <c r="AB108" s="267"/>
      <c r="AC108" s="259"/>
      <c r="AD108" s="608"/>
      <c r="AE108" s="267"/>
      <c r="AF108" s="268"/>
      <c r="AG108" s="269">
        <f t="shared" si="16"/>
        <v>0</v>
      </c>
      <c r="AH108" s="271" t="e">
        <f t="shared" si="17"/>
        <v>#N/A</v>
      </c>
      <c r="AI108" s="272" t="e">
        <f>IF(AH108&lt;=1,"Remota",VLOOKUP(AH108,[71]Listas!$C$6:$D$10,2,0))</f>
        <v>#N/A</v>
      </c>
      <c r="AJ108" s="271" t="e">
        <f t="shared" si="18"/>
        <v>#N/A</v>
      </c>
      <c r="AK108" s="272" t="e">
        <f>IF(AJ108&lt;=1,"Insignificante",HLOOKUP(AJ108,[71]Listas!$F$3:$J$4,2,0))</f>
        <v>#N/A</v>
      </c>
      <c r="AL108" s="273" t="e">
        <f t="shared" si="19"/>
        <v>#N/A</v>
      </c>
      <c r="AM108" s="270" t="e">
        <f>INDEX([71]Listas!$F$6:$J$10,MATCH(AI108,[71]Listas!$D$6:$D$10,0),MATCH(AK108,[71]Listas!$F$4:$J$4,0))</f>
        <v>#N/A</v>
      </c>
      <c r="AN108" s="259"/>
      <c r="AO108" s="259"/>
      <c r="AP108" s="610"/>
      <c r="AQ108" s="259"/>
      <c r="AR108" s="259" t="s">
        <v>2343</v>
      </c>
      <c r="AS108" s="608"/>
      <c r="AT108" s="259"/>
      <c r="AU108" s="259"/>
      <c r="AV108" s="261"/>
      <c r="AW108" s="261"/>
      <c r="AX108" s="608"/>
      <c r="AY108" s="262"/>
    </row>
    <row r="109" spans="1:51" s="260" customFormat="1" ht="103.5" hidden="1" customHeight="1">
      <c r="A109" s="608"/>
      <c r="B109" s="266"/>
      <c r="C109" s="1399"/>
      <c r="D109" s="1408"/>
      <c r="E109" s="1400"/>
      <c r="F109" s="267"/>
      <c r="G109" s="1399"/>
      <c r="H109" s="1408"/>
      <c r="I109" s="1400"/>
      <c r="J109" s="1380"/>
      <c r="K109" s="1380"/>
      <c r="L109" s="1380"/>
      <c r="M109" s="608"/>
      <c r="N109" s="608"/>
      <c r="O109" s="608"/>
      <c r="P109" s="608"/>
      <c r="Q109" s="266"/>
      <c r="R109" s="266"/>
      <c r="S109" s="268"/>
      <c r="T109" s="269" t="e">
        <f>VLOOKUP(Q109,[71]Listas!$D$6:$E$10,2,0)</f>
        <v>#N/A</v>
      </c>
      <c r="U109" s="269" t="e">
        <f>HLOOKUP(R109,[71]Listas!$F$4:$J$5,2,0)</f>
        <v>#N/A</v>
      </c>
      <c r="V109" s="270" t="e">
        <f>INDEX([71]Listas!$F$6:$J$10,MATCH(Q109,[71]Listas!$D$6:$D$10,0),MATCH(R109,[71]Listas!$F$4:$J$4,0))</f>
        <v>#N/A</v>
      </c>
      <c r="W109" s="268"/>
      <c r="X109" s="1399"/>
      <c r="Y109" s="1408"/>
      <c r="Z109" s="1400"/>
      <c r="AA109" s="1063"/>
      <c r="AB109" s="267"/>
      <c r="AC109" s="259"/>
      <c r="AD109" s="608"/>
      <c r="AE109" s="267"/>
      <c r="AF109" s="268"/>
      <c r="AG109" s="269">
        <f t="shared" si="16"/>
        <v>0</v>
      </c>
      <c r="AH109" s="271" t="e">
        <f t="shared" si="17"/>
        <v>#N/A</v>
      </c>
      <c r="AI109" s="272" t="e">
        <f>IF(AH109&lt;=1,"Remota",VLOOKUP(AH109,[71]Listas!$C$6:$D$10,2,0))</f>
        <v>#N/A</v>
      </c>
      <c r="AJ109" s="271" t="e">
        <f t="shared" si="18"/>
        <v>#N/A</v>
      </c>
      <c r="AK109" s="272" t="e">
        <f>IF(AJ109&lt;=1,"Insignificante",HLOOKUP(AJ109,[71]Listas!$F$3:$J$4,2,0))</f>
        <v>#N/A</v>
      </c>
      <c r="AL109" s="273" t="e">
        <f t="shared" si="19"/>
        <v>#N/A</v>
      </c>
      <c r="AM109" s="270" t="e">
        <f>INDEX([71]Listas!$F$6:$J$10,MATCH(AI109,[71]Listas!$D$6:$D$10,0),MATCH(AK109,[71]Listas!$F$4:$J$4,0))</f>
        <v>#N/A</v>
      </c>
      <c r="AN109" s="259"/>
      <c r="AO109" s="259"/>
      <c r="AP109" s="610"/>
      <c r="AQ109" s="259"/>
      <c r="AR109" s="259" t="s">
        <v>2343</v>
      </c>
      <c r="AS109" s="608"/>
      <c r="AT109" s="259"/>
      <c r="AU109" s="259"/>
      <c r="AV109" s="261"/>
      <c r="AW109" s="261"/>
      <c r="AX109" s="608"/>
      <c r="AY109" s="262"/>
    </row>
    <row r="110" spans="1:51" s="260" customFormat="1" ht="103.5" hidden="1" customHeight="1">
      <c r="A110" s="608"/>
      <c r="B110" s="266"/>
      <c r="C110" s="1399"/>
      <c r="D110" s="1408"/>
      <c r="E110" s="1400"/>
      <c r="F110" s="267"/>
      <c r="G110" s="1399"/>
      <c r="H110" s="1408"/>
      <c r="I110" s="1400"/>
      <c r="J110" s="1380"/>
      <c r="K110" s="1380"/>
      <c r="L110" s="1380"/>
      <c r="M110" s="608"/>
      <c r="N110" s="608"/>
      <c r="O110" s="608"/>
      <c r="P110" s="608"/>
      <c r="Q110" s="266"/>
      <c r="R110" s="266"/>
      <c r="S110" s="268"/>
      <c r="T110" s="269" t="e">
        <f>VLOOKUP(Q110,[71]Listas!$D$6:$E$10,2,0)</f>
        <v>#N/A</v>
      </c>
      <c r="U110" s="269" t="e">
        <f>HLOOKUP(R110,[71]Listas!$F$4:$J$5,2,0)</f>
        <v>#N/A</v>
      </c>
      <c r="V110" s="270" t="e">
        <f>INDEX([71]Listas!$F$6:$J$10,MATCH(Q110,[71]Listas!$D$6:$D$10,0),MATCH(R110,[71]Listas!$F$4:$J$4,0))</f>
        <v>#N/A</v>
      </c>
      <c r="W110" s="268"/>
      <c r="X110" s="1399"/>
      <c r="Y110" s="1408"/>
      <c r="Z110" s="1400"/>
      <c r="AA110" s="1063"/>
      <c r="AB110" s="267"/>
      <c r="AC110" s="259"/>
      <c r="AD110" s="608"/>
      <c r="AE110" s="267"/>
      <c r="AF110" s="268"/>
      <c r="AG110" s="269">
        <f t="shared" si="16"/>
        <v>0</v>
      </c>
      <c r="AH110" s="271" t="e">
        <f t="shared" si="17"/>
        <v>#N/A</v>
      </c>
      <c r="AI110" s="272" t="e">
        <f>IF(AH110&lt;=1,"Remota",VLOOKUP(AH110,[71]Listas!$C$6:$D$10,2,0))</f>
        <v>#N/A</v>
      </c>
      <c r="AJ110" s="271" t="e">
        <f t="shared" si="18"/>
        <v>#N/A</v>
      </c>
      <c r="AK110" s="272" t="e">
        <f>IF(AJ110&lt;=1,"Insignificante",HLOOKUP(AJ110,[71]Listas!$F$3:$J$4,2,0))</f>
        <v>#N/A</v>
      </c>
      <c r="AL110" s="273" t="e">
        <f t="shared" si="19"/>
        <v>#N/A</v>
      </c>
      <c r="AM110" s="270" t="e">
        <f>INDEX([71]Listas!$F$6:$J$10,MATCH(AI110,[71]Listas!$D$6:$D$10,0),MATCH(AK110,[71]Listas!$F$4:$J$4,0))</f>
        <v>#N/A</v>
      </c>
      <c r="AN110" s="259"/>
      <c r="AO110" s="259"/>
      <c r="AP110" s="610"/>
      <c r="AQ110" s="259"/>
      <c r="AR110" s="259" t="s">
        <v>2343</v>
      </c>
      <c r="AS110" s="608"/>
      <c r="AT110" s="259"/>
      <c r="AU110" s="259"/>
      <c r="AV110" s="261"/>
      <c r="AW110" s="261"/>
      <c r="AX110" s="608"/>
      <c r="AY110" s="262"/>
    </row>
    <row r="111" spans="1:51" s="260" customFormat="1" ht="103.5" hidden="1" customHeight="1">
      <c r="A111" s="608"/>
      <c r="B111" s="266"/>
      <c r="C111" s="1399"/>
      <c r="D111" s="1408"/>
      <c r="E111" s="1400"/>
      <c r="F111" s="267"/>
      <c r="G111" s="1399"/>
      <c r="H111" s="1408"/>
      <c r="I111" s="1400"/>
      <c r="J111" s="1380"/>
      <c r="K111" s="1380"/>
      <c r="L111" s="1380"/>
      <c r="M111" s="608"/>
      <c r="N111" s="608"/>
      <c r="O111" s="608"/>
      <c r="P111" s="608"/>
      <c r="Q111" s="266"/>
      <c r="R111" s="266"/>
      <c r="S111" s="268"/>
      <c r="T111" s="269" t="e">
        <f>VLOOKUP(Q111,[71]Listas!$D$6:$E$10,2,0)</f>
        <v>#N/A</v>
      </c>
      <c r="U111" s="269" t="e">
        <f>HLOOKUP(R111,[71]Listas!$F$4:$J$5,2,0)</f>
        <v>#N/A</v>
      </c>
      <c r="V111" s="270" t="e">
        <f>INDEX([71]Listas!$F$6:$J$10,MATCH(Q111,[71]Listas!$D$6:$D$10,0),MATCH(R111,[71]Listas!$F$4:$J$4,0))</f>
        <v>#N/A</v>
      </c>
      <c r="W111" s="268"/>
      <c r="X111" s="1399"/>
      <c r="Y111" s="1408"/>
      <c r="Z111" s="1400"/>
      <c r="AA111" s="1063"/>
      <c r="AB111" s="267"/>
      <c r="AC111" s="259"/>
      <c r="AD111" s="608"/>
      <c r="AE111" s="267"/>
      <c r="AF111" s="268"/>
      <c r="AG111" s="269">
        <f t="shared" si="16"/>
        <v>0</v>
      </c>
      <c r="AH111" s="271" t="e">
        <f t="shared" si="17"/>
        <v>#N/A</v>
      </c>
      <c r="AI111" s="272" t="e">
        <f>IF(AH111&lt;=1,"Remota",VLOOKUP(AH111,[71]Listas!$C$6:$D$10,2,0))</f>
        <v>#N/A</v>
      </c>
      <c r="AJ111" s="271" t="e">
        <f t="shared" si="18"/>
        <v>#N/A</v>
      </c>
      <c r="AK111" s="272" t="e">
        <f>IF(AJ111&lt;=1,"Insignificante",HLOOKUP(AJ111,[71]Listas!$F$3:$J$4,2,0))</f>
        <v>#N/A</v>
      </c>
      <c r="AL111" s="273" t="e">
        <f t="shared" si="19"/>
        <v>#N/A</v>
      </c>
      <c r="AM111" s="270" t="e">
        <f>INDEX([71]Listas!$F$6:$J$10,MATCH(AI111,[71]Listas!$D$6:$D$10,0),MATCH(AK111,[71]Listas!$F$4:$J$4,0))</f>
        <v>#N/A</v>
      </c>
      <c r="AN111" s="259"/>
      <c r="AO111" s="259"/>
      <c r="AP111" s="610"/>
      <c r="AQ111" s="259"/>
      <c r="AR111" s="259" t="s">
        <v>2343</v>
      </c>
      <c r="AS111" s="608"/>
      <c r="AT111" s="259"/>
      <c r="AU111" s="259"/>
      <c r="AV111" s="261"/>
      <c r="AW111" s="261"/>
      <c r="AX111" s="608"/>
      <c r="AY111" s="262"/>
    </row>
    <row r="112" spans="1:51" s="260" customFormat="1" ht="103.5" hidden="1" customHeight="1">
      <c r="A112" s="608"/>
      <c r="B112" s="266"/>
      <c r="C112" s="1399"/>
      <c r="D112" s="1408"/>
      <c r="E112" s="1400"/>
      <c r="F112" s="267"/>
      <c r="G112" s="1399"/>
      <c r="H112" s="1408"/>
      <c r="I112" s="1400"/>
      <c r="J112" s="1380"/>
      <c r="K112" s="1380"/>
      <c r="L112" s="1380"/>
      <c r="M112" s="608"/>
      <c r="N112" s="608"/>
      <c r="O112" s="608"/>
      <c r="P112" s="608"/>
      <c r="Q112" s="266"/>
      <c r="R112" s="266"/>
      <c r="S112" s="268"/>
      <c r="T112" s="269" t="e">
        <f>VLOOKUP(Q112,[71]Listas!$D$6:$E$10,2,0)</f>
        <v>#N/A</v>
      </c>
      <c r="U112" s="269" t="e">
        <f>HLOOKUP(R112,[71]Listas!$F$4:$J$5,2,0)</f>
        <v>#N/A</v>
      </c>
      <c r="V112" s="270" t="e">
        <f>INDEX([71]Listas!$F$6:$J$10,MATCH(Q112,[71]Listas!$D$6:$D$10,0),MATCH(R112,[71]Listas!$F$4:$J$4,0))</f>
        <v>#N/A</v>
      </c>
      <c r="W112" s="268"/>
      <c r="X112" s="1399"/>
      <c r="Y112" s="1408"/>
      <c r="Z112" s="1400"/>
      <c r="AA112" s="1063"/>
      <c r="AB112" s="267"/>
      <c r="AC112" s="259"/>
      <c r="AD112" s="608"/>
      <c r="AE112" s="267"/>
      <c r="AF112" s="268"/>
      <c r="AG112" s="269">
        <f t="shared" si="16"/>
        <v>0</v>
      </c>
      <c r="AH112" s="271" t="e">
        <f t="shared" si="17"/>
        <v>#N/A</v>
      </c>
      <c r="AI112" s="272" t="e">
        <f>IF(AH112&lt;=1,"Remota",VLOOKUP(AH112,[71]Listas!$C$6:$D$10,2,0))</f>
        <v>#N/A</v>
      </c>
      <c r="AJ112" s="271" t="e">
        <f t="shared" si="18"/>
        <v>#N/A</v>
      </c>
      <c r="AK112" s="272" t="e">
        <f>IF(AJ112&lt;=1,"Insignificante",HLOOKUP(AJ112,[71]Listas!$F$3:$J$4,2,0))</f>
        <v>#N/A</v>
      </c>
      <c r="AL112" s="273" t="e">
        <f t="shared" si="19"/>
        <v>#N/A</v>
      </c>
      <c r="AM112" s="270" t="e">
        <f>INDEX([71]Listas!$F$6:$J$10,MATCH(AI112,[71]Listas!$D$6:$D$10,0),MATCH(AK112,[71]Listas!$F$4:$J$4,0))</f>
        <v>#N/A</v>
      </c>
      <c r="AN112" s="259"/>
      <c r="AO112" s="259"/>
      <c r="AP112" s="610"/>
      <c r="AQ112" s="259"/>
      <c r="AR112" s="259" t="s">
        <v>2343</v>
      </c>
      <c r="AS112" s="608"/>
      <c r="AT112" s="259"/>
      <c r="AU112" s="259"/>
      <c r="AV112" s="261"/>
      <c r="AW112" s="261"/>
      <c r="AX112" s="608"/>
      <c r="AY112" s="262"/>
    </row>
    <row r="113" spans="1:51" s="260" customFormat="1" ht="103.5" hidden="1" customHeight="1">
      <c r="A113" s="608"/>
      <c r="B113" s="266"/>
      <c r="C113" s="1399"/>
      <c r="D113" s="1408"/>
      <c r="E113" s="1400"/>
      <c r="F113" s="267"/>
      <c r="G113" s="1399"/>
      <c r="H113" s="1408"/>
      <c r="I113" s="1400"/>
      <c r="J113" s="1380"/>
      <c r="K113" s="1380"/>
      <c r="L113" s="1380"/>
      <c r="M113" s="608"/>
      <c r="N113" s="608"/>
      <c r="O113" s="608"/>
      <c r="P113" s="608"/>
      <c r="Q113" s="266"/>
      <c r="R113" s="266"/>
      <c r="S113" s="268"/>
      <c r="T113" s="269" t="e">
        <f>VLOOKUP(Q113,[71]Listas!$D$6:$E$10,2,0)</f>
        <v>#N/A</v>
      </c>
      <c r="U113" s="269" t="e">
        <f>HLOOKUP(R113,[71]Listas!$F$4:$J$5,2,0)</f>
        <v>#N/A</v>
      </c>
      <c r="V113" s="270" t="e">
        <f>INDEX([71]Listas!$F$6:$J$10,MATCH(Q113,[71]Listas!$D$6:$D$10,0),MATCH(R113,[71]Listas!$F$4:$J$4,0))</f>
        <v>#N/A</v>
      </c>
      <c r="W113" s="268"/>
      <c r="X113" s="1399"/>
      <c r="Y113" s="1408"/>
      <c r="Z113" s="1400"/>
      <c r="AA113" s="1063"/>
      <c r="AB113" s="267"/>
      <c r="AC113" s="259"/>
      <c r="AD113" s="608"/>
      <c r="AE113" s="267"/>
      <c r="AF113" s="268"/>
      <c r="AG113" s="269">
        <f t="shared" si="16"/>
        <v>0</v>
      </c>
      <c r="AH113" s="271" t="e">
        <f t="shared" si="17"/>
        <v>#N/A</v>
      </c>
      <c r="AI113" s="272" t="e">
        <f>IF(AH113&lt;=1,"Remota",VLOOKUP(AH113,[71]Listas!$C$6:$D$10,2,0))</f>
        <v>#N/A</v>
      </c>
      <c r="AJ113" s="271" t="e">
        <f t="shared" si="18"/>
        <v>#N/A</v>
      </c>
      <c r="AK113" s="272" t="e">
        <f>IF(AJ113&lt;=1,"Insignificante",HLOOKUP(AJ113,[71]Listas!$F$3:$J$4,2,0))</f>
        <v>#N/A</v>
      </c>
      <c r="AL113" s="273" t="e">
        <f t="shared" si="19"/>
        <v>#N/A</v>
      </c>
      <c r="AM113" s="270" t="e">
        <f>INDEX([71]Listas!$F$6:$J$10,MATCH(AI113,[71]Listas!$D$6:$D$10,0),MATCH(AK113,[71]Listas!$F$4:$J$4,0))</f>
        <v>#N/A</v>
      </c>
      <c r="AN113" s="259"/>
      <c r="AO113" s="259"/>
      <c r="AP113" s="610"/>
      <c r="AQ113" s="259"/>
      <c r="AR113" s="259" t="s">
        <v>2343</v>
      </c>
      <c r="AS113" s="608"/>
      <c r="AT113" s="259"/>
      <c r="AU113" s="259"/>
      <c r="AV113" s="261"/>
      <c r="AW113" s="261"/>
      <c r="AX113" s="608"/>
      <c r="AY113" s="262"/>
    </row>
    <row r="114" spans="1:51" s="260" customFormat="1" ht="103.5" hidden="1" customHeight="1">
      <c r="A114" s="608"/>
      <c r="B114" s="266"/>
      <c r="C114" s="1399"/>
      <c r="D114" s="1408"/>
      <c r="E114" s="1400"/>
      <c r="F114" s="267"/>
      <c r="G114" s="1399"/>
      <c r="H114" s="1408"/>
      <c r="I114" s="1400"/>
      <c r="J114" s="1380"/>
      <c r="K114" s="1380"/>
      <c r="L114" s="1380"/>
      <c r="M114" s="608"/>
      <c r="N114" s="608"/>
      <c r="O114" s="608"/>
      <c r="P114" s="608"/>
      <c r="Q114" s="266"/>
      <c r="R114" s="266"/>
      <c r="S114" s="268"/>
      <c r="T114" s="269" t="e">
        <f>VLOOKUP(Q114,[71]Listas!$D$6:$E$10,2,0)</f>
        <v>#N/A</v>
      </c>
      <c r="U114" s="269" t="e">
        <f>HLOOKUP(R114,[71]Listas!$F$4:$J$5,2,0)</f>
        <v>#N/A</v>
      </c>
      <c r="V114" s="270" t="e">
        <f>INDEX([71]Listas!$F$6:$J$10,MATCH(Q114,[71]Listas!$D$6:$D$10,0),MATCH(R114,[71]Listas!$F$4:$J$4,0))</f>
        <v>#N/A</v>
      </c>
      <c r="W114" s="268"/>
      <c r="X114" s="1399"/>
      <c r="Y114" s="1408"/>
      <c r="Z114" s="1400"/>
      <c r="AA114" s="1063"/>
      <c r="AB114" s="267"/>
      <c r="AC114" s="259"/>
      <c r="AD114" s="608"/>
      <c r="AE114" s="267"/>
      <c r="AF114" s="268"/>
      <c r="AG114" s="269">
        <f t="shared" si="16"/>
        <v>0</v>
      </c>
      <c r="AH114" s="271" t="e">
        <f t="shared" si="17"/>
        <v>#N/A</v>
      </c>
      <c r="AI114" s="272" t="e">
        <f>IF(AH114&lt;=1,"Remota",VLOOKUP(AH114,[71]Listas!$C$6:$D$10,2,0))</f>
        <v>#N/A</v>
      </c>
      <c r="AJ114" s="271" t="e">
        <f t="shared" si="18"/>
        <v>#N/A</v>
      </c>
      <c r="AK114" s="272" t="e">
        <f>IF(AJ114&lt;=1,"Insignificante",HLOOKUP(AJ114,[71]Listas!$F$3:$J$4,2,0))</f>
        <v>#N/A</v>
      </c>
      <c r="AL114" s="273" t="e">
        <f t="shared" si="19"/>
        <v>#N/A</v>
      </c>
      <c r="AM114" s="270" t="e">
        <f>INDEX([71]Listas!$F$6:$J$10,MATCH(AI114,[71]Listas!$D$6:$D$10,0),MATCH(AK114,[71]Listas!$F$4:$J$4,0))</f>
        <v>#N/A</v>
      </c>
      <c r="AN114" s="259"/>
      <c r="AO114" s="259"/>
      <c r="AP114" s="610"/>
      <c r="AQ114" s="259"/>
      <c r="AR114" s="259" t="s">
        <v>2343</v>
      </c>
      <c r="AS114" s="608"/>
      <c r="AT114" s="259"/>
      <c r="AU114" s="259"/>
      <c r="AV114" s="261"/>
      <c r="AW114" s="261"/>
      <c r="AX114" s="608"/>
      <c r="AY114" s="262"/>
    </row>
    <row r="115" spans="1:51" s="260" customFormat="1" ht="103.5" hidden="1" customHeight="1">
      <c r="A115" s="608"/>
      <c r="B115" s="266"/>
      <c r="C115" s="1399"/>
      <c r="D115" s="1408"/>
      <c r="E115" s="1400"/>
      <c r="F115" s="267"/>
      <c r="G115" s="1399"/>
      <c r="H115" s="1408"/>
      <c r="I115" s="1400"/>
      <c r="J115" s="1380"/>
      <c r="K115" s="1380"/>
      <c r="L115" s="1380"/>
      <c r="M115" s="608"/>
      <c r="N115" s="608"/>
      <c r="O115" s="608"/>
      <c r="P115" s="608"/>
      <c r="Q115" s="266"/>
      <c r="R115" s="266"/>
      <c r="S115" s="268"/>
      <c r="T115" s="269" t="e">
        <f>VLOOKUP(Q115,[71]Listas!$D$6:$E$10,2,0)</f>
        <v>#N/A</v>
      </c>
      <c r="U115" s="269" t="e">
        <f>HLOOKUP(R115,[71]Listas!$F$4:$J$5,2,0)</f>
        <v>#N/A</v>
      </c>
      <c r="V115" s="270" t="e">
        <f>INDEX([71]Listas!$F$6:$J$10,MATCH(Q115,[71]Listas!$D$6:$D$10,0),MATCH(R115,[71]Listas!$F$4:$J$4,0))</f>
        <v>#N/A</v>
      </c>
      <c r="W115" s="268"/>
      <c r="X115" s="1399"/>
      <c r="Y115" s="1408"/>
      <c r="Z115" s="1400"/>
      <c r="AA115" s="1063"/>
      <c r="AB115" s="267"/>
      <c r="AC115" s="259"/>
      <c r="AD115" s="608"/>
      <c r="AE115" s="267"/>
      <c r="AF115" s="268"/>
      <c r="AG115" s="269">
        <f t="shared" si="16"/>
        <v>0</v>
      </c>
      <c r="AH115" s="271" t="e">
        <f t="shared" si="17"/>
        <v>#N/A</v>
      </c>
      <c r="AI115" s="272" t="e">
        <f>IF(AH115&lt;=1,"Remota",VLOOKUP(AH115,[71]Listas!$C$6:$D$10,2,0))</f>
        <v>#N/A</v>
      </c>
      <c r="AJ115" s="271" t="e">
        <f t="shared" si="18"/>
        <v>#N/A</v>
      </c>
      <c r="AK115" s="272" t="e">
        <f>IF(AJ115&lt;=1,"Insignificante",HLOOKUP(AJ115,[71]Listas!$F$3:$J$4,2,0))</f>
        <v>#N/A</v>
      </c>
      <c r="AL115" s="273" t="e">
        <f t="shared" si="19"/>
        <v>#N/A</v>
      </c>
      <c r="AM115" s="270" t="e">
        <f>INDEX([71]Listas!$F$6:$J$10,MATCH(AI115,[71]Listas!$D$6:$D$10,0),MATCH(AK115,[71]Listas!$F$4:$J$4,0))</f>
        <v>#N/A</v>
      </c>
      <c r="AN115" s="259"/>
      <c r="AO115" s="259"/>
      <c r="AP115" s="610"/>
      <c r="AQ115" s="259"/>
      <c r="AR115" s="259" t="s">
        <v>2343</v>
      </c>
      <c r="AS115" s="608"/>
      <c r="AT115" s="259"/>
      <c r="AU115" s="259"/>
      <c r="AV115" s="261"/>
      <c r="AW115" s="261"/>
      <c r="AX115" s="608"/>
      <c r="AY115" s="262"/>
    </row>
    <row r="116" spans="1:51" s="260" customFormat="1" ht="103.5" hidden="1" customHeight="1">
      <c r="A116" s="608"/>
      <c r="B116" s="266"/>
      <c r="C116" s="1399"/>
      <c r="D116" s="1408"/>
      <c r="E116" s="1400"/>
      <c r="F116" s="267"/>
      <c r="G116" s="1399"/>
      <c r="H116" s="1408"/>
      <c r="I116" s="1400"/>
      <c r="J116" s="1380"/>
      <c r="K116" s="1380"/>
      <c r="L116" s="1380"/>
      <c r="M116" s="608"/>
      <c r="N116" s="608"/>
      <c r="O116" s="608"/>
      <c r="P116" s="608"/>
      <c r="Q116" s="266"/>
      <c r="R116" s="266"/>
      <c r="S116" s="268"/>
      <c r="T116" s="269" t="e">
        <f>VLOOKUP(Q116,[71]Listas!$D$6:$E$10,2,0)</f>
        <v>#N/A</v>
      </c>
      <c r="U116" s="269" t="e">
        <f>HLOOKUP(R116,[71]Listas!$F$4:$J$5,2,0)</f>
        <v>#N/A</v>
      </c>
      <c r="V116" s="270" t="e">
        <f>INDEX([71]Listas!$F$6:$J$10,MATCH(Q116,[71]Listas!$D$6:$D$10,0),MATCH(R116,[71]Listas!$F$4:$J$4,0))</f>
        <v>#N/A</v>
      </c>
      <c r="W116" s="268"/>
      <c r="X116" s="1399"/>
      <c r="Y116" s="1408"/>
      <c r="Z116" s="1400"/>
      <c r="AA116" s="1063"/>
      <c r="AB116" s="267"/>
      <c r="AC116" s="259"/>
      <c r="AD116" s="608"/>
      <c r="AE116" s="267"/>
      <c r="AF116" s="268"/>
      <c r="AG116" s="269">
        <f t="shared" si="16"/>
        <v>0</v>
      </c>
      <c r="AH116" s="271" t="e">
        <f t="shared" si="17"/>
        <v>#N/A</v>
      </c>
      <c r="AI116" s="272" t="e">
        <f>IF(AH116&lt;=1,"Remota",VLOOKUP(AH116,[71]Listas!$C$6:$D$10,2,0))</f>
        <v>#N/A</v>
      </c>
      <c r="AJ116" s="271" t="e">
        <f t="shared" si="18"/>
        <v>#N/A</v>
      </c>
      <c r="AK116" s="272" t="e">
        <f>IF(AJ116&lt;=1,"Insignificante",HLOOKUP(AJ116,[71]Listas!$F$3:$J$4,2,0))</f>
        <v>#N/A</v>
      </c>
      <c r="AL116" s="273" t="e">
        <f t="shared" si="19"/>
        <v>#N/A</v>
      </c>
      <c r="AM116" s="270" t="e">
        <f>INDEX([71]Listas!$F$6:$J$10,MATCH(AI116,[71]Listas!$D$6:$D$10,0),MATCH(AK116,[71]Listas!$F$4:$J$4,0))</f>
        <v>#N/A</v>
      </c>
      <c r="AN116" s="259"/>
      <c r="AO116" s="259"/>
      <c r="AP116" s="610"/>
      <c r="AQ116" s="259"/>
      <c r="AR116" s="259" t="s">
        <v>2343</v>
      </c>
      <c r="AS116" s="608"/>
      <c r="AT116" s="259"/>
      <c r="AU116" s="259"/>
      <c r="AV116" s="261"/>
      <c r="AW116" s="261"/>
      <c r="AX116" s="608"/>
      <c r="AY116" s="262"/>
    </row>
    <row r="117" spans="1:51" s="260" customFormat="1" ht="103.5" hidden="1" customHeight="1">
      <c r="A117" s="608"/>
      <c r="B117" s="266"/>
      <c r="C117" s="1399"/>
      <c r="D117" s="1408"/>
      <c r="E117" s="1400"/>
      <c r="F117" s="267"/>
      <c r="G117" s="1399"/>
      <c r="H117" s="1408"/>
      <c r="I117" s="1400"/>
      <c r="J117" s="1380"/>
      <c r="K117" s="1380"/>
      <c r="L117" s="1380"/>
      <c r="M117" s="608"/>
      <c r="N117" s="608"/>
      <c r="O117" s="608"/>
      <c r="P117" s="608"/>
      <c r="Q117" s="266"/>
      <c r="R117" s="266"/>
      <c r="S117" s="268"/>
      <c r="T117" s="269" t="e">
        <f>VLOOKUP(Q117,[71]Listas!$D$6:$E$10,2,0)</f>
        <v>#N/A</v>
      </c>
      <c r="U117" s="269" t="e">
        <f>HLOOKUP(R117,[71]Listas!$F$4:$J$5,2,0)</f>
        <v>#N/A</v>
      </c>
      <c r="V117" s="270" t="e">
        <f>INDEX([71]Listas!$F$6:$J$10,MATCH(Q117,[71]Listas!$D$6:$D$10,0),MATCH(R117,[71]Listas!$F$4:$J$4,0))</f>
        <v>#N/A</v>
      </c>
      <c r="W117" s="268"/>
      <c r="X117" s="1399"/>
      <c r="Y117" s="1408"/>
      <c r="Z117" s="1400"/>
      <c r="AA117" s="1063"/>
      <c r="AB117" s="267"/>
      <c r="AC117" s="259"/>
      <c r="AD117" s="608"/>
      <c r="AE117" s="267"/>
      <c r="AF117" s="268"/>
      <c r="AG117" s="269">
        <f t="shared" si="16"/>
        <v>0</v>
      </c>
      <c r="AH117" s="271" t="e">
        <f t="shared" si="17"/>
        <v>#N/A</v>
      </c>
      <c r="AI117" s="272" t="e">
        <f>IF(AH117&lt;=1,"Remota",VLOOKUP(AH117,[71]Listas!$C$6:$D$10,2,0))</f>
        <v>#N/A</v>
      </c>
      <c r="AJ117" s="271" t="e">
        <f t="shared" si="18"/>
        <v>#N/A</v>
      </c>
      <c r="AK117" s="272" t="e">
        <f>IF(AJ117&lt;=1,"Insignificante",HLOOKUP(AJ117,[71]Listas!$F$3:$J$4,2,0))</f>
        <v>#N/A</v>
      </c>
      <c r="AL117" s="273" t="e">
        <f t="shared" si="19"/>
        <v>#N/A</v>
      </c>
      <c r="AM117" s="270" t="e">
        <f>INDEX([71]Listas!$F$6:$J$10,MATCH(AI117,[71]Listas!$D$6:$D$10,0),MATCH(AK117,[71]Listas!$F$4:$J$4,0))</f>
        <v>#N/A</v>
      </c>
      <c r="AN117" s="259"/>
      <c r="AO117" s="259"/>
      <c r="AP117" s="610"/>
      <c r="AQ117" s="259"/>
      <c r="AR117" s="259" t="s">
        <v>2343</v>
      </c>
      <c r="AS117" s="608"/>
      <c r="AT117" s="259"/>
      <c r="AU117" s="259"/>
      <c r="AV117" s="261"/>
      <c r="AW117" s="261"/>
      <c r="AX117" s="608"/>
      <c r="AY117" s="262"/>
    </row>
    <row r="118" spans="1:51" s="260" customFormat="1" ht="103.5" hidden="1" customHeight="1">
      <c r="A118" s="608"/>
      <c r="B118" s="266"/>
      <c r="C118" s="1399"/>
      <c r="D118" s="1408"/>
      <c r="E118" s="1400"/>
      <c r="F118" s="267"/>
      <c r="G118" s="1399"/>
      <c r="H118" s="1408"/>
      <c r="I118" s="1400"/>
      <c r="J118" s="1380"/>
      <c r="K118" s="1380"/>
      <c r="L118" s="1380"/>
      <c r="M118" s="608"/>
      <c r="N118" s="608"/>
      <c r="O118" s="608"/>
      <c r="P118" s="608"/>
      <c r="Q118" s="266"/>
      <c r="R118" s="266"/>
      <c r="S118" s="268"/>
      <c r="T118" s="269" t="e">
        <f>VLOOKUP(Q118,[71]Listas!$D$6:$E$10,2,0)</f>
        <v>#N/A</v>
      </c>
      <c r="U118" s="269" t="e">
        <f>HLOOKUP(R118,[71]Listas!$F$4:$J$5,2,0)</f>
        <v>#N/A</v>
      </c>
      <c r="V118" s="270" t="e">
        <f>INDEX([71]Listas!$F$6:$J$10,MATCH(Q118,[71]Listas!$D$6:$D$10,0),MATCH(R118,[71]Listas!$F$4:$J$4,0))</f>
        <v>#N/A</v>
      </c>
      <c r="W118" s="268"/>
      <c r="X118" s="1399"/>
      <c r="Y118" s="1408"/>
      <c r="Z118" s="1400"/>
      <c r="AA118" s="1063"/>
      <c r="AB118" s="267"/>
      <c r="AC118" s="259"/>
      <c r="AD118" s="608"/>
      <c r="AE118" s="267"/>
      <c r="AF118" s="268"/>
      <c r="AG118" s="269">
        <f t="shared" si="16"/>
        <v>0</v>
      </c>
      <c r="AH118" s="271" t="e">
        <f t="shared" si="17"/>
        <v>#N/A</v>
      </c>
      <c r="AI118" s="272" t="e">
        <f>IF(AH118&lt;=1,"Remota",VLOOKUP(AH118,[71]Listas!$C$6:$D$10,2,0))</f>
        <v>#N/A</v>
      </c>
      <c r="AJ118" s="271" t="e">
        <f t="shared" si="18"/>
        <v>#N/A</v>
      </c>
      <c r="AK118" s="272" t="e">
        <f>IF(AJ118&lt;=1,"Insignificante",HLOOKUP(AJ118,[71]Listas!$F$3:$J$4,2,0))</f>
        <v>#N/A</v>
      </c>
      <c r="AL118" s="273" t="e">
        <f t="shared" si="19"/>
        <v>#N/A</v>
      </c>
      <c r="AM118" s="270" t="e">
        <f>INDEX([71]Listas!$F$6:$J$10,MATCH(AI118,[71]Listas!$D$6:$D$10,0),MATCH(AK118,[71]Listas!$F$4:$J$4,0))</f>
        <v>#N/A</v>
      </c>
      <c r="AN118" s="259"/>
      <c r="AO118" s="259"/>
      <c r="AP118" s="610"/>
      <c r="AQ118" s="259"/>
      <c r="AR118" s="259" t="s">
        <v>2343</v>
      </c>
      <c r="AS118" s="608"/>
      <c r="AT118" s="259"/>
      <c r="AU118" s="259"/>
      <c r="AV118" s="261"/>
      <c r="AW118" s="261"/>
      <c r="AX118" s="608"/>
      <c r="AY118" s="262"/>
    </row>
    <row r="119" spans="1:51" s="260" customFormat="1" ht="103.5" hidden="1" customHeight="1">
      <c r="A119" s="608"/>
      <c r="B119" s="266"/>
      <c r="C119" s="1399"/>
      <c r="D119" s="1408"/>
      <c r="E119" s="1400"/>
      <c r="F119" s="267"/>
      <c r="G119" s="1399"/>
      <c r="H119" s="1408"/>
      <c r="I119" s="1400"/>
      <c r="J119" s="1380"/>
      <c r="K119" s="1380"/>
      <c r="L119" s="1380"/>
      <c r="M119" s="608"/>
      <c r="N119" s="608"/>
      <c r="O119" s="608"/>
      <c r="P119" s="608"/>
      <c r="Q119" s="266"/>
      <c r="R119" s="266"/>
      <c r="S119" s="268"/>
      <c r="T119" s="269" t="e">
        <f>VLOOKUP(Q119,[71]Listas!$D$6:$E$10,2,0)</f>
        <v>#N/A</v>
      </c>
      <c r="U119" s="269" t="e">
        <f>HLOOKUP(R119,[71]Listas!$F$4:$J$5,2,0)</f>
        <v>#N/A</v>
      </c>
      <c r="V119" s="270" t="e">
        <f>INDEX([71]Listas!$F$6:$J$10,MATCH(Q119,[71]Listas!$D$6:$D$10,0),MATCH(R119,[71]Listas!$F$4:$J$4,0))</f>
        <v>#N/A</v>
      </c>
      <c r="W119" s="268"/>
      <c r="X119" s="1399"/>
      <c r="Y119" s="1408"/>
      <c r="Z119" s="1400"/>
      <c r="AA119" s="1063"/>
      <c r="AB119" s="267"/>
      <c r="AC119" s="259"/>
      <c r="AD119" s="608"/>
      <c r="AE119" s="267"/>
      <c r="AF119" s="268"/>
      <c r="AG119" s="269">
        <f t="shared" si="16"/>
        <v>0</v>
      </c>
      <c r="AH119" s="271" t="e">
        <f t="shared" si="17"/>
        <v>#N/A</v>
      </c>
      <c r="AI119" s="272" t="e">
        <f>IF(AH119&lt;=1,"Remota",VLOOKUP(AH119,[71]Listas!$C$6:$D$10,2,0))</f>
        <v>#N/A</v>
      </c>
      <c r="AJ119" s="271" t="e">
        <f t="shared" si="18"/>
        <v>#N/A</v>
      </c>
      <c r="AK119" s="272" t="e">
        <f>IF(AJ119&lt;=1,"Insignificante",HLOOKUP(AJ119,[71]Listas!$F$3:$J$4,2,0))</f>
        <v>#N/A</v>
      </c>
      <c r="AL119" s="273" t="e">
        <f t="shared" si="19"/>
        <v>#N/A</v>
      </c>
      <c r="AM119" s="270" t="e">
        <f>INDEX([71]Listas!$F$6:$J$10,MATCH(AI119,[71]Listas!$D$6:$D$10,0),MATCH(AK119,[71]Listas!$F$4:$J$4,0))</f>
        <v>#N/A</v>
      </c>
      <c r="AN119" s="259"/>
      <c r="AO119" s="259"/>
      <c r="AP119" s="610"/>
      <c r="AQ119" s="259"/>
      <c r="AR119" s="259" t="s">
        <v>2343</v>
      </c>
      <c r="AS119" s="608"/>
      <c r="AT119" s="259"/>
      <c r="AU119" s="259"/>
      <c r="AV119" s="261"/>
      <c r="AW119" s="261"/>
      <c r="AX119" s="608"/>
      <c r="AY119" s="262"/>
    </row>
    <row r="120" spans="1:51" s="260" customFormat="1" ht="103.5" hidden="1" customHeight="1">
      <c r="A120" s="608"/>
      <c r="B120" s="266"/>
      <c r="C120" s="1399"/>
      <c r="D120" s="1408"/>
      <c r="E120" s="1400"/>
      <c r="F120" s="267"/>
      <c r="G120" s="1399"/>
      <c r="H120" s="1408"/>
      <c r="I120" s="1400"/>
      <c r="J120" s="1380"/>
      <c r="K120" s="1380"/>
      <c r="L120" s="1380"/>
      <c r="M120" s="608"/>
      <c r="N120" s="608"/>
      <c r="O120" s="608"/>
      <c r="P120" s="608"/>
      <c r="Q120" s="266"/>
      <c r="R120" s="266"/>
      <c r="S120" s="268"/>
      <c r="T120" s="269" t="e">
        <f>VLOOKUP(Q120,[71]Listas!$D$6:$E$10,2,0)</f>
        <v>#N/A</v>
      </c>
      <c r="U120" s="269" t="e">
        <f>HLOOKUP(R120,[71]Listas!$F$4:$J$5,2,0)</f>
        <v>#N/A</v>
      </c>
      <c r="V120" s="270" t="e">
        <f>INDEX([71]Listas!$F$6:$J$10,MATCH(Q120,[71]Listas!$D$6:$D$10,0),MATCH(R120,[71]Listas!$F$4:$J$4,0))</f>
        <v>#N/A</v>
      </c>
      <c r="W120" s="268"/>
      <c r="X120" s="1399"/>
      <c r="Y120" s="1408"/>
      <c r="Z120" s="1400"/>
      <c r="AA120" s="1063"/>
      <c r="AB120" s="267"/>
      <c r="AC120" s="259"/>
      <c r="AD120" s="608"/>
      <c r="AE120" s="267"/>
      <c r="AF120" s="268"/>
      <c r="AG120" s="269">
        <f t="shared" si="16"/>
        <v>0</v>
      </c>
      <c r="AH120" s="271" t="e">
        <f t="shared" si="17"/>
        <v>#N/A</v>
      </c>
      <c r="AI120" s="272" t="e">
        <f>IF(AH120&lt;=1,"Remota",VLOOKUP(AH120,[71]Listas!$C$6:$D$10,2,0))</f>
        <v>#N/A</v>
      </c>
      <c r="AJ120" s="271" t="e">
        <f t="shared" si="18"/>
        <v>#N/A</v>
      </c>
      <c r="AK120" s="272" t="e">
        <f>IF(AJ120&lt;=1,"Insignificante",HLOOKUP(AJ120,[71]Listas!$F$3:$J$4,2,0))</f>
        <v>#N/A</v>
      </c>
      <c r="AL120" s="273" t="e">
        <f t="shared" si="19"/>
        <v>#N/A</v>
      </c>
      <c r="AM120" s="270" t="e">
        <f>INDEX([71]Listas!$F$6:$J$10,MATCH(AI120,[71]Listas!$D$6:$D$10,0),MATCH(AK120,[71]Listas!$F$4:$J$4,0))</f>
        <v>#N/A</v>
      </c>
      <c r="AN120" s="259"/>
      <c r="AO120" s="259"/>
      <c r="AP120" s="610"/>
      <c r="AQ120" s="259"/>
      <c r="AR120" s="259" t="s">
        <v>2343</v>
      </c>
      <c r="AS120" s="608"/>
      <c r="AT120" s="259"/>
      <c r="AU120" s="259"/>
      <c r="AV120" s="261"/>
      <c r="AW120" s="261"/>
      <c r="AX120" s="608"/>
      <c r="AY120" s="262"/>
    </row>
    <row r="121" spans="1:51" s="260" customFormat="1" ht="103.5" hidden="1" customHeight="1">
      <c r="A121" s="608"/>
      <c r="B121" s="266"/>
      <c r="C121" s="1399"/>
      <c r="D121" s="1408"/>
      <c r="E121" s="1400"/>
      <c r="F121" s="267"/>
      <c r="G121" s="1399"/>
      <c r="H121" s="1408"/>
      <c r="I121" s="1400"/>
      <c r="J121" s="1380"/>
      <c r="K121" s="1380"/>
      <c r="L121" s="1380"/>
      <c r="M121" s="608"/>
      <c r="N121" s="608"/>
      <c r="O121" s="608"/>
      <c r="P121" s="608"/>
      <c r="Q121" s="266"/>
      <c r="R121" s="266"/>
      <c r="S121" s="268"/>
      <c r="T121" s="269" t="e">
        <f>VLOOKUP(Q121,[71]Listas!$D$6:$E$10,2,0)</f>
        <v>#N/A</v>
      </c>
      <c r="U121" s="269" t="e">
        <f>HLOOKUP(R121,[71]Listas!$F$4:$J$5,2,0)</f>
        <v>#N/A</v>
      </c>
      <c r="V121" s="270" t="e">
        <f>INDEX([71]Listas!$F$6:$J$10,MATCH(Q121,[71]Listas!$D$6:$D$10,0),MATCH(R121,[71]Listas!$F$4:$J$4,0))</f>
        <v>#N/A</v>
      </c>
      <c r="W121" s="268"/>
      <c r="X121" s="1399"/>
      <c r="Y121" s="1408"/>
      <c r="Z121" s="1400"/>
      <c r="AA121" s="1063"/>
      <c r="AB121" s="267"/>
      <c r="AC121" s="259"/>
      <c r="AD121" s="608"/>
      <c r="AE121" s="267"/>
      <c r="AF121" s="268"/>
      <c r="AG121" s="269">
        <f t="shared" si="16"/>
        <v>0</v>
      </c>
      <c r="AH121" s="271" t="e">
        <f t="shared" si="17"/>
        <v>#N/A</v>
      </c>
      <c r="AI121" s="272" t="e">
        <f>IF(AH121&lt;=1,"Remota",VLOOKUP(AH121,[71]Listas!$C$6:$D$10,2,0))</f>
        <v>#N/A</v>
      </c>
      <c r="AJ121" s="271" t="e">
        <f t="shared" si="18"/>
        <v>#N/A</v>
      </c>
      <c r="AK121" s="272" t="e">
        <f>IF(AJ121&lt;=1,"Insignificante",HLOOKUP(AJ121,[71]Listas!$F$3:$J$4,2,0))</f>
        <v>#N/A</v>
      </c>
      <c r="AL121" s="273" t="e">
        <f t="shared" si="19"/>
        <v>#N/A</v>
      </c>
      <c r="AM121" s="270" t="e">
        <f>INDEX([71]Listas!$F$6:$J$10,MATCH(AI121,[71]Listas!$D$6:$D$10,0),MATCH(AK121,[71]Listas!$F$4:$J$4,0))</f>
        <v>#N/A</v>
      </c>
      <c r="AN121" s="259"/>
      <c r="AO121" s="259"/>
      <c r="AP121" s="610"/>
      <c r="AQ121" s="259"/>
      <c r="AR121" s="259" t="s">
        <v>2343</v>
      </c>
      <c r="AS121" s="608"/>
      <c r="AT121" s="259"/>
      <c r="AU121" s="259"/>
      <c r="AV121" s="261"/>
      <c r="AW121" s="261"/>
      <c r="AX121" s="608"/>
      <c r="AY121" s="262"/>
    </row>
    <row r="122" spans="1:51" s="260" customFormat="1" ht="103.5" hidden="1" customHeight="1">
      <c r="A122" s="608"/>
      <c r="B122" s="266"/>
      <c r="C122" s="1399"/>
      <c r="D122" s="1408"/>
      <c r="E122" s="1400"/>
      <c r="F122" s="267"/>
      <c r="G122" s="1399"/>
      <c r="H122" s="1408"/>
      <c r="I122" s="1400"/>
      <c r="J122" s="1380"/>
      <c r="K122" s="1380"/>
      <c r="L122" s="1380"/>
      <c r="M122" s="608"/>
      <c r="N122" s="608"/>
      <c r="O122" s="608"/>
      <c r="P122" s="608"/>
      <c r="Q122" s="266"/>
      <c r="R122" s="266"/>
      <c r="S122" s="268"/>
      <c r="T122" s="269" t="e">
        <f>VLOOKUP(Q122,[71]Listas!$D$6:$E$10,2,0)</f>
        <v>#N/A</v>
      </c>
      <c r="U122" s="269" t="e">
        <f>HLOOKUP(R122,[71]Listas!$F$4:$J$5,2,0)</f>
        <v>#N/A</v>
      </c>
      <c r="V122" s="270" t="e">
        <f>INDEX([71]Listas!$F$6:$J$10,MATCH(Q122,[71]Listas!$D$6:$D$10,0),MATCH(R122,[71]Listas!$F$4:$J$4,0))</f>
        <v>#N/A</v>
      </c>
      <c r="W122" s="268"/>
      <c r="X122" s="1399"/>
      <c r="Y122" s="1408"/>
      <c r="Z122" s="1400"/>
      <c r="AA122" s="1063"/>
      <c r="AB122" s="267"/>
      <c r="AC122" s="259"/>
      <c r="AD122" s="608"/>
      <c r="AE122" s="267"/>
      <c r="AF122" s="268"/>
      <c r="AG122" s="269">
        <f t="shared" si="16"/>
        <v>0</v>
      </c>
      <c r="AH122" s="271" t="e">
        <f t="shared" si="17"/>
        <v>#N/A</v>
      </c>
      <c r="AI122" s="272" t="e">
        <f>IF(AH122&lt;=1,"Remota",VLOOKUP(AH122,[71]Listas!$C$6:$D$10,2,0))</f>
        <v>#N/A</v>
      </c>
      <c r="AJ122" s="271" t="e">
        <f t="shared" si="18"/>
        <v>#N/A</v>
      </c>
      <c r="AK122" s="272" t="e">
        <f>IF(AJ122&lt;=1,"Insignificante",HLOOKUP(AJ122,[71]Listas!$F$3:$J$4,2,0))</f>
        <v>#N/A</v>
      </c>
      <c r="AL122" s="273" t="e">
        <f t="shared" si="19"/>
        <v>#N/A</v>
      </c>
      <c r="AM122" s="270" t="e">
        <f>INDEX([71]Listas!$F$6:$J$10,MATCH(AI122,[71]Listas!$D$6:$D$10,0),MATCH(AK122,[71]Listas!$F$4:$J$4,0))</f>
        <v>#N/A</v>
      </c>
      <c r="AN122" s="259"/>
      <c r="AO122" s="259"/>
      <c r="AP122" s="610"/>
      <c r="AQ122" s="259"/>
      <c r="AR122" s="259" t="s">
        <v>2343</v>
      </c>
      <c r="AS122" s="608"/>
      <c r="AT122" s="259"/>
      <c r="AU122" s="259"/>
      <c r="AV122" s="261"/>
      <c r="AW122" s="261"/>
      <c r="AX122" s="608"/>
      <c r="AY122" s="262"/>
    </row>
    <row r="123" spans="1:51" s="260" customFormat="1" ht="103.5" hidden="1" customHeight="1">
      <c r="A123" s="608"/>
      <c r="B123" s="266"/>
      <c r="C123" s="1399"/>
      <c r="D123" s="1408"/>
      <c r="E123" s="1400"/>
      <c r="F123" s="267"/>
      <c r="G123" s="1399"/>
      <c r="H123" s="1408"/>
      <c r="I123" s="1400"/>
      <c r="J123" s="1380"/>
      <c r="K123" s="1380"/>
      <c r="L123" s="1380"/>
      <c r="M123" s="608"/>
      <c r="N123" s="608"/>
      <c r="O123" s="608"/>
      <c r="P123" s="608"/>
      <c r="Q123" s="266"/>
      <c r="R123" s="266"/>
      <c r="S123" s="268"/>
      <c r="T123" s="269" t="e">
        <f>VLOOKUP(Q123,[71]Listas!$D$6:$E$10,2,0)</f>
        <v>#N/A</v>
      </c>
      <c r="U123" s="269" t="e">
        <f>HLOOKUP(R123,[71]Listas!$F$4:$J$5,2,0)</f>
        <v>#N/A</v>
      </c>
      <c r="V123" s="270" t="e">
        <f>INDEX([71]Listas!$F$6:$J$10,MATCH(Q123,[71]Listas!$D$6:$D$10,0),MATCH(R123,[71]Listas!$F$4:$J$4,0))</f>
        <v>#N/A</v>
      </c>
      <c r="W123" s="268"/>
      <c r="X123" s="1399"/>
      <c r="Y123" s="1408"/>
      <c r="Z123" s="1400"/>
      <c r="AA123" s="1063"/>
      <c r="AB123" s="267"/>
      <c r="AC123" s="259"/>
      <c r="AD123" s="608"/>
      <c r="AE123" s="267"/>
      <c r="AF123" s="268"/>
      <c r="AG123" s="269">
        <f t="shared" si="16"/>
        <v>0</v>
      </c>
      <c r="AH123" s="271" t="e">
        <f t="shared" si="17"/>
        <v>#N/A</v>
      </c>
      <c r="AI123" s="272" t="e">
        <f>IF(AH123&lt;=1,"Remota",VLOOKUP(AH123,[71]Listas!$C$6:$D$10,2,0))</f>
        <v>#N/A</v>
      </c>
      <c r="AJ123" s="271" t="e">
        <f t="shared" si="18"/>
        <v>#N/A</v>
      </c>
      <c r="AK123" s="272" t="e">
        <f>IF(AJ123&lt;=1,"Insignificante",HLOOKUP(AJ123,[71]Listas!$F$3:$J$4,2,0))</f>
        <v>#N/A</v>
      </c>
      <c r="AL123" s="273" t="e">
        <f t="shared" si="19"/>
        <v>#N/A</v>
      </c>
      <c r="AM123" s="270" t="e">
        <f>INDEX([71]Listas!$F$6:$J$10,MATCH(AI123,[71]Listas!$D$6:$D$10,0),MATCH(AK123,[71]Listas!$F$4:$J$4,0))</f>
        <v>#N/A</v>
      </c>
      <c r="AN123" s="259"/>
      <c r="AO123" s="259"/>
      <c r="AP123" s="610"/>
      <c r="AQ123" s="259"/>
      <c r="AR123" s="259" t="s">
        <v>2343</v>
      </c>
      <c r="AS123" s="608"/>
      <c r="AT123" s="259"/>
      <c r="AU123" s="259"/>
      <c r="AV123" s="261"/>
      <c r="AW123" s="261"/>
      <c r="AX123" s="608"/>
      <c r="AY123" s="262"/>
    </row>
    <row r="124" spans="1:51" s="260" customFormat="1" ht="103.5" hidden="1" customHeight="1">
      <c r="A124" s="608"/>
      <c r="B124" s="266"/>
      <c r="C124" s="1399"/>
      <c r="D124" s="1408"/>
      <c r="E124" s="1400"/>
      <c r="F124" s="267"/>
      <c r="G124" s="1399"/>
      <c r="H124" s="1408"/>
      <c r="I124" s="1400"/>
      <c r="J124" s="1380"/>
      <c r="K124" s="1380"/>
      <c r="L124" s="1380"/>
      <c r="M124" s="608"/>
      <c r="N124" s="608"/>
      <c r="O124" s="608"/>
      <c r="P124" s="608"/>
      <c r="Q124" s="266"/>
      <c r="R124" s="266"/>
      <c r="S124" s="268"/>
      <c r="T124" s="269" t="e">
        <f>VLOOKUP(Q124,[71]Listas!$D$6:$E$10,2,0)</f>
        <v>#N/A</v>
      </c>
      <c r="U124" s="269" t="e">
        <f>HLOOKUP(R124,[71]Listas!$F$4:$J$5,2,0)</f>
        <v>#N/A</v>
      </c>
      <c r="V124" s="270" t="e">
        <f>INDEX([71]Listas!$F$6:$J$10,MATCH(Q124,[71]Listas!$D$6:$D$10,0),MATCH(R124,[71]Listas!$F$4:$J$4,0))</f>
        <v>#N/A</v>
      </c>
      <c r="W124" s="268"/>
      <c r="X124" s="1399"/>
      <c r="Y124" s="1408"/>
      <c r="Z124" s="1400"/>
      <c r="AA124" s="1063"/>
      <c r="AB124" s="267"/>
      <c r="AC124" s="259"/>
      <c r="AD124" s="608"/>
      <c r="AE124" s="267"/>
      <c r="AF124" s="268"/>
      <c r="AG124" s="269">
        <f t="shared" si="16"/>
        <v>0</v>
      </c>
      <c r="AH124" s="271" t="e">
        <f t="shared" si="17"/>
        <v>#N/A</v>
      </c>
      <c r="AI124" s="272" t="e">
        <f>IF(AH124&lt;=1,"Remota",VLOOKUP(AH124,[71]Listas!$C$6:$D$10,2,0))</f>
        <v>#N/A</v>
      </c>
      <c r="AJ124" s="271" t="e">
        <f t="shared" si="18"/>
        <v>#N/A</v>
      </c>
      <c r="AK124" s="272" t="e">
        <f>IF(AJ124&lt;=1,"Insignificante",HLOOKUP(AJ124,[71]Listas!$F$3:$J$4,2,0))</f>
        <v>#N/A</v>
      </c>
      <c r="AL124" s="273" t="e">
        <f t="shared" si="19"/>
        <v>#N/A</v>
      </c>
      <c r="AM124" s="270" t="e">
        <f>INDEX([71]Listas!$F$6:$J$10,MATCH(AI124,[71]Listas!$D$6:$D$10,0),MATCH(AK124,[71]Listas!$F$4:$J$4,0))</f>
        <v>#N/A</v>
      </c>
      <c r="AN124" s="259"/>
      <c r="AO124" s="259"/>
      <c r="AP124" s="610"/>
      <c r="AQ124" s="259"/>
      <c r="AR124" s="259" t="s">
        <v>2343</v>
      </c>
      <c r="AS124" s="608"/>
      <c r="AT124" s="259"/>
      <c r="AU124" s="259"/>
      <c r="AV124" s="261"/>
      <c r="AW124" s="261"/>
      <c r="AX124" s="608"/>
      <c r="AY124" s="262"/>
    </row>
    <row r="125" spans="1:51" s="260" customFormat="1" ht="103.5" hidden="1" customHeight="1">
      <c r="A125" s="608"/>
      <c r="B125" s="266"/>
      <c r="C125" s="1399"/>
      <c r="D125" s="1408"/>
      <c r="E125" s="1400"/>
      <c r="F125" s="267"/>
      <c r="G125" s="1399"/>
      <c r="H125" s="1408"/>
      <c r="I125" s="1400"/>
      <c r="J125" s="1380"/>
      <c r="K125" s="1380"/>
      <c r="L125" s="1380"/>
      <c r="M125" s="608"/>
      <c r="N125" s="608"/>
      <c r="O125" s="608"/>
      <c r="P125" s="608"/>
      <c r="Q125" s="266"/>
      <c r="R125" s="266"/>
      <c r="S125" s="268"/>
      <c r="T125" s="269" t="e">
        <f>VLOOKUP(Q125,[71]Listas!$D$6:$E$10,2,0)</f>
        <v>#N/A</v>
      </c>
      <c r="U125" s="269" t="e">
        <f>HLOOKUP(R125,[71]Listas!$F$4:$J$5,2,0)</f>
        <v>#N/A</v>
      </c>
      <c r="V125" s="270" t="e">
        <f>INDEX([71]Listas!$F$6:$J$10,MATCH(Q125,[71]Listas!$D$6:$D$10,0),MATCH(R125,[71]Listas!$F$4:$J$4,0))</f>
        <v>#N/A</v>
      </c>
      <c r="W125" s="268"/>
      <c r="X125" s="1399"/>
      <c r="Y125" s="1408"/>
      <c r="Z125" s="1400"/>
      <c r="AA125" s="1063"/>
      <c r="AB125" s="267"/>
      <c r="AC125" s="259"/>
      <c r="AD125" s="608"/>
      <c r="AE125" s="267"/>
      <c r="AF125" s="268"/>
      <c r="AG125" s="269">
        <f t="shared" si="16"/>
        <v>0</v>
      </c>
      <c r="AH125" s="271" t="e">
        <f t="shared" si="17"/>
        <v>#N/A</v>
      </c>
      <c r="AI125" s="272" t="e">
        <f>IF(AH125&lt;=1,"Remota",VLOOKUP(AH125,[71]Listas!$C$6:$D$10,2,0))</f>
        <v>#N/A</v>
      </c>
      <c r="AJ125" s="271" t="e">
        <f t="shared" si="18"/>
        <v>#N/A</v>
      </c>
      <c r="AK125" s="272" t="e">
        <f>IF(AJ125&lt;=1,"Insignificante",HLOOKUP(AJ125,[71]Listas!$F$3:$J$4,2,0))</f>
        <v>#N/A</v>
      </c>
      <c r="AL125" s="273" t="e">
        <f t="shared" si="19"/>
        <v>#N/A</v>
      </c>
      <c r="AM125" s="270" t="e">
        <f>INDEX([71]Listas!$F$6:$J$10,MATCH(AI125,[71]Listas!$D$6:$D$10,0),MATCH(AK125,[71]Listas!$F$4:$J$4,0))</f>
        <v>#N/A</v>
      </c>
      <c r="AN125" s="259"/>
      <c r="AO125" s="259"/>
      <c r="AP125" s="610"/>
      <c r="AQ125" s="259"/>
      <c r="AR125" s="259" t="s">
        <v>2343</v>
      </c>
      <c r="AS125" s="608"/>
      <c r="AT125" s="259"/>
      <c r="AU125" s="259"/>
      <c r="AV125" s="261"/>
      <c r="AW125" s="261"/>
      <c r="AX125" s="608"/>
      <c r="AY125" s="262"/>
    </row>
    <row r="126" spans="1:51" s="260" customFormat="1" ht="103.5" hidden="1" customHeight="1">
      <c r="A126" s="608"/>
      <c r="B126" s="266"/>
      <c r="C126" s="1399"/>
      <c r="D126" s="1408"/>
      <c r="E126" s="1400"/>
      <c r="F126" s="267"/>
      <c r="G126" s="1399"/>
      <c r="H126" s="1408"/>
      <c r="I126" s="1400"/>
      <c r="J126" s="1380"/>
      <c r="K126" s="1380"/>
      <c r="L126" s="1380"/>
      <c r="M126" s="608"/>
      <c r="N126" s="608"/>
      <c r="O126" s="608"/>
      <c r="P126" s="608"/>
      <c r="Q126" s="266"/>
      <c r="R126" s="266"/>
      <c r="S126" s="268"/>
      <c r="T126" s="269" t="e">
        <f>VLOOKUP(Q126,[71]Listas!$D$6:$E$10,2,0)</f>
        <v>#N/A</v>
      </c>
      <c r="U126" s="269" t="e">
        <f>HLOOKUP(R126,[71]Listas!$F$4:$J$5,2,0)</f>
        <v>#N/A</v>
      </c>
      <c r="V126" s="270" t="e">
        <f>INDEX([71]Listas!$F$6:$J$10,MATCH(Q126,[71]Listas!$D$6:$D$10,0),MATCH(R126,[71]Listas!$F$4:$J$4,0))</f>
        <v>#N/A</v>
      </c>
      <c r="W126" s="268"/>
      <c r="X126" s="1399"/>
      <c r="Y126" s="1408"/>
      <c r="Z126" s="1400"/>
      <c r="AA126" s="1063"/>
      <c r="AB126" s="267"/>
      <c r="AC126" s="259"/>
      <c r="AD126" s="608"/>
      <c r="AE126" s="267"/>
      <c r="AF126" s="268"/>
      <c r="AG126" s="269">
        <f t="shared" si="16"/>
        <v>0</v>
      </c>
      <c r="AH126" s="271" t="e">
        <f t="shared" si="17"/>
        <v>#N/A</v>
      </c>
      <c r="AI126" s="272" t="e">
        <f>IF(AH126&lt;=1,"Remota",VLOOKUP(AH126,[71]Listas!$C$6:$D$10,2,0))</f>
        <v>#N/A</v>
      </c>
      <c r="AJ126" s="271" t="e">
        <f t="shared" si="18"/>
        <v>#N/A</v>
      </c>
      <c r="AK126" s="272" t="e">
        <f>IF(AJ126&lt;=1,"Insignificante",HLOOKUP(AJ126,[71]Listas!$F$3:$J$4,2,0))</f>
        <v>#N/A</v>
      </c>
      <c r="AL126" s="273" t="e">
        <f t="shared" si="19"/>
        <v>#N/A</v>
      </c>
      <c r="AM126" s="270" t="e">
        <f>INDEX([71]Listas!$F$6:$J$10,MATCH(AI126,[71]Listas!$D$6:$D$10,0),MATCH(AK126,[71]Listas!$F$4:$J$4,0))</f>
        <v>#N/A</v>
      </c>
      <c r="AN126" s="259"/>
      <c r="AO126" s="259"/>
      <c r="AP126" s="610"/>
      <c r="AQ126" s="259"/>
      <c r="AR126" s="259" t="s">
        <v>2343</v>
      </c>
      <c r="AS126" s="608"/>
      <c r="AT126" s="259"/>
      <c r="AU126" s="259"/>
      <c r="AV126" s="261"/>
      <c r="AW126" s="261"/>
      <c r="AX126" s="608"/>
      <c r="AY126" s="262"/>
    </row>
    <row r="127" spans="1:51" s="260" customFormat="1" ht="103.5" hidden="1" customHeight="1">
      <c r="A127" s="608"/>
      <c r="B127" s="266"/>
      <c r="C127" s="1399"/>
      <c r="D127" s="1408"/>
      <c r="E127" s="1400"/>
      <c r="F127" s="267"/>
      <c r="G127" s="1399"/>
      <c r="H127" s="1408"/>
      <c r="I127" s="1400"/>
      <c r="J127" s="1380"/>
      <c r="K127" s="1380"/>
      <c r="L127" s="1380"/>
      <c r="M127" s="608"/>
      <c r="N127" s="608"/>
      <c r="O127" s="608"/>
      <c r="P127" s="608"/>
      <c r="Q127" s="266"/>
      <c r="R127" s="266"/>
      <c r="S127" s="268"/>
      <c r="T127" s="269" t="e">
        <f>VLOOKUP(Q127,[71]Listas!$D$6:$E$10,2,0)</f>
        <v>#N/A</v>
      </c>
      <c r="U127" s="269" t="e">
        <f>HLOOKUP(R127,[71]Listas!$F$4:$J$5,2,0)</f>
        <v>#N/A</v>
      </c>
      <c r="V127" s="270" t="e">
        <f>INDEX([71]Listas!$F$6:$J$10,MATCH(Q127,[71]Listas!$D$6:$D$10,0),MATCH(R127,[71]Listas!$F$4:$J$4,0))</f>
        <v>#N/A</v>
      </c>
      <c r="W127" s="268"/>
      <c r="X127" s="1399"/>
      <c r="Y127" s="1408"/>
      <c r="Z127" s="1400"/>
      <c r="AA127" s="1063"/>
      <c r="AB127" s="267"/>
      <c r="AC127" s="259"/>
      <c r="AD127" s="608"/>
      <c r="AE127" s="267"/>
      <c r="AF127" s="268"/>
      <c r="AG127" s="269">
        <f t="shared" si="16"/>
        <v>0</v>
      </c>
      <c r="AH127" s="271" t="e">
        <f t="shared" si="17"/>
        <v>#N/A</v>
      </c>
      <c r="AI127" s="272" t="e">
        <f>IF(AH127&lt;=1,"Remota",VLOOKUP(AH127,[71]Listas!$C$6:$D$10,2,0))</f>
        <v>#N/A</v>
      </c>
      <c r="AJ127" s="271" t="e">
        <f t="shared" si="18"/>
        <v>#N/A</v>
      </c>
      <c r="AK127" s="272" t="e">
        <f>IF(AJ127&lt;=1,"Insignificante",HLOOKUP(AJ127,[71]Listas!$F$3:$J$4,2,0))</f>
        <v>#N/A</v>
      </c>
      <c r="AL127" s="273" t="e">
        <f t="shared" si="19"/>
        <v>#N/A</v>
      </c>
      <c r="AM127" s="270" t="e">
        <f>INDEX([71]Listas!$F$6:$J$10,MATCH(AI127,[71]Listas!$D$6:$D$10,0),MATCH(AK127,[71]Listas!$F$4:$J$4,0))</f>
        <v>#N/A</v>
      </c>
      <c r="AN127" s="259"/>
      <c r="AO127" s="259"/>
      <c r="AP127" s="610"/>
      <c r="AQ127" s="259"/>
      <c r="AR127" s="259" t="s">
        <v>2343</v>
      </c>
      <c r="AS127" s="608"/>
      <c r="AT127" s="259"/>
      <c r="AU127" s="259"/>
      <c r="AV127" s="261"/>
      <c r="AW127" s="261"/>
      <c r="AX127" s="608"/>
      <c r="AY127" s="262"/>
    </row>
    <row r="128" spans="1:51" s="260" customFormat="1" ht="103.5" hidden="1" customHeight="1">
      <c r="A128" s="608"/>
      <c r="B128" s="266"/>
      <c r="C128" s="1399"/>
      <c r="D128" s="1408"/>
      <c r="E128" s="1400"/>
      <c r="F128" s="267"/>
      <c r="G128" s="1399"/>
      <c r="H128" s="1408"/>
      <c r="I128" s="1400"/>
      <c r="J128" s="1380"/>
      <c r="K128" s="1380"/>
      <c r="L128" s="1380"/>
      <c r="M128" s="608"/>
      <c r="N128" s="608"/>
      <c r="O128" s="608"/>
      <c r="P128" s="608"/>
      <c r="Q128" s="266"/>
      <c r="R128" s="266"/>
      <c r="S128" s="268"/>
      <c r="T128" s="269" t="e">
        <f>VLOOKUP(Q128,[71]Listas!$D$6:$E$10,2,0)</f>
        <v>#N/A</v>
      </c>
      <c r="U128" s="269" t="e">
        <f>HLOOKUP(R128,[71]Listas!$F$4:$J$5,2,0)</f>
        <v>#N/A</v>
      </c>
      <c r="V128" s="270" t="e">
        <f>INDEX([71]Listas!$F$6:$J$10,MATCH(Q128,[71]Listas!$D$6:$D$10,0),MATCH(R128,[71]Listas!$F$4:$J$4,0))</f>
        <v>#N/A</v>
      </c>
      <c r="W128" s="268"/>
      <c r="X128" s="1399"/>
      <c r="Y128" s="1408"/>
      <c r="Z128" s="1400"/>
      <c r="AA128" s="1063"/>
      <c r="AB128" s="267"/>
      <c r="AC128" s="259"/>
      <c r="AD128" s="608"/>
      <c r="AE128" s="267"/>
      <c r="AF128" s="268"/>
      <c r="AG128" s="269">
        <f t="shared" si="16"/>
        <v>0</v>
      </c>
      <c r="AH128" s="271" t="e">
        <f t="shared" si="17"/>
        <v>#N/A</v>
      </c>
      <c r="AI128" s="272" t="e">
        <f>IF(AH128&lt;=1,"Remota",VLOOKUP(AH128,[71]Listas!$C$6:$D$10,2,0))</f>
        <v>#N/A</v>
      </c>
      <c r="AJ128" s="271" t="e">
        <f t="shared" si="18"/>
        <v>#N/A</v>
      </c>
      <c r="AK128" s="272" t="e">
        <f>IF(AJ128&lt;=1,"Insignificante",HLOOKUP(AJ128,[71]Listas!$F$3:$J$4,2,0))</f>
        <v>#N/A</v>
      </c>
      <c r="AL128" s="273" t="e">
        <f t="shared" si="19"/>
        <v>#N/A</v>
      </c>
      <c r="AM128" s="270" t="e">
        <f>INDEX([71]Listas!$F$6:$J$10,MATCH(AI128,[71]Listas!$D$6:$D$10,0),MATCH(AK128,[71]Listas!$F$4:$J$4,0))</f>
        <v>#N/A</v>
      </c>
      <c r="AN128" s="259"/>
      <c r="AO128" s="259"/>
      <c r="AP128" s="610"/>
      <c r="AQ128" s="259"/>
      <c r="AR128" s="259" t="s">
        <v>2343</v>
      </c>
      <c r="AS128" s="608"/>
      <c r="AT128" s="259"/>
      <c r="AU128" s="259"/>
      <c r="AV128" s="261"/>
      <c r="AW128" s="261"/>
      <c r="AX128" s="608"/>
      <c r="AY128" s="262"/>
    </row>
    <row r="129" spans="1:51" s="260" customFormat="1" ht="103.5" hidden="1" customHeight="1">
      <c r="A129" s="608"/>
      <c r="B129" s="266"/>
      <c r="C129" s="1399"/>
      <c r="D129" s="1408"/>
      <c r="E129" s="1400"/>
      <c r="F129" s="267"/>
      <c r="G129" s="1399"/>
      <c r="H129" s="1408"/>
      <c r="I129" s="1400"/>
      <c r="J129" s="1380"/>
      <c r="K129" s="1380"/>
      <c r="L129" s="1380"/>
      <c r="M129" s="608"/>
      <c r="N129" s="608"/>
      <c r="O129" s="608"/>
      <c r="P129" s="608"/>
      <c r="Q129" s="266"/>
      <c r="R129" s="266"/>
      <c r="S129" s="268"/>
      <c r="T129" s="269" t="e">
        <f>VLOOKUP(Q129,[71]Listas!$D$6:$E$10,2,0)</f>
        <v>#N/A</v>
      </c>
      <c r="U129" s="269" t="e">
        <f>HLOOKUP(R129,[71]Listas!$F$4:$J$5,2,0)</f>
        <v>#N/A</v>
      </c>
      <c r="V129" s="270" t="e">
        <f>INDEX([71]Listas!$F$6:$J$10,MATCH(Q129,[71]Listas!$D$6:$D$10,0),MATCH(R129,[71]Listas!$F$4:$J$4,0))</f>
        <v>#N/A</v>
      </c>
      <c r="W129" s="268"/>
      <c r="X129" s="1399"/>
      <c r="Y129" s="1408"/>
      <c r="Z129" s="1400"/>
      <c r="AA129" s="1063"/>
      <c r="AB129" s="267"/>
      <c r="AC129" s="259"/>
      <c r="AD129" s="608"/>
      <c r="AE129" s="267"/>
      <c r="AF129" s="268"/>
      <c r="AG129" s="269">
        <f t="shared" si="16"/>
        <v>0</v>
      </c>
      <c r="AH129" s="271" t="e">
        <f t="shared" si="17"/>
        <v>#N/A</v>
      </c>
      <c r="AI129" s="272" t="e">
        <f>IF(AH129&lt;=1,"Remota",VLOOKUP(AH129,[71]Listas!$C$6:$D$10,2,0))</f>
        <v>#N/A</v>
      </c>
      <c r="AJ129" s="271" t="e">
        <f t="shared" si="18"/>
        <v>#N/A</v>
      </c>
      <c r="AK129" s="272" t="e">
        <f>IF(AJ129&lt;=1,"Insignificante",HLOOKUP(AJ129,[71]Listas!$F$3:$J$4,2,0))</f>
        <v>#N/A</v>
      </c>
      <c r="AL129" s="273" t="e">
        <f t="shared" si="19"/>
        <v>#N/A</v>
      </c>
      <c r="AM129" s="270" t="e">
        <f>INDEX([71]Listas!$F$6:$J$10,MATCH(AI129,[71]Listas!$D$6:$D$10,0),MATCH(AK129,[71]Listas!$F$4:$J$4,0))</f>
        <v>#N/A</v>
      </c>
      <c r="AN129" s="259"/>
      <c r="AO129" s="259"/>
      <c r="AP129" s="610"/>
      <c r="AQ129" s="259"/>
      <c r="AR129" s="259" t="s">
        <v>2343</v>
      </c>
      <c r="AS129" s="608"/>
      <c r="AT129" s="259"/>
      <c r="AU129" s="259"/>
      <c r="AV129" s="261"/>
      <c r="AW129" s="261"/>
      <c r="AX129" s="608"/>
      <c r="AY129" s="262"/>
    </row>
    <row r="130" spans="1:51" s="260" customFormat="1" ht="103.5" hidden="1" customHeight="1">
      <c r="A130" s="608"/>
      <c r="B130" s="266"/>
      <c r="C130" s="1399"/>
      <c r="D130" s="1408"/>
      <c r="E130" s="1400"/>
      <c r="F130" s="267"/>
      <c r="G130" s="1399"/>
      <c r="H130" s="1408"/>
      <c r="I130" s="1400"/>
      <c r="J130" s="1380"/>
      <c r="K130" s="1380"/>
      <c r="L130" s="1380"/>
      <c r="M130" s="608"/>
      <c r="N130" s="608"/>
      <c r="O130" s="608"/>
      <c r="P130" s="608"/>
      <c r="Q130" s="266"/>
      <c r="R130" s="266"/>
      <c r="S130" s="268"/>
      <c r="T130" s="269" t="e">
        <f>VLOOKUP(Q130,[71]Listas!$D$6:$E$10,2,0)</f>
        <v>#N/A</v>
      </c>
      <c r="U130" s="269" t="e">
        <f>HLOOKUP(R130,[71]Listas!$F$4:$J$5,2,0)</f>
        <v>#N/A</v>
      </c>
      <c r="V130" s="270" t="e">
        <f>INDEX([71]Listas!$F$6:$J$10,MATCH(Q130,[71]Listas!$D$6:$D$10,0),MATCH(R130,[71]Listas!$F$4:$J$4,0))</f>
        <v>#N/A</v>
      </c>
      <c r="W130" s="268"/>
      <c r="X130" s="1399"/>
      <c r="Y130" s="1408"/>
      <c r="Z130" s="1400"/>
      <c r="AA130" s="1063"/>
      <c r="AB130" s="267"/>
      <c r="AC130" s="259"/>
      <c r="AD130" s="608"/>
      <c r="AE130" s="267"/>
      <c r="AF130" s="268"/>
      <c r="AG130" s="269">
        <f t="shared" si="16"/>
        <v>0</v>
      </c>
      <c r="AH130" s="271" t="e">
        <f t="shared" si="17"/>
        <v>#N/A</v>
      </c>
      <c r="AI130" s="272" t="e">
        <f>IF(AH130&lt;=1,"Remota",VLOOKUP(AH130,[71]Listas!$C$6:$D$10,2,0))</f>
        <v>#N/A</v>
      </c>
      <c r="AJ130" s="271" t="e">
        <f t="shared" si="18"/>
        <v>#N/A</v>
      </c>
      <c r="AK130" s="272" t="e">
        <f>IF(AJ130&lt;=1,"Insignificante",HLOOKUP(AJ130,[71]Listas!$F$3:$J$4,2,0))</f>
        <v>#N/A</v>
      </c>
      <c r="AL130" s="273" t="e">
        <f t="shared" si="19"/>
        <v>#N/A</v>
      </c>
      <c r="AM130" s="270" t="e">
        <f>INDEX([71]Listas!$F$6:$J$10,MATCH(AI130,[71]Listas!$D$6:$D$10,0),MATCH(AK130,[71]Listas!$F$4:$J$4,0))</f>
        <v>#N/A</v>
      </c>
      <c r="AN130" s="259"/>
      <c r="AO130" s="259"/>
      <c r="AP130" s="610"/>
      <c r="AQ130" s="259"/>
      <c r="AR130" s="259" t="s">
        <v>2343</v>
      </c>
      <c r="AS130" s="608"/>
      <c r="AT130" s="259"/>
      <c r="AU130" s="259"/>
      <c r="AV130" s="261"/>
      <c r="AW130" s="261"/>
      <c r="AX130" s="608"/>
      <c r="AY130" s="262"/>
    </row>
    <row r="131" spans="1:51" s="260" customFormat="1" ht="103.5" hidden="1" customHeight="1">
      <c r="A131" s="608"/>
      <c r="B131" s="266"/>
      <c r="C131" s="1399"/>
      <c r="D131" s="1408"/>
      <c r="E131" s="1400"/>
      <c r="F131" s="267"/>
      <c r="G131" s="1399"/>
      <c r="H131" s="1408"/>
      <c r="I131" s="1400"/>
      <c r="J131" s="1380"/>
      <c r="K131" s="1380"/>
      <c r="L131" s="1380"/>
      <c r="M131" s="608"/>
      <c r="N131" s="608"/>
      <c r="O131" s="608"/>
      <c r="P131" s="608"/>
      <c r="Q131" s="266"/>
      <c r="R131" s="266"/>
      <c r="S131" s="268"/>
      <c r="T131" s="269" t="e">
        <f>VLOOKUP(Q131,[71]Listas!$D$6:$E$10,2,0)</f>
        <v>#N/A</v>
      </c>
      <c r="U131" s="269" t="e">
        <f>HLOOKUP(R131,[71]Listas!$F$4:$J$5,2,0)</f>
        <v>#N/A</v>
      </c>
      <c r="V131" s="270" t="e">
        <f>INDEX([71]Listas!$F$6:$J$10,MATCH(Q131,[71]Listas!$D$6:$D$10,0),MATCH(R131,[71]Listas!$F$4:$J$4,0))</f>
        <v>#N/A</v>
      </c>
      <c r="W131" s="268"/>
      <c r="X131" s="1399"/>
      <c r="Y131" s="1408"/>
      <c r="Z131" s="1400"/>
      <c r="AA131" s="1063"/>
      <c r="AB131" s="267"/>
      <c r="AC131" s="259"/>
      <c r="AD131" s="608"/>
      <c r="AE131" s="267"/>
      <c r="AF131" s="268"/>
      <c r="AG131" s="269">
        <f t="shared" si="16"/>
        <v>0</v>
      </c>
      <c r="AH131" s="271" t="e">
        <f t="shared" si="17"/>
        <v>#N/A</v>
      </c>
      <c r="AI131" s="272" t="e">
        <f>IF(AH131&lt;=1,"Remota",VLOOKUP(AH131,[71]Listas!$C$6:$D$10,2,0))</f>
        <v>#N/A</v>
      </c>
      <c r="AJ131" s="271" t="e">
        <f t="shared" si="18"/>
        <v>#N/A</v>
      </c>
      <c r="AK131" s="272" t="e">
        <f>IF(AJ131&lt;=1,"Insignificante",HLOOKUP(AJ131,[71]Listas!$F$3:$J$4,2,0))</f>
        <v>#N/A</v>
      </c>
      <c r="AL131" s="273" t="e">
        <f t="shared" si="19"/>
        <v>#N/A</v>
      </c>
      <c r="AM131" s="270" t="e">
        <f>INDEX([71]Listas!$F$6:$J$10,MATCH(AI131,[71]Listas!$D$6:$D$10,0),MATCH(AK131,[71]Listas!$F$4:$J$4,0))</f>
        <v>#N/A</v>
      </c>
      <c r="AN131" s="259"/>
      <c r="AO131" s="259"/>
      <c r="AP131" s="610"/>
      <c r="AQ131" s="259"/>
      <c r="AR131" s="259" t="s">
        <v>2343</v>
      </c>
      <c r="AS131" s="608"/>
      <c r="AT131" s="259"/>
      <c r="AU131" s="259"/>
      <c r="AV131" s="261"/>
      <c r="AW131" s="261"/>
      <c r="AX131" s="608"/>
      <c r="AY131" s="262"/>
    </row>
    <row r="132" spans="1:51" s="260" customFormat="1" ht="103.5" hidden="1" customHeight="1">
      <c r="A132" s="608"/>
      <c r="B132" s="266"/>
      <c r="C132" s="1399"/>
      <c r="D132" s="1408"/>
      <c r="E132" s="1400"/>
      <c r="F132" s="267"/>
      <c r="G132" s="1399"/>
      <c r="H132" s="1408"/>
      <c r="I132" s="1400"/>
      <c r="J132" s="1380"/>
      <c r="K132" s="1380"/>
      <c r="L132" s="1380"/>
      <c r="M132" s="608"/>
      <c r="N132" s="608"/>
      <c r="O132" s="608"/>
      <c r="P132" s="608"/>
      <c r="Q132" s="266"/>
      <c r="R132" s="266"/>
      <c r="S132" s="268"/>
      <c r="T132" s="269" t="e">
        <f>VLOOKUP(Q132,[71]Listas!$D$6:$E$10,2,0)</f>
        <v>#N/A</v>
      </c>
      <c r="U132" s="269" t="e">
        <f>HLOOKUP(R132,[71]Listas!$F$4:$J$5,2,0)</f>
        <v>#N/A</v>
      </c>
      <c r="V132" s="270" t="e">
        <f>INDEX([71]Listas!$F$6:$J$10,MATCH(Q132,[71]Listas!$D$6:$D$10,0),MATCH(R132,[71]Listas!$F$4:$J$4,0))</f>
        <v>#N/A</v>
      </c>
      <c r="W132" s="268"/>
      <c r="X132" s="1399"/>
      <c r="Y132" s="1408"/>
      <c r="Z132" s="1400"/>
      <c r="AA132" s="1063"/>
      <c r="AB132" s="267"/>
      <c r="AC132" s="259"/>
      <c r="AD132" s="608"/>
      <c r="AE132" s="267"/>
      <c r="AF132" s="268"/>
      <c r="AG132" s="269">
        <f t="shared" si="16"/>
        <v>0</v>
      </c>
      <c r="AH132" s="271" t="e">
        <f t="shared" si="17"/>
        <v>#N/A</v>
      </c>
      <c r="AI132" s="272" t="e">
        <f>IF(AH132&lt;=1,"Remota",VLOOKUP(AH132,[71]Listas!$C$6:$D$10,2,0))</f>
        <v>#N/A</v>
      </c>
      <c r="AJ132" s="271" t="e">
        <f t="shared" si="18"/>
        <v>#N/A</v>
      </c>
      <c r="AK132" s="272" t="e">
        <f>IF(AJ132&lt;=1,"Insignificante",HLOOKUP(AJ132,[71]Listas!$F$3:$J$4,2,0))</f>
        <v>#N/A</v>
      </c>
      <c r="AL132" s="273" t="e">
        <f t="shared" si="19"/>
        <v>#N/A</v>
      </c>
      <c r="AM132" s="270" t="e">
        <f>INDEX([71]Listas!$F$6:$J$10,MATCH(AI132,[71]Listas!$D$6:$D$10,0),MATCH(AK132,[71]Listas!$F$4:$J$4,0))</f>
        <v>#N/A</v>
      </c>
      <c r="AN132" s="259"/>
      <c r="AO132" s="259"/>
      <c r="AP132" s="610"/>
      <c r="AQ132" s="259"/>
      <c r="AR132" s="259" t="s">
        <v>2343</v>
      </c>
      <c r="AS132" s="608"/>
      <c r="AT132" s="259"/>
      <c r="AU132" s="259"/>
      <c r="AV132" s="261"/>
      <c r="AW132" s="261"/>
      <c r="AX132" s="608"/>
      <c r="AY132" s="262"/>
    </row>
    <row r="133" spans="1:51" s="260" customFormat="1" ht="103.5" hidden="1" customHeight="1">
      <c r="A133" s="608"/>
      <c r="B133" s="266"/>
      <c r="C133" s="1399"/>
      <c r="D133" s="1408"/>
      <c r="E133" s="1400"/>
      <c r="F133" s="267"/>
      <c r="G133" s="1399"/>
      <c r="H133" s="1408"/>
      <c r="I133" s="1400"/>
      <c r="J133" s="1380"/>
      <c r="K133" s="1380"/>
      <c r="L133" s="1380"/>
      <c r="M133" s="608"/>
      <c r="N133" s="608"/>
      <c r="O133" s="608"/>
      <c r="P133" s="608"/>
      <c r="Q133" s="266"/>
      <c r="R133" s="266"/>
      <c r="S133" s="268"/>
      <c r="T133" s="269" t="e">
        <f>VLOOKUP(Q133,[71]Listas!$D$6:$E$10,2,0)</f>
        <v>#N/A</v>
      </c>
      <c r="U133" s="269" t="e">
        <f>HLOOKUP(R133,[71]Listas!$F$4:$J$5,2,0)</f>
        <v>#N/A</v>
      </c>
      <c r="V133" s="270" t="e">
        <f>INDEX([71]Listas!$F$6:$J$10,MATCH(Q133,[71]Listas!$D$6:$D$10,0),MATCH(R133,[71]Listas!$F$4:$J$4,0))</f>
        <v>#N/A</v>
      </c>
      <c r="W133" s="268"/>
      <c r="X133" s="1399"/>
      <c r="Y133" s="1408"/>
      <c r="Z133" s="1400"/>
      <c r="AA133" s="1063"/>
      <c r="AB133" s="267"/>
      <c r="AC133" s="259"/>
      <c r="AD133" s="608"/>
      <c r="AE133" s="267"/>
      <c r="AF133" s="268"/>
      <c r="AG133" s="269">
        <f t="shared" si="16"/>
        <v>0</v>
      </c>
      <c r="AH133" s="271" t="e">
        <f t="shared" si="17"/>
        <v>#N/A</v>
      </c>
      <c r="AI133" s="272" t="e">
        <f>IF(AH133&lt;=1,"Remota",VLOOKUP(AH133,[71]Listas!$C$6:$D$10,2,0))</f>
        <v>#N/A</v>
      </c>
      <c r="AJ133" s="271" t="e">
        <f t="shared" si="18"/>
        <v>#N/A</v>
      </c>
      <c r="AK133" s="272" t="e">
        <f>IF(AJ133&lt;=1,"Insignificante",HLOOKUP(AJ133,[71]Listas!$F$3:$J$4,2,0))</f>
        <v>#N/A</v>
      </c>
      <c r="AL133" s="273" t="e">
        <f t="shared" si="19"/>
        <v>#N/A</v>
      </c>
      <c r="AM133" s="270" t="e">
        <f>INDEX([71]Listas!$F$6:$J$10,MATCH(AI133,[71]Listas!$D$6:$D$10,0),MATCH(AK133,[71]Listas!$F$4:$J$4,0))</f>
        <v>#N/A</v>
      </c>
      <c r="AN133" s="259"/>
      <c r="AO133" s="259"/>
      <c r="AP133" s="610"/>
      <c r="AQ133" s="259"/>
      <c r="AR133" s="259" t="s">
        <v>2343</v>
      </c>
      <c r="AS133" s="608"/>
      <c r="AT133" s="259"/>
      <c r="AU133" s="259"/>
      <c r="AV133" s="261"/>
      <c r="AW133" s="261"/>
      <c r="AX133" s="608"/>
      <c r="AY133" s="262"/>
    </row>
    <row r="134" spans="1:51" s="260" customFormat="1" ht="103.5" hidden="1" customHeight="1">
      <c r="A134" s="608"/>
      <c r="B134" s="266"/>
      <c r="C134" s="1399"/>
      <c r="D134" s="1408"/>
      <c r="E134" s="1400"/>
      <c r="F134" s="267"/>
      <c r="G134" s="1399"/>
      <c r="H134" s="1408"/>
      <c r="I134" s="1400"/>
      <c r="J134" s="1380"/>
      <c r="K134" s="1380"/>
      <c r="L134" s="1380"/>
      <c r="M134" s="608"/>
      <c r="N134" s="608"/>
      <c r="O134" s="608"/>
      <c r="P134" s="608"/>
      <c r="Q134" s="266"/>
      <c r="R134" s="266"/>
      <c r="S134" s="268"/>
      <c r="T134" s="269" t="e">
        <f>VLOOKUP(Q134,[71]Listas!$D$6:$E$10,2,0)</f>
        <v>#N/A</v>
      </c>
      <c r="U134" s="269" t="e">
        <f>HLOOKUP(R134,[71]Listas!$F$4:$J$5,2,0)</f>
        <v>#N/A</v>
      </c>
      <c r="V134" s="270" t="e">
        <f>INDEX([71]Listas!$F$6:$J$10,MATCH(Q134,[71]Listas!$D$6:$D$10,0),MATCH(R134,[71]Listas!$F$4:$J$4,0))</f>
        <v>#N/A</v>
      </c>
      <c r="W134" s="268"/>
      <c r="X134" s="1399"/>
      <c r="Y134" s="1408"/>
      <c r="Z134" s="1400"/>
      <c r="AA134" s="1063"/>
      <c r="AB134" s="267"/>
      <c r="AC134" s="259"/>
      <c r="AD134" s="608"/>
      <c r="AE134" s="267"/>
      <c r="AF134" s="268"/>
      <c r="AG134" s="269">
        <f t="shared" si="16"/>
        <v>0</v>
      </c>
      <c r="AH134" s="271" t="e">
        <f t="shared" si="17"/>
        <v>#N/A</v>
      </c>
      <c r="AI134" s="272" t="e">
        <f>IF(AH134&lt;=1,"Remota",VLOOKUP(AH134,[71]Listas!$C$6:$D$10,2,0))</f>
        <v>#N/A</v>
      </c>
      <c r="AJ134" s="271" t="e">
        <f t="shared" si="18"/>
        <v>#N/A</v>
      </c>
      <c r="AK134" s="272" t="e">
        <f>IF(AJ134&lt;=1,"Insignificante",HLOOKUP(AJ134,[71]Listas!$F$3:$J$4,2,0))</f>
        <v>#N/A</v>
      </c>
      <c r="AL134" s="273" t="e">
        <f t="shared" si="19"/>
        <v>#N/A</v>
      </c>
      <c r="AM134" s="270" t="e">
        <f>INDEX([71]Listas!$F$6:$J$10,MATCH(AI134,[71]Listas!$D$6:$D$10,0),MATCH(AK134,[71]Listas!$F$4:$J$4,0))</f>
        <v>#N/A</v>
      </c>
      <c r="AN134" s="259"/>
      <c r="AO134" s="259"/>
      <c r="AP134" s="610"/>
      <c r="AQ134" s="259"/>
      <c r="AR134" s="259" t="s">
        <v>2343</v>
      </c>
      <c r="AS134" s="608"/>
      <c r="AT134" s="259"/>
      <c r="AU134" s="259"/>
      <c r="AV134" s="261"/>
      <c r="AW134" s="261"/>
      <c r="AX134" s="608"/>
      <c r="AY134" s="262"/>
    </row>
    <row r="135" spans="1:51" s="260" customFormat="1" ht="103.5" hidden="1" customHeight="1">
      <c r="A135" s="608"/>
      <c r="B135" s="266"/>
      <c r="C135" s="1399"/>
      <c r="D135" s="1408"/>
      <c r="E135" s="1400"/>
      <c r="F135" s="267"/>
      <c r="G135" s="1399"/>
      <c r="H135" s="1408"/>
      <c r="I135" s="1400"/>
      <c r="J135" s="1380"/>
      <c r="K135" s="1380"/>
      <c r="L135" s="1380"/>
      <c r="M135" s="608"/>
      <c r="N135" s="608"/>
      <c r="O135" s="608"/>
      <c r="P135" s="608"/>
      <c r="Q135" s="266"/>
      <c r="R135" s="266"/>
      <c r="S135" s="268"/>
      <c r="T135" s="269" t="e">
        <f>VLOOKUP(Q135,[71]Listas!$D$6:$E$10,2,0)</f>
        <v>#N/A</v>
      </c>
      <c r="U135" s="269" t="e">
        <f>HLOOKUP(R135,[71]Listas!$F$4:$J$5,2,0)</f>
        <v>#N/A</v>
      </c>
      <c r="V135" s="270" t="e">
        <f>INDEX([71]Listas!$F$6:$J$10,MATCH(Q135,[71]Listas!$D$6:$D$10,0),MATCH(R135,[71]Listas!$F$4:$J$4,0))</f>
        <v>#N/A</v>
      </c>
      <c r="W135" s="268"/>
      <c r="X135" s="1399"/>
      <c r="Y135" s="1408"/>
      <c r="Z135" s="1400"/>
      <c r="AA135" s="1063"/>
      <c r="AB135" s="267"/>
      <c r="AC135" s="259"/>
      <c r="AD135" s="608"/>
      <c r="AE135" s="267"/>
      <c r="AF135" s="268"/>
      <c r="AG135" s="269">
        <f t="shared" si="16"/>
        <v>0</v>
      </c>
      <c r="AH135" s="271" t="e">
        <f t="shared" si="17"/>
        <v>#N/A</v>
      </c>
      <c r="AI135" s="272" t="e">
        <f>IF(AH135&lt;=1,"Remota",VLOOKUP(AH135,[71]Listas!$C$6:$D$10,2,0))</f>
        <v>#N/A</v>
      </c>
      <c r="AJ135" s="271" t="e">
        <f t="shared" si="18"/>
        <v>#N/A</v>
      </c>
      <c r="AK135" s="272" t="e">
        <f>IF(AJ135&lt;=1,"Insignificante",HLOOKUP(AJ135,[71]Listas!$F$3:$J$4,2,0))</f>
        <v>#N/A</v>
      </c>
      <c r="AL135" s="273" t="e">
        <f t="shared" si="19"/>
        <v>#N/A</v>
      </c>
      <c r="AM135" s="270" t="e">
        <f>INDEX([71]Listas!$F$6:$J$10,MATCH(AI135,[71]Listas!$D$6:$D$10,0),MATCH(AK135,[71]Listas!$F$4:$J$4,0))</f>
        <v>#N/A</v>
      </c>
      <c r="AN135" s="259"/>
      <c r="AO135" s="259"/>
      <c r="AP135" s="610"/>
      <c r="AQ135" s="259"/>
      <c r="AR135" s="259" t="s">
        <v>2343</v>
      </c>
      <c r="AS135" s="608"/>
      <c r="AT135" s="259"/>
      <c r="AU135" s="259"/>
      <c r="AV135" s="261"/>
      <c r="AW135" s="261"/>
      <c r="AX135" s="608"/>
      <c r="AY135" s="262"/>
    </row>
    <row r="136" spans="1:51" s="260" customFormat="1" ht="103.5" hidden="1" customHeight="1">
      <c r="A136" s="608"/>
      <c r="B136" s="266"/>
      <c r="C136" s="1399"/>
      <c r="D136" s="1408"/>
      <c r="E136" s="1400"/>
      <c r="F136" s="267"/>
      <c r="G136" s="1399"/>
      <c r="H136" s="1408"/>
      <c r="I136" s="1400"/>
      <c r="J136" s="1380"/>
      <c r="K136" s="1380"/>
      <c r="L136" s="1380"/>
      <c r="M136" s="608"/>
      <c r="N136" s="608"/>
      <c r="O136" s="608"/>
      <c r="P136" s="608"/>
      <c r="Q136" s="266"/>
      <c r="R136" s="266"/>
      <c r="S136" s="268"/>
      <c r="T136" s="269" t="e">
        <f>VLOOKUP(Q136,[71]Listas!$D$6:$E$10,2,0)</f>
        <v>#N/A</v>
      </c>
      <c r="U136" s="269" t="e">
        <f>HLOOKUP(R136,[71]Listas!$F$4:$J$5,2,0)</f>
        <v>#N/A</v>
      </c>
      <c r="V136" s="270" t="e">
        <f>INDEX([71]Listas!$F$6:$J$10,MATCH(Q136,[71]Listas!$D$6:$D$10,0),MATCH(R136,[71]Listas!$F$4:$J$4,0))</f>
        <v>#N/A</v>
      </c>
      <c r="W136" s="268"/>
      <c r="X136" s="1399"/>
      <c r="Y136" s="1408"/>
      <c r="Z136" s="1400"/>
      <c r="AA136" s="1063"/>
      <c r="AB136" s="267"/>
      <c r="AC136" s="259"/>
      <c r="AD136" s="608"/>
      <c r="AE136" s="267"/>
      <c r="AF136" s="268"/>
      <c r="AG136" s="269">
        <f t="shared" si="16"/>
        <v>0</v>
      </c>
      <c r="AH136" s="271" t="e">
        <f t="shared" si="17"/>
        <v>#N/A</v>
      </c>
      <c r="AI136" s="272" t="e">
        <f>IF(AH136&lt;=1,"Remota",VLOOKUP(AH136,[71]Listas!$C$6:$D$10,2,0))</f>
        <v>#N/A</v>
      </c>
      <c r="AJ136" s="271" t="e">
        <f t="shared" si="18"/>
        <v>#N/A</v>
      </c>
      <c r="AK136" s="272" t="e">
        <f>IF(AJ136&lt;=1,"Insignificante",HLOOKUP(AJ136,[71]Listas!$F$3:$J$4,2,0))</f>
        <v>#N/A</v>
      </c>
      <c r="AL136" s="273" t="e">
        <f t="shared" si="19"/>
        <v>#N/A</v>
      </c>
      <c r="AM136" s="270" t="e">
        <f>INDEX([71]Listas!$F$6:$J$10,MATCH(AI136,[71]Listas!$D$6:$D$10,0),MATCH(AK136,[71]Listas!$F$4:$J$4,0))</f>
        <v>#N/A</v>
      </c>
      <c r="AN136" s="259"/>
      <c r="AO136" s="259"/>
      <c r="AP136" s="610"/>
      <c r="AQ136" s="259"/>
      <c r="AR136" s="259" t="s">
        <v>2343</v>
      </c>
      <c r="AS136" s="608"/>
      <c r="AT136" s="259"/>
      <c r="AU136" s="259"/>
      <c r="AV136" s="261"/>
      <c r="AW136" s="261"/>
      <c r="AX136" s="608"/>
      <c r="AY136" s="262"/>
    </row>
    <row r="137" spans="1:51" s="260" customFormat="1" ht="103.5" hidden="1" customHeight="1">
      <c r="A137" s="608"/>
      <c r="B137" s="266"/>
      <c r="C137" s="1399"/>
      <c r="D137" s="1408"/>
      <c r="E137" s="1400"/>
      <c r="F137" s="267"/>
      <c r="G137" s="1399"/>
      <c r="H137" s="1408"/>
      <c r="I137" s="1400"/>
      <c r="J137" s="1380"/>
      <c r="K137" s="1380"/>
      <c r="L137" s="1380"/>
      <c r="M137" s="608"/>
      <c r="N137" s="608"/>
      <c r="O137" s="608"/>
      <c r="P137" s="608"/>
      <c r="Q137" s="266"/>
      <c r="R137" s="266"/>
      <c r="S137" s="268"/>
      <c r="T137" s="269" t="e">
        <f>VLOOKUP(Q137,[71]Listas!$D$6:$E$10,2,0)</f>
        <v>#N/A</v>
      </c>
      <c r="U137" s="269" t="e">
        <f>HLOOKUP(R137,[71]Listas!$F$4:$J$5,2,0)</f>
        <v>#N/A</v>
      </c>
      <c r="V137" s="270" t="e">
        <f>INDEX([71]Listas!$F$6:$J$10,MATCH(Q137,[71]Listas!$D$6:$D$10,0),MATCH(R137,[71]Listas!$F$4:$J$4,0))</f>
        <v>#N/A</v>
      </c>
      <c r="W137" s="268"/>
      <c r="X137" s="1399"/>
      <c r="Y137" s="1408"/>
      <c r="Z137" s="1400"/>
      <c r="AA137" s="1063"/>
      <c r="AB137" s="267"/>
      <c r="AC137" s="259"/>
      <c r="AD137" s="608"/>
      <c r="AE137" s="267"/>
      <c r="AF137" s="268"/>
      <c r="AG137" s="269">
        <f t="shared" si="16"/>
        <v>0</v>
      </c>
      <c r="AH137" s="271" t="e">
        <f t="shared" si="17"/>
        <v>#N/A</v>
      </c>
      <c r="AI137" s="272" t="e">
        <f>IF(AH137&lt;=1,"Remota",VLOOKUP(AH137,[71]Listas!$C$6:$D$10,2,0))</f>
        <v>#N/A</v>
      </c>
      <c r="AJ137" s="271" t="e">
        <f t="shared" si="18"/>
        <v>#N/A</v>
      </c>
      <c r="AK137" s="272" t="e">
        <f>IF(AJ137&lt;=1,"Insignificante",HLOOKUP(AJ137,[71]Listas!$F$3:$J$4,2,0))</f>
        <v>#N/A</v>
      </c>
      <c r="AL137" s="273" t="e">
        <f t="shared" si="19"/>
        <v>#N/A</v>
      </c>
      <c r="AM137" s="270" t="e">
        <f>INDEX([71]Listas!$F$6:$J$10,MATCH(AI137,[71]Listas!$D$6:$D$10,0),MATCH(AK137,[71]Listas!$F$4:$J$4,0))</f>
        <v>#N/A</v>
      </c>
      <c r="AN137" s="259"/>
      <c r="AO137" s="259"/>
      <c r="AP137" s="610"/>
      <c r="AQ137" s="259"/>
      <c r="AR137" s="259" t="s">
        <v>2343</v>
      </c>
      <c r="AS137" s="608"/>
      <c r="AT137" s="259"/>
      <c r="AU137" s="259"/>
      <c r="AV137" s="261"/>
      <c r="AW137" s="261"/>
      <c r="AX137" s="608"/>
      <c r="AY137" s="262"/>
    </row>
    <row r="138" spans="1:51" s="260" customFormat="1" ht="103.5" hidden="1" customHeight="1">
      <c r="A138" s="608"/>
      <c r="B138" s="266"/>
      <c r="C138" s="1399"/>
      <c r="D138" s="1408"/>
      <c r="E138" s="1400"/>
      <c r="F138" s="267"/>
      <c r="G138" s="1399"/>
      <c r="H138" s="1408"/>
      <c r="I138" s="1400"/>
      <c r="J138" s="1380"/>
      <c r="K138" s="1380"/>
      <c r="L138" s="1380"/>
      <c r="M138" s="608"/>
      <c r="N138" s="608"/>
      <c r="O138" s="608"/>
      <c r="P138" s="608"/>
      <c r="Q138" s="266"/>
      <c r="R138" s="266"/>
      <c r="S138" s="268"/>
      <c r="T138" s="269" t="e">
        <f>VLOOKUP(Q138,[71]Listas!$D$6:$E$10,2,0)</f>
        <v>#N/A</v>
      </c>
      <c r="U138" s="269" t="e">
        <f>HLOOKUP(R138,[71]Listas!$F$4:$J$5,2,0)</f>
        <v>#N/A</v>
      </c>
      <c r="V138" s="270" t="e">
        <f>INDEX([71]Listas!$F$6:$J$10,MATCH(Q138,[71]Listas!$D$6:$D$10,0),MATCH(R138,[71]Listas!$F$4:$J$4,0))</f>
        <v>#N/A</v>
      </c>
      <c r="W138" s="268"/>
      <c r="X138" s="1399"/>
      <c r="Y138" s="1408"/>
      <c r="Z138" s="1400"/>
      <c r="AA138" s="1063"/>
      <c r="AB138" s="267"/>
      <c r="AC138" s="259"/>
      <c r="AD138" s="608"/>
      <c r="AE138" s="267"/>
      <c r="AF138" s="268"/>
      <c r="AG138" s="269">
        <f t="shared" si="16"/>
        <v>0</v>
      </c>
      <c r="AH138" s="271" t="e">
        <f t="shared" si="17"/>
        <v>#N/A</v>
      </c>
      <c r="AI138" s="272" t="e">
        <f>IF(AH138&lt;=1,"Remota",VLOOKUP(AH138,[71]Listas!$C$6:$D$10,2,0))</f>
        <v>#N/A</v>
      </c>
      <c r="AJ138" s="271" t="e">
        <f t="shared" si="18"/>
        <v>#N/A</v>
      </c>
      <c r="AK138" s="272" t="e">
        <f>IF(AJ138&lt;=1,"Insignificante",HLOOKUP(AJ138,[71]Listas!$F$3:$J$4,2,0))</f>
        <v>#N/A</v>
      </c>
      <c r="AL138" s="273" t="e">
        <f t="shared" si="19"/>
        <v>#N/A</v>
      </c>
      <c r="AM138" s="270" t="e">
        <f>INDEX([71]Listas!$F$6:$J$10,MATCH(AI138,[71]Listas!$D$6:$D$10,0),MATCH(AK138,[71]Listas!$F$4:$J$4,0))</f>
        <v>#N/A</v>
      </c>
      <c r="AN138" s="259"/>
      <c r="AO138" s="259"/>
      <c r="AP138" s="610"/>
      <c r="AQ138" s="259"/>
      <c r="AR138" s="259" t="s">
        <v>2343</v>
      </c>
      <c r="AS138" s="608"/>
      <c r="AT138" s="259"/>
      <c r="AU138" s="259"/>
      <c r="AV138" s="261"/>
      <c r="AW138" s="261"/>
      <c r="AX138" s="608"/>
      <c r="AY138" s="262"/>
    </row>
    <row r="139" spans="1:51" s="260" customFormat="1" ht="103.5" hidden="1" customHeight="1">
      <c r="A139" s="608"/>
      <c r="B139" s="266"/>
      <c r="C139" s="1399"/>
      <c r="D139" s="1408"/>
      <c r="E139" s="1400"/>
      <c r="F139" s="267"/>
      <c r="G139" s="1399"/>
      <c r="H139" s="1408"/>
      <c r="I139" s="1400"/>
      <c r="J139" s="1380"/>
      <c r="K139" s="1380"/>
      <c r="L139" s="1380"/>
      <c r="M139" s="608"/>
      <c r="N139" s="608"/>
      <c r="O139" s="608"/>
      <c r="P139" s="608"/>
      <c r="Q139" s="266"/>
      <c r="R139" s="266"/>
      <c r="S139" s="268"/>
      <c r="T139" s="269" t="e">
        <f>VLOOKUP(Q139,[71]Listas!$D$6:$E$10,2,0)</f>
        <v>#N/A</v>
      </c>
      <c r="U139" s="269" t="e">
        <f>HLOOKUP(R139,[71]Listas!$F$4:$J$5,2,0)</f>
        <v>#N/A</v>
      </c>
      <c r="V139" s="270" t="e">
        <f>INDEX([71]Listas!$F$6:$J$10,MATCH(Q139,[71]Listas!$D$6:$D$10,0),MATCH(R139,[71]Listas!$F$4:$J$4,0))</f>
        <v>#N/A</v>
      </c>
      <c r="W139" s="268"/>
      <c r="X139" s="1399"/>
      <c r="Y139" s="1408"/>
      <c r="Z139" s="1400"/>
      <c r="AA139" s="1063"/>
      <c r="AB139" s="267"/>
      <c r="AC139" s="259"/>
      <c r="AD139" s="608"/>
      <c r="AE139" s="267"/>
      <c r="AF139" s="268"/>
      <c r="AG139" s="269">
        <f t="shared" si="16"/>
        <v>0</v>
      </c>
      <c r="AH139" s="271" t="e">
        <f t="shared" si="17"/>
        <v>#N/A</v>
      </c>
      <c r="AI139" s="272" t="e">
        <f>IF(AH139&lt;=1,"Remota",VLOOKUP(AH139,[71]Listas!$C$6:$D$10,2,0))</f>
        <v>#N/A</v>
      </c>
      <c r="AJ139" s="271" t="e">
        <f t="shared" si="18"/>
        <v>#N/A</v>
      </c>
      <c r="AK139" s="272" t="e">
        <f>IF(AJ139&lt;=1,"Insignificante",HLOOKUP(AJ139,[71]Listas!$F$3:$J$4,2,0))</f>
        <v>#N/A</v>
      </c>
      <c r="AL139" s="273" t="e">
        <f t="shared" si="19"/>
        <v>#N/A</v>
      </c>
      <c r="AM139" s="270" t="e">
        <f>INDEX([71]Listas!$F$6:$J$10,MATCH(AI139,[71]Listas!$D$6:$D$10,0),MATCH(AK139,[71]Listas!$F$4:$J$4,0))</f>
        <v>#N/A</v>
      </c>
      <c r="AN139" s="259"/>
      <c r="AO139" s="259"/>
      <c r="AP139" s="610"/>
      <c r="AQ139" s="259"/>
      <c r="AR139" s="259" t="s">
        <v>2343</v>
      </c>
      <c r="AS139" s="608"/>
      <c r="AT139" s="259"/>
      <c r="AU139" s="259"/>
      <c r="AV139" s="261"/>
      <c r="AW139" s="261"/>
      <c r="AX139" s="608"/>
      <c r="AY139" s="262"/>
    </row>
    <row r="140" spans="1:51" s="260" customFormat="1" ht="103.5" hidden="1" customHeight="1">
      <c r="A140" s="608"/>
      <c r="B140" s="266"/>
      <c r="C140" s="1399"/>
      <c r="D140" s="1408"/>
      <c r="E140" s="1400"/>
      <c r="F140" s="267"/>
      <c r="G140" s="1399"/>
      <c r="H140" s="1408"/>
      <c r="I140" s="1400"/>
      <c r="J140" s="1380"/>
      <c r="K140" s="1380"/>
      <c r="L140" s="1380"/>
      <c r="M140" s="608"/>
      <c r="N140" s="608"/>
      <c r="O140" s="608"/>
      <c r="P140" s="608"/>
      <c r="Q140" s="266"/>
      <c r="R140" s="266"/>
      <c r="S140" s="268"/>
      <c r="T140" s="269" t="e">
        <f>VLOOKUP(Q140,[71]Listas!$D$6:$E$10,2,0)</f>
        <v>#N/A</v>
      </c>
      <c r="U140" s="269" t="e">
        <f>HLOOKUP(R140,[71]Listas!$F$4:$J$5,2,0)</f>
        <v>#N/A</v>
      </c>
      <c r="V140" s="270" t="e">
        <f>INDEX([71]Listas!$F$6:$J$10,MATCH(Q140,[71]Listas!$D$6:$D$10,0),MATCH(R140,[71]Listas!$F$4:$J$4,0))</f>
        <v>#N/A</v>
      </c>
      <c r="W140" s="268"/>
      <c r="X140" s="1399"/>
      <c r="Y140" s="1408"/>
      <c r="Z140" s="1400"/>
      <c r="AA140" s="1063"/>
      <c r="AB140" s="267"/>
      <c r="AC140" s="259"/>
      <c r="AD140" s="608"/>
      <c r="AE140" s="267"/>
      <c r="AF140" s="268"/>
      <c r="AG140" s="269">
        <f t="shared" si="16"/>
        <v>0</v>
      </c>
      <c r="AH140" s="271" t="e">
        <f t="shared" si="17"/>
        <v>#N/A</v>
      </c>
      <c r="AI140" s="272" t="e">
        <f>IF(AH140&lt;=1,"Remota",VLOOKUP(AH140,[71]Listas!$C$6:$D$10,2,0))</f>
        <v>#N/A</v>
      </c>
      <c r="AJ140" s="271" t="e">
        <f t="shared" si="18"/>
        <v>#N/A</v>
      </c>
      <c r="AK140" s="272" t="e">
        <f>IF(AJ140&lt;=1,"Insignificante",HLOOKUP(AJ140,[71]Listas!$F$3:$J$4,2,0))</f>
        <v>#N/A</v>
      </c>
      <c r="AL140" s="273" t="e">
        <f t="shared" si="19"/>
        <v>#N/A</v>
      </c>
      <c r="AM140" s="270" t="e">
        <f>INDEX([71]Listas!$F$6:$J$10,MATCH(AI140,[71]Listas!$D$6:$D$10,0),MATCH(AK140,[71]Listas!$F$4:$J$4,0))</f>
        <v>#N/A</v>
      </c>
      <c r="AN140" s="259"/>
      <c r="AO140" s="259"/>
      <c r="AP140" s="610"/>
      <c r="AQ140" s="259"/>
      <c r="AR140" s="259" t="s">
        <v>2343</v>
      </c>
      <c r="AS140" s="608"/>
      <c r="AT140" s="259"/>
      <c r="AU140" s="259"/>
      <c r="AV140" s="261"/>
      <c r="AW140" s="261"/>
      <c r="AX140" s="608"/>
      <c r="AY140" s="262"/>
    </row>
    <row r="141" spans="1:51" s="260" customFormat="1" ht="103.5" hidden="1" customHeight="1">
      <c r="A141" s="608"/>
      <c r="B141" s="266"/>
      <c r="C141" s="1399"/>
      <c r="D141" s="1408"/>
      <c r="E141" s="1400"/>
      <c r="F141" s="267"/>
      <c r="G141" s="1399"/>
      <c r="H141" s="1408"/>
      <c r="I141" s="1400"/>
      <c r="J141" s="1380"/>
      <c r="K141" s="1380"/>
      <c r="L141" s="1380"/>
      <c r="M141" s="608"/>
      <c r="N141" s="608"/>
      <c r="O141" s="608"/>
      <c r="P141" s="608"/>
      <c r="Q141" s="266"/>
      <c r="R141" s="266"/>
      <c r="S141" s="268"/>
      <c r="T141" s="269" t="e">
        <f>VLOOKUP(Q141,[71]Listas!$D$6:$E$10,2,0)</f>
        <v>#N/A</v>
      </c>
      <c r="U141" s="269" t="e">
        <f>HLOOKUP(R141,[71]Listas!$F$4:$J$5,2,0)</f>
        <v>#N/A</v>
      </c>
      <c r="V141" s="270" t="e">
        <f>INDEX([71]Listas!$F$6:$J$10,MATCH(Q141,[71]Listas!$D$6:$D$10,0),MATCH(R141,[71]Listas!$F$4:$J$4,0))</f>
        <v>#N/A</v>
      </c>
      <c r="W141" s="268"/>
      <c r="X141" s="1399"/>
      <c r="Y141" s="1408"/>
      <c r="Z141" s="1400"/>
      <c r="AA141" s="1063"/>
      <c r="AB141" s="267"/>
      <c r="AC141" s="259"/>
      <c r="AD141" s="608"/>
      <c r="AE141" s="267"/>
      <c r="AF141" s="268"/>
      <c r="AG141" s="269">
        <f t="shared" si="16"/>
        <v>0</v>
      </c>
      <c r="AH141" s="271" t="e">
        <f t="shared" si="17"/>
        <v>#N/A</v>
      </c>
      <c r="AI141" s="272" t="e">
        <f>IF(AH141&lt;=1,"Remota",VLOOKUP(AH141,[71]Listas!$C$6:$D$10,2,0))</f>
        <v>#N/A</v>
      </c>
      <c r="AJ141" s="271" t="e">
        <f t="shared" si="18"/>
        <v>#N/A</v>
      </c>
      <c r="AK141" s="272" t="e">
        <f>IF(AJ141&lt;=1,"Insignificante",HLOOKUP(AJ141,[71]Listas!$F$3:$J$4,2,0))</f>
        <v>#N/A</v>
      </c>
      <c r="AL141" s="273" t="e">
        <f t="shared" si="19"/>
        <v>#N/A</v>
      </c>
      <c r="AM141" s="270" t="e">
        <f>INDEX([71]Listas!$F$6:$J$10,MATCH(AI141,[71]Listas!$D$6:$D$10,0),MATCH(AK141,[71]Listas!$F$4:$J$4,0))</f>
        <v>#N/A</v>
      </c>
      <c r="AN141" s="259"/>
      <c r="AO141" s="259"/>
      <c r="AP141" s="610"/>
      <c r="AQ141" s="259"/>
      <c r="AR141" s="259" t="s">
        <v>2343</v>
      </c>
      <c r="AS141" s="608"/>
      <c r="AT141" s="259"/>
      <c r="AU141" s="259"/>
      <c r="AV141" s="261"/>
      <c r="AW141" s="261"/>
      <c r="AX141" s="608"/>
      <c r="AY141" s="262"/>
    </row>
    <row r="142" spans="1:51" s="260" customFormat="1" ht="103.5" hidden="1" customHeight="1">
      <c r="A142" s="608"/>
      <c r="B142" s="266"/>
      <c r="C142" s="1399"/>
      <c r="D142" s="1408"/>
      <c r="E142" s="1400"/>
      <c r="F142" s="267"/>
      <c r="G142" s="1399"/>
      <c r="H142" s="1408"/>
      <c r="I142" s="1400"/>
      <c r="J142" s="1380"/>
      <c r="K142" s="1380"/>
      <c r="L142" s="1380"/>
      <c r="M142" s="608"/>
      <c r="N142" s="608"/>
      <c r="O142" s="608"/>
      <c r="P142" s="608"/>
      <c r="Q142" s="266"/>
      <c r="R142" s="266"/>
      <c r="S142" s="268"/>
      <c r="T142" s="269" t="e">
        <f>VLOOKUP(Q142,[71]Listas!$D$6:$E$10,2,0)</f>
        <v>#N/A</v>
      </c>
      <c r="U142" s="269" t="e">
        <f>HLOOKUP(R142,[71]Listas!$F$4:$J$5,2,0)</f>
        <v>#N/A</v>
      </c>
      <c r="V142" s="270" t="e">
        <f>INDEX([71]Listas!$F$6:$J$10,MATCH(Q142,[71]Listas!$D$6:$D$10,0),MATCH(R142,[71]Listas!$F$4:$J$4,0))</f>
        <v>#N/A</v>
      </c>
      <c r="W142" s="268"/>
      <c r="X142" s="1399"/>
      <c r="Y142" s="1408"/>
      <c r="Z142" s="1400"/>
      <c r="AA142" s="1063"/>
      <c r="AB142" s="267"/>
      <c r="AC142" s="259"/>
      <c r="AD142" s="608"/>
      <c r="AE142" s="267"/>
      <c r="AF142" s="268"/>
      <c r="AG142" s="269">
        <f t="shared" si="16"/>
        <v>0</v>
      </c>
      <c r="AH142" s="271" t="e">
        <f t="shared" si="17"/>
        <v>#N/A</v>
      </c>
      <c r="AI142" s="272" t="e">
        <f>IF(AH142&lt;=1,"Remota",VLOOKUP(AH142,[71]Listas!$C$6:$D$10,2,0))</f>
        <v>#N/A</v>
      </c>
      <c r="AJ142" s="271" t="e">
        <f t="shared" si="18"/>
        <v>#N/A</v>
      </c>
      <c r="AK142" s="272" t="e">
        <f>IF(AJ142&lt;=1,"Insignificante",HLOOKUP(AJ142,[71]Listas!$F$3:$J$4,2,0))</f>
        <v>#N/A</v>
      </c>
      <c r="AL142" s="273" t="e">
        <f t="shared" si="19"/>
        <v>#N/A</v>
      </c>
      <c r="AM142" s="270" t="e">
        <f>INDEX([71]Listas!$F$6:$J$10,MATCH(AI142,[71]Listas!$D$6:$D$10,0),MATCH(AK142,[71]Listas!$F$4:$J$4,0))</f>
        <v>#N/A</v>
      </c>
      <c r="AN142" s="259"/>
      <c r="AO142" s="259"/>
      <c r="AP142" s="610"/>
      <c r="AQ142" s="259"/>
      <c r="AR142" s="259" t="s">
        <v>2343</v>
      </c>
      <c r="AS142" s="608"/>
      <c r="AT142" s="259"/>
      <c r="AU142" s="259"/>
      <c r="AV142" s="261"/>
      <c r="AW142" s="261"/>
      <c r="AX142" s="608"/>
      <c r="AY142" s="262"/>
    </row>
    <row r="143" spans="1:51" s="260" customFormat="1" ht="103.5" hidden="1" customHeight="1">
      <c r="A143" s="608"/>
      <c r="B143" s="266"/>
      <c r="C143" s="1399"/>
      <c r="D143" s="1408"/>
      <c r="E143" s="1400"/>
      <c r="F143" s="267"/>
      <c r="G143" s="1399"/>
      <c r="H143" s="1408"/>
      <c r="I143" s="1400"/>
      <c r="J143" s="1380"/>
      <c r="K143" s="1380"/>
      <c r="L143" s="1380"/>
      <c r="M143" s="608"/>
      <c r="N143" s="608"/>
      <c r="O143" s="608"/>
      <c r="P143" s="608"/>
      <c r="Q143" s="266"/>
      <c r="R143" s="266"/>
      <c r="S143" s="268"/>
      <c r="T143" s="269" t="e">
        <f>VLOOKUP(Q143,[71]Listas!$D$6:$E$10,2,0)</f>
        <v>#N/A</v>
      </c>
      <c r="U143" s="269" t="e">
        <f>HLOOKUP(R143,[71]Listas!$F$4:$J$5,2,0)</f>
        <v>#N/A</v>
      </c>
      <c r="V143" s="270" t="e">
        <f>INDEX([71]Listas!$F$6:$J$10,MATCH(Q143,[71]Listas!$D$6:$D$10,0),MATCH(R143,[71]Listas!$F$4:$J$4,0))</f>
        <v>#N/A</v>
      </c>
      <c r="W143" s="268"/>
      <c r="X143" s="1399"/>
      <c r="Y143" s="1408"/>
      <c r="Z143" s="1400"/>
      <c r="AA143" s="1063"/>
      <c r="AB143" s="267"/>
      <c r="AC143" s="259"/>
      <c r="AD143" s="608"/>
      <c r="AE143" s="267"/>
      <c r="AF143" s="268"/>
      <c r="AG143" s="269">
        <f t="shared" si="16"/>
        <v>0</v>
      </c>
      <c r="AH143" s="271" t="e">
        <f t="shared" si="17"/>
        <v>#N/A</v>
      </c>
      <c r="AI143" s="272" t="e">
        <f>IF(AH143&lt;=1,"Remota",VLOOKUP(AH143,[71]Listas!$C$6:$D$10,2,0))</f>
        <v>#N/A</v>
      </c>
      <c r="AJ143" s="271" t="e">
        <f t="shared" si="18"/>
        <v>#N/A</v>
      </c>
      <c r="AK143" s="272" t="e">
        <f>IF(AJ143&lt;=1,"Insignificante",HLOOKUP(AJ143,[71]Listas!$F$3:$J$4,2,0))</f>
        <v>#N/A</v>
      </c>
      <c r="AL143" s="273" t="e">
        <f t="shared" si="19"/>
        <v>#N/A</v>
      </c>
      <c r="AM143" s="270" t="e">
        <f>INDEX([71]Listas!$F$6:$J$10,MATCH(AI143,[71]Listas!$D$6:$D$10,0),MATCH(AK143,[71]Listas!$F$4:$J$4,0))</f>
        <v>#N/A</v>
      </c>
      <c r="AN143" s="259"/>
      <c r="AO143" s="259"/>
      <c r="AP143" s="610"/>
      <c r="AQ143" s="259"/>
      <c r="AR143" s="259" t="s">
        <v>2343</v>
      </c>
      <c r="AS143" s="608"/>
      <c r="AT143" s="259"/>
      <c r="AU143" s="259"/>
      <c r="AV143" s="261"/>
      <c r="AW143" s="261"/>
      <c r="AX143" s="608"/>
      <c r="AY143" s="262"/>
    </row>
    <row r="144" spans="1:51" s="260" customFormat="1" ht="103.5" hidden="1" customHeight="1">
      <c r="A144" s="608"/>
      <c r="B144" s="266"/>
      <c r="C144" s="1399"/>
      <c r="D144" s="1408"/>
      <c r="E144" s="1400"/>
      <c r="F144" s="267"/>
      <c r="G144" s="1399"/>
      <c r="H144" s="1408"/>
      <c r="I144" s="1400"/>
      <c r="J144" s="1380"/>
      <c r="K144" s="1380"/>
      <c r="L144" s="1380"/>
      <c r="M144" s="608"/>
      <c r="N144" s="608"/>
      <c r="O144" s="608"/>
      <c r="P144" s="608"/>
      <c r="Q144" s="266"/>
      <c r="R144" s="266"/>
      <c r="S144" s="268"/>
      <c r="T144" s="269" t="e">
        <f>VLOOKUP(Q144,[71]Listas!$D$6:$E$10,2,0)</f>
        <v>#N/A</v>
      </c>
      <c r="U144" s="269" t="e">
        <f>HLOOKUP(R144,[71]Listas!$F$4:$J$5,2,0)</f>
        <v>#N/A</v>
      </c>
      <c r="V144" s="270" t="e">
        <f>INDEX([71]Listas!$F$6:$J$10,MATCH(Q144,[71]Listas!$D$6:$D$10,0),MATCH(R144,[71]Listas!$F$4:$J$4,0))</f>
        <v>#N/A</v>
      </c>
      <c r="W144" s="268"/>
      <c r="X144" s="1399"/>
      <c r="Y144" s="1408"/>
      <c r="Z144" s="1400"/>
      <c r="AA144" s="1063"/>
      <c r="AB144" s="267"/>
      <c r="AC144" s="259"/>
      <c r="AD144" s="608"/>
      <c r="AE144" s="267"/>
      <c r="AF144" s="268"/>
      <c r="AG144" s="269">
        <f t="shared" si="16"/>
        <v>0</v>
      </c>
      <c r="AH144" s="271" t="e">
        <f t="shared" si="17"/>
        <v>#N/A</v>
      </c>
      <c r="AI144" s="272" t="e">
        <f>IF(AH144&lt;=1,"Remota",VLOOKUP(AH144,[71]Listas!$C$6:$D$10,2,0))</f>
        <v>#N/A</v>
      </c>
      <c r="AJ144" s="271" t="e">
        <f t="shared" si="18"/>
        <v>#N/A</v>
      </c>
      <c r="AK144" s="272" t="e">
        <f>IF(AJ144&lt;=1,"Insignificante",HLOOKUP(AJ144,[71]Listas!$F$3:$J$4,2,0))</f>
        <v>#N/A</v>
      </c>
      <c r="AL144" s="273" t="e">
        <f t="shared" si="19"/>
        <v>#N/A</v>
      </c>
      <c r="AM144" s="270" t="e">
        <f>INDEX([71]Listas!$F$6:$J$10,MATCH(AI144,[71]Listas!$D$6:$D$10,0),MATCH(AK144,[71]Listas!$F$4:$J$4,0))</f>
        <v>#N/A</v>
      </c>
      <c r="AN144" s="259"/>
      <c r="AO144" s="259"/>
      <c r="AP144" s="610"/>
      <c r="AQ144" s="259"/>
      <c r="AR144" s="259" t="s">
        <v>2343</v>
      </c>
      <c r="AS144" s="608"/>
      <c r="AT144" s="259"/>
      <c r="AU144" s="259"/>
      <c r="AV144" s="261"/>
      <c r="AW144" s="261"/>
      <c r="AX144" s="608"/>
      <c r="AY144" s="262"/>
    </row>
    <row r="145" spans="1:51" s="260" customFormat="1" ht="103.5" hidden="1" customHeight="1">
      <c r="A145" s="608"/>
      <c r="B145" s="266"/>
      <c r="C145" s="1399"/>
      <c r="D145" s="1408"/>
      <c r="E145" s="1400"/>
      <c r="F145" s="267"/>
      <c r="G145" s="1399"/>
      <c r="H145" s="1408"/>
      <c r="I145" s="1400"/>
      <c r="J145" s="1380"/>
      <c r="K145" s="1380"/>
      <c r="L145" s="1380"/>
      <c r="M145" s="608"/>
      <c r="N145" s="608"/>
      <c r="O145" s="608"/>
      <c r="P145" s="608"/>
      <c r="Q145" s="266"/>
      <c r="R145" s="266"/>
      <c r="S145" s="268"/>
      <c r="T145" s="269" t="e">
        <f>VLOOKUP(Q145,[71]Listas!$D$6:$E$10,2,0)</f>
        <v>#N/A</v>
      </c>
      <c r="U145" s="269" t="e">
        <f>HLOOKUP(R145,[71]Listas!$F$4:$J$5,2,0)</f>
        <v>#N/A</v>
      </c>
      <c r="V145" s="270" t="e">
        <f>INDEX([71]Listas!$F$6:$J$10,MATCH(Q145,[71]Listas!$D$6:$D$10,0),MATCH(R145,[71]Listas!$F$4:$J$4,0))</f>
        <v>#N/A</v>
      </c>
      <c r="W145" s="268"/>
      <c r="X145" s="1399"/>
      <c r="Y145" s="1408"/>
      <c r="Z145" s="1400"/>
      <c r="AA145" s="1063"/>
      <c r="AB145" s="267"/>
      <c r="AC145" s="259"/>
      <c r="AD145" s="608"/>
      <c r="AE145" s="267"/>
      <c r="AF145" s="268"/>
      <c r="AG145" s="269">
        <f t="shared" si="16"/>
        <v>0</v>
      </c>
      <c r="AH145" s="271" t="e">
        <f t="shared" si="17"/>
        <v>#N/A</v>
      </c>
      <c r="AI145" s="272" t="e">
        <f>IF(AH145&lt;=1,"Remota",VLOOKUP(AH145,[71]Listas!$C$6:$D$10,2,0))</f>
        <v>#N/A</v>
      </c>
      <c r="AJ145" s="271" t="e">
        <f t="shared" si="18"/>
        <v>#N/A</v>
      </c>
      <c r="AK145" s="272" t="e">
        <f>IF(AJ145&lt;=1,"Insignificante",HLOOKUP(AJ145,[71]Listas!$F$3:$J$4,2,0))</f>
        <v>#N/A</v>
      </c>
      <c r="AL145" s="273" t="e">
        <f t="shared" si="19"/>
        <v>#N/A</v>
      </c>
      <c r="AM145" s="270" t="e">
        <f>INDEX([71]Listas!$F$6:$J$10,MATCH(AI145,[71]Listas!$D$6:$D$10,0),MATCH(AK145,[71]Listas!$F$4:$J$4,0))</f>
        <v>#N/A</v>
      </c>
      <c r="AN145" s="259"/>
      <c r="AO145" s="259"/>
      <c r="AP145" s="610"/>
      <c r="AQ145" s="259"/>
      <c r="AR145" s="259" t="s">
        <v>2343</v>
      </c>
      <c r="AS145" s="608"/>
      <c r="AT145" s="259"/>
      <c r="AU145" s="259"/>
      <c r="AV145" s="261"/>
      <c r="AW145" s="261"/>
      <c r="AX145" s="608"/>
      <c r="AY145" s="262"/>
    </row>
    <row r="146" spans="1:51" s="260" customFormat="1" ht="103.5" hidden="1" customHeight="1">
      <c r="A146" s="608"/>
      <c r="B146" s="266"/>
      <c r="C146" s="1399"/>
      <c r="D146" s="1408"/>
      <c r="E146" s="1400"/>
      <c r="F146" s="267"/>
      <c r="G146" s="1399"/>
      <c r="H146" s="1408"/>
      <c r="I146" s="1400"/>
      <c r="J146" s="1380"/>
      <c r="K146" s="1380"/>
      <c r="L146" s="1380"/>
      <c r="M146" s="608"/>
      <c r="N146" s="608"/>
      <c r="O146" s="608"/>
      <c r="P146" s="608"/>
      <c r="Q146" s="266"/>
      <c r="R146" s="266"/>
      <c r="S146" s="268"/>
      <c r="T146" s="269" t="e">
        <f>VLOOKUP(Q146,[71]Listas!$D$6:$E$10,2,0)</f>
        <v>#N/A</v>
      </c>
      <c r="U146" s="269" t="e">
        <f>HLOOKUP(R146,[71]Listas!$F$4:$J$5,2,0)</f>
        <v>#N/A</v>
      </c>
      <c r="V146" s="270" t="e">
        <f>INDEX([71]Listas!$F$6:$J$10,MATCH(Q146,[71]Listas!$D$6:$D$10,0),MATCH(R146,[71]Listas!$F$4:$J$4,0))</f>
        <v>#N/A</v>
      </c>
      <c r="W146" s="268"/>
      <c r="X146" s="1399"/>
      <c r="Y146" s="1408"/>
      <c r="Z146" s="1400"/>
      <c r="AA146" s="1063"/>
      <c r="AB146" s="267"/>
      <c r="AC146" s="259"/>
      <c r="AD146" s="608"/>
      <c r="AE146" s="267"/>
      <c r="AF146" s="268"/>
      <c r="AG146" s="269">
        <f t="shared" si="16"/>
        <v>0</v>
      </c>
      <c r="AH146" s="271" t="e">
        <f t="shared" si="17"/>
        <v>#N/A</v>
      </c>
      <c r="AI146" s="272" t="e">
        <f>IF(AH146&lt;=1,"Remota",VLOOKUP(AH146,[71]Listas!$C$6:$D$10,2,0))</f>
        <v>#N/A</v>
      </c>
      <c r="AJ146" s="271" t="e">
        <f t="shared" si="18"/>
        <v>#N/A</v>
      </c>
      <c r="AK146" s="272" t="e">
        <f>IF(AJ146&lt;=1,"Insignificante",HLOOKUP(AJ146,[71]Listas!$F$3:$J$4,2,0))</f>
        <v>#N/A</v>
      </c>
      <c r="AL146" s="273" t="e">
        <f t="shared" si="19"/>
        <v>#N/A</v>
      </c>
      <c r="AM146" s="270" t="e">
        <f>INDEX([71]Listas!$F$6:$J$10,MATCH(AI146,[71]Listas!$D$6:$D$10,0),MATCH(AK146,[71]Listas!$F$4:$J$4,0))</f>
        <v>#N/A</v>
      </c>
      <c r="AN146" s="259"/>
      <c r="AO146" s="259"/>
      <c r="AP146" s="610"/>
      <c r="AQ146" s="259"/>
      <c r="AR146" s="259" t="s">
        <v>2343</v>
      </c>
      <c r="AS146" s="608"/>
      <c r="AT146" s="259"/>
      <c r="AU146" s="259"/>
      <c r="AV146" s="261"/>
      <c r="AW146" s="261"/>
      <c r="AX146" s="608"/>
      <c r="AY146" s="262"/>
    </row>
    <row r="147" spans="1:51" s="260" customFormat="1" ht="103.5" hidden="1" customHeight="1">
      <c r="A147" s="608"/>
      <c r="B147" s="266"/>
      <c r="C147" s="1399"/>
      <c r="D147" s="1408"/>
      <c r="E147" s="1400"/>
      <c r="F147" s="267"/>
      <c r="G147" s="1399"/>
      <c r="H147" s="1408"/>
      <c r="I147" s="1400"/>
      <c r="J147" s="1380"/>
      <c r="K147" s="1380"/>
      <c r="L147" s="1380"/>
      <c r="M147" s="608"/>
      <c r="N147" s="608"/>
      <c r="O147" s="608"/>
      <c r="P147" s="608"/>
      <c r="Q147" s="266"/>
      <c r="R147" s="266"/>
      <c r="S147" s="268"/>
      <c r="T147" s="269" t="e">
        <f>VLOOKUP(Q147,[71]Listas!$D$6:$E$10,2,0)</f>
        <v>#N/A</v>
      </c>
      <c r="U147" s="269" t="e">
        <f>HLOOKUP(R147,[71]Listas!$F$4:$J$5,2,0)</f>
        <v>#N/A</v>
      </c>
      <c r="V147" s="270" t="e">
        <f>INDEX([71]Listas!$F$6:$J$10,MATCH(Q147,[71]Listas!$D$6:$D$10,0),MATCH(R147,[71]Listas!$F$4:$J$4,0))</f>
        <v>#N/A</v>
      </c>
      <c r="W147" s="268"/>
      <c r="X147" s="1399"/>
      <c r="Y147" s="1408"/>
      <c r="Z147" s="1400"/>
      <c r="AA147" s="1063"/>
      <c r="AB147" s="267"/>
      <c r="AC147" s="259"/>
      <c r="AD147" s="608"/>
      <c r="AE147" s="267"/>
      <c r="AF147" s="268"/>
      <c r="AG147" s="269">
        <f t="shared" si="16"/>
        <v>0</v>
      </c>
      <c r="AH147" s="271" t="e">
        <f t="shared" si="17"/>
        <v>#N/A</v>
      </c>
      <c r="AI147" s="272" t="e">
        <f>IF(AH147&lt;=1,"Remota",VLOOKUP(AH147,[71]Listas!$C$6:$D$10,2,0))</f>
        <v>#N/A</v>
      </c>
      <c r="AJ147" s="271" t="e">
        <f t="shared" si="18"/>
        <v>#N/A</v>
      </c>
      <c r="AK147" s="272" t="e">
        <f>IF(AJ147&lt;=1,"Insignificante",HLOOKUP(AJ147,[71]Listas!$F$3:$J$4,2,0))</f>
        <v>#N/A</v>
      </c>
      <c r="AL147" s="273" t="e">
        <f t="shared" si="19"/>
        <v>#N/A</v>
      </c>
      <c r="AM147" s="270" t="e">
        <f>INDEX([71]Listas!$F$6:$J$10,MATCH(AI147,[71]Listas!$D$6:$D$10,0),MATCH(AK147,[71]Listas!$F$4:$J$4,0))</f>
        <v>#N/A</v>
      </c>
      <c r="AN147" s="259"/>
      <c r="AO147" s="259"/>
      <c r="AP147" s="610"/>
      <c r="AQ147" s="259"/>
      <c r="AR147" s="259" t="s">
        <v>2343</v>
      </c>
      <c r="AS147" s="608"/>
      <c r="AT147" s="259"/>
      <c r="AU147" s="259"/>
      <c r="AV147" s="261"/>
      <c r="AW147" s="261"/>
      <c r="AX147" s="608"/>
      <c r="AY147" s="262"/>
    </row>
    <row r="148" spans="1:51" s="260" customFormat="1" ht="103.5" hidden="1" customHeight="1">
      <c r="A148" s="608"/>
      <c r="B148" s="266"/>
      <c r="C148" s="1399"/>
      <c r="D148" s="1408"/>
      <c r="E148" s="1400"/>
      <c r="F148" s="267"/>
      <c r="G148" s="1399"/>
      <c r="H148" s="1408"/>
      <c r="I148" s="1400"/>
      <c r="J148" s="1380"/>
      <c r="K148" s="1380"/>
      <c r="L148" s="1380"/>
      <c r="M148" s="608"/>
      <c r="N148" s="608"/>
      <c r="O148" s="608"/>
      <c r="P148" s="608"/>
      <c r="Q148" s="266"/>
      <c r="R148" s="266"/>
      <c r="S148" s="268"/>
      <c r="T148" s="269" t="e">
        <f>VLOOKUP(Q148,[71]Listas!$D$6:$E$10,2,0)</f>
        <v>#N/A</v>
      </c>
      <c r="U148" s="269" t="e">
        <f>HLOOKUP(R148,[71]Listas!$F$4:$J$5,2,0)</f>
        <v>#N/A</v>
      </c>
      <c r="V148" s="270" t="e">
        <f>INDEX([71]Listas!$F$6:$J$10,MATCH(Q148,[71]Listas!$D$6:$D$10,0),MATCH(R148,[71]Listas!$F$4:$J$4,0))</f>
        <v>#N/A</v>
      </c>
      <c r="W148" s="268"/>
      <c r="X148" s="1399"/>
      <c r="Y148" s="1408"/>
      <c r="Z148" s="1400"/>
      <c r="AA148" s="1063"/>
      <c r="AB148" s="267"/>
      <c r="AC148" s="259"/>
      <c r="AD148" s="608"/>
      <c r="AE148" s="267"/>
      <c r="AF148" s="268"/>
      <c r="AG148" s="269">
        <f t="shared" si="16"/>
        <v>0</v>
      </c>
      <c r="AH148" s="271" t="e">
        <f t="shared" si="17"/>
        <v>#N/A</v>
      </c>
      <c r="AI148" s="272" t="e">
        <f>IF(AH148&lt;=1,"Remota",VLOOKUP(AH148,[71]Listas!$C$6:$D$10,2,0))</f>
        <v>#N/A</v>
      </c>
      <c r="AJ148" s="271" t="e">
        <f t="shared" si="18"/>
        <v>#N/A</v>
      </c>
      <c r="AK148" s="272" t="e">
        <f>IF(AJ148&lt;=1,"Insignificante",HLOOKUP(AJ148,[71]Listas!$F$3:$J$4,2,0))</f>
        <v>#N/A</v>
      </c>
      <c r="AL148" s="273" t="e">
        <f t="shared" si="19"/>
        <v>#N/A</v>
      </c>
      <c r="AM148" s="270" t="e">
        <f>INDEX([71]Listas!$F$6:$J$10,MATCH(AI148,[71]Listas!$D$6:$D$10,0),MATCH(AK148,[71]Listas!$F$4:$J$4,0))</f>
        <v>#N/A</v>
      </c>
      <c r="AN148" s="259"/>
      <c r="AO148" s="259"/>
      <c r="AP148" s="610"/>
      <c r="AQ148" s="259"/>
      <c r="AR148" s="259" t="s">
        <v>2343</v>
      </c>
      <c r="AS148" s="608"/>
      <c r="AT148" s="259"/>
      <c r="AU148" s="259"/>
      <c r="AV148" s="261"/>
      <c r="AW148" s="261"/>
      <c r="AX148" s="608"/>
      <c r="AY148" s="262"/>
    </row>
    <row r="149" spans="1:51" s="260" customFormat="1" ht="103.5" hidden="1" customHeight="1">
      <c r="A149" s="608"/>
      <c r="B149" s="266"/>
      <c r="C149" s="1399"/>
      <c r="D149" s="1408"/>
      <c r="E149" s="1400"/>
      <c r="F149" s="267"/>
      <c r="G149" s="1399"/>
      <c r="H149" s="1408"/>
      <c r="I149" s="1400"/>
      <c r="J149" s="1380"/>
      <c r="K149" s="1380"/>
      <c r="L149" s="1380"/>
      <c r="M149" s="608"/>
      <c r="N149" s="608"/>
      <c r="O149" s="608"/>
      <c r="P149" s="608"/>
      <c r="Q149" s="266"/>
      <c r="R149" s="266"/>
      <c r="S149" s="268"/>
      <c r="T149" s="269" t="e">
        <f>VLOOKUP(Q149,[71]Listas!$D$6:$E$10,2,0)</f>
        <v>#N/A</v>
      </c>
      <c r="U149" s="269" t="e">
        <f>HLOOKUP(R149,[71]Listas!$F$4:$J$5,2,0)</f>
        <v>#N/A</v>
      </c>
      <c r="V149" s="270" t="e">
        <f>INDEX([71]Listas!$F$6:$J$10,MATCH(Q149,[71]Listas!$D$6:$D$10,0),MATCH(R149,[71]Listas!$F$4:$J$4,0))</f>
        <v>#N/A</v>
      </c>
      <c r="W149" s="268"/>
      <c r="X149" s="1399"/>
      <c r="Y149" s="1408"/>
      <c r="Z149" s="1400"/>
      <c r="AA149" s="1063"/>
      <c r="AB149" s="267"/>
      <c r="AC149" s="259"/>
      <c r="AD149" s="608"/>
      <c r="AE149" s="267"/>
      <c r="AF149" s="268"/>
      <c r="AG149" s="269">
        <f t="shared" si="16"/>
        <v>0</v>
      </c>
      <c r="AH149" s="271" t="e">
        <f t="shared" si="17"/>
        <v>#N/A</v>
      </c>
      <c r="AI149" s="272" t="e">
        <f>IF(AH149&lt;=1,"Remota",VLOOKUP(AH149,[71]Listas!$C$6:$D$10,2,0))</f>
        <v>#N/A</v>
      </c>
      <c r="AJ149" s="271" t="e">
        <f t="shared" si="18"/>
        <v>#N/A</v>
      </c>
      <c r="AK149" s="272" t="e">
        <f>IF(AJ149&lt;=1,"Insignificante",HLOOKUP(AJ149,[71]Listas!$F$3:$J$4,2,0))</f>
        <v>#N/A</v>
      </c>
      <c r="AL149" s="273" t="e">
        <f t="shared" si="19"/>
        <v>#N/A</v>
      </c>
      <c r="AM149" s="270" t="e">
        <f>INDEX([71]Listas!$F$6:$J$10,MATCH(AI149,[71]Listas!$D$6:$D$10,0),MATCH(AK149,[71]Listas!$F$4:$J$4,0))</f>
        <v>#N/A</v>
      </c>
      <c r="AN149" s="259"/>
      <c r="AO149" s="259"/>
      <c r="AP149" s="610"/>
      <c r="AQ149" s="259"/>
      <c r="AR149" s="259" t="s">
        <v>2343</v>
      </c>
      <c r="AS149" s="608"/>
      <c r="AT149" s="259"/>
      <c r="AU149" s="259"/>
      <c r="AV149" s="261"/>
      <c r="AW149" s="261"/>
      <c r="AX149" s="608"/>
      <c r="AY149" s="262"/>
    </row>
    <row r="150" spans="1:51" s="260" customFormat="1" ht="103.5" hidden="1" customHeight="1">
      <c r="A150" s="608"/>
      <c r="B150" s="266"/>
      <c r="C150" s="1399"/>
      <c r="D150" s="1408"/>
      <c r="E150" s="1400"/>
      <c r="F150" s="267"/>
      <c r="G150" s="1399"/>
      <c r="H150" s="1408"/>
      <c r="I150" s="1400"/>
      <c r="J150" s="1380"/>
      <c r="K150" s="1380"/>
      <c r="L150" s="1380"/>
      <c r="M150" s="608"/>
      <c r="N150" s="608"/>
      <c r="O150" s="608"/>
      <c r="P150" s="608"/>
      <c r="Q150" s="266"/>
      <c r="R150" s="266"/>
      <c r="S150" s="268"/>
      <c r="T150" s="269" t="e">
        <f>VLOOKUP(Q150,[71]Listas!$D$6:$E$10,2,0)</f>
        <v>#N/A</v>
      </c>
      <c r="U150" s="269" t="e">
        <f>HLOOKUP(R150,[71]Listas!$F$4:$J$5,2,0)</f>
        <v>#N/A</v>
      </c>
      <c r="V150" s="270" t="e">
        <f>INDEX([71]Listas!$F$6:$J$10,MATCH(Q150,[71]Listas!$D$6:$D$10,0),MATCH(R150,[71]Listas!$F$4:$J$4,0))</f>
        <v>#N/A</v>
      </c>
      <c r="W150" s="268"/>
      <c r="X150" s="1399"/>
      <c r="Y150" s="1408"/>
      <c r="Z150" s="1400"/>
      <c r="AA150" s="1063"/>
      <c r="AB150" s="267"/>
      <c r="AC150" s="259"/>
      <c r="AD150" s="608"/>
      <c r="AE150" s="267"/>
      <c r="AF150" s="268"/>
      <c r="AG150" s="269">
        <f t="shared" si="16"/>
        <v>0</v>
      </c>
      <c r="AH150" s="271" t="e">
        <f t="shared" si="17"/>
        <v>#N/A</v>
      </c>
      <c r="AI150" s="272" t="e">
        <f>IF(AH150&lt;=1,"Remota",VLOOKUP(AH150,[71]Listas!$C$6:$D$10,2,0))</f>
        <v>#N/A</v>
      </c>
      <c r="AJ150" s="271" t="e">
        <f t="shared" si="18"/>
        <v>#N/A</v>
      </c>
      <c r="AK150" s="272" t="e">
        <f>IF(AJ150&lt;=1,"Insignificante",HLOOKUP(AJ150,[71]Listas!$F$3:$J$4,2,0))</f>
        <v>#N/A</v>
      </c>
      <c r="AL150" s="273" t="e">
        <f t="shared" si="19"/>
        <v>#N/A</v>
      </c>
      <c r="AM150" s="270" t="e">
        <f>INDEX([71]Listas!$F$6:$J$10,MATCH(AI150,[71]Listas!$D$6:$D$10,0),MATCH(AK150,[71]Listas!$F$4:$J$4,0))</f>
        <v>#N/A</v>
      </c>
      <c r="AN150" s="259"/>
      <c r="AO150" s="259"/>
      <c r="AP150" s="610"/>
      <c r="AQ150" s="259"/>
      <c r="AR150" s="259" t="s">
        <v>2343</v>
      </c>
      <c r="AS150" s="608"/>
      <c r="AT150" s="259"/>
      <c r="AU150" s="259"/>
      <c r="AV150" s="261"/>
      <c r="AW150" s="261"/>
      <c r="AX150" s="608"/>
      <c r="AY150" s="262"/>
    </row>
    <row r="151" spans="1:51" s="260" customFormat="1" ht="103.5" hidden="1" customHeight="1">
      <c r="A151" s="608"/>
      <c r="B151" s="266"/>
      <c r="C151" s="1399"/>
      <c r="D151" s="1408"/>
      <c r="E151" s="1400"/>
      <c r="F151" s="267"/>
      <c r="G151" s="1399"/>
      <c r="H151" s="1408"/>
      <c r="I151" s="1400"/>
      <c r="J151" s="1380"/>
      <c r="K151" s="1380"/>
      <c r="L151" s="1380"/>
      <c r="M151" s="608"/>
      <c r="N151" s="608"/>
      <c r="O151" s="608"/>
      <c r="P151" s="608"/>
      <c r="Q151" s="266"/>
      <c r="R151" s="266"/>
      <c r="S151" s="268"/>
      <c r="T151" s="269" t="e">
        <f>VLOOKUP(Q151,[71]Listas!$D$6:$E$10,2,0)</f>
        <v>#N/A</v>
      </c>
      <c r="U151" s="269" t="e">
        <f>HLOOKUP(R151,[71]Listas!$F$4:$J$5,2,0)</f>
        <v>#N/A</v>
      </c>
      <c r="V151" s="270" t="e">
        <f>INDEX([71]Listas!$F$6:$J$10,MATCH(Q151,[71]Listas!$D$6:$D$10,0),MATCH(R151,[71]Listas!$F$4:$J$4,0))</f>
        <v>#N/A</v>
      </c>
      <c r="W151" s="268"/>
      <c r="X151" s="1399"/>
      <c r="Y151" s="1408"/>
      <c r="Z151" s="1400"/>
      <c r="AA151" s="1063"/>
      <c r="AB151" s="267"/>
      <c r="AC151" s="259"/>
      <c r="AD151" s="608"/>
      <c r="AE151" s="267"/>
      <c r="AF151" s="268"/>
      <c r="AG151" s="269">
        <f t="shared" ref="AG151:AG168" si="20">IF(AD151&lt;=33,0,IF(AD151&gt;81,2,1))</f>
        <v>0</v>
      </c>
      <c r="AH151" s="271" t="e">
        <f t="shared" ref="AH151:AH168" si="21">IF(OR(AE151="Probabilidad",AE151="Ambos"),T151-AG151,T151)</f>
        <v>#N/A</v>
      </c>
      <c r="AI151" s="272" t="e">
        <f>IF(AH151&lt;=1,"Remota",VLOOKUP(AH151,[71]Listas!$C$6:$D$10,2,0))</f>
        <v>#N/A</v>
      </c>
      <c r="AJ151" s="271" t="e">
        <f t="shared" ref="AJ151:AJ168" si="22">IF(OR(AE151="Impacto",AE151="Ambos"),U151-AG151,U151)</f>
        <v>#N/A</v>
      </c>
      <c r="AK151" s="272" t="e">
        <f>IF(AJ151&lt;=1,"Insignificante",HLOOKUP(AJ151,[71]Listas!$F$3:$J$4,2,0))</f>
        <v>#N/A</v>
      </c>
      <c r="AL151" s="273" t="e">
        <f t="shared" ref="AL151:AL168" si="23">AH151*AJ151</f>
        <v>#N/A</v>
      </c>
      <c r="AM151" s="270" t="e">
        <f>INDEX([71]Listas!$F$6:$J$10,MATCH(AI151,[71]Listas!$D$6:$D$10,0),MATCH(AK151,[71]Listas!$F$4:$J$4,0))</f>
        <v>#N/A</v>
      </c>
      <c r="AN151" s="259"/>
      <c r="AO151" s="259"/>
      <c r="AP151" s="610"/>
      <c r="AQ151" s="259"/>
      <c r="AR151" s="259" t="s">
        <v>2343</v>
      </c>
      <c r="AS151" s="608"/>
      <c r="AT151" s="259"/>
      <c r="AU151" s="259"/>
      <c r="AV151" s="261"/>
      <c r="AW151" s="261"/>
      <c r="AX151" s="608"/>
      <c r="AY151" s="262"/>
    </row>
    <row r="152" spans="1:51" s="260" customFormat="1" ht="103.5" hidden="1" customHeight="1">
      <c r="A152" s="608"/>
      <c r="B152" s="266"/>
      <c r="C152" s="1399"/>
      <c r="D152" s="1408"/>
      <c r="E152" s="1400"/>
      <c r="F152" s="267"/>
      <c r="G152" s="1399"/>
      <c r="H152" s="1408"/>
      <c r="I152" s="1400"/>
      <c r="J152" s="1380"/>
      <c r="K152" s="1380"/>
      <c r="L152" s="1380"/>
      <c r="M152" s="608"/>
      <c r="N152" s="608"/>
      <c r="O152" s="608"/>
      <c r="P152" s="608"/>
      <c r="Q152" s="266"/>
      <c r="R152" s="266"/>
      <c r="S152" s="268"/>
      <c r="T152" s="269" t="e">
        <f>VLOOKUP(Q152,[71]Listas!$D$6:$E$10,2,0)</f>
        <v>#N/A</v>
      </c>
      <c r="U152" s="269" t="e">
        <f>HLOOKUP(R152,[71]Listas!$F$4:$J$5,2,0)</f>
        <v>#N/A</v>
      </c>
      <c r="V152" s="270" t="e">
        <f>INDEX([71]Listas!$F$6:$J$10,MATCH(Q152,[71]Listas!$D$6:$D$10,0),MATCH(R152,[71]Listas!$F$4:$J$4,0))</f>
        <v>#N/A</v>
      </c>
      <c r="W152" s="268"/>
      <c r="X152" s="1399"/>
      <c r="Y152" s="1408"/>
      <c r="Z152" s="1400"/>
      <c r="AA152" s="1063"/>
      <c r="AB152" s="267"/>
      <c r="AC152" s="259"/>
      <c r="AD152" s="608"/>
      <c r="AE152" s="267"/>
      <c r="AF152" s="268"/>
      <c r="AG152" s="269">
        <f t="shared" si="20"/>
        <v>0</v>
      </c>
      <c r="AH152" s="271" t="e">
        <f t="shared" si="21"/>
        <v>#N/A</v>
      </c>
      <c r="AI152" s="272" t="e">
        <f>IF(AH152&lt;=1,"Remota",VLOOKUP(AH152,[71]Listas!$C$6:$D$10,2,0))</f>
        <v>#N/A</v>
      </c>
      <c r="AJ152" s="271" t="e">
        <f t="shared" si="22"/>
        <v>#N/A</v>
      </c>
      <c r="AK152" s="272" t="e">
        <f>IF(AJ152&lt;=1,"Insignificante",HLOOKUP(AJ152,[71]Listas!$F$3:$J$4,2,0))</f>
        <v>#N/A</v>
      </c>
      <c r="AL152" s="273" t="e">
        <f t="shared" si="23"/>
        <v>#N/A</v>
      </c>
      <c r="AM152" s="270" t="e">
        <f>INDEX([71]Listas!$F$6:$J$10,MATCH(AI152,[71]Listas!$D$6:$D$10,0),MATCH(AK152,[71]Listas!$F$4:$J$4,0))</f>
        <v>#N/A</v>
      </c>
      <c r="AN152" s="259"/>
      <c r="AO152" s="259"/>
      <c r="AP152" s="610"/>
      <c r="AQ152" s="259"/>
      <c r="AR152" s="259" t="s">
        <v>2343</v>
      </c>
      <c r="AS152" s="608"/>
      <c r="AT152" s="259"/>
      <c r="AU152" s="259"/>
      <c r="AV152" s="261"/>
      <c r="AW152" s="261"/>
      <c r="AX152" s="608"/>
      <c r="AY152" s="262"/>
    </row>
    <row r="153" spans="1:51" s="260" customFormat="1" ht="103.5" hidden="1" customHeight="1">
      <c r="A153" s="608"/>
      <c r="B153" s="266"/>
      <c r="C153" s="1399"/>
      <c r="D153" s="1408"/>
      <c r="E153" s="1400"/>
      <c r="F153" s="267"/>
      <c r="G153" s="1399"/>
      <c r="H153" s="1408"/>
      <c r="I153" s="1400"/>
      <c r="J153" s="1380"/>
      <c r="K153" s="1380"/>
      <c r="L153" s="1380"/>
      <c r="M153" s="608"/>
      <c r="N153" s="608"/>
      <c r="O153" s="608"/>
      <c r="P153" s="608"/>
      <c r="Q153" s="266"/>
      <c r="R153" s="266"/>
      <c r="S153" s="268"/>
      <c r="T153" s="269" t="e">
        <f>VLOOKUP(Q153,[71]Listas!$D$6:$E$10,2,0)</f>
        <v>#N/A</v>
      </c>
      <c r="U153" s="269" t="e">
        <f>HLOOKUP(R153,[71]Listas!$F$4:$J$5,2,0)</f>
        <v>#N/A</v>
      </c>
      <c r="V153" s="270" t="e">
        <f>INDEX([71]Listas!$F$6:$J$10,MATCH(Q153,[71]Listas!$D$6:$D$10,0),MATCH(R153,[71]Listas!$F$4:$J$4,0))</f>
        <v>#N/A</v>
      </c>
      <c r="W153" s="268"/>
      <c r="X153" s="1399"/>
      <c r="Y153" s="1408"/>
      <c r="Z153" s="1400"/>
      <c r="AA153" s="1063"/>
      <c r="AB153" s="267"/>
      <c r="AC153" s="259"/>
      <c r="AD153" s="608"/>
      <c r="AE153" s="267"/>
      <c r="AF153" s="268"/>
      <c r="AG153" s="269">
        <f t="shared" si="20"/>
        <v>0</v>
      </c>
      <c r="AH153" s="271" t="e">
        <f t="shared" si="21"/>
        <v>#N/A</v>
      </c>
      <c r="AI153" s="272" t="e">
        <f>IF(AH153&lt;=1,"Remota",VLOOKUP(AH153,[71]Listas!$C$6:$D$10,2,0))</f>
        <v>#N/A</v>
      </c>
      <c r="AJ153" s="271" t="e">
        <f t="shared" si="22"/>
        <v>#N/A</v>
      </c>
      <c r="AK153" s="272" t="e">
        <f>IF(AJ153&lt;=1,"Insignificante",HLOOKUP(AJ153,[71]Listas!$F$3:$J$4,2,0))</f>
        <v>#N/A</v>
      </c>
      <c r="AL153" s="273" t="e">
        <f t="shared" si="23"/>
        <v>#N/A</v>
      </c>
      <c r="AM153" s="270" t="e">
        <f>INDEX([71]Listas!$F$6:$J$10,MATCH(AI153,[71]Listas!$D$6:$D$10,0),MATCH(AK153,[71]Listas!$F$4:$J$4,0))</f>
        <v>#N/A</v>
      </c>
      <c r="AN153" s="259"/>
      <c r="AO153" s="259"/>
      <c r="AP153" s="610"/>
      <c r="AQ153" s="259"/>
      <c r="AR153" s="259" t="s">
        <v>2343</v>
      </c>
      <c r="AS153" s="608"/>
      <c r="AT153" s="259"/>
      <c r="AU153" s="259"/>
      <c r="AV153" s="261"/>
      <c r="AW153" s="261"/>
      <c r="AX153" s="608"/>
      <c r="AY153" s="262"/>
    </row>
    <row r="154" spans="1:51" s="260" customFormat="1" ht="103.5" hidden="1" customHeight="1">
      <c r="A154" s="608"/>
      <c r="B154" s="266"/>
      <c r="C154" s="1399"/>
      <c r="D154" s="1408"/>
      <c r="E154" s="1400"/>
      <c r="F154" s="267"/>
      <c r="G154" s="1399"/>
      <c r="H154" s="1408"/>
      <c r="I154" s="1400"/>
      <c r="J154" s="1380"/>
      <c r="K154" s="1380"/>
      <c r="L154" s="1380"/>
      <c r="M154" s="608"/>
      <c r="N154" s="608"/>
      <c r="O154" s="608"/>
      <c r="P154" s="608"/>
      <c r="Q154" s="266"/>
      <c r="R154" s="266"/>
      <c r="S154" s="268"/>
      <c r="T154" s="269" t="e">
        <f>VLOOKUP(Q154,[71]Listas!$D$6:$E$10,2,0)</f>
        <v>#N/A</v>
      </c>
      <c r="U154" s="269" t="e">
        <f>HLOOKUP(R154,[71]Listas!$F$4:$J$5,2,0)</f>
        <v>#N/A</v>
      </c>
      <c r="V154" s="270" t="e">
        <f>INDEX([71]Listas!$F$6:$J$10,MATCH(Q154,[71]Listas!$D$6:$D$10,0),MATCH(R154,[71]Listas!$F$4:$J$4,0))</f>
        <v>#N/A</v>
      </c>
      <c r="W154" s="268"/>
      <c r="X154" s="1399"/>
      <c r="Y154" s="1408"/>
      <c r="Z154" s="1400"/>
      <c r="AA154" s="1063"/>
      <c r="AB154" s="267"/>
      <c r="AC154" s="259"/>
      <c r="AD154" s="608"/>
      <c r="AE154" s="267"/>
      <c r="AF154" s="268"/>
      <c r="AG154" s="269">
        <f t="shared" si="20"/>
        <v>0</v>
      </c>
      <c r="AH154" s="271" t="e">
        <f t="shared" si="21"/>
        <v>#N/A</v>
      </c>
      <c r="AI154" s="272" t="e">
        <f>IF(AH154&lt;=1,"Remota",VLOOKUP(AH154,[71]Listas!$C$6:$D$10,2,0))</f>
        <v>#N/A</v>
      </c>
      <c r="AJ154" s="271" t="e">
        <f t="shared" si="22"/>
        <v>#N/A</v>
      </c>
      <c r="AK154" s="272" t="e">
        <f>IF(AJ154&lt;=1,"Insignificante",HLOOKUP(AJ154,[71]Listas!$F$3:$J$4,2,0))</f>
        <v>#N/A</v>
      </c>
      <c r="AL154" s="273" t="e">
        <f t="shared" si="23"/>
        <v>#N/A</v>
      </c>
      <c r="AM154" s="270" t="e">
        <f>INDEX([71]Listas!$F$6:$J$10,MATCH(AI154,[71]Listas!$D$6:$D$10,0),MATCH(AK154,[71]Listas!$F$4:$J$4,0))</f>
        <v>#N/A</v>
      </c>
      <c r="AN154" s="259"/>
      <c r="AO154" s="259"/>
      <c r="AP154" s="610"/>
      <c r="AQ154" s="259"/>
      <c r="AR154" s="259" t="s">
        <v>2343</v>
      </c>
      <c r="AS154" s="608"/>
      <c r="AT154" s="259"/>
      <c r="AU154" s="259"/>
      <c r="AV154" s="261"/>
      <c r="AW154" s="261"/>
      <c r="AX154" s="608"/>
      <c r="AY154" s="262"/>
    </row>
    <row r="155" spans="1:51" s="260" customFormat="1" ht="103.5" hidden="1" customHeight="1">
      <c r="A155" s="608"/>
      <c r="B155" s="266"/>
      <c r="C155" s="1399"/>
      <c r="D155" s="1408"/>
      <c r="E155" s="1400"/>
      <c r="F155" s="267"/>
      <c r="G155" s="1399"/>
      <c r="H155" s="1408"/>
      <c r="I155" s="1400"/>
      <c r="J155" s="1380"/>
      <c r="K155" s="1380"/>
      <c r="L155" s="1380"/>
      <c r="M155" s="608"/>
      <c r="N155" s="608"/>
      <c r="O155" s="608"/>
      <c r="P155" s="608"/>
      <c r="Q155" s="266"/>
      <c r="R155" s="266"/>
      <c r="S155" s="268"/>
      <c r="T155" s="269" t="e">
        <f>VLOOKUP(Q155,[71]Listas!$D$6:$E$10,2,0)</f>
        <v>#N/A</v>
      </c>
      <c r="U155" s="269" t="e">
        <f>HLOOKUP(R155,[71]Listas!$F$4:$J$5,2,0)</f>
        <v>#N/A</v>
      </c>
      <c r="V155" s="270" t="e">
        <f>INDEX([71]Listas!$F$6:$J$10,MATCH(Q155,[71]Listas!$D$6:$D$10,0),MATCH(R155,[71]Listas!$F$4:$J$4,0))</f>
        <v>#N/A</v>
      </c>
      <c r="W155" s="268"/>
      <c r="X155" s="1399"/>
      <c r="Y155" s="1408"/>
      <c r="Z155" s="1400"/>
      <c r="AA155" s="1063"/>
      <c r="AB155" s="267"/>
      <c r="AC155" s="259"/>
      <c r="AD155" s="608"/>
      <c r="AE155" s="267"/>
      <c r="AF155" s="268"/>
      <c r="AG155" s="269">
        <f t="shared" si="20"/>
        <v>0</v>
      </c>
      <c r="AH155" s="271" t="e">
        <f t="shared" si="21"/>
        <v>#N/A</v>
      </c>
      <c r="AI155" s="272" t="e">
        <f>IF(AH155&lt;=1,"Remota",VLOOKUP(AH155,[71]Listas!$C$6:$D$10,2,0))</f>
        <v>#N/A</v>
      </c>
      <c r="AJ155" s="271" t="e">
        <f t="shared" si="22"/>
        <v>#N/A</v>
      </c>
      <c r="AK155" s="272" t="e">
        <f>IF(AJ155&lt;=1,"Insignificante",HLOOKUP(AJ155,[71]Listas!$F$3:$J$4,2,0))</f>
        <v>#N/A</v>
      </c>
      <c r="AL155" s="273" t="e">
        <f t="shared" si="23"/>
        <v>#N/A</v>
      </c>
      <c r="AM155" s="270" t="e">
        <f>INDEX([71]Listas!$F$6:$J$10,MATCH(AI155,[71]Listas!$D$6:$D$10,0),MATCH(AK155,[71]Listas!$F$4:$J$4,0))</f>
        <v>#N/A</v>
      </c>
      <c r="AN155" s="259"/>
      <c r="AO155" s="259"/>
      <c r="AP155" s="610"/>
      <c r="AQ155" s="259"/>
      <c r="AR155" s="259" t="s">
        <v>2343</v>
      </c>
      <c r="AS155" s="608"/>
      <c r="AT155" s="259"/>
      <c r="AU155" s="259"/>
      <c r="AV155" s="261"/>
      <c r="AW155" s="261"/>
      <c r="AX155" s="608"/>
      <c r="AY155" s="262"/>
    </row>
    <row r="156" spans="1:51" s="260" customFormat="1" ht="103.5" hidden="1" customHeight="1">
      <c r="A156" s="608"/>
      <c r="B156" s="266"/>
      <c r="C156" s="1399"/>
      <c r="D156" s="1408"/>
      <c r="E156" s="1400"/>
      <c r="F156" s="267"/>
      <c r="G156" s="1399"/>
      <c r="H156" s="1408"/>
      <c r="I156" s="1400"/>
      <c r="J156" s="1380"/>
      <c r="K156" s="1380"/>
      <c r="L156" s="1380"/>
      <c r="M156" s="608"/>
      <c r="N156" s="608"/>
      <c r="O156" s="608"/>
      <c r="P156" s="608"/>
      <c r="Q156" s="266"/>
      <c r="R156" s="266"/>
      <c r="S156" s="268"/>
      <c r="T156" s="269" t="e">
        <f>VLOOKUP(Q156,[71]Listas!$D$6:$E$10,2,0)</f>
        <v>#N/A</v>
      </c>
      <c r="U156" s="269" t="e">
        <f>HLOOKUP(R156,[71]Listas!$F$4:$J$5,2,0)</f>
        <v>#N/A</v>
      </c>
      <c r="V156" s="270" t="e">
        <f>INDEX([71]Listas!$F$6:$J$10,MATCH(Q156,[71]Listas!$D$6:$D$10,0),MATCH(R156,[71]Listas!$F$4:$J$4,0))</f>
        <v>#N/A</v>
      </c>
      <c r="W156" s="268"/>
      <c r="X156" s="1399"/>
      <c r="Y156" s="1408"/>
      <c r="Z156" s="1400"/>
      <c r="AA156" s="1063"/>
      <c r="AB156" s="267"/>
      <c r="AC156" s="259"/>
      <c r="AD156" s="608"/>
      <c r="AE156" s="267"/>
      <c r="AF156" s="268"/>
      <c r="AG156" s="269">
        <f t="shared" si="20"/>
        <v>0</v>
      </c>
      <c r="AH156" s="271" t="e">
        <f t="shared" si="21"/>
        <v>#N/A</v>
      </c>
      <c r="AI156" s="272" t="e">
        <f>IF(AH156&lt;=1,"Remota",VLOOKUP(AH156,[71]Listas!$C$6:$D$10,2,0))</f>
        <v>#N/A</v>
      </c>
      <c r="AJ156" s="271" t="e">
        <f t="shared" si="22"/>
        <v>#N/A</v>
      </c>
      <c r="AK156" s="272" t="e">
        <f>IF(AJ156&lt;=1,"Insignificante",HLOOKUP(AJ156,[71]Listas!$F$3:$J$4,2,0))</f>
        <v>#N/A</v>
      </c>
      <c r="AL156" s="273" t="e">
        <f t="shared" si="23"/>
        <v>#N/A</v>
      </c>
      <c r="AM156" s="270" t="e">
        <f>INDEX([71]Listas!$F$6:$J$10,MATCH(AI156,[71]Listas!$D$6:$D$10,0),MATCH(AK156,[71]Listas!$F$4:$J$4,0))</f>
        <v>#N/A</v>
      </c>
      <c r="AN156" s="259"/>
      <c r="AO156" s="259"/>
      <c r="AP156" s="610"/>
      <c r="AQ156" s="259"/>
      <c r="AR156" s="259" t="s">
        <v>2343</v>
      </c>
      <c r="AS156" s="608"/>
      <c r="AT156" s="259"/>
      <c r="AU156" s="259"/>
      <c r="AV156" s="261"/>
      <c r="AW156" s="261"/>
      <c r="AX156" s="608"/>
      <c r="AY156" s="262"/>
    </row>
    <row r="157" spans="1:51" s="260" customFormat="1" ht="103.5" hidden="1" customHeight="1">
      <c r="A157" s="608"/>
      <c r="B157" s="266"/>
      <c r="C157" s="1399"/>
      <c r="D157" s="1408"/>
      <c r="E157" s="1400"/>
      <c r="F157" s="267"/>
      <c r="G157" s="1399"/>
      <c r="H157" s="1408"/>
      <c r="I157" s="1400"/>
      <c r="J157" s="1380"/>
      <c r="K157" s="1380"/>
      <c r="L157" s="1380"/>
      <c r="M157" s="608"/>
      <c r="N157" s="608"/>
      <c r="O157" s="608"/>
      <c r="P157" s="608"/>
      <c r="Q157" s="266"/>
      <c r="R157" s="266"/>
      <c r="S157" s="268"/>
      <c r="T157" s="269" t="e">
        <f>VLOOKUP(Q157,[71]Listas!$D$6:$E$10,2,0)</f>
        <v>#N/A</v>
      </c>
      <c r="U157" s="269" t="e">
        <f>HLOOKUP(R157,[71]Listas!$F$4:$J$5,2,0)</f>
        <v>#N/A</v>
      </c>
      <c r="V157" s="270" t="e">
        <f>INDEX([71]Listas!$F$6:$J$10,MATCH(Q157,[71]Listas!$D$6:$D$10,0),MATCH(R157,[71]Listas!$F$4:$J$4,0))</f>
        <v>#N/A</v>
      </c>
      <c r="W157" s="268"/>
      <c r="X157" s="1399"/>
      <c r="Y157" s="1408"/>
      <c r="Z157" s="1400"/>
      <c r="AA157" s="1063"/>
      <c r="AB157" s="267"/>
      <c r="AC157" s="259"/>
      <c r="AD157" s="608"/>
      <c r="AE157" s="267"/>
      <c r="AF157" s="268"/>
      <c r="AG157" s="269">
        <f t="shared" si="20"/>
        <v>0</v>
      </c>
      <c r="AH157" s="271" t="e">
        <f t="shared" si="21"/>
        <v>#N/A</v>
      </c>
      <c r="AI157" s="272" t="e">
        <f>IF(AH157&lt;=1,"Remota",VLOOKUP(AH157,[71]Listas!$C$6:$D$10,2,0))</f>
        <v>#N/A</v>
      </c>
      <c r="AJ157" s="271" t="e">
        <f t="shared" si="22"/>
        <v>#N/A</v>
      </c>
      <c r="AK157" s="272" t="e">
        <f>IF(AJ157&lt;=1,"Insignificante",HLOOKUP(AJ157,[71]Listas!$F$3:$J$4,2,0))</f>
        <v>#N/A</v>
      </c>
      <c r="AL157" s="273" t="e">
        <f t="shared" si="23"/>
        <v>#N/A</v>
      </c>
      <c r="AM157" s="270" t="e">
        <f>INDEX([71]Listas!$F$6:$J$10,MATCH(AI157,[71]Listas!$D$6:$D$10,0),MATCH(AK157,[71]Listas!$F$4:$J$4,0))</f>
        <v>#N/A</v>
      </c>
      <c r="AN157" s="259"/>
      <c r="AO157" s="259"/>
      <c r="AP157" s="610"/>
      <c r="AQ157" s="259"/>
      <c r="AR157" s="259" t="s">
        <v>2343</v>
      </c>
      <c r="AS157" s="608"/>
      <c r="AT157" s="259"/>
      <c r="AU157" s="259"/>
      <c r="AV157" s="261"/>
      <c r="AW157" s="261"/>
      <c r="AX157" s="608"/>
      <c r="AY157" s="262"/>
    </row>
    <row r="158" spans="1:51" s="260" customFormat="1" ht="103.5" hidden="1" customHeight="1">
      <c r="A158" s="608"/>
      <c r="B158" s="266"/>
      <c r="C158" s="1399"/>
      <c r="D158" s="1408"/>
      <c r="E158" s="1400"/>
      <c r="F158" s="267"/>
      <c r="G158" s="1399"/>
      <c r="H158" s="1408"/>
      <c r="I158" s="1400"/>
      <c r="J158" s="1380"/>
      <c r="K158" s="1380"/>
      <c r="L158" s="1380"/>
      <c r="M158" s="608"/>
      <c r="N158" s="608"/>
      <c r="O158" s="608"/>
      <c r="P158" s="608"/>
      <c r="Q158" s="266"/>
      <c r="R158" s="266"/>
      <c r="S158" s="268"/>
      <c r="T158" s="269" t="e">
        <f>VLOOKUP(Q158,[71]Listas!$D$6:$E$10,2,0)</f>
        <v>#N/A</v>
      </c>
      <c r="U158" s="269" t="e">
        <f>HLOOKUP(R158,[71]Listas!$F$4:$J$5,2,0)</f>
        <v>#N/A</v>
      </c>
      <c r="V158" s="270" t="e">
        <f>INDEX([71]Listas!$F$6:$J$10,MATCH(Q158,[71]Listas!$D$6:$D$10,0),MATCH(R158,[71]Listas!$F$4:$J$4,0))</f>
        <v>#N/A</v>
      </c>
      <c r="W158" s="268"/>
      <c r="X158" s="1399"/>
      <c r="Y158" s="1408"/>
      <c r="Z158" s="1400"/>
      <c r="AA158" s="1063"/>
      <c r="AB158" s="267"/>
      <c r="AC158" s="259"/>
      <c r="AD158" s="608"/>
      <c r="AE158" s="267"/>
      <c r="AF158" s="268"/>
      <c r="AG158" s="269">
        <f t="shared" si="20"/>
        <v>0</v>
      </c>
      <c r="AH158" s="271" t="e">
        <f t="shared" si="21"/>
        <v>#N/A</v>
      </c>
      <c r="AI158" s="272" t="e">
        <f>IF(AH158&lt;=1,"Remota",VLOOKUP(AH158,[71]Listas!$C$6:$D$10,2,0))</f>
        <v>#N/A</v>
      </c>
      <c r="AJ158" s="271" t="e">
        <f t="shared" si="22"/>
        <v>#N/A</v>
      </c>
      <c r="AK158" s="272" t="e">
        <f>IF(AJ158&lt;=1,"Insignificante",HLOOKUP(AJ158,[71]Listas!$F$3:$J$4,2,0))</f>
        <v>#N/A</v>
      </c>
      <c r="AL158" s="273" t="e">
        <f t="shared" si="23"/>
        <v>#N/A</v>
      </c>
      <c r="AM158" s="270" t="e">
        <f>INDEX([71]Listas!$F$6:$J$10,MATCH(AI158,[71]Listas!$D$6:$D$10,0),MATCH(AK158,[71]Listas!$F$4:$J$4,0))</f>
        <v>#N/A</v>
      </c>
      <c r="AN158" s="259"/>
      <c r="AO158" s="259"/>
      <c r="AP158" s="610"/>
      <c r="AQ158" s="259"/>
      <c r="AR158" s="259" t="s">
        <v>2343</v>
      </c>
      <c r="AS158" s="608"/>
      <c r="AT158" s="259"/>
      <c r="AU158" s="259"/>
      <c r="AV158" s="261"/>
      <c r="AW158" s="261"/>
      <c r="AX158" s="608"/>
      <c r="AY158" s="262"/>
    </row>
    <row r="159" spans="1:51" s="260" customFormat="1" ht="103.5" hidden="1" customHeight="1">
      <c r="A159" s="608"/>
      <c r="B159" s="266"/>
      <c r="C159" s="1399"/>
      <c r="D159" s="1408"/>
      <c r="E159" s="1400"/>
      <c r="F159" s="267"/>
      <c r="G159" s="1399"/>
      <c r="H159" s="1408"/>
      <c r="I159" s="1400"/>
      <c r="J159" s="1380"/>
      <c r="K159" s="1380"/>
      <c r="L159" s="1380"/>
      <c r="M159" s="608"/>
      <c r="N159" s="608"/>
      <c r="O159" s="608"/>
      <c r="P159" s="608"/>
      <c r="Q159" s="266"/>
      <c r="R159" s="266"/>
      <c r="S159" s="268"/>
      <c r="T159" s="269" t="e">
        <f>VLOOKUP(Q159,[71]Listas!$D$6:$E$10,2,0)</f>
        <v>#N/A</v>
      </c>
      <c r="U159" s="269" t="e">
        <f>HLOOKUP(R159,[71]Listas!$F$4:$J$5,2,0)</f>
        <v>#N/A</v>
      </c>
      <c r="V159" s="270" t="e">
        <f>INDEX([71]Listas!$F$6:$J$10,MATCH(Q159,[71]Listas!$D$6:$D$10,0),MATCH(R159,[71]Listas!$F$4:$J$4,0))</f>
        <v>#N/A</v>
      </c>
      <c r="W159" s="268"/>
      <c r="X159" s="1399"/>
      <c r="Y159" s="1408"/>
      <c r="Z159" s="1400"/>
      <c r="AA159" s="1063"/>
      <c r="AB159" s="267"/>
      <c r="AC159" s="259"/>
      <c r="AD159" s="608"/>
      <c r="AE159" s="267"/>
      <c r="AF159" s="268"/>
      <c r="AG159" s="269">
        <f t="shared" si="20"/>
        <v>0</v>
      </c>
      <c r="AH159" s="271" t="e">
        <f t="shared" si="21"/>
        <v>#N/A</v>
      </c>
      <c r="AI159" s="272" t="e">
        <f>IF(AH159&lt;=1,"Remota",VLOOKUP(AH159,[71]Listas!$C$6:$D$10,2,0))</f>
        <v>#N/A</v>
      </c>
      <c r="AJ159" s="271" t="e">
        <f t="shared" si="22"/>
        <v>#N/A</v>
      </c>
      <c r="AK159" s="272" t="e">
        <f>IF(AJ159&lt;=1,"Insignificante",HLOOKUP(AJ159,[71]Listas!$F$3:$J$4,2,0))</f>
        <v>#N/A</v>
      </c>
      <c r="AL159" s="273" t="e">
        <f t="shared" si="23"/>
        <v>#N/A</v>
      </c>
      <c r="AM159" s="270" t="e">
        <f>INDEX([71]Listas!$F$6:$J$10,MATCH(AI159,[71]Listas!$D$6:$D$10,0),MATCH(AK159,[71]Listas!$F$4:$J$4,0))</f>
        <v>#N/A</v>
      </c>
      <c r="AN159" s="259"/>
      <c r="AO159" s="259"/>
      <c r="AP159" s="610"/>
      <c r="AQ159" s="259"/>
      <c r="AR159" s="259" t="s">
        <v>2343</v>
      </c>
      <c r="AS159" s="608"/>
      <c r="AT159" s="259"/>
      <c r="AU159" s="259"/>
      <c r="AV159" s="261"/>
      <c r="AW159" s="261"/>
      <c r="AX159" s="608"/>
      <c r="AY159" s="262"/>
    </row>
    <row r="160" spans="1:51" s="260" customFormat="1" ht="103.5" hidden="1" customHeight="1">
      <c r="A160" s="608"/>
      <c r="B160" s="266"/>
      <c r="C160" s="1399"/>
      <c r="D160" s="1408"/>
      <c r="E160" s="1400"/>
      <c r="F160" s="267"/>
      <c r="G160" s="1399"/>
      <c r="H160" s="1408"/>
      <c r="I160" s="1400"/>
      <c r="J160" s="1380"/>
      <c r="K160" s="1380"/>
      <c r="L160" s="1380"/>
      <c r="M160" s="608"/>
      <c r="N160" s="608"/>
      <c r="O160" s="608"/>
      <c r="P160" s="608"/>
      <c r="Q160" s="266"/>
      <c r="R160" s="266"/>
      <c r="S160" s="268"/>
      <c r="T160" s="269" t="e">
        <f>VLOOKUP(Q160,[71]Listas!$D$6:$E$10,2,0)</f>
        <v>#N/A</v>
      </c>
      <c r="U160" s="269" t="e">
        <f>HLOOKUP(R160,[71]Listas!$F$4:$J$5,2,0)</f>
        <v>#N/A</v>
      </c>
      <c r="V160" s="270" t="e">
        <f>INDEX([71]Listas!$F$6:$J$10,MATCH(Q160,[71]Listas!$D$6:$D$10,0),MATCH(R160,[71]Listas!$F$4:$J$4,0))</f>
        <v>#N/A</v>
      </c>
      <c r="W160" s="268"/>
      <c r="X160" s="1399"/>
      <c r="Y160" s="1408"/>
      <c r="Z160" s="1400"/>
      <c r="AA160" s="1063"/>
      <c r="AB160" s="267"/>
      <c r="AC160" s="259"/>
      <c r="AD160" s="608"/>
      <c r="AE160" s="267"/>
      <c r="AF160" s="268"/>
      <c r="AG160" s="269">
        <f t="shared" si="20"/>
        <v>0</v>
      </c>
      <c r="AH160" s="271" t="e">
        <f t="shared" si="21"/>
        <v>#N/A</v>
      </c>
      <c r="AI160" s="272" t="e">
        <f>IF(AH160&lt;=1,"Remota",VLOOKUP(AH160,[71]Listas!$C$6:$D$10,2,0))</f>
        <v>#N/A</v>
      </c>
      <c r="AJ160" s="271" t="e">
        <f t="shared" si="22"/>
        <v>#N/A</v>
      </c>
      <c r="AK160" s="272" t="e">
        <f>IF(AJ160&lt;=1,"Insignificante",HLOOKUP(AJ160,[71]Listas!$F$3:$J$4,2,0))</f>
        <v>#N/A</v>
      </c>
      <c r="AL160" s="273" t="e">
        <f t="shared" si="23"/>
        <v>#N/A</v>
      </c>
      <c r="AM160" s="270" t="e">
        <f>INDEX([71]Listas!$F$6:$J$10,MATCH(AI160,[71]Listas!$D$6:$D$10,0),MATCH(AK160,[71]Listas!$F$4:$J$4,0))</f>
        <v>#N/A</v>
      </c>
      <c r="AN160" s="259"/>
      <c r="AO160" s="259"/>
      <c r="AP160" s="610"/>
      <c r="AQ160" s="259"/>
      <c r="AR160" s="259" t="s">
        <v>2343</v>
      </c>
      <c r="AS160" s="608"/>
      <c r="AT160" s="259"/>
      <c r="AU160" s="259"/>
      <c r="AV160" s="261"/>
      <c r="AW160" s="261"/>
      <c r="AX160" s="608"/>
      <c r="AY160" s="262"/>
    </row>
    <row r="161" spans="1:1027" s="260" customFormat="1" ht="103.5" hidden="1" customHeight="1">
      <c r="A161" s="608"/>
      <c r="B161" s="266"/>
      <c r="C161" s="1399"/>
      <c r="D161" s="1408"/>
      <c r="E161" s="1400"/>
      <c r="F161" s="267"/>
      <c r="G161" s="1399"/>
      <c r="H161" s="1408"/>
      <c r="I161" s="1400"/>
      <c r="J161" s="1380"/>
      <c r="K161" s="1380"/>
      <c r="L161" s="1380"/>
      <c r="M161" s="608"/>
      <c r="N161" s="608"/>
      <c r="O161" s="608"/>
      <c r="P161" s="608"/>
      <c r="Q161" s="266"/>
      <c r="R161" s="266"/>
      <c r="S161" s="268"/>
      <c r="T161" s="269" t="e">
        <f>VLOOKUP(Q161,[71]Listas!$D$6:$E$10,2,0)</f>
        <v>#N/A</v>
      </c>
      <c r="U161" s="269" t="e">
        <f>HLOOKUP(R161,[71]Listas!$F$4:$J$5,2,0)</f>
        <v>#N/A</v>
      </c>
      <c r="V161" s="270" t="e">
        <f>INDEX([71]Listas!$F$6:$J$10,MATCH(Q161,[71]Listas!$D$6:$D$10,0),MATCH(R161,[71]Listas!$F$4:$J$4,0))</f>
        <v>#N/A</v>
      </c>
      <c r="W161" s="268"/>
      <c r="X161" s="1399"/>
      <c r="Y161" s="1408"/>
      <c r="Z161" s="1400"/>
      <c r="AA161" s="1063"/>
      <c r="AB161" s="267"/>
      <c r="AC161" s="259"/>
      <c r="AD161" s="608"/>
      <c r="AE161" s="267"/>
      <c r="AF161" s="268"/>
      <c r="AG161" s="269">
        <f t="shared" si="20"/>
        <v>0</v>
      </c>
      <c r="AH161" s="271" t="e">
        <f t="shared" si="21"/>
        <v>#N/A</v>
      </c>
      <c r="AI161" s="272" t="e">
        <f>IF(AH161&lt;=1,"Remota",VLOOKUP(AH161,[71]Listas!$C$6:$D$10,2,0))</f>
        <v>#N/A</v>
      </c>
      <c r="AJ161" s="271" t="e">
        <f t="shared" si="22"/>
        <v>#N/A</v>
      </c>
      <c r="AK161" s="272" t="e">
        <f>IF(AJ161&lt;=1,"Insignificante",HLOOKUP(AJ161,[71]Listas!$F$3:$J$4,2,0))</f>
        <v>#N/A</v>
      </c>
      <c r="AL161" s="273" t="e">
        <f t="shared" si="23"/>
        <v>#N/A</v>
      </c>
      <c r="AM161" s="270" t="e">
        <f>INDEX([71]Listas!$F$6:$J$10,MATCH(AI161,[71]Listas!$D$6:$D$10,0),MATCH(AK161,[71]Listas!$F$4:$J$4,0))</f>
        <v>#N/A</v>
      </c>
      <c r="AN161" s="259"/>
      <c r="AO161" s="259"/>
      <c r="AP161" s="610"/>
      <c r="AQ161" s="259"/>
      <c r="AR161" s="259" t="s">
        <v>2343</v>
      </c>
      <c r="AS161" s="608"/>
      <c r="AT161" s="259"/>
      <c r="AU161" s="259"/>
      <c r="AV161" s="261"/>
      <c r="AW161" s="261"/>
      <c r="AX161" s="608"/>
      <c r="AY161" s="262"/>
    </row>
    <row r="162" spans="1:1027" s="260" customFormat="1" ht="103.5" hidden="1" customHeight="1">
      <c r="A162" s="608"/>
      <c r="B162" s="266"/>
      <c r="C162" s="1399"/>
      <c r="D162" s="1408"/>
      <c r="E162" s="1400"/>
      <c r="F162" s="267"/>
      <c r="G162" s="1399"/>
      <c r="H162" s="1408"/>
      <c r="I162" s="1400"/>
      <c r="J162" s="1380"/>
      <c r="K162" s="1380"/>
      <c r="L162" s="1380"/>
      <c r="M162" s="608"/>
      <c r="N162" s="608"/>
      <c r="O162" s="608"/>
      <c r="P162" s="608"/>
      <c r="Q162" s="266"/>
      <c r="R162" s="266"/>
      <c r="S162" s="268"/>
      <c r="T162" s="269" t="e">
        <f>VLOOKUP(Q162,[71]Listas!$D$6:$E$10,2,0)</f>
        <v>#N/A</v>
      </c>
      <c r="U162" s="269" t="e">
        <f>HLOOKUP(R162,[71]Listas!$F$4:$J$5,2,0)</f>
        <v>#N/A</v>
      </c>
      <c r="V162" s="270" t="e">
        <f>INDEX([71]Listas!$F$6:$J$10,MATCH(Q162,[71]Listas!$D$6:$D$10,0),MATCH(R162,[71]Listas!$F$4:$J$4,0))</f>
        <v>#N/A</v>
      </c>
      <c r="W162" s="268"/>
      <c r="X162" s="1399"/>
      <c r="Y162" s="1408"/>
      <c r="Z162" s="1400"/>
      <c r="AA162" s="1063"/>
      <c r="AB162" s="267"/>
      <c r="AC162" s="259"/>
      <c r="AD162" s="608"/>
      <c r="AE162" s="267"/>
      <c r="AF162" s="268"/>
      <c r="AG162" s="269">
        <f t="shared" si="20"/>
        <v>0</v>
      </c>
      <c r="AH162" s="271" t="e">
        <f t="shared" si="21"/>
        <v>#N/A</v>
      </c>
      <c r="AI162" s="272" t="e">
        <f>IF(AH162&lt;=1,"Remota",VLOOKUP(AH162,[71]Listas!$C$6:$D$10,2,0))</f>
        <v>#N/A</v>
      </c>
      <c r="AJ162" s="271" t="e">
        <f t="shared" si="22"/>
        <v>#N/A</v>
      </c>
      <c r="AK162" s="272" t="e">
        <f>IF(AJ162&lt;=1,"Insignificante",HLOOKUP(AJ162,[71]Listas!$F$3:$J$4,2,0))</f>
        <v>#N/A</v>
      </c>
      <c r="AL162" s="273" t="e">
        <f t="shared" si="23"/>
        <v>#N/A</v>
      </c>
      <c r="AM162" s="270" t="e">
        <f>INDEX([71]Listas!$F$6:$J$10,MATCH(AI162,[71]Listas!$D$6:$D$10,0),MATCH(AK162,[71]Listas!$F$4:$J$4,0))</f>
        <v>#N/A</v>
      </c>
      <c r="AN162" s="259"/>
      <c r="AO162" s="259"/>
      <c r="AP162" s="610"/>
      <c r="AQ162" s="259"/>
      <c r="AR162" s="259" t="s">
        <v>2343</v>
      </c>
      <c r="AS162" s="608"/>
      <c r="AT162" s="259"/>
      <c r="AU162" s="259"/>
      <c r="AV162" s="261"/>
      <c r="AW162" s="261"/>
      <c r="AX162" s="608"/>
      <c r="AY162" s="262"/>
    </row>
    <row r="163" spans="1:1027" s="260" customFormat="1" ht="103.5" hidden="1" customHeight="1">
      <c r="A163" s="608"/>
      <c r="B163" s="266"/>
      <c r="C163" s="1399"/>
      <c r="D163" s="1408"/>
      <c r="E163" s="1400"/>
      <c r="F163" s="267"/>
      <c r="G163" s="1399"/>
      <c r="H163" s="1408"/>
      <c r="I163" s="1400"/>
      <c r="J163" s="1380"/>
      <c r="K163" s="1380"/>
      <c r="L163" s="1380"/>
      <c r="M163" s="608"/>
      <c r="N163" s="608"/>
      <c r="O163" s="608"/>
      <c r="P163" s="608"/>
      <c r="Q163" s="266"/>
      <c r="R163" s="266"/>
      <c r="S163" s="268"/>
      <c r="T163" s="269" t="e">
        <f>VLOOKUP(Q163,[71]Listas!$D$6:$E$10,2,0)</f>
        <v>#N/A</v>
      </c>
      <c r="U163" s="269" t="e">
        <f>HLOOKUP(R163,[71]Listas!$F$4:$J$5,2,0)</f>
        <v>#N/A</v>
      </c>
      <c r="V163" s="270" t="e">
        <f>INDEX([71]Listas!$F$6:$J$10,MATCH(Q163,[71]Listas!$D$6:$D$10,0),MATCH(R163,[71]Listas!$F$4:$J$4,0))</f>
        <v>#N/A</v>
      </c>
      <c r="W163" s="268"/>
      <c r="X163" s="1399"/>
      <c r="Y163" s="1408"/>
      <c r="Z163" s="1400"/>
      <c r="AA163" s="1063"/>
      <c r="AB163" s="267"/>
      <c r="AC163" s="259"/>
      <c r="AD163" s="608"/>
      <c r="AE163" s="267"/>
      <c r="AF163" s="268"/>
      <c r="AG163" s="269">
        <f t="shared" si="20"/>
        <v>0</v>
      </c>
      <c r="AH163" s="271" t="e">
        <f t="shared" si="21"/>
        <v>#N/A</v>
      </c>
      <c r="AI163" s="272" t="e">
        <f>IF(AH163&lt;=1,"Remota",VLOOKUP(AH163,[71]Listas!$C$6:$D$10,2,0))</f>
        <v>#N/A</v>
      </c>
      <c r="AJ163" s="271" t="e">
        <f t="shared" si="22"/>
        <v>#N/A</v>
      </c>
      <c r="AK163" s="272" t="e">
        <f>IF(AJ163&lt;=1,"Insignificante",HLOOKUP(AJ163,[71]Listas!$F$3:$J$4,2,0))</f>
        <v>#N/A</v>
      </c>
      <c r="AL163" s="273" t="e">
        <f t="shared" si="23"/>
        <v>#N/A</v>
      </c>
      <c r="AM163" s="270" t="e">
        <f>INDEX([71]Listas!$F$6:$J$10,MATCH(AI163,[71]Listas!$D$6:$D$10,0),MATCH(AK163,[71]Listas!$F$4:$J$4,0))</f>
        <v>#N/A</v>
      </c>
      <c r="AN163" s="259"/>
      <c r="AO163" s="259"/>
      <c r="AP163" s="610"/>
      <c r="AQ163" s="259"/>
      <c r="AR163" s="259" t="s">
        <v>2343</v>
      </c>
      <c r="AS163" s="608"/>
      <c r="AT163" s="259"/>
      <c r="AU163" s="259"/>
      <c r="AV163" s="261"/>
      <c r="AW163" s="261"/>
      <c r="AX163" s="608"/>
      <c r="AY163" s="262"/>
    </row>
    <row r="164" spans="1:1027" s="260" customFormat="1" ht="103.5" hidden="1" customHeight="1">
      <c r="A164" s="608"/>
      <c r="B164" s="266"/>
      <c r="C164" s="1399"/>
      <c r="D164" s="1408"/>
      <c r="E164" s="1400"/>
      <c r="F164" s="267"/>
      <c r="G164" s="1399"/>
      <c r="H164" s="1408"/>
      <c r="I164" s="1400"/>
      <c r="J164" s="1380"/>
      <c r="K164" s="1380"/>
      <c r="L164" s="1380"/>
      <c r="M164" s="608"/>
      <c r="N164" s="608"/>
      <c r="O164" s="608"/>
      <c r="P164" s="608"/>
      <c r="Q164" s="266"/>
      <c r="R164" s="266"/>
      <c r="S164" s="268"/>
      <c r="T164" s="269" t="e">
        <f>VLOOKUP(Q164,[71]Listas!$D$6:$E$10,2,0)</f>
        <v>#N/A</v>
      </c>
      <c r="U164" s="269" t="e">
        <f>HLOOKUP(R164,[71]Listas!$F$4:$J$5,2,0)</f>
        <v>#N/A</v>
      </c>
      <c r="V164" s="270" t="e">
        <f>INDEX([71]Listas!$F$6:$J$10,MATCH(Q164,[71]Listas!$D$6:$D$10,0),MATCH(R164,[71]Listas!$F$4:$J$4,0))</f>
        <v>#N/A</v>
      </c>
      <c r="W164" s="268"/>
      <c r="X164" s="1399"/>
      <c r="Y164" s="1408"/>
      <c r="Z164" s="1400"/>
      <c r="AA164" s="1063"/>
      <c r="AB164" s="267"/>
      <c r="AC164" s="259"/>
      <c r="AD164" s="608"/>
      <c r="AE164" s="267"/>
      <c r="AF164" s="268"/>
      <c r="AG164" s="269">
        <f t="shared" si="20"/>
        <v>0</v>
      </c>
      <c r="AH164" s="271" t="e">
        <f t="shared" si="21"/>
        <v>#N/A</v>
      </c>
      <c r="AI164" s="272" t="e">
        <f>IF(AH164&lt;=1,"Remota",VLOOKUP(AH164,[71]Listas!$C$6:$D$10,2,0))</f>
        <v>#N/A</v>
      </c>
      <c r="AJ164" s="271" t="e">
        <f t="shared" si="22"/>
        <v>#N/A</v>
      </c>
      <c r="AK164" s="272" t="e">
        <f>IF(AJ164&lt;=1,"Insignificante",HLOOKUP(AJ164,[71]Listas!$F$3:$J$4,2,0))</f>
        <v>#N/A</v>
      </c>
      <c r="AL164" s="273" t="e">
        <f t="shared" si="23"/>
        <v>#N/A</v>
      </c>
      <c r="AM164" s="270" t="e">
        <f>INDEX([71]Listas!$F$6:$J$10,MATCH(AI164,[71]Listas!$D$6:$D$10,0),MATCH(AK164,[71]Listas!$F$4:$J$4,0))</f>
        <v>#N/A</v>
      </c>
      <c r="AN164" s="259"/>
      <c r="AO164" s="259"/>
      <c r="AP164" s="610"/>
      <c r="AQ164" s="259"/>
      <c r="AR164" s="259" t="s">
        <v>2343</v>
      </c>
      <c r="AS164" s="608"/>
      <c r="AT164" s="259"/>
      <c r="AU164" s="259"/>
      <c r="AV164" s="261"/>
      <c r="AW164" s="261"/>
      <c r="AX164" s="608"/>
      <c r="AY164" s="262"/>
    </row>
    <row r="165" spans="1:1027" s="260" customFormat="1" ht="103.5" hidden="1" customHeight="1">
      <c r="A165" s="608"/>
      <c r="B165" s="266"/>
      <c r="C165" s="1399"/>
      <c r="D165" s="1408"/>
      <c r="E165" s="1400"/>
      <c r="F165" s="267"/>
      <c r="G165" s="1399"/>
      <c r="H165" s="1408"/>
      <c r="I165" s="1400"/>
      <c r="J165" s="1380"/>
      <c r="K165" s="1380"/>
      <c r="L165" s="1380"/>
      <c r="M165" s="608"/>
      <c r="N165" s="608"/>
      <c r="O165" s="608"/>
      <c r="P165" s="608"/>
      <c r="Q165" s="266"/>
      <c r="R165" s="266"/>
      <c r="S165" s="268"/>
      <c r="T165" s="269" t="e">
        <f>VLOOKUP(Q165,[71]Listas!$D$6:$E$10,2,0)</f>
        <v>#N/A</v>
      </c>
      <c r="U165" s="269" t="e">
        <f>HLOOKUP(R165,[71]Listas!$F$4:$J$5,2,0)</f>
        <v>#N/A</v>
      </c>
      <c r="V165" s="270" t="e">
        <f>INDEX([71]Listas!$F$6:$J$10,MATCH(Q165,[71]Listas!$D$6:$D$10,0),MATCH(R165,[71]Listas!$F$4:$J$4,0))</f>
        <v>#N/A</v>
      </c>
      <c r="W165" s="268"/>
      <c r="X165" s="1399"/>
      <c r="Y165" s="1408"/>
      <c r="Z165" s="1400"/>
      <c r="AA165" s="1063"/>
      <c r="AB165" s="267"/>
      <c r="AC165" s="259"/>
      <c r="AD165" s="608"/>
      <c r="AE165" s="267"/>
      <c r="AF165" s="268"/>
      <c r="AG165" s="269">
        <f t="shared" si="20"/>
        <v>0</v>
      </c>
      <c r="AH165" s="271" t="e">
        <f t="shared" si="21"/>
        <v>#N/A</v>
      </c>
      <c r="AI165" s="272" t="e">
        <f>IF(AH165&lt;=1,"Remota",VLOOKUP(AH165,[71]Listas!$C$6:$D$10,2,0))</f>
        <v>#N/A</v>
      </c>
      <c r="AJ165" s="271" t="e">
        <f t="shared" si="22"/>
        <v>#N/A</v>
      </c>
      <c r="AK165" s="272" t="e">
        <f>IF(AJ165&lt;=1,"Insignificante",HLOOKUP(AJ165,[71]Listas!$F$3:$J$4,2,0))</f>
        <v>#N/A</v>
      </c>
      <c r="AL165" s="273" t="e">
        <f t="shared" si="23"/>
        <v>#N/A</v>
      </c>
      <c r="AM165" s="270" t="e">
        <f>INDEX([71]Listas!$F$6:$J$10,MATCH(AI165,[71]Listas!$D$6:$D$10,0),MATCH(AK165,[71]Listas!$F$4:$J$4,0))</f>
        <v>#N/A</v>
      </c>
      <c r="AN165" s="259"/>
      <c r="AO165" s="259"/>
      <c r="AP165" s="610"/>
      <c r="AQ165" s="259"/>
      <c r="AR165" s="259" t="s">
        <v>2343</v>
      </c>
      <c r="AS165" s="608"/>
      <c r="AT165" s="259"/>
      <c r="AU165" s="259"/>
      <c r="AV165" s="261"/>
      <c r="AW165" s="261"/>
      <c r="AX165" s="608"/>
      <c r="AY165" s="262"/>
    </row>
    <row r="166" spans="1:1027" s="260" customFormat="1" ht="103.5" hidden="1" customHeight="1">
      <c r="A166" s="608"/>
      <c r="B166" s="266"/>
      <c r="C166" s="1399"/>
      <c r="D166" s="1408"/>
      <c r="E166" s="1400"/>
      <c r="F166" s="267"/>
      <c r="G166" s="1399"/>
      <c r="H166" s="1408"/>
      <c r="I166" s="1400"/>
      <c r="J166" s="1380"/>
      <c r="K166" s="1380"/>
      <c r="L166" s="1380"/>
      <c r="M166" s="608"/>
      <c r="N166" s="608"/>
      <c r="O166" s="608"/>
      <c r="P166" s="608"/>
      <c r="Q166" s="266"/>
      <c r="R166" s="266"/>
      <c r="S166" s="268"/>
      <c r="T166" s="269" t="e">
        <f>VLOOKUP(Q166,[71]Listas!$D$6:$E$10,2,0)</f>
        <v>#N/A</v>
      </c>
      <c r="U166" s="269" t="e">
        <f>HLOOKUP(R166,[71]Listas!$F$4:$J$5,2,0)</f>
        <v>#N/A</v>
      </c>
      <c r="V166" s="270" t="e">
        <f>INDEX([71]Listas!$F$6:$J$10,MATCH(Q166,[71]Listas!$D$6:$D$10,0),MATCH(R166,[71]Listas!$F$4:$J$4,0))</f>
        <v>#N/A</v>
      </c>
      <c r="W166" s="268"/>
      <c r="X166" s="1399"/>
      <c r="Y166" s="1408"/>
      <c r="Z166" s="1400"/>
      <c r="AA166" s="1063"/>
      <c r="AB166" s="267"/>
      <c r="AC166" s="259"/>
      <c r="AD166" s="608"/>
      <c r="AE166" s="267"/>
      <c r="AF166" s="268"/>
      <c r="AG166" s="269">
        <f t="shared" si="20"/>
        <v>0</v>
      </c>
      <c r="AH166" s="271" t="e">
        <f t="shared" si="21"/>
        <v>#N/A</v>
      </c>
      <c r="AI166" s="272" t="e">
        <f>IF(AH166&lt;=1,"Remota",VLOOKUP(AH166,[71]Listas!$C$6:$D$10,2,0))</f>
        <v>#N/A</v>
      </c>
      <c r="AJ166" s="271" t="e">
        <f t="shared" si="22"/>
        <v>#N/A</v>
      </c>
      <c r="AK166" s="272" t="e">
        <f>IF(AJ166&lt;=1,"Insignificante",HLOOKUP(AJ166,[71]Listas!$F$3:$J$4,2,0))</f>
        <v>#N/A</v>
      </c>
      <c r="AL166" s="273" t="e">
        <f t="shared" si="23"/>
        <v>#N/A</v>
      </c>
      <c r="AM166" s="270" t="e">
        <f>INDEX([71]Listas!$F$6:$J$10,MATCH(AI166,[71]Listas!$D$6:$D$10,0),MATCH(AK166,[71]Listas!$F$4:$J$4,0))</f>
        <v>#N/A</v>
      </c>
      <c r="AN166" s="259"/>
      <c r="AO166" s="259"/>
      <c r="AP166" s="610"/>
      <c r="AQ166" s="259"/>
      <c r="AR166" s="259" t="s">
        <v>2343</v>
      </c>
      <c r="AS166" s="608"/>
      <c r="AT166" s="259"/>
      <c r="AU166" s="259"/>
      <c r="AV166" s="261"/>
      <c r="AW166" s="261"/>
      <c r="AX166" s="608"/>
      <c r="AY166" s="262"/>
    </row>
    <row r="167" spans="1:1027" s="260" customFormat="1" ht="103.5" hidden="1" customHeight="1">
      <c r="A167" s="608"/>
      <c r="B167" s="266"/>
      <c r="C167" s="1399"/>
      <c r="D167" s="1408"/>
      <c r="E167" s="1400"/>
      <c r="F167" s="267"/>
      <c r="G167" s="1399"/>
      <c r="H167" s="1408"/>
      <c r="I167" s="1400"/>
      <c r="J167" s="1380"/>
      <c r="K167" s="1380"/>
      <c r="L167" s="1380"/>
      <c r="M167" s="608"/>
      <c r="N167" s="608"/>
      <c r="O167" s="608"/>
      <c r="P167" s="608"/>
      <c r="Q167" s="266"/>
      <c r="R167" s="266"/>
      <c r="S167" s="268"/>
      <c r="T167" s="269" t="e">
        <f>VLOOKUP(Q167,[71]Listas!$D$6:$E$10,2,0)</f>
        <v>#N/A</v>
      </c>
      <c r="U167" s="269" t="e">
        <f>HLOOKUP(R167,[71]Listas!$F$4:$J$5,2,0)</f>
        <v>#N/A</v>
      </c>
      <c r="V167" s="270" t="e">
        <f>INDEX([71]Listas!$F$6:$J$10,MATCH(Q167,[71]Listas!$D$6:$D$10,0),MATCH(R167,[71]Listas!$F$4:$J$4,0))</f>
        <v>#N/A</v>
      </c>
      <c r="W167" s="268"/>
      <c r="X167" s="1399"/>
      <c r="Y167" s="1408"/>
      <c r="Z167" s="1400"/>
      <c r="AA167" s="1063"/>
      <c r="AB167" s="267"/>
      <c r="AC167" s="259"/>
      <c r="AD167" s="608"/>
      <c r="AE167" s="267"/>
      <c r="AF167" s="268"/>
      <c r="AG167" s="269">
        <f t="shared" si="20"/>
        <v>0</v>
      </c>
      <c r="AH167" s="271" t="e">
        <f t="shared" si="21"/>
        <v>#N/A</v>
      </c>
      <c r="AI167" s="272" t="e">
        <f>IF(AH167&lt;=1,"Remota",VLOOKUP(AH167,[71]Listas!$C$6:$D$10,2,0))</f>
        <v>#N/A</v>
      </c>
      <c r="AJ167" s="271" t="e">
        <f t="shared" si="22"/>
        <v>#N/A</v>
      </c>
      <c r="AK167" s="272" t="e">
        <f>IF(AJ167&lt;=1,"Insignificante",HLOOKUP(AJ167,[71]Listas!$F$3:$J$4,2,0))</f>
        <v>#N/A</v>
      </c>
      <c r="AL167" s="273" t="e">
        <f t="shared" si="23"/>
        <v>#N/A</v>
      </c>
      <c r="AM167" s="270" t="e">
        <f>INDEX([71]Listas!$F$6:$J$10,MATCH(AI167,[71]Listas!$D$6:$D$10,0),MATCH(AK167,[71]Listas!$F$4:$J$4,0))</f>
        <v>#N/A</v>
      </c>
      <c r="AN167" s="259"/>
      <c r="AO167" s="259"/>
      <c r="AP167" s="610"/>
      <c r="AQ167" s="259"/>
      <c r="AR167" s="259" t="s">
        <v>2343</v>
      </c>
      <c r="AS167" s="608"/>
      <c r="AT167" s="259"/>
      <c r="AU167" s="259"/>
      <c r="AV167" s="261"/>
      <c r="AW167" s="261"/>
      <c r="AX167" s="608"/>
      <c r="AY167" s="262"/>
    </row>
    <row r="168" spans="1:1027" s="260" customFormat="1" ht="103.5" hidden="1" customHeight="1">
      <c r="A168" s="608"/>
      <c r="B168" s="266"/>
      <c r="C168" s="1399"/>
      <c r="D168" s="1408"/>
      <c r="E168" s="1400"/>
      <c r="F168" s="267"/>
      <c r="G168" s="1399"/>
      <c r="H168" s="1408"/>
      <c r="I168" s="1400"/>
      <c r="J168" s="1380"/>
      <c r="K168" s="1380"/>
      <c r="L168" s="1380"/>
      <c r="M168" s="608"/>
      <c r="N168" s="608"/>
      <c r="O168" s="608"/>
      <c r="P168" s="608"/>
      <c r="Q168" s="266"/>
      <c r="R168" s="266"/>
      <c r="S168" s="268"/>
      <c r="T168" s="269" t="e">
        <f>VLOOKUP(Q168,[71]Listas!$D$6:$E$10,2,0)</f>
        <v>#N/A</v>
      </c>
      <c r="U168" s="269" t="e">
        <f>HLOOKUP(R168,[71]Listas!$F$4:$J$5,2,0)</f>
        <v>#N/A</v>
      </c>
      <c r="V168" s="270" t="e">
        <f>INDEX([71]Listas!$F$6:$J$10,MATCH(Q168,[71]Listas!$D$6:$D$10,0),MATCH(R168,[71]Listas!$F$4:$J$4,0))</f>
        <v>#N/A</v>
      </c>
      <c r="W168" s="268"/>
      <c r="X168" s="1399"/>
      <c r="Y168" s="1408"/>
      <c r="Z168" s="1400"/>
      <c r="AA168" s="1063"/>
      <c r="AB168" s="267"/>
      <c r="AC168" s="259"/>
      <c r="AD168" s="608"/>
      <c r="AE168" s="267"/>
      <c r="AF168" s="268"/>
      <c r="AG168" s="269">
        <f t="shared" si="20"/>
        <v>0</v>
      </c>
      <c r="AH168" s="271" t="e">
        <f t="shared" si="21"/>
        <v>#N/A</v>
      </c>
      <c r="AI168" s="272" t="e">
        <f>IF(AH168&lt;=1,"Remota",VLOOKUP(AH168,[71]Listas!$C$6:$D$10,2,0))</f>
        <v>#N/A</v>
      </c>
      <c r="AJ168" s="271" t="e">
        <f t="shared" si="22"/>
        <v>#N/A</v>
      </c>
      <c r="AK168" s="272" t="e">
        <f>IF(AJ168&lt;=1,"Insignificante",HLOOKUP(AJ168,[71]Listas!$F$3:$J$4,2,0))</f>
        <v>#N/A</v>
      </c>
      <c r="AL168" s="273" t="e">
        <f t="shared" si="23"/>
        <v>#N/A</v>
      </c>
      <c r="AM168" s="270" t="e">
        <f>INDEX([71]Listas!$F$6:$J$10,MATCH(AI168,[71]Listas!$D$6:$D$10,0),MATCH(AK168,[71]Listas!$F$4:$J$4,0))</f>
        <v>#N/A</v>
      </c>
      <c r="AN168" s="259"/>
      <c r="AO168" s="259"/>
      <c r="AP168" s="610"/>
      <c r="AQ168" s="259"/>
      <c r="AR168" s="259" t="s">
        <v>2343</v>
      </c>
      <c r="AS168" s="608"/>
      <c r="AT168" s="259"/>
      <c r="AU168" s="259"/>
      <c r="AV168" s="261"/>
      <c r="AW168" s="261"/>
      <c r="AX168" s="608"/>
      <c r="AY168" s="262"/>
    </row>
    <row r="169" spans="1:1027" ht="5.25" customHeight="1">
      <c r="A169" s="275"/>
      <c r="B169" s="276"/>
      <c r="C169" s="276"/>
      <c r="D169" s="276"/>
      <c r="E169" s="275"/>
      <c r="F169" s="275"/>
      <c r="G169" s="277"/>
      <c r="H169" s="277"/>
      <c r="I169" s="277"/>
      <c r="J169" s="275"/>
      <c r="K169" s="275"/>
      <c r="L169" s="278"/>
      <c r="M169" s="278"/>
      <c r="N169" s="278"/>
      <c r="O169" s="278"/>
      <c r="P169" s="278"/>
      <c r="Q169" s="278"/>
      <c r="R169" s="278"/>
      <c r="S169" s="278"/>
      <c r="T169" s="278"/>
      <c r="U169" s="278"/>
      <c r="V169" s="275"/>
      <c r="W169" s="275"/>
      <c r="X169" s="277"/>
      <c r="Y169" s="277"/>
      <c r="Z169" s="277"/>
      <c r="AA169" s="275"/>
      <c r="AB169" s="277"/>
      <c r="AC169" s="277"/>
      <c r="AD169" s="275"/>
      <c r="AE169" s="275"/>
      <c r="AF169" s="275"/>
      <c r="AG169" s="275"/>
      <c r="AH169" s="275"/>
      <c r="AI169" s="275"/>
      <c r="AJ169" s="275"/>
      <c r="AK169" s="275"/>
      <c r="AL169" s="275"/>
      <c r="AM169" s="279"/>
      <c r="AN169" s="262"/>
      <c r="AO169" s="262"/>
      <c r="AP169" s="262"/>
      <c r="AQ169" s="262"/>
      <c r="AR169" s="262"/>
      <c r="AS169" s="262"/>
      <c r="AT169" s="262"/>
      <c r="AU169" s="262"/>
      <c r="AV169" s="262"/>
      <c r="AW169" s="262"/>
      <c r="AX169" s="262"/>
      <c r="AY169" s="262"/>
      <c r="AZ169" s="236"/>
      <c r="BA169" s="236"/>
      <c r="BB169" s="236"/>
      <c r="BC169" s="236"/>
      <c r="BD169" s="236"/>
      <c r="BE169" s="236"/>
      <c r="BF169" s="236"/>
      <c r="BG169" s="236"/>
      <c r="BH169" s="236"/>
      <c r="BI169" s="236"/>
      <c r="BJ169" s="236"/>
      <c r="BK169" s="236"/>
      <c r="BL169" s="236"/>
      <c r="BM169" s="236"/>
      <c r="BN169" s="236"/>
      <c r="BO169" s="236"/>
      <c r="BP169" s="236"/>
      <c r="BQ169" s="236"/>
      <c r="BR169" s="236"/>
      <c r="BS169" s="236"/>
      <c r="BT169" s="236"/>
      <c r="BU169" s="236"/>
      <c r="BV169" s="236"/>
      <c r="BW169" s="236"/>
      <c r="BX169" s="236"/>
      <c r="BY169" s="236"/>
      <c r="BZ169" s="236"/>
      <c r="CA169" s="236"/>
      <c r="CB169" s="236"/>
      <c r="CC169" s="236"/>
      <c r="CD169" s="236"/>
      <c r="CE169" s="236"/>
      <c r="CF169" s="236"/>
      <c r="CG169" s="236"/>
      <c r="CH169" s="236"/>
      <c r="CI169" s="236"/>
      <c r="CJ169" s="236"/>
      <c r="CK169" s="236"/>
      <c r="CL169" s="236"/>
      <c r="CM169" s="236"/>
      <c r="CN169" s="236"/>
      <c r="CO169" s="236"/>
      <c r="CP169" s="236"/>
      <c r="CQ169" s="236"/>
      <c r="CR169" s="236"/>
      <c r="CS169" s="236"/>
      <c r="CT169" s="236"/>
      <c r="CU169" s="236"/>
      <c r="CV169" s="236"/>
      <c r="CW169" s="236"/>
      <c r="CX169" s="236"/>
      <c r="CY169" s="236"/>
      <c r="CZ169" s="236"/>
      <c r="DA169" s="236"/>
      <c r="DB169" s="236"/>
      <c r="DC169" s="236"/>
      <c r="DD169" s="236"/>
      <c r="DE169" s="236"/>
      <c r="DF169" s="236"/>
      <c r="DG169" s="236"/>
      <c r="DH169" s="236"/>
      <c r="DI169" s="236"/>
      <c r="DJ169" s="236"/>
      <c r="DK169" s="236"/>
      <c r="DL169" s="236"/>
      <c r="DM169" s="236"/>
      <c r="DN169" s="236"/>
      <c r="DO169" s="236"/>
      <c r="DP169" s="236"/>
      <c r="DQ169" s="236"/>
      <c r="DR169" s="236"/>
      <c r="DS169" s="236"/>
      <c r="DT169" s="236"/>
      <c r="DU169" s="236"/>
      <c r="DV169" s="236"/>
      <c r="DW169" s="236"/>
      <c r="DX169" s="236"/>
      <c r="DY169" s="236"/>
      <c r="DZ169" s="236"/>
      <c r="EA169" s="236"/>
      <c r="EB169" s="236"/>
      <c r="EC169" s="236"/>
      <c r="ED169" s="236"/>
      <c r="EE169" s="236"/>
      <c r="EF169" s="236"/>
      <c r="EG169" s="236"/>
      <c r="EH169" s="236"/>
      <c r="EI169" s="236"/>
      <c r="EJ169" s="236"/>
      <c r="EK169" s="236"/>
      <c r="EL169" s="236"/>
      <c r="EM169" s="236"/>
      <c r="EN169" s="236"/>
      <c r="EO169" s="236"/>
      <c r="EP169" s="236"/>
      <c r="EQ169" s="236"/>
      <c r="ER169" s="236"/>
      <c r="ES169" s="236"/>
      <c r="ET169" s="236"/>
      <c r="EU169" s="236"/>
      <c r="EV169" s="236"/>
      <c r="EW169" s="236"/>
      <c r="EX169" s="236"/>
      <c r="EY169" s="236"/>
      <c r="EZ169" s="236"/>
      <c r="FA169" s="236"/>
      <c r="FB169" s="236"/>
      <c r="FC169" s="236"/>
      <c r="FD169" s="236"/>
      <c r="FE169" s="236"/>
      <c r="FF169" s="236"/>
      <c r="FG169" s="236"/>
      <c r="FH169" s="236"/>
      <c r="FI169" s="236"/>
      <c r="FJ169" s="236"/>
      <c r="FK169" s="236"/>
      <c r="FL169" s="236"/>
      <c r="FM169" s="236"/>
      <c r="FN169" s="236"/>
      <c r="FO169" s="236"/>
      <c r="FP169" s="236"/>
      <c r="FQ169" s="236"/>
      <c r="FR169" s="236"/>
      <c r="FS169" s="236"/>
      <c r="FT169" s="236"/>
      <c r="FU169" s="236"/>
      <c r="FV169" s="236"/>
      <c r="FW169" s="236"/>
      <c r="FX169" s="236"/>
      <c r="FY169" s="236"/>
      <c r="FZ169" s="236"/>
      <c r="GA169" s="236"/>
      <c r="GB169" s="236"/>
      <c r="GC169" s="236"/>
      <c r="GD169" s="236"/>
      <c r="GE169" s="236"/>
      <c r="GF169" s="236"/>
      <c r="GG169" s="236"/>
      <c r="GH169" s="236"/>
      <c r="GI169" s="236"/>
      <c r="GJ169" s="236"/>
      <c r="GK169" s="236"/>
      <c r="GL169" s="236"/>
      <c r="GM169" s="236"/>
      <c r="GN169" s="236"/>
      <c r="GO169" s="236"/>
      <c r="GP169" s="236"/>
      <c r="GQ169" s="236"/>
      <c r="GR169" s="236"/>
      <c r="GS169" s="236"/>
      <c r="GT169" s="236"/>
      <c r="GU169" s="236"/>
      <c r="GV169" s="236"/>
      <c r="GW169" s="236"/>
      <c r="GX169" s="236"/>
      <c r="GY169" s="236"/>
      <c r="GZ169" s="236"/>
      <c r="HA169" s="236"/>
      <c r="HB169" s="236"/>
      <c r="HC169" s="236"/>
      <c r="HD169" s="236"/>
      <c r="HE169" s="236"/>
      <c r="HF169" s="236"/>
      <c r="HG169" s="236"/>
      <c r="HH169" s="236"/>
      <c r="HI169" s="236"/>
      <c r="HJ169" s="236"/>
      <c r="HK169" s="236"/>
      <c r="HL169" s="236"/>
      <c r="HM169" s="236"/>
      <c r="HN169" s="236"/>
      <c r="HO169" s="236"/>
      <c r="HP169" s="236"/>
      <c r="HQ169" s="236"/>
      <c r="HR169" s="236"/>
      <c r="HS169" s="236"/>
      <c r="HT169" s="236"/>
      <c r="HU169" s="236"/>
      <c r="HV169" s="236"/>
      <c r="HW169" s="236"/>
      <c r="HX169" s="236"/>
      <c r="HY169" s="236"/>
      <c r="HZ169" s="236"/>
      <c r="IA169" s="236"/>
      <c r="IB169" s="236"/>
      <c r="IC169" s="236"/>
      <c r="ID169" s="236"/>
      <c r="IE169" s="236"/>
      <c r="IF169" s="236"/>
      <c r="IG169" s="236"/>
      <c r="IH169" s="236"/>
      <c r="II169" s="236"/>
      <c r="IJ169" s="236"/>
      <c r="IK169" s="236"/>
      <c r="IL169" s="236"/>
      <c r="IM169" s="236"/>
      <c r="IN169" s="236"/>
      <c r="IO169" s="236"/>
      <c r="IP169" s="236"/>
      <c r="IQ169" s="236"/>
      <c r="IR169" s="236"/>
      <c r="IS169" s="236"/>
      <c r="IT169" s="236"/>
      <c r="IU169" s="236"/>
      <c r="IV169" s="236"/>
      <c r="IW169" s="236"/>
      <c r="IX169" s="236"/>
      <c r="IY169" s="236"/>
      <c r="IZ169" s="236"/>
      <c r="JA169" s="236"/>
      <c r="JB169" s="236"/>
      <c r="JC169" s="236"/>
      <c r="JD169" s="236"/>
      <c r="JE169" s="236"/>
      <c r="JF169" s="236"/>
      <c r="JG169" s="236"/>
      <c r="JH169" s="236"/>
      <c r="JI169" s="236"/>
      <c r="JJ169" s="236"/>
      <c r="JK169" s="236"/>
      <c r="JL169" s="236"/>
      <c r="JM169" s="236"/>
      <c r="JN169" s="236"/>
      <c r="JO169" s="236"/>
      <c r="JP169" s="236"/>
      <c r="JQ169" s="236"/>
      <c r="JR169" s="236"/>
      <c r="JS169" s="236"/>
      <c r="JT169" s="236"/>
      <c r="JU169" s="236"/>
      <c r="JV169" s="236"/>
      <c r="JW169" s="236"/>
      <c r="JX169" s="236"/>
      <c r="JY169" s="236"/>
      <c r="JZ169" s="236"/>
      <c r="KA169" s="236"/>
      <c r="KB169" s="236"/>
      <c r="KC169" s="236"/>
      <c r="KD169" s="236"/>
      <c r="KE169" s="236"/>
      <c r="KF169" s="236"/>
      <c r="KG169" s="236"/>
      <c r="KH169" s="236"/>
      <c r="KI169" s="236"/>
      <c r="KJ169" s="236"/>
      <c r="KK169" s="236"/>
      <c r="KL169" s="236"/>
      <c r="KM169" s="236"/>
      <c r="KN169" s="236"/>
      <c r="KO169" s="236"/>
      <c r="KP169" s="236"/>
      <c r="KQ169" s="236"/>
      <c r="KR169" s="236"/>
      <c r="KS169" s="236"/>
      <c r="KT169" s="236"/>
      <c r="KU169" s="236"/>
      <c r="KV169" s="236"/>
      <c r="KW169" s="236"/>
      <c r="KX169" s="236"/>
      <c r="KY169" s="236"/>
      <c r="KZ169" s="236"/>
      <c r="LA169" s="236"/>
      <c r="LB169" s="236"/>
      <c r="LC169" s="236"/>
      <c r="LD169" s="236"/>
      <c r="LE169" s="236"/>
      <c r="LF169" s="236"/>
      <c r="LG169" s="236"/>
      <c r="LH169" s="236"/>
      <c r="LI169" s="236"/>
      <c r="LJ169" s="236"/>
      <c r="LK169" s="236"/>
      <c r="LL169" s="236"/>
      <c r="LM169" s="236"/>
      <c r="LN169" s="236"/>
      <c r="LO169" s="236"/>
      <c r="LP169" s="236"/>
      <c r="LQ169" s="236"/>
      <c r="LR169" s="236"/>
      <c r="LS169" s="236"/>
      <c r="LT169" s="236"/>
      <c r="LU169" s="236"/>
      <c r="LV169" s="236"/>
      <c r="LW169" s="236"/>
      <c r="LX169" s="236"/>
      <c r="LY169" s="236"/>
      <c r="LZ169" s="236"/>
      <c r="MA169" s="236"/>
      <c r="MB169" s="236"/>
      <c r="MC169" s="236"/>
      <c r="MD169" s="236"/>
      <c r="ME169" s="236"/>
      <c r="MF169" s="236"/>
      <c r="MG169" s="236"/>
      <c r="MH169" s="236"/>
      <c r="MI169" s="236"/>
      <c r="MJ169" s="236"/>
      <c r="MK169" s="236"/>
      <c r="ML169" s="236"/>
      <c r="MM169" s="236"/>
      <c r="MN169" s="236"/>
      <c r="MO169" s="236"/>
      <c r="MP169" s="236"/>
      <c r="MQ169" s="236"/>
      <c r="MR169" s="236"/>
      <c r="MS169" s="236"/>
      <c r="MT169" s="236"/>
      <c r="MU169" s="236"/>
      <c r="MV169" s="236"/>
      <c r="MW169" s="236"/>
      <c r="MX169" s="236"/>
      <c r="MY169" s="236"/>
      <c r="MZ169" s="236"/>
      <c r="NA169" s="236"/>
      <c r="NB169" s="236"/>
      <c r="NC169" s="236"/>
      <c r="ND169" s="236"/>
      <c r="NE169" s="236"/>
      <c r="NF169" s="236"/>
      <c r="NG169" s="236"/>
      <c r="NH169" s="236"/>
      <c r="NI169" s="236"/>
      <c r="NJ169" s="236"/>
      <c r="NK169" s="236"/>
      <c r="NL169" s="236"/>
      <c r="NM169" s="236"/>
      <c r="NN169" s="236"/>
      <c r="NO169" s="236"/>
      <c r="NP169" s="236"/>
      <c r="NQ169" s="236"/>
      <c r="NR169" s="236"/>
      <c r="NS169" s="236"/>
      <c r="NT169" s="236"/>
      <c r="NU169" s="236"/>
      <c r="NV169" s="236"/>
      <c r="NW169" s="236"/>
      <c r="NX169" s="236"/>
      <c r="NY169" s="236"/>
      <c r="NZ169" s="236"/>
      <c r="OA169" s="236"/>
      <c r="OB169" s="236"/>
      <c r="OC169" s="236"/>
      <c r="OD169" s="236"/>
      <c r="OE169" s="236"/>
      <c r="OF169" s="236"/>
      <c r="OG169" s="236"/>
      <c r="OH169" s="236"/>
      <c r="OI169" s="236"/>
      <c r="OJ169" s="236"/>
      <c r="OK169" s="236"/>
      <c r="OL169" s="236"/>
      <c r="OM169" s="236"/>
      <c r="ON169" s="236"/>
      <c r="OO169" s="236"/>
      <c r="OP169" s="236"/>
      <c r="OQ169" s="236"/>
      <c r="OR169" s="236"/>
      <c r="OS169" s="236"/>
      <c r="OT169" s="236"/>
      <c r="OU169" s="236"/>
      <c r="OV169" s="236"/>
      <c r="OW169" s="236"/>
      <c r="OX169" s="236"/>
      <c r="OY169" s="236"/>
      <c r="OZ169" s="236"/>
      <c r="PA169" s="236"/>
      <c r="PB169" s="236"/>
      <c r="PC169" s="236"/>
      <c r="PD169" s="236"/>
      <c r="PE169" s="236"/>
      <c r="PF169" s="236"/>
      <c r="PG169" s="236"/>
      <c r="PH169" s="236"/>
      <c r="PI169" s="236"/>
      <c r="PJ169" s="236"/>
      <c r="PK169" s="236"/>
      <c r="PL169" s="236"/>
      <c r="PM169" s="236"/>
      <c r="PN169" s="236"/>
      <c r="PO169" s="236"/>
      <c r="PP169" s="236"/>
      <c r="PQ169" s="236"/>
      <c r="PR169" s="236"/>
      <c r="PS169" s="236"/>
      <c r="PT169" s="236"/>
      <c r="PU169" s="236"/>
      <c r="PV169" s="236"/>
      <c r="PW169" s="236"/>
      <c r="PX169" s="236"/>
      <c r="PY169" s="236"/>
      <c r="PZ169" s="236"/>
      <c r="QA169" s="236"/>
      <c r="QB169" s="236"/>
      <c r="QC169" s="236"/>
      <c r="QD169" s="236"/>
      <c r="QE169" s="236"/>
      <c r="QF169" s="236"/>
      <c r="QG169" s="236"/>
      <c r="QH169" s="236"/>
      <c r="QI169" s="236"/>
      <c r="QJ169" s="236"/>
      <c r="QK169" s="236"/>
      <c r="QL169" s="236"/>
      <c r="QM169" s="236"/>
      <c r="QN169" s="236"/>
      <c r="QO169" s="236"/>
      <c r="QP169" s="236"/>
      <c r="QQ169" s="236"/>
      <c r="QR169" s="236"/>
      <c r="QS169" s="236"/>
      <c r="QT169" s="236"/>
      <c r="QU169" s="236"/>
      <c r="QV169" s="236"/>
      <c r="QW169" s="236"/>
      <c r="QX169" s="236"/>
      <c r="QY169" s="236"/>
      <c r="QZ169" s="236"/>
      <c r="RA169" s="236"/>
      <c r="RB169" s="236"/>
      <c r="RC169" s="236"/>
      <c r="RD169" s="236"/>
      <c r="RE169" s="236"/>
      <c r="RF169" s="236"/>
      <c r="RG169" s="236"/>
      <c r="RH169" s="236"/>
      <c r="RI169" s="236"/>
      <c r="RJ169" s="236"/>
      <c r="RK169" s="236"/>
      <c r="RL169" s="236"/>
      <c r="RM169" s="236"/>
      <c r="RN169" s="236"/>
      <c r="RO169" s="236"/>
      <c r="RP169" s="236"/>
      <c r="RQ169" s="236"/>
      <c r="RR169" s="236"/>
      <c r="RS169" s="236"/>
      <c r="RT169" s="236"/>
      <c r="RU169" s="236"/>
      <c r="RV169" s="236"/>
      <c r="RW169" s="236"/>
      <c r="RX169" s="236"/>
      <c r="RY169" s="236"/>
      <c r="RZ169" s="236"/>
      <c r="SA169" s="236"/>
      <c r="SB169" s="236"/>
      <c r="SC169" s="236"/>
      <c r="SD169" s="236"/>
      <c r="SE169" s="236"/>
      <c r="SF169" s="236"/>
      <c r="SG169" s="236"/>
      <c r="SH169" s="236"/>
      <c r="SI169" s="236"/>
      <c r="SJ169" s="236"/>
      <c r="SK169" s="236"/>
      <c r="SL169" s="236"/>
      <c r="SM169" s="236"/>
      <c r="SN169" s="236"/>
      <c r="SO169" s="236"/>
      <c r="SP169" s="236"/>
      <c r="SQ169" s="236"/>
      <c r="SR169" s="236"/>
      <c r="SS169" s="236"/>
      <c r="ST169" s="236"/>
      <c r="SU169" s="236"/>
      <c r="SV169" s="236"/>
      <c r="SW169" s="236"/>
      <c r="SX169" s="236"/>
      <c r="SY169" s="236"/>
      <c r="SZ169" s="236"/>
      <c r="TA169" s="236"/>
      <c r="TB169" s="236"/>
      <c r="TC169" s="236"/>
      <c r="TD169" s="236"/>
      <c r="TE169" s="236"/>
      <c r="TF169" s="236"/>
      <c r="TG169" s="236"/>
      <c r="TH169" s="236"/>
      <c r="TI169" s="236"/>
      <c r="TJ169" s="236"/>
      <c r="TK169" s="236"/>
      <c r="TL169" s="236"/>
      <c r="TM169" s="236"/>
      <c r="TN169" s="236"/>
      <c r="TO169" s="236"/>
      <c r="TP169" s="236"/>
      <c r="TQ169" s="236"/>
      <c r="TR169" s="236"/>
      <c r="TS169" s="236"/>
      <c r="TT169" s="236"/>
      <c r="TU169" s="236"/>
      <c r="TV169" s="236"/>
      <c r="TW169" s="236"/>
      <c r="TX169" s="236"/>
      <c r="TY169" s="236"/>
      <c r="TZ169" s="236"/>
      <c r="UA169" s="236"/>
      <c r="UB169" s="236"/>
      <c r="UC169" s="236"/>
      <c r="UD169" s="236"/>
      <c r="UE169" s="236"/>
      <c r="UF169" s="236"/>
      <c r="UG169" s="236"/>
      <c r="UH169" s="236"/>
      <c r="UI169" s="236"/>
      <c r="UJ169" s="236"/>
      <c r="UK169" s="236"/>
      <c r="UL169" s="236"/>
      <c r="UM169" s="236"/>
      <c r="UN169" s="236"/>
      <c r="UO169" s="236"/>
      <c r="UP169" s="236"/>
      <c r="UQ169" s="236"/>
      <c r="UR169" s="236"/>
      <c r="US169" s="236"/>
      <c r="UT169" s="236"/>
      <c r="UU169" s="236"/>
      <c r="UV169" s="236"/>
      <c r="UW169" s="236"/>
      <c r="UX169" s="236"/>
      <c r="UY169" s="236"/>
      <c r="UZ169" s="236"/>
      <c r="VA169" s="236"/>
      <c r="VB169" s="236"/>
      <c r="VC169" s="236"/>
      <c r="VD169" s="236"/>
      <c r="VE169" s="236"/>
      <c r="VF169" s="236"/>
      <c r="VG169" s="236"/>
      <c r="VH169" s="236"/>
      <c r="VI169" s="236"/>
      <c r="VJ169" s="236"/>
      <c r="VK169" s="236"/>
      <c r="VL169" s="236"/>
      <c r="VM169" s="236"/>
      <c r="VN169" s="236"/>
      <c r="VO169" s="236"/>
      <c r="VP169" s="236"/>
      <c r="VQ169" s="236"/>
      <c r="VR169" s="236"/>
      <c r="VS169" s="236"/>
      <c r="VT169" s="236"/>
      <c r="VU169" s="236"/>
      <c r="VV169" s="236"/>
      <c r="VW169" s="236"/>
      <c r="VX169" s="236"/>
      <c r="VY169" s="236"/>
      <c r="VZ169" s="236"/>
      <c r="WA169" s="236"/>
      <c r="WB169" s="236"/>
      <c r="WC169" s="236"/>
      <c r="WD169" s="236"/>
      <c r="WE169" s="236"/>
      <c r="WF169" s="236"/>
      <c r="WG169" s="236"/>
      <c r="WH169" s="236"/>
      <c r="WI169" s="236"/>
      <c r="WJ169" s="236"/>
      <c r="WK169" s="236"/>
      <c r="WL169" s="236"/>
      <c r="WM169" s="236"/>
      <c r="WN169" s="236"/>
      <c r="WO169" s="236"/>
      <c r="WP169" s="236"/>
      <c r="WQ169" s="236"/>
      <c r="WR169" s="236"/>
      <c r="WS169" s="236"/>
      <c r="WT169" s="236"/>
      <c r="WU169" s="236"/>
      <c r="WV169" s="236"/>
      <c r="WW169" s="236"/>
      <c r="WX169" s="236"/>
      <c r="WY169" s="236"/>
      <c r="WZ169" s="236"/>
      <c r="XA169" s="236"/>
      <c r="XB169" s="236"/>
      <c r="XC169" s="236"/>
      <c r="XD169" s="236"/>
      <c r="XE169" s="236"/>
      <c r="XF169" s="236"/>
      <c r="XG169" s="236"/>
      <c r="XH169" s="236"/>
      <c r="XI169" s="236"/>
      <c r="XJ169" s="236"/>
      <c r="XK169" s="236"/>
      <c r="XL169" s="236"/>
      <c r="XM169" s="236"/>
      <c r="XN169" s="236"/>
      <c r="XO169" s="236"/>
      <c r="XP169" s="236"/>
      <c r="XQ169" s="236"/>
      <c r="XR169" s="236"/>
      <c r="XS169" s="236"/>
      <c r="XT169" s="236"/>
      <c r="XU169" s="236"/>
      <c r="XV169" s="236"/>
      <c r="XW169" s="236"/>
      <c r="XX169" s="236"/>
      <c r="XY169" s="236"/>
      <c r="XZ169" s="236"/>
      <c r="YA169" s="236"/>
      <c r="YB169" s="236"/>
      <c r="YC169" s="236"/>
      <c r="YD169" s="236"/>
      <c r="YE169" s="236"/>
      <c r="YF169" s="236"/>
      <c r="YG169" s="236"/>
      <c r="YH169" s="236"/>
      <c r="YI169" s="236"/>
      <c r="YJ169" s="236"/>
      <c r="YK169" s="236"/>
      <c r="YL169" s="236"/>
      <c r="YM169" s="236"/>
      <c r="YN169" s="236"/>
      <c r="YO169" s="236"/>
      <c r="YP169" s="236"/>
      <c r="YQ169" s="236"/>
      <c r="YR169" s="236"/>
      <c r="YS169" s="236"/>
      <c r="YT169" s="236"/>
      <c r="YU169" s="236"/>
      <c r="YV169" s="236"/>
      <c r="YW169" s="236"/>
      <c r="YX169" s="236"/>
      <c r="YY169" s="236"/>
      <c r="YZ169" s="236"/>
      <c r="ZA169" s="236"/>
      <c r="ZB169" s="236"/>
      <c r="ZC169" s="236"/>
      <c r="ZD169" s="236"/>
      <c r="ZE169" s="236"/>
      <c r="ZF169" s="236"/>
      <c r="ZG169" s="236"/>
      <c r="ZH169" s="236"/>
      <c r="ZI169" s="236"/>
      <c r="ZJ169" s="236"/>
      <c r="ZK169" s="236"/>
      <c r="ZL169" s="236"/>
      <c r="ZM169" s="236"/>
      <c r="ZN169" s="236"/>
      <c r="ZO169" s="236"/>
      <c r="ZP169" s="236"/>
      <c r="ZQ169" s="236"/>
      <c r="ZR169" s="236"/>
      <c r="ZS169" s="236"/>
      <c r="ZT169" s="236"/>
      <c r="ZU169" s="236"/>
      <c r="ZV169" s="236"/>
      <c r="ZW169" s="236"/>
      <c r="ZX169" s="236"/>
      <c r="ZY169" s="236"/>
      <c r="ZZ169" s="236"/>
      <c r="AAA169" s="236"/>
      <c r="AAB169" s="236"/>
      <c r="AAC169" s="236"/>
      <c r="AAD169" s="236"/>
      <c r="AAE169" s="236"/>
      <c r="AAF169" s="236"/>
      <c r="AAG169" s="236"/>
      <c r="AAH169" s="236"/>
      <c r="AAI169" s="236"/>
      <c r="AAJ169" s="236"/>
      <c r="AAK169" s="236"/>
      <c r="AAL169" s="236"/>
      <c r="AAM169" s="236"/>
      <c r="AAN169" s="236"/>
      <c r="AAO169" s="236"/>
      <c r="AAP169" s="236"/>
      <c r="AAQ169" s="236"/>
      <c r="AAR169" s="236"/>
      <c r="AAS169" s="236"/>
      <c r="AAT169" s="236"/>
      <c r="AAU169" s="236"/>
      <c r="AAV169" s="236"/>
      <c r="AAW169" s="236"/>
      <c r="AAX169" s="236"/>
      <c r="AAY169" s="236"/>
      <c r="AAZ169" s="236"/>
      <c r="ABA169" s="236"/>
      <c r="ABB169" s="236"/>
      <c r="ABC169" s="236"/>
      <c r="ABD169" s="236"/>
      <c r="ABE169" s="236"/>
      <c r="ABF169" s="236"/>
      <c r="ABG169" s="236"/>
      <c r="ABH169" s="236"/>
      <c r="ABI169" s="236"/>
      <c r="ABJ169" s="236"/>
      <c r="ABK169" s="236"/>
      <c r="ABL169" s="236"/>
      <c r="ABM169" s="236"/>
      <c r="ABN169" s="236"/>
      <c r="ABO169" s="236"/>
      <c r="ABP169" s="236"/>
      <c r="ABQ169" s="236"/>
      <c r="ABR169" s="236"/>
      <c r="ABS169" s="236"/>
      <c r="ABT169" s="236"/>
      <c r="ABU169" s="236"/>
      <c r="ABV169" s="236"/>
      <c r="ABW169" s="236"/>
      <c r="ABX169" s="236"/>
      <c r="ABY169" s="236"/>
      <c r="ABZ169" s="236"/>
      <c r="ACA169" s="236"/>
      <c r="ACB169" s="236"/>
      <c r="ACC169" s="236"/>
      <c r="ACD169" s="236"/>
      <c r="ACE169" s="236"/>
      <c r="ACF169" s="236"/>
      <c r="ACG169" s="236"/>
      <c r="ACH169" s="236"/>
      <c r="ACI169" s="236"/>
      <c r="ACJ169" s="236"/>
      <c r="ACK169" s="236"/>
      <c r="ACL169" s="236"/>
      <c r="ACM169" s="236"/>
      <c r="ACN169" s="236"/>
      <c r="ACO169" s="236"/>
      <c r="ACP169" s="236"/>
      <c r="ACQ169" s="236"/>
      <c r="ACR169" s="236"/>
      <c r="ACS169" s="236"/>
      <c r="ACT169" s="236"/>
      <c r="ACU169" s="236"/>
      <c r="ACV169" s="236"/>
      <c r="ACW169" s="236"/>
      <c r="ACX169" s="236"/>
      <c r="ACY169" s="236"/>
      <c r="ACZ169" s="236"/>
      <c r="ADA169" s="236"/>
      <c r="ADB169" s="236"/>
      <c r="ADC169" s="236"/>
      <c r="ADD169" s="236"/>
      <c r="ADE169" s="236"/>
      <c r="ADF169" s="236"/>
      <c r="ADG169" s="236"/>
      <c r="ADH169" s="236"/>
      <c r="ADI169" s="236"/>
      <c r="ADJ169" s="236"/>
      <c r="ADK169" s="236"/>
      <c r="ADL169" s="236"/>
      <c r="ADM169" s="236"/>
      <c r="ADN169" s="236"/>
      <c r="ADO169" s="236"/>
      <c r="ADP169" s="236"/>
      <c r="ADQ169" s="236"/>
      <c r="ADR169" s="236"/>
      <c r="ADS169" s="236"/>
      <c r="ADT169" s="236"/>
      <c r="ADU169" s="236"/>
      <c r="ADV169" s="236"/>
      <c r="ADW169" s="236"/>
      <c r="ADX169" s="236"/>
      <c r="ADY169" s="236"/>
      <c r="ADZ169" s="236"/>
      <c r="AEA169" s="236"/>
      <c r="AEB169" s="236"/>
      <c r="AEC169" s="236"/>
      <c r="AED169" s="236"/>
      <c r="AEE169" s="236"/>
      <c r="AEF169" s="236"/>
      <c r="AEG169" s="236"/>
      <c r="AEH169" s="236"/>
      <c r="AEI169" s="236"/>
      <c r="AEJ169" s="236"/>
      <c r="AEK169" s="236"/>
      <c r="AEL169" s="236"/>
      <c r="AEM169" s="236"/>
      <c r="AEN169" s="236"/>
      <c r="AEO169" s="236"/>
      <c r="AEP169" s="236"/>
      <c r="AEQ169" s="236"/>
      <c r="AER169" s="236"/>
      <c r="AES169" s="236"/>
      <c r="AET169" s="236"/>
      <c r="AEU169" s="236"/>
      <c r="AEV169" s="236"/>
      <c r="AEW169" s="236"/>
      <c r="AEX169" s="236"/>
      <c r="AEY169" s="236"/>
      <c r="AEZ169" s="236"/>
      <c r="AFA169" s="236"/>
      <c r="AFB169" s="236"/>
      <c r="AFC169" s="236"/>
      <c r="AFD169" s="236"/>
      <c r="AFE169" s="236"/>
      <c r="AFF169" s="236"/>
      <c r="AFG169" s="236"/>
      <c r="AFH169" s="236"/>
      <c r="AFI169" s="236"/>
      <c r="AFJ169" s="236"/>
      <c r="AFK169" s="236"/>
      <c r="AFL169" s="236"/>
      <c r="AFM169" s="236"/>
      <c r="AFN169" s="236"/>
      <c r="AFO169" s="236"/>
      <c r="AFP169" s="236"/>
      <c r="AFQ169" s="236"/>
      <c r="AFR169" s="236"/>
      <c r="AFS169" s="236"/>
      <c r="AFT169" s="236"/>
      <c r="AFU169" s="236"/>
      <c r="AFV169" s="236"/>
      <c r="AFW169" s="236"/>
      <c r="AFX169" s="236"/>
      <c r="AFY169" s="236"/>
      <c r="AFZ169" s="236"/>
      <c r="AGA169" s="236"/>
      <c r="AGB169" s="236"/>
      <c r="AGC169" s="236"/>
      <c r="AGD169" s="236"/>
      <c r="AGE169" s="236"/>
      <c r="AGF169" s="236"/>
      <c r="AGG169" s="236"/>
      <c r="AGH169" s="236"/>
      <c r="AGI169" s="236"/>
      <c r="AGJ169" s="236"/>
      <c r="AGK169" s="236"/>
      <c r="AGL169" s="236"/>
      <c r="AGM169" s="236"/>
      <c r="AGN169" s="236"/>
      <c r="AGO169" s="236"/>
      <c r="AGP169" s="236"/>
      <c r="AGQ169" s="236"/>
      <c r="AGR169" s="236"/>
      <c r="AGS169" s="236"/>
      <c r="AGT169" s="236"/>
      <c r="AGU169" s="236"/>
      <c r="AGV169" s="236"/>
      <c r="AGW169" s="236"/>
      <c r="AGX169" s="236"/>
      <c r="AGY169" s="236"/>
      <c r="AGZ169" s="236"/>
      <c r="AHA169" s="236"/>
      <c r="AHB169" s="236"/>
      <c r="AHC169" s="236"/>
      <c r="AHD169" s="236"/>
      <c r="AHE169" s="236"/>
      <c r="AHF169" s="236"/>
      <c r="AHG169" s="236"/>
      <c r="AHH169" s="236"/>
      <c r="AHI169" s="236"/>
      <c r="AHJ169" s="236"/>
      <c r="AHK169" s="236"/>
      <c r="AHL169" s="236"/>
      <c r="AHM169" s="236"/>
      <c r="AHN169" s="236"/>
      <c r="AHO169" s="236"/>
      <c r="AHP169" s="236"/>
      <c r="AHQ169" s="236"/>
      <c r="AHR169" s="236"/>
      <c r="AHS169" s="236"/>
      <c r="AHT169" s="236"/>
      <c r="AHU169" s="236"/>
      <c r="AHV169" s="236"/>
      <c r="AHW169" s="236"/>
      <c r="AHX169" s="236"/>
      <c r="AHY169" s="236"/>
      <c r="AHZ169" s="236"/>
      <c r="AIA169" s="236"/>
      <c r="AIB169" s="236"/>
      <c r="AIC169" s="236"/>
      <c r="AID169" s="236"/>
      <c r="AIE169" s="236"/>
      <c r="AIF169" s="236"/>
      <c r="AIG169" s="236"/>
      <c r="AIH169" s="236"/>
      <c r="AII169" s="236"/>
      <c r="AIJ169" s="236"/>
      <c r="AIK169" s="236"/>
      <c r="AIL169" s="236"/>
      <c r="AIM169" s="236"/>
      <c r="AIN169" s="236"/>
      <c r="AIO169" s="236"/>
      <c r="AIP169" s="236"/>
      <c r="AIQ169" s="236"/>
      <c r="AIR169" s="236"/>
      <c r="AIS169" s="236"/>
      <c r="AIT169" s="236"/>
      <c r="AIU169" s="236"/>
      <c r="AIV169" s="236"/>
      <c r="AIW169" s="236"/>
      <c r="AIX169" s="236"/>
      <c r="AIY169" s="236"/>
      <c r="AIZ169" s="236"/>
      <c r="AJA169" s="236"/>
      <c r="AJB169" s="236"/>
      <c r="AJC169" s="236"/>
      <c r="AJD169" s="236"/>
      <c r="AJE169" s="236"/>
      <c r="AJF169" s="236"/>
      <c r="AJG169" s="236"/>
      <c r="AJH169" s="236"/>
      <c r="AJI169" s="236"/>
      <c r="AJJ169" s="236"/>
      <c r="AJK169" s="236"/>
      <c r="AJL169" s="236"/>
      <c r="AJM169" s="236"/>
      <c r="AJN169" s="236"/>
      <c r="AJO169" s="236"/>
      <c r="AJP169" s="236"/>
      <c r="AJQ169" s="236"/>
      <c r="AJR169" s="236"/>
      <c r="AJS169" s="236"/>
      <c r="AJT169" s="236"/>
      <c r="AJU169" s="236"/>
      <c r="AJV169" s="236"/>
      <c r="AJW169" s="236"/>
      <c r="AJX169" s="236"/>
      <c r="AJY169" s="236"/>
      <c r="AJZ169" s="236"/>
      <c r="AKA169" s="236"/>
      <c r="AKB169" s="236"/>
      <c r="AKC169" s="236"/>
      <c r="AKD169" s="236"/>
      <c r="AKE169" s="236"/>
      <c r="AKF169" s="236"/>
      <c r="AKG169" s="236"/>
      <c r="AKH169" s="236"/>
      <c r="AKI169" s="236"/>
      <c r="AKJ169" s="236"/>
      <c r="AKK169" s="236"/>
      <c r="AKL169" s="236"/>
      <c r="AKM169" s="236"/>
      <c r="AKN169" s="236"/>
      <c r="AKO169" s="236"/>
      <c r="AKP169" s="236"/>
      <c r="AKQ169" s="236"/>
      <c r="AKR169" s="236"/>
      <c r="AKS169" s="236"/>
      <c r="AKT169" s="236"/>
      <c r="AKU169" s="236"/>
      <c r="AKV169" s="236"/>
      <c r="AKW169" s="236"/>
      <c r="AKX169" s="236"/>
      <c r="AKY169" s="236"/>
      <c r="AKZ169" s="236"/>
      <c r="ALA169" s="236"/>
      <c r="ALB169" s="236"/>
      <c r="ALC169" s="236"/>
      <c r="ALD169" s="236"/>
      <c r="ALE169" s="236"/>
      <c r="ALF169" s="236"/>
      <c r="ALG169" s="236"/>
      <c r="ALH169" s="236"/>
      <c r="ALI169" s="236"/>
      <c r="ALJ169" s="236"/>
      <c r="ALK169" s="236"/>
      <c r="ALL169" s="236"/>
      <c r="ALM169" s="236"/>
      <c r="ALN169" s="236"/>
      <c r="ALO169" s="236"/>
      <c r="ALP169" s="236"/>
      <c r="ALQ169" s="236"/>
      <c r="ALR169" s="236"/>
      <c r="ALS169" s="236"/>
      <c r="ALT169" s="236"/>
      <c r="ALU169" s="236"/>
      <c r="ALV169" s="236"/>
      <c r="ALW169" s="236"/>
      <c r="ALX169" s="236"/>
      <c r="ALY169" s="236"/>
      <c r="ALZ169" s="236"/>
      <c r="AMA169" s="236"/>
      <c r="AMB169" s="236"/>
      <c r="AMC169" s="236"/>
      <c r="AMD169" s="236"/>
      <c r="AME169" s="236"/>
      <c r="AMF169" s="236"/>
      <c r="AMG169" s="236"/>
      <c r="AMH169" s="236"/>
      <c r="AMI169" s="236"/>
      <c r="AMJ169" s="236"/>
      <c r="AMK169" s="236"/>
      <c r="AML169" s="236"/>
      <c r="AMM169" s="236"/>
    </row>
    <row r="170" spans="1:1027" ht="11.25" customHeight="1">
      <c r="A170" s="1386" t="s">
        <v>2820</v>
      </c>
      <c r="B170" s="1387"/>
      <c r="C170" s="1387"/>
      <c r="D170" s="1387"/>
      <c r="E170" s="1387"/>
      <c r="F170" s="1387"/>
      <c r="G170" s="1387"/>
      <c r="H170" s="1387"/>
      <c r="I170" s="1387"/>
      <c r="J170" s="1387"/>
      <c r="K170" s="1387"/>
      <c r="L170" s="1388"/>
      <c r="M170" s="275"/>
      <c r="N170" s="280" t="s">
        <v>650</v>
      </c>
      <c r="O170" s="280"/>
      <c r="P170" s="281"/>
      <c r="Q170" s="281"/>
      <c r="R170" s="281"/>
      <c r="S170" s="281"/>
      <c r="T170" s="281"/>
      <c r="U170" s="281"/>
      <c r="V170" s="281"/>
      <c r="W170" s="281"/>
      <c r="X170" s="282"/>
      <c r="Y170" s="282"/>
      <c r="Z170" s="282"/>
      <c r="AA170" s="281"/>
      <c r="AB170" s="282"/>
      <c r="AC170" s="282"/>
      <c r="AD170" s="281"/>
      <c r="AE170" s="281"/>
      <c r="AF170" s="281"/>
      <c r="AG170" s="281"/>
      <c r="AH170" s="281"/>
      <c r="AI170" s="281"/>
      <c r="AJ170" s="275"/>
      <c r="AK170" s="275"/>
      <c r="AL170" s="275"/>
      <c r="AM170" s="279"/>
      <c r="AN170" s="262"/>
      <c r="AO170" s="262"/>
      <c r="AP170" s="262"/>
      <c r="AQ170" s="262"/>
      <c r="AR170" s="262"/>
      <c r="AS170" s="262"/>
      <c r="AT170" s="262"/>
      <c r="AU170" s="262"/>
      <c r="AV170" s="262"/>
      <c r="AW170" s="262"/>
      <c r="AX170" s="262"/>
      <c r="AY170" s="236"/>
      <c r="AZ170" s="236"/>
      <c r="BA170" s="236"/>
      <c r="BB170" s="236"/>
      <c r="BC170" s="236"/>
      <c r="BD170" s="236"/>
      <c r="BE170" s="236"/>
      <c r="BF170" s="236"/>
      <c r="BG170" s="236"/>
      <c r="BH170" s="236"/>
      <c r="BI170" s="236"/>
      <c r="BJ170" s="236"/>
      <c r="BK170" s="236"/>
      <c r="BL170" s="236"/>
      <c r="BM170" s="236"/>
      <c r="BN170" s="236"/>
      <c r="BO170" s="236"/>
      <c r="BP170" s="236"/>
      <c r="BQ170" s="236"/>
      <c r="BR170" s="236"/>
      <c r="BS170" s="236"/>
      <c r="BT170" s="236"/>
      <c r="BU170" s="236"/>
      <c r="BV170" s="236"/>
      <c r="BW170" s="236"/>
      <c r="BX170" s="236"/>
      <c r="BY170" s="236"/>
      <c r="BZ170" s="236"/>
      <c r="CA170" s="236"/>
      <c r="CB170" s="236"/>
      <c r="CC170" s="236"/>
      <c r="CD170" s="236"/>
      <c r="CE170" s="236"/>
      <c r="CF170" s="236"/>
      <c r="CG170" s="236"/>
      <c r="CH170" s="236"/>
      <c r="CI170" s="236"/>
      <c r="CJ170" s="236"/>
      <c r="CK170" s="236"/>
      <c r="CL170" s="236"/>
      <c r="CM170" s="236"/>
      <c r="CN170" s="236"/>
      <c r="CO170" s="236"/>
      <c r="CP170" s="236"/>
      <c r="CQ170" s="236"/>
      <c r="CR170" s="236"/>
      <c r="CS170" s="236"/>
      <c r="CT170" s="236"/>
      <c r="CU170" s="236"/>
      <c r="CV170" s="236"/>
      <c r="CW170" s="236"/>
      <c r="CX170" s="236"/>
      <c r="CY170" s="236"/>
      <c r="CZ170" s="236"/>
      <c r="DA170" s="236"/>
      <c r="DB170" s="236"/>
      <c r="DC170" s="236"/>
      <c r="DD170" s="236"/>
      <c r="DE170" s="236"/>
      <c r="DF170" s="236"/>
      <c r="DG170" s="236"/>
      <c r="DH170" s="236"/>
      <c r="DI170" s="236"/>
      <c r="DJ170" s="236"/>
      <c r="DK170" s="236"/>
      <c r="DL170" s="236"/>
      <c r="DM170" s="236"/>
      <c r="DN170" s="236"/>
      <c r="DO170" s="236"/>
      <c r="DP170" s="236"/>
      <c r="DQ170" s="236"/>
      <c r="DR170" s="236"/>
      <c r="DS170" s="236"/>
      <c r="DT170" s="236"/>
      <c r="DU170" s="236"/>
      <c r="DV170" s="236"/>
      <c r="DW170" s="236"/>
      <c r="DX170" s="236"/>
      <c r="DY170" s="236"/>
      <c r="DZ170" s="236"/>
      <c r="EA170" s="236"/>
      <c r="EB170" s="236"/>
      <c r="EC170" s="236"/>
      <c r="ED170" s="236"/>
      <c r="EE170" s="236"/>
      <c r="EF170" s="236"/>
      <c r="EG170" s="236"/>
      <c r="EH170" s="236"/>
      <c r="EI170" s="236"/>
      <c r="EJ170" s="236"/>
      <c r="EK170" s="236"/>
      <c r="EL170" s="236"/>
      <c r="EM170" s="236"/>
      <c r="EN170" s="236"/>
      <c r="EO170" s="236"/>
      <c r="EP170" s="236"/>
      <c r="EQ170" s="236"/>
      <c r="ER170" s="236"/>
      <c r="ES170" s="236"/>
      <c r="ET170" s="236"/>
      <c r="EU170" s="236"/>
      <c r="EV170" s="236"/>
      <c r="EW170" s="236"/>
      <c r="EX170" s="236"/>
      <c r="EY170" s="236"/>
      <c r="EZ170" s="236"/>
      <c r="FA170" s="236"/>
      <c r="FB170" s="236"/>
      <c r="FC170" s="236"/>
      <c r="FD170" s="236"/>
      <c r="FE170" s="236"/>
      <c r="FF170" s="236"/>
      <c r="FG170" s="236"/>
      <c r="FH170" s="236"/>
      <c r="FI170" s="236"/>
      <c r="FJ170" s="236"/>
      <c r="FK170" s="236"/>
      <c r="FL170" s="236"/>
      <c r="FM170" s="236"/>
      <c r="FN170" s="236"/>
      <c r="FO170" s="236"/>
      <c r="FP170" s="236"/>
      <c r="FQ170" s="236"/>
      <c r="FR170" s="236"/>
      <c r="FS170" s="236"/>
      <c r="FT170" s="236"/>
      <c r="FU170" s="236"/>
      <c r="FV170" s="236"/>
      <c r="FW170" s="236"/>
      <c r="FX170" s="236"/>
      <c r="FY170" s="236"/>
      <c r="FZ170" s="236"/>
      <c r="GA170" s="236"/>
      <c r="GB170" s="236"/>
      <c r="GC170" s="236"/>
      <c r="GD170" s="236"/>
      <c r="GE170" s="236"/>
      <c r="GF170" s="236"/>
      <c r="GG170" s="236"/>
      <c r="GH170" s="236"/>
      <c r="GI170" s="236"/>
      <c r="GJ170" s="236"/>
      <c r="GK170" s="236"/>
      <c r="GL170" s="236"/>
      <c r="GM170" s="236"/>
      <c r="GN170" s="236"/>
      <c r="GO170" s="236"/>
      <c r="GP170" s="236"/>
      <c r="GQ170" s="236"/>
      <c r="GR170" s="236"/>
      <c r="GS170" s="236"/>
      <c r="GT170" s="236"/>
      <c r="GU170" s="236"/>
      <c r="GV170" s="236"/>
      <c r="GW170" s="236"/>
      <c r="GX170" s="236"/>
      <c r="GY170" s="236"/>
      <c r="GZ170" s="236"/>
      <c r="HA170" s="236"/>
      <c r="HB170" s="236"/>
      <c r="HC170" s="236"/>
      <c r="HD170" s="236"/>
      <c r="HE170" s="236"/>
      <c r="HF170" s="236"/>
      <c r="HG170" s="236"/>
      <c r="HH170" s="236"/>
      <c r="HI170" s="236"/>
      <c r="HJ170" s="236"/>
      <c r="HK170" s="236"/>
      <c r="HL170" s="236"/>
      <c r="HM170" s="236"/>
      <c r="HN170" s="236"/>
      <c r="HO170" s="236"/>
      <c r="HP170" s="236"/>
      <c r="HQ170" s="236"/>
      <c r="HR170" s="236"/>
      <c r="HS170" s="236"/>
      <c r="HT170" s="236"/>
      <c r="HU170" s="236"/>
      <c r="HV170" s="236"/>
      <c r="HW170" s="236"/>
      <c r="HX170" s="236"/>
      <c r="HY170" s="236"/>
      <c r="HZ170" s="236"/>
      <c r="IA170" s="236"/>
      <c r="IB170" s="236"/>
      <c r="IC170" s="236"/>
      <c r="ID170" s="236"/>
      <c r="IE170" s="236"/>
      <c r="IF170" s="236"/>
      <c r="IG170" s="236"/>
      <c r="IH170" s="236"/>
      <c r="II170" s="236"/>
      <c r="IJ170" s="236"/>
      <c r="IK170" s="236"/>
      <c r="IL170" s="236"/>
      <c r="IM170" s="236"/>
      <c r="IN170" s="236"/>
      <c r="IO170" s="236"/>
      <c r="IP170" s="236"/>
      <c r="IQ170" s="236"/>
      <c r="IR170" s="236"/>
      <c r="IS170" s="236"/>
      <c r="IT170" s="236"/>
      <c r="IU170" s="236"/>
      <c r="IV170" s="236"/>
      <c r="IW170" s="236"/>
      <c r="IX170" s="236"/>
      <c r="IY170" s="236"/>
      <c r="IZ170" s="236"/>
      <c r="JA170" s="236"/>
      <c r="JB170" s="236"/>
      <c r="JC170" s="236"/>
      <c r="JD170" s="236"/>
      <c r="JE170" s="236"/>
      <c r="JF170" s="236"/>
      <c r="JG170" s="236"/>
      <c r="JH170" s="236"/>
      <c r="JI170" s="236"/>
      <c r="JJ170" s="236"/>
      <c r="JK170" s="236"/>
      <c r="JL170" s="236"/>
      <c r="JM170" s="236"/>
      <c r="JN170" s="236"/>
      <c r="JO170" s="236"/>
      <c r="JP170" s="236"/>
      <c r="JQ170" s="236"/>
      <c r="JR170" s="236"/>
      <c r="JS170" s="236"/>
      <c r="JT170" s="236"/>
      <c r="JU170" s="236"/>
      <c r="JV170" s="236"/>
      <c r="JW170" s="236"/>
      <c r="JX170" s="236"/>
      <c r="JY170" s="236"/>
      <c r="JZ170" s="236"/>
      <c r="KA170" s="236"/>
      <c r="KB170" s="236"/>
      <c r="KC170" s="236"/>
      <c r="KD170" s="236"/>
      <c r="KE170" s="236"/>
      <c r="KF170" s="236"/>
      <c r="KG170" s="236"/>
      <c r="KH170" s="236"/>
      <c r="KI170" s="236"/>
      <c r="KJ170" s="236"/>
      <c r="KK170" s="236"/>
      <c r="KL170" s="236"/>
      <c r="KM170" s="236"/>
      <c r="KN170" s="236"/>
      <c r="KO170" s="236"/>
      <c r="KP170" s="236"/>
      <c r="KQ170" s="236"/>
      <c r="KR170" s="236"/>
      <c r="KS170" s="236"/>
      <c r="KT170" s="236"/>
      <c r="KU170" s="236"/>
      <c r="KV170" s="236"/>
      <c r="KW170" s="236"/>
      <c r="KX170" s="236"/>
      <c r="KY170" s="236"/>
      <c r="KZ170" s="236"/>
      <c r="LA170" s="236"/>
      <c r="LB170" s="236"/>
      <c r="LC170" s="236"/>
      <c r="LD170" s="236"/>
      <c r="LE170" s="236"/>
      <c r="LF170" s="236"/>
      <c r="LG170" s="236"/>
      <c r="LH170" s="236"/>
      <c r="LI170" s="236"/>
      <c r="LJ170" s="236"/>
      <c r="LK170" s="236"/>
      <c r="LL170" s="236"/>
      <c r="LM170" s="236"/>
      <c r="LN170" s="236"/>
      <c r="LO170" s="236"/>
      <c r="LP170" s="236"/>
      <c r="LQ170" s="236"/>
      <c r="LR170" s="236"/>
      <c r="LS170" s="236"/>
      <c r="LT170" s="236"/>
      <c r="LU170" s="236"/>
      <c r="LV170" s="236"/>
      <c r="LW170" s="236"/>
      <c r="LX170" s="236"/>
      <c r="LY170" s="236"/>
      <c r="LZ170" s="236"/>
      <c r="MA170" s="236"/>
      <c r="MB170" s="236"/>
      <c r="MC170" s="236"/>
      <c r="MD170" s="236"/>
      <c r="ME170" s="236"/>
      <c r="MF170" s="236"/>
      <c r="MG170" s="236"/>
      <c r="MH170" s="236"/>
      <c r="MI170" s="236"/>
      <c r="MJ170" s="236"/>
      <c r="MK170" s="236"/>
      <c r="ML170" s="236"/>
      <c r="MM170" s="236"/>
      <c r="MN170" s="236"/>
      <c r="MO170" s="236"/>
      <c r="MP170" s="236"/>
      <c r="MQ170" s="236"/>
      <c r="MR170" s="236"/>
      <c r="MS170" s="236"/>
      <c r="MT170" s="236"/>
      <c r="MU170" s="236"/>
      <c r="MV170" s="236"/>
      <c r="MW170" s="236"/>
      <c r="MX170" s="236"/>
      <c r="MY170" s="236"/>
      <c r="MZ170" s="236"/>
      <c r="NA170" s="236"/>
      <c r="NB170" s="236"/>
      <c r="NC170" s="236"/>
      <c r="ND170" s="236"/>
      <c r="NE170" s="236"/>
      <c r="NF170" s="236"/>
      <c r="NG170" s="236"/>
      <c r="NH170" s="236"/>
      <c r="NI170" s="236"/>
      <c r="NJ170" s="236"/>
      <c r="NK170" s="236"/>
      <c r="NL170" s="236"/>
      <c r="NM170" s="236"/>
      <c r="NN170" s="236"/>
      <c r="NO170" s="236"/>
      <c r="NP170" s="236"/>
      <c r="NQ170" s="236"/>
      <c r="NR170" s="236"/>
      <c r="NS170" s="236"/>
      <c r="NT170" s="236"/>
      <c r="NU170" s="236"/>
      <c r="NV170" s="236"/>
      <c r="NW170" s="236"/>
      <c r="NX170" s="236"/>
      <c r="NY170" s="236"/>
      <c r="NZ170" s="236"/>
      <c r="OA170" s="236"/>
      <c r="OB170" s="236"/>
      <c r="OC170" s="236"/>
      <c r="OD170" s="236"/>
      <c r="OE170" s="236"/>
      <c r="OF170" s="236"/>
      <c r="OG170" s="236"/>
      <c r="OH170" s="236"/>
      <c r="OI170" s="236"/>
      <c r="OJ170" s="236"/>
      <c r="OK170" s="236"/>
      <c r="OL170" s="236"/>
      <c r="OM170" s="236"/>
      <c r="ON170" s="236"/>
      <c r="OO170" s="236"/>
      <c r="OP170" s="236"/>
      <c r="OQ170" s="236"/>
      <c r="OR170" s="236"/>
      <c r="OS170" s="236"/>
      <c r="OT170" s="236"/>
      <c r="OU170" s="236"/>
      <c r="OV170" s="236"/>
      <c r="OW170" s="236"/>
      <c r="OX170" s="236"/>
      <c r="OY170" s="236"/>
      <c r="OZ170" s="236"/>
      <c r="PA170" s="236"/>
      <c r="PB170" s="236"/>
      <c r="PC170" s="236"/>
      <c r="PD170" s="236"/>
      <c r="PE170" s="236"/>
      <c r="PF170" s="236"/>
      <c r="PG170" s="236"/>
      <c r="PH170" s="236"/>
      <c r="PI170" s="236"/>
      <c r="PJ170" s="236"/>
      <c r="PK170" s="236"/>
      <c r="PL170" s="236"/>
      <c r="PM170" s="236"/>
      <c r="PN170" s="236"/>
      <c r="PO170" s="236"/>
      <c r="PP170" s="236"/>
      <c r="PQ170" s="236"/>
      <c r="PR170" s="236"/>
      <c r="PS170" s="236"/>
      <c r="PT170" s="236"/>
      <c r="PU170" s="236"/>
      <c r="PV170" s="236"/>
      <c r="PW170" s="236"/>
      <c r="PX170" s="236"/>
      <c r="PY170" s="236"/>
      <c r="PZ170" s="236"/>
      <c r="QA170" s="236"/>
      <c r="QB170" s="236"/>
      <c r="QC170" s="236"/>
      <c r="QD170" s="236"/>
      <c r="QE170" s="236"/>
      <c r="QF170" s="236"/>
      <c r="QG170" s="236"/>
      <c r="QH170" s="236"/>
      <c r="QI170" s="236"/>
      <c r="QJ170" s="236"/>
      <c r="QK170" s="236"/>
      <c r="QL170" s="236"/>
      <c r="QM170" s="236"/>
      <c r="QN170" s="236"/>
      <c r="QO170" s="236"/>
      <c r="QP170" s="236"/>
      <c r="QQ170" s="236"/>
      <c r="QR170" s="236"/>
      <c r="QS170" s="236"/>
      <c r="QT170" s="236"/>
      <c r="QU170" s="236"/>
      <c r="QV170" s="236"/>
      <c r="QW170" s="236"/>
      <c r="QX170" s="236"/>
      <c r="QY170" s="236"/>
      <c r="QZ170" s="236"/>
      <c r="RA170" s="236"/>
      <c r="RB170" s="236"/>
      <c r="RC170" s="236"/>
      <c r="RD170" s="236"/>
      <c r="RE170" s="236"/>
      <c r="RF170" s="236"/>
      <c r="RG170" s="236"/>
      <c r="RH170" s="236"/>
      <c r="RI170" s="236"/>
      <c r="RJ170" s="236"/>
      <c r="RK170" s="236"/>
      <c r="RL170" s="236"/>
      <c r="RM170" s="236"/>
      <c r="RN170" s="236"/>
      <c r="RO170" s="236"/>
      <c r="RP170" s="236"/>
      <c r="RQ170" s="236"/>
      <c r="RR170" s="236"/>
      <c r="RS170" s="236"/>
      <c r="RT170" s="236"/>
      <c r="RU170" s="236"/>
      <c r="RV170" s="236"/>
      <c r="RW170" s="236"/>
      <c r="RX170" s="236"/>
      <c r="RY170" s="236"/>
      <c r="RZ170" s="236"/>
      <c r="SA170" s="236"/>
      <c r="SB170" s="236"/>
      <c r="SC170" s="236"/>
      <c r="SD170" s="236"/>
      <c r="SE170" s="236"/>
      <c r="SF170" s="236"/>
      <c r="SG170" s="236"/>
      <c r="SH170" s="236"/>
      <c r="SI170" s="236"/>
      <c r="SJ170" s="236"/>
      <c r="SK170" s="236"/>
      <c r="SL170" s="236"/>
      <c r="SM170" s="236"/>
      <c r="SN170" s="236"/>
      <c r="SO170" s="236"/>
      <c r="SP170" s="236"/>
      <c r="SQ170" s="236"/>
      <c r="SR170" s="236"/>
      <c r="SS170" s="236"/>
      <c r="ST170" s="236"/>
      <c r="SU170" s="236"/>
      <c r="SV170" s="236"/>
      <c r="SW170" s="236"/>
      <c r="SX170" s="236"/>
      <c r="SY170" s="236"/>
      <c r="SZ170" s="236"/>
      <c r="TA170" s="236"/>
      <c r="TB170" s="236"/>
      <c r="TC170" s="236"/>
      <c r="TD170" s="236"/>
      <c r="TE170" s="236"/>
      <c r="TF170" s="236"/>
      <c r="TG170" s="236"/>
      <c r="TH170" s="236"/>
      <c r="TI170" s="236"/>
      <c r="TJ170" s="236"/>
      <c r="TK170" s="236"/>
      <c r="TL170" s="236"/>
      <c r="TM170" s="236"/>
      <c r="TN170" s="236"/>
      <c r="TO170" s="236"/>
      <c r="TP170" s="236"/>
      <c r="TQ170" s="236"/>
      <c r="TR170" s="236"/>
      <c r="TS170" s="236"/>
      <c r="TT170" s="236"/>
      <c r="TU170" s="236"/>
      <c r="TV170" s="236"/>
      <c r="TW170" s="236"/>
      <c r="TX170" s="236"/>
      <c r="TY170" s="236"/>
      <c r="TZ170" s="236"/>
      <c r="UA170" s="236"/>
      <c r="UB170" s="236"/>
      <c r="UC170" s="236"/>
      <c r="UD170" s="236"/>
      <c r="UE170" s="236"/>
      <c r="UF170" s="236"/>
      <c r="UG170" s="236"/>
      <c r="UH170" s="236"/>
      <c r="UI170" s="236"/>
      <c r="UJ170" s="236"/>
      <c r="UK170" s="236"/>
      <c r="UL170" s="236"/>
      <c r="UM170" s="236"/>
      <c r="UN170" s="236"/>
      <c r="UO170" s="236"/>
      <c r="UP170" s="236"/>
      <c r="UQ170" s="236"/>
      <c r="UR170" s="236"/>
      <c r="US170" s="236"/>
      <c r="UT170" s="236"/>
      <c r="UU170" s="236"/>
      <c r="UV170" s="236"/>
      <c r="UW170" s="236"/>
      <c r="UX170" s="236"/>
      <c r="UY170" s="236"/>
      <c r="UZ170" s="236"/>
      <c r="VA170" s="236"/>
      <c r="VB170" s="236"/>
      <c r="VC170" s="236"/>
      <c r="VD170" s="236"/>
      <c r="VE170" s="236"/>
      <c r="VF170" s="236"/>
      <c r="VG170" s="236"/>
      <c r="VH170" s="236"/>
      <c r="VI170" s="236"/>
      <c r="VJ170" s="236"/>
      <c r="VK170" s="236"/>
      <c r="VL170" s="236"/>
      <c r="VM170" s="236"/>
      <c r="VN170" s="236"/>
      <c r="VO170" s="236"/>
      <c r="VP170" s="236"/>
      <c r="VQ170" s="236"/>
      <c r="VR170" s="236"/>
      <c r="VS170" s="236"/>
      <c r="VT170" s="236"/>
      <c r="VU170" s="236"/>
      <c r="VV170" s="236"/>
      <c r="VW170" s="236"/>
      <c r="VX170" s="236"/>
      <c r="VY170" s="236"/>
      <c r="VZ170" s="236"/>
      <c r="WA170" s="236"/>
      <c r="WB170" s="236"/>
      <c r="WC170" s="236"/>
      <c r="WD170" s="236"/>
      <c r="WE170" s="236"/>
      <c r="WF170" s="236"/>
      <c r="WG170" s="236"/>
      <c r="WH170" s="236"/>
      <c r="WI170" s="236"/>
      <c r="WJ170" s="236"/>
      <c r="WK170" s="236"/>
      <c r="WL170" s="236"/>
      <c r="WM170" s="236"/>
      <c r="WN170" s="236"/>
      <c r="WO170" s="236"/>
      <c r="WP170" s="236"/>
      <c r="WQ170" s="236"/>
      <c r="WR170" s="236"/>
      <c r="WS170" s="236"/>
      <c r="WT170" s="236"/>
      <c r="WU170" s="236"/>
      <c r="WV170" s="236"/>
      <c r="WW170" s="236"/>
      <c r="WX170" s="236"/>
      <c r="WY170" s="236"/>
      <c r="WZ170" s="236"/>
      <c r="XA170" s="236"/>
      <c r="XB170" s="236"/>
      <c r="XC170" s="236"/>
      <c r="XD170" s="236"/>
      <c r="XE170" s="236"/>
      <c r="XF170" s="236"/>
      <c r="XG170" s="236"/>
      <c r="XH170" s="236"/>
      <c r="XI170" s="236"/>
      <c r="XJ170" s="236"/>
      <c r="XK170" s="236"/>
      <c r="XL170" s="236"/>
      <c r="XM170" s="236"/>
      <c r="XN170" s="236"/>
      <c r="XO170" s="236"/>
      <c r="XP170" s="236"/>
      <c r="XQ170" s="236"/>
      <c r="XR170" s="236"/>
      <c r="XS170" s="236"/>
      <c r="XT170" s="236"/>
      <c r="XU170" s="236"/>
      <c r="XV170" s="236"/>
      <c r="XW170" s="236"/>
      <c r="XX170" s="236"/>
      <c r="XY170" s="236"/>
      <c r="XZ170" s="236"/>
      <c r="YA170" s="236"/>
      <c r="YB170" s="236"/>
      <c r="YC170" s="236"/>
      <c r="YD170" s="236"/>
      <c r="YE170" s="236"/>
      <c r="YF170" s="236"/>
      <c r="YG170" s="236"/>
      <c r="YH170" s="236"/>
      <c r="YI170" s="236"/>
      <c r="YJ170" s="236"/>
      <c r="YK170" s="236"/>
      <c r="YL170" s="236"/>
      <c r="YM170" s="236"/>
      <c r="YN170" s="236"/>
      <c r="YO170" s="236"/>
      <c r="YP170" s="236"/>
      <c r="YQ170" s="236"/>
      <c r="YR170" s="236"/>
      <c r="YS170" s="236"/>
      <c r="YT170" s="236"/>
      <c r="YU170" s="236"/>
      <c r="YV170" s="236"/>
      <c r="YW170" s="236"/>
      <c r="YX170" s="236"/>
      <c r="YY170" s="236"/>
      <c r="YZ170" s="236"/>
      <c r="ZA170" s="236"/>
      <c r="ZB170" s="236"/>
      <c r="ZC170" s="236"/>
      <c r="ZD170" s="236"/>
      <c r="ZE170" s="236"/>
      <c r="ZF170" s="236"/>
      <c r="ZG170" s="236"/>
      <c r="ZH170" s="236"/>
      <c r="ZI170" s="236"/>
      <c r="ZJ170" s="236"/>
      <c r="ZK170" s="236"/>
      <c r="ZL170" s="236"/>
      <c r="ZM170" s="236"/>
      <c r="ZN170" s="236"/>
      <c r="ZO170" s="236"/>
      <c r="ZP170" s="236"/>
      <c r="ZQ170" s="236"/>
      <c r="ZR170" s="236"/>
      <c r="ZS170" s="236"/>
      <c r="ZT170" s="236"/>
      <c r="ZU170" s="236"/>
      <c r="ZV170" s="236"/>
      <c r="ZW170" s="236"/>
      <c r="ZX170" s="236"/>
      <c r="ZY170" s="236"/>
      <c r="ZZ170" s="236"/>
      <c r="AAA170" s="236"/>
      <c r="AAB170" s="236"/>
      <c r="AAC170" s="236"/>
      <c r="AAD170" s="236"/>
      <c r="AAE170" s="236"/>
      <c r="AAF170" s="236"/>
      <c r="AAG170" s="236"/>
      <c r="AAH170" s="236"/>
      <c r="AAI170" s="236"/>
      <c r="AAJ170" s="236"/>
      <c r="AAK170" s="236"/>
      <c r="AAL170" s="236"/>
      <c r="AAM170" s="236"/>
      <c r="AAN170" s="236"/>
      <c r="AAO170" s="236"/>
      <c r="AAP170" s="236"/>
      <c r="AAQ170" s="236"/>
      <c r="AAR170" s="236"/>
      <c r="AAS170" s="236"/>
      <c r="AAT170" s="236"/>
      <c r="AAU170" s="236"/>
      <c r="AAV170" s="236"/>
      <c r="AAW170" s="236"/>
      <c r="AAX170" s="236"/>
      <c r="AAY170" s="236"/>
      <c r="AAZ170" s="236"/>
      <c r="ABA170" s="236"/>
      <c r="ABB170" s="236"/>
      <c r="ABC170" s="236"/>
      <c r="ABD170" s="236"/>
      <c r="ABE170" s="236"/>
      <c r="ABF170" s="236"/>
      <c r="ABG170" s="236"/>
      <c r="ABH170" s="236"/>
      <c r="ABI170" s="236"/>
      <c r="ABJ170" s="236"/>
      <c r="ABK170" s="236"/>
      <c r="ABL170" s="236"/>
      <c r="ABM170" s="236"/>
      <c r="ABN170" s="236"/>
      <c r="ABO170" s="236"/>
      <c r="ABP170" s="236"/>
      <c r="ABQ170" s="236"/>
      <c r="ABR170" s="236"/>
      <c r="ABS170" s="236"/>
      <c r="ABT170" s="236"/>
      <c r="ABU170" s="236"/>
      <c r="ABV170" s="236"/>
      <c r="ABW170" s="236"/>
      <c r="ABX170" s="236"/>
      <c r="ABY170" s="236"/>
      <c r="ABZ170" s="236"/>
      <c r="ACA170" s="236"/>
      <c r="ACB170" s="236"/>
      <c r="ACC170" s="236"/>
      <c r="ACD170" s="236"/>
      <c r="ACE170" s="236"/>
      <c r="ACF170" s="236"/>
      <c r="ACG170" s="236"/>
      <c r="ACH170" s="236"/>
      <c r="ACI170" s="236"/>
      <c r="ACJ170" s="236"/>
      <c r="ACK170" s="236"/>
      <c r="ACL170" s="236"/>
      <c r="ACM170" s="236"/>
      <c r="ACN170" s="236"/>
      <c r="ACO170" s="236"/>
      <c r="ACP170" s="236"/>
      <c r="ACQ170" s="236"/>
      <c r="ACR170" s="236"/>
      <c r="ACS170" s="236"/>
      <c r="ACT170" s="236"/>
      <c r="ACU170" s="236"/>
      <c r="ACV170" s="236"/>
      <c r="ACW170" s="236"/>
      <c r="ACX170" s="236"/>
      <c r="ACY170" s="236"/>
      <c r="ACZ170" s="236"/>
      <c r="ADA170" s="236"/>
      <c r="ADB170" s="236"/>
      <c r="ADC170" s="236"/>
      <c r="ADD170" s="236"/>
      <c r="ADE170" s="236"/>
      <c r="ADF170" s="236"/>
      <c r="ADG170" s="236"/>
      <c r="ADH170" s="236"/>
      <c r="ADI170" s="236"/>
      <c r="ADJ170" s="236"/>
      <c r="ADK170" s="236"/>
      <c r="ADL170" s="236"/>
      <c r="ADM170" s="236"/>
      <c r="ADN170" s="236"/>
      <c r="ADO170" s="236"/>
      <c r="ADP170" s="236"/>
      <c r="ADQ170" s="236"/>
      <c r="ADR170" s="236"/>
      <c r="ADS170" s="236"/>
      <c r="ADT170" s="236"/>
      <c r="ADU170" s="236"/>
      <c r="ADV170" s="236"/>
      <c r="ADW170" s="236"/>
      <c r="ADX170" s="236"/>
      <c r="ADY170" s="236"/>
      <c r="ADZ170" s="236"/>
      <c r="AEA170" s="236"/>
      <c r="AEB170" s="236"/>
      <c r="AEC170" s="236"/>
      <c r="AED170" s="236"/>
      <c r="AEE170" s="236"/>
      <c r="AEF170" s="236"/>
      <c r="AEG170" s="236"/>
      <c r="AEH170" s="236"/>
      <c r="AEI170" s="236"/>
      <c r="AEJ170" s="236"/>
      <c r="AEK170" s="236"/>
      <c r="AEL170" s="236"/>
      <c r="AEM170" s="236"/>
      <c r="AEN170" s="236"/>
      <c r="AEO170" s="236"/>
      <c r="AEP170" s="236"/>
      <c r="AEQ170" s="236"/>
      <c r="AER170" s="236"/>
      <c r="AES170" s="236"/>
      <c r="AET170" s="236"/>
      <c r="AEU170" s="236"/>
      <c r="AEV170" s="236"/>
      <c r="AEW170" s="236"/>
      <c r="AEX170" s="236"/>
      <c r="AEY170" s="236"/>
      <c r="AEZ170" s="236"/>
      <c r="AFA170" s="236"/>
      <c r="AFB170" s="236"/>
      <c r="AFC170" s="236"/>
      <c r="AFD170" s="236"/>
      <c r="AFE170" s="236"/>
      <c r="AFF170" s="236"/>
      <c r="AFG170" s="236"/>
      <c r="AFH170" s="236"/>
      <c r="AFI170" s="236"/>
      <c r="AFJ170" s="236"/>
      <c r="AFK170" s="236"/>
      <c r="AFL170" s="236"/>
      <c r="AFM170" s="236"/>
      <c r="AFN170" s="236"/>
      <c r="AFO170" s="236"/>
      <c r="AFP170" s="236"/>
      <c r="AFQ170" s="236"/>
      <c r="AFR170" s="236"/>
      <c r="AFS170" s="236"/>
      <c r="AFT170" s="236"/>
      <c r="AFU170" s="236"/>
      <c r="AFV170" s="236"/>
      <c r="AFW170" s="236"/>
      <c r="AFX170" s="236"/>
      <c r="AFY170" s="236"/>
      <c r="AFZ170" s="236"/>
      <c r="AGA170" s="236"/>
      <c r="AGB170" s="236"/>
      <c r="AGC170" s="236"/>
      <c r="AGD170" s="236"/>
      <c r="AGE170" s="236"/>
      <c r="AGF170" s="236"/>
      <c r="AGG170" s="236"/>
      <c r="AGH170" s="236"/>
      <c r="AGI170" s="236"/>
      <c r="AGJ170" s="236"/>
      <c r="AGK170" s="236"/>
      <c r="AGL170" s="236"/>
      <c r="AGM170" s="236"/>
      <c r="AGN170" s="236"/>
      <c r="AGO170" s="236"/>
      <c r="AGP170" s="236"/>
      <c r="AGQ170" s="236"/>
      <c r="AGR170" s="236"/>
      <c r="AGS170" s="236"/>
      <c r="AGT170" s="236"/>
      <c r="AGU170" s="236"/>
      <c r="AGV170" s="236"/>
      <c r="AGW170" s="236"/>
      <c r="AGX170" s="236"/>
      <c r="AGY170" s="236"/>
      <c r="AGZ170" s="236"/>
      <c r="AHA170" s="236"/>
      <c r="AHB170" s="236"/>
      <c r="AHC170" s="236"/>
      <c r="AHD170" s="236"/>
      <c r="AHE170" s="236"/>
      <c r="AHF170" s="236"/>
      <c r="AHG170" s="236"/>
      <c r="AHH170" s="236"/>
      <c r="AHI170" s="236"/>
      <c r="AHJ170" s="236"/>
      <c r="AHK170" s="236"/>
      <c r="AHL170" s="236"/>
      <c r="AHM170" s="236"/>
      <c r="AHN170" s="236"/>
      <c r="AHO170" s="236"/>
      <c r="AHP170" s="236"/>
      <c r="AHQ170" s="236"/>
      <c r="AHR170" s="236"/>
      <c r="AHS170" s="236"/>
      <c r="AHT170" s="236"/>
      <c r="AHU170" s="236"/>
      <c r="AHV170" s="236"/>
      <c r="AHW170" s="236"/>
      <c r="AHX170" s="236"/>
      <c r="AHY170" s="236"/>
      <c r="AHZ170" s="236"/>
      <c r="AIA170" s="236"/>
      <c r="AIB170" s="236"/>
      <c r="AIC170" s="236"/>
      <c r="AID170" s="236"/>
      <c r="AIE170" s="236"/>
      <c r="AIF170" s="236"/>
      <c r="AIG170" s="236"/>
      <c r="AIH170" s="236"/>
      <c r="AII170" s="236"/>
      <c r="AIJ170" s="236"/>
      <c r="AIK170" s="236"/>
      <c r="AIL170" s="236"/>
      <c r="AIM170" s="236"/>
      <c r="AIN170" s="236"/>
      <c r="AIO170" s="236"/>
      <c r="AIP170" s="236"/>
      <c r="AIQ170" s="236"/>
      <c r="AIR170" s="236"/>
      <c r="AIS170" s="236"/>
      <c r="AIT170" s="236"/>
      <c r="AIU170" s="236"/>
      <c r="AIV170" s="236"/>
      <c r="AIW170" s="236"/>
      <c r="AIX170" s="236"/>
      <c r="AIY170" s="236"/>
      <c r="AIZ170" s="236"/>
      <c r="AJA170" s="236"/>
      <c r="AJB170" s="236"/>
      <c r="AJC170" s="236"/>
      <c r="AJD170" s="236"/>
      <c r="AJE170" s="236"/>
      <c r="AJF170" s="236"/>
      <c r="AJG170" s="236"/>
      <c r="AJH170" s="236"/>
      <c r="AJI170" s="236"/>
      <c r="AJJ170" s="236"/>
      <c r="AJK170" s="236"/>
      <c r="AJL170" s="236"/>
      <c r="AJM170" s="236"/>
      <c r="AJN170" s="236"/>
      <c r="AJO170" s="236"/>
      <c r="AJP170" s="236"/>
      <c r="AJQ170" s="236"/>
      <c r="AJR170" s="236"/>
      <c r="AJS170" s="236"/>
      <c r="AJT170" s="236"/>
      <c r="AJU170" s="236"/>
      <c r="AJV170" s="236"/>
      <c r="AJW170" s="236"/>
      <c r="AJX170" s="236"/>
      <c r="AJY170" s="236"/>
      <c r="AJZ170" s="236"/>
      <c r="AKA170" s="236"/>
      <c r="AKB170" s="236"/>
      <c r="AKC170" s="236"/>
      <c r="AKD170" s="236"/>
      <c r="AKE170" s="236"/>
      <c r="AKF170" s="236"/>
      <c r="AKG170" s="236"/>
      <c r="AKH170" s="236"/>
      <c r="AKI170" s="236"/>
      <c r="AKJ170" s="236"/>
      <c r="AKK170" s="236"/>
      <c r="AKL170" s="236"/>
      <c r="AKM170" s="236"/>
      <c r="AKN170" s="236"/>
      <c r="AKO170" s="236"/>
      <c r="AKP170" s="236"/>
      <c r="AKQ170" s="236"/>
      <c r="AKR170" s="236"/>
      <c r="AKS170" s="236"/>
      <c r="AKT170" s="236"/>
      <c r="AKU170" s="236"/>
      <c r="AKV170" s="236"/>
      <c r="AKW170" s="236"/>
      <c r="AKX170" s="236"/>
      <c r="AKY170" s="236"/>
      <c r="AKZ170" s="236"/>
      <c r="ALA170" s="236"/>
      <c r="ALB170" s="236"/>
      <c r="ALC170" s="236"/>
      <c r="ALD170" s="236"/>
      <c r="ALE170" s="236"/>
      <c r="ALF170" s="236"/>
      <c r="ALG170" s="236"/>
      <c r="ALH170" s="236"/>
      <c r="ALI170" s="236"/>
      <c r="ALJ170" s="236"/>
      <c r="ALK170" s="236"/>
      <c r="ALL170" s="236"/>
      <c r="ALM170" s="236"/>
      <c r="ALN170" s="236"/>
      <c r="ALO170" s="236"/>
      <c r="ALP170" s="236"/>
      <c r="ALQ170" s="236"/>
      <c r="ALR170" s="236"/>
      <c r="ALS170" s="236"/>
      <c r="ALT170" s="236"/>
      <c r="ALU170" s="236"/>
      <c r="ALV170" s="236"/>
      <c r="ALW170" s="236"/>
      <c r="ALX170" s="236"/>
      <c r="ALY170" s="236"/>
      <c r="ALZ170" s="236"/>
      <c r="AMA170" s="236"/>
      <c r="AMB170" s="236"/>
      <c r="AMC170" s="236"/>
      <c r="AMD170" s="236"/>
      <c r="AME170" s="236"/>
      <c r="AMF170" s="236"/>
      <c r="AMG170" s="236"/>
      <c r="AMH170" s="236"/>
      <c r="AMI170" s="236"/>
      <c r="AMJ170" s="236"/>
      <c r="AMK170" s="236"/>
      <c r="AML170" s="236"/>
      <c r="AMM170" s="236"/>
    </row>
    <row r="171" spans="1:1027">
      <c r="A171" s="1418"/>
      <c r="B171" s="1419"/>
      <c r="C171" s="1419"/>
      <c r="D171" s="1419"/>
      <c r="E171" s="1419"/>
      <c r="F171" s="1419"/>
      <c r="G171" s="1419"/>
      <c r="H171" s="1419"/>
      <c r="I171" s="1419"/>
      <c r="J171" s="1419"/>
      <c r="K171" s="1419"/>
      <c r="L171" s="1420"/>
      <c r="M171" s="283"/>
      <c r="N171" s="1392" t="s">
        <v>278</v>
      </c>
      <c r="O171" s="1393"/>
      <c r="P171" s="1393"/>
      <c r="Q171" s="1393"/>
      <c r="R171" s="1394"/>
      <c r="S171" s="284"/>
      <c r="T171" s="284"/>
      <c r="U171" s="284"/>
      <c r="V171" s="1392" t="s">
        <v>170</v>
      </c>
      <c r="W171" s="1393"/>
      <c r="X171" s="1393"/>
      <c r="Y171" s="1393"/>
      <c r="Z171" s="1394"/>
      <c r="AA171" s="1065"/>
      <c r="AB171" s="1392" t="s">
        <v>171</v>
      </c>
      <c r="AC171" s="1394"/>
      <c r="AD171" s="1392" t="s">
        <v>172</v>
      </c>
      <c r="AE171" s="1393"/>
      <c r="AF171" s="1393"/>
      <c r="AG171" s="1393"/>
      <c r="AH171" s="1393"/>
      <c r="AI171" s="1393"/>
      <c r="AJ171" s="1393"/>
      <c r="AK171" s="1393"/>
      <c r="AL171" s="1393"/>
      <c r="AM171" s="1394"/>
      <c r="AN171" s="262"/>
      <c r="AO171" s="262"/>
      <c r="AP171" s="262"/>
      <c r="AQ171" s="262"/>
      <c r="AR171" s="262"/>
      <c r="AS171" s="262"/>
      <c r="AT171" s="262"/>
      <c r="AU171" s="262"/>
      <c r="AV171" s="262"/>
      <c r="AW171" s="262"/>
      <c r="AX171" s="262"/>
      <c r="AY171" s="236"/>
      <c r="AZ171" s="236"/>
      <c r="BA171" s="236"/>
      <c r="BB171" s="236"/>
      <c r="BC171" s="236"/>
      <c r="BD171" s="236"/>
      <c r="BE171" s="236"/>
      <c r="BF171" s="236"/>
      <c r="BG171" s="236"/>
      <c r="BH171" s="236"/>
      <c r="BI171" s="236"/>
      <c r="BJ171" s="236"/>
      <c r="BK171" s="236"/>
      <c r="BL171" s="236"/>
      <c r="BM171" s="236"/>
      <c r="BN171" s="236"/>
      <c r="BO171" s="236"/>
      <c r="BP171" s="236"/>
      <c r="BQ171" s="236"/>
      <c r="BR171" s="236"/>
      <c r="BS171" s="236"/>
      <c r="BT171" s="236"/>
      <c r="BU171" s="236"/>
      <c r="BV171" s="236"/>
      <c r="BW171" s="236"/>
      <c r="BX171" s="236"/>
      <c r="BY171" s="236"/>
      <c r="BZ171" s="236"/>
      <c r="CA171" s="236"/>
      <c r="CB171" s="236"/>
      <c r="CC171" s="236"/>
      <c r="CD171" s="236"/>
      <c r="CE171" s="236"/>
      <c r="CF171" s="236"/>
      <c r="CG171" s="236"/>
      <c r="CH171" s="236"/>
      <c r="CI171" s="236"/>
      <c r="CJ171" s="236"/>
      <c r="CK171" s="236"/>
      <c r="CL171" s="236"/>
      <c r="CM171" s="236"/>
      <c r="CN171" s="236"/>
      <c r="CO171" s="236"/>
      <c r="CP171" s="236"/>
      <c r="CQ171" s="236"/>
      <c r="CR171" s="236"/>
      <c r="CS171" s="236"/>
      <c r="CT171" s="236"/>
      <c r="CU171" s="236"/>
      <c r="CV171" s="236"/>
      <c r="CW171" s="236"/>
      <c r="CX171" s="236"/>
      <c r="CY171" s="236"/>
      <c r="CZ171" s="236"/>
      <c r="DA171" s="236"/>
      <c r="DB171" s="236"/>
      <c r="DC171" s="236"/>
      <c r="DD171" s="236"/>
      <c r="DE171" s="236"/>
      <c r="DF171" s="236"/>
      <c r="DG171" s="236"/>
      <c r="DH171" s="236"/>
      <c r="DI171" s="236"/>
      <c r="DJ171" s="236"/>
      <c r="DK171" s="236"/>
      <c r="DL171" s="236"/>
      <c r="DM171" s="236"/>
      <c r="DN171" s="236"/>
      <c r="DO171" s="236"/>
      <c r="DP171" s="236"/>
      <c r="DQ171" s="236"/>
      <c r="DR171" s="236"/>
      <c r="DS171" s="236"/>
      <c r="DT171" s="236"/>
      <c r="DU171" s="236"/>
      <c r="DV171" s="236"/>
      <c r="DW171" s="236"/>
      <c r="DX171" s="236"/>
      <c r="DY171" s="236"/>
      <c r="DZ171" s="236"/>
      <c r="EA171" s="236"/>
      <c r="EB171" s="236"/>
      <c r="EC171" s="236"/>
      <c r="ED171" s="236"/>
      <c r="EE171" s="236"/>
      <c r="EF171" s="236"/>
      <c r="EG171" s="236"/>
      <c r="EH171" s="236"/>
      <c r="EI171" s="236"/>
      <c r="EJ171" s="236"/>
      <c r="EK171" s="236"/>
      <c r="EL171" s="236"/>
      <c r="EM171" s="236"/>
      <c r="EN171" s="236"/>
      <c r="EO171" s="236"/>
      <c r="EP171" s="236"/>
      <c r="EQ171" s="236"/>
      <c r="ER171" s="236"/>
      <c r="ES171" s="236"/>
      <c r="ET171" s="236"/>
      <c r="EU171" s="236"/>
      <c r="EV171" s="236"/>
      <c r="EW171" s="236"/>
      <c r="EX171" s="236"/>
      <c r="EY171" s="236"/>
      <c r="EZ171" s="236"/>
      <c r="FA171" s="236"/>
      <c r="FB171" s="236"/>
      <c r="FC171" s="236"/>
      <c r="FD171" s="236"/>
      <c r="FE171" s="236"/>
      <c r="FF171" s="236"/>
      <c r="FG171" s="236"/>
      <c r="FH171" s="236"/>
      <c r="FI171" s="236"/>
      <c r="FJ171" s="236"/>
      <c r="FK171" s="236"/>
      <c r="FL171" s="236"/>
      <c r="FM171" s="236"/>
      <c r="FN171" s="236"/>
      <c r="FO171" s="236"/>
      <c r="FP171" s="236"/>
      <c r="FQ171" s="236"/>
      <c r="FR171" s="236"/>
      <c r="FS171" s="236"/>
      <c r="FT171" s="236"/>
      <c r="FU171" s="236"/>
      <c r="FV171" s="236"/>
      <c r="FW171" s="236"/>
      <c r="FX171" s="236"/>
      <c r="FY171" s="236"/>
      <c r="FZ171" s="236"/>
      <c r="GA171" s="236"/>
      <c r="GB171" s="236"/>
      <c r="GC171" s="236"/>
      <c r="GD171" s="236"/>
      <c r="GE171" s="236"/>
      <c r="GF171" s="236"/>
      <c r="GG171" s="236"/>
      <c r="GH171" s="236"/>
      <c r="GI171" s="236"/>
      <c r="GJ171" s="236"/>
      <c r="GK171" s="236"/>
      <c r="GL171" s="236"/>
      <c r="GM171" s="236"/>
      <c r="GN171" s="236"/>
      <c r="GO171" s="236"/>
      <c r="GP171" s="236"/>
      <c r="GQ171" s="236"/>
      <c r="GR171" s="236"/>
      <c r="GS171" s="236"/>
      <c r="GT171" s="236"/>
      <c r="GU171" s="236"/>
      <c r="GV171" s="236"/>
      <c r="GW171" s="236"/>
      <c r="GX171" s="236"/>
      <c r="GY171" s="236"/>
      <c r="GZ171" s="236"/>
      <c r="HA171" s="236"/>
      <c r="HB171" s="236"/>
      <c r="HC171" s="236"/>
      <c r="HD171" s="236"/>
      <c r="HE171" s="236"/>
      <c r="HF171" s="236"/>
      <c r="HG171" s="236"/>
      <c r="HH171" s="236"/>
      <c r="HI171" s="236"/>
      <c r="HJ171" s="236"/>
      <c r="HK171" s="236"/>
      <c r="HL171" s="236"/>
      <c r="HM171" s="236"/>
      <c r="HN171" s="236"/>
      <c r="HO171" s="236"/>
      <c r="HP171" s="236"/>
      <c r="HQ171" s="236"/>
      <c r="HR171" s="236"/>
      <c r="HS171" s="236"/>
      <c r="HT171" s="236"/>
      <c r="HU171" s="236"/>
      <c r="HV171" s="236"/>
      <c r="HW171" s="236"/>
      <c r="HX171" s="236"/>
      <c r="HY171" s="236"/>
      <c r="HZ171" s="236"/>
      <c r="IA171" s="236"/>
      <c r="IB171" s="236"/>
      <c r="IC171" s="236"/>
      <c r="ID171" s="236"/>
      <c r="IE171" s="236"/>
      <c r="IF171" s="236"/>
      <c r="IG171" s="236"/>
      <c r="IH171" s="236"/>
      <c r="II171" s="236"/>
      <c r="IJ171" s="236"/>
      <c r="IK171" s="236"/>
      <c r="IL171" s="236"/>
      <c r="IM171" s="236"/>
      <c r="IN171" s="236"/>
      <c r="IO171" s="236"/>
      <c r="IP171" s="236"/>
      <c r="IQ171" s="236"/>
      <c r="IR171" s="236"/>
      <c r="IS171" s="236"/>
      <c r="IT171" s="236"/>
      <c r="IU171" s="236"/>
      <c r="IV171" s="236"/>
      <c r="IW171" s="236"/>
      <c r="IX171" s="236"/>
      <c r="IY171" s="236"/>
      <c r="IZ171" s="236"/>
      <c r="JA171" s="236"/>
      <c r="JB171" s="236"/>
      <c r="JC171" s="236"/>
      <c r="JD171" s="236"/>
      <c r="JE171" s="236"/>
      <c r="JF171" s="236"/>
      <c r="JG171" s="236"/>
      <c r="JH171" s="236"/>
      <c r="JI171" s="236"/>
      <c r="JJ171" s="236"/>
      <c r="JK171" s="236"/>
      <c r="JL171" s="236"/>
      <c r="JM171" s="236"/>
      <c r="JN171" s="236"/>
      <c r="JO171" s="236"/>
      <c r="JP171" s="236"/>
      <c r="JQ171" s="236"/>
      <c r="JR171" s="236"/>
      <c r="JS171" s="236"/>
      <c r="JT171" s="236"/>
      <c r="JU171" s="236"/>
      <c r="JV171" s="236"/>
      <c r="JW171" s="236"/>
      <c r="JX171" s="236"/>
      <c r="JY171" s="236"/>
      <c r="JZ171" s="236"/>
      <c r="KA171" s="236"/>
      <c r="KB171" s="236"/>
      <c r="KC171" s="236"/>
      <c r="KD171" s="236"/>
      <c r="KE171" s="236"/>
      <c r="KF171" s="236"/>
      <c r="KG171" s="236"/>
      <c r="KH171" s="236"/>
      <c r="KI171" s="236"/>
      <c r="KJ171" s="236"/>
      <c r="KK171" s="236"/>
      <c r="KL171" s="236"/>
      <c r="KM171" s="236"/>
      <c r="KN171" s="236"/>
      <c r="KO171" s="236"/>
      <c r="KP171" s="236"/>
      <c r="KQ171" s="236"/>
      <c r="KR171" s="236"/>
      <c r="KS171" s="236"/>
      <c r="KT171" s="236"/>
      <c r="KU171" s="236"/>
      <c r="KV171" s="236"/>
      <c r="KW171" s="236"/>
      <c r="KX171" s="236"/>
      <c r="KY171" s="236"/>
      <c r="KZ171" s="236"/>
      <c r="LA171" s="236"/>
      <c r="LB171" s="236"/>
      <c r="LC171" s="236"/>
      <c r="LD171" s="236"/>
      <c r="LE171" s="236"/>
      <c r="LF171" s="236"/>
      <c r="LG171" s="236"/>
      <c r="LH171" s="236"/>
      <c r="LI171" s="236"/>
      <c r="LJ171" s="236"/>
      <c r="LK171" s="236"/>
      <c r="LL171" s="236"/>
      <c r="LM171" s="236"/>
      <c r="LN171" s="236"/>
      <c r="LO171" s="236"/>
      <c r="LP171" s="236"/>
      <c r="LQ171" s="236"/>
      <c r="LR171" s="236"/>
      <c r="LS171" s="236"/>
      <c r="LT171" s="236"/>
      <c r="LU171" s="236"/>
      <c r="LV171" s="236"/>
      <c r="LW171" s="236"/>
      <c r="LX171" s="236"/>
      <c r="LY171" s="236"/>
      <c r="LZ171" s="236"/>
      <c r="MA171" s="236"/>
      <c r="MB171" s="236"/>
      <c r="MC171" s="236"/>
      <c r="MD171" s="236"/>
      <c r="ME171" s="236"/>
      <c r="MF171" s="236"/>
      <c r="MG171" s="236"/>
      <c r="MH171" s="236"/>
      <c r="MI171" s="236"/>
      <c r="MJ171" s="236"/>
      <c r="MK171" s="236"/>
      <c r="ML171" s="236"/>
      <c r="MM171" s="236"/>
      <c r="MN171" s="236"/>
      <c r="MO171" s="236"/>
      <c r="MP171" s="236"/>
      <c r="MQ171" s="236"/>
      <c r="MR171" s="236"/>
      <c r="MS171" s="236"/>
      <c r="MT171" s="236"/>
      <c r="MU171" s="236"/>
      <c r="MV171" s="236"/>
      <c r="MW171" s="236"/>
      <c r="MX171" s="236"/>
      <c r="MY171" s="236"/>
      <c r="MZ171" s="236"/>
      <c r="NA171" s="236"/>
      <c r="NB171" s="236"/>
      <c r="NC171" s="236"/>
      <c r="ND171" s="236"/>
      <c r="NE171" s="236"/>
      <c r="NF171" s="236"/>
      <c r="NG171" s="236"/>
      <c r="NH171" s="236"/>
      <c r="NI171" s="236"/>
      <c r="NJ171" s="236"/>
      <c r="NK171" s="236"/>
      <c r="NL171" s="236"/>
      <c r="NM171" s="236"/>
      <c r="NN171" s="236"/>
      <c r="NO171" s="236"/>
      <c r="NP171" s="236"/>
      <c r="NQ171" s="236"/>
      <c r="NR171" s="236"/>
      <c r="NS171" s="236"/>
      <c r="NT171" s="236"/>
      <c r="NU171" s="236"/>
      <c r="NV171" s="236"/>
      <c r="NW171" s="236"/>
      <c r="NX171" s="236"/>
      <c r="NY171" s="236"/>
      <c r="NZ171" s="236"/>
      <c r="OA171" s="236"/>
      <c r="OB171" s="236"/>
      <c r="OC171" s="236"/>
      <c r="OD171" s="236"/>
      <c r="OE171" s="236"/>
      <c r="OF171" s="236"/>
      <c r="OG171" s="236"/>
      <c r="OH171" s="236"/>
      <c r="OI171" s="236"/>
      <c r="OJ171" s="236"/>
      <c r="OK171" s="236"/>
      <c r="OL171" s="236"/>
      <c r="OM171" s="236"/>
      <c r="ON171" s="236"/>
      <c r="OO171" s="236"/>
      <c r="OP171" s="236"/>
      <c r="OQ171" s="236"/>
      <c r="OR171" s="236"/>
      <c r="OS171" s="236"/>
      <c r="OT171" s="236"/>
      <c r="OU171" s="236"/>
      <c r="OV171" s="236"/>
      <c r="OW171" s="236"/>
      <c r="OX171" s="236"/>
      <c r="OY171" s="236"/>
      <c r="OZ171" s="236"/>
      <c r="PA171" s="236"/>
      <c r="PB171" s="236"/>
      <c r="PC171" s="236"/>
      <c r="PD171" s="236"/>
      <c r="PE171" s="236"/>
      <c r="PF171" s="236"/>
      <c r="PG171" s="236"/>
      <c r="PH171" s="236"/>
      <c r="PI171" s="236"/>
      <c r="PJ171" s="236"/>
      <c r="PK171" s="236"/>
      <c r="PL171" s="236"/>
      <c r="PM171" s="236"/>
      <c r="PN171" s="236"/>
      <c r="PO171" s="236"/>
      <c r="PP171" s="236"/>
      <c r="PQ171" s="236"/>
      <c r="PR171" s="236"/>
      <c r="PS171" s="236"/>
      <c r="PT171" s="236"/>
      <c r="PU171" s="236"/>
      <c r="PV171" s="236"/>
      <c r="PW171" s="236"/>
      <c r="PX171" s="236"/>
      <c r="PY171" s="236"/>
      <c r="PZ171" s="236"/>
      <c r="QA171" s="236"/>
      <c r="QB171" s="236"/>
      <c r="QC171" s="236"/>
      <c r="QD171" s="236"/>
      <c r="QE171" s="236"/>
      <c r="QF171" s="236"/>
      <c r="QG171" s="236"/>
      <c r="QH171" s="236"/>
      <c r="QI171" s="236"/>
      <c r="QJ171" s="236"/>
      <c r="QK171" s="236"/>
      <c r="QL171" s="236"/>
      <c r="QM171" s="236"/>
      <c r="QN171" s="236"/>
      <c r="QO171" s="236"/>
      <c r="QP171" s="236"/>
      <c r="QQ171" s="236"/>
      <c r="QR171" s="236"/>
      <c r="QS171" s="236"/>
      <c r="QT171" s="236"/>
      <c r="QU171" s="236"/>
      <c r="QV171" s="236"/>
      <c r="QW171" s="236"/>
      <c r="QX171" s="236"/>
      <c r="QY171" s="236"/>
      <c r="QZ171" s="236"/>
      <c r="RA171" s="236"/>
      <c r="RB171" s="236"/>
      <c r="RC171" s="236"/>
      <c r="RD171" s="236"/>
      <c r="RE171" s="236"/>
      <c r="RF171" s="236"/>
      <c r="RG171" s="236"/>
      <c r="RH171" s="236"/>
      <c r="RI171" s="236"/>
      <c r="RJ171" s="236"/>
      <c r="RK171" s="236"/>
      <c r="RL171" s="236"/>
      <c r="RM171" s="236"/>
      <c r="RN171" s="236"/>
      <c r="RO171" s="236"/>
      <c r="RP171" s="236"/>
      <c r="RQ171" s="236"/>
      <c r="RR171" s="236"/>
      <c r="RS171" s="236"/>
      <c r="RT171" s="236"/>
      <c r="RU171" s="236"/>
      <c r="RV171" s="236"/>
      <c r="RW171" s="236"/>
      <c r="RX171" s="236"/>
      <c r="RY171" s="236"/>
      <c r="RZ171" s="236"/>
      <c r="SA171" s="236"/>
      <c r="SB171" s="236"/>
      <c r="SC171" s="236"/>
      <c r="SD171" s="236"/>
      <c r="SE171" s="236"/>
      <c r="SF171" s="236"/>
      <c r="SG171" s="236"/>
      <c r="SH171" s="236"/>
      <c r="SI171" s="236"/>
      <c r="SJ171" s="236"/>
      <c r="SK171" s="236"/>
      <c r="SL171" s="236"/>
      <c r="SM171" s="236"/>
      <c r="SN171" s="236"/>
      <c r="SO171" s="236"/>
      <c r="SP171" s="236"/>
      <c r="SQ171" s="236"/>
      <c r="SR171" s="236"/>
      <c r="SS171" s="236"/>
      <c r="ST171" s="236"/>
      <c r="SU171" s="236"/>
      <c r="SV171" s="236"/>
      <c r="SW171" s="236"/>
      <c r="SX171" s="236"/>
      <c r="SY171" s="236"/>
      <c r="SZ171" s="236"/>
      <c r="TA171" s="236"/>
      <c r="TB171" s="236"/>
      <c r="TC171" s="236"/>
      <c r="TD171" s="236"/>
      <c r="TE171" s="236"/>
      <c r="TF171" s="236"/>
      <c r="TG171" s="236"/>
      <c r="TH171" s="236"/>
      <c r="TI171" s="236"/>
      <c r="TJ171" s="236"/>
      <c r="TK171" s="236"/>
      <c r="TL171" s="236"/>
      <c r="TM171" s="236"/>
      <c r="TN171" s="236"/>
      <c r="TO171" s="236"/>
      <c r="TP171" s="236"/>
      <c r="TQ171" s="236"/>
      <c r="TR171" s="236"/>
      <c r="TS171" s="236"/>
      <c r="TT171" s="236"/>
      <c r="TU171" s="236"/>
      <c r="TV171" s="236"/>
      <c r="TW171" s="236"/>
      <c r="TX171" s="236"/>
      <c r="TY171" s="236"/>
      <c r="TZ171" s="236"/>
      <c r="UA171" s="236"/>
      <c r="UB171" s="236"/>
      <c r="UC171" s="236"/>
      <c r="UD171" s="236"/>
      <c r="UE171" s="236"/>
      <c r="UF171" s="236"/>
      <c r="UG171" s="236"/>
      <c r="UH171" s="236"/>
      <c r="UI171" s="236"/>
      <c r="UJ171" s="236"/>
      <c r="UK171" s="236"/>
      <c r="UL171" s="236"/>
      <c r="UM171" s="236"/>
      <c r="UN171" s="236"/>
      <c r="UO171" s="236"/>
      <c r="UP171" s="236"/>
      <c r="UQ171" s="236"/>
      <c r="UR171" s="236"/>
      <c r="US171" s="236"/>
      <c r="UT171" s="236"/>
      <c r="UU171" s="236"/>
      <c r="UV171" s="236"/>
      <c r="UW171" s="236"/>
      <c r="UX171" s="236"/>
      <c r="UY171" s="236"/>
      <c r="UZ171" s="236"/>
      <c r="VA171" s="236"/>
      <c r="VB171" s="236"/>
      <c r="VC171" s="236"/>
      <c r="VD171" s="236"/>
      <c r="VE171" s="236"/>
      <c r="VF171" s="236"/>
      <c r="VG171" s="236"/>
      <c r="VH171" s="236"/>
      <c r="VI171" s="236"/>
      <c r="VJ171" s="236"/>
      <c r="VK171" s="236"/>
      <c r="VL171" s="236"/>
      <c r="VM171" s="236"/>
      <c r="VN171" s="236"/>
      <c r="VO171" s="236"/>
      <c r="VP171" s="236"/>
      <c r="VQ171" s="236"/>
      <c r="VR171" s="236"/>
      <c r="VS171" s="236"/>
      <c r="VT171" s="236"/>
      <c r="VU171" s="236"/>
      <c r="VV171" s="236"/>
      <c r="VW171" s="236"/>
      <c r="VX171" s="236"/>
      <c r="VY171" s="236"/>
      <c r="VZ171" s="236"/>
      <c r="WA171" s="236"/>
      <c r="WB171" s="236"/>
      <c r="WC171" s="236"/>
      <c r="WD171" s="236"/>
      <c r="WE171" s="236"/>
      <c r="WF171" s="236"/>
      <c r="WG171" s="236"/>
      <c r="WH171" s="236"/>
      <c r="WI171" s="236"/>
      <c r="WJ171" s="236"/>
      <c r="WK171" s="236"/>
      <c r="WL171" s="236"/>
      <c r="WM171" s="236"/>
      <c r="WN171" s="236"/>
      <c r="WO171" s="236"/>
      <c r="WP171" s="236"/>
      <c r="WQ171" s="236"/>
      <c r="WR171" s="236"/>
      <c r="WS171" s="236"/>
      <c r="WT171" s="236"/>
      <c r="WU171" s="236"/>
      <c r="WV171" s="236"/>
      <c r="WW171" s="236"/>
      <c r="WX171" s="236"/>
      <c r="WY171" s="236"/>
      <c r="WZ171" s="236"/>
      <c r="XA171" s="236"/>
      <c r="XB171" s="236"/>
      <c r="XC171" s="236"/>
      <c r="XD171" s="236"/>
      <c r="XE171" s="236"/>
      <c r="XF171" s="236"/>
      <c r="XG171" s="236"/>
      <c r="XH171" s="236"/>
      <c r="XI171" s="236"/>
      <c r="XJ171" s="236"/>
      <c r="XK171" s="236"/>
      <c r="XL171" s="236"/>
      <c r="XM171" s="236"/>
      <c r="XN171" s="236"/>
      <c r="XO171" s="236"/>
      <c r="XP171" s="236"/>
      <c r="XQ171" s="236"/>
      <c r="XR171" s="236"/>
      <c r="XS171" s="236"/>
      <c r="XT171" s="236"/>
      <c r="XU171" s="236"/>
      <c r="XV171" s="236"/>
      <c r="XW171" s="236"/>
      <c r="XX171" s="236"/>
      <c r="XY171" s="236"/>
      <c r="XZ171" s="236"/>
      <c r="YA171" s="236"/>
      <c r="YB171" s="236"/>
      <c r="YC171" s="236"/>
      <c r="YD171" s="236"/>
      <c r="YE171" s="236"/>
      <c r="YF171" s="236"/>
      <c r="YG171" s="236"/>
      <c r="YH171" s="236"/>
      <c r="YI171" s="236"/>
      <c r="YJ171" s="236"/>
      <c r="YK171" s="236"/>
      <c r="YL171" s="236"/>
      <c r="YM171" s="236"/>
      <c r="YN171" s="236"/>
      <c r="YO171" s="236"/>
      <c r="YP171" s="236"/>
      <c r="YQ171" s="236"/>
      <c r="YR171" s="236"/>
      <c r="YS171" s="236"/>
      <c r="YT171" s="236"/>
      <c r="YU171" s="236"/>
      <c r="YV171" s="236"/>
      <c r="YW171" s="236"/>
      <c r="YX171" s="236"/>
      <c r="YY171" s="236"/>
      <c r="YZ171" s="236"/>
      <c r="ZA171" s="236"/>
      <c r="ZB171" s="236"/>
      <c r="ZC171" s="236"/>
      <c r="ZD171" s="236"/>
      <c r="ZE171" s="236"/>
      <c r="ZF171" s="236"/>
      <c r="ZG171" s="236"/>
      <c r="ZH171" s="236"/>
      <c r="ZI171" s="236"/>
      <c r="ZJ171" s="236"/>
      <c r="ZK171" s="236"/>
      <c r="ZL171" s="236"/>
      <c r="ZM171" s="236"/>
      <c r="ZN171" s="236"/>
      <c r="ZO171" s="236"/>
      <c r="ZP171" s="236"/>
      <c r="ZQ171" s="236"/>
      <c r="ZR171" s="236"/>
      <c r="ZS171" s="236"/>
      <c r="ZT171" s="236"/>
      <c r="ZU171" s="236"/>
      <c r="ZV171" s="236"/>
      <c r="ZW171" s="236"/>
      <c r="ZX171" s="236"/>
      <c r="ZY171" s="236"/>
      <c r="ZZ171" s="236"/>
      <c r="AAA171" s="236"/>
      <c r="AAB171" s="236"/>
      <c r="AAC171" s="236"/>
      <c r="AAD171" s="236"/>
      <c r="AAE171" s="236"/>
      <c r="AAF171" s="236"/>
      <c r="AAG171" s="236"/>
      <c r="AAH171" s="236"/>
      <c r="AAI171" s="236"/>
      <c r="AAJ171" s="236"/>
      <c r="AAK171" s="236"/>
      <c r="AAL171" s="236"/>
      <c r="AAM171" s="236"/>
      <c r="AAN171" s="236"/>
      <c r="AAO171" s="236"/>
      <c r="AAP171" s="236"/>
      <c r="AAQ171" s="236"/>
      <c r="AAR171" s="236"/>
      <c r="AAS171" s="236"/>
      <c r="AAT171" s="236"/>
      <c r="AAU171" s="236"/>
      <c r="AAV171" s="236"/>
      <c r="AAW171" s="236"/>
      <c r="AAX171" s="236"/>
      <c r="AAY171" s="236"/>
      <c r="AAZ171" s="236"/>
      <c r="ABA171" s="236"/>
      <c r="ABB171" s="236"/>
      <c r="ABC171" s="236"/>
      <c r="ABD171" s="236"/>
      <c r="ABE171" s="236"/>
      <c r="ABF171" s="236"/>
      <c r="ABG171" s="236"/>
      <c r="ABH171" s="236"/>
      <c r="ABI171" s="236"/>
      <c r="ABJ171" s="236"/>
      <c r="ABK171" s="236"/>
      <c r="ABL171" s="236"/>
      <c r="ABM171" s="236"/>
      <c r="ABN171" s="236"/>
      <c r="ABO171" s="236"/>
      <c r="ABP171" s="236"/>
      <c r="ABQ171" s="236"/>
      <c r="ABR171" s="236"/>
      <c r="ABS171" s="236"/>
      <c r="ABT171" s="236"/>
      <c r="ABU171" s="236"/>
      <c r="ABV171" s="236"/>
      <c r="ABW171" s="236"/>
      <c r="ABX171" s="236"/>
      <c r="ABY171" s="236"/>
      <c r="ABZ171" s="236"/>
      <c r="ACA171" s="236"/>
      <c r="ACB171" s="236"/>
      <c r="ACC171" s="236"/>
      <c r="ACD171" s="236"/>
      <c r="ACE171" s="236"/>
      <c r="ACF171" s="236"/>
      <c r="ACG171" s="236"/>
      <c r="ACH171" s="236"/>
      <c r="ACI171" s="236"/>
      <c r="ACJ171" s="236"/>
      <c r="ACK171" s="236"/>
      <c r="ACL171" s="236"/>
      <c r="ACM171" s="236"/>
      <c r="ACN171" s="236"/>
      <c r="ACO171" s="236"/>
      <c r="ACP171" s="236"/>
      <c r="ACQ171" s="236"/>
      <c r="ACR171" s="236"/>
      <c r="ACS171" s="236"/>
      <c r="ACT171" s="236"/>
      <c r="ACU171" s="236"/>
      <c r="ACV171" s="236"/>
      <c r="ACW171" s="236"/>
      <c r="ACX171" s="236"/>
      <c r="ACY171" s="236"/>
      <c r="ACZ171" s="236"/>
      <c r="ADA171" s="236"/>
      <c r="ADB171" s="236"/>
      <c r="ADC171" s="236"/>
      <c r="ADD171" s="236"/>
      <c r="ADE171" s="236"/>
      <c r="ADF171" s="236"/>
      <c r="ADG171" s="236"/>
      <c r="ADH171" s="236"/>
      <c r="ADI171" s="236"/>
      <c r="ADJ171" s="236"/>
      <c r="ADK171" s="236"/>
      <c r="ADL171" s="236"/>
      <c r="ADM171" s="236"/>
      <c r="ADN171" s="236"/>
      <c r="ADO171" s="236"/>
      <c r="ADP171" s="236"/>
      <c r="ADQ171" s="236"/>
      <c r="ADR171" s="236"/>
      <c r="ADS171" s="236"/>
      <c r="ADT171" s="236"/>
      <c r="ADU171" s="236"/>
      <c r="ADV171" s="236"/>
      <c r="ADW171" s="236"/>
      <c r="ADX171" s="236"/>
      <c r="ADY171" s="236"/>
      <c r="ADZ171" s="236"/>
      <c r="AEA171" s="236"/>
      <c r="AEB171" s="236"/>
      <c r="AEC171" s="236"/>
      <c r="AED171" s="236"/>
      <c r="AEE171" s="236"/>
      <c r="AEF171" s="236"/>
      <c r="AEG171" s="236"/>
      <c r="AEH171" s="236"/>
      <c r="AEI171" s="236"/>
      <c r="AEJ171" s="236"/>
      <c r="AEK171" s="236"/>
      <c r="AEL171" s="236"/>
      <c r="AEM171" s="236"/>
      <c r="AEN171" s="236"/>
      <c r="AEO171" s="236"/>
      <c r="AEP171" s="236"/>
      <c r="AEQ171" s="236"/>
      <c r="AER171" s="236"/>
      <c r="AES171" s="236"/>
      <c r="AET171" s="236"/>
      <c r="AEU171" s="236"/>
      <c r="AEV171" s="236"/>
      <c r="AEW171" s="236"/>
      <c r="AEX171" s="236"/>
      <c r="AEY171" s="236"/>
      <c r="AEZ171" s="236"/>
      <c r="AFA171" s="236"/>
      <c r="AFB171" s="236"/>
      <c r="AFC171" s="236"/>
      <c r="AFD171" s="236"/>
      <c r="AFE171" s="236"/>
      <c r="AFF171" s="236"/>
      <c r="AFG171" s="236"/>
      <c r="AFH171" s="236"/>
      <c r="AFI171" s="236"/>
      <c r="AFJ171" s="236"/>
      <c r="AFK171" s="236"/>
      <c r="AFL171" s="236"/>
      <c r="AFM171" s="236"/>
      <c r="AFN171" s="236"/>
      <c r="AFO171" s="236"/>
      <c r="AFP171" s="236"/>
      <c r="AFQ171" s="236"/>
      <c r="AFR171" s="236"/>
      <c r="AFS171" s="236"/>
      <c r="AFT171" s="236"/>
      <c r="AFU171" s="236"/>
      <c r="AFV171" s="236"/>
      <c r="AFW171" s="236"/>
      <c r="AFX171" s="236"/>
      <c r="AFY171" s="236"/>
      <c r="AFZ171" s="236"/>
      <c r="AGA171" s="236"/>
      <c r="AGB171" s="236"/>
      <c r="AGC171" s="236"/>
      <c r="AGD171" s="236"/>
      <c r="AGE171" s="236"/>
      <c r="AGF171" s="236"/>
      <c r="AGG171" s="236"/>
      <c r="AGH171" s="236"/>
      <c r="AGI171" s="236"/>
      <c r="AGJ171" s="236"/>
      <c r="AGK171" s="236"/>
      <c r="AGL171" s="236"/>
      <c r="AGM171" s="236"/>
      <c r="AGN171" s="236"/>
      <c r="AGO171" s="236"/>
      <c r="AGP171" s="236"/>
      <c r="AGQ171" s="236"/>
      <c r="AGR171" s="236"/>
      <c r="AGS171" s="236"/>
      <c r="AGT171" s="236"/>
      <c r="AGU171" s="236"/>
      <c r="AGV171" s="236"/>
      <c r="AGW171" s="236"/>
      <c r="AGX171" s="236"/>
      <c r="AGY171" s="236"/>
      <c r="AGZ171" s="236"/>
      <c r="AHA171" s="236"/>
      <c r="AHB171" s="236"/>
      <c r="AHC171" s="236"/>
      <c r="AHD171" s="236"/>
      <c r="AHE171" s="236"/>
      <c r="AHF171" s="236"/>
      <c r="AHG171" s="236"/>
      <c r="AHH171" s="236"/>
      <c r="AHI171" s="236"/>
      <c r="AHJ171" s="236"/>
      <c r="AHK171" s="236"/>
      <c r="AHL171" s="236"/>
      <c r="AHM171" s="236"/>
      <c r="AHN171" s="236"/>
      <c r="AHO171" s="236"/>
      <c r="AHP171" s="236"/>
      <c r="AHQ171" s="236"/>
      <c r="AHR171" s="236"/>
      <c r="AHS171" s="236"/>
      <c r="AHT171" s="236"/>
      <c r="AHU171" s="236"/>
      <c r="AHV171" s="236"/>
      <c r="AHW171" s="236"/>
      <c r="AHX171" s="236"/>
      <c r="AHY171" s="236"/>
      <c r="AHZ171" s="236"/>
      <c r="AIA171" s="236"/>
      <c r="AIB171" s="236"/>
      <c r="AIC171" s="236"/>
      <c r="AID171" s="236"/>
      <c r="AIE171" s="236"/>
      <c r="AIF171" s="236"/>
      <c r="AIG171" s="236"/>
      <c r="AIH171" s="236"/>
      <c r="AII171" s="236"/>
      <c r="AIJ171" s="236"/>
      <c r="AIK171" s="236"/>
      <c r="AIL171" s="236"/>
      <c r="AIM171" s="236"/>
      <c r="AIN171" s="236"/>
      <c r="AIO171" s="236"/>
      <c r="AIP171" s="236"/>
      <c r="AIQ171" s="236"/>
      <c r="AIR171" s="236"/>
      <c r="AIS171" s="236"/>
      <c r="AIT171" s="236"/>
      <c r="AIU171" s="236"/>
      <c r="AIV171" s="236"/>
      <c r="AIW171" s="236"/>
      <c r="AIX171" s="236"/>
      <c r="AIY171" s="236"/>
      <c r="AIZ171" s="236"/>
      <c r="AJA171" s="236"/>
      <c r="AJB171" s="236"/>
      <c r="AJC171" s="236"/>
      <c r="AJD171" s="236"/>
      <c r="AJE171" s="236"/>
      <c r="AJF171" s="236"/>
      <c r="AJG171" s="236"/>
      <c r="AJH171" s="236"/>
      <c r="AJI171" s="236"/>
      <c r="AJJ171" s="236"/>
      <c r="AJK171" s="236"/>
      <c r="AJL171" s="236"/>
      <c r="AJM171" s="236"/>
      <c r="AJN171" s="236"/>
      <c r="AJO171" s="236"/>
      <c r="AJP171" s="236"/>
      <c r="AJQ171" s="236"/>
      <c r="AJR171" s="236"/>
      <c r="AJS171" s="236"/>
      <c r="AJT171" s="236"/>
      <c r="AJU171" s="236"/>
      <c r="AJV171" s="236"/>
      <c r="AJW171" s="236"/>
      <c r="AJX171" s="236"/>
      <c r="AJY171" s="236"/>
      <c r="AJZ171" s="236"/>
      <c r="AKA171" s="236"/>
      <c r="AKB171" s="236"/>
      <c r="AKC171" s="236"/>
      <c r="AKD171" s="236"/>
      <c r="AKE171" s="236"/>
      <c r="AKF171" s="236"/>
      <c r="AKG171" s="236"/>
      <c r="AKH171" s="236"/>
      <c r="AKI171" s="236"/>
      <c r="AKJ171" s="236"/>
      <c r="AKK171" s="236"/>
      <c r="AKL171" s="236"/>
      <c r="AKM171" s="236"/>
      <c r="AKN171" s="236"/>
      <c r="AKO171" s="236"/>
      <c r="AKP171" s="236"/>
      <c r="AKQ171" s="236"/>
      <c r="AKR171" s="236"/>
      <c r="AKS171" s="236"/>
      <c r="AKT171" s="236"/>
      <c r="AKU171" s="236"/>
      <c r="AKV171" s="236"/>
      <c r="AKW171" s="236"/>
      <c r="AKX171" s="236"/>
      <c r="AKY171" s="236"/>
      <c r="AKZ171" s="236"/>
      <c r="ALA171" s="236"/>
      <c r="ALB171" s="236"/>
      <c r="ALC171" s="236"/>
      <c r="ALD171" s="236"/>
      <c r="ALE171" s="236"/>
      <c r="ALF171" s="236"/>
      <c r="ALG171" s="236"/>
      <c r="ALH171" s="236"/>
      <c r="ALI171" s="236"/>
      <c r="ALJ171" s="236"/>
      <c r="ALK171" s="236"/>
      <c r="ALL171" s="236"/>
      <c r="ALM171" s="236"/>
      <c r="ALN171" s="236"/>
      <c r="ALO171" s="236"/>
      <c r="ALP171" s="236"/>
      <c r="ALQ171" s="236"/>
      <c r="ALR171" s="236"/>
      <c r="ALS171" s="236"/>
      <c r="ALT171" s="236"/>
      <c r="ALU171" s="236"/>
      <c r="ALV171" s="236"/>
      <c r="ALW171" s="236"/>
      <c r="ALX171" s="236"/>
      <c r="ALY171" s="236"/>
      <c r="ALZ171" s="236"/>
      <c r="AMA171" s="236"/>
      <c r="AMB171" s="236"/>
      <c r="AMC171" s="236"/>
      <c r="AMD171" s="236"/>
      <c r="AME171" s="236"/>
      <c r="AMF171" s="236"/>
      <c r="AMG171" s="236"/>
      <c r="AMH171" s="236"/>
      <c r="AMI171" s="236"/>
      <c r="AMJ171" s="236"/>
      <c r="AMK171" s="236"/>
      <c r="AML171" s="236"/>
      <c r="AMM171" s="236"/>
    </row>
    <row r="172" spans="1:1027" s="243" customFormat="1" ht="30" customHeight="1">
      <c r="A172" s="1832"/>
      <c r="B172" s="1833"/>
      <c r="C172" s="1833"/>
      <c r="D172" s="1833"/>
      <c r="E172" s="1833"/>
      <c r="F172" s="1833"/>
      <c r="G172" s="1833"/>
      <c r="H172" s="1833"/>
      <c r="I172" s="1833"/>
      <c r="J172" s="1833"/>
      <c r="K172" s="1833"/>
      <c r="L172" s="1834"/>
      <c r="M172" s="285"/>
      <c r="N172" s="1409" t="s">
        <v>189</v>
      </c>
      <c r="O172" s="1410"/>
      <c r="P172" s="1410"/>
      <c r="Q172" s="1410"/>
      <c r="R172" s="1411"/>
      <c r="S172" s="341"/>
      <c r="T172" s="341"/>
      <c r="U172" s="341"/>
      <c r="V172" s="1409" t="s">
        <v>1287</v>
      </c>
      <c r="W172" s="1410"/>
      <c r="X172" s="1410"/>
      <c r="Y172" s="1410"/>
      <c r="Z172" s="1411"/>
      <c r="AA172" s="1077"/>
      <c r="AB172" s="1342" t="s">
        <v>1288</v>
      </c>
      <c r="AC172" s="1344"/>
      <c r="AD172" s="1396"/>
      <c r="AE172" s="1397"/>
      <c r="AF172" s="1397"/>
      <c r="AG172" s="1397"/>
      <c r="AH172" s="1397"/>
      <c r="AI172" s="1397"/>
      <c r="AJ172" s="1397"/>
      <c r="AK172" s="1397"/>
      <c r="AL172" s="1397"/>
      <c r="AM172" s="1398"/>
      <c r="AN172" s="245"/>
      <c r="AO172" s="245"/>
      <c r="AP172" s="245"/>
      <c r="AQ172" s="245"/>
      <c r="AR172" s="245"/>
      <c r="AS172" s="245"/>
      <c r="AT172" s="245"/>
      <c r="AU172" s="245"/>
      <c r="AV172" s="245"/>
      <c r="AW172" s="245"/>
      <c r="AX172" s="245"/>
    </row>
    <row r="173" spans="1:1027" s="243" customFormat="1" ht="30" customHeight="1">
      <c r="A173" s="1832"/>
      <c r="B173" s="1833"/>
      <c r="C173" s="1833"/>
      <c r="D173" s="1833"/>
      <c r="E173" s="1833"/>
      <c r="F173" s="1833"/>
      <c r="G173" s="1833"/>
      <c r="H173" s="1833"/>
      <c r="I173" s="1833"/>
      <c r="J173" s="1833"/>
      <c r="K173" s="1833"/>
      <c r="L173" s="1834"/>
      <c r="M173" s="285"/>
      <c r="N173" s="1409" t="s">
        <v>12</v>
      </c>
      <c r="O173" s="1410"/>
      <c r="P173" s="1410"/>
      <c r="Q173" s="1410"/>
      <c r="R173" s="1411"/>
      <c r="S173" s="341"/>
      <c r="T173" s="341"/>
      <c r="U173" s="341"/>
      <c r="V173" s="1409" t="s">
        <v>943</v>
      </c>
      <c r="W173" s="1410"/>
      <c r="X173" s="1410"/>
      <c r="Y173" s="1410"/>
      <c r="Z173" s="1411"/>
      <c r="AA173" s="1077"/>
      <c r="AB173" s="1342" t="s">
        <v>400</v>
      </c>
      <c r="AC173" s="1344"/>
      <c r="AD173" s="1396"/>
      <c r="AE173" s="1397"/>
      <c r="AF173" s="1397"/>
      <c r="AG173" s="1397"/>
      <c r="AH173" s="1397"/>
      <c r="AI173" s="1397"/>
      <c r="AJ173" s="1397"/>
      <c r="AK173" s="1397"/>
      <c r="AL173" s="1397"/>
      <c r="AM173" s="1398"/>
      <c r="AN173" s="245"/>
      <c r="AO173" s="245"/>
      <c r="AP173" s="245"/>
      <c r="AQ173" s="245"/>
      <c r="AR173" s="245"/>
      <c r="AS173" s="245"/>
      <c r="AT173" s="245"/>
      <c r="AU173" s="245"/>
      <c r="AV173" s="245"/>
      <c r="AW173" s="245"/>
      <c r="AX173" s="245"/>
    </row>
    <row r="174" spans="1:1027" s="243" customFormat="1" ht="30" customHeight="1">
      <c r="A174" s="1832"/>
      <c r="B174" s="1833"/>
      <c r="C174" s="1833"/>
      <c r="D174" s="1833"/>
      <c r="E174" s="1833"/>
      <c r="F174" s="1833"/>
      <c r="G174" s="1833"/>
      <c r="H174" s="1833"/>
      <c r="I174" s="1833"/>
      <c r="J174" s="1833"/>
      <c r="K174" s="1833"/>
      <c r="L174" s="1834"/>
      <c r="M174" s="285"/>
      <c r="N174" s="1409" t="s">
        <v>34</v>
      </c>
      <c r="O174" s="1410"/>
      <c r="P174" s="1410"/>
      <c r="Q174" s="1410"/>
      <c r="R174" s="1411"/>
      <c r="S174" s="341"/>
      <c r="T174" s="341"/>
      <c r="U174" s="341"/>
      <c r="V174" s="1409" t="s">
        <v>1289</v>
      </c>
      <c r="W174" s="1410"/>
      <c r="X174" s="1410"/>
      <c r="Y174" s="1410"/>
      <c r="Z174" s="1411"/>
      <c r="AA174" s="1077"/>
      <c r="AB174" s="1342" t="s">
        <v>1290</v>
      </c>
      <c r="AC174" s="1344"/>
      <c r="AD174" s="1396"/>
      <c r="AE174" s="1397"/>
      <c r="AF174" s="1397"/>
      <c r="AG174" s="1397"/>
      <c r="AH174" s="1397"/>
      <c r="AI174" s="1397"/>
      <c r="AJ174" s="1397"/>
      <c r="AK174" s="1397"/>
      <c r="AL174" s="1397"/>
      <c r="AM174" s="1398"/>
      <c r="AN174" s="245"/>
      <c r="AO174" s="245"/>
      <c r="AP174" s="245"/>
      <c r="AQ174" s="245"/>
      <c r="AR174" s="245"/>
      <c r="AS174" s="245"/>
      <c r="AT174" s="245"/>
      <c r="AU174" s="245"/>
      <c r="AV174" s="245"/>
      <c r="AW174" s="245"/>
      <c r="AX174" s="245"/>
    </row>
    <row r="175" spans="1:1027" s="243" customFormat="1" ht="30" customHeight="1">
      <c r="A175" s="1835"/>
      <c r="B175" s="1836"/>
      <c r="C175" s="1836"/>
      <c r="D175" s="1836"/>
      <c r="E175" s="1836"/>
      <c r="F175" s="1836"/>
      <c r="G175" s="1836"/>
      <c r="H175" s="1836"/>
      <c r="I175" s="1836"/>
      <c r="J175" s="1836"/>
      <c r="K175" s="1836"/>
      <c r="L175" s="1837"/>
      <c r="M175" s="285"/>
      <c r="N175" s="1396"/>
      <c r="O175" s="1397"/>
      <c r="P175" s="1397"/>
      <c r="Q175" s="1397"/>
      <c r="R175" s="1398"/>
      <c r="S175" s="286"/>
      <c r="T175" s="286"/>
      <c r="U175" s="286"/>
      <c r="V175" s="1396"/>
      <c r="W175" s="1397"/>
      <c r="X175" s="1397"/>
      <c r="Y175" s="1397"/>
      <c r="Z175" s="1398"/>
      <c r="AA175" s="1062"/>
      <c r="AB175" s="1396"/>
      <c r="AC175" s="1398"/>
      <c r="AD175" s="1396"/>
      <c r="AE175" s="1397"/>
      <c r="AF175" s="1397"/>
      <c r="AG175" s="1397"/>
      <c r="AH175" s="1397"/>
      <c r="AI175" s="1397"/>
      <c r="AJ175" s="1397"/>
      <c r="AK175" s="1397"/>
      <c r="AL175" s="1397"/>
      <c r="AM175" s="1398"/>
      <c r="AN175" s="245"/>
      <c r="AO175" s="245"/>
      <c r="AP175" s="245"/>
      <c r="AQ175" s="245"/>
      <c r="AR175" s="245"/>
      <c r="AS175" s="245"/>
      <c r="AT175" s="245"/>
      <c r="AU175" s="245"/>
      <c r="AV175" s="245"/>
      <c r="AW175" s="245"/>
      <c r="AX175" s="245"/>
    </row>
    <row r="176" spans="1:1027" s="243" customFormat="1" ht="30" customHeight="1">
      <c r="A176" s="300"/>
      <c r="B176" s="300"/>
      <c r="C176" s="300"/>
      <c r="D176" s="300"/>
      <c r="E176" s="300"/>
      <c r="F176" s="300"/>
      <c r="G176" s="300"/>
      <c r="H176" s="300"/>
      <c r="I176" s="300"/>
      <c r="J176" s="300"/>
      <c r="K176" s="300"/>
      <c r="L176" s="300"/>
      <c r="M176" s="285"/>
      <c r="N176" s="1403"/>
      <c r="O176" s="1403"/>
      <c r="P176" s="1403"/>
      <c r="Q176" s="1403"/>
      <c r="R176" s="1403"/>
      <c r="S176" s="288"/>
      <c r="T176" s="288"/>
      <c r="U176" s="288"/>
      <c r="V176" s="1403"/>
      <c r="W176" s="1403"/>
      <c r="X176" s="1403"/>
      <c r="Y176" s="1403"/>
      <c r="Z176" s="1403"/>
      <c r="AA176" s="1064"/>
      <c r="AB176" s="611"/>
      <c r="AC176" s="611"/>
      <c r="AD176" s="288"/>
      <c r="AE176" s="288"/>
      <c r="AF176" s="288"/>
      <c r="AG176" s="288"/>
      <c r="AH176" s="288"/>
      <c r="AI176" s="288"/>
      <c r="AJ176" s="288"/>
      <c r="AK176" s="288"/>
      <c r="AL176" s="288"/>
      <c r="AM176" s="288"/>
      <c r="AN176" s="245"/>
      <c r="AO176" s="245"/>
      <c r="AP176" s="245"/>
      <c r="AQ176" s="245"/>
      <c r="AR176" s="245"/>
      <c r="AS176" s="245"/>
      <c r="AT176" s="245"/>
      <c r="AU176" s="245"/>
      <c r="AV176" s="245"/>
      <c r="AW176" s="245"/>
      <c r="AX176" s="245"/>
    </row>
    <row r="177" spans="1:50">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1076"/>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row>
    <row r="178" spans="1:50">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1076"/>
      <c r="AB178" s="233"/>
      <c r="AC178" s="233"/>
      <c r="AD178" s="233"/>
      <c r="AE178" s="233"/>
      <c r="AF178" s="233"/>
      <c r="AG178" s="233"/>
      <c r="AH178" s="233"/>
      <c r="AI178" s="233"/>
      <c r="AJ178" s="233"/>
      <c r="AK178" s="233"/>
      <c r="AL178" s="233"/>
      <c r="AM178" s="233"/>
    </row>
  </sheetData>
  <sheetProtection formatCells="0" formatColumns="0" formatRows="0" insertRows="0" deleteColumns="0" sort="0" autoFilter="0"/>
  <mergeCells count="740">
    <mergeCell ref="AW1:AX4"/>
    <mergeCell ref="G2:V2"/>
    <mergeCell ref="AP2:AQ2"/>
    <mergeCell ref="AR2:AS2"/>
    <mergeCell ref="A3:A4"/>
    <mergeCell ref="G3:H3"/>
    <mergeCell ref="I3:N3"/>
    <mergeCell ref="O3:V3"/>
    <mergeCell ref="Z3:AB4"/>
    <mergeCell ref="AC3:AC4"/>
    <mergeCell ref="G1:V1"/>
    <mergeCell ref="X1:Y4"/>
    <mergeCell ref="Z1:AB2"/>
    <mergeCell ref="AC1:AC2"/>
    <mergeCell ref="AD1:AN2"/>
    <mergeCell ref="AP1:AS1"/>
    <mergeCell ref="AD3:AN4"/>
    <mergeCell ref="AP3:AQ3"/>
    <mergeCell ref="AR3:AS3"/>
    <mergeCell ref="G4:H4"/>
    <mergeCell ref="I4:N4"/>
    <mergeCell ref="O4:V4"/>
    <mergeCell ref="AP4:AQ4"/>
    <mergeCell ref="AR4:AS4"/>
    <mergeCell ref="AT6:AX6"/>
    <mergeCell ref="A7:A8"/>
    <mergeCell ref="B7:B8"/>
    <mergeCell ref="C7:E8"/>
    <mergeCell ref="F7:F8"/>
    <mergeCell ref="G7:I8"/>
    <mergeCell ref="J7:L8"/>
    <mergeCell ref="M7:P7"/>
    <mergeCell ref="Q7:V7"/>
    <mergeCell ref="X7:Z8"/>
    <mergeCell ref="AU7:AU8"/>
    <mergeCell ref="AV7:AV8"/>
    <mergeCell ref="AW7:AW8"/>
    <mergeCell ref="AX7:AX8"/>
    <mergeCell ref="AR7:AR8"/>
    <mergeCell ref="AS7:AS8"/>
    <mergeCell ref="AT7:AT8"/>
    <mergeCell ref="A6:P6"/>
    <mergeCell ref="Q6:V6"/>
    <mergeCell ref="X6:AM6"/>
    <mergeCell ref="AA7:AA8"/>
    <mergeCell ref="A9:A10"/>
    <mergeCell ref="B9:B10"/>
    <mergeCell ref="C9:E10"/>
    <mergeCell ref="F9:F10"/>
    <mergeCell ref="G9:I10"/>
    <mergeCell ref="J9:L10"/>
    <mergeCell ref="AO7:AO8"/>
    <mergeCell ref="AP7:AP8"/>
    <mergeCell ref="AQ7:AQ8"/>
    <mergeCell ref="AB7:AB8"/>
    <mergeCell ref="AC7:AC8"/>
    <mergeCell ref="AD7:AD8"/>
    <mergeCell ref="AE7:AE8"/>
    <mergeCell ref="AI7:AM7"/>
    <mergeCell ref="AN7:AN8"/>
    <mergeCell ref="AO9:AO10"/>
    <mergeCell ref="AP9:AP10"/>
    <mergeCell ref="AQ9:AQ10"/>
    <mergeCell ref="AA9:AA10"/>
    <mergeCell ref="AR9:AR10"/>
    <mergeCell ref="C11:E11"/>
    <mergeCell ref="G11:I11"/>
    <mergeCell ref="J11:L11"/>
    <mergeCell ref="X11:Z11"/>
    <mergeCell ref="AC9:AC10"/>
    <mergeCell ref="AD9:AD10"/>
    <mergeCell ref="AE9:AE10"/>
    <mergeCell ref="AI9:AI10"/>
    <mergeCell ref="AK9:AK10"/>
    <mergeCell ref="AM9:AM10"/>
    <mergeCell ref="S9:S10"/>
    <mergeCell ref="T9:T10"/>
    <mergeCell ref="U9:U10"/>
    <mergeCell ref="V9:V10"/>
    <mergeCell ref="X9:Z10"/>
    <mergeCell ref="AB9:AB10"/>
    <mergeCell ref="M9:M10"/>
    <mergeCell ref="N9:N10"/>
    <mergeCell ref="O9:O10"/>
    <mergeCell ref="P9:P10"/>
    <mergeCell ref="C12:E12"/>
    <mergeCell ref="G12:I12"/>
    <mergeCell ref="J12:L12"/>
    <mergeCell ref="X12:Z12"/>
    <mergeCell ref="C13:E13"/>
    <mergeCell ref="G13:I13"/>
    <mergeCell ref="J13:L13"/>
    <mergeCell ref="X13:Z13"/>
    <mergeCell ref="AN9:AN10"/>
    <mergeCell ref="Q9:Q10"/>
    <mergeCell ref="R9:R10"/>
    <mergeCell ref="C16:E16"/>
    <mergeCell ref="G16:I16"/>
    <mergeCell ref="J16:L16"/>
    <mergeCell ref="X16:Z16"/>
    <mergeCell ref="C17:E17"/>
    <mergeCell ref="G17:I17"/>
    <mergeCell ref="J17:L17"/>
    <mergeCell ref="X17:Z17"/>
    <mergeCell ref="C14:E14"/>
    <mergeCell ref="G14:I14"/>
    <mergeCell ref="J14:L14"/>
    <mergeCell ref="X14:Z14"/>
    <mergeCell ref="C15:E15"/>
    <mergeCell ref="G15:I15"/>
    <mergeCell ref="J15:L15"/>
    <mergeCell ref="X15:Z15"/>
    <mergeCell ref="C20:E20"/>
    <mergeCell ref="G20:I20"/>
    <mergeCell ref="J20:L20"/>
    <mergeCell ref="X20:Z20"/>
    <mergeCell ref="C21:E21"/>
    <mergeCell ref="G21:I21"/>
    <mergeCell ref="J21:L21"/>
    <mergeCell ref="X21:Z21"/>
    <mergeCell ref="C18:E18"/>
    <mergeCell ref="G18:I18"/>
    <mergeCell ref="J18:L18"/>
    <mergeCell ref="X18:Z18"/>
    <mergeCell ref="C19:E19"/>
    <mergeCell ref="G19:I19"/>
    <mergeCell ref="J19:L19"/>
    <mergeCell ref="X19:Z19"/>
    <mergeCell ref="C24:E24"/>
    <mergeCell ref="G24:I24"/>
    <mergeCell ref="J24:L24"/>
    <mergeCell ref="X24:Z24"/>
    <mergeCell ref="C25:E25"/>
    <mergeCell ref="G25:I25"/>
    <mergeCell ref="J25:L25"/>
    <mergeCell ref="X25:Z25"/>
    <mergeCell ref="C22:E22"/>
    <mergeCell ref="G22:I22"/>
    <mergeCell ref="J22:L22"/>
    <mergeCell ref="X22:Z22"/>
    <mergeCell ref="C23:E23"/>
    <mergeCell ref="G23:I23"/>
    <mergeCell ref="J23:L23"/>
    <mergeCell ref="X23:Z23"/>
    <mergeCell ref="C28:E28"/>
    <mergeCell ref="G28:I28"/>
    <mergeCell ref="J28:L28"/>
    <mergeCell ref="X28:Z28"/>
    <mergeCell ref="C29:E29"/>
    <mergeCell ref="G29:I29"/>
    <mergeCell ref="J29:L29"/>
    <mergeCell ref="X29:Z29"/>
    <mergeCell ref="C26:E26"/>
    <mergeCell ref="G26:I26"/>
    <mergeCell ref="J26:L26"/>
    <mergeCell ref="X26:Z26"/>
    <mergeCell ref="C27:E27"/>
    <mergeCell ref="G27:I27"/>
    <mergeCell ref="J27:L27"/>
    <mergeCell ref="X27:Z27"/>
    <mergeCell ref="C32:E32"/>
    <mergeCell ref="G32:I32"/>
    <mergeCell ref="J32:L32"/>
    <mergeCell ref="X32:Z32"/>
    <mergeCell ref="C33:E33"/>
    <mergeCell ref="G33:I33"/>
    <mergeCell ref="J33:L33"/>
    <mergeCell ref="X33:Z33"/>
    <mergeCell ref="C30:E30"/>
    <mergeCell ref="G30:I30"/>
    <mergeCell ref="J30:L30"/>
    <mergeCell ref="X30:Z30"/>
    <mergeCell ref="C31:E31"/>
    <mergeCell ref="G31:I31"/>
    <mergeCell ref="J31:L31"/>
    <mergeCell ref="X31:Z31"/>
    <mergeCell ref="C36:E36"/>
    <mergeCell ref="G36:I36"/>
    <mergeCell ref="J36:L36"/>
    <mergeCell ref="X36:Z36"/>
    <mergeCell ref="C37:E37"/>
    <mergeCell ref="G37:I37"/>
    <mergeCell ref="J37:L37"/>
    <mergeCell ref="X37:Z37"/>
    <mergeCell ref="C34:E34"/>
    <mergeCell ref="G34:I34"/>
    <mergeCell ref="J34:L34"/>
    <mergeCell ref="X34:Z34"/>
    <mergeCell ref="C35:E35"/>
    <mergeCell ref="G35:I35"/>
    <mergeCell ref="J35:L35"/>
    <mergeCell ref="X35:Z35"/>
    <mergeCell ref="C40:E40"/>
    <mergeCell ref="G40:I40"/>
    <mergeCell ref="J40:L40"/>
    <mergeCell ref="X40:Z40"/>
    <mergeCell ref="C41:E41"/>
    <mergeCell ref="G41:I41"/>
    <mergeCell ref="J41:L41"/>
    <mergeCell ref="X41:Z41"/>
    <mergeCell ref="C38:E38"/>
    <mergeCell ref="G38:I38"/>
    <mergeCell ref="J38:L38"/>
    <mergeCell ref="X38:Z38"/>
    <mergeCell ref="C39:E39"/>
    <mergeCell ref="G39:I39"/>
    <mergeCell ref="J39:L39"/>
    <mergeCell ref="X39:Z39"/>
    <mergeCell ref="C44:E44"/>
    <mergeCell ref="G44:I44"/>
    <mergeCell ref="J44:L44"/>
    <mergeCell ref="X44:Z44"/>
    <mergeCell ref="C45:E45"/>
    <mergeCell ref="G45:I45"/>
    <mergeCell ref="J45:L45"/>
    <mergeCell ref="X45:Z45"/>
    <mergeCell ref="C42:E42"/>
    <mergeCell ref="G42:I42"/>
    <mergeCell ref="J42:L42"/>
    <mergeCell ref="X42:Z42"/>
    <mergeCell ref="C43:E43"/>
    <mergeCell ref="G43:I43"/>
    <mergeCell ref="J43:L43"/>
    <mergeCell ref="X43:Z43"/>
    <mergeCell ref="C48:E48"/>
    <mergeCell ref="G48:I48"/>
    <mergeCell ref="J48:L48"/>
    <mergeCell ref="X48:Z48"/>
    <mergeCell ref="C49:E49"/>
    <mergeCell ref="G49:I49"/>
    <mergeCell ref="J49:L49"/>
    <mergeCell ref="X49:Z49"/>
    <mergeCell ref="C46:E46"/>
    <mergeCell ref="G46:I46"/>
    <mergeCell ref="J46:L46"/>
    <mergeCell ref="X46:Z46"/>
    <mergeCell ref="C47:E47"/>
    <mergeCell ref="G47:I47"/>
    <mergeCell ref="J47:L47"/>
    <mergeCell ref="X47:Z47"/>
    <mergeCell ref="C52:E52"/>
    <mergeCell ref="G52:I52"/>
    <mergeCell ref="J52:L52"/>
    <mergeCell ref="X52:Z52"/>
    <mergeCell ref="C53:E53"/>
    <mergeCell ref="G53:I53"/>
    <mergeCell ref="J53:L53"/>
    <mergeCell ref="X53:Z53"/>
    <mergeCell ref="C50:E50"/>
    <mergeCell ref="G50:I50"/>
    <mergeCell ref="J50:L50"/>
    <mergeCell ref="X50:Z50"/>
    <mergeCell ref="C51:E51"/>
    <mergeCell ref="G51:I51"/>
    <mergeCell ref="J51:L51"/>
    <mergeCell ref="X51:Z51"/>
    <mergeCell ref="C56:E56"/>
    <mergeCell ref="G56:I56"/>
    <mergeCell ref="J56:L56"/>
    <mergeCell ref="X56:Z56"/>
    <mergeCell ref="C57:E57"/>
    <mergeCell ref="G57:I57"/>
    <mergeCell ref="J57:L57"/>
    <mergeCell ref="X57:Z57"/>
    <mergeCell ref="C54:E54"/>
    <mergeCell ref="G54:I54"/>
    <mergeCell ref="J54:L54"/>
    <mergeCell ref="X54:Z54"/>
    <mergeCell ref="C55:E55"/>
    <mergeCell ref="G55:I55"/>
    <mergeCell ref="J55:L55"/>
    <mergeCell ref="X55:Z55"/>
    <mergeCell ref="C60:E60"/>
    <mergeCell ref="G60:I60"/>
    <mergeCell ref="J60:L60"/>
    <mergeCell ref="X60:Z60"/>
    <mergeCell ref="C61:E61"/>
    <mergeCell ref="G61:I61"/>
    <mergeCell ref="J61:L61"/>
    <mergeCell ref="X61:Z61"/>
    <mergeCell ref="C58:E58"/>
    <mergeCell ref="G58:I58"/>
    <mergeCell ref="J58:L58"/>
    <mergeCell ref="X58:Z58"/>
    <mergeCell ref="C59:E59"/>
    <mergeCell ref="G59:I59"/>
    <mergeCell ref="J59:L59"/>
    <mergeCell ref="X59:Z59"/>
    <mergeCell ref="C64:E64"/>
    <mergeCell ref="G64:I64"/>
    <mergeCell ref="J64:L64"/>
    <mergeCell ref="X64:Z64"/>
    <mergeCell ref="C65:E65"/>
    <mergeCell ref="G65:I65"/>
    <mergeCell ref="J65:L65"/>
    <mergeCell ref="X65:Z65"/>
    <mergeCell ref="C62:E62"/>
    <mergeCell ref="G62:I62"/>
    <mergeCell ref="J62:L62"/>
    <mergeCell ref="X62:Z62"/>
    <mergeCell ref="C63:E63"/>
    <mergeCell ref="G63:I63"/>
    <mergeCell ref="J63:L63"/>
    <mergeCell ref="X63:Z63"/>
    <mergeCell ref="C68:E68"/>
    <mergeCell ref="G68:I68"/>
    <mergeCell ref="J68:L68"/>
    <mergeCell ref="X68:Z68"/>
    <mergeCell ref="C69:E69"/>
    <mergeCell ref="G69:I69"/>
    <mergeCell ref="J69:L69"/>
    <mergeCell ref="X69:Z69"/>
    <mergeCell ref="C66:E66"/>
    <mergeCell ref="G66:I66"/>
    <mergeCell ref="J66:L66"/>
    <mergeCell ref="X66:Z66"/>
    <mergeCell ref="C67:E67"/>
    <mergeCell ref="G67:I67"/>
    <mergeCell ref="J67:L67"/>
    <mergeCell ref="X67:Z67"/>
    <mergeCell ref="C72:E72"/>
    <mergeCell ref="G72:I72"/>
    <mergeCell ref="J72:L72"/>
    <mergeCell ref="X72:Z72"/>
    <mergeCell ref="C73:E73"/>
    <mergeCell ref="G73:I73"/>
    <mergeCell ref="J73:L73"/>
    <mergeCell ref="X73:Z73"/>
    <mergeCell ref="C70:E70"/>
    <mergeCell ref="G70:I70"/>
    <mergeCell ref="J70:L70"/>
    <mergeCell ref="X70:Z70"/>
    <mergeCell ref="C71:E71"/>
    <mergeCell ref="G71:I71"/>
    <mergeCell ref="J71:L71"/>
    <mergeCell ref="X71:Z71"/>
    <mergeCell ref="C76:E76"/>
    <mergeCell ref="G76:I76"/>
    <mergeCell ref="J76:L76"/>
    <mergeCell ref="X76:Z76"/>
    <mergeCell ref="C77:E77"/>
    <mergeCell ref="G77:I77"/>
    <mergeCell ref="J77:L77"/>
    <mergeCell ref="X77:Z77"/>
    <mergeCell ref="C74:E74"/>
    <mergeCell ref="G74:I74"/>
    <mergeCell ref="J74:L74"/>
    <mergeCell ref="X74:Z74"/>
    <mergeCell ref="C75:E75"/>
    <mergeCell ref="G75:I75"/>
    <mergeCell ref="J75:L75"/>
    <mergeCell ref="X75:Z75"/>
    <mergeCell ref="C80:E80"/>
    <mergeCell ref="G80:I80"/>
    <mergeCell ref="J80:L80"/>
    <mergeCell ref="X80:Z80"/>
    <mergeCell ref="C81:E81"/>
    <mergeCell ref="G81:I81"/>
    <mergeCell ref="J81:L81"/>
    <mergeCell ref="X81:Z81"/>
    <mergeCell ref="C78:E78"/>
    <mergeCell ref="G78:I78"/>
    <mergeCell ref="J78:L78"/>
    <mergeCell ref="X78:Z78"/>
    <mergeCell ref="C79:E79"/>
    <mergeCell ref="G79:I79"/>
    <mergeCell ref="J79:L79"/>
    <mergeCell ref="X79:Z79"/>
    <mergeCell ref="C84:E84"/>
    <mergeCell ref="G84:I84"/>
    <mergeCell ref="J84:L84"/>
    <mergeCell ref="X84:Z84"/>
    <mergeCell ref="C85:E85"/>
    <mergeCell ref="G85:I85"/>
    <mergeCell ref="J85:L85"/>
    <mergeCell ref="X85:Z85"/>
    <mergeCell ref="C82:E82"/>
    <mergeCell ref="G82:I82"/>
    <mergeCell ref="J82:L82"/>
    <mergeCell ref="X82:Z82"/>
    <mergeCell ref="C83:E83"/>
    <mergeCell ref="G83:I83"/>
    <mergeCell ref="J83:L83"/>
    <mergeCell ref="X83:Z83"/>
    <mergeCell ref="C88:E88"/>
    <mergeCell ref="G88:I88"/>
    <mergeCell ref="J88:L88"/>
    <mergeCell ref="X88:Z88"/>
    <mergeCell ref="C89:E89"/>
    <mergeCell ref="G89:I89"/>
    <mergeCell ref="J89:L89"/>
    <mergeCell ref="X89:Z89"/>
    <mergeCell ref="C86:E86"/>
    <mergeCell ref="G86:I86"/>
    <mergeCell ref="J86:L86"/>
    <mergeCell ref="X86:Z86"/>
    <mergeCell ref="C87:E87"/>
    <mergeCell ref="G87:I87"/>
    <mergeCell ref="J87:L87"/>
    <mergeCell ref="X87:Z87"/>
    <mergeCell ref="C92:E92"/>
    <mergeCell ref="G92:I92"/>
    <mergeCell ref="J92:L92"/>
    <mergeCell ref="X92:Z92"/>
    <mergeCell ref="C93:E93"/>
    <mergeCell ref="G93:I93"/>
    <mergeCell ref="J93:L93"/>
    <mergeCell ref="X93:Z93"/>
    <mergeCell ref="C90:E90"/>
    <mergeCell ref="G90:I90"/>
    <mergeCell ref="J90:L90"/>
    <mergeCell ref="X90:Z90"/>
    <mergeCell ref="C91:E91"/>
    <mergeCell ref="G91:I91"/>
    <mergeCell ref="J91:L91"/>
    <mergeCell ref="X91:Z91"/>
    <mergeCell ref="C96:E96"/>
    <mergeCell ref="G96:I96"/>
    <mergeCell ref="J96:L96"/>
    <mergeCell ref="X96:Z96"/>
    <mergeCell ref="C97:E97"/>
    <mergeCell ref="G97:I97"/>
    <mergeCell ref="J97:L97"/>
    <mergeCell ref="X97:Z97"/>
    <mergeCell ref="C94:E94"/>
    <mergeCell ref="G94:I94"/>
    <mergeCell ref="J94:L94"/>
    <mergeCell ref="X94:Z94"/>
    <mergeCell ref="C95:E95"/>
    <mergeCell ref="G95:I95"/>
    <mergeCell ref="J95:L95"/>
    <mergeCell ref="X95:Z95"/>
    <mergeCell ref="C100:E100"/>
    <mergeCell ref="G100:I100"/>
    <mergeCell ref="J100:L100"/>
    <mergeCell ref="X100:Z100"/>
    <mergeCell ref="C101:E101"/>
    <mergeCell ref="G101:I101"/>
    <mergeCell ref="J101:L101"/>
    <mergeCell ref="X101:Z101"/>
    <mergeCell ref="C98:E98"/>
    <mergeCell ref="G98:I98"/>
    <mergeCell ref="J98:L98"/>
    <mergeCell ref="X98:Z98"/>
    <mergeCell ref="C99:E99"/>
    <mergeCell ref="G99:I99"/>
    <mergeCell ref="J99:L99"/>
    <mergeCell ref="X99:Z99"/>
    <mergeCell ref="C104:E104"/>
    <mergeCell ref="G104:I104"/>
    <mergeCell ref="J104:L104"/>
    <mergeCell ref="X104:Z104"/>
    <mergeCell ref="C105:E105"/>
    <mergeCell ref="G105:I105"/>
    <mergeCell ref="J105:L105"/>
    <mergeCell ref="X105:Z105"/>
    <mergeCell ref="C102:E102"/>
    <mergeCell ref="G102:I102"/>
    <mergeCell ref="J102:L102"/>
    <mergeCell ref="X102:Z102"/>
    <mergeCell ref="C103:E103"/>
    <mergeCell ref="G103:I103"/>
    <mergeCell ref="J103:L103"/>
    <mergeCell ref="X103:Z103"/>
    <mergeCell ref="C108:E108"/>
    <mergeCell ref="G108:I108"/>
    <mergeCell ref="J108:L108"/>
    <mergeCell ref="X108:Z108"/>
    <mergeCell ref="C109:E109"/>
    <mergeCell ref="G109:I109"/>
    <mergeCell ref="J109:L109"/>
    <mergeCell ref="X109:Z109"/>
    <mergeCell ref="C106:E106"/>
    <mergeCell ref="G106:I106"/>
    <mergeCell ref="J106:L106"/>
    <mergeCell ref="X106:Z106"/>
    <mergeCell ref="C107:E107"/>
    <mergeCell ref="G107:I107"/>
    <mergeCell ref="J107:L107"/>
    <mergeCell ref="X107:Z107"/>
    <mergeCell ref="C112:E112"/>
    <mergeCell ref="G112:I112"/>
    <mergeCell ref="J112:L112"/>
    <mergeCell ref="X112:Z112"/>
    <mergeCell ref="C113:E113"/>
    <mergeCell ref="G113:I113"/>
    <mergeCell ref="J113:L113"/>
    <mergeCell ref="X113:Z113"/>
    <mergeCell ref="C110:E110"/>
    <mergeCell ref="G110:I110"/>
    <mergeCell ref="J110:L110"/>
    <mergeCell ref="X110:Z110"/>
    <mergeCell ref="C111:E111"/>
    <mergeCell ref="G111:I111"/>
    <mergeCell ref="J111:L111"/>
    <mergeCell ref="X111:Z111"/>
    <mergeCell ref="C116:E116"/>
    <mergeCell ref="G116:I116"/>
    <mergeCell ref="J116:L116"/>
    <mergeCell ref="X116:Z116"/>
    <mergeCell ref="C117:E117"/>
    <mergeCell ref="G117:I117"/>
    <mergeCell ref="J117:L117"/>
    <mergeCell ref="X117:Z117"/>
    <mergeCell ref="C114:E114"/>
    <mergeCell ref="G114:I114"/>
    <mergeCell ref="J114:L114"/>
    <mergeCell ref="X114:Z114"/>
    <mergeCell ref="C115:E115"/>
    <mergeCell ref="G115:I115"/>
    <mergeCell ref="J115:L115"/>
    <mergeCell ref="X115:Z115"/>
    <mergeCell ref="C120:E120"/>
    <mergeCell ref="G120:I120"/>
    <mergeCell ref="J120:L120"/>
    <mergeCell ref="X120:Z120"/>
    <mergeCell ref="C121:E121"/>
    <mergeCell ref="G121:I121"/>
    <mergeCell ref="J121:L121"/>
    <mergeCell ref="X121:Z121"/>
    <mergeCell ref="C118:E118"/>
    <mergeCell ref="G118:I118"/>
    <mergeCell ref="J118:L118"/>
    <mergeCell ref="X118:Z118"/>
    <mergeCell ref="C119:E119"/>
    <mergeCell ref="G119:I119"/>
    <mergeCell ref="J119:L119"/>
    <mergeCell ref="X119:Z119"/>
    <mergeCell ref="C124:E124"/>
    <mergeCell ref="G124:I124"/>
    <mergeCell ref="J124:L124"/>
    <mergeCell ref="X124:Z124"/>
    <mergeCell ref="C125:E125"/>
    <mergeCell ref="G125:I125"/>
    <mergeCell ref="J125:L125"/>
    <mergeCell ref="X125:Z125"/>
    <mergeCell ref="C122:E122"/>
    <mergeCell ref="G122:I122"/>
    <mergeCell ref="J122:L122"/>
    <mergeCell ref="X122:Z122"/>
    <mergeCell ref="C123:E123"/>
    <mergeCell ref="G123:I123"/>
    <mergeCell ref="J123:L123"/>
    <mergeCell ref="X123:Z123"/>
    <mergeCell ref="C128:E128"/>
    <mergeCell ref="G128:I128"/>
    <mergeCell ref="J128:L128"/>
    <mergeCell ref="X128:Z128"/>
    <mergeCell ref="C129:E129"/>
    <mergeCell ref="G129:I129"/>
    <mergeCell ref="J129:L129"/>
    <mergeCell ref="X129:Z129"/>
    <mergeCell ref="C126:E126"/>
    <mergeCell ref="G126:I126"/>
    <mergeCell ref="J126:L126"/>
    <mergeCell ref="X126:Z126"/>
    <mergeCell ref="C127:E127"/>
    <mergeCell ref="G127:I127"/>
    <mergeCell ref="J127:L127"/>
    <mergeCell ref="X127:Z127"/>
    <mergeCell ref="C132:E132"/>
    <mergeCell ref="G132:I132"/>
    <mergeCell ref="J132:L132"/>
    <mergeCell ref="X132:Z132"/>
    <mergeCell ref="C133:E133"/>
    <mergeCell ref="G133:I133"/>
    <mergeCell ref="J133:L133"/>
    <mergeCell ref="X133:Z133"/>
    <mergeCell ref="C130:E130"/>
    <mergeCell ref="G130:I130"/>
    <mergeCell ref="J130:L130"/>
    <mergeCell ref="X130:Z130"/>
    <mergeCell ref="C131:E131"/>
    <mergeCell ref="G131:I131"/>
    <mergeCell ref="J131:L131"/>
    <mergeCell ref="X131:Z131"/>
    <mergeCell ref="C136:E136"/>
    <mergeCell ref="G136:I136"/>
    <mergeCell ref="J136:L136"/>
    <mergeCell ref="X136:Z136"/>
    <mergeCell ref="C137:E137"/>
    <mergeCell ref="G137:I137"/>
    <mergeCell ref="J137:L137"/>
    <mergeCell ref="X137:Z137"/>
    <mergeCell ref="C134:E134"/>
    <mergeCell ref="G134:I134"/>
    <mergeCell ref="J134:L134"/>
    <mergeCell ref="X134:Z134"/>
    <mergeCell ref="C135:E135"/>
    <mergeCell ref="G135:I135"/>
    <mergeCell ref="J135:L135"/>
    <mergeCell ref="X135:Z135"/>
    <mergeCell ref="C140:E140"/>
    <mergeCell ref="G140:I140"/>
    <mergeCell ref="J140:L140"/>
    <mergeCell ref="X140:Z140"/>
    <mergeCell ref="C141:E141"/>
    <mergeCell ref="G141:I141"/>
    <mergeCell ref="J141:L141"/>
    <mergeCell ref="X141:Z141"/>
    <mergeCell ref="C138:E138"/>
    <mergeCell ref="G138:I138"/>
    <mergeCell ref="J138:L138"/>
    <mergeCell ref="X138:Z138"/>
    <mergeCell ref="C139:E139"/>
    <mergeCell ref="G139:I139"/>
    <mergeCell ref="J139:L139"/>
    <mergeCell ref="X139:Z139"/>
    <mergeCell ref="C144:E144"/>
    <mergeCell ref="G144:I144"/>
    <mergeCell ref="J144:L144"/>
    <mergeCell ref="X144:Z144"/>
    <mergeCell ref="C145:E145"/>
    <mergeCell ref="G145:I145"/>
    <mergeCell ref="J145:L145"/>
    <mergeCell ref="X145:Z145"/>
    <mergeCell ref="C142:E142"/>
    <mergeCell ref="G142:I142"/>
    <mergeCell ref="J142:L142"/>
    <mergeCell ref="X142:Z142"/>
    <mergeCell ref="C143:E143"/>
    <mergeCell ref="G143:I143"/>
    <mergeCell ref="J143:L143"/>
    <mergeCell ref="X143:Z143"/>
    <mergeCell ref="C148:E148"/>
    <mergeCell ref="G148:I148"/>
    <mergeCell ref="J148:L148"/>
    <mergeCell ref="X148:Z148"/>
    <mergeCell ref="C149:E149"/>
    <mergeCell ref="G149:I149"/>
    <mergeCell ref="J149:L149"/>
    <mergeCell ref="X149:Z149"/>
    <mergeCell ref="C146:E146"/>
    <mergeCell ref="G146:I146"/>
    <mergeCell ref="J146:L146"/>
    <mergeCell ref="X146:Z146"/>
    <mergeCell ref="C147:E147"/>
    <mergeCell ref="G147:I147"/>
    <mergeCell ref="J147:L147"/>
    <mergeCell ref="X147:Z147"/>
    <mergeCell ref="C152:E152"/>
    <mergeCell ref="G152:I152"/>
    <mergeCell ref="J152:L152"/>
    <mergeCell ref="X152:Z152"/>
    <mergeCell ref="C153:E153"/>
    <mergeCell ref="G153:I153"/>
    <mergeCell ref="J153:L153"/>
    <mergeCell ref="X153:Z153"/>
    <mergeCell ref="C150:E150"/>
    <mergeCell ref="G150:I150"/>
    <mergeCell ref="J150:L150"/>
    <mergeCell ref="X150:Z150"/>
    <mergeCell ref="C151:E151"/>
    <mergeCell ref="G151:I151"/>
    <mergeCell ref="J151:L151"/>
    <mergeCell ref="X151:Z151"/>
    <mergeCell ref="C156:E156"/>
    <mergeCell ref="G156:I156"/>
    <mergeCell ref="J156:L156"/>
    <mergeCell ref="X156:Z156"/>
    <mergeCell ref="C157:E157"/>
    <mergeCell ref="G157:I157"/>
    <mergeCell ref="J157:L157"/>
    <mergeCell ref="X157:Z157"/>
    <mergeCell ref="C154:E154"/>
    <mergeCell ref="G154:I154"/>
    <mergeCell ref="J154:L154"/>
    <mergeCell ref="X154:Z154"/>
    <mergeCell ref="C155:E155"/>
    <mergeCell ref="G155:I155"/>
    <mergeCell ref="J155:L155"/>
    <mergeCell ref="X155:Z155"/>
    <mergeCell ref="C160:E160"/>
    <mergeCell ref="G160:I160"/>
    <mergeCell ref="J160:L160"/>
    <mergeCell ref="X160:Z160"/>
    <mergeCell ref="C161:E161"/>
    <mergeCell ref="G161:I161"/>
    <mergeCell ref="J161:L161"/>
    <mergeCell ref="X161:Z161"/>
    <mergeCell ref="C158:E158"/>
    <mergeCell ref="G158:I158"/>
    <mergeCell ref="J158:L158"/>
    <mergeCell ref="X158:Z158"/>
    <mergeCell ref="C159:E159"/>
    <mergeCell ref="G159:I159"/>
    <mergeCell ref="J159:L159"/>
    <mergeCell ref="X159:Z159"/>
    <mergeCell ref="C164:E164"/>
    <mergeCell ref="G164:I164"/>
    <mergeCell ref="J164:L164"/>
    <mergeCell ref="X164:Z164"/>
    <mergeCell ref="C165:E165"/>
    <mergeCell ref="G165:I165"/>
    <mergeCell ref="J165:L165"/>
    <mergeCell ref="X165:Z165"/>
    <mergeCell ref="C162:E162"/>
    <mergeCell ref="G162:I162"/>
    <mergeCell ref="J162:L162"/>
    <mergeCell ref="X162:Z162"/>
    <mergeCell ref="C163:E163"/>
    <mergeCell ref="G163:I163"/>
    <mergeCell ref="J163:L163"/>
    <mergeCell ref="X163:Z163"/>
    <mergeCell ref="C168:E168"/>
    <mergeCell ref="G168:I168"/>
    <mergeCell ref="J168:L168"/>
    <mergeCell ref="X168:Z168"/>
    <mergeCell ref="A170:L171"/>
    <mergeCell ref="N171:R171"/>
    <mergeCell ref="V171:Z171"/>
    <mergeCell ref="C166:E166"/>
    <mergeCell ref="G166:I166"/>
    <mergeCell ref="J166:L166"/>
    <mergeCell ref="X166:Z166"/>
    <mergeCell ref="C167:E167"/>
    <mergeCell ref="G167:I167"/>
    <mergeCell ref="J167:L167"/>
    <mergeCell ref="X167:Z167"/>
    <mergeCell ref="AB171:AC171"/>
    <mergeCell ref="AD171:AM171"/>
    <mergeCell ref="A172:L175"/>
    <mergeCell ref="N172:R172"/>
    <mergeCell ref="V172:Z172"/>
    <mergeCell ref="AB172:AC172"/>
    <mergeCell ref="AD172:AM172"/>
    <mergeCell ref="N173:R173"/>
    <mergeCell ref="V173:Z173"/>
    <mergeCell ref="AB173:AC173"/>
    <mergeCell ref="N176:R176"/>
    <mergeCell ref="V176:Z176"/>
    <mergeCell ref="AD173:AM173"/>
    <mergeCell ref="N174:R174"/>
    <mergeCell ref="V174:Z174"/>
    <mergeCell ref="AB174:AC174"/>
    <mergeCell ref="AD174:AM174"/>
    <mergeCell ref="N175:R175"/>
    <mergeCell ref="V175:Z175"/>
    <mergeCell ref="AB175:AC175"/>
    <mergeCell ref="AD175:AM175"/>
  </mergeCells>
  <dataValidations count="6">
    <dataValidation type="list" allowBlank="1" showInputMessage="1" showErrorMessage="1" sqref="WVZ9:WVZ168 WMD9:WMD168 JN9:JN168 TJ9:TJ168 ADF9:ADF168 ANB9:ANB168 AWX9:AWX168 BGT9:BGT168 BQP9:BQP168 CAL9:CAL168 CKH9:CKH168 CUD9:CUD168 DDZ9:DDZ168 DNV9:DNV168 DXR9:DXR168 EHN9:EHN168 ERJ9:ERJ168 FBF9:FBF168 FLB9:FLB168 FUX9:FUX168 GET9:GET168 GOP9:GOP168 GYL9:GYL168 HIH9:HIH168 HSD9:HSD168 IBZ9:IBZ168 ILV9:ILV168 IVR9:IVR168 JFN9:JFN168 JPJ9:JPJ168 JZF9:JZF168 KJB9:KJB168 KSX9:KSX168 LCT9:LCT168 LMP9:LMP168 LWL9:LWL168 MGH9:MGH168 MQD9:MQD168 MZZ9:MZZ168 NJV9:NJV168 NTR9:NTR168 ODN9:ODN168 ONJ9:ONJ168 OXF9:OXF168 PHB9:PHB168 PQX9:PQX168 QAT9:QAT168 QKP9:QKP168 QUL9:QUL168 REH9:REH168 ROD9:ROD168 RXZ9:RXZ168 SHV9:SHV168 SRR9:SRR168 TBN9:TBN168 TLJ9:TLJ168 TVF9:TVF168 UFB9:UFB168 UOX9:UOX168 UYT9:UYT168 VIP9:VIP168 VSL9:VSL168 WCH9:WCH168 Q9:Q168">
      <formula1>PROBAB</formula1>
    </dataValidation>
    <dataValidation type="list" allowBlank="1" showInputMessage="1" showErrorMessage="1" sqref="WWA9:WWA168 WME9:WME168 JO9:JO168 TK9:TK168 ADG9:ADG168 ANC9:ANC168 AWY9:AWY168 BGU9:BGU168 BQQ9:BQQ168 CAM9:CAM168 CKI9:CKI168 CUE9:CUE168 DEA9:DEA168 DNW9:DNW168 DXS9:DXS168 EHO9:EHO168 ERK9:ERK168 FBG9:FBG168 FLC9:FLC168 FUY9:FUY168 GEU9:GEU168 GOQ9:GOQ168 GYM9:GYM168 HII9:HII168 HSE9:HSE168 ICA9:ICA168 ILW9:ILW168 IVS9:IVS168 JFO9:JFO168 JPK9:JPK168 JZG9:JZG168 KJC9:KJC168 KSY9:KSY168 LCU9:LCU168 LMQ9:LMQ168 LWM9:LWM168 MGI9:MGI168 MQE9:MQE168 NAA9:NAA168 NJW9:NJW168 NTS9:NTS168 ODO9:ODO168 ONK9:ONK168 OXG9:OXG168 PHC9:PHC168 PQY9:PQY168 QAU9:QAU168 QKQ9:QKQ168 QUM9:QUM168 REI9:REI168 ROE9:ROE168 RYA9:RYA168 SHW9:SHW168 SRS9:SRS168 TBO9:TBO168 TLK9:TLK168 TVG9:TVG168 UFC9:UFC168 UOY9:UOY168 UYU9:UYU168 VIQ9:VIQ168 VSM9:VSM168 WCI9:WCI168 R9:R168">
      <formula1>IMPACTO</formula1>
    </dataValidation>
    <dataValidation type="list" showInputMessage="1" showErrorMessage="1" errorTitle="Rechazado" error="Solo son validadas las opciones de la lista" sqref="WWM9:WWM168 WMQ9:WMQ168 KA9:KA168 TW9:TW168 ADS9:ADS168 ANO9:ANO168 AXK9:AXK168 BHG9:BHG168 BRC9:BRC168 CAY9:CAY168 CKU9:CKU168 CUQ9:CUQ168 DEM9:DEM168 DOI9:DOI168 DYE9:DYE168 EIA9:EIA168 ERW9:ERW168 FBS9:FBS168 FLO9:FLO168 FVK9:FVK168 GFG9:GFG168 GPC9:GPC168 GYY9:GYY168 HIU9:HIU168 HSQ9:HSQ168 ICM9:ICM168 IMI9:IMI168 IWE9:IWE168 JGA9:JGA168 JPW9:JPW168 JZS9:JZS168 KJO9:KJO168 KTK9:KTK168 LDG9:LDG168 LNC9:LNC168 LWY9:LWY168 MGU9:MGU168 MQQ9:MQQ168 NAM9:NAM168 NKI9:NKI168 NUE9:NUE168 OEA9:OEA168 ONW9:ONW168 OXS9:OXS168 PHO9:PHO168 PRK9:PRK168 QBG9:QBG168 QLC9:QLC168 QUY9:QUY168 REU9:REU168 ROQ9:ROQ168 RYM9:RYM168 SII9:SII168 SSE9:SSE168 TCA9:TCA168 TLW9:TLW168 TVS9:TVS168 UFO9:UFO168 UPK9:UPK168 UZG9:UZG168 VJC9:VJC168 VSY9:VSY168 WCU9:WCU168 AE11:AE168 AE9">
      <formula1>Efecto</formula1>
    </dataValidation>
    <dataValidation showInputMessage="1" showErrorMessage="1" sqref="WWO9:WWS168 WMS9:WMW168 KC9:KG168 TY9:UC168 ADU9:ADY168 ANQ9:ANU168 AXM9:AXQ168 BHI9:BHM168 BRE9:BRI168 CBA9:CBE168 CKW9:CLA168 CUS9:CUW168 DEO9:DES168 DOK9:DOO168 DYG9:DYK168 EIC9:EIG168 ERY9:ESC168 FBU9:FBY168 FLQ9:FLU168 FVM9:FVQ168 GFI9:GFM168 GPE9:GPI168 GZA9:GZE168 HIW9:HJA168 HSS9:HSW168 ICO9:ICS168 IMK9:IMO168 IWG9:IWK168 JGC9:JGG168 JPY9:JQC168 JZU9:JZY168 KJQ9:KJU168 KTM9:KTQ168 LDI9:LDM168 LNE9:LNI168 LXA9:LXE168 MGW9:MHA168 MQS9:MQW168 NAO9:NAS168 NKK9:NKO168 NUG9:NUK168 OEC9:OEG168 ONY9:OOC168 OXU9:OXY168 PHQ9:PHU168 PRM9:PRQ168 QBI9:QBM168 QLE9:QLI168 QVA9:QVE168 REW9:RFA168 ROS9:ROW168 RYO9:RYS168 SIK9:SIO168 SSG9:SSK168 TCC9:TCG168 TLY9:TMC168 TVU9:TVY168 UFQ9:UFU168 UPM9:UPQ168 UZI9:UZM168 VJE9:VJI168 VTA9:VTE168 WCW9:WDA168 AG20:AK168 AI9 AK9 AK11:AK19 AJ9:AJ19 AI11:AI19 AG9:AH19"/>
    <dataValidation type="whole" allowBlank="1" showInputMessage="1" showErrorMessage="1" sqref="WWL9:WWL168 WMP9:WMP168 JZ9:JZ168 TV9:TV168 ADR9:ADR168 ANN9:ANN168 AXJ9:AXJ168 BHF9:BHF168 BRB9:BRB168 CAX9:CAX168 CKT9:CKT168 CUP9:CUP168 DEL9:DEL168 DOH9:DOH168 DYD9:DYD168 EHZ9:EHZ168 ERV9:ERV168 FBR9:FBR168 FLN9:FLN168 FVJ9:FVJ168 GFF9:GFF168 GPB9:GPB168 GYX9:GYX168 HIT9:HIT168 HSP9:HSP168 ICL9:ICL168 IMH9:IMH168 IWD9:IWD168 JFZ9:JFZ168 JPV9:JPV168 JZR9:JZR168 KJN9:KJN168 KTJ9:KTJ168 LDF9:LDF168 LNB9:LNB168 LWX9:LWX168 MGT9:MGT168 MQP9:MQP168 NAL9:NAL168 NKH9:NKH168 NUD9:NUD168 ODZ9:ODZ168 ONV9:ONV168 OXR9:OXR168 PHN9:PHN168 PRJ9:PRJ168 QBF9:QBF168 QLB9:QLB168 QUX9:QUX168 RET9:RET168 ROP9:ROP168 RYL9:RYL168 SIH9:SIH168 SSD9:SSD168 TBZ9:TBZ168 TLV9:TLV168 TVR9:TVR168 UFN9:UFN168 UPJ9:UPJ168 UZF9:UZF168 VJB9:VJB168 VSX9:VSX168 WCT9:WCT168 AD11:AD168 AD9">
      <formula1>0</formula1>
      <formula2>100</formula2>
    </dataValidation>
    <dataValidation type="list" allowBlank="1" showInputMessage="1" showErrorMessage="1" sqref="WNE9:WNE168 WXA9:WXA168 KO9:KO168 UK9:UK168 AEG9:AEG168 AOC9:AOC168 AXY9:AXY168 BHU9:BHU168 BRQ9:BRQ168 CBM9:CBM168 CLI9:CLI168 CVE9:CVE168 DFA9:DFA168 DOW9:DOW168 DYS9:DYS168 EIO9:EIO168 ESK9:ESK168 FCG9:FCG168 FMC9:FMC168 FVY9:FVY168 GFU9:GFU168 GPQ9:GPQ168 GZM9:GZM168 HJI9:HJI168 HTE9:HTE168 IDA9:IDA168 IMW9:IMW168 IWS9:IWS168 JGO9:JGO168 JQK9:JQK168 KAG9:KAG168 KKC9:KKC168 KTY9:KTY168 LDU9:LDU168 LNQ9:LNQ168 LXM9:LXM168 MHI9:MHI168 MRE9:MRE168 NBA9:NBA168 NKW9:NKW168 NUS9:NUS168 OEO9:OEO168 OOK9:OOK168 OYG9:OYG168 PIC9:PIC168 PRY9:PRY168 QBU9:QBU168 QLQ9:QLQ168 QVM9:QVM168 RFI9:RFI168 RPE9:RPE168 RZA9:RZA168 SIW9:SIW168 SSS9:SSS168 TCO9:TCO168 TMK9:TMK168 TWG9:TWG168 UGC9:UGC168 UPY9:UPY168 UZU9:UZU168 VJQ9:VJQ168 VTM9:VTM168 WDI9:WDI168 AS9:AS168">
      <formula1>SINO</formula1>
    </dataValidation>
  </dataValidations>
  <printOptions horizontalCentered="1" verticalCentered="1"/>
  <pageMargins left="0.78740157480314965" right="0.78740157480314965" top="0.59055118110236227" bottom="0.59055118110236227" header="0.51181102362204722" footer="0.27559055118110237"/>
  <pageSetup paperSize="14" scale="48" firstPageNumber="0" orientation="landscape" r:id="rId1"/>
  <headerFooter>
    <oddFooter>&amp;L&amp;9Formato: FO-AC-07 Versión: 3&amp;C&amp;9Página &amp;P</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M171"/>
  <sheetViews>
    <sheetView zoomScaleNormal="100" zoomScaleSheetLayoutView="100" zoomScalePageLayoutView="95" workbookViewId="0">
      <pane xSplit="5" ySplit="8" topLeftCell="F9" activePane="bottomRight" state="frozen"/>
      <selection pane="topRight" activeCell="F1" sqref="F1"/>
      <selection pane="bottomLeft" activeCell="A9" sqref="A9"/>
      <selection pane="bottomRight" activeCell="AD1" sqref="AD1:AN2"/>
    </sheetView>
  </sheetViews>
  <sheetFormatPr baseColWidth="10" defaultRowHeight="12.75"/>
  <cols>
    <col min="1" max="1" width="12" style="235" customWidth="1"/>
    <col min="2" max="2" width="2.7109375" style="235" customWidth="1"/>
    <col min="3" max="4" width="6.5703125" style="235" customWidth="1"/>
    <col min="5" max="5" width="5.85546875" style="235" customWidth="1"/>
    <col min="6" max="6" width="6.5703125" style="235" customWidth="1"/>
    <col min="7" max="8" width="8.42578125" style="235" customWidth="1"/>
    <col min="9" max="9" width="18.140625" style="235" customWidth="1"/>
    <col min="10" max="10" width="2.5703125" style="235" customWidth="1"/>
    <col min="11" max="12" width="9.5703125" style="235" customWidth="1"/>
    <col min="13" max="15" width="3.7109375" style="235" customWidth="1"/>
    <col min="16" max="16" width="3.5703125" style="235" customWidth="1"/>
    <col min="17" max="17" width="2.85546875" style="235" customWidth="1"/>
    <col min="18" max="18" width="3" style="235" customWidth="1"/>
    <col min="19" max="21" width="0" style="235" hidden="1" customWidth="1"/>
    <col min="22" max="22" width="4.42578125" style="235" customWidth="1"/>
    <col min="23" max="23" width="0" style="235" hidden="1" customWidth="1"/>
    <col min="24" max="26" width="14.28515625" style="235" customWidth="1"/>
    <col min="27" max="27" width="14.28515625" style="1126" customWidth="1"/>
    <col min="28" max="28" width="6.42578125" style="235" customWidth="1"/>
    <col min="29" max="29" width="15.140625" style="235" customWidth="1"/>
    <col min="30" max="30" width="4.140625" style="235" customWidth="1"/>
    <col min="31" max="31" width="3" style="235" customWidth="1"/>
    <col min="32" max="34" width="0" style="235" hidden="1" customWidth="1"/>
    <col min="35" max="35" width="3" style="235" customWidth="1"/>
    <col min="36" max="36" width="0" style="235" hidden="1" customWidth="1"/>
    <col min="37" max="37" width="3" style="235" customWidth="1"/>
    <col min="38" max="38" width="0" style="235" hidden="1" customWidth="1"/>
    <col min="39" max="39" width="4.42578125" style="235" customWidth="1"/>
    <col min="40" max="40" width="34.28515625" style="235" customWidth="1"/>
    <col min="41" max="41" width="23.42578125" style="235" customWidth="1"/>
    <col min="42" max="42" width="9.140625" style="235" customWidth="1"/>
    <col min="43" max="43" width="19.5703125" style="235" customWidth="1"/>
    <col min="44" max="44" width="42.7109375" style="235" customWidth="1"/>
    <col min="45" max="45" width="5.85546875" style="235" customWidth="1"/>
    <col min="46" max="46" width="31.5703125" style="235" customWidth="1"/>
    <col min="47" max="47" width="16.140625" style="235" customWidth="1"/>
    <col min="48" max="49" width="9.28515625" style="235" customWidth="1"/>
    <col min="50" max="50" width="13.5703125" style="235" customWidth="1"/>
    <col min="51" max="51" width="5" style="235" customWidth="1"/>
    <col min="52" max="53" width="11.42578125" style="235" customWidth="1"/>
    <col min="54"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11.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1260" t="s">
        <v>95</v>
      </c>
      <c r="AE1" s="1260"/>
      <c r="AF1" s="1260"/>
      <c r="AG1" s="1260"/>
      <c r="AH1" s="1260"/>
      <c r="AI1" s="1260"/>
      <c r="AJ1" s="1260"/>
      <c r="AK1" s="1260"/>
      <c r="AL1" s="1260"/>
      <c r="AM1" s="1260"/>
      <c r="AN1" s="1260"/>
      <c r="AP1" s="1247" t="s">
        <v>2320</v>
      </c>
      <c r="AQ1" s="1247"/>
      <c r="AR1" s="1247"/>
      <c r="AS1" s="1247"/>
      <c r="AT1" s="233"/>
      <c r="AU1" s="233"/>
      <c r="AV1" s="233"/>
      <c r="AW1" s="1246"/>
      <c r="AX1" s="1246"/>
      <c r="AY1" s="233"/>
    </row>
    <row r="2" spans="1:1027" ht="14.25" customHeight="1">
      <c r="A2" s="237" t="s">
        <v>2348</v>
      </c>
      <c r="B2" s="233"/>
      <c r="C2" s="233"/>
      <c r="D2" s="233"/>
      <c r="E2" s="233"/>
      <c r="F2" s="233"/>
      <c r="G2" s="1214" t="str">
        <f>UPPER([35]Control!A2)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1260"/>
      <c r="AE2" s="1260"/>
      <c r="AF2" s="1260"/>
      <c r="AG2" s="1260"/>
      <c r="AH2" s="1260"/>
      <c r="AI2" s="1260"/>
      <c r="AJ2" s="1260"/>
      <c r="AK2" s="1260"/>
      <c r="AL2" s="1260"/>
      <c r="AM2" s="1260"/>
      <c r="AN2" s="1260"/>
      <c r="AP2" s="1268" t="s">
        <v>138</v>
      </c>
      <c r="AQ2" s="1269"/>
      <c r="AR2" s="1270" t="str">
        <f>AD1</f>
        <v>GESTIÓN LEGAL</v>
      </c>
      <c r="AS2" s="1271"/>
      <c r="AT2" s="233"/>
      <c r="AU2" s="233"/>
      <c r="AV2" s="233"/>
      <c r="AW2" s="1246"/>
      <c r="AX2" s="1246"/>
      <c r="AY2" s="233"/>
    </row>
    <row r="3" spans="1:1027" ht="11.25" customHeight="1">
      <c r="A3" s="1435">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2035">
        <v>43216</v>
      </c>
      <c r="AA3" s="2036"/>
      <c r="AB3" s="1438"/>
      <c r="AC3" s="1259" t="s">
        <v>2349</v>
      </c>
      <c r="AD3" s="2240" t="s">
        <v>2788</v>
      </c>
      <c r="AE3" s="1261"/>
      <c r="AF3" s="1261"/>
      <c r="AG3" s="1261"/>
      <c r="AH3" s="1261"/>
      <c r="AI3" s="1261"/>
      <c r="AJ3" s="1261"/>
      <c r="AK3" s="1261"/>
      <c r="AL3" s="1261"/>
      <c r="AM3" s="1261"/>
      <c r="AN3" s="1261"/>
      <c r="AP3" s="1265" t="s">
        <v>2322</v>
      </c>
      <c r="AQ3" s="1266"/>
      <c r="AR3" s="1266" t="s">
        <v>2323</v>
      </c>
      <c r="AS3" s="1267"/>
      <c r="AT3" s="233"/>
      <c r="AU3" s="233"/>
      <c r="AV3" s="233"/>
      <c r="AW3" s="1246"/>
      <c r="AX3" s="1246"/>
      <c r="AY3" s="233"/>
    </row>
    <row r="4" spans="1:1027" ht="14.25" customHeight="1" thickBot="1">
      <c r="A4" s="1435"/>
      <c r="B4" s="233"/>
      <c r="C4" s="233"/>
      <c r="D4" s="233"/>
      <c r="E4" s="233"/>
      <c r="F4" s="233"/>
      <c r="G4" s="1236" t="str">
        <f>[35]Control!A4</f>
        <v>FO-PE-06</v>
      </c>
      <c r="H4" s="1237"/>
      <c r="I4" s="1238" t="str">
        <f>[35]Control!C4</f>
        <v>Planeación Estratégica</v>
      </c>
      <c r="J4" s="1237"/>
      <c r="K4" s="1237"/>
      <c r="L4" s="1237"/>
      <c r="M4" s="1237"/>
      <c r="N4" s="1239"/>
      <c r="O4" s="1238">
        <f>[35]Control!H4</f>
        <v>5</v>
      </c>
      <c r="P4" s="1237"/>
      <c r="Q4" s="1237"/>
      <c r="R4" s="1237"/>
      <c r="S4" s="1237"/>
      <c r="T4" s="1237"/>
      <c r="U4" s="1237"/>
      <c r="V4" s="1239"/>
      <c r="W4" s="239"/>
      <c r="X4" s="1255"/>
      <c r="Y4" s="1256"/>
      <c r="Z4" s="1439"/>
      <c r="AA4" s="1440"/>
      <c r="AB4" s="1441"/>
      <c r="AC4" s="1259"/>
      <c r="AD4" s="1261"/>
      <c r="AE4" s="1261"/>
      <c r="AF4" s="1261"/>
      <c r="AG4" s="1261"/>
      <c r="AH4" s="1261"/>
      <c r="AI4" s="1261"/>
      <c r="AJ4" s="1261"/>
      <c r="AK4" s="1261"/>
      <c r="AL4" s="1261"/>
      <c r="AM4" s="1261"/>
      <c r="AN4" s="1261"/>
      <c r="AP4" s="1240">
        <v>43708</v>
      </c>
      <c r="AQ4" s="1241"/>
      <c r="AR4" s="1815" t="s">
        <v>3769</v>
      </c>
      <c r="AS4" s="1243"/>
      <c r="AT4" s="233"/>
      <c r="AU4" s="233"/>
      <c r="AV4" s="233"/>
      <c r="AW4" s="1246"/>
      <c r="AX4" s="1246"/>
      <c r="AY4" s="233"/>
    </row>
    <row r="5" spans="1:1027"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1"/>
      <c r="AB5" s="242"/>
      <c r="AC5" s="242"/>
      <c r="AD5" s="241"/>
      <c r="AE5" s="241"/>
      <c r="AF5" s="241"/>
      <c r="AG5" s="241"/>
      <c r="AH5" s="241"/>
      <c r="AI5" s="241"/>
      <c r="AJ5" s="241"/>
      <c r="AK5" s="241"/>
      <c r="AL5" s="241"/>
      <c r="AM5" s="240"/>
      <c r="AN5" s="240"/>
      <c r="AO5" s="240"/>
      <c r="AQ5" s="244"/>
      <c r="AY5" s="245"/>
    </row>
    <row r="6" spans="1:1027" s="243" customFormat="1" ht="11.2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602" t="s">
        <v>268</v>
      </c>
      <c r="AO6" s="294"/>
      <c r="AP6" s="247" t="s">
        <v>2325</v>
      </c>
      <c r="AQ6" s="248"/>
      <c r="AR6" s="248"/>
      <c r="AS6" s="249"/>
      <c r="AT6" s="1244" t="s">
        <v>2326</v>
      </c>
      <c r="AU6" s="1244"/>
      <c r="AV6" s="1244"/>
      <c r="AW6" s="1244"/>
      <c r="AX6" s="1245"/>
      <c r="AY6" s="245"/>
    </row>
    <row r="7" spans="1:1027" s="243" customFormat="1" ht="25.5" customHeight="1">
      <c r="A7" s="2222" t="s">
        <v>1002</v>
      </c>
      <c r="B7" s="2230" t="s">
        <v>640</v>
      </c>
      <c r="C7" s="2231" t="s">
        <v>1001</v>
      </c>
      <c r="D7" s="2232"/>
      <c r="E7" s="2223"/>
      <c r="F7" s="2222" t="s">
        <v>1000</v>
      </c>
      <c r="G7" s="2231" t="s">
        <v>999</v>
      </c>
      <c r="H7" s="2232"/>
      <c r="I7" s="2223"/>
      <c r="J7" s="2222" t="s">
        <v>145</v>
      </c>
      <c r="K7" s="2222"/>
      <c r="L7" s="2222"/>
      <c r="M7" s="2235" t="s">
        <v>144</v>
      </c>
      <c r="N7" s="2236"/>
      <c r="O7" s="2236"/>
      <c r="P7" s="2236"/>
      <c r="Q7" s="2237" t="s">
        <v>637</v>
      </c>
      <c r="R7" s="2238"/>
      <c r="S7" s="2238"/>
      <c r="T7" s="2238"/>
      <c r="U7" s="2238"/>
      <c r="V7" s="2239"/>
      <c r="W7" s="699"/>
      <c r="X7" s="2222" t="s">
        <v>2351</v>
      </c>
      <c r="Y7" s="2222"/>
      <c r="Z7" s="2222"/>
      <c r="AA7" s="2225" t="s">
        <v>4175</v>
      </c>
      <c r="AB7" s="2223" t="s">
        <v>998</v>
      </c>
      <c r="AC7" s="2225" t="s">
        <v>641</v>
      </c>
      <c r="AD7" s="2227" t="s">
        <v>546</v>
      </c>
      <c r="AE7" s="2227" t="s">
        <v>638</v>
      </c>
      <c r="AF7" s="700"/>
      <c r="AG7" s="701"/>
      <c r="AH7" s="702"/>
      <c r="AI7" s="2229" t="s">
        <v>639</v>
      </c>
      <c r="AJ7" s="2229"/>
      <c r="AK7" s="2229"/>
      <c r="AL7" s="2229"/>
      <c r="AM7" s="2229"/>
      <c r="AN7" s="2229" t="s">
        <v>2327</v>
      </c>
      <c r="AO7" s="2222" t="s">
        <v>2328</v>
      </c>
      <c r="AP7" s="2220" t="s">
        <v>2353</v>
      </c>
      <c r="AQ7" s="2222" t="s">
        <v>2330</v>
      </c>
      <c r="AR7" s="2220" t="s">
        <v>2354</v>
      </c>
      <c r="AS7" s="2220" t="s">
        <v>2332</v>
      </c>
      <c r="AT7" s="2220" t="s">
        <v>2333</v>
      </c>
      <c r="AU7" s="2220" t="s">
        <v>2334</v>
      </c>
      <c r="AV7" s="2220" t="s">
        <v>2335</v>
      </c>
      <c r="AW7" s="2220" t="s">
        <v>2336</v>
      </c>
      <c r="AX7" s="2220" t="s">
        <v>2337</v>
      </c>
      <c r="AY7" s="245"/>
    </row>
    <row r="8" spans="1:1027" ht="14.25" customHeight="1">
      <c r="A8" s="2222"/>
      <c r="B8" s="2230"/>
      <c r="C8" s="2233"/>
      <c r="D8" s="2234"/>
      <c r="E8" s="2224"/>
      <c r="F8" s="2222"/>
      <c r="G8" s="2233"/>
      <c r="H8" s="2234"/>
      <c r="I8" s="2224"/>
      <c r="J8" s="2222"/>
      <c r="K8" s="2222"/>
      <c r="L8" s="2222"/>
      <c r="M8" s="703" t="s">
        <v>146</v>
      </c>
      <c r="N8" s="703" t="s">
        <v>997</v>
      </c>
      <c r="O8" s="703" t="s">
        <v>65</v>
      </c>
      <c r="P8" s="703" t="s">
        <v>996</v>
      </c>
      <c r="Q8" s="704" t="s">
        <v>147</v>
      </c>
      <c r="R8" s="704" t="s">
        <v>148</v>
      </c>
      <c r="S8" s="704"/>
      <c r="T8" s="704" t="s">
        <v>239</v>
      </c>
      <c r="U8" s="704" t="s">
        <v>242</v>
      </c>
      <c r="V8" s="704" t="s">
        <v>149</v>
      </c>
      <c r="W8" s="704"/>
      <c r="X8" s="2222"/>
      <c r="Y8" s="2222"/>
      <c r="Z8" s="2222"/>
      <c r="AA8" s="2226"/>
      <c r="AB8" s="2224"/>
      <c r="AC8" s="2226"/>
      <c r="AD8" s="2228"/>
      <c r="AE8" s="2228"/>
      <c r="AF8" s="704"/>
      <c r="AG8" s="705" t="s">
        <v>642</v>
      </c>
      <c r="AH8" s="705" t="s">
        <v>264</v>
      </c>
      <c r="AI8" s="704" t="s">
        <v>147</v>
      </c>
      <c r="AJ8" s="706" t="s">
        <v>265</v>
      </c>
      <c r="AK8" s="704" t="s">
        <v>148</v>
      </c>
      <c r="AL8" s="704" t="s">
        <v>150</v>
      </c>
      <c r="AM8" s="704" t="s">
        <v>150</v>
      </c>
      <c r="AN8" s="2229"/>
      <c r="AO8" s="2222"/>
      <c r="AP8" s="2220"/>
      <c r="AQ8" s="2220"/>
      <c r="AR8" s="2220"/>
      <c r="AS8" s="2220"/>
      <c r="AT8" s="2220"/>
      <c r="AU8" s="2220"/>
      <c r="AV8" s="2220"/>
      <c r="AW8" s="2220"/>
      <c r="AX8" s="2220"/>
      <c r="AY8" s="245"/>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88.5" customHeight="1">
      <c r="A9" s="618" t="s">
        <v>96</v>
      </c>
      <c r="B9" s="619" t="s">
        <v>1985</v>
      </c>
      <c r="C9" s="2221" t="s">
        <v>3470</v>
      </c>
      <c r="D9" s="2221"/>
      <c r="E9" s="2221"/>
      <c r="F9" s="607" t="s">
        <v>193</v>
      </c>
      <c r="G9" s="1272" t="s">
        <v>3471</v>
      </c>
      <c r="H9" s="1273"/>
      <c r="I9" s="1274"/>
      <c r="J9" s="1320" t="s">
        <v>190</v>
      </c>
      <c r="K9" s="1320"/>
      <c r="L9" s="1320"/>
      <c r="M9" s="603"/>
      <c r="N9" s="603">
        <v>5</v>
      </c>
      <c r="O9" s="603"/>
      <c r="P9" s="603" t="s">
        <v>8</v>
      </c>
      <c r="Q9" s="607" t="s">
        <v>64</v>
      </c>
      <c r="R9" s="607" t="s">
        <v>643</v>
      </c>
      <c r="S9" s="301"/>
      <c r="T9" s="638">
        <f>VLOOKUP(Q9,[87]Listas!$D$6:$E$10,2,0)</f>
        <v>3</v>
      </c>
      <c r="U9" s="638">
        <f>HLOOKUP(R9,[87]Listas!$F$4:$J$5,2,0)</f>
        <v>2</v>
      </c>
      <c r="V9" s="621" t="str">
        <f>INDEX([87]Listas!$F$6:$J$10,MATCH(Q9,[87]Listas!$D$6:$D$10,0),MATCH(R9,[87]Listas!$F$4:$J$4,0))</f>
        <v>6
MODERADO</v>
      </c>
      <c r="W9" s="301"/>
      <c r="X9" s="2179" t="s">
        <v>3472</v>
      </c>
      <c r="Y9" s="2179"/>
      <c r="Z9" s="2179"/>
      <c r="AA9" s="1093" t="s">
        <v>4013</v>
      </c>
      <c r="AB9" s="606" t="s">
        <v>1291</v>
      </c>
      <c r="AC9" s="549" t="s">
        <v>3473</v>
      </c>
      <c r="AD9" s="603">
        <v>56</v>
      </c>
      <c r="AE9" s="606" t="s">
        <v>153</v>
      </c>
      <c r="AF9" s="301"/>
      <c r="AG9" s="638">
        <f>IF(AD9&lt;=33,0,IF(AD9&gt;81,2,1))</f>
        <v>1</v>
      </c>
      <c r="AH9" s="323">
        <f>IF(OR(AE9="Probabilidad",AE9="Ambos"),T9-AG9,T9)</f>
        <v>2</v>
      </c>
      <c r="AI9" s="639" t="str">
        <f>IF(AH9&lt;=1,"Remota",VLOOKUP(AH9,[87]Listas!$C$6:$D$10,2,0))</f>
        <v>Baja</v>
      </c>
      <c r="AJ9" s="323">
        <f>IF(OR(AE9="Impacto",AE9="Ambos"),U9-AG9,U9)</f>
        <v>2</v>
      </c>
      <c r="AK9" s="639" t="str">
        <f>IF(AJ9&lt;=1,"Insignificante",HLOOKUP(AJ9,[87]Listas!$F$3:$J$4,2,0))</f>
        <v>Menor</v>
      </c>
      <c r="AL9" s="640">
        <f>AH9*AJ9</f>
        <v>4</v>
      </c>
      <c r="AM9" s="621" t="str">
        <f>INDEX([87]Listas!$F$6:$J$10,MATCH(AI9,[87]Listas!$D$6:$D$10,0),MATCH(AK9,[87]Listas!$F$4:$J$4,0))</f>
        <v>4
INFERIOR</v>
      </c>
      <c r="AN9" s="259" t="s">
        <v>2789</v>
      </c>
      <c r="AO9" s="263" t="s">
        <v>3474</v>
      </c>
      <c r="AP9" s="610">
        <v>1</v>
      </c>
      <c r="AQ9" s="259" t="s">
        <v>3770</v>
      </c>
      <c r="AR9" s="259" t="s">
        <v>3771</v>
      </c>
      <c r="AS9" s="608" t="s">
        <v>36</v>
      </c>
      <c r="AU9" s="259"/>
      <c r="AV9" s="261"/>
      <c r="AW9" s="261"/>
      <c r="AX9" s="608"/>
      <c r="AY9" s="262"/>
    </row>
    <row r="10" spans="1:1027" s="260" customFormat="1" ht="106.5" customHeight="1">
      <c r="A10" s="618" t="s">
        <v>96</v>
      </c>
      <c r="B10" s="619" t="s">
        <v>1986</v>
      </c>
      <c r="C10" s="2219" t="s">
        <v>3475</v>
      </c>
      <c r="D10" s="2219"/>
      <c r="E10" s="2219"/>
      <c r="F10" s="607" t="s">
        <v>193</v>
      </c>
      <c r="G10" s="1272" t="s">
        <v>3476</v>
      </c>
      <c r="H10" s="1273"/>
      <c r="I10" s="1274"/>
      <c r="J10" s="1320" t="s">
        <v>191</v>
      </c>
      <c r="K10" s="1320"/>
      <c r="L10" s="1320"/>
      <c r="M10" s="603"/>
      <c r="N10" s="603">
        <v>5</v>
      </c>
      <c r="O10" s="603"/>
      <c r="P10" s="603" t="s">
        <v>8</v>
      </c>
      <c r="Q10" s="607" t="s">
        <v>648</v>
      </c>
      <c r="R10" s="607" t="s">
        <v>643</v>
      </c>
      <c r="S10" s="301"/>
      <c r="T10" s="638">
        <f>VLOOKUP(Q10,[87]Listas!$D$6:$E$10,2,0)</f>
        <v>4</v>
      </c>
      <c r="U10" s="638">
        <f>HLOOKUP(R10,[87]Listas!$F$4:$J$5,2,0)</f>
        <v>2</v>
      </c>
      <c r="V10" s="621" t="str">
        <f>INDEX([87]Listas!$F$6:$J$10,MATCH(Q10,[87]Listas!$D$6:$D$10,0),MATCH(R10,[87]Listas!$F$4:$J$4,0))</f>
        <v>8
MODERADO</v>
      </c>
      <c r="W10" s="301"/>
      <c r="X10" s="1545" t="s">
        <v>3477</v>
      </c>
      <c r="Y10" s="1545"/>
      <c r="Z10" s="1545"/>
      <c r="AA10" s="1068" t="s">
        <v>4013</v>
      </c>
      <c r="AB10" s="606" t="s">
        <v>1291</v>
      </c>
      <c r="AC10" s="603" t="s">
        <v>3478</v>
      </c>
      <c r="AD10" s="603">
        <v>63</v>
      </c>
      <c r="AE10" s="606" t="s">
        <v>153</v>
      </c>
      <c r="AF10" s="301"/>
      <c r="AG10" s="638">
        <f t="shared" ref="AG10:AG36" si="0">IF(AD10&lt;=33,0,IF(AD10&gt;81,2,1))</f>
        <v>1</v>
      </c>
      <c r="AH10" s="323">
        <f t="shared" ref="AH10:AH36" si="1">IF(OR(AE10="Probabilidad",AE10="Ambos"),T10-AG10,T10)</f>
        <v>3</v>
      </c>
      <c r="AI10" s="639" t="str">
        <f>IF(AH10&lt;=1,"Remota",VLOOKUP(AH10,[87]Listas!$C$6:$D$10,2,0))</f>
        <v>Posible</v>
      </c>
      <c r="AJ10" s="323">
        <f t="shared" ref="AJ10:AJ36" si="2">IF(OR(AE10="Impacto",AE10="Ambos"),U10-AG10,U10)</f>
        <v>2</v>
      </c>
      <c r="AK10" s="639" t="str">
        <f>IF(AJ10&lt;=1,"Insignificante",HLOOKUP(AJ10,[87]Listas!$F$3:$J$4,2,0))</f>
        <v>Menor</v>
      </c>
      <c r="AL10" s="640">
        <f t="shared" ref="AL10:AL36" si="3">AH10*AJ10</f>
        <v>6</v>
      </c>
      <c r="AM10" s="621" t="str">
        <f>INDEX([87]Listas!$F$6:$J$10,MATCH(AI10,[87]Listas!$D$6:$D$10,0),MATCH(AK10,[87]Listas!$F$4:$J$4,0))</f>
        <v>6
MODERADO</v>
      </c>
      <c r="AN10" s="259" t="s">
        <v>3479</v>
      </c>
      <c r="AO10" s="263" t="s">
        <v>2790</v>
      </c>
      <c r="AP10" s="610">
        <v>1</v>
      </c>
      <c r="AQ10" s="259" t="s">
        <v>3772</v>
      </c>
      <c r="AR10" s="259" t="s">
        <v>3771</v>
      </c>
      <c r="AS10" s="608" t="s">
        <v>36</v>
      </c>
      <c r="AT10" s="259"/>
      <c r="AU10" s="259"/>
      <c r="AV10" s="261"/>
      <c r="AW10" s="261"/>
      <c r="AX10" s="608"/>
      <c r="AY10" s="262"/>
    </row>
    <row r="11" spans="1:1027" s="260" customFormat="1" ht="110.25" customHeight="1">
      <c r="A11" s="618" t="s">
        <v>96</v>
      </c>
      <c r="B11" s="619" t="s">
        <v>1987</v>
      </c>
      <c r="C11" s="2219" t="s">
        <v>97</v>
      </c>
      <c r="D11" s="2219"/>
      <c r="E11" s="2219"/>
      <c r="F11" s="606" t="s">
        <v>193</v>
      </c>
      <c r="G11" s="1272" t="s">
        <v>1292</v>
      </c>
      <c r="H11" s="1273"/>
      <c r="I11" s="1274"/>
      <c r="J11" s="1320" t="s">
        <v>2791</v>
      </c>
      <c r="K11" s="1320"/>
      <c r="L11" s="1320"/>
      <c r="M11" s="603"/>
      <c r="N11" s="603">
        <v>5</v>
      </c>
      <c r="O11" s="603"/>
      <c r="P11" s="603" t="s">
        <v>8</v>
      </c>
      <c r="Q11" s="607" t="s">
        <v>64</v>
      </c>
      <c r="R11" s="607" t="s">
        <v>274</v>
      </c>
      <c r="S11" s="301"/>
      <c r="T11" s="638">
        <f>VLOOKUP(Q11,[87]Listas!$D$6:$E$10,2,0)</f>
        <v>3</v>
      </c>
      <c r="U11" s="638">
        <f>HLOOKUP(R11,[87]Listas!$F$4:$J$5,2,0)</f>
        <v>3</v>
      </c>
      <c r="V11" s="621" t="str">
        <f>INDEX([87]Listas!$F$6:$J$10,MATCH(Q11,[87]Listas!$D$6:$D$10,0),MATCH(R11,[87]Listas!$F$4:$J$4,0))</f>
        <v>9
MODERADO</v>
      </c>
      <c r="W11" s="301"/>
      <c r="X11" s="1545" t="s">
        <v>2792</v>
      </c>
      <c r="Y11" s="1545"/>
      <c r="Z11" s="1545"/>
      <c r="AA11" s="1068" t="s">
        <v>4013</v>
      </c>
      <c r="AB11" s="606" t="s">
        <v>1291</v>
      </c>
      <c r="AC11" s="603" t="s">
        <v>2793</v>
      </c>
      <c r="AD11" s="603">
        <v>64</v>
      </c>
      <c r="AE11" s="606" t="s">
        <v>152</v>
      </c>
      <c r="AF11" s="301"/>
      <c r="AG11" s="638">
        <f t="shared" si="0"/>
        <v>1</v>
      </c>
      <c r="AH11" s="323">
        <f t="shared" si="1"/>
        <v>2</v>
      </c>
      <c r="AI11" s="639" t="str">
        <f>IF(AH11&lt;=1,"Remota",VLOOKUP(AH11,[87]Listas!$C$6:$D$10,2,0))</f>
        <v>Baja</v>
      </c>
      <c r="AJ11" s="323">
        <f t="shared" si="2"/>
        <v>2</v>
      </c>
      <c r="AK11" s="639" t="str">
        <f>IF(AJ11&lt;=1,"Insignificante",HLOOKUP(AJ11,[87]Listas!$F$3:$J$4,2,0))</f>
        <v>Menor</v>
      </c>
      <c r="AL11" s="640">
        <f t="shared" si="3"/>
        <v>4</v>
      </c>
      <c r="AM11" s="621" t="str">
        <f>INDEX([87]Listas!$F$6:$J$10,MATCH(AI11,[87]Listas!$D$6:$D$10,0),MATCH(AK11,[87]Listas!$F$4:$J$4,0))</f>
        <v>4
INFERIOR</v>
      </c>
      <c r="AN11" s="259" t="s">
        <v>2794</v>
      </c>
      <c r="AO11" s="263" t="s">
        <v>2795</v>
      </c>
      <c r="AP11" s="610">
        <v>1</v>
      </c>
      <c r="AQ11" s="259" t="s">
        <v>3773</v>
      </c>
      <c r="AR11" s="259" t="s">
        <v>3771</v>
      </c>
      <c r="AS11" s="608" t="s">
        <v>36</v>
      </c>
      <c r="AT11" s="259"/>
      <c r="AU11" s="259"/>
      <c r="AV11" s="261"/>
      <c r="AW11" s="261"/>
      <c r="AX11" s="608"/>
      <c r="AY11" s="262"/>
    </row>
    <row r="12" spans="1:1027" s="260" customFormat="1" ht="105" customHeight="1">
      <c r="A12" s="618" t="s">
        <v>96</v>
      </c>
      <c r="B12" s="619" t="s">
        <v>1989</v>
      </c>
      <c r="C12" s="2219" t="s">
        <v>814</v>
      </c>
      <c r="D12" s="2219"/>
      <c r="E12" s="2219"/>
      <c r="F12" s="606" t="s">
        <v>193</v>
      </c>
      <c r="G12" s="1272" t="s">
        <v>815</v>
      </c>
      <c r="H12" s="1273"/>
      <c r="I12" s="1274"/>
      <c r="J12" s="1320" t="s">
        <v>816</v>
      </c>
      <c r="K12" s="1320"/>
      <c r="L12" s="1320"/>
      <c r="M12" s="603" t="s">
        <v>8</v>
      </c>
      <c r="N12" s="603">
        <v>5</v>
      </c>
      <c r="O12" s="603"/>
      <c r="P12" s="603" t="s">
        <v>8</v>
      </c>
      <c r="Q12" s="607" t="s">
        <v>64</v>
      </c>
      <c r="R12" s="607" t="s">
        <v>643</v>
      </c>
      <c r="S12" s="301"/>
      <c r="T12" s="638">
        <f>VLOOKUP(Q12,[87]Listas!$D$6:$E$10,2,0)</f>
        <v>3</v>
      </c>
      <c r="U12" s="638">
        <f>HLOOKUP(R12,[87]Listas!$F$4:$J$5,2,0)</f>
        <v>2</v>
      </c>
      <c r="V12" s="621" t="str">
        <f>INDEX([87]Listas!$F$6:$J$10,MATCH(Q12,[87]Listas!$D$6:$D$10,0),MATCH(R12,[87]Listas!$F$4:$J$4,0))</f>
        <v>6
MODERADO</v>
      </c>
      <c r="W12" s="301"/>
      <c r="X12" s="1545" t="s">
        <v>817</v>
      </c>
      <c r="Y12" s="1545"/>
      <c r="Z12" s="1545"/>
      <c r="AA12" s="1068" t="s">
        <v>4013</v>
      </c>
      <c r="AB12" s="606" t="s">
        <v>1291</v>
      </c>
      <c r="AC12" s="603" t="s">
        <v>818</v>
      </c>
      <c r="AD12" s="603">
        <v>84</v>
      </c>
      <c r="AE12" s="606" t="s">
        <v>153</v>
      </c>
      <c r="AF12" s="301"/>
      <c r="AG12" s="638">
        <f t="shared" si="0"/>
        <v>2</v>
      </c>
      <c r="AH12" s="323">
        <f t="shared" si="1"/>
        <v>1</v>
      </c>
      <c r="AI12" s="639" t="str">
        <f>IF(AH12&lt;=1,"Remota",VLOOKUP(AH12,[87]Listas!$C$6:$D$10,2,0))</f>
        <v>Remota</v>
      </c>
      <c r="AJ12" s="323">
        <f t="shared" si="2"/>
        <v>2</v>
      </c>
      <c r="AK12" s="639" t="str">
        <f>IF(AJ12&lt;=1,"Insignificante",HLOOKUP(AJ12,[87]Listas!$F$3:$J$4,2,0))</f>
        <v>Menor</v>
      </c>
      <c r="AL12" s="640">
        <f t="shared" si="3"/>
        <v>2</v>
      </c>
      <c r="AM12" s="621" t="str">
        <f>INDEX([87]Listas!$F$6:$J$10,MATCH(AI12,[87]Listas!$D$6:$D$10,0),MATCH(AK12,[87]Listas!$F$4:$J$4,0))</f>
        <v>2
INFERIOR</v>
      </c>
      <c r="AN12" s="259" t="s">
        <v>2796</v>
      </c>
      <c r="AO12" s="263" t="s">
        <v>2797</v>
      </c>
      <c r="AP12" s="610">
        <v>0</v>
      </c>
      <c r="AQ12" s="259" t="s">
        <v>3774</v>
      </c>
      <c r="AR12" s="259" t="s">
        <v>3771</v>
      </c>
      <c r="AS12" s="608" t="s">
        <v>36</v>
      </c>
      <c r="AT12" s="259"/>
      <c r="AU12" s="259"/>
      <c r="AV12" s="261"/>
      <c r="AW12" s="261"/>
      <c r="AX12" s="608"/>
      <c r="AY12" s="262"/>
    </row>
    <row r="13" spans="1:1027" s="260" customFormat="1" ht="127.5" customHeight="1">
      <c r="A13" s="618" t="s">
        <v>98</v>
      </c>
      <c r="B13" s="619" t="s">
        <v>1990</v>
      </c>
      <c r="C13" s="2219" t="s">
        <v>192</v>
      </c>
      <c r="D13" s="2219"/>
      <c r="E13" s="2219"/>
      <c r="F13" s="606" t="s">
        <v>193</v>
      </c>
      <c r="G13" s="1272" t="s">
        <v>2798</v>
      </c>
      <c r="H13" s="1273"/>
      <c r="I13" s="1274"/>
      <c r="J13" s="1320" t="s">
        <v>1293</v>
      </c>
      <c r="K13" s="1320"/>
      <c r="L13" s="1320"/>
      <c r="M13" s="603"/>
      <c r="N13" s="603">
        <v>5</v>
      </c>
      <c r="O13" s="603" t="s">
        <v>8</v>
      </c>
      <c r="P13" s="603" t="s">
        <v>8</v>
      </c>
      <c r="Q13" s="607" t="s">
        <v>648</v>
      </c>
      <c r="R13" s="607" t="s">
        <v>643</v>
      </c>
      <c r="S13" s="301"/>
      <c r="T13" s="638">
        <f>VLOOKUP(Q13,[87]Listas!$D$6:$E$10,2,0)</f>
        <v>4</v>
      </c>
      <c r="U13" s="638">
        <f>HLOOKUP(R13,[87]Listas!$F$4:$J$5,2,0)</f>
        <v>2</v>
      </c>
      <c r="V13" s="621" t="str">
        <f>INDEX([87]Listas!$F$6:$J$10,MATCH(Q13,[87]Listas!$D$6:$D$10,0),MATCH(R13,[87]Listas!$F$4:$J$4,0))</f>
        <v>8
MODERADO</v>
      </c>
      <c r="W13" s="301"/>
      <c r="X13" s="1545" t="s">
        <v>819</v>
      </c>
      <c r="Y13" s="1545"/>
      <c r="Z13" s="1545"/>
      <c r="AA13" s="1068" t="s">
        <v>4207</v>
      </c>
      <c r="AB13" s="606" t="s">
        <v>1291</v>
      </c>
      <c r="AC13" s="609" t="s">
        <v>3480</v>
      </c>
      <c r="AD13" s="603">
        <v>52</v>
      </c>
      <c r="AE13" s="606" t="s">
        <v>153</v>
      </c>
      <c r="AF13" s="301"/>
      <c r="AG13" s="638">
        <f t="shared" si="0"/>
        <v>1</v>
      </c>
      <c r="AH13" s="323">
        <f t="shared" si="1"/>
        <v>3</v>
      </c>
      <c r="AI13" s="639" t="str">
        <f>IF(AH13&lt;=1,"Remota",VLOOKUP(AH13,[87]Listas!$C$6:$D$10,2,0))</f>
        <v>Posible</v>
      </c>
      <c r="AJ13" s="323">
        <f t="shared" si="2"/>
        <v>2</v>
      </c>
      <c r="AK13" s="639" t="str">
        <f>IF(AJ13&lt;=1,"Insignificante",HLOOKUP(AJ13,[87]Listas!$F$3:$J$4,2,0))</f>
        <v>Menor</v>
      </c>
      <c r="AL13" s="640">
        <f t="shared" si="3"/>
        <v>6</v>
      </c>
      <c r="AM13" s="621" t="str">
        <f>INDEX([87]Listas!$F$6:$J$10,MATCH(AI13,[87]Listas!$D$6:$D$10,0),MATCH(AK13,[87]Listas!$F$4:$J$4,0))</f>
        <v>6
MODERADO</v>
      </c>
      <c r="AN13" s="259" t="s">
        <v>2799</v>
      </c>
      <c r="AO13" s="263" t="s">
        <v>3775</v>
      </c>
      <c r="AP13" s="610">
        <v>0.3</v>
      </c>
      <c r="AQ13" s="259" t="s">
        <v>3776</v>
      </c>
      <c r="AR13" s="259" t="s">
        <v>3777</v>
      </c>
      <c r="AS13" s="608" t="s">
        <v>36</v>
      </c>
      <c r="AT13" s="259"/>
      <c r="AU13" s="259"/>
      <c r="AV13" s="261"/>
      <c r="AW13" s="261"/>
      <c r="AX13" s="608"/>
      <c r="AY13" s="262"/>
      <c r="BB13" s="550"/>
    </row>
    <row r="14" spans="1:1027" s="260" customFormat="1" ht="104.25" customHeight="1">
      <c r="A14" s="618" t="s">
        <v>1294</v>
      </c>
      <c r="B14" s="619" t="s">
        <v>1991</v>
      </c>
      <c r="C14" s="1424" t="s">
        <v>1295</v>
      </c>
      <c r="D14" s="1425"/>
      <c r="E14" s="1426"/>
      <c r="F14" s="606" t="s">
        <v>193</v>
      </c>
      <c r="G14" s="1272" t="s">
        <v>1296</v>
      </c>
      <c r="H14" s="1273"/>
      <c r="I14" s="1274"/>
      <c r="J14" s="1320" t="s">
        <v>1297</v>
      </c>
      <c r="K14" s="1320"/>
      <c r="L14" s="1320"/>
      <c r="M14" s="603"/>
      <c r="N14" s="603">
        <v>5</v>
      </c>
      <c r="O14" s="603"/>
      <c r="P14" s="603" t="s">
        <v>8</v>
      </c>
      <c r="Q14" s="607" t="s">
        <v>64</v>
      </c>
      <c r="R14" s="607" t="s">
        <v>274</v>
      </c>
      <c r="S14" s="301"/>
      <c r="T14" s="638">
        <f>VLOOKUP(Q14,[87]Listas!$D$6:$E$10,2,0)</f>
        <v>3</v>
      </c>
      <c r="U14" s="638">
        <f>HLOOKUP(R14,[87]Listas!$F$4:$J$5,2,0)</f>
        <v>3</v>
      </c>
      <c r="V14" s="621" t="str">
        <f>INDEX([87]Listas!$F$6:$J$10,MATCH(Q14,[87]Listas!$D$6:$D$10,0),MATCH(R14,[87]Listas!$F$4:$J$4,0))</f>
        <v>9
MODERADO</v>
      </c>
      <c r="W14" s="301"/>
      <c r="X14" s="1272" t="s">
        <v>2800</v>
      </c>
      <c r="Y14" s="1273"/>
      <c r="Z14" s="1274"/>
      <c r="AA14" s="1071" t="s">
        <v>4013</v>
      </c>
      <c r="AB14" s="606" t="s">
        <v>1298</v>
      </c>
      <c r="AC14" s="617" t="s">
        <v>1299</v>
      </c>
      <c r="AD14" s="603">
        <v>52</v>
      </c>
      <c r="AE14" s="606" t="s">
        <v>153</v>
      </c>
      <c r="AF14" s="301"/>
      <c r="AG14" s="638">
        <f t="shared" si="0"/>
        <v>1</v>
      </c>
      <c r="AH14" s="323">
        <f t="shared" si="1"/>
        <v>2</v>
      </c>
      <c r="AI14" s="639" t="str">
        <f>IF(AH14&lt;=1,"Remota",VLOOKUP(AH14,[87]Listas!$C$6:$D$10,2,0))</f>
        <v>Baja</v>
      </c>
      <c r="AJ14" s="323">
        <f t="shared" si="2"/>
        <v>3</v>
      </c>
      <c r="AK14" s="639" t="str">
        <f>IF(AJ14&lt;=1,"Insignificante",HLOOKUP(AJ14,[87]Listas!$F$3:$J$4,2,0))</f>
        <v>Moderado</v>
      </c>
      <c r="AL14" s="640">
        <f t="shared" si="3"/>
        <v>6</v>
      </c>
      <c r="AM14" s="621" t="str">
        <f>INDEX([87]Listas!$F$6:$J$10,MATCH(AI14,[87]Listas!$D$6:$D$10,0),MATCH(AK14,[87]Listas!$F$4:$J$4,0))</f>
        <v>6
MODERADO</v>
      </c>
      <c r="AN14" s="259" t="s">
        <v>2801</v>
      </c>
      <c r="AO14" s="263" t="s">
        <v>3481</v>
      </c>
      <c r="AP14" s="610">
        <v>0</v>
      </c>
      <c r="AQ14" s="259" t="s">
        <v>3778</v>
      </c>
      <c r="AR14" s="259" t="s">
        <v>3771</v>
      </c>
      <c r="AS14" s="608" t="s">
        <v>36</v>
      </c>
      <c r="AT14" s="259"/>
      <c r="AU14" s="259"/>
      <c r="AV14" s="261"/>
      <c r="AW14" s="261"/>
      <c r="AX14" s="608"/>
      <c r="AY14" s="262"/>
    </row>
    <row r="15" spans="1:1027" s="260" customFormat="1" ht="105" customHeight="1">
      <c r="A15" s="603" t="s">
        <v>1300</v>
      </c>
      <c r="B15" s="707" t="s">
        <v>1301</v>
      </c>
      <c r="C15" s="1424" t="s">
        <v>982</v>
      </c>
      <c r="D15" s="1425"/>
      <c r="E15" s="1426"/>
      <c r="F15" s="606" t="s">
        <v>193</v>
      </c>
      <c r="G15" s="1272" t="s">
        <v>3482</v>
      </c>
      <c r="H15" s="1273"/>
      <c r="I15" s="1274"/>
      <c r="J15" s="1382" t="s">
        <v>3483</v>
      </c>
      <c r="K15" s="1382"/>
      <c r="L15" s="1382"/>
      <c r="M15" s="603"/>
      <c r="N15" s="603">
        <v>5</v>
      </c>
      <c r="O15" s="603" t="s">
        <v>8</v>
      </c>
      <c r="P15" s="603"/>
      <c r="Q15" s="607" t="s">
        <v>654</v>
      </c>
      <c r="R15" s="607" t="s">
        <v>643</v>
      </c>
      <c r="S15" s="301"/>
      <c r="T15" s="638">
        <f>VLOOKUP(Q15,[87]Listas!$D$6:$E$10,2,0)</f>
        <v>1</v>
      </c>
      <c r="U15" s="638">
        <f>HLOOKUP(R15,[87]Listas!$F$4:$J$5,2,0)</f>
        <v>2</v>
      </c>
      <c r="V15" s="621" t="str">
        <f>INDEX([87]Listas!$F$6:$J$10,MATCH(Q15,[87]Listas!$D$6:$D$10,0),MATCH(R15,[87]Listas!$F$4:$J$4,0))</f>
        <v>2
INFERIOR</v>
      </c>
      <c r="W15" s="301"/>
      <c r="X15" s="1272" t="s">
        <v>3484</v>
      </c>
      <c r="Y15" s="1273"/>
      <c r="Z15" s="1274"/>
      <c r="AA15" s="1071" t="s">
        <v>4208</v>
      </c>
      <c r="AB15" s="606" t="s">
        <v>28</v>
      </c>
      <c r="AC15" s="617" t="s">
        <v>1302</v>
      </c>
      <c r="AD15" s="603">
        <v>66</v>
      </c>
      <c r="AE15" s="606" t="s">
        <v>153</v>
      </c>
      <c r="AF15" s="301"/>
      <c r="AG15" s="638">
        <f t="shared" si="0"/>
        <v>1</v>
      </c>
      <c r="AH15" s="323">
        <f t="shared" si="1"/>
        <v>0</v>
      </c>
      <c r="AI15" s="639" t="str">
        <f>IF(AH15&lt;=1,"Remota",VLOOKUP(AH15,[87]Listas!$C$6:$D$10,2,0))</f>
        <v>Remota</v>
      </c>
      <c r="AJ15" s="323">
        <f t="shared" si="2"/>
        <v>2</v>
      </c>
      <c r="AK15" s="639" t="str">
        <f>IF(AJ15&lt;=1,"Insignificante",HLOOKUP(AJ15,[87]Listas!$F$3:$J$4,2,0))</f>
        <v>Menor</v>
      </c>
      <c r="AL15" s="640">
        <f t="shared" si="3"/>
        <v>0</v>
      </c>
      <c r="AM15" s="621" t="str">
        <f>INDEX([87]Listas!$F$6:$J$10,MATCH(AI15,[87]Listas!$D$6:$D$10,0),MATCH(AK15,[87]Listas!$F$4:$J$4,0))</f>
        <v>2
INFERIOR</v>
      </c>
      <c r="AN15" s="263" t="s">
        <v>3485</v>
      </c>
      <c r="AO15" s="263" t="s">
        <v>2802</v>
      </c>
      <c r="AP15" s="610">
        <v>0</v>
      </c>
      <c r="AQ15" s="259" t="s">
        <v>3486</v>
      </c>
      <c r="AR15" s="259" t="s">
        <v>3771</v>
      </c>
      <c r="AS15" s="608" t="s">
        <v>36</v>
      </c>
      <c r="AT15" s="259"/>
      <c r="AU15" s="259"/>
      <c r="AV15" s="261"/>
      <c r="AW15" s="261"/>
      <c r="AX15" s="608"/>
      <c r="AY15" s="262"/>
    </row>
    <row r="16" spans="1:1027" s="260" customFormat="1" ht="103.5" hidden="1" customHeight="1">
      <c r="A16" s="608"/>
      <c r="B16" s="266"/>
      <c r="C16" s="1399"/>
      <c r="D16" s="1408"/>
      <c r="E16" s="1400"/>
      <c r="F16" s="267"/>
      <c r="G16" s="1399"/>
      <c r="H16" s="1408"/>
      <c r="I16" s="1400"/>
      <c r="J16" s="1380"/>
      <c r="K16" s="1380"/>
      <c r="L16" s="1380"/>
      <c r="M16" s="608"/>
      <c r="N16" s="608"/>
      <c r="O16" s="608"/>
      <c r="P16" s="608"/>
      <c r="Q16" s="266"/>
      <c r="R16" s="266"/>
      <c r="S16" s="268"/>
      <c r="T16" s="269" t="e">
        <f>VLOOKUP(Q16,[71]Listas!$D$6:$E$10,2,0)</f>
        <v>#N/A</v>
      </c>
      <c r="U16" s="269" t="e">
        <f>HLOOKUP(R16,[71]Listas!$F$4:$J$5,2,0)</f>
        <v>#N/A</v>
      </c>
      <c r="V16" s="270" t="e">
        <f>INDEX([71]Listas!$F$6:$J$10,MATCH(Q16,[71]Listas!$D$6:$D$10,0),MATCH(R16,[71]Listas!$F$4:$J$4,0))</f>
        <v>#N/A</v>
      </c>
      <c r="W16" s="268"/>
      <c r="X16" s="1399"/>
      <c r="Y16" s="1408"/>
      <c r="Z16" s="1400"/>
      <c r="AA16" s="1063"/>
      <c r="AB16" s="267"/>
      <c r="AC16" s="259"/>
      <c r="AD16" s="608"/>
      <c r="AE16" s="267"/>
      <c r="AF16" s="268"/>
      <c r="AG16" s="269">
        <f t="shared" si="0"/>
        <v>0</v>
      </c>
      <c r="AH16" s="271" t="e">
        <f t="shared" si="1"/>
        <v>#N/A</v>
      </c>
      <c r="AI16" s="272" t="e">
        <f>IF(AH16&lt;=1,"Remota",VLOOKUP(AH16,[71]Listas!$C$6:$D$10,2,0))</f>
        <v>#N/A</v>
      </c>
      <c r="AJ16" s="271" t="e">
        <f t="shared" si="2"/>
        <v>#N/A</v>
      </c>
      <c r="AK16" s="272" t="e">
        <f>IF(AJ16&lt;=1,"Insignificante",HLOOKUP(AJ16,[71]Listas!$F$3:$J$4,2,0))</f>
        <v>#N/A</v>
      </c>
      <c r="AL16" s="273" t="e">
        <f t="shared" si="3"/>
        <v>#N/A</v>
      </c>
      <c r="AM16" s="270" t="e">
        <f>INDEX([71]Listas!$F$6:$J$10,MATCH(AI16,[71]Listas!$D$6:$D$10,0),MATCH(AK16,[71]Listas!$F$4:$J$4,0))</f>
        <v>#N/A</v>
      </c>
      <c r="AN16" s="259"/>
      <c r="AO16" s="259"/>
      <c r="AP16" s="610"/>
      <c r="AQ16" s="259"/>
      <c r="AR16" s="259" t="s">
        <v>2343</v>
      </c>
      <c r="AS16" s="608"/>
      <c r="AT16" s="259"/>
      <c r="AU16" s="259"/>
      <c r="AV16" s="261"/>
      <c r="AW16" s="261"/>
      <c r="AX16" s="608"/>
      <c r="AY16" s="262"/>
    </row>
    <row r="17" spans="1:51" s="260" customFormat="1" ht="103.5" hidden="1" customHeight="1">
      <c r="A17" s="608"/>
      <c r="B17" s="266"/>
      <c r="C17" s="1399"/>
      <c r="D17" s="1408"/>
      <c r="E17" s="1400"/>
      <c r="F17" s="267"/>
      <c r="G17" s="1399"/>
      <c r="H17" s="1408"/>
      <c r="I17" s="1400"/>
      <c r="J17" s="1380"/>
      <c r="K17" s="1380"/>
      <c r="L17" s="1380"/>
      <c r="M17" s="608"/>
      <c r="N17" s="608"/>
      <c r="O17" s="608"/>
      <c r="P17" s="608"/>
      <c r="Q17" s="266"/>
      <c r="R17" s="266"/>
      <c r="S17" s="268"/>
      <c r="T17" s="269" t="e">
        <f>VLOOKUP(Q17,[71]Listas!$D$6:$E$10,2,0)</f>
        <v>#N/A</v>
      </c>
      <c r="U17" s="269" t="e">
        <f>HLOOKUP(R17,[71]Listas!$F$4:$J$5,2,0)</f>
        <v>#N/A</v>
      </c>
      <c r="V17" s="270" t="e">
        <f>INDEX([71]Listas!$F$6:$J$10,MATCH(Q17,[71]Listas!$D$6:$D$10,0),MATCH(R17,[71]Listas!$F$4:$J$4,0))</f>
        <v>#N/A</v>
      </c>
      <c r="W17" s="268"/>
      <c r="X17" s="1399"/>
      <c r="Y17" s="1408"/>
      <c r="Z17" s="1400"/>
      <c r="AA17" s="1063"/>
      <c r="AB17" s="267"/>
      <c r="AC17" s="259"/>
      <c r="AD17" s="608"/>
      <c r="AE17" s="267"/>
      <c r="AF17" s="268"/>
      <c r="AG17" s="269">
        <f t="shared" si="0"/>
        <v>0</v>
      </c>
      <c r="AH17" s="271" t="e">
        <f t="shared" si="1"/>
        <v>#N/A</v>
      </c>
      <c r="AI17" s="272" t="e">
        <f>IF(AH17&lt;=1,"Remota",VLOOKUP(AH17,[71]Listas!$C$6:$D$10,2,0))</f>
        <v>#N/A</v>
      </c>
      <c r="AJ17" s="271" t="e">
        <f t="shared" si="2"/>
        <v>#N/A</v>
      </c>
      <c r="AK17" s="272" t="e">
        <f>IF(AJ17&lt;=1,"Insignificante",HLOOKUP(AJ17,[71]Listas!$F$3:$J$4,2,0))</f>
        <v>#N/A</v>
      </c>
      <c r="AL17" s="273" t="e">
        <f t="shared" si="3"/>
        <v>#N/A</v>
      </c>
      <c r="AM17" s="270" t="e">
        <f>INDEX([71]Listas!$F$6:$J$10,MATCH(AI17,[71]Listas!$D$6:$D$10,0),MATCH(AK17,[71]Listas!$F$4:$J$4,0))</f>
        <v>#N/A</v>
      </c>
      <c r="AN17" s="259"/>
      <c r="AO17" s="259"/>
      <c r="AP17" s="610"/>
      <c r="AQ17" s="259"/>
      <c r="AR17" s="259" t="s">
        <v>2343</v>
      </c>
      <c r="AS17" s="608"/>
      <c r="AT17" s="259"/>
      <c r="AU17" s="259"/>
      <c r="AV17" s="261"/>
      <c r="AW17" s="261"/>
      <c r="AX17" s="608"/>
      <c r="AY17" s="262"/>
    </row>
    <row r="18" spans="1:51" s="260" customFormat="1" ht="103.5" hidden="1" customHeight="1">
      <c r="A18" s="608"/>
      <c r="B18" s="266"/>
      <c r="C18" s="1399"/>
      <c r="D18" s="1408"/>
      <c r="E18" s="1400"/>
      <c r="F18" s="267"/>
      <c r="G18" s="1399"/>
      <c r="H18" s="1408"/>
      <c r="I18" s="1400"/>
      <c r="J18" s="1380"/>
      <c r="K18" s="1380"/>
      <c r="L18" s="1380"/>
      <c r="M18" s="608"/>
      <c r="N18" s="608"/>
      <c r="O18" s="608"/>
      <c r="P18" s="608"/>
      <c r="Q18" s="266"/>
      <c r="R18" s="266"/>
      <c r="S18" s="268"/>
      <c r="T18" s="269" t="e">
        <f>VLOOKUP(Q18,[71]Listas!$D$6:$E$10,2,0)</f>
        <v>#N/A</v>
      </c>
      <c r="U18" s="269" t="e">
        <f>HLOOKUP(R18,[71]Listas!$F$4:$J$5,2,0)</f>
        <v>#N/A</v>
      </c>
      <c r="V18" s="270" t="e">
        <f>INDEX([71]Listas!$F$6:$J$10,MATCH(Q18,[71]Listas!$D$6:$D$10,0),MATCH(R18,[71]Listas!$F$4:$J$4,0))</f>
        <v>#N/A</v>
      </c>
      <c r="W18" s="268"/>
      <c r="X18" s="1399"/>
      <c r="Y18" s="1408"/>
      <c r="Z18" s="1400"/>
      <c r="AA18" s="1063"/>
      <c r="AB18" s="267"/>
      <c r="AC18" s="259"/>
      <c r="AD18" s="608"/>
      <c r="AE18" s="267"/>
      <c r="AF18" s="268"/>
      <c r="AG18" s="269">
        <f t="shared" si="0"/>
        <v>0</v>
      </c>
      <c r="AH18" s="271" t="e">
        <f t="shared" si="1"/>
        <v>#N/A</v>
      </c>
      <c r="AI18" s="272" t="e">
        <f>IF(AH18&lt;=1,"Remota",VLOOKUP(AH18,[71]Listas!$C$6:$D$10,2,0))</f>
        <v>#N/A</v>
      </c>
      <c r="AJ18" s="271" t="e">
        <f t="shared" si="2"/>
        <v>#N/A</v>
      </c>
      <c r="AK18" s="272" t="e">
        <f>IF(AJ18&lt;=1,"Insignificante",HLOOKUP(AJ18,[71]Listas!$F$3:$J$4,2,0))</f>
        <v>#N/A</v>
      </c>
      <c r="AL18" s="273" t="e">
        <f t="shared" si="3"/>
        <v>#N/A</v>
      </c>
      <c r="AM18" s="270" t="e">
        <f>INDEX([71]Listas!$F$6:$J$10,MATCH(AI18,[71]Listas!$D$6:$D$10,0),MATCH(AK18,[71]Listas!$F$4:$J$4,0))</f>
        <v>#N/A</v>
      </c>
      <c r="AN18" s="259"/>
      <c r="AO18" s="259"/>
      <c r="AP18" s="610"/>
      <c r="AQ18" s="259"/>
      <c r="AR18" s="259" t="s">
        <v>2343</v>
      </c>
      <c r="AS18" s="608"/>
      <c r="AT18" s="259"/>
      <c r="AU18" s="259"/>
      <c r="AV18" s="261"/>
      <c r="AW18" s="261"/>
      <c r="AX18" s="608"/>
      <c r="AY18" s="262"/>
    </row>
    <row r="19" spans="1:51" s="260" customFormat="1" ht="103.5" hidden="1" customHeight="1">
      <c r="A19" s="608"/>
      <c r="B19" s="266"/>
      <c r="C19" s="1399"/>
      <c r="D19" s="1408"/>
      <c r="E19" s="1400"/>
      <c r="F19" s="267"/>
      <c r="G19" s="1399"/>
      <c r="H19" s="1408"/>
      <c r="I19" s="1400"/>
      <c r="J19" s="1380"/>
      <c r="K19" s="1380"/>
      <c r="L19" s="1380"/>
      <c r="M19" s="608"/>
      <c r="N19" s="608"/>
      <c r="O19" s="608"/>
      <c r="P19" s="608"/>
      <c r="Q19" s="266"/>
      <c r="R19" s="266"/>
      <c r="S19" s="268"/>
      <c r="T19" s="269" t="e">
        <f>VLOOKUP(Q19,[71]Listas!$D$6:$E$10,2,0)</f>
        <v>#N/A</v>
      </c>
      <c r="U19" s="269" t="e">
        <f>HLOOKUP(R19,[71]Listas!$F$4:$J$5,2,0)</f>
        <v>#N/A</v>
      </c>
      <c r="V19" s="270" t="e">
        <f>INDEX([71]Listas!$F$6:$J$10,MATCH(Q19,[71]Listas!$D$6:$D$10,0),MATCH(R19,[71]Listas!$F$4:$J$4,0))</f>
        <v>#N/A</v>
      </c>
      <c r="W19" s="268"/>
      <c r="X19" s="1399"/>
      <c r="Y19" s="1408"/>
      <c r="Z19" s="1400"/>
      <c r="AA19" s="1063"/>
      <c r="AB19" s="267"/>
      <c r="AC19" s="259"/>
      <c r="AD19" s="608"/>
      <c r="AE19" s="267"/>
      <c r="AF19" s="268"/>
      <c r="AG19" s="269">
        <f t="shared" si="0"/>
        <v>0</v>
      </c>
      <c r="AH19" s="271" t="e">
        <f t="shared" si="1"/>
        <v>#N/A</v>
      </c>
      <c r="AI19" s="272" t="e">
        <f>IF(AH19&lt;=1,"Remota",VLOOKUP(AH19,[71]Listas!$C$6:$D$10,2,0))</f>
        <v>#N/A</v>
      </c>
      <c r="AJ19" s="271" t="e">
        <f t="shared" si="2"/>
        <v>#N/A</v>
      </c>
      <c r="AK19" s="272" t="e">
        <f>IF(AJ19&lt;=1,"Insignificante",HLOOKUP(AJ19,[71]Listas!$F$3:$J$4,2,0))</f>
        <v>#N/A</v>
      </c>
      <c r="AL19" s="273" t="e">
        <f t="shared" si="3"/>
        <v>#N/A</v>
      </c>
      <c r="AM19" s="270" t="e">
        <f>INDEX([71]Listas!$F$6:$J$10,MATCH(AI19,[71]Listas!$D$6:$D$10,0),MATCH(AK19,[71]Listas!$F$4:$J$4,0))</f>
        <v>#N/A</v>
      </c>
      <c r="AN19" s="259"/>
      <c r="AO19" s="259"/>
      <c r="AP19" s="610"/>
      <c r="AQ19" s="259"/>
      <c r="AR19" s="259" t="s">
        <v>2343</v>
      </c>
      <c r="AS19" s="608"/>
      <c r="AT19" s="259"/>
      <c r="AU19" s="259"/>
      <c r="AV19" s="261"/>
      <c r="AW19" s="261"/>
      <c r="AX19" s="608"/>
      <c r="AY19" s="262"/>
    </row>
    <row r="20" spans="1:51" s="260" customFormat="1" ht="103.5" hidden="1" customHeight="1">
      <c r="A20" s="608"/>
      <c r="B20" s="266"/>
      <c r="C20" s="1399"/>
      <c r="D20" s="1408"/>
      <c r="E20" s="1400"/>
      <c r="F20" s="267"/>
      <c r="G20" s="1399"/>
      <c r="H20" s="1408"/>
      <c r="I20" s="1400"/>
      <c r="J20" s="1380"/>
      <c r="K20" s="1380"/>
      <c r="L20" s="1380"/>
      <c r="M20" s="608"/>
      <c r="N20" s="608"/>
      <c r="O20" s="608"/>
      <c r="P20" s="608"/>
      <c r="Q20" s="266"/>
      <c r="R20" s="266"/>
      <c r="S20" s="268"/>
      <c r="T20" s="269" t="e">
        <f>VLOOKUP(Q20,[71]Listas!$D$6:$E$10,2,0)</f>
        <v>#N/A</v>
      </c>
      <c r="U20" s="269" t="e">
        <f>HLOOKUP(R20,[71]Listas!$F$4:$J$5,2,0)</f>
        <v>#N/A</v>
      </c>
      <c r="V20" s="270" t="e">
        <f>INDEX([71]Listas!$F$6:$J$10,MATCH(Q20,[71]Listas!$D$6:$D$10,0),MATCH(R20,[71]Listas!$F$4:$J$4,0))</f>
        <v>#N/A</v>
      </c>
      <c r="W20" s="268"/>
      <c r="X20" s="1399"/>
      <c r="Y20" s="1408"/>
      <c r="Z20" s="1400"/>
      <c r="AA20" s="1063"/>
      <c r="AB20" s="267"/>
      <c r="AC20" s="259"/>
      <c r="AD20" s="608"/>
      <c r="AE20" s="267"/>
      <c r="AF20" s="268"/>
      <c r="AG20" s="269">
        <f t="shared" si="0"/>
        <v>0</v>
      </c>
      <c r="AH20" s="271" t="e">
        <f t="shared" si="1"/>
        <v>#N/A</v>
      </c>
      <c r="AI20" s="272" t="e">
        <f>IF(AH20&lt;=1,"Remota",VLOOKUP(AH20,[71]Listas!$C$6:$D$10,2,0))</f>
        <v>#N/A</v>
      </c>
      <c r="AJ20" s="271" t="e">
        <f t="shared" si="2"/>
        <v>#N/A</v>
      </c>
      <c r="AK20" s="272" t="e">
        <f>IF(AJ20&lt;=1,"Insignificante",HLOOKUP(AJ20,[71]Listas!$F$3:$J$4,2,0))</f>
        <v>#N/A</v>
      </c>
      <c r="AL20" s="273" t="e">
        <f t="shared" si="3"/>
        <v>#N/A</v>
      </c>
      <c r="AM20" s="270" t="e">
        <f>INDEX([71]Listas!$F$6:$J$10,MATCH(AI20,[71]Listas!$D$6:$D$10,0),MATCH(AK20,[71]Listas!$F$4:$J$4,0))</f>
        <v>#N/A</v>
      </c>
      <c r="AN20" s="259"/>
      <c r="AO20" s="259"/>
      <c r="AP20" s="610"/>
      <c r="AQ20" s="259"/>
      <c r="AR20" s="259" t="s">
        <v>2343</v>
      </c>
      <c r="AS20" s="608"/>
      <c r="AT20" s="259"/>
      <c r="AU20" s="259"/>
      <c r="AV20" s="261"/>
      <c r="AW20" s="261"/>
      <c r="AX20" s="608"/>
      <c r="AY20" s="262"/>
    </row>
    <row r="21" spans="1:51" s="260" customFormat="1" ht="103.5" hidden="1" customHeight="1">
      <c r="A21" s="608"/>
      <c r="B21" s="266"/>
      <c r="C21" s="1399"/>
      <c r="D21" s="1408"/>
      <c r="E21" s="1400"/>
      <c r="F21" s="267"/>
      <c r="G21" s="1399"/>
      <c r="H21" s="1408"/>
      <c r="I21" s="1400"/>
      <c r="J21" s="1380"/>
      <c r="K21" s="1380"/>
      <c r="L21" s="1380"/>
      <c r="M21" s="608"/>
      <c r="N21" s="608"/>
      <c r="O21" s="608"/>
      <c r="P21" s="608"/>
      <c r="Q21" s="266"/>
      <c r="R21" s="266"/>
      <c r="S21" s="268"/>
      <c r="T21" s="269" t="e">
        <f>VLOOKUP(Q21,[71]Listas!$D$6:$E$10,2,0)</f>
        <v>#N/A</v>
      </c>
      <c r="U21" s="269" t="e">
        <f>HLOOKUP(R21,[71]Listas!$F$4:$J$5,2,0)</f>
        <v>#N/A</v>
      </c>
      <c r="V21" s="270" t="e">
        <f>INDEX([71]Listas!$F$6:$J$10,MATCH(Q21,[71]Listas!$D$6:$D$10,0),MATCH(R21,[71]Listas!$F$4:$J$4,0))</f>
        <v>#N/A</v>
      </c>
      <c r="W21" s="268"/>
      <c r="X21" s="1399"/>
      <c r="Y21" s="1408"/>
      <c r="Z21" s="1400"/>
      <c r="AA21" s="1063"/>
      <c r="AB21" s="267"/>
      <c r="AC21" s="259"/>
      <c r="AD21" s="608"/>
      <c r="AE21" s="267"/>
      <c r="AF21" s="268"/>
      <c r="AG21" s="269">
        <f t="shared" si="0"/>
        <v>0</v>
      </c>
      <c r="AH21" s="271" t="e">
        <f t="shared" si="1"/>
        <v>#N/A</v>
      </c>
      <c r="AI21" s="272" t="e">
        <f>IF(AH21&lt;=1,"Remota",VLOOKUP(AH21,[71]Listas!$C$6:$D$10,2,0))</f>
        <v>#N/A</v>
      </c>
      <c r="AJ21" s="271" t="e">
        <f t="shared" si="2"/>
        <v>#N/A</v>
      </c>
      <c r="AK21" s="272" t="e">
        <f>IF(AJ21&lt;=1,"Insignificante",HLOOKUP(AJ21,[71]Listas!$F$3:$J$4,2,0))</f>
        <v>#N/A</v>
      </c>
      <c r="AL21" s="273" t="e">
        <f t="shared" si="3"/>
        <v>#N/A</v>
      </c>
      <c r="AM21" s="270" t="e">
        <f>INDEX([71]Listas!$F$6:$J$10,MATCH(AI21,[71]Listas!$D$6:$D$10,0),MATCH(AK21,[71]Listas!$F$4:$J$4,0))</f>
        <v>#N/A</v>
      </c>
      <c r="AN21" s="259"/>
      <c r="AO21" s="259"/>
      <c r="AP21" s="610"/>
      <c r="AQ21" s="259"/>
      <c r="AR21" s="259" t="s">
        <v>2343</v>
      </c>
      <c r="AS21" s="608"/>
      <c r="AT21" s="259"/>
      <c r="AU21" s="259"/>
      <c r="AV21" s="261"/>
      <c r="AW21" s="261"/>
      <c r="AX21" s="608"/>
      <c r="AY21" s="262"/>
    </row>
    <row r="22" spans="1:51" s="260" customFormat="1" ht="103.5" hidden="1" customHeight="1">
      <c r="A22" s="608"/>
      <c r="B22" s="266"/>
      <c r="C22" s="1399"/>
      <c r="D22" s="1408"/>
      <c r="E22" s="1400"/>
      <c r="F22" s="267"/>
      <c r="G22" s="1399"/>
      <c r="H22" s="1408"/>
      <c r="I22" s="1400"/>
      <c r="J22" s="1380"/>
      <c r="K22" s="1380"/>
      <c r="L22" s="1380"/>
      <c r="M22" s="608"/>
      <c r="N22" s="608"/>
      <c r="O22" s="608"/>
      <c r="P22" s="608"/>
      <c r="Q22" s="266"/>
      <c r="R22" s="266"/>
      <c r="S22" s="268"/>
      <c r="T22" s="269" t="e">
        <f>VLOOKUP(Q22,[71]Listas!$D$6:$E$10,2,0)</f>
        <v>#N/A</v>
      </c>
      <c r="U22" s="269" t="e">
        <f>HLOOKUP(R22,[71]Listas!$F$4:$J$5,2,0)</f>
        <v>#N/A</v>
      </c>
      <c r="V22" s="270" t="e">
        <f>INDEX([71]Listas!$F$6:$J$10,MATCH(Q22,[71]Listas!$D$6:$D$10,0),MATCH(R22,[71]Listas!$F$4:$J$4,0))</f>
        <v>#N/A</v>
      </c>
      <c r="W22" s="268"/>
      <c r="X22" s="1399"/>
      <c r="Y22" s="1408"/>
      <c r="Z22" s="1400"/>
      <c r="AA22" s="1063"/>
      <c r="AB22" s="267"/>
      <c r="AC22" s="259"/>
      <c r="AD22" s="608"/>
      <c r="AE22" s="267"/>
      <c r="AF22" s="268"/>
      <c r="AG22" s="269">
        <f t="shared" si="0"/>
        <v>0</v>
      </c>
      <c r="AH22" s="271" t="e">
        <f t="shared" si="1"/>
        <v>#N/A</v>
      </c>
      <c r="AI22" s="272" t="e">
        <f>IF(AH22&lt;=1,"Remota",VLOOKUP(AH22,[71]Listas!$C$6:$D$10,2,0))</f>
        <v>#N/A</v>
      </c>
      <c r="AJ22" s="271" t="e">
        <f t="shared" si="2"/>
        <v>#N/A</v>
      </c>
      <c r="AK22" s="272" t="e">
        <f>IF(AJ22&lt;=1,"Insignificante",HLOOKUP(AJ22,[71]Listas!$F$3:$J$4,2,0))</f>
        <v>#N/A</v>
      </c>
      <c r="AL22" s="273" t="e">
        <f t="shared" si="3"/>
        <v>#N/A</v>
      </c>
      <c r="AM22" s="270" t="e">
        <f>INDEX([71]Listas!$F$6:$J$10,MATCH(AI22,[71]Listas!$D$6:$D$10,0),MATCH(AK22,[71]Listas!$F$4:$J$4,0))</f>
        <v>#N/A</v>
      </c>
      <c r="AN22" s="259"/>
      <c r="AO22" s="259"/>
      <c r="AP22" s="610"/>
      <c r="AQ22" s="259"/>
      <c r="AR22" s="259" t="s">
        <v>2343</v>
      </c>
      <c r="AS22" s="608"/>
      <c r="AT22" s="259"/>
      <c r="AU22" s="259"/>
      <c r="AV22" s="261"/>
      <c r="AW22" s="261"/>
      <c r="AX22" s="608"/>
      <c r="AY22" s="262"/>
    </row>
    <row r="23" spans="1:51" s="260" customFormat="1" ht="103.5" hidden="1" customHeight="1">
      <c r="A23" s="608"/>
      <c r="B23" s="266"/>
      <c r="C23" s="1399"/>
      <c r="D23" s="1408"/>
      <c r="E23" s="1400"/>
      <c r="F23" s="267"/>
      <c r="G23" s="1399"/>
      <c r="H23" s="1408"/>
      <c r="I23" s="1400"/>
      <c r="J23" s="1380"/>
      <c r="K23" s="1380"/>
      <c r="L23" s="1380"/>
      <c r="M23" s="608"/>
      <c r="N23" s="608"/>
      <c r="O23" s="608"/>
      <c r="P23" s="608"/>
      <c r="Q23" s="266"/>
      <c r="R23" s="266"/>
      <c r="S23" s="268"/>
      <c r="T23" s="269" t="e">
        <f>VLOOKUP(Q23,[71]Listas!$D$6:$E$10,2,0)</f>
        <v>#N/A</v>
      </c>
      <c r="U23" s="269" t="e">
        <f>HLOOKUP(R23,[71]Listas!$F$4:$J$5,2,0)</f>
        <v>#N/A</v>
      </c>
      <c r="V23" s="270" t="e">
        <f>INDEX([71]Listas!$F$6:$J$10,MATCH(Q23,[71]Listas!$D$6:$D$10,0),MATCH(R23,[71]Listas!$F$4:$J$4,0))</f>
        <v>#N/A</v>
      </c>
      <c r="W23" s="268"/>
      <c r="X23" s="1399"/>
      <c r="Y23" s="1408"/>
      <c r="Z23" s="1400"/>
      <c r="AA23" s="1063"/>
      <c r="AB23" s="267"/>
      <c r="AC23" s="259"/>
      <c r="AD23" s="608"/>
      <c r="AE23" s="267"/>
      <c r="AF23" s="268"/>
      <c r="AG23" s="269">
        <f t="shared" si="0"/>
        <v>0</v>
      </c>
      <c r="AH23" s="271" t="e">
        <f t="shared" si="1"/>
        <v>#N/A</v>
      </c>
      <c r="AI23" s="272" t="e">
        <f>IF(AH23&lt;=1,"Remota",VLOOKUP(AH23,[71]Listas!$C$6:$D$10,2,0))</f>
        <v>#N/A</v>
      </c>
      <c r="AJ23" s="271" t="e">
        <f t="shared" si="2"/>
        <v>#N/A</v>
      </c>
      <c r="AK23" s="272" t="e">
        <f>IF(AJ23&lt;=1,"Insignificante",HLOOKUP(AJ23,[71]Listas!$F$3:$J$4,2,0))</f>
        <v>#N/A</v>
      </c>
      <c r="AL23" s="273" t="e">
        <f t="shared" si="3"/>
        <v>#N/A</v>
      </c>
      <c r="AM23" s="270" t="e">
        <f>INDEX([71]Listas!$F$6:$J$10,MATCH(AI23,[71]Listas!$D$6:$D$10,0),MATCH(AK23,[71]Listas!$F$4:$J$4,0))</f>
        <v>#N/A</v>
      </c>
      <c r="AN23" s="259"/>
      <c r="AO23" s="259"/>
      <c r="AP23" s="610"/>
      <c r="AQ23" s="259"/>
      <c r="AR23" s="259" t="s">
        <v>2343</v>
      </c>
      <c r="AS23" s="608"/>
      <c r="AT23" s="259"/>
      <c r="AU23" s="259"/>
      <c r="AV23" s="261"/>
      <c r="AW23" s="261"/>
      <c r="AX23" s="608"/>
      <c r="AY23" s="262"/>
    </row>
    <row r="24" spans="1:51" s="260" customFormat="1" ht="103.5" hidden="1" customHeight="1">
      <c r="A24" s="608"/>
      <c r="B24" s="266"/>
      <c r="C24" s="1399"/>
      <c r="D24" s="1408"/>
      <c r="E24" s="1400"/>
      <c r="F24" s="267"/>
      <c r="G24" s="1399"/>
      <c r="H24" s="1408"/>
      <c r="I24" s="1400"/>
      <c r="J24" s="1380"/>
      <c r="K24" s="1380"/>
      <c r="L24" s="1380"/>
      <c r="M24" s="608"/>
      <c r="N24" s="608"/>
      <c r="O24" s="608"/>
      <c r="P24" s="608"/>
      <c r="Q24" s="266"/>
      <c r="R24" s="266"/>
      <c r="S24" s="268"/>
      <c r="T24" s="269" t="e">
        <f>VLOOKUP(Q24,[71]Listas!$D$6:$E$10,2,0)</f>
        <v>#N/A</v>
      </c>
      <c r="U24" s="269" t="e">
        <f>HLOOKUP(R24,[71]Listas!$F$4:$J$5,2,0)</f>
        <v>#N/A</v>
      </c>
      <c r="V24" s="270" t="e">
        <f>INDEX([71]Listas!$F$6:$J$10,MATCH(Q24,[71]Listas!$D$6:$D$10,0),MATCH(R24,[71]Listas!$F$4:$J$4,0))</f>
        <v>#N/A</v>
      </c>
      <c r="W24" s="268"/>
      <c r="X24" s="1399"/>
      <c r="Y24" s="1408"/>
      <c r="Z24" s="1400"/>
      <c r="AA24" s="1063"/>
      <c r="AB24" s="267"/>
      <c r="AC24" s="259"/>
      <c r="AD24" s="608"/>
      <c r="AE24" s="267"/>
      <c r="AF24" s="268"/>
      <c r="AG24" s="269">
        <f t="shared" si="0"/>
        <v>0</v>
      </c>
      <c r="AH24" s="271" t="e">
        <f t="shared" si="1"/>
        <v>#N/A</v>
      </c>
      <c r="AI24" s="272" t="e">
        <f>IF(AH24&lt;=1,"Remota",VLOOKUP(AH24,[71]Listas!$C$6:$D$10,2,0))</f>
        <v>#N/A</v>
      </c>
      <c r="AJ24" s="271" t="e">
        <f t="shared" si="2"/>
        <v>#N/A</v>
      </c>
      <c r="AK24" s="272" t="e">
        <f>IF(AJ24&lt;=1,"Insignificante",HLOOKUP(AJ24,[71]Listas!$F$3:$J$4,2,0))</f>
        <v>#N/A</v>
      </c>
      <c r="AL24" s="273" t="e">
        <f t="shared" si="3"/>
        <v>#N/A</v>
      </c>
      <c r="AM24" s="270" t="e">
        <f>INDEX([71]Listas!$F$6:$J$10,MATCH(AI24,[71]Listas!$D$6:$D$10,0),MATCH(AK24,[71]Listas!$F$4:$J$4,0))</f>
        <v>#N/A</v>
      </c>
      <c r="AN24" s="259"/>
      <c r="AO24" s="259"/>
      <c r="AP24" s="610"/>
      <c r="AQ24" s="259"/>
      <c r="AR24" s="259" t="s">
        <v>2343</v>
      </c>
      <c r="AS24" s="608"/>
      <c r="AT24" s="259"/>
      <c r="AU24" s="259"/>
      <c r="AV24" s="261"/>
      <c r="AW24" s="261"/>
      <c r="AX24" s="608"/>
      <c r="AY24" s="262"/>
    </row>
    <row r="25" spans="1:51" s="260" customFormat="1" ht="103.5" hidden="1" customHeight="1">
      <c r="A25" s="608"/>
      <c r="B25" s="266"/>
      <c r="C25" s="1399"/>
      <c r="D25" s="1408"/>
      <c r="E25" s="1400"/>
      <c r="F25" s="267"/>
      <c r="G25" s="1399"/>
      <c r="H25" s="1408"/>
      <c r="I25" s="1400"/>
      <c r="J25" s="1380"/>
      <c r="K25" s="1380"/>
      <c r="L25" s="1380"/>
      <c r="M25" s="608"/>
      <c r="N25" s="608"/>
      <c r="O25" s="608"/>
      <c r="P25" s="608"/>
      <c r="Q25" s="266"/>
      <c r="R25" s="266"/>
      <c r="S25" s="268"/>
      <c r="T25" s="269" t="e">
        <f>VLOOKUP(Q25,[71]Listas!$D$6:$E$10,2,0)</f>
        <v>#N/A</v>
      </c>
      <c r="U25" s="269" t="e">
        <f>HLOOKUP(R25,[71]Listas!$F$4:$J$5,2,0)</f>
        <v>#N/A</v>
      </c>
      <c r="V25" s="270" t="e">
        <f>INDEX([71]Listas!$F$6:$J$10,MATCH(Q25,[71]Listas!$D$6:$D$10,0),MATCH(R25,[71]Listas!$F$4:$J$4,0))</f>
        <v>#N/A</v>
      </c>
      <c r="W25" s="268"/>
      <c r="X25" s="1399"/>
      <c r="Y25" s="1408"/>
      <c r="Z25" s="1400"/>
      <c r="AA25" s="1063"/>
      <c r="AB25" s="267"/>
      <c r="AC25" s="259"/>
      <c r="AD25" s="608"/>
      <c r="AE25" s="267"/>
      <c r="AF25" s="268"/>
      <c r="AG25" s="269">
        <f t="shared" si="0"/>
        <v>0</v>
      </c>
      <c r="AH25" s="271" t="e">
        <f t="shared" si="1"/>
        <v>#N/A</v>
      </c>
      <c r="AI25" s="272" t="e">
        <f>IF(AH25&lt;=1,"Remota",VLOOKUP(AH25,[71]Listas!$C$6:$D$10,2,0))</f>
        <v>#N/A</v>
      </c>
      <c r="AJ25" s="271" t="e">
        <f t="shared" si="2"/>
        <v>#N/A</v>
      </c>
      <c r="AK25" s="272" t="e">
        <f>IF(AJ25&lt;=1,"Insignificante",HLOOKUP(AJ25,[71]Listas!$F$3:$J$4,2,0))</f>
        <v>#N/A</v>
      </c>
      <c r="AL25" s="273" t="e">
        <f t="shared" si="3"/>
        <v>#N/A</v>
      </c>
      <c r="AM25" s="270" t="e">
        <f>INDEX([71]Listas!$F$6:$J$10,MATCH(AI25,[71]Listas!$D$6:$D$10,0),MATCH(AK25,[71]Listas!$F$4:$J$4,0))</f>
        <v>#N/A</v>
      </c>
      <c r="AN25" s="259"/>
      <c r="AO25" s="259"/>
      <c r="AP25" s="610"/>
      <c r="AQ25" s="259"/>
      <c r="AR25" s="259" t="s">
        <v>2343</v>
      </c>
      <c r="AS25" s="608"/>
      <c r="AT25" s="259"/>
      <c r="AU25" s="259"/>
      <c r="AV25" s="261"/>
      <c r="AW25" s="261"/>
      <c r="AX25" s="608"/>
      <c r="AY25" s="262"/>
    </row>
    <row r="26" spans="1:51" s="260" customFormat="1" ht="103.5" hidden="1" customHeight="1">
      <c r="A26" s="608"/>
      <c r="B26" s="266"/>
      <c r="C26" s="1399"/>
      <c r="D26" s="1408"/>
      <c r="E26" s="1400"/>
      <c r="F26" s="267"/>
      <c r="G26" s="1399"/>
      <c r="H26" s="1408"/>
      <c r="I26" s="1400"/>
      <c r="J26" s="1380"/>
      <c r="K26" s="1380"/>
      <c r="L26" s="1380"/>
      <c r="M26" s="608"/>
      <c r="N26" s="608"/>
      <c r="O26" s="608"/>
      <c r="P26" s="608"/>
      <c r="Q26" s="266"/>
      <c r="R26" s="266"/>
      <c r="S26" s="268"/>
      <c r="T26" s="269" t="e">
        <f>VLOOKUP(Q26,[71]Listas!$D$6:$E$10,2,0)</f>
        <v>#N/A</v>
      </c>
      <c r="U26" s="269" t="e">
        <f>HLOOKUP(R26,[71]Listas!$F$4:$J$5,2,0)</f>
        <v>#N/A</v>
      </c>
      <c r="V26" s="270" t="e">
        <f>INDEX([71]Listas!$F$6:$J$10,MATCH(Q26,[71]Listas!$D$6:$D$10,0),MATCH(R26,[71]Listas!$F$4:$J$4,0))</f>
        <v>#N/A</v>
      </c>
      <c r="W26" s="268"/>
      <c r="X26" s="1399"/>
      <c r="Y26" s="1408"/>
      <c r="Z26" s="1400"/>
      <c r="AA26" s="1063"/>
      <c r="AB26" s="267"/>
      <c r="AC26" s="259"/>
      <c r="AD26" s="608"/>
      <c r="AE26" s="267"/>
      <c r="AF26" s="268"/>
      <c r="AG26" s="269">
        <f t="shared" si="0"/>
        <v>0</v>
      </c>
      <c r="AH26" s="271" t="e">
        <f t="shared" si="1"/>
        <v>#N/A</v>
      </c>
      <c r="AI26" s="272" t="e">
        <f>IF(AH26&lt;=1,"Remota",VLOOKUP(AH26,[71]Listas!$C$6:$D$10,2,0))</f>
        <v>#N/A</v>
      </c>
      <c r="AJ26" s="271" t="e">
        <f t="shared" si="2"/>
        <v>#N/A</v>
      </c>
      <c r="AK26" s="272" t="e">
        <f>IF(AJ26&lt;=1,"Insignificante",HLOOKUP(AJ26,[71]Listas!$F$3:$J$4,2,0))</f>
        <v>#N/A</v>
      </c>
      <c r="AL26" s="273" t="e">
        <f t="shared" si="3"/>
        <v>#N/A</v>
      </c>
      <c r="AM26" s="270" t="e">
        <f>INDEX([71]Listas!$F$6:$J$10,MATCH(AI26,[71]Listas!$D$6:$D$10,0),MATCH(AK26,[71]Listas!$F$4:$J$4,0))</f>
        <v>#N/A</v>
      </c>
      <c r="AN26" s="259"/>
      <c r="AO26" s="259"/>
      <c r="AP26" s="610"/>
      <c r="AQ26" s="259"/>
      <c r="AR26" s="259" t="s">
        <v>2343</v>
      </c>
      <c r="AS26" s="608"/>
      <c r="AT26" s="259"/>
      <c r="AU26" s="259"/>
      <c r="AV26" s="261"/>
      <c r="AW26" s="261"/>
      <c r="AX26" s="608"/>
      <c r="AY26" s="262"/>
    </row>
    <row r="27" spans="1:51" s="260" customFormat="1" ht="103.5" hidden="1" customHeight="1">
      <c r="A27" s="608"/>
      <c r="B27" s="266"/>
      <c r="C27" s="1399"/>
      <c r="D27" s="1408"/>
      <c r="E27" s="1400"/>
      <c r="F27" s="267"/>
      <c r="G27" s="1399"/>
      <c r="H27" s="1408"/>
      <c r="I27" s="1400"/>
      <c r="J27" s="1380"/>
      <c r="K27" s="1380"/>
      <c r="L27" s="1380"/>
      <c r="M27" s="608"/>
      <c r="N27" s="608"/>
      <c r="O27" s="608"/>
      <c r="P27" s="608"/>
      <c r="Q27" s="266"/>
      <c r="R27" s="266"/>
      <c r="S27" s="268"/>
      <c r="T27" s="269" t="e">
        <f>VLOOKUP(Q27,[71]Listas!$D$6:$E$10,2,0)</f>
        <v>#N/A</v>
      </c>
      <c r="U27" s="269" t="e">
        <f>HLOOKUP(R27,[71]Listas!$F$4:$J$5,2,0)</f>
        <v>#N/A</v>
      </c>
      <c r="V27" s="270" t="e">
        <f>INDEX([71]Listas!$F$6:$J$10,MATCH(Q27,[71]Listas!$D$6:$D$10,0),MATCH(R27,[71]Listas!$F$4:$J$4,0))</f>
        <v>#N/A</v>
      </c>
      <c r="W27" s="268"/>
      <c r="X27" s="1399"/>
      <c r="Y27" s="1408"/>
      <c r="Z27" s="1400"/>
      <c r="AA27" s="1063"/>
      <c r="AB27" s="267"/>
      <c r="AC27" s="259"/>
      <c r="AD27" s="608"/>
      <c r="AE27" s="267"/>
      <c r="AF27" s="268"/>
      <c r="AG27" s="269">
        <f t="shared" si="0"/>
        <v>0</v>
      </c>
      <c r="AH27" s="271" t="e">
        <f t="shared" si="1"/>
        <v>#N/A</v>
      </c>
      <c r="AI27" s="272" t="e">
        <f>IF(AH27&lt;=1,"Remota",VLOOKUP(AH27,[71]Listas!$C$6:$D$10,2,0))</f>
        <v>#N/A</v>
      </c>
      <c r="AJ27" s="271" t="e">
        <f t="shared" si="2"/>
        <v>#N/A</v>
      </c>
      <c r="AK27" s="272" t="e">
        <f>IF(AJ27&lt;=1,"Insignificante",HLOOKUP(AJ27,[71]Listas!$F$3:$J$4,2,0))</f>
        <v>#N/A</v>
      </c>
      <c r="AL27" s="273" t="e">
        <f t="shared" si="3"/>
        <v>#N/A</v>
      </c>
      <c r="AM27" s="270" t="e">
        <f>INDEX([71]Listas!$F$6:$J$10,MATCH(AI27,[71]Listas!$D$6:$D$10,0),MATCH(AK27,[71]Listas!$F$4:$J$4,0))</f>
        <v>#N/A</v>
      </c>
      <c r="AN27" s="259"/>
      <c r="AO27" s="259"/>
      <c r="AP27" s="610"/>
      <c r="AQ27" s="259"/>
      <c r="AR27" s="259" t="s">
        <v>2343</v>
      </c>
      <c r="AS27" s="608"/>
      <c r="AT27" s="259"/>
      <c r="AU27" s="259"/>
      <c r="AV27" s="261"/>
      <c r="AW27" s="261"/>
      <c r="AX27" s="608"/>
      <c r="AY27" s="262"/>
    </row>
    <row r="28" spans="1:51" s="260" customFormat="1" ht="103.5" hidden="1" customHeight="1">
      <c r="A28" s="608"/>
      <c r="B28" s="266"/>
      <c r="C28" s="1399"/>
      <c r="D28" s="1408"/>
      <c r="E28" s="1400"/>
      <c r="F28" s="267"/>
      <c r="G28" s="1399"/>
      <c r="H28" s="1408"/>
      <c r="I28" s="1400"/>
      <c r="J28" s="1380"/>
      <c r="K28" s="1380"/>
      <c r="L28" s="1380"/>
      <c r="M28" s="608"/>
      <c r="N28" s="608"/>
      <c r="O28" s="608"/>
      <c r="P28" s="608"/>
      <c r="Q28" s="266"/>
      <c r="R28" s="266"/>
      <c r="S28" s="268"/>
      <c r="T28" s="269" t="e">
        <f>VLOOKUP(Q28,[71]Listas!$D$6:$E$10,2,0)</f>
        <v>#N/A</v>
      </c>
      <c r="U28" s="269" t="e">
        <f>HLOOKUP(R28,[71]Listas!$F$4:$J$5,2,0)</f>
        <v>#N/A</v>
      </c>
      <c r="V28" s="270" t="e">
        <f>INDEX([71]Listas!$F$6:$J$10,MATCH(Q28,[71]Listas!$D$6:$D$10,0),MATCH(R28,[71]Listas!$F$4:$J$4,0))</f>
        <v>#N/A</v>
      </c>
      <c r="W28" s="268"/>
      <c r="X28" s="1399"/>
      <c r="Y28" s="1408"/>
      <c r="Z28" s="1400"/>
      <c r="AA28" s="1063"/>
      <c r="AB28" s="267"/>
      <c r="AC28" s="259"/>
      <c r="AD28" s="608"/>
      <c r="AE28" s="267"/>
      <c r="AF28" s="268"/>
      <c r="AG28" s="269">
        <f t="shared" si="0"/>
        <v>0</v>
      </c>
      <c r="AH28" s="271" t="e">
        <f t="shared" si="1"/>
        <v>#N/A</v>
      </c>
      <c r="AI28" s="272" t="e">
        <f>IF(AH28&lt;=1,"Remota",VLOOKUP(AH28,[71]Listas!$C$6:$D$10,2,0))</f>
        <v>#N/A</v>
      </c>
      <c r="AJ28" s="271" t="e">
        <f t="shared" si="2"/>
        <v>#N/A</v>
      </c>
      <c r="AK28" s="272" t="e">
        <f>IF(AJ28&lt;=1,"Insignificante",HLOOKUP(AJ28,[71]Listas!$F$3:$J$4,2,0))</f>
        <v>#N/A</v>
      </c>
      <c r="AL28" s="273" t="e">
        <f t="shared" si="3"/>
        <v>#N/A</v>
      </c>
      <c r="AM28" s="270" t="e">
        <f>INDEX([71]Listas!$F$6:$J$10,MATCH(AI28,[71]Listas!$D$6:$D$10,0),MATCH(AK28,[71]Listas!$F$4:$J$4,0))</f>
        <v>#N/A</v>
      </c>
      <c r="AN28" s="259"/>
      <c r="AO28" s="259"/>
      <c r="AP28" s="610"/>
      <c r="AQ28" s="259"/>
      <c r="AR28" s="259" t="s">
        <v>2343</v>
      </c>
      <c r="AS28" s="608"/>
      <c r="AT28" s="259"/>
      <c r="AU28" s="259"/>
      <c r="AV28" s="261"/>
      <c r="AW28" s="261"/>
      <c r="AX28" s="608"/>
      <c r="AY28" s="262"/>
    </row>
    <row r="29" spans="1:51" s="260" customFormat="1" ht="103.5" hidden="1" customHeight="1">
      <c r="A29" s="608"/>
      <c r="B29" s="266"/>
      <c r="C29" s="1399"/>
      <c r="D29" s="1408"/>
      <c r="E29" s="1400"/>
      <c r="F29" s="267"/>
      <c r="G29" s="1399"/>
      <c r="H29" s="1408"/>
      <c r="I29" s="1400"/>
      <c r="J29" s="1380"/>
      <c r="K29" s="1380"/>
      <c r="L29" s="1380"/>
      <c r="M29" s="608"/>
      <c r="N29" s="608"/>
      <c r="O29" s="608"/>
      <c r="P29" s="608"/>
      <c r="Q29" s="266"/>
      <c r="R29" s="266"/>
      <c r="S29" s="268"/>
      <c r="T29" s="269" t="e">
        <f>VLOOKUP(Q29,[71]Listas!$D$6:$E$10,2,0)</f>
        <v>#N/A</v>
      </c>
      <c r="U29" s="269" t="e">
        <f>HLOOKUP(R29,[71]Listas!$F$4:$J$5,2,0)</f>
        <v>#N/A</v>
      </c>
      <c r="V29" s="270" t="e">
        <f>INDEX([71]Listas!$F$6:$J$10,MATCH(Q29,[71]Listas!$D$6:$D$10,0),MATCH(R29,[71]Listas!$F$4:$J$4,0))</f>
        <v>#N/A</v>
      </c>
      <c r="W29" s="268"/>
      <c r="X29" s="1399"/>
      <c r="Y29" s="1408"/>
      <c r="Z29" s="1400"/>
      <c r="AA29" s="1063"/>
      <c r="AB29" s="267"/>
      <c r="AC29" s="259"/>
      <c r="AD29" s="608"/>
      <c r="AE29" s="267"/>
      <c r="AF29" s="268"/>
      <c r="AG29" s="269">
        <f t="shared" si="0"/>
        <v>0</v>
      </c>
      <c r="AH29" s="271" t="e">
        <f t="shared" si="1"/>
        <v>#N/A</v>
      </c>
      <c r="AI29" s="272" t="e">
        <f>IF(AH29&lt;=1,"Remota",VLOOKUP(AH29,[71]Listas!$C$6:$D$10,2,0))</f>
        <v>#N/A</v>
      </c>
      <c r="AJ29" s="271" t="e">
        <f t="shared" si="2"/>
        <v>#N/A</v>
      </c>
      <c r="AK29" s="272" t="e">
        <f>IF(AJ29&lt;=1,"Insignificante",HLOOKUP(AJ29,[71]Listas!$F$3:$J$4,2,0))</f>
        <v>#N/A</v>
      </c>
      <c r="AL29" s="273" t="e">
        <f t="shared" si="3"/>
        <v>#N/A</v>
      </c>
      <c r="AM29" s="270" t="e">
        <f>INDEX([71]Listas!$F$6:$J$10,MATCH(AI29,[71]Listas!$D$6:$D$10,0),MATCH(AK29,[71]Listas!$F$4:$J$4,0))</f>
        <v>#N/A</v>
      </c>
      <c r="AN29" s="259"/>
      <c r="AO29" s="259"/>
      <c r="AP29" s="610"/>
      <c r="AQ29" s="259"/>
      <c r="AR29" s="259" t="s">
        <v>2343</v>
      </c>
      <c r="AS29" s="608"/>
      <c r="AT29" s="259"/>
      <c r="AU29" s="259"/>
      <c r="AV29" s="261"/>
      <c r="AW29" s="261"/>
      <c r="AX29" s="608"/>
      <c r="AY29" s="262"/>
    </row>
    <row r="30" spans="1:51" s="260" customFormat="1" ht="103.5" hidden="1" customHeight="1">
      <c r="A30" s="608"/>
      <c r="B30" s="266"/>
      <c r="C30" s="1399"/>
      <c r="D30" s="1408"/>
      <c r="E30" s="1400"/>
      <c r="F30" s="267"/>
      <c r="G30" s="1399"/>
      <c r="H30" s="1408"/>
      <c r="I30" s="1400"/>
      <c r="J30" s="1380"/>
      <c r="K30" s="1380"/>
      <c r="L30" s="1380"/>
      <c r="M30" s="608"/>
      <c r="N30" s="608"/>
      <c r="O30" s="608"/>
      <c r="P30" s="608"/>
      <c r="Q30" s="266"/>
      <c r="R30" s="266"/>
      <c r="S30" s="268"/>
      <c r="T30" s="269" t="e">
        <f>VLOOKUP(Q30,[71]Listas!$D$6:$E$10,2,0)</f>
        <v>#N/A</v>
      </c>
      <c r="U30" s="269" t="e">
        <f>HLOOKUP(R30,[71]Listas!$F$4:$J$5,2,0)</f>
        <v>#N/A</v>
      </c>
      <c r="V30" s="270" t="e">
        <f>INDEX([71]Listas!$F$6:$J$10,MATCH(Q30,[71]Listas!$D$6:$D$10,0),MATCH(R30,[71]Listas!$F$4:$J$4,0))</f>
        <v>#N/A</v>
      </c>
      <c r="W30" s="268"/>
      <c r="X30" s="1399"/>
      <c r="Y30" s="1408"/>
      <c r="Z30" s="1400"/>
      <c r="AA30" s="1063"/>
      <c r="AB30" s="267"/>
      <c r="AC30" s="259"/>
      <c r="AD30" s="608"/>
      <c r="AE30" s="267"/>
      <c r="AF30" s="268"/>
      <c r="AG30" s="269">
        <f t="shared" si="0"/>
        <v>0</v>
      </c>
      <c r="AH30" s="271" t="e">
        <f t="shared" si="1"/>
        <v>#N/A</v>
      </c>
      <c r="AI30" s="272" t="e">
        <f>IF(AH30&lt;=1,"Remota",VLOOKUP(AH30,[71]Listas!$C$6:$D$10,2,0))</f>
        <v>#N/A</v>
      </c>
      <c r="AJ30" s="271" t="e">
        <f t="shared" si="2"/>
        <v>#N/A</v>
      </c>
      <c r="AK30" s="272" t="e">
        <f>IF(AJ30&lt;=1,"Insignificante",HLOOKUP(AJ30,[71]Listas!$F$3:$J$4,2,0))</f>
        <v>#N/A</v>
      </c>
      <c r="AL30" s="273" t="e">
        <f t="shared" si="3"/>
        <v>#N/A</v>
      </c>
      <c r="AM30" s="270" t="e">
        <f>INDEX([71]Listas!$F$6:$J$10,MATCH(AI30,[71]Listas!$D$6:$D$10,0),MATCH(AK30,[71]Listas!$F$4:$J$4,0))</f>
        <v>#N/A</v>
      </c>
      <c r="AN30" s="259"/>
      <c r="AO30" s="259"/>
      <c r="AP30" s="610"/>
      <c r="AQ30" s="259"/>
      <c r="AR30" s="259" t="s">
        <v>2343</v>
      </c>
      <c r="AS30" s="608"/>
      <c r="AT30" s="259"/>
      <c r="AU30" s="259"/>
      <c r="AV30" s="261"/>
      <c r="AW30" s="261"/>
      <c r="AX30" s="608"/>
      <c r="AY30" s="262"/>
    </row>
    <row r="31" spans="1:51" s="260" customFormat="1" ht="103.5" hidden="1" customHeight="1">
      <c r="A31" s="608"/>
      <c r="B31" s="266"/>
      <c r="C31" s="1399"/>
      <c r="D31" s="1408"/>
      <c r="E31" s="1400"/>
      <c r="F31" s="267"/>
      <c r="G31" s="1399"/>
      <c r="H31" s="1408"/>
      <c r="I31" s="1400"/>
      <c r="J31" s="1380"/>
      <c r="K31" s="1380"/>
      <c r="L31" s="1380"/>
      <c r="M31" s="608"/>
      <c r="N31" s="608"/>
      <c r="O31" s="608"/>
      <c r="P31" s="608"/>
      <c r="Q31" s="266"/>
      <c r="R31" s="266"/>
      <c r="S31" s="268"/>
      <c r="T31" s="269" t="e">
        <f>VLOOKUP(Q31,[71]Listas!$D$6:$E$10,2,0)</f>
        <v>#N/A</v>
      </c>
      <c r="U31" s="269" t="e">
        <f>HLOOKUP(R31,[71]Listas!$F$4:$J$5,2,0)</f>
        <v>#N/A</v>
      </c>
      <c r="V31" s="270" t="e">
        <f>INDEX([71]Listas!$F$6:$J$10,MATCH(Q31,[71]Listas!$D$6:$D$10,0),MATCH(R31,[71]Listas!$F$4:$J$4,0))</f>
        <v>#N/A</v>
      </c>
      <c r="W31" s="268"/>
      <c r="X31" s="1399"/>
      <c r="Y31" s="1408"/>
      <c r="Z31" s="1400"/>
      <c r="AA31" s="1063"/>
      <c r="AB31" s="267"/>
      <c r="AC31" s="259"/>
      <c r="AD31" s="608"/>
      <c r="AE31" s="267"/>
      <c r="AF31" s="268"/>
      <c r="AG31" s="269">
        <f t="shared" si="0"/>
        <v>0</v>
      </c>
      <c r="AH31" s="271" t="e">
        <f t="shared" si="1"/>
        <v>#N/A</v>
      </c>
      <c r="AI31" s="272" t="e">
        <f>IF(AH31&lt;=1,"Remota",VLOOKUP(AH31,[71]Listas!$C$6:$D$10,2,0))</f>
        <v>#N/A</v>
      </c>
      <c r="AJ31" s="271" t="e">
        <f t="shared" si="2"/>
        <v>#N/A</v>
      </c>
      <c r="AK31" s="272" t="e">
        <f>IF(AJ31&lt;=1,"Insignificante",HLOOKUP(AJ31,[71]Listas!$F$3:$J$4,2,0))</f>
        <v>#N/A</v>
      </c>
      <c r="AL31" s="273" t="e">
        <f t="shared" si="3"/>
        <v>#N/A</v>
      </c>
      <c r="AM31" s="270" t="e">
        <f>INDEX([71]Listas!$F$6:$J$10,MATCH(AI31,[71]Listas!$D$6:$D$10,0),MATCH(AK31,[71]Listas!$F$4:$J$4,0))</f>
        <v>#N/A</v>
      </c>
      <c r="AN31" s="259"/>
      <c r="AO31" s="259"/>
      <c r="AP31" s="610"/>
      <c r="AQ31" s="259"/>
      <c r="AR31" s="259" t="s">
        <v>2343</v>
      </c>
      <c r="AS31" s="608"/>
      <c r="AT31" s="259"/>
      <c r="AU31" s="259"/>
      <c r="AV31" s="261"/>
      <c r="AW31" s="261"/>
      <c r="AX31" s="608"/>
      <c r="AY31" s="262"/>
    </row>
    <row r="32" spans="1:51" s="260" customFormat="1" ht="103.5" hidden="1" customHeight="1">
      <c r="A32" s="608"/>
      <c r="B32" s="266"/>
      <c r="C32" s="1399"/>
      <c r="D32" s="1408"/>
      <c r="E32" s="1400"/>
      <c r="F32" s="267"/>
      <c r="G32" s="1399"/>
      <c r="H32" s="1408"/>
      <c r="I32" s="1400"/>
      <c r="J32" s="1380"/>
      <c r="K32" s="1380"/>
      <c r="L32" s="1380"/>
      <c r="M32" s="608"/>
      <c r="N32" s="608"/>
      <c r="O32" s="608"/>
      <c r="P32" s="608"/>
      <c r="Q32" s="266"/>
      <c r="R32" s="266"/>
      <c r="S32" s="268"/>
      <c r="T32" s="269" t="e">
        <f>VLOOKUP(Q32,[71]Listas!$D$6:$E$10,2,0)</f>
        <v>#N/A</v>
      </c>
      <c r="U32" s="269" t="e">
        <f>HLOOKUP(R32,[71]Listas!$F$4:$J$5,2,0)</f>
        <v>#N/A</v>
      </c>
      <c r="V32" s="270" t="e">
        <f>INDEX([71]Listas!$F$6:$J$10,MATCH(Q32,[71]Listas!$D$6:$D$10,0),MATCH(R32,[71]Listas!$F$4:$J$4,0))</f>
        <v>#N/A</v>
      </c>
      <c r="W32" s="268"/>
      <c r="X32" s="1399"/>
      <c r="Y32" s="1408"/>
      <c r="Z32" s="1400"/>
      <c r="AA32" s="1063"/>
      <c r="AB32" s="267"/>
      <c r="AC32" s="259"/>
      <c r="AD32" s="608"/>
      <c r="AE32" s="267"/>
      <c r="AF32" s="268"/>
      <c r="AG32" s="269">
        <f t="shared" si="0"/>
        <v>0</v>
      </c>
      <c r="AH32" s="271" t="e">
        <f t="shared" si="1"/>
        <v>#N/A</v>
      </c>
      <c r="AI32" s="272" t="e">
        <f>IF(AH32&lt;=1,"Remota",VLOOKUP(AH32,[71]Listas!$C$6:$D$10,2,0))</f>
        <v>#N/A</v>
      </c>
      <c r="AJ32" s="271" t="e">
        <f t="shared" si="2"/>
        <v>#N/A</v>
      </c>
      <c r="AK32" s="272" t="e">
        <f>IF(AJ32&lt;=1,"Insignificante",HLOOKUP(AJ32,[71]Listas!$F$3:$J$4,2,0))</f>
        <v>#N/A</v>
      </c>
      <c r="AL32" s="273" t="e">
        <f t="shared" si="3"/>
        <v>#N/A</v>
      </c>
      <c r="AM32" s="270" t="e">
        <f>INDEX([71]Listas!$F$6:$J$10,MATCH(AI32,[71]Listas!$D$6:$D$10,0),MATCH(AK32,[71]Listas!$F$4:$J$4,0))</f>
        <v>#N/A</v>
      </c>
      <c r="AN32" s="259"/>
      <c r="AO32" s="259"/>
      <c r="AP32" s="610"/>
      <c r="AQ32" s="259"/>
      <c r="AR32" s="259" t="s">
        <v>2343</v>
      </c>
      <c r="AS32" s="608"/>
      <c r="AT32" s="259"/>
      <c r="AU32" s="259"/>
      <c r="AV32" s="261"/>
      <c r="AW32" s="261"/>
      <c r="AX32" s="608"/>
      <c r="AY32" s="262"/>
    </row>
    <row r="33" spans="1:51" s="260" customFormat="1" ht="103.5" hidden="1" customHeight="1">
      <c r="A33" s="608"/>
      <c r="B33" s="266"/>
      <c r="C33" s="1399"/>
      <c r="D33" s="1408"/>
      <c r="E33" s="1400"/>
      <c r="F33" s="267"/>
      <c r="G33" s="1399"/>
      <c r="H33" s="1408"/>
      <c r="I33" s="1400"/>
      <c r="J33" s="1380"/>
      <c r="K33" s="1380"/>
      <c r="L33" s="1380"/>
      <c r="M33" s="608"/>
      <c r="N33" s="608"/>
      <c r="O33" s="608"/>
      <c r="P33" s="608"/>
      <c r="Q33" s="266"/>
      <c r="R33" s="266"/>
      <c r="S33" s="268"/>
      <c r="T33" s="269" t="e">
        <f>VLOOKUP(Q33,[71]Listas!$D$6:$E$10,2,0)</f>
        <v>#N/A</v>
      </c>
      <c r="U33" s="269" t="e">
        <f>HLOOKUP(R33,[71]Listas!$F$4:$J$5,2,0)</f>
        <v>#N/A</v>
      </c>
      <c r="V33" s="270" t="e">
        <f>INDEX([71]Listas!$F$6:$J$10,MATCH(Q33,[71]Listas!$D$6:$D$10,0),MATCH(R33,[71]Listas!$F$4:$J$4,0))</f>
        <v>#N/A</v>
      </c>
      <c r="W33" s="268"/>
      <c r="X33" s="1399"/>
      <c r="Y33" s="1408"/>
      <c r="Z33" s="1400"/>
      <c r="AA33" s="1063"/>
      <c r="AB33" s="267"/>
      <c r="AC33" s="259"/>
      <c r="AD33" s="608"/>
      <c r="AE33" s="267"/>
      <c r="AF33" s="268"/>
      <c r="AG33" s="269">
        <f t="shared" si="0"/>
        <v>0</v>
      </c>
      <c r="AH33" s="271" t="e">
        <f t="shared" si="1"/>
        <v>#N/A</v>
      </c>
      <c r="AI33" s="272" t="e">
        <f>IF(AH33&lt;=1,"Remota",VLOOKUP(AH33,[71]Listas!$C$6:$D$10,2,0))</f>
        <v>#N/A</v>
      </c>
      <c r="AJ33" s="271" t="e">
        <f t="shared" si="2"/>
        <v>#N/A</v>
      </c>
      <c r="AK33" s="272" t="e">
        <f>IF(AJ33&lt;=1,"Insignificante",HLOOKUP(AJ33,[71]Listas!$F$3:$J$4,2,0))</f>
        <v>#N/A</v>
      </c>
      <c r="AL33" s="273" t="e">
        <f t="shared" si="3"/>
        <v>#N/A</v>
      </c>
      <c r="AM33" s="270" t="e">
        <f>INDEX([71]Listas!$F$6:$J$10,MATCH(AI33,[71]Listas!$D$6:$D$10,0),MATCH(AK33,[71]Listas!$F$4:$J$4,0))</f>
        <v>#N/A</v>
      </c>
      <c r="AN33" s="259"/>
      <c r="AO33" s="259"/>
      <c r="AP33" s="610"/>
      <c r="AQ33" s="259"/>
      <c r="AR33" s="259" t="s">
        <v>2343</v>
      </c>
      <c r="AS33" s="608"/>
      <c r="AT33" s="259"/>
      <c r="AU33" s="259"/>
      <c r="AV33" s="261"/>
      <c r="AW33" s="261"/>
      <c r="AX33" s="608"/>
      <c r="AY33" s="262"/>
    </row>
    <row r="34" spans="1:51" s="260" customFormat="1" ht="103.5" hidden="1" customHeight="1">
      <c r="A34" s="608"/>
      <c r="B34" s="266"/>
      <c r="C34" s="1399"/>
      <c r="D34" s="1408"/>
      <c r="E34" s="1400"/>
      <c r="F34" s="267"/>
      <c r="G34" s="1399"/>
      <c r="H34" s="1408"/>
      <c r="I34" s="1400"/>
      <c r="J34" s="1380"/>
      <c r="K34" s="1380"/>
      <c r="L34" s="1380"/>
      <c r="M34" s="608"/>
      <c r="N34" s="608"/>
      <c r="O34" s="608"/>
      <c r="P34" s="608"/>
      <c r="Q34" s="266"/>
      <c r="R34" s="266"/>
      <c r="S34" s="268"/>
      <c r="T34" s="269" t="e">
        <f>VLOOKUP(Q34,[71]Listas!$D$6:$E$10,2,0)</f>
        <v>#N/A</v>
      </c>
      <c r="U34" s="269" t="e">
        <f>HLOOKUP(R34,[71]Listas!$F$4:$J$5,2,0)</f>
        <v>#N/A</v>
      </c>
      <c r="V34" s="270" t="e">
        <f>INDEX([71]Listas!$F$6:$J$10,MATCH(Q34,[71]Listas!$D$6:$D$10,0),MATCH(R34,[71]Listas!$F$4:$J$4,0))</f>
        <v>#N/A</v>
      </c>
      <c r="W34" s="268"/>
      <c r="X34" s="1399"/>
      <c r="Y34" s="1408"/>
      <c r="Z34" s="1400"/>
      <c r="AA34" s="1063"/>
      <c r="AB34" s="267"/>
      <c r="AC34" s="259"/>
      <c r="AD34" s="608"/>
      <c r="AE34" s="267"/>
      <c r="AF34" s="268"/>
      <c r="AG34" s="269">
        <f t="shared" si="0"/>
        <v>0</v>
      </c>
      <c r="AH34" s="271" t="e">
        <f t="shared" si="1"/>
        <v>#N/A</v>
      </c>
      <c r="AI34" s="272" t="e">
        <f>IF(AH34&lt;=1,"Remota",VLOOKUP(AH34,[71]Listas!$C$6:$D$10,2,0))</f>
        <v>#N/A</v>
      </c>
      <c r="AJ34" s="271" t="e">
        <f t="shared" si="2"/>
        <v>#N/A</v>
      </c>
      <c r="AK34" s="272" t="e">
        <f>IF(AJ34&lt;=1,"Insignificante",HLOOKUP(AJ34,[71]Listas!$F$3:$J$4,2,0))</f>
        <v>#N/A</v>
      </c>
      <c r="AL34" s="273" t="e">
        <f t="shared" si="3"/>
        <v>#N/A</v>
      </c>
      <c r="AM34" s="270" t="e">
        <f>INDEX([71]Listas!$F$6:$J$10,MATCH(AI34,[71]Listas!$D$6:$D$10,0),MATCH(AK34,[71]Listas!$F$4:$J$4,0))</f>
        <v>#N/A</v>
      </c>
      <c r="AN34" s="259"/>
      <c r="AO34" s="259"/>
      <c r="AP34" s="610"/>
      <c r="AQ34" s="259"/>
      <c r="AR34" s="259" t="s">
        <v>2343</v>
      </c>
      <c r="AS34" s="608"/>
      <c r="AT34" s="259"/>
      <c r="AU34" s="259"/>
      <c r="AV34" s="261"/>
      <c r="AW34" s="261"/>
      <c r="AX34" s="608"/>
      <c r="AY34" s="262"/>
    </row>
    <row r="35" spans="1:51" s="260" customFormat="1" ht="103.5" hidden="1" customHeight="1">
      <c r="A35" s="608"/>
      <c r="B35" s="266"/>
      <c r="C35" s="1399"/>
      <c r="D35" s="1408"/>
      <c r="E35" s="1400"/>
      <c r="F35" s="267"/>
      <c r="G35" s="1399"/>
      <c r="H35" s="1408"/>
      <c r="I35" s="1400"/>
      <c r="J35" s="1380"/>
      <c r="K35" s="1380"/>
      <c r="L35" s="1380"/>
      <c r="M35" s="608"/>
      <c r="N35" s="608"/>
      <c r="O35" s="608"/>
      <c r="P35" s="608"/>
      <c r="Q35" s="266"/>
      <c r="R35" s="266"/>
      <c r="S35" s="268"/>
      <c r="T35" s="269" t="e">
        <f>VLOOKUP(Q35,[71]Listas!$D$6:$E$10,2,0)</f>
        <v>#N/A</v>
      </c>
      <c r="U35" s="269" t="e">
        <f>HLOOKUP(R35,[71]Listas!$F$4:$J$5,2,0)</f>
        <v>#N/A</v>
      </c>
      <c r="V35" s="270" t="e">
        <f>INDEX([71]Listas!$F$6:$J$10,MATCH(Q35,[71]Listas!$D$6:$D$10,0),MATCH(R35,[71]Listas!$F$4:$J$4,0))</f>
        <v>#N/A</v>
      </c>
      <c r="W35" s="268"/>
      <c r="X35" s="1399"/>
      <c r="Y35" s="1408"/>
      <c r="Z35" s="1400"/>
      <c r="AA35" s="1063"/>
      <c r="AB35" s="267"/>
      <c r="AC35" s="259"/>
      <c r="AD35" s="608"/>
      <c r="AE35" s="267"/>
      <c r="AF35" s="268"/>
      <c r="AG35" s="269">
        <f t="shared" si="0"/>
        <v>0</v>
      </c>
      <c r="AH35" s="271" t="e">
        <f t="shared" si="1"/>
        <v>#N/A</v>
      </c>
      <c r="AI35" s="272" t="e">
        <f>IF(AH35&lt;=1,"Remota",VLOOKUP(AH35,[71]Listas!$C$6:$D$10,2,0))</f>
        <v>#N/A</v>
      </c>
      <c r="AJ35" s="271" t="e">
        <f t="shared" si="2"/>
        <v>#N/A</v>
      </c>
      <c r="AK35" s="272" t="e">
        <f>IF(AJ35&lt;=1,"Insignificante",HLOOKUP(AJ35,[71]Listas!$F$3:$J$4,2,0))</f>
        <v>#N/A</v>
      </c>
      <c r="AL35" s="273" t="e">
        <f t="shared" si="3"/>
        <v>#N/A</v>
      </c>
      <c r="AM35" s="270" t="e">
        <f>INDEX([71]Listas!$F$6:$J$10,MATCH(AI35,[71]Listas!$D$6:$D$10,0),MATCH(AK35,[71]Listas!$F$4:$J$4,0))</f>
        <v>#N/A</v>
      </c>
      <c r="AN35" s="259"/>
      <c r="AO35" s="259"/>
      <c r="AP35" s="610"/>
      <c r="AQ35" s="259"/>
      <c r="AR35" s="259" t="s">
        <v>2343</v>
      </c>
      <c r="AS35" s="608"/>
      <c r="AT35" s="259"/>
      <c r="AU35" s="259"/>
      <c r="AV35" s="261"/>
      <c r="AW35" s="261"/>
      <c r="AX35" s="608"/>
      <c r="AY35" s="262"/>
    </row>
    <row r="36" spans="1:51" s="260" customFormat="1" ht="103.5" hidden="1" customHeight="1">
      <c r="A36" s="608"/>
      <c r="B36" s="266"/>
      <c r="C36" s="1399"/>
      <c r="D36" s="1408"/>
      <c r="E36" s="1400"/>
      <c r="F36" s="267"/>
      <c r="G36" s="1399"/>
      <c r="H36" s="1408"/>
      <c r="I36" s="1400"/>
      <c r="J36" s="1380"/>
      <c r="K36" s="1380"/>
      <c r="L36" s="1380"/>
      <c r="M36" s="608"/>
      <c r="N36" s="608"/>
      <c r="O36" s="608"/>
      <c r="P36" s="608"/>
      <c r="Q36" s="266"/>
      <c r="R36" s="266"/>
      <c r="S36" s="268"/>
      <c r="T36" s="269" t="e">
        <f>VLOOKUP(Q36,[71]Listas!$D$6:$E$10,2,0)</f>
        <v>#N/A</v>
      </c>
      <c r="U36" s="269" t="e">
        <f>HLOOKUP(R36,[71]Listas!$F$4:$J$5,2,0)</f>
        <v>#N/A</v>
      </c>
      <c r="V36" s="270" t="e">
        <f>INDEX([71]Listas!$F$6:$J$10,MATCH(Q36,[71]Listas!$D$6:$D$10,0),MATCH(R36,[71]Listas!$F$4:$J$4,0))</f>
        <v>#N/A</v>
      </c>
      <c r="W36" s="268"/>
      <c r="X36" s="1399"/>
      <c r="Y36" s="1408"/>
      <c r="Z36" s="1400"/>
      <c r="AA36" s="1063"/>
      <c r="AB36" s="267"/>
      <c r="AC36" s="259"/>
      <c r="AD36" s="608"/>
      <c r="AE36" s="267"/>
      <c r="AF36" s="268"/>
      <c r="AG36" s="269">
        <f t="shared" si="0"/>
        <v>0</v>
      </c>
      <c r="AH36" s="271" t="e">
        <f t="shared" si="1"/>
        <v>#N/A</v>
      </c>
      <c r="AI36" s="272" t="e">
        <f>IF(AH36&lt;=1,"Remota",VLOOKUP(AH36,[71]Listas!$C$6:$D$10,2,0))</f>
        <v>#N/A</v>
      </c>
      <c r="AJ36" s="271" t="e">
        <f t="shared" si="2"/>
        <v>#N/A</v>
      </c>
      <c r="AK36" s="272" t="e">
        <f>IF(AJ36&lt;=1,"Insignificante",HLOOKUP(AJ36,[71]Listas!$F$3:$J$4,2,0))</f>
        <v>#N/A</v>
      </c>
      <c r="AL36" s="273" t="e">
        <f t="shared" si="3"/>
        <v>#N/A</v>
      </c>
      <c r="AM36" s="270" t="e">
        <f>INDEX([71]Listas!$F$6:$J$10,MATCH(AI36,[71]Listas!$D$6:$D$10,0),MATCH(AK36,[71]Listas!$F$4:$J$4,0))</f>
        <v>#N/A</v>
      </c>
      <c r="AN36" s="259"/>
      <c r="AO36" s="259"/>
      <c r="AP36" s="610"/>
      <c r="AQ36" s="259"/>
      <c r="AR36" s="259" t="s">
        <v>2343</v>
      </c>
      <c r="AS36" s="608"/>
      <c r="AT36" s="259"/>
      <c r="AU36" s="259"/>
      <c r="AV36" s="261"/>
      <c r="AW36" s="261"/>
      <c r="AX36" s="608"/>
      <c r="AY36" s="262"/>
    </row>
    <row r="37" spans="1:51" s="260" customFormat="1" ht="103.5" hidden="1" customHeight="1">
      <c r="A37" s="608"/>
      <c r="B37" s="266"/>
      <c r="C37" s="1399"/>
      <c r="D37" s="1408"/>
      <c r="E37" s="1400"/>
      <c r="F37" s="266"/>
      <c r="G37" s="1399"/>
      <c r="H37" s="1408"/>
      <c r="I37" s="1400"/>
      <c r="J37" s="1380"/>
      <c r="K37" s="1380"/>
      <c r="L37" s="1380"/>
      <c r="M37" s="608"/>
      <c r="N37" s="608"/>
      <c r="O37" s="608"/>
      <c r="P37" s="608"/>
      <c r="Q37" s="266"/>
      <c r="R37" s="266"/>
      <c r="S37" s="268"/>
      <c r="T37" s="269" t="e">
        <f>VLOOKUP(Q37,[71]Listas!$D$6:$E$10,2,0)</f>
        <v>#N/A</v>
      </c>
      <c r="U37" s="269" t="e">
        <f>HLOOKUP(R37,[71]Listas!$F$4:$J$5,2,0)</f>
        <v>#N/A</v>
      </c>
      <c r="V37" s="270" t="e">
        <f>INDEX([71]Listas!$F$6:$J$10,MATCH(Q37,[71]Listas!$D$6:$D$10,0),MATCH(R37,[71]Listas!$F$4:$J$4,0))</f>
        <v>#N/A</v>
      </c>
      <c r="W37" s="268"/>
      <c r="X37" s="1399"/>
      <c r="Y37" s="1408"/>
      <c r="Z37" s="1400"/>
      <c r="AA37" s="1063"/>
      <c r="AB37" s="267"/>
      <c r="AC37" s="259"/>
      <c r="AD37" s="608"/>
      <c r="AE37" s="267"/>
      <c r="AF37" s="268"/>
      <c r="AG37" s="269">
        <f>IF(AD37&lt;=33,0,IF(AD37&gt;81,2,1))</f>
        <v>0</v>
      </c>
      <c r="AH37" s="271" t="e">
        <f>IF(OR(AE37="Probabilidad",AE37="Ambos"),T37-AG37,T37)</f>
        <v>#N/A</v>
      </c>
      <c r="AI37" s="272" t="e">
        <f>IF(AH37&lt;=1,"Remota",VLOOKUP(AH37,[71]Listas!$C$6:$D$10,2,0))</f>
        <v>#N/A</v>
      </c>
      <c r="AJ37" s="271" t="e">
        <f>IF(OR(AE37="Impacto",AE37="Ambos"),U37-AG37,U37)</f>
        <v>#N/A</v>
      </c>
      <c r="AK37" s="272" t="e">
        <f>IF(AJ37&lt;=1,"Insignificante",HLOOKUP(AJ37,[71]Listas!$F$3:$J$4,2,0))</f>
        <v>#N/A</v>
      </c>
      <c r="AL37" s="273" t="e">
        <f>AH37*AJ37</f>
        <v>#N/A</v>
      </c>
      <c r="AM37" s="270" t="e">
        <f>INDEX([71]Listas!$F$6:$J$10,MATCH(AI37,[71]Listas!$D$6:$D$10,0),MATCH(AK37,[71]Listas!$F$4:$J$4,0))</f>
        <v>#N/A</v>
      </c>
      <c r="AN37" s="259"/>
      <c r="AO37" s="259"/>
      <c r="AP37" s="610"/>
      <c r="AQ37" s="259"/>
      <c r="AR37" s="259" t="s">
        <v>2343</v>
      </c>
      <c r="AS37" s="608"/>
      <c r="AU37" s="259"/>
      <c r="AV37" s="261"/>
      <c r="AW37" s="261"/>
      <c r="AX37" s="608"/>
      <c r="AY37" s="262"/>
    </row>
    <row r="38" spans="1:51" s="260" customFormat="1" ht="103.5" hidden="1" customHeight="1">
      <c r="A38" s="608"/>
      <c r="B38" s="266"/>
      <c r="C38" s="1399"/>
      <c r="D38" s="1408"/>
      <c r="E38" s="1400"/>
      <c r="F38" s="267"/>
      <c r="G38" s="1399"/>
      <c r="H38" s="1408"/>
      <c r="I38" s="1400"/>
      <c r="J38" s="1380"/>
      <c r="K38" s="1380"/>
      <c r="L38" s="1380"/>
      <c r="M38" s="608"/>
      <c r="N38" s="608"/>
      <c r="O38" s="608"/>
      <c r="P38" s="608"/>
      <c r="Q38" s="266"/>
      <c r="R38" s="266"/>
      <c r="S38" s="268"/>
      <c r="T38" s="269" t="e">
        <f>VLOOKUP(Q38,[71]Listas!$D$6:$E$10,2,0)</f>
        <v>#N/A</v>
      </c>
      <c r="U38" s="269" t="e">
        <f>HLOOKUP(R38,[71]Listas!$F$4:$J$5,2,0)</f>
        <v>#N/A</v>
      </c>
      <c r="V38" s="270" t="e">
        <f>INDEX([71]Listas!$F$6:$J$10,MATCH(Q38,[71]Listas!$D$6:$D$10,0),MATCH(R38,[71]Listas!$F$4:$J$4,0))</f>
        <v>#N/A</v>
      </c>
      <c r="W38" s="268"/>
      <c r="X38" s="1399"/>
      <c r="Y38" s="1408"/>
      <c r="Z38" s="1400"/>
      <c r="AA38" s="1063"/>
      <c r="AB38" s="267"/>
      <c r="AC38" s="259"/>
      <c r="AD38" s="608"/>
      <c r="AE38" s="267"/>
      <c r="AF38" s="268"/>
      <c r="AG38" s="269">
        <f t="shared" ref="AG38:AG58" si="4">IF(AD38&lt;=33,0,IF(AD38&gt;81,2,1))</f>
        <v>0</v>
      </c>
      <c r="AH38" s="271" t="e">
        <f t="shared" ref="AH38:AH58" si="5">IF(OR(AE38="Probabilidad",AE38="Ambos"),T38-AG38,T38)</f>
        <v>#N/A</v>
      </c>
      <c r="AI38" s="272" t="e">
        <f>IF(AH38&lt;=1,"Remota",VLOOKUP(AH38,[71]Listas!$C$6:$D$10,2,0))</f>
        <v>#N/A</v>
      </c>
      <c r="AJ38" s="271" t="e">
        <f t="shared" ref="AJ38:AJ58" si="6">IF(OR(AE38="Impacto",AE38="Ambos"),U38-AG38,U38)</f>
        <v>#N/A</v>
      </c>
      <c r="AK38" s="272" t="e">
        <f>IF(AJ38&lt;=1,"Insignificante",HLOOKUP(AJ38,[71]Listas!$F$3:$J$4,2,0))</f>
        <v>#N/A</v>
      </c>
      <c r="AL38" s="273" t="e">
        <f t="shared" ref="AL38:AL58" si="7">AH38*AJ38</f>
        <v>#N/A</v>
      </c>
      <c r="AM38" s="270" t="e">
        <f>INDEX([71]Listas!$F$6:$J$10,MATCH(AI38,[71]Listas!$D$6:$D$10,0),MATCH(AK38,[71]Listas!$F$4:$J$4,0))</f>
        <v>#N/A</v>
      </c>
      <c r="AN38" s="259"/>
      <c r="AO38" s="259"/>
      <c r="AP38" s="610"/>
      <c r="AQ38" s="259"/>
      <c r="AR38" s="259" t="s">
        <v>2343</v>
      </c>
      <c r="AS38" s="608"/>
      <c r="AT38" s="259"/>
      <c r="AU38" s="259"/>
      <c r="AV38" s="261"/>
      <c r="AW38" s="261"/>
      <c r="AX38" s="608"/>
      <c r="AY38" s="262"/>
    </row>
    <row r="39" spans="1:51" s="260" customFormat="1" ht="103.5" hidden="1" customHeight="1">
      <c r="A39" s="608"/>
      <c r="B39" s="266"/>
      <c r="C39" s="1399"/>
      <c r="D39" s="1408"/>
      <c r="E39" s="1400"/>
      <c r="F39" s="267"/>
      <c r="G39" s="1399"/>
      <c r="H39" s="1408"/>
      <c r="I39" s="1400"/>
      <c r="J39" s="1380"/>
      <c r="K39" s="1380"/>
      <c r="L39" s="1380"/>
      <c r="M39" s="608"/>
      <c r="N39" s="608"/>
      <c r="O39" s="608"/>
      <c r="P39" s="608"/>
      <c r="Q39" s="266"/>
      <c r="R39" s="266"/>
      <c r="S39" s="268"/>
      <c r="T39" s="269" t="e">
        <f>VLOOKUP(Q39,[71]Listas!$D$6:$E$10,2,0)</f>
        <v>#N/A</v>
      </c>
      <c r="U39" s="269" t="e">
        <f>HLOOKUP(R39,[71]Listas!$F$4:$J$5,2,0)</f>
        <v>#N/A</v>
      </c>
      <c r="V39" s="270" t="e">
        <f>INDEX([71]Listas!$F$6:$J$10,MATCH(Q39,[71]Listas!$D$6:$D$10,0),MATCH(R39,[71]Listas!$F$4:$J$4,0))</f>
        <v>#N/A</v>
      </c>
      <c r="W39" s="268"/>
      <c r="X39" s="1399"/>
      <c r="Y39" s="1408"/>
      <c r="Z39" s="1400"/>
      <c r="AA39" s="1063"/>
      <c r="AB39" s="267"/>
      <c r="AC39" s="259"/>
      <c r="AD39" s="608"/>
      <c r="AE39" s="267"/>
      <c r="AF39" s="268"/>
      <c r="AG39" s="269">
        <f t="shared" si="4"/>
        <v>0</v>
      </c>
      <c r="AH39" s="271" t="e">
        <f t="shared" si="5"/>
        <v>#N/A</v>
      </c>
      <c r="AI39" s="272" t="e">
        <f>IF(AH39&lt;=1,"Remota",VLOOKUP(AH39,[71]Listas!$C$6:$D$10,2,0))</f>
        <v>#N/A</v>
      </c>
      <c r="AJ39" s="271" t="e">
        <f t="shared" si="6"/>
        <v>#N/A</v>
      </c>
      <c r="AK39" s="272" t="e">
        <f>IF(AJ39&lt;=1,"Insignificante",HLOOKUP(AJ39,[71]Listas!$F$3:$J$4,2,0))</f>
        <v>#N/A</v>
      </c>
      <c r="AL39" s="273" t="e">
        <f t="shared" si="7"/>
        <v>#N/A</v>
      </c>
      <c r="AM39" s="270" t="e">
        <f>INDEX([71]Listas!$F$6:$J$10,MATCH(AI39,[71]Listas!$D$6:$D$10,0),MATCH(AK39,[71]Listas!$F$4:$J$4,0))</f>
        <v>#N/A</v>
      </c>
      <c r="AN39" s="259"/>
      <c r="AO39" s="259"/>
      <c r="AP39" s="610"/>
      <c r="AQ39" s="259"/>
      <c r="AR39" s="259" t="s">
        <v>2343</v>
      </c>
      <c r="AS39" s="608"/>
      <c r="AT39" s="259"/>
      <c r="AU39" s="259"/>
      <c r="AV39" s="261"/>
      <c r="AW39" s="261"/>
      <c r="AX39" s="608"/>
      <c r="AY39" s="262"/>
    </row>
    <row r="40" spans="1:51" s="260" customFormat="1" ht="103.5" hidden="1" customHeight="1">
      <c r="A40" s="608"/>
      <c r="B40" s="266"/>
      <c r="C40" s="1399"/>
      <c r="D40" s="1408"/>
      <c r="E40" s="1400"/>
      <c r="F40" s="267"/>
      <c r="G40" s="1399"/>
      <c r="H40" s="1408"/>
      <c r="I40" s="1400"/>
      <c r="J40" s="1380"/>
      <c r="K40" s="1380"/>
      <c r="L40" s="1380"/>
      <c r="M40" s="608"/>
      <c r="N40" s="608"/>
      <c r="O40" s="608"/>
      <c r="P40" s="608"/>
      <c r="Q40" s="266"/>
      <c r="R40" s="266"/>
      <c r="S40" s="268"/>
      <c r="T40" s="269" t="e">
        <f>VLOOKUP(Q40,[71]Listas!$D$6:$E$10,2,0)</f>
        <v>#N/A</v>
      </c>
      <c r="U40" s="269" t="e">
        <f>HLOOKUP(R40,[71]Listas!$F$4:$J$5,2,0)</f>
        <v>#N/A</v>
      </c>
      <c r="V40" s="270" t="e">
        <f>INDEX([71]Listas!$F$6:$J$10,MATCH(Q40,[71]Listas!$D$6:$D$10,0),MATCH(R40,[71]Listas!$F$4:$J$4,0))</f>
        <v>#N/A</v>
      </c>
      <c r="W40" s="268"/>
      <c r="X40" s="1399"/>
      <c r="Y40" s="1408"/>
      <c r="Z40" s="1400"/>
      <c r="AA40" s="1063"/>
      <c r="AB40" s="267"/>
      <c r="AC40" s="259"/>
      <c r="AD40" s="608"/>
      <c r="AE40" s="267"/>
      <c r="AF40" s="268"/>
      <c r="AG40" s="269">
        <f t="shared" si="4"/>
        <v>0</v>
      </c>
      <c r="AH40" s="271" t="e">
        <f t="shared" si="5"/>
        <v>#N/A</v>
      </c>
      <c r="AI40" s="272" t="e">
        <f>IF(AH40&lt;=1,"Remota",VLOOKUP(AH40,[71]Listas!$C$6:$D$10,2,0))</f>
        <v>#N/A</v>
      </c>
      <c r="AJ40" s="271" t="e">
        <f t="shared" si="6"/>
        <v>#N/A</v>
      </c>
      <c r="AK40" s="272" t="e">
        <f>IF(AJ40&lt;=1,"Insignificante",HLOOKUP(AJ40,[71]Listas!$F$3:$J$4,2,0))</f>
        <v>#N/A</v>
      </c>
      <c r="AL40" s="273" t="e">
        <f t="shared" si="7"/>
        <v>#N/A</v>
      </c>
      <c r="AM40" s="270" t="e">
        <f>INDEX([71]Listas!$F$6:$J$10,MATCH(AI40,[71]Listas!$D$6:$D$10,0),MATCH(AK40,[71]Listas!$F$4:$J$4,0))</f>
        <v>#N/A</v>
      </c>
      <c r="AN40" s="259"/>
      <c r="AO40" s="259"/>
      <c r="AP40" s="610"/>
      <c r="AQ40" s="259"/>
      <c r="AR40" s="259" t="s">
        <v>2343</v>
      </c>
      <c r="AS40" s="608"/>
      <c r="AT40" s="259"/>
      <c r="AU40" s="259"/>
      <c r="AV40" s="261"/>
      <c r="AW40" s="261"/>
      <c r="AX40" s="608"/>
      <c r="AY40" s="262"/>
    </row>
    <row r="41" spans="1:51" s="260" customFormat="1" ht="103.5" hidden="1" customHeight="1">
      <c r="A41" s="608"/>
      <c r="B41" s="266"/>
      <c r="C41" s="1399"/>
      <c r="D41" s="1408"/>
      <c r="E41" s="1400"/>
      <c r="F41" s="267"/>
      <c r="G41" s="1399"/>
      <c r="H41" s="1408"/>
      <c r="I41" s="1400"/>
      <c r="J41" s="1380"/>
      <c r="K41" s="1380"/>
      <c r="L41" s="1380"/>
      <c r="M41" s="608"/>
      <c r="N41" s="608"/>
      <c r="O41" s="608"/>
      <c r="P41" s="608"/>
      <c r="Q41" s="266"/>
      <c r="R41" s="266"/>
      <c r="S41" s="268"/>
      <c r="T41" s="269" t="e">
        <f>VLOOKUP(Q41,[71]Listas!$D$6:$E$10,2,0)</f>
        <v>#N/A</v>
      </c>
      <c r="U41" s="269" t="e">
        <f>HLOOKUP(R41,[71]Listas!$F$4:$J$5,2,0)</f>
        <v>#N/A</v>
      </c>
      <c r="V41" s="270" t="e">
        <f>INDEX([71]Listas!$F$6:$J$10,MATCH(Q41,[71]Listas!$D$6:$D$10,0),MATCH(R41,[71]Listas!$F$4:$J$4,0))</f>
        <v>#N/A</v>
      </c>
      <c r="W41" s="268"/>
      <c r="X41" s="1399"/>
      <c r="Y41" s="1408"/>
      <c r="Z41" s="1400"/>
      <c r="AA41" s="1063"/>
      <c r="AB41" s="267"/>
      <c r="AC41" s="259"/>
      <c r="AD41" s="608"/>
      <c r="AE41" s="267"/>
      <c r="AF41" s="268"/>
      <c r="AG41" s="269">
        <f t="shared" si="4"/>
        <v>0</v>
      </c>
      <c r="AH41" s="271" t="e">
        <f t="shared" si="5"/>
        <v>#N/A</v>
      </c>
      <c r="AI41" s="272" t="e">
        <f>IF(AH41&lt;=1,"Remota",VLOOKUP(AH41,[71]Listas!$C$6:$D$10,2,0))</f>
        <v>#N/A</v>
      </c>
      <c r="AJ41" s="271" t="e">
        <f t="shared" si="6"/>
        <v>#N/A</v>
      </c>
      <c r="AK41" s="272" t="e">
        <f>IF(AJ41&lt;=1,"Insignificante",HLOOKUP(AJ41,[71]Listas!$F$3:$J$4,2,0))</f>
        <v>#N/A</v>
      </c>
      <c r="AL41" s="273" t="e">
        <f t="shared" si="7"/>
        <v>#N/A</v>
      </c>
      <c r="AM41" s="270" t="e">
        <f>INDEX([71]Listas!$F$6:$J$10,MATCH(AI41,[71]Listas!$D$6:$D$10,0),MATCH(AK41,[71]Listas!$F$4:$J$4,0))</f>
        <v>#N/A</v>
      </c>
      <c r="AN41" s="259"/>
      <c r="AO41" s="259"/>
      <c r="AP41" s="610"/>
      <c r="AQ41" s="259"/>
      <c r="AR41" s="259" t="s">
        <v>2343</v>
      </c>
      <c r="AS41" s="608"/>
      <c r="AT41" s="259"/>
      <c r="AU41" s="259"/>
      <c r="AV41" s="261"/>
      <c r="AW41" s="261"/>
      <c r="AX41" s="608"/>
      <c r="AY41" s="262"/>
    </row>
    <row r="42" spans="1:51" s="260" customFormat="1" ht="103.5" hidden="1" customHeight="1">
      <c r="A42" s="608"/>
      <c r="B42" s="266"/>
      <c r="C42" s="1399"/>
      <c r="D42" s="1408"/>
      <c r="E42" s="1400"/>
      <c r="F42" s="267"/>
      <c r="G42" s="1399"/>
      <c r="H42" s="1408"/>
      <c r="I42" s="1400"/>
      <c r="J42" s="1380"/>
      <c r="K42" s="1380"/>
      <c r="L42" s="1380"/>
      <c r="M42" s="608"/>
      <c r="N42" s="608"/>
      <c r="O42" s="608"/>
      <c r="P42" s="608"/>
      <c r="Q42" s="266"/>
      <c r="R42" s="266"/>
      <c r="S42" s="268"/>
      <c r="T42" s="269" t="e">
        <f>VLOOKUP(Q42,[71]Listas!$D$6:$E$10,2,0)</f>
        <v>#N/A</v>
      </c>
      <c r="U42" s="269" t="e">
        <f>HLOOKUP(R42,[71]Listas!$F$4:$J$5,2,0)</f>
        <v>#N/A</v>
      </c>
      <c r="V42" s="270" t="e">
        <f>INDEX([71]Listas!$F$6:$J$10,MATCH(Q42,[71]Listas!$D$6:$D$10,0),MATCH(R42,[71]Listas!$F$4:$J$4,0))</f>
        <v>#N/A</v>
      </c>
      <c r="W42" s="268"/>
      <c r="X42" s="1399"/>
      <c r="Y42" s="1408"/>
      <c r="Z42" s="1400"/>
      <c r="AA42" s="1063"/>
      <c r="AB42" s="267"/>
      <c r="AC42" s="259"/>
      <c r="AD42" s="608"/>
      <c r="AE42" s="267"/>
      <c r="AF42" s="268"/>
      <c r="AG42" s="269">
        <f t="shared" si="4"/>
        <v>0</v>
      </c>
      <c r="AH42" s="271" t="e">
        <f t="shared" si="5"/>
        <v>#N/A</v>
      </c>
      <c r="AI42" s="272" t="e">
        <f>IF(AH42&lt;=1,"Remota",VLOOKUP(AH42,[71]Listas!$C$6:$D$10,2,0))</f>
        <v>#N/A</v>
      </c>
      <c r="AJ42" s="271" t="e">
        <f t="shared" si="6"/>
        <v>#N/A</v>
      </c>
      <c r="AK42" s="272" t="e">
        <f>IF(AJ42&lt;=1,"Insignificante",HLOOKUP(AJ42,[71]Listas!$F$3:$J$4,2,0))</f>
        <v>#N/A</v>
      </c>
      <c r="AL42" s="273" t="e">
        <f t="shared" si="7"/>
        <v>#N/A</v>
      </c>
      <c r="AM42" s="270" t="e">
        <f>INDEX([71]Listas!$F$6:$J$10,MATCH(AI42,[71]Listas!$D$6:$D$10,0),MATCH(AK42,[71]Listas!$F$4:$J$4,0))</f>
        <v>#N/A</v>
      </c>
      <c r="AN42" s="259"/>
      <c r="AO42" s="259"/>
      <c r="AP42" s="610"/>
      <c r="AQ42" s="259"/>
      <c r="AR42" s="259" t="s">
        <v>2343</v>
      </c>
      <c r="AS42" s="608"/>
      <c r="AT42" s="259"/>
      <c r="AU42" s="259"/>
      <c r="AV42" s="261"/>
      <c r="AW42" s="261"/>
      <c r="AX42" s="608"/>
      <c r="AY42" s="262"/>
    </row>
    <row r="43" spans="1:51" s="260" customFormat="1" ht="103.5" hidden="1" customHeight="1">
      <c r="A43" s="608"/>
      <c r="B43" s="266"/>
      <c r="C43" s="1399"/>
      <c r="D43" s="1408"/>
      <c r="E43" s="1400"/>
      <c r="F43" s="267"/>
      <c r="G43" s="1399"/>
      <c r="H43" s="1408"/>
      <c r="I43" s="1400"/>
      <c r="J43" s="1380"/>
      <c r="K43" s="1380"/>
      <c r="L43" s="1380"/>
      <c r="M43" s="608"/>
      <c r="N43" s="608"/>
      <c r="O43" s="608"/>
      <c r="P43" s="608"/>
      <c r="Q43" s="266"/>
      <c r="R43" s="266"/>
      <c r="S43" s="268"/>
      <c r="T43" s="269" t="e">
        <f>VLOOKUP(Q43,[71]Listas!$D$6:$E$10,2,0)</f>
        <v>#N/A</v>
      </c>
      <c r="U43" s="269" t="e">
        <f>HLOOKUP(R43,[71]Listas!$F$4:$J$5,2,0)</f>
        <v>#N/A</v>
      </c>
      <c r="V43" s="270" t="e">
        <f>INDEX([71]Listas!$F$6:$J$10,MATCH(Q43,[71]Listas!$D$6:$D$10,0),MATCH(R43,[71]Listas!$F$4:$J$4,0))</f>
        <v>#N/A</v>
      </c>
      <c r="W43" s="268"/>
      <c r="X43" s="1399"/>
      <c r="Y43" s="1408"/>
      <c r="Z43" s="1400"/>
      <c r="AA43" s="1063"/>
      <c r="AB43" s="267"/>
      <c r="AC43" s="259"/>
      <c r="AD43" s="608"/>
      <c r="AE43" s="267"/>
      <c r="AF43" s="268"/>
      <c r="AG43" s="269">
        <f t="shared" si="4"/>
        <v>0</v>
      </c>
      <c r="AH43" s="271" t="e">
        <f t="shared" si="5"/>
        <v>#N/A</v>
      </c>
      <c r="AI43" s="272" t="e">
        <f>IF(AH43&lt;=1,"Remota",VLOOKUP(AH43,[71]Listas!$C$6:$D$10,2,0))</f>
        <v>#N/A</v>
      </c>
      <c r="AJ43" s="271" t="e">
        <f t="shared" si="6"/>
        <v>#N/A</v>
      </c>
      <c r="AK43" s="272" t="e">
        <f>IF(AJ43&lt;=1,"Insignificante",HLOOKUP(AJ43,[71]Listas!$F$3:$J$4,2,0))</f>
        <v>#N/A</v>
      </c>
      <c r="AL43" s="273" t="e">
        <f t="shared" si="7"/>
        <v>#N/A</v>
      </c>
      <c r="AM43" s="270" t="e">
        <f>INDEX([71]Listas!$F$6:$J$10,MATCH(AI43,[71]Listas!$D$6:$D$10,0),MATCH(AK43,[71]Listas!$F$4:$J$4,0))</f>
        <v>#N/A</v>
      </c>
      <c r="AN43" s="259"/>
      <c r="AO43" s="259"/>
      <c r="AP43" s="610"/>
      <c r="AQ43" s="259"/>
      <c r="AR43" s="259" t="s">
        <v>2343</v>
      </c>
      <c r="AS43" s="608"/>
      <c r="AT43" s="259"/>
      <c r="AU43" s="259"/>
      <c r="AV43" s="261"/>
      <c r="AW43" s="261"/>
      <c r="AX43" s="608"/>
      <c r="AY43" s="262"/>
    </row>
    <row r="44" spans="1:51" s="260" customFormat="1" ht="103.5" hidden="1" customHeight="1">
      <c r="A44" s="608"/>
      <c r="B44" s="266"/>
      <c r="C44" s="1399"/>
      <c r="D44" s="1408"/>
      <c r="E44" s="1400"/>
      <c r="F44" s="267"/>
      <c r="G44" s="1399"/>
      <c r="H44" s="1408"/>
      <c r="I44" s="1400"/>
      <c r="J44" s="1380"/>
      <c r="K44" s="1380"/>
      <c r="L44" s="1380"/>
      <c r="M44" s="608"/>
      <c r="N44" s="608"/>
      <c r="O44" s="608"/>
      <c r="P44" s="608"/>
      <c r="Q44" s="266"/>
      <c r="R44" s="266"/>
      <c r="S44" s="268"/>
      <c r="T44" s="269" t="e">
        <f>VLOOKUP(Q44,[71]Listas!$D$6:$E$10,2,0)</f>
        <v>#N/A</v>
      </c>
      <c r="U44" s="269" t="e">
        <f>HLOOKUP(R44,[71]Listas!$F$4:$J$5,2,0)</f>
        <v>#N/A</v>
      </c>
      <c r="V44" s="270" t="e">
        <f>INDEX([71]Listas!$F$6:$J$10,MATCH(Q44,[71]Listas!$D$6:$D$10,0),MATCH(R44,[71]Listas!$F$4:$J$4,0))</f>
        <v>#N/A</v>
      </c>
      <c r="W44" s="268"/>
      <c r="X44" s="1399"/>
      <c r="Y44" s="1408"/>
      <c r="Z44" s="1400"/>
      <c r="AA44" s="1063"/>
      <c r="AB44" s="267"/>
      <c r="AC44" s="259"/>
      <c r="AD44" s="608"/>
      <c r="AE44" s="267"/>
      <c r="AF44" s="268"/>
      <c r="AG44" s="269">
        <f t="shared" si="4"/>
        <v>0</v>
      </c>
      <c r="AH44" s="271" t="e">
        <f t="shared" si="5"/>
        <v>#N/A</v>
      </c>
      <c r="AI44" s="272" t="e">
        <f>IF(AH44&lt;=1,"Remota",VLOOKUP(AH44,[71]Listas!$C$6:$D$10,2,0))</f>
        <v>#N/A</v>
      </c>
      <c r="AJ44" s="271" t="e">
        <f t="shared" si="6"/>
        <v>#N/A</v>
      </c>
      <c r="AK44" s="272" t="e">
        <f>IF(AJ44&lt;=1,"Insignificante",HLOOKUP(AJ44,[71]Listas!$F$3:$J$4,2,0))</f>
        <v>#N/A</v>
      </c>
      <c r="AL44" s="273" t="e">
        <f t="shared" si="7"/>
        <v>#N/A</v>
      </c>
      <c r="AM44" s="270" t="e">
        <f>INDEX([71]Listas!$F$6:$J$10,MATCH(AI44,[71]Listas!$D$6:$D$10,0),MATCH(AK44,[71]Listas!$F$4:$J$4,0))</f>
        <v>#N/A</v>
      </c>
      <c r="AN44" s="259"/>
      <c r="AO44" s="259"/>
      <c r="AP44" s="610"/>
      <c r="AQ44" s="259"/>
      <c r="AR44" s="259" t="s">
        <v>2343</v>
      </c>
      <c r="AS44" s="608"/>
      <c r="AT44" s="259"/>
      <c r="AU44" s="259"/>
      <c r="AV44" s="261"/>
      <c r="AW44" s="261"/>
      <c r="AX44" s="608"/>
      <c r="AY44" s="262"/>
    </row>
    <row r="45" spans="1:51" s="260" customFormat="1" ht="103.5" hidden="1" customHeight="1">
      <c r="A45" s="608"/>
      <c r="B45" s="266"/>
      <c r="C45" s="1399"/>
      <c r="D45" s="1408"/>
      <c r="E45" s="1400"/>
      <c r="F45" s="267"/>
      <c r="G45" s="1399"/>
      <c r="H45" s="1408"/>
      <c r="I45" s="1400"/>
      <c r="J45" s="1380"/>
      <c r="K45" s="1380"/>
      <c r="L45" s="1380"/>
      <c r="M45" s="608"/>
      <c r="N45" s="608"/>
      <c r="O45" s="608"/>
      <c r="P45" s="608"/>
      <c r="Q45" s="266"/>
      <c r="R45" s="266"/>
      <c r="S45" s="268"/>
      <c r="T45" s="269" t="e">
        <f>VLOOKUP(Q45,[71]Listas!$D$6:$E$10,2,0)</f>
        <v>#N/A</v>
      </c>
      <c r="U45" s="269" t="e">
        <f>HLOOKUP(R45,[71]Listas!$F$4:$J$5,2,0)</f>
        <v>#N/A</v>
      </c>
      <c r="V45" s="270" t="e">
        <f>INDEX([71]Listas!$F$6:$J$10,MATCH(Q45,[71]Listas!$D$6:$D$10,0),MATCH(R45,[71]Listas!$F$4:$J$4,0))</f>
        <v>#N/A</v>
      </c>
      <c r="W45" s="268"/>
      <c r="X45" s="1399"/>
      <c r="Y45" s="1408"/>
      <c r="Z45" s="1400"/>
      <c r="AA45" s="1063"/>
      <c r="AB45" s="267"/>
      <c r="AC45" s="259"/>
      <c r="AD45" s="608"/>
      <c r="AE45" s="267"/>
      <c r="AF45" s="268"/>
      <c r="AG45" s="269">
        <f t="shared" si="4"/>
        <v>0</v>
      </c>
      <c r="AH45" s="271" t="e">
        <f t="shared" si="5"/>
        <v>#N/A</v>
      </c>
      <c r="AI45" s="272" t="e">
        <f>IF(AH45&lt;=1,"Remota",VLOOKUP(AH45,[71]Listas!$C$6:$D$10,2,0))</f>
        <v>#N/A</v>
      </c>
      <c r="AJ45" s="271" t="e">
        <f t="shared" si="6"/>
        <v>#N/A</v>
      </c>
      <c r="AK45" s="272" t="e">
        <f>IF(AJ45&lt;=1,"Insignificante",HLOOKUP(AJ45,[71]Listas!$F$3:$J$4,2,0))</f>
        <v>#N/A</v>
      </c>
      <c r="AL45" s="273" t="e">
        <f t="shared" si="7"/>
        <v>#N/A</v>
      </c>
      <c r="AM45" s="270" t="e">
        <f>INDEX([71]Listas!$F$6:$J$10,MATCH(AI45,[71]Listas!$D$6:$D$10,0),MATCH(AK45,[71]Listas!$F$4:$J$4,0))</f>
        <v>#N/A</v>
      </c>
      <c r="AN45" s="259"/>
      <c r="AO45" s="259"/>
      <c r="AP45" s="610"/>
      <c r="AQ45" s="259"/>
      <c r="AR45" s="259" t="s">
        <v>2343</v>
      </c>
      <c r="AS45" s="608"/>
      <c r="AT45" s="259"/>
      <c r="AU45" s="259"/>
      <c r="AV45" s="261"/>
      <c r="AW45" s="261"/>
      <c r="AX45" s="608"/>
      <c r="AY45" s="262"/>
    </row>
    <row r="46" spans="1:51" s="260" customFormat="1" ht="103.5" hidden="1" customHeight="1">
      <c r="A46" s="608"/>
      <c r="B46" s="266"/>
      <c r="C46" s="1399"/>
      <c r="D46" s="1408"/>
      <c r="E46" s="1400"/>
      <c r="F46" s="267"/>
      <c r="G46" s="1399"/>
      <c r="H46" s="1408"/>
      <c r="I46" s="1400"/>
      <c r="J46" s="1380"/>
      <c r="K46" s="1380"/>
      <c r="L46" s="1380"/>
      <c r="M46" s="608"/>
      <c r="N46" s="608"/>
      <c r="O46" s="608"/>
      <c r="P46" s="608"/>
      <c r="Q46" s="266"/>
      <c r="R46" s="266"/>
      <c r="S46" s="268"/>
      <c r="T46" s="269" t="e">
        <f>VLOOKUP(Q46,[71]Listas!$D$6:$E$10,2,0)</f>
        <v>#N/A</v>
      </c>
      <c r="U46" s="269" t="e">
        <f>HLOOKUP(R46,[71]Listas!$F$4:$J$5,2,0)</f>
        <v>#N/A</v>
      </c>
      <c r="V46" s="270" t="e">
        <f>INDEX([71]Listas!$F$6:$J$10,MATCH(Q46,[71]Listas!$D$6:$D$10,0),MATCH(R46,[71]Listas!$F$4:$J$4,0))</f>
        <v>#N/A</v>
      </c>
      <c r="W46" s="268"/>
      <c r="X46" s="1399"/>
      <c r="Y46" s="1408"/>
      <c r="Z46" s="1400"/>
      <c r="AA46" s="1063"/>
      <c r="AB46" s="267"/>
      <c r="AC46" s="259"/>
      <c r="AD46" s="608"/>
      <c r="AE46" s="267"/>
      <c r="AF46" s="268"/>
      <c r="AG46" s="269">
        <f t="shared" si="4"/>
        <v>0</v>
      </c>
      <c r="AH46" s="271" t="e">
        <f t="shared" si="5"/>
        <v>#N/A</v>
      </c>
      <c r="AI46" s="272" t="e">
        <f>IF(AH46&lt;=1,"Remota",VLOOKUP(AH46,[71]Listas!$C$6:$D$10,2,0))</f>
        <v>#N/A</v>
      </c>
      <c r="AJ46" s="271" t="e">
        <f t="shared" si="6"/>
        <v>#N/A</v>
      </c>
      <c r="AK46" s="272" t="e">
        <f>IF(AJ46&lt;=1,"Insignificante",HLOOKUP(AJ46,[71]Listas!$F$3:$J$4,2,0))</f>
        <v>#N/A</v>
      </c>
      <c r="AL46" s="273" t="e">
        <f t="shared" si="7"/>
        <v>#N/A</v>
      </c>
      <c r="AM46" s="270" t="e">
        <f>INDEX([71]Listas!$F$6:$J$10,MATCH(AI46,[71]Listas!$D$6:$D$10,0),MATCH(AK46,[71]Listas!$F$4:$J$4,0))</f>
        <v>#N/A</v>
      </c>
      <c r="AN46" s="259"/>
      <c r="AO46" s="259"/>
      <c r="AP46" s="610"/>
      <c r="AQ46" s="259"/>
      <c r="AR46" s="259" t="s">
        <v>2343</v>
      </c>
      <c r="AS46" s="608"/>
      <c r="AT46" s="259"/>
      <c r="AU46" s="259"/>
      <c r="AV46" s="261"/>
      <c r="AW46" s="261"/>
      <c r="AX46" s="608"/>
      <c r="AY46" s="262"/>
    </row>
    <row r="47" spans="1:51" s="260" customFormat="1" ht="103.5" hidden="1" customHeight="1">
      <c r="A47" s="608"/>
      <c r="B47" s="266"/>
      <c r="C47" s="1399"/>
      <c r="D47" s="1408"/>
      <c r="E47" s="1400"/>
      <c r="F47" s="267"/>
      <c r="G47" s="1399"/>
      <c r="H47" s="1408"/>
      <c r="I47" s="1400"/>
      <c r="J47" s="1380"/>
      <c r="K47" s="1380"/>
      <c r="L47" s="1380"/>
      <c r="M47" s="608"/>
      <c r="N47" s="608"/>
      <c r="O47" s="608"/>
      <c r="P47" s="608"/>
      <c r="Q47" s="266"/>
      <c r="R47" s="266"/>
      <c r="S47" s="268"/>
      <c r="T47" s="269" t="e">
        <f>VLOOKUP(Q47,[71]Listas!$D$6:$E$10,2,0)</f>
        <v>#N/A</v>
      </c>
      <c r="U47" s="269" t="e">
        <f>HLOOKUP(R47,[71]Listas!$F$4:$J$5,2,0)</f>
        <v>#N/A</v>
      </c>
      <c r="V47" s="270" t="e">
        <f>INDEX([71]Listas!$F$6:$J$10,MATCH(Q47,[71]Listas!$D$6:$D$10,0),MATCH(R47,[71]Listas!$F$4:$J$4,0))</f>
        <v>#N/A</v>
      </c>
      <c r="W47" s="268"/>
      <c r="X47" s="1399"/>
      <c r="Y47" s="1408"/>
      <c r="Z47" s="1400"/>
      <c r="AA47" s="1063"/>
      <c r="AB47" s="267"/>
      <c r="AC47" s="259"/>
      <c r="AD47" s="608"/>
      <c r="AE47" s="267"/>
      <c r="AF47" s="268"/>
      <c r="AG47" s="269">
        <f t="shared" si="4"/>
        <v>0</v>
      </c>
      <c r="AH47" s="271" t="e">
        <f t="shared" si="5"/>
        <v>#N/A</v>
      </c>
      <c r="AI47" s="272" t="e">
        <f>IF(AH47&lt;=1,"Remota",VLOOKUP(AH47,[71]Listas!$C$6:$D$10,2,0))</f>
        <v>#N/A</v>
      </c>
      <c r="AJ47" s="271" t="e">
        <f t="shared" si="6"/>
        <v>#N/A</v>
      </c>
      <c r="AK47" s="272" t="e">
        <f>IF(AJ47&lt;=1,"Insignificante",HLOOKUP(AJ47,[71]Listas!$F$3:$J$4,2,0))</f>
        <v>#N/A</v>
      </c>
      <c r="AL47" s="273" t="e">
        <f t="shared" si="7"/>
        <v>#N/A</v>
      </c>
      <c r="AM47" s="270" t="e">
        <f>INDEX([71]Listas!$F$6:$J$10,MATCH(AI47,[71]Listas!$D$6:$D$10,0),MATCH(AK47,[71]Listas!$F$4:$J$4,0))</f>
        <v>#N/A</v>
      </c>
      <c r="AN47" s="259"/>
      <c r="AO47" s="259"/>
      <c r="AP47" s="610"/>
      <c r="AQ47" s="259"/>
      <c r="AR47" s="259" t="s">
        <v>2343</v>
      </c>
      <c r="AS47" s="608"/>
      <c r="AT47" s="259"/>
      <c r="AU47" s="259"/>
      <c r="AV47" s="261"/>
      <c r="AW47" s="261"/>
      <c r="AX47" s="608"/>
      <c r="AY47" s="262"/>
    </row>
    <row r="48" spans="1:51" s="260" customFormat="1" ht="103.5" hidden="1" customHeight="1">
      <c r="A48" s="608"/>
      <c r="B48" s="266"/>
      <c r="C48" s="1399"/>
      <c r="D48" s="1408"/>
      <c r="E48" s="1400"/>
      <c r="F48" s="267"/>
      <c r="G48" s="1399"/>
      <c r="H48" s="1408"/>
      <c r="I48" s="1400"/>
      <c r="J48" s="1380"/>
      <c r="K48" s="1380"/>
      <c r="L48" s="1380"/>
      <c r="M48" s="608"/>
      <c r="N48" s="608"/>
      <c r="O48" s="608"/>
      <c r="P48" s="608"/>
      <c r="Q48" s="266"/>
      <c r="R48" s="266"/>
      <c r="S48" s="268"/>
      <c r="T48" s="269" t="e">
        <f>VLOOKUP(Q48,[71]Listas!$D$6:$E$10,2,0)</f>
        <v>#N/A</v>
      </c>
      <c r="U48" s="269" t="e">
        <f>HLOOKUP(R48,[71]Listas!$F$4:$J$5,2,0)</f>
        <v>#N/A</v>
      </c>
      <c r="V48" s="270" t="e">
        <f>INDEX([71]Listas!$F$6:$J$10,MATCH(Q48,[71]Listas!$D$6:$D$10,0),MATCH(R48,[71]Listas!$F$4:$J$4,0))</f>
        <v>#N/A</v>
      </c>
      <c r="W48" s="268"/>
      <c r="X48" s="1399"/>
      <c r="Y48" s="1408"/>
      <c r="Z48" s="1400"/>
      <c r="AA48" s="1063"/>
      <c r="AB48" s="267"/>
      <c r="AC48" s="259"/>
      <c r="AD48" s="608"/>
      <c r="AE48" s="267"/>
      <c r="AF48" s="268"/>
      <c r="AG48" s="269">
        <f t="shared" si="4"/>
        <v>0</v>
      </c>
      <c r="AH48" s="271" t="e">
        <f t="shared" si="5"/>
        <v>#N/A</v>
      </c>
      <c r="AI48" s="272" t="e">
        <f>IF(AH48&lt;=1,"Remota",VLOOKUP(AH48,[71]Listas!$C$6:$D$10,2,0))</f>
        <v>#N/A</v>
      </c>
      <c r="AJ48" s="271" t="e">
        <f t="shared" si="6"/>
        <v>#N/A</v>
      </c>
      <c r="AK48" s="272" t="e">
        <f>IF(AJ48&lt;=1,"Insignificante",HLOOKUP(AJ48,[71]Listas!$F$3:$J$4,2,0))</f>
        <v>#N/A</v>
      </c>
      <c r="AL48" s="273" t="e">
        <f t="shared" si="7"/>
        <v>#N/A</v>
      </c>
      <c r="AM48" s="270" t="e">
        <f>INDEX([71]Listas!$F$6:$J$10,MATCH(AI48,[71]Listas!$D$6:$D$10,0),MATCH(AK48,[71]Listas!$F$4:$J$4,0))</f>
        <v>#N/A</v>
      </c>
      <c r="AN48" s="259"/>
      <c r="AO48" s="259"/>
      <c r="AP48" s="610"/>
      <c r="AQ48" s="259"/>
      <c r="AR48" s="259" t="s">
        <v>2343</v>
      </c>
      <c r="AS48" s="608"/>
      <c r="AT48" s="259"/>
      <c r="AU48" s="259"/>
      <c r="AV48" s="261"/>
      <c r="AW48" s="261"/>
      <c r="AX48" s="608"/>
      <c r="AY48" s="262"/>
    </row>
    <row r="49" spans="1:51" s="260" customFormat="1" ht="103.5" hidden="1" customHeight="1">
      <c r="A49" s="608"/>
      <c r="B49" s="266"/>
      <c r="C49" s="1399"/>
      <c r="D49" s="1408"/>
      <c r="E49" s="1400"/>
      <c r="F49" s="267"/>
      <c r="G49" s="1399"/>
      <c r="H49" s="1408"/>
      <c r="I49" s="1400"/>
      <c r="J49" s="1380"/>
      <c r="K49" s="1380"/>
      <c r="L49" s="1380"/>
      <c r="M49" s="608"/>
      <c r="N49" s="608"/>
      <c r="O49" s="608"/>
      <c r="P49" s="608"/>
      <c r="Q49" s="266"/>
      <c r="R49" s="266"/>
      <c r="S49" s="268"/>
      <c r="T49" s="269" t="e">
        <f>VLOOKUP(Q49,[71]Listas!$D$6:$E$10,2,0)</f>
        <v>#N/A</v>
      </c>
      <c r="U49" s="269" t="e">
        <f>HLOOKUP(R49,[71]Listas!$F$4:$J$5,2,0)</f>
        <v>#N/A</v>
      </c>
      <c r="V49" s="270" t="e">
        <f>INDEX([71]Listas!$F$6:$J$10,MATCH(Q49,[71]Listas!$D$6:$D$10,0),MATCH(R49,[71]Listas!$F$4:$J$4,0))</f>
        <v>#N/A</v>
      </c>
      <c r="W49" s="268"/>
      <c r="X49" s="1399"/>
      <c r="Y49" s="1408"/>
      <c r="Z49" s="1400"/>
      <c r="AA49" s="1063"/>
      <c r="AB49" s="267"/>
      <c r="AC49" s="259"/>
      <c r="AD49" s="608"/>
      <c r="AE49" s="267"/>
      <c r="AF49" s="268"/>
      <c r="AG49" s="269">
        <f t="shared" si="4"/>
        <v>0</v>
      </c>
      <c r="AH49" s="271" t="e">
        <f t="shared" si="5"/>
        <v>#N/A</v>
      </c>
      <c r="AI49" s="272" t="e">
        <f>IF(AH49&lt;=1,"Remota",VLOOKUP(AH49,[71]Listas!$C$6:$D$10,2,0))</f>
        <v>#N/A</v>
      </c>
      <c r="AJ49" s="271" t="e">
        <f t="shared" si="6"/>
        <v>#N/A</v>
      </c>
      <c r="AK49" s="272" t="e">
        <f>IF(AJ49&lt;=1,"Insignificante",HLOOKUP(AJ49,[71]Listas!$F$3:$J$4,2,0))</f>
        <v>#N/A</v>
      </c>
      <c r="AL49" s="273" t="e">
        <f t="shared" si="7"/>
        <v>#N/A</v>
      </c>
      <c r="AM49" s="270" t="e">
        <f>INDEX([71]Listas!$F$6:$J$10,MATCH(AI49,[71]Listas!$D$6:$D$10,0),MATCH(AK49,[71]Listas!$F$4:$J$4,0))</f>
        <v>#N/A</v>
      </c>
      <c r="AN49" s="259"/>
      <c r="AO49" s="259"/>
      <c r="AP49" s="610"/>
      <c r="AQ49" s="259"/>
      <c r="AR49" s="259" t="s">
        <v>2343</v>
      </c>
      <c r="AS49" s="608"/>
      <c r="AT49" s="259"/>
      <c r="AU49" s="259"/>
      <c r="AV49" s="261"/>
      <c r="AW49" s="261"/>
      <c r="AX49" s="608"/>
      <c r="AY49" s="262"/>
    </row>
    <row r="50" spans="1:51" s="260" customFormat="1" ht="103.5" hidden="1" customHeight="1">
      <c r="A50" s="608"/>
      <c r="B50" s="266"/>
      <c r="C50" s="1399"/>
      <c r="D50" s="1408"/>
      <c r="E50" s="1400"/>
      <c r="F50" s="267"/>
      <c r="G50" s="1399"/>
      <c r="H50" s="1408"/>
      <c r="I50" s="1400"/>
      <c r="J50" s="1380"/>
      <c r="K50" s="1380"/>
      <c r="L50" s="1380"/>
      <c r="M50" s="608"/>
      <c r="N50" s="608"/>
      <c r="O50" s="608"/>
      <c r="P50" s="608"/>
      <c r="Q50" s="266"/>
      <c r="R50" s="266"/>
      <c r="S50" s="268"/>
      <c r="T50" s="269" t="e">
        <f>VLOOKUP(Q50,[71]Listas!$D$6:$E$10,2,0)</f>
        <v>#N/A</v>
      </c>
      <c r="U50" s="269" t="e">
        <f>HLOOKUP(R50,[71]Listas!$F$4:$J$5,2,0)</f>
        <v>#N/A</v>
      </c>
      <c r="V50" s="270" t="e">
        <f>INDEX([71]Listas!$F$6:$J$10,MATCH(Q50,[71]Listas!$D$6:$D$10,0),MATCH(R50,[71]Listas!$F$4:$J$4,0))</f>
        <v>#N/A</v>
      </c>
      <c r="W50" s="268"/>
      <c r="X50" s="1399"/>
      <c r="Y50" s="1408"/>
      <c r="Z50" s="1400"/>
      <c r="AA50" s="1063"/>
      <c r="AB50" s="267"/>
      <c r="AC50" s="259"/>
      <c r="AD50" s="608"/>
      <c r="AE50" s="267"/>
      <c r="AF50" s="268"/>
      <c r="AG50" s="269">
        <f t="shared" si="4"/>
        <v>0</v>
      </c>
      <c r="AH50" s="271" t="e">
        <f t="shared" si="5"/>
        <v>#N/A</v>
      </c>
      <c r="AI50" s="272" t="e">
        <f>IF(AH50&lt;=1,"Remota",VLOOKUP(AH50,[71]Listas!$C$6:$D$10,2,0))</f>
        <v>#N/A</v>
      </c>
      <c r="AJ50" s="271" t="e">
        <f t="shared" si="6"/>
        <v>#N/A</v>
      </c>
      <c r="AK50" s="272" t="e">
        <f>IF(AJ50&lt;=1,"Insignificante",HLOOKUP(AJ50,[71]Listas!$F$3:$J$4,2,0))</f>
        <v>#N/A</v>
      </c>
      <c r="AL50" s="273" t="e">
        <f t="shared" si="7"/>
        <v>#N/A</v>
      </c>
      <c r="AM50" s="270" t="e">
        <f>INDEX([71]Listas!$F$6:$J$10,MATCH(AI50,[71]Listas!$D$6:$D$10,0),MATCH(AK50,[71]Listas!$F$4:$J$4,0))</f>
        <v>#N/A</v>
      </c>
      <c r="AN50" s="259"/>
      <c r="AO50" s="259"/>
      <c r="AP50" s="610"/>
      <c r="AQ50" s="259"/>
      <c r="AR50" s="259" t="s">
        <v>2343</v>
      </c>
      <c r="AS50" s="608"/>
      <c r="AT50" s="259"/>
      <c r="AU50" s="259"/>
      <c r="AV50" s="261"/>
      <c r="AW50" s="261"/>
      <c r="AX50" s="608"/>
      <c r="AY50" s="262"/>
    </row>
    <row r="51" spans="1:51" s="260" customFormat="1" ht="103.5" hidden="1" customHeight="1">
      <c r="A51" s="608"/>
      <c r="B51" s="266"/>
      <c r="C51" s="1399"/>
      <c r="D51" s="1408"/>
      <c r="E51" s="1400"/>
      <c r="F51" s="267"/>
      <c r="G51" s="1399"/>
      <c r="H51" s="1408"/>
      <c r="I51" s="1400"/>
      <c r="J51" s="1380"/>
      <c r="K51" s="1380"/>
      <c r="L51" s="1380"/>
      <c r="M51" s="608"/>
      <c r="N51" s="608"/>
      <c r="O51" s="608"/>
      <c r="P51" s="608"/>
      <c r="Q51" s="266"/>
      <c r="R51" s="266"/>
      <c r="S51" s="268"/>
      <c r="T51" s="269" t="e">
        <f>VLOOKUP(Q51,[71]Listas!$D$6:$E$10,2,0)</f>
        <v>#N/A</v>
      </c>
      <c r="U51" s="269" t="e">
        <f>HLOOKUP(R51,[71]Listas!$F$4:$J$5,2,0)</f>
        <v>#N/A</v>
      </c>
      <c r="V51" s="270" t="e">
        <f>INDEX([71]Listas!$F$6:$J$10,MATCH(Q51,[71]Listas!$D$6:$D$10,0),MATCH(R51,[71]Listas!$F$4:$J$4,0))</f>
        <v>#N/A</v>
      </c>
      <c r="W51" s="268"/>
      <c r="X51" s="1399"/>
      <c r="Y51" s="1408"/>
      <c r="Z51" s="1400"/>
      <c r="AA51" s="1063"/>
      <c r="AB51" s="267"/>
      <c r="AC51" s="259"/>
      <c r="AD51" s="608"/>
      <c r="AE51" s="267"/>
      <c r="AF51" s="268"/>
      <c r="AG51" s="269">
        <f t="shared" si="4"/>
        <v>0</v>
      </c>
      <c r="AH51" s="271" t="e">
        <f t="shared" si="5"/>
        <v>#N/A</v>
      </c>
      <c r="AI51" s="272" t="e">
        <f>IF(AH51&lt;=1,"Remota",VLOOKUP(AH51,[71]Listas!$C$6:$D$10,2,0))</f>
        <v>#N/A</v>
      </c>
      <c r="AJ51" s="271" t="e">
        <f t="shared" si="6"/>
        <v>#N/A</v>
      </c>
      <c r="AK51" s="272" t="e">
        <f>IF(AJ51&lt;=1,"Insignificante",HLOOKUP(AJ51,[71]Listas!$F$3:$J$4,2,0))</f>
        <v>#N/A</v>
      </c>
      <c r="AL51" s="273" t="e">
        <f t="shared" si="7"/>
        <v>#N/A</v>
      </c>
      <c r="AM51" s="270" t="e">
        <f>INDEX([71]Listas!$F$6:$J$10,MATCH(AI51,[71]Listas!$D$6:$D$10,0),MATCH(AK51,[71]Listas!$F$4:$J$4,0))</f>
        <v>#N/A</v>
      </c>
      <c r="AN51" s="259"/>
      <c r="AO51" s="259"/>
      <c r="AP51" s="610"/>
      <c r="AQ51" s="259"/>
      <c r="AR51" s="259" t="s">
        <v>2343</v>
      </c>
      <c r="AS51" s="608"/>
      <c r="AT51" s="259"/>
      <c r="AU51" s="259"/>
      <c r="AV51" s="261"/>
      <c r="AW51" s="261"/>
      <c r="AX51" s="608"/>
      <c r="AY51" s="262"/>
    </row>
    <row r="52" spans="1:51" s="260" customFormat="1" ht="103.5" hidden="1" customHeight="1">
      <c r="A52" s="608"/>
      <c r="B52" s="266"/>
      <c r="C52" s="1399"/>
      <c r="D52" s="1408"/>
      <c r="E52" s="1400"/>
      <c r="F52" s="267"/>
      <c r="G52" s="1399"/>
      <c r="H52" s="1408"/>
      <c r="I52" s="1400"/>
      <c r="J52" s="1380"/>
      <c r="K52" s="1380"/>
      <c r="L52" s="1380"/>
      <c r="M52" s="608"/>
      <c r="N52" s="608"/>
      <c r="O52" s="608"/>
      <c r="P52" s="608"/>
      <c r="Q52" s="266"/>
      <c r="R52" s="266"/>
      <c r="S52" s="268"/>
      <c r="T52" s="269" t="e">
        <f>VLOOKUP(Q52,[71]Listas!$D$6:$E$10,2,0)</f>
        <v>#N/A</v>
      </c>
      <c r="U52" s="269" t="e">
        <f>HLOOKUP(R52,[71]Listas!$F$4:$J$5,2,0)</f>
        <v>#N/A</v>
      </c>
      <c r="V52" s="270" t="e">
        <f>INDEX([71]Listas!$F$6:$J$10,MATCH(Q52,[71]Listas!$D$6:$D$10,0),MATCH(R52,[71]Listas!$F$4:$J$4,0))</f>
        <v>#N/A</v>
      </c>
      <c r="W52" s="268"/>
      <c r="X52" s="1399"/>
      <c r="Y52" s="1408"/>
      <c r="Z52" s="1400"/>
      <c r="AA52" s="1063"/>
      <c r="AB52" s="267"/>
      <c r="AC52" s="259"/>
      <c r="AD52" s="608"/>
      <c r="AE52" s="267"/>
      <c r="AF52" s="268"/>
      <c r="AG52" s="269">
        <f t="shared" si="4"/>
        <v>0</v>
      </c>
      <c r="AH52" s="271" t="e">
        <f t="shared" si="5"/>
        <v>#N/A</v>
      </c>
      <c r="AI52" s="272" t="e">
        <f>IF(AH52&lt;=1,"Remota",VLOOKUP(AH52,[71]Listas!$C$6:$D$10,2,0))</f>
        <v>#N/A</v>
      </c>
      <c r="AJ52" s="271" t="e">
        <f t="shared" si="6"/>
        <v>#N/A</v>
      </c>
      <c r="AK52" s="272" t="e">
        <f>IF(AJ52&lt;=1,"Insignificante",HLOOKUP(AJ52,[71]Listas!$F$3:$J$4,2,0))</f>
        <v>#N/A</v>
      </c>
      <c r="AL52" s="273" t="e">
        <f t="shared" si="7"/>
        <v>#N/A</v>
      </c>
      <c r="AM52" s="270" t="e">
        <f>INDEX([71]Listas!$F$6:$J$10,MATCH(AI52,[71]Listas!$D$6:$D$10,0),MATCH(AK52,[71]Listas!$F$4:$J$4,0))</f>
        <v>#N/A</v>
      </c>
      <c r="AN52" s="259"/>
      <c r="AO52" s="259"/>
      <c r="AP52" s="610"/>
      <c r="AQ52" s="259"/>
      <c r="AR52" s="259" t="s">
        <v>2343</v>
      </c>
      <c r="AS52" s="608"/>
      <c r="AT52" s="259"/>
      <c r="AU52" s="259"/>
      <c r="AV52" s="261"/>
      <c r="AW52" s="261"/>
      <c r="AX52" s="608"/>
      <c r="AY52" s="262"/>
    </row>
    <row r="53" spans="1:51" s="260" customFormat="1" ht="103.5" hidden="1" customHeight="1">
      <c r="A53" s="608"/>
      <c r="B53" s="266"/>
      <c r="C53" s="1399"/>
      <c r="D53" s="1408"/>
      <c r="E53" s="1400"/>
      <c r="F53" s="267"/>
      <c r="G53" s="1399"/>
      <c r="H53" s="1408"/>
      <c r="I53" s="1400"/>
      <c r="J53" s="1380"/>
      <c r="K53" s="1380"/>
      <c r="L53" s="1380"/>
      <c r="M53" s="608"/>
      <c r="N53" s="608"/>
      <c r="O53" s="608"/>
      <c r="P53" s="608"/>
      <c r="Q53" s="266"/>
      <c r="R53" s="266"/>
      <c r="S53" s="268"/>
      <c r="T53" s="269" t="e">
        <f>VLOOKUP(Q53,[71]Listas!$D$6:$E$10,2,0)</f>
        <v>#N/A</v>
      </c>
      <c r="U53" s="269" t="e">
        <f>HLOOKUP(R53,[71]Listas!$F$4:$J$5,2,0)</f>
        <v>#N/A</v>
      </c>
      <c r="V53" s="270" t="e">
        <f>INDEX([71]Listas!$F$6:$J$10,MATCH(Q53,[71]Listas!$D$6:$D$10,0),MATCH(R53,[71]Listas!$F$4:$J$4,0))</f>
        <v>#N/A</v>
      </c>
      <c r="W53" s="268"/>
      <c r="X53" s="1399"/>
      <c r="Y53" s="1408"/>
      <c r="Z53" s="1400"/>
      <c r="AA53" s="1063"/>
      <c r="AB53" s="267"/>
      <c r="AC53" s="259"/>
      <c r="AD53" s="608"/>
      <c r="AE53" s="267"/>
      <c r="AF53" s="268"/>
      <c r="AG53" s="269">
        <f t="shared" si="4"/>
        <v>0</v>
      </c>
      <c r="AH53" s="271" t="e">
        <f t="shared" si="5"/>
        <v>#N/A</v>
      </c>
      <c r="AI53" s="272" t="e">
        <f>IF(AH53&lt;=1,"Remota",VLOOKUP(AH53,[71]Listas!$C$6:$D$10,2,0))</f>
        <v>#N/A</v>
      </c>
      <c r="AJ53" s="271" t="e">
        <f t="shared" si="6"/>
        <v>#N/A</v>
      </c>
      <c r="AK53" s="272" t="e">
        <f>IF(AJ53&lt;=1,"Insignificante",HLOOKUP(AJ53,[71]Listas!$F$3:$J$4,2,0))</f>
        <v>#N/A</v>
      </c>
      <c r="AL53" s="273" t="e">
        <f t="shared" si="7"/>
        <v>#N/A</v>
      </c>
      <c r="AM53" s="270" t="e">
        <f>INDEX([71]Listas!$F$6:$J$10,MATCH(AI53,[71]Listas!$D$6:$D$10,0),MATCH(AK53,[71]Listas!$F$4:$J$4,0))</f>
        <v>#N/A</v>
      </c>
      <c r="AN53" s="259"/>
      <c r="AO53" s="259"/>
      <c r="AP53" s="610"/>
      <c r="AQ53" s="259"/>
      <c r="AR53" s="259" t="s">
        <v>2343</v>
      </c>
      <c r="AS53" s="608"/>
      <c r="AT53" s="259"/>
      <c r="AU53" s="259"/>
      <c r="AV53" s="261"/>
      <c r="AW53" s="261"/>
      <c r="AX53" s="608"/>
      <c r="AY53" s="262"/>
    </row>
    <row r="54" spans="1:51" s="260" customFormat="1" ht="103.5" hidden="1" customHeight="1">
      <c r="A54" s="608"/>
      <c r="B54" s="266"/>
      <c r="C54" s="1399"/>
      <c r="D54" s="1408"/>
      <c r="E54" s="1400"/>
      <c r="F54" s="267"/>
      <c r="G54" s="1399"/>
      <c r="H54" s="1408"/>
      <c r="I54" s="1400"/>
      <c r="J54" s="1380"/>
      <c r="K54" s="1380"/>
      <c r="L54" s="1380"/>
      <c r="M54" s="608"/>
      <c r="N54" s="608"/>
      <c r="O54" s="608"/>
      <c r="P54" s="608"/>
      <c r="Q54" s="266"/>
      <c r="R54" s="266"/>
      <c r="S54" s="268"/>
      <c r="T54" s="269" t="e">
        <f>VLOOKUP(Q54,[71]Listas!$D$6:$E$10,2,0)</f>
        <v>#N/A</v>
      </c>
      <c r="U54" s="269" t="e">
        <f>HLOOKUP(R54,[71]Listas!$F$4:$J$5,2,0)</f>
        <v>#N/A</v>
      </c>
      <c r="V54" s="270" t="e">
        <f>INDEX([71]Listas!$F$6:$J$10,MATCH(Q54,[71]Listas!$D$6:$D$10,0),MATCH(R54,[71]Listas!$F$4:$J$4,0))</f>
        <v>#N/A</v>
      </c>
      <c r="W54" s="268"/>
      <c r="X54" s="1399"/>
      <c r="Y54" s="1408"/>
      <c r="Z54" s="1400"/>
      <c r="AA54" s="1063"/>
      <c r="AB54" s="267"/>
      <c r="AC54" s="259"/>
      <c r="AD54" s="608"/>
      <c r="AE54" s="267"/>
      <c r="AF54" s="268"/>
      <c r="AG54" s="269">
        <f t="shared" si="4"/>
        <v>0</v>
      </c>
      <c r="AH54" s="271" t="e">
        <f t="shared" si="5"/>
        <v>#N/A</v>
      </c>
      <c r="AI54" s="272" t="e">
        <f>IF(AH54&lt;=1,"Remota",VLOOKUP(AH54,[71]Listas!$C$6:$D$10,2,0))</f>
        <v>#N/A</v>
      </c>
      <c r="AJ54" s="271" t="e">
        <f t="shared" si="6"/>
        <v>#N/A</v>
      </c>
      <c r="AK54" s="272" t="e">
        <f>IF(AJ54&lt;=1,"Insignificante",HLOOKUP(AJ54,[71]Listas!$F$3:$J$4,2,0))</f>
        <v>#N/A</v>
      </c>
      <c r="AL54" s="273" t="e">
        <f t="shared" si="7"/>
        <v>#N/A</v>
      </c>
      <c r="AM54" s="270" t="e">
        <f>INDEX([71]Listas!$F$6:$J$10,MATCH(AI54,[71]Listas!$D$6:$D$10,0),MATCH(AK54,[71]Listas!$F$4:$J$4,0))</f>
        <v>#N/A</v>
      </c>
      <c r="AN54" s="259"/>
      <c r="AO54" s="259"/>
      <c r="AP54" s="610"/>
      <c r="AQ54" s="259"/>
      <c r="AR54" s="259" t="s">
        <v>2343</v>
      </c>
      <c r="AS54" s="608"/>
      <c r="AT54" s="259"/>
      <c r="AU54" s="259"/>
      <c r="AV54" s="261"/>
      <c r="AW54" s="261"/>
      <c r="AX54" s="608"/>
      <c r="AY54" s="262"/>
    </row>
    <row r="55" spans="1:51" s="260" customFormat="1" ht="103.5" hidden="1" customHeight="1">
      <c r="A55" s="608"/>
      <c r="B55" s="266"/>
      <c r="C55" s="1399"/>
      <c r="D55" s="1408"/>
      <c r="E55" s="1400"/>
      <c r="F55" s="267"/>
      <c r="G55" s="1399"/>
      <c r="H55" s="1408"/>
      <c r="I55" s="1400"/>
      <c r="J55" s="1380"/>
      <c r="K55" s="1380"/>
      <c r="L55" s="1380"/>
      <c r="M55" s="608"/>
      <c r="N55" s="608"/>
      <c r="O55" s="608"/>
      <c r="P55" s="608"/>
      <c r="Q55" s="266"/>
      <c r="R55" s="266"/>
      <c r="S55" s="268"/>
      <c r="T55" s="269" t="e">
        <f>VLOOKUP(Q55,[71]Listas!$D$6:$E$10,2,0)</f>
        <v>#N/A</v>
      </c>
      <c r="U55" s="269" t="e">
        <f>HLOOKUP(R55,[71]Listas!$F$4:$J$5,2,0)</f>
        <v>#N/A</v>
      </c>
      <c r="V55" s="270" t="e">
        <f>INDEX([71]Listas!$F$6:$J$10,MATCH(Q55,[71]Listas!$D$6:$D$10,0),MATCH(R55,[71]Listas!$F$4:$J$4,0))</f>
        <v>#N/A</v>
      </c>
      <c r="W55" s="268"/>
      <c r="X55" s="1399"/>
      <c r="Y55" s="1408"/>
      <c r="Z55" s="1400"/>
      <c r="AA55" s="1063"/>
      <c r="AB55" s="267"/>
      <c r="AC55" s="259"/>
      <c r="AD55" s="608"/>
      <c r="AE55" s="267"/>
      <c r="AF55" s="268"/>
      <c r="AG55" s="269">
        <f t="shared" si="4"/>
        <v>0</v>
      </c>
      <c r="AH55" s="271" t="e">
        <f t="shared" si="5"/>
        <v>#N/A</v>
      </c>
      <c r="AI55" s="272" t="e">
        <f>IF(AH55&lt;=1,"Remota",VLOOKUP(AH55,[71]Listas!$C$6:$D$10,2,0))</f>
        <v>#N/A</v>
      </c>
      <c r="AJ55" s="271" t="e">
        <f t="shared" si="6"/>
        <v>#N/A</v>
      </c>
      <c r="AK55" s="272" t="e">
        <f>IF(AJ55&lt;=1,"Insignificante",HLOOKUP(AJ55,[71]Listas!$F$3:$J$4,2,0))</f>
        <v>#N/A</v>
      </c>
      <c r="AL55" s="273" t="e">
        <f t="shared" si="7"/>
        <v>#N/A</v>
      </c>
      <c r="AM55" s="270" t="e">
        <f>INDEX([71]Listas!$F$6:$J$10,MATCH(AI55,[71]Listas!$D$6:$D$10,0),MATCH(AK55,[71]Listas!$F$4:$J$4,0))</f>
        <v>#N/A</v>
      </c>
      <c r="AN55" s="259"/>
      <c r="AO55" s="259"/>
      <c r="AP55" s="610"/>
      <c r="AQ55" s="259"/>
      <c r="AR55" s="259" t="s">
        <v>2343</v>
      </c>
      <c r="AS55" s="608"/>
      <c r="AT55" s="259"/>
      <c r="AU55" s="259"/>
      <c r="AV55" s="261"/>
      <c r="AW55" s="261"/>
      <c r="AX55" s="608"/>
      <c r="AY55" s="262"/>
    </row>
    <row r="56" spans="1:51" s="260" customFormat="1" ht="103.5" hidden="1" customHeight="1">
      <c r="A56" s="608"/>
      <c r="B56" s="266"/>
      <c r="C56" s="1399"/>
      <c r="D56" s="1408"/>
      <c r="E56" s="1400"/>
      <c r="F56" s="267"/>
      <c r="G56" s="1399"/>
      <c r="H56" s="1408"/>
      <c r="I56" s="1400"/>
      <c r="J56" s="1380"/>
      <c r="K56" s="1380"/>
      <c r="L56" s="1380"/>
      <c r="M56" s="608"/>
      <c r="N56" s="608"/>
      <c r="O56" s="608"/>
      <c r="P56" s="608"/>
      <c r="Q56" s="266"/>
      <c r="R56" s="266"/>
      <c r="S56" s="268"/>
      <c r="T56" s="269" t="e">
        <f>VLOOKUP(Q56,[71]Listas!$D$6:$E$10,2,0)</f>
        <v>#N/A</v>
      </c>
      <c r="U56" s="269" t="e">
        <f>HLOOKUP(R56,[71]Listas!$F$4:$J$5,2,0)</f>
        <v>#N/A</v>
      </c>
      <c r="V56" s="270" t="e">
        <f>INDEX([71]Listas!$F$6:$J$10,MATCH(Q56,[71]Listas!$D$6:$D$10,0),MATCH(R56,[71]Listas!$F$4:$J$4,0))</f>
        <v>#N/A</v>
      </c>
      <c r="W56" s="268"/>
      <c r="X56" s="1399"/>
      <c r="Y56" s="1408"/>
      <c r="Z56" s="1400"/>
      <c r="AA56" s="1063"/>
      <c r="AB56" s="267"/>
      <c r="AC56" s="259"/>
      <c r="AD56" s="608"/>
      <c r="AE56" s="267"/>
      <c r="AF56" s="268"/>
      <c r="AG56" s="269">
        <f t="shared" si="4"/>
        <v>0</v>
      </c>
      <c r="AH56" s="271" t="e">
        <f t="shared" si="5"/>
        <v>#N/A</v>
      </c>
      <c r="AI56" s="272" t="e">
        <f>IF(AH56&lt;=1,"Remota",VLOOKUP(AH56,[71]Listas!$C$6:$D$10,2,0))</f>
        <v>#N/A</v>
      </c>
      <c r="AJ56" s="271" t="e">
        <f t="shared" si="6"/>
        <v>#N/A</v>
      </c>
      <c r="AK56" s="272" t="e">
        <f>IF(AJ56&lt;=1,"Insignificante",HLOOKUP(AJ56,[71]Listas!$F$3:$J$4,2,0))</f>
        <v>#N/A</v>
      </c>
      <c r="AL56" s="273" t="e">
        <f t="shared" si="7"/>
        <v>#N/A</v>
      </c>
      <c r="AM56" s="270" t="e">
        <f>INDEX([71]Listas!$F$6:$J$10,MATCH(AI56,[71]Listas!$D$6:$D$10,0),MATCH(AK56,[71]Listas!$F$4:$J$4,0))</f>
        <v>#N/A</v>
      </c>
      <c r="AN56" s="259"/>
      <c r="AO56" s="259"/>
      <c r="AP56" s="610"/>
      <c r="AQ56" s="259"/>
      <c r="AR56" s="259" t="s">
        <v>2343</v>
      </c>
      <c r="AS56" s="608"/>
      <c r="AT56" s="259"/>
      <c r="AU56" s="259"/>
      <c r="AV56" s="261"/>
      <c r="AW56" s="261"/>
      <c r="AX56" s="608"/>
      <c r="AY56" s="262"/>
    </row>
    <row r="57" spans="1:51" s="260" customFormat="1" ht="103.5" hidden="1" customHeight="1">
      <c r="A57" s="608"/>
      <c r="B57" s="266"/>
      <c r="C57" s="1399"/>
      <c r="D57" s="1408"/>
      <c r="E57" s="1400"/>
      <c r="F57" s="267"/>
      <c r="G57" s="1399"/>
      <c r="H57" s="1408"/>
      <c r="I57" s="1400"/>
      <c r="J57" s="1380"/>
      <c r="K57" s="1380"/>
      <c r="L57" s="1380"/>
      <c r="M57" s="608"/>
      <c r="N57" s="608"/>
      <c r="O57" s="608"/>
      <c r="P57" s="608"/>
      <c r="Q57" s="266"/>
      <c r="R57" s="266"/>
      <c r="S57" s="268"/>
      <c r="T57" s="269" t="e">
        <f>VLOOKUP(Q57,[71]Listas!$D$6:$E$10,2,0)</f>
        <v>#N/A</v>
      </c>
      <c r="U57" s="269" t="e">
        <f>HLOOKUP(R57,[71]Listas!$F$4:$J$5,2,0)</f>
        <v>#N/A</v>
      </c>
      <c r="V57" s="270" t="e">
        <f>INDEX([71]Listas!$F$6:$J$10,MATCH(Q57,[71]Listas!$D$6:$D$10,0),MATCH(R57,[71]Listas!$F$4:$J$4,0))</f>
        <v>#N/A</v>
      </c>
      <c r="W57" s="268"/>
      <c r="X57" s="1399"/>
      <c r="Y57" s="1408"/>
      <c r="Z57" s="1400"/>
      <c r="AA57" s="1063"/>
      <c r="AB57" s="267"/>
      <c r="AC57" s="259"/>
      <c r="AD57" s="608"/>
      <c r="AE57" s="267"/>
      <c r="AF57" s="268"/>
      <c r="AG57" s="269">
        <f t="shared" si="4"/>
        <v>0</v>
      </c>
      <c r="AH57" s="271" t="e">
        <f t="shared" si="5"/>
        <v>#N/A</v>
      </c>
      <c r="AI57" s="272" t="e">
        <f>IF(AH57&lt;=1,"Remota",VLOOKUP(AH57,[71]Listas!$C$6:$D$10,2,0))</f>
        <v>#N/A</v>
      </c>
      <c r="AJ57" s="271" t="e">
        <f t="shared" si="6"/>
        <v>#N/A</v>
      </c>
      <c r="AK57" s="272" t="e">
        <f>IF(AJ57&lt;=1,"Insignificante",HLOOKUP(AJ57,[71]Listas!$F$3:$J$4,2,0))</f>
        <v>#N/A</v>
      </c>
      <c r="AL57" s="273" t="e">
        <f t="shared" si="7"/>
        <v>#N/A</v>
      </c>
      <c r="AM57" s="270" t="e">
        <f>INDEX([71]Listas!$F$6:$J$10,MATCH(AI57,[71]Listas!$D$6:$D$10,0),MATCH(AK57,[71]Listas!$F$4:$J$4,0))</f>
        <v>#N/A</v>
      </c>
      <c r="AN57" s="259"/>
      <c r="AO57" s="259"/>
      <c r="AP57" s="610"/>
      <c r="AQ57" s="259"/>
      <c r="AR57" s="259" t="s">
        <v>2343</v>
      </c>
      <c r="AS57" s="608"/>
      <c r="AT57" s="259"/>
      <c r="AU57" s="259"/>
      <c r="AV57" s="261"/>
      <c r="AW57" s="261"/>
      <c r="AX57" s="608"/>
      <c r="AY57" s="262"/>
    </row>
    <row r="58" spans="1:51" s="260" customFormat="1" ht="103.5" hidden="1" customHeight="1">
      <c r="A58" s="608"/>
      <c r="B58" s="266"/>
      <c r="C58" s="1399"/>
      <c r="D58" s="1408"/>
      <c r="E58" s="1400"/>
      <c r="F58" s="267"/>
      <c r="G58" s="1399"/>
      <c r="H58" s="1408"/>
      <c r="I58" s="1400"/>
      <c r="J58" s="1380"/>
      <c r="K58" s="1380"/>
      <c r="L58" s="1380"/>
      <c r="M58" s="608"/>
      <c r="N58" s="608"/>
      <c r="O58" s="608"/>
      <c r="P58" s="608"/>
      <c r="Q58" s="266"/>
      <c r="R58" s="266"/>
      <c r="S58" s="268"/>
      <c r="T58" s="269" t="e">
        <f>VLOOKUP(Q58,[71]Listas!$D$6:$E$10,2,0)</f>
        <v>#N/A</v>
      </c>
      <c r="U58" s="269" t="e">
        <f>HLOOKUP(R58,[71]Listas!$F$4:$J$5,2,0)</f>
        <v>#N/A</v>
      </c>
      <c r="V58" s="270" t="e">
        <f>INDEX([71]Listas!$F$6:$J$10,MATCH(Q58,[71]Listas!$D$6:$D$10,0),MATCH(R58,[71]Listas!$F$4:$J$4,0))</f>
        <v>#N/A</v>
      </c>
      <c r="W58" s="268"/>
      <c r="X58" s="1399"/>
      <c r="Y58" s="1408"/>
      <c r="Z58" s="1400"/>
      <c r="AA58" s="1063"/>
      <c r="AB58" s="267"/>
      <c r="AC58" s="259"/>
      <c r="AD58" s="608"/>
      <c r="AE58" s="267"/>
      <c r="AF58" s="268"/>
      <c r="AG58" s="269">
        <f t="shared" si="4"/>
        <v>0</v>
      </c>
      <c r="AH58" s="271" t="e">
        <f t="shared" si="5"/>
        <v>#N/A</v>
      </c>
      <c r="AI58" s="272" t="e">
        <f>IF(AH58&lt;=1,"Remota",VLOOKUP(AH58,[71]Listas!$C$6:$D$10,2,0))</f>
        <v>#N/A</v>
      </c>
      <c r="AJ58" s="271" t="e">
        <f t="shared" si="6"/>
        <v>#N/A</v>
      </c>
      <c r="AK58" s="272" t="e">
        <f>IF(AJ58&lt;=1,"Insignificante",HLOOKUP(AJ58,[71]Listas!$F$3:$J$4,2,0))</f>
        <v>#N/A</v>
      </c>
      <c r="AL58" s="273" t="e">
        <f t="shared" si="7"/>
        <v>#N/A</v>
      </c>
      <c r="AM58" s="270" t="e">
        <f>INDEX([71]Listas!$F$6:$J$10,MATCH(AI58,[71]Listas!$D$6:$D$10,0),MATCH(AK58,[71]Listas!$F$4:$J$4,0))</f>
        <v>#N/A</v>
      </c>
      <c r="AN58" s="259"/>
      <c r="AO58" s="259"/>
      <c r="AP58" s="610"/>
      <c r="AQ58" s="259"/>
      <c r="AR58" s="259" t="s">
        <v>2343</v>
      </c>
      <c r="AS58" s="608"/>
      <c r="AT58" s="259"/>
      <c r="AU58" s="259"/>
      <c r="AV58" s="261"/>
      <c r="AW58" s="261"/>
      <c r="AX58" s="608"/>
      <c r="AY58" s="262"/>
    </row>
    <row r="59" spans="1:51" s="260" customFormat="1" ht="103.5" hidden="1" customHeight="1">
      <c r="A59" s="608"/>
      <c r="B59" s="266"/>
      <c r="C59" s="1399"/>
      <c r="D59" s="1408"/>
      <c r="E59" s="1400"/>
      <c r="F59" s="266"/>
      <c r="G59" s="1399"/>
      <c r="H59" s="1408"/>
      <c r="I59" s="1400"/>
      <c r="J59" s="1380"/>
      <c r="K59" s="1380"/>
      <c r="L59" s="1380"/>
      <c r="M59" s="608"/>
      <c r="N59" s="608"/>
      <c r="O59" s="608"/>
      <c r="P59" s="608"/>
      <c r="Q59" s="266"/>
      <c r="R59" s="266"/>
      <c r="S59" s="268"/>
      <c r="T59" s="269" t="e">
        <f>VLOOKUP(Q59,[71]Listas!$D$6:$E$10,2,0)</f>
        <v>#N/A</v>
      </c>
      <c r="U59" s="269" t="e">
        <f>HLOOKUP(R59,[71]Listas!$F$4:$J$5,2,0)</f>
        <v>#N/A</v>
      </c>
      <c r="V59" s="270" t="e">
        <f>INDEX([71]Listas!$F$6:$J$10,MATCH(Q59,[71]Listas!$D$6:$D$10,0),MATCH(R59,[71]Listas!$F$4:$J$4,0))</f>
        <v>#N/A</v>
      </c>
      <c r="W59" s="268"/>
      <c r="X59" s="1399"/>
      <c r="Y59" s="1408"/>
      <c r="Z59" s="1400"/>
      <c r="AA59" s="1063"/>
      <c r="AB59" s="267"/>
      <c r="AC59" s="259"/>
      <c r="AD59" s="608"/>
      <c r="AE59" s="267"/>
      <c r="AF59" s="268"/>
      <c r="AG59" s="269">
        <f>IF(AD59&lt;=33,0,IF(AD59&gt;81,2,1))</f>
        <v>0</v>
      </c>
      <c r="AH59" s="271" t="e">
        <f>IF(OR(AE59="Probabilidad",AE59="Ambos"),T59-AG59,T59)</f>
        <v>#N/A</v>
      </c>
      <c r="AI59" s="272" t="e">
        <f>IF(AH59&lt;=1,"Remota",VLOOKUP(AH59,[71]Listas!$C$6:$D$10,2,0))</f>
        <v>#N/A</v>
      </c>
      <c r="AJ59" s="271" t="e">
        <f>IF(OR(AE59="Impacto",AE59="Ambos"),U59-AG59,U59)</f>
        <v>#N/A</v>
      </c>
      <c r="AK59" s="272" t="e">
        <f>IF(AJ59&lt;=1,"Insignificante",HLOOKUP(AJ59,[71]Listas!$F$3:$J$4,2,0))</f>
        <v>#N/A</v>
      </c>
      <c r="AL59" s="273" t="e">
        <f>AH59*AJ59</f>
        <v>#N/A</v>
      </c>
      <c r="AM59" s="270" t="e">
        <f>INDEX([71]Listas!$F$6:$J$10,MATCH(AI59,[71]Listas!$D$6:$D$10,0),MATCH(AK59,[71]Listas!$F$4:$J$4,0))</f>
        <v>#N/A</v>
      </c>
      <c r="AN59" s="259"/>
      <c r="AO59" s="259"/>
      <c r="AP59" s="610"/>
      <c r="AQ59" s="259"/>
      <c r="AR59" s="259" t="s">
        <v>2343</v>
      </c>
      <c r="AS59" s="608"/>
      <c r="AU59" s="259"/>
      <c r="AV59" s="261"/>
      <c r="AW59" s="261"/>
      <c r="AX59" s="608"/>
      <c r="AY59" s="262"/>
    </row>
    <row r="60" spans="1:51" s="260" customFormat="1" ht="103.5" hidden="1" customHeight="1">
      <c r="A60" s="608"/>
      <c r="B60" s="266"/>
      <c r="C60" s="1399"/>
      <c r="D60" s="1408"/>
      <c r="E60" s="1400"/>
      <c r="F60" s="267"/>
      <c r="G60" s="1399"/>
      <c r="H60" s="1408"/>
      <c r="I60" s="1400"/>
      <c r="J60" s="1380"/>
      <c r="K60" s="1380"/>
      <c r="L60" s="1380"/>
      <c r="M60" s="608"/>
      <c r="N60" s="608"/>
      <c r="O60" s="608"/>
      <c r="P60" s="608"/>
      <c r="Q60" s="266"/>
      <c r="R60" s="266"/>
      <c r="S60" s="268"/>
      <c r="T60" s="269" t="e">
        <f>VLOOKUP(Q60,[71]Listas!$D$6:$E$10,2,0)</f>
        <v>#N/A</v>
      </c>
      <c r="U60" s="269" t="e">
        <f>HLOOKUP(R60,[71]Listas!$F$4:$J$5,2,0)</f>
        <v>#N/A</v>
      </c>
      <c r="V60" s="270" t="e">
        <f>INDEX([71]Listas!$F$6:$J$10,MATCH(Q60,[71]Listas!$D$6:$D$10,0),MATCH(R60,[71]Listas!$F$4:$J$4,0))</f>
        <v>#N/A</v>
      </c>
      <c r="W60" s="268"/>
      <c r="X60" s="1399"/>
      <c r="Y60" s="1408"/>
      <c r="Z60" s="1400"/>
      <c r="AA60" s="1063"/>
      <c r="AB60" s="267"/>
      <c r="AC60" s="259"/>
      <c r="AD60" s="608"/>
      <c r="AE60" s="267"/>
      <c r="AF60" s="268"/>
      <c r="AG60" s="269">
        <f t="shared" ref="AG60:AG80" si="8">IF(AD60&lt;=33,0,IF(AD60&gt;81,2,1))</f>
        <v>0</v>
      </c>
      <c r="AH60" s="271" t="e">
        <f t="shared" ref="AH60:AH80" si="9">IF(OR(AE60="Probabilidad",AE60="Ambos"),T60-AG60,T60)</f>
        <v>#N/A</v>
      </c>
      <c r="AI60" s="272" t="e">
        <f>IF(AH60&lt;=1,"Remota",VLOOKUP(AH60,[71]Listas!$C$6:$D$10,2,0))</f>
        <v>#N/A</v>
      </c>
      <c r="AJ60" s="271" t="e">
        <f t="shared" ref="AJ60:AJ80" si="10">IF(OR(AE60="Impacto",AE60="Ambos"),U60-AG60,U60)</f>
        <v>#N/A</v>
      </c>
      <c r="AK60" s="272" t="e">
        <f>IF(AJ60&lt;=1,"Insignificante",HLOOKUP(AJ60,[71]Listas!$F$3:$J$4,2,0))</f>
        <v>#N/A</v>
      </c>
      <c r="AL60" s="273" t="e">
        <f t="shared" ref="AL60:AL80" si="11">AH60*AJ60</f>
        <v>#N/A</v>
      </c>
      <c r="AM60" s="270" t="e">
        <f>INDEX([71]Listas!$F$6:$J$10,MATCH(AI60,[71]Listas!$D$6:$D$10,0),MATCH(AK60,[71]Listas!$F$4:$J$4,0))</f>
        <v>#N/A</v>
      </c>
      <c r="AN60" s="259"/>
      <c r="AO60" s="259"/>
      <c r="AP60" s="610"/>
      <c r="AQ60" s="259"/>
      <c r="AR60" s="259" t="s">
        <v>2343</v>
      </c>
      <c r="AS60" s="608"/>
      <c r="AT60" s="259"/>
      <c r="AU60" s="259"/>
      <c r="AV60" s="261"/>
      <c r="AW60" s="261"/>
      <c r="AX60" s="608"/>
      <c r="AY60" s="262"/>
    </row>
    <row r="61" spans="1:51" s="260" customFormat="1" ht="103.5" hidden="1" customHeight="1">
      <c r="A61" s="608"/>
      <c r="B61" s="266"/>
      <c r="C61" s="1399"/>
      <c r="D61" s="1408"/>
      <c r="E61" s="1400"/>
      <c r="F61" s="267"/>
      <c r="G61" s="1399"/>
      <c r="H61" s="1408"/>
      <c r="I61" s="1400"/>
      <c r="J61" s="1380"/>
      <c r="K61" s="1380"/>
      <c r="L61" s="1380"/>
      <c r="M61" s="608"/>
      <c r="N61" s="608"/>
      <c r="O61" s="608"/>
      <c r="P61" s="608"/>
      <c r="Q61" s="266"/>
      <c r="R61" s="266"/>
      <c r="S61" s="268"/>
      <c r="T61" s="269" t="e">
        <f>VLOOKUP(Q61,[71]Listas!$D$6:$E$10,2,0)</f>
        <v>#N/A</v>
      </c>
      <c r="U61" s="269" t="e">
        <f>HLOOKUP(R61,[71]Listas!$F$4:$J$5,2,0)</f>
        <v>#N/A</v>
      </c>
      <c r="V61" s="270" t="e">
        <f>INDEX([71]Listas!$F$6:$J$10,MATCH(Q61,[71]Listas!$D$6:$D$10,0),MATCH(R61,[71]Listas!$F$4:$J$4,0))</f>
        <v>#N/A</v>
      </c>
      <c r="W61" s="268"/>
      <c r="X61" s="1399"/>
      <c r="Y61" s="1408"/>
      <c r="Z61" s="1400"/>
      <c r="AA61" s="1063"/>
      <c r="AB61" s="267"/>
      <c r="AC61" s="259"/>
      <c r="AD61" s="608"/>
      <c r="AE61" s="267"/>
      <c r="AF61" s="268"/>
      <c r="AG61" s="269">
        <f t="shared" si="8"/>
        <v>0</v>
      </c>
      <c r="AH61" s="271" t="e">
        <f t="shared" si="9"/>
        <v>#N/A</v>
      </c>
      <c r="AI61" s="272" t="e">
        <f>IF(AH61&lt;=1,"Remota",VLOOKUP(AH61,[71]Listas!$C$6:$D$10,2,0))</f>
        <v>#N/A</v>
      </c>
      <c r="AJ61" s="271" t="e">
        <f t="shared" si="10"/>
        <v>#N/A</v>
      </c>
      <c r="AK61" s="272" t="e">
        <f>IF(AJ61&lt;=1,"Insignificante",HLOOKUP(AJ61,[71]Listas!$F$3:$J$4,2,0))</f>
        <v>#N/A</v>
      </c>
      <c r="AL61" s="273" t="e">
        <f t="shared" si="11"/>
        <v>#N/A</v>
      </c>
      <c r="AM61" s="270" t="e">
        <f>INDEX([71]Listas!$F$6:$J$10,MATCH(AI61,[71]Listas!$D$6:$D$10,0),MATCH(AK61,[71]Listas!$F$4:$J$4,0))</f>
        <v>#N/A</v>
      </c>
      <c r="AN61" s="259"/>
      <c r="AO61" s="259"/>
      <c r="AP61" s="610"/>
      <c r="AQ61" s="259"/>
      <c r="AR61" s="259" t="s">
        <v>2343</v>
      </c>
      <c r="AS61" s="608"/>
      <c r="AT61" s="259"/>
      <c r="AU61" s="259"/>
      <c r="AV61" s="261"/>
      <c r="AW61" s="261"/>
      <c r="AX61" s="608"/>
      <c r="AY61" s="262"/>
    </row>
    <row r="62" spans="1:51" s="260" customFormat="1" ht="103.5" hidden="1" customHeight="1">
      <c r="A62" s="608"/>
      <c r="B62" s="266"/>
      <c r="C62" s="1399"/>
      <c r="D62" s="1408"/>
      <c r="E62" s="1400"/>
      <c r="F62" s="267"/>
      <c r="G62" s="1399"/>
      <c r="H62" s="1408"/>
      <c r="I62" s="1400"/>
      <c r="J62" s="1380"/>
      <c r="K62" s="1380"/>
      <c r="L62" s="1380"/>
      <c r="M62" s="608"/>
      <c r="N62" s="608"/>
      <c r="O62" s="608"/>
      <c r="P62" s="608"/>
      <c r="Q62" s="266"/>
      <c r="R62" s="266"/>
      <c r="S62" s="268"/>
      <c r="T62" s="269" t="e">
        <f>VLOOKUP(Q62,[71]Listas!$D$6:$E$10,2,0)</f>
        <v>#N/A</v>
      </c>
      <c r="U62" s="269" t="e">
        <f>HLOOKUP(R62,[71]Listas!$F$4:$J$5,2,0)</f>
        <v>#N/A</v>
      </c>
      <c r="V62" s="270" t="e">
        <f>INDEX([71]Listas!$F$6:$J$10,MATCH(Q62,[71]Listas!$D$6:$D$10,0),MATCH(R62,[71]Listas!$F$4:$J$4,0))</f>
        <v>#N/A</v>
      </c>
      <c r="W62" s="268"/>
      <c r="X62" s="1399"/>
      <c r="Y62" s="1408"/>
      <c r="Z62" s="1400"/>
      <c r="AA62" s="1063"/>
      <c r="AB62" s="267"/>
      <c r="AC62" s="259"/>
      <c r="AD62" s="608"/>
      <c r="AE62" s="267"/>
      <c r="AF62" s="268"/>
      <c r="AG62" s="269">
        <f t="shared" si="8"/>
        <v>0</v>
      </c>
      <c r="AH62" s="271" t="e">
        <f t="shared" si="9"/>
        <v>#N/A</v>
      </c>
      <c r="AI62" s="272" t="e">
        <f>IF(AH62&lt;=1,"Remota",VLOOKUP(AH62,[71]Listas!$C$6:$D$10,2,0))</f>
        <v>#N/A</v>
      </c>
      <c r="AJ62" s="271" t="e">
        <f t="shared" si="10"/>
        <v>#N/A</v>
      </c>
      <c r="AK62" s="272" t="e">
        <f>IF(AJ62&lt;=1,"Insignificante",HLOOKUP(AJ62,[71]Listas!$F$3:$J$4,2,0))</f>
        <v>#N/A</v>
      </c>
      <c r="AL62" s="273" t="e">
        <f t="shared" si="11"/>
        <v>#N/A</v>
      </c>
      <c r="AM62" s="270" t="e">
        <f>INDEX([71]Listas!$F$6:$J$10,MATCH(AI62,[71]Listas!$D$6:$D$10,0),MATCH(AK62,[71]Listas!$F$4:$J$4,0))</f>
        <v>#N/A</v>
      </c>
      <c r="AN62" s="259"/>
      <c r="AO62" s="259"/>
      <c r="AP62" s="610"/>
      <c r="AQ62" s="259"/>
      <c r="AR62" s="259" t="s">
        <v>2343</v>
      </c>
      <c r="AS62" s="608"/>
      <c r="AT62" s="259"/>
      <c r="AU62" s="259"/>
      <c r="AV62" s="261"/>
      <c r="AW62" s="261"/>
      <c r="AX62" s="608"/>
      <c r="AY62" s="262"/>
    </row>
    <row r="63" spans="1:51" s="260" customFormat="1" ht="103.5" hidden="1" customHeight="1">
      <c r="A63" s="608"/>
      <c r="B63" s="266"/>
      <c r="C63" s="1399"/>
      <c r="D63" s="1408"/>
      <c r="E63" s="1400"/>
      <c r="F63" s="267"/>
      <c r="G63" s="1399"/>
      <c r="H63" s="1408"/>
      <c r="I63" s="1400"/>
      <c r="J63" s="1380"/>
      <c r="K63" s="1380"/>
      <c r="L63" s="1380"/>
      <c r="M63" s="608"/>
      <c r="N63" s="608"/>
      <c r="O63" s="608"/>
      <c r="P63" s="608"/>
      <c r="Q63" s="266"/>
      <c r="R63" s="266"/>
      <c r="S63" s="268"/>
      <c r="T63" s="269" t="e">
        <f>VLOOKUP(Q63,[71]Listas!$D$6:$E$10,2,0)</f>
        <v>#N/A</v>
      </c>
      <c r="U63" s="269" t="e">
        <f>HLOOKUP(R63,[71]Listas!$F$4:$J$5,2,0)</f>
        <v>#N/A</v>
      </c>
      <c r="V63" s="270" t="e">
        <f>INDEX([71]Listas!$F$6:$J$10,MATCH(Q63,[71]Listas!$D$6:$D$10,0),MATCH(R63,[71]Listas!$F$4:$J$4,0))</f>
        <v>#N/A</v>
      </c>
      <c r="W63" s="268"/>
      <c r="X63" s="1399"/>
      <c r="Y63" s="1408"/>
      <c r="Z63" s="1400"/>
      <c r="AA63" s="1063"/>
      <c r="AB63" s="267"/>
      <c r="AC63" s="259"/>
      <c r="AD63" s="608"/>
      <c r="AE63" s="267"/>
      <c r="AF63" s="268"/>
      <c r="AG63" s="269">
        <f t="shared" si="8"/>
        <v>0</v>
      </c>
      <c r="AH63" s="271" t="e">
        <f t="shared" si="9"/>
        <v>#N/A</v>
      </c>
      <c r="AI63" s="272" t="e">
        <f>IF(AH63&lt;=1,"Remota",VLOOKUP(AH63,[71]Listas!$C$6:$D$10,2,0))</f>
        <v>#N/A</v>
      </c>
      <c r="AJ63" s="271" t="e">
        <f t="shared" si="10"/>
        <v>#N/A</v>
      </c>
      <c r="AK63" s="272" t="e">
        <f>IF(AJ63&lt;=1,"Insignificante",HLOOKUP(AJ63,[71]Listas!$F$3:$J$4,2,0))</f>
        <v>#N/A</v>
      </c>
      <c r="AL63" s="273" t="e">
        <f t="shared" si="11"/>
        <v>#N/A</v>
      </c>
      <c r="AM63" s="270" t="e">
        <f>INDEX([71]Listas!$F$6:$J$10,MATCH(AI63,[71]Listas!$D$6:$D$10,0),MATCH(AK63,[71]Listas!$F$4:$J$4,0))</f>
        <v>#N/A</v>
      </c>
      <c r="AN63" s="259"/>
      <c r="AO63" s="259"/>
      <c r="AP63" s="610"/>
      <c r="AQ63" s="259"/>
      <c r="AR63" s="259" t="s">
        <v>2343</v>
      </c>
      <c r="AS63" s="608"/>
      <c r="AT63" s="259"/>
      <c r="AU63" s="259"/>
      <c r="AV63" s="261"/>
      <c r="AW63" s="261"/>
      <c r="AX63" s="608"/>
      <c r="AY63" s="262"/>
    </row>
    <row r="64" spans="1:51" s="260" customFormat="1" ht="103.5" hidden="1" customHeight="1">
      <c r="A64" s="608"/>
      <c r="B64" s="266"/>
      <c r="C64" s="1399"/>
      <c r="D64" s="1408"/>
      <c r="E64" s="1400"/>
      <c r="F64" s="267"/>
      <c r="G64" s="1399"/>
      <c r="H64" s="1408"/>
      <c r="I64" s="1400"/>
      <c r="J64" s="1380"/>
      <c r="K64" s="1380"/>
      <c r="L64" s="1380"/>
      <c r="M64" s="608"/>
      <c r="N64" s="608"/>
      <c r="O64" s="608"/>
      <c r="P64" s="608"/>
      <c r="Q64" s="266"/>
      <c r="R64" s="266"/>
      <c r="S64" s="268"/>
      <c r="T64" s="269" t="e">
        <f>VLOOKUP(Q64,[71]Listas!$D$6:$E$10,2,0)</f>
        <v>#N/A</v>
      </c>
      <c r="U64" s="269" t="e">
        <f>HLOOKUP(R64,[71]Listas!$F$4:$J$5,2,0)</f>
        <v>#N/A</v>
      </c>
      <c r="V64" s="270" t="e">
        <f>INDEX([71]Listas!$F$6:$J$10,MATCH(Q64,[71]Listas!$D$6:$D$10,0),MATCH(R64,[71]Listas!$F$4:$J$4,0))</f>
        <v>#N/A</v>
      </c>
      <c r="W64" s="268"/>
      <c r="X64" s="1399"/>
      <c r="Y64" s="1408"/>
      <c r="Z64" s="1400"/>
      <c r="AA64" s="1063"/>
      <c r="AB64" s="267"/>
      <c r="AC64" s="259"/>
      <c r="AD64" s="608"/>
      <c r="AE64" s="267"/>
      <c r="AF64" s="268"/>
      <c r="AG64" s="269">
        <f t="shared" si="8"/>
        <v>0</v>
      </c>
      <c r="AH64" s="271" t="e">
        <f t="shared" si="9"/>
        <v>#N/A</v>
      </c>
      <c r="AI64" s="272" t="e">
        <f>IF(AH64&lt;=1,"Remota",VLOOKUP(AH64,[71]Listas!$C$6:$D$10,2,0))</f>
        <v>#N/A</v>
      </c>
      <c r="AJ64" s="271" t="e">
        <f t="shared" si="10"/>
        <v>#N/A</v>
      </c>
      <c r="AK64" s="272" t="e">
        <f>IF(AJ64&lt;=1,"Insignificante",HLOOKUP(AJ64,[71]Listas!$F$3:$J$4,2,0))</f>
        <v>#N/A</v>
      </c>
      <c r="AL64" s="273" t="e">
        <f t="shared" si="11"/>
        <v>#N/A</v>
      </c>
      <c r="AM64" s="270" t="e">
        <f>INDEX([71]Listas!$F$6:$J$10,MATCH(AI64,[71]Listas!$D$6:$D$10,0),MATCH(AK64,[71]Listas!$F$4:$J$4,0))</f>
        <v>#N/A</v>
      </c>
      <c r="AN64" s="259"/>
      <c r="AO64" s="259"/>
      <c r="AP64" s="610"/>
      <c r="AQ64" s="259"/>
      <c r="AR64" s="259" t="s">
        <v>2343</v>
      </c>
      <c r="AS64" s="608"/>
      <c r="AT64" s="259"/>
      <c r="AU64" s="259"/>
      <c r="AV64" s="261"/>
      <c r="AW64" s="261"/>
      <c r="AX64" s="608"/>
      <c r="AY64" s="262"/>
    </row>
    <row r="65" spans="1:51" s="260" customFormat="1" ht="103.5" hidden="1" customHeight="1">
      <c r="A65" s="608"/>
      <c r="B65" s="266"/>
      <c r="C65" s="1399"/>
      <c r="D65" s="1408"/>
      <c r="E65" s="1400"/>
      <c r="F65" s="267"/>
      <c r="G65" s="1399"/>
      <c r="H65" s="1408"/>
      <c r="I65" s="1400"/>
      <c r="J65" s="1380"/>
      <c r="K65" s="1380"/>
      <c r="L65" s="1380"/>
      <c r="M65" s="608"/>
      <c r="N65" s="608"/>
      <c r="O65" s="608"/>
      <c r="P65" s="608"/>
      <c r="Q65" s="266"/>
      <c r="R65" s="266"/>
      <c r="S65" s="268"/>
      <c r="T65" s="269" t="e">
        <f>VLOOKUP(Q65,[71]Listas!$D$6:$E$10,2,0)</f>
        <v>#N/A</v>
      </c>
      <c r="U65" s="269" t="e">
        <f>HLOOKUP(R65,[71]Listas!$F$4:$J$5,2,0)</f>
        <v>#N/A</v>
      </c>
      <c r="V65" s="270" t="e">
        <f>INDEX([71]Listas!$F$6:$J$10,MATCH(Q65,[71]Listas!$D$6:$D$10,0),MATCH(R65,[71]Listas!$F$4:$J$4,0))</f>
        <v>#N/A</v>
      </c>
      <c r="W65" s="268"/>
      <c r="X65" s="1399"/>
      <c r="Y65" s="1408"/>
      <c r="Z65" s="1400"/>
      <c r="AA65" s="1063"/>
      <c r="AB65" s="267"/>
      <c r="AC65" s="259"/>
      <c r="AD65" s="608"/>
      <c r="AE65" s="267"/>
      <c r="AF65" s="268"/>
      <c r="AG65" s="269">
        <f t="shared" si="8"/>
        <v>0</v>
      </c>
      <c r="AH65" s="271" t="e">
        <f t="shared" si="9"/>
        <v>#N/A</v>
      </c>
      <c r="AI65" s="272" t="e">
        <f>IF(AH65&lt;=1,"Remota",VLOOKUP(AH65,[71]Listas!$C$6:$D$10,2,0))</f>
        <v>#N/A</v>
      </c>
      <c r="AJ65" s="271" t="e">
        <f t="shared" si="10"/>
        <v>#N/A</v>
      </c>
      <c r="AK65" s="272" t="e">
        <f>IF(AJ65&lt;=1,"Insignificante",HLOOKUP(AJ65,[71]Listas!$F$3:$J$4,2,0))</f>
        <v>#N/A</v>
      </c>
      <c r="AL65" s="273" t="e">
        <f t="shared" si="11"/>
        <v>#N/A</v>
      </c>
      <c r="AM65" s="270" t="e">
        <f>INDEX([71]Listas!$F$6:$J$10,MATCH(AI65,[71]Listas!$D$6:$D$10,0),MATCH(AK65,[71]Listas!$F$4:$J$4,0))</f>
        <v>#N/A</v>
      </c>
      <c r="AN65" s="259"/>
      <c r="AO65" s="259"/>
      <c r="AP65" s="610"/>
      <c r="AQ65" s="259"/>
      <c r="AR65" s="259" t="s">
        <v>2343</v>
      </c>
      <c r="AS65" s="608"/>
      <c r="AT65" s="259"/>
      <c r="AU65" s="259"/>
      <c r="AV65" s="261"/>
      <c r="AW65" s="261"/>
      <c r="AX65" s="608"/>
      <c r="AY65" s="262"/>
    </row>
    <row r="66" spans="1:51" s="260" customFormat="1" ht="103.5" hidden="1" customHeight="1">
      <c r="A66" s="608"/>
      <c r="B66" s="266"/>
      <c r="C66" s="1399"/>
      <c r="D66" s="1408"/>
      <c r="E66" s="1400"/>
      <c r="F66" s="267"/>
      <c r="G66" s="1399"/>
      <c r="H66" s="1408"/>
      <c r="I66" s="1400"/>
      <c r="J66" s="1380"/>
      <c r="K66" s="1380"/>
      <c r="L66" s="1380"/>
      <c r="M66" s="608"/>
      <c r="N66" s="608"/>
      <c r="O66" s="608"/>
      <c r="P66" s="608"/>
      <c r="Q66" s="266"/>
      <c r="R66" s="266"/>
      <c r="S66" s="268"/>
      <c r="T66" s="269" t="e">
        <f>VLOOKUP(Q66,[71]Listas!$D$6:$E$10,2,0)</f>
        <v>#N/A</v>
      </c>
      <c r="U66" s="269" t="e">
        <f>HLOOKUP(R66,[71]Listas!$F$4:$J$5,2,0)</f>
        <v>#N/A</v>
      </c>
      <c r="V66" s="270" t="e">
        <f>INDEX([71]Listas!$F$6:$J$10,MATCH(Q66,[71]Listas!$D$6:$D$10,0),MATCH(R66,[71]Listas!$F$4:$J$4,0))</f>
        <v>#N/A</v>
      </c>
      <c r="W66" s="268"/>
      <c r="X66" s="1399"/>
      <c r="Y66" s="1408"/>
      <c r="Z66" s="1400"/>
      <c r="AA66" s="1063"/>
      <c r="AB66" s="267"/>
      <c r="AC66" s="259"/>
      <c r="AD66" s="608"/>
      <c r="AE66" s="267"/>
      <c r="AF66" s="268"/>
      <c r="AG66" s="269">
        <f t="shared" si="8"/>
        <v>0</v>
      </c>
      <c r="AH66" s="271" t="e">
        <f t="shared" si="9"/>
        <v>#N/A</v>
      </c>
      <c r="AI66" s="272" t="e">
        <f>IF(AH66&lt;=1,"Remota",VLOOKUP(AH66,[71]Listas!$C$6:$D$10,2,0))</f>
        <v>#N/A</v>
      </c>
      <c r="AJ66" s="271" t="e">
        <f t="shared" si="10"/>
        <v>#N/A</v>
      </c>
      <c r="AK66" s="272" t="e">
        <f>IF(AJ66&lt;=1,"Insignificante",HLOOKUP(AJ66,[71]Listas!$F$3:$J$4,2,0))</f>
        <v>#N/A</v>
      </c>
      <c r="AL66" s="273" t="e">
        <f t="shared" si="11"/>
        <v>#N/A</v>
      </c>
      <c r="AM66" s="270" t="e">
        <f>INDEX([71]Listas!$F$6:$J$10,MATCH(AI66,[71]Listas!$D$6:$D$10,0),MATCH(AK66,[71]Listas!$F$4:$J$4,0))</f>
        <v>#N/A</v>
      </c>
      <c r="AN66" s="259"/>
      <c r="AO66" s="259"/>
      <c r="AP66" s="610"/>
      <c r="AQ66" s="259"/>
      <c r="AR66" s="259" t="s">
        <v>2343</v>
      </c>
      <c r="AS66" s="608"/>
      <c r="AT66" s="259"/>
      <c r="AU66" s="259"/>
      <c r="AV66" s="261"/>
      <c r="AW66" s="261"/>
      <c r="AX66" s="608"/>
      <c r="AY66" s="262"/>
    </row>
    <row r="67" spans="1:51" s="260" customFormat="1" ht="103.5" hidden="1" customHeight="1">
      <c r="A67" s="608"/>
      <c r="B67" s="266"/>
      <c r="C67" s="1399"/>
      <c r="D67" s="1408"/>
      <c r="E67" s="1400"/>
      <c r="F67" s="267"/>
      <c r="G67" s="1399"/>
      <c r="H67" s="1408"/>
      <c r="I67" s="1400"/>
      <c r="J67" s="1380"/>
      <c r="K67" s="1380"/>
      <c r="L67" s="1380"/>
      <c r="M67" s="608"/>
      <c r="N67" s="608"/>
      <c r="O67" s="608"/>
      <c r="P67" s="608"/>
      <c r="Q67" s="266"/>
      <c r="R67" s="266"/>
      <c r="S67" s="268"/>
      <c r="T67" s="269" t="e">
        <f>VLOOKUP(Q67,[71]Listas!$D$6:$E$10,2,0)</f>
        <v>#N/A</v>
      </c>
      <c r="U67" s="269" t="e">
        <f>HLOOKUP(R67,[71]Listas!$F$4:$J$5,2,0)</f>
        <v>#N/A</v>
      </c>
      <c r="V67" s="270" t="e">
        <f>INDEX([71]Listas!$F$6:$J$10,MATCH(Q67,[71]Listas!$D$6:$D$10,0),MATCH(R67,[71]Listas!$F$4:$J$4,0))</f>
        <v>#N/A</v>
      </c>
      <c r="W67" s="268"/>
      <c r="X67" s="1399"/>
      <c r="Y67" s="1408"/>
      <c r="Z67" s="1400"/>
      <c r="AA67" s="1063"/>
      <c r="AB67" s="267"/>
      <c r="AC67" s="259"/>
      <c r="AD67" s="608"/>
      <c r="AE67" s="267"/>
      <c r="AF67" s="268"/>
      <c r="AG67" s="269">
        <f t="shared" si="8"/>
        <v>0</v>
      </c>
      <c r="AH67" s="271" t="e">
        <f t="shared" si="9"/>
        <v>#N/A</v>
      </c>
      <c r="AI67" s="272" t="e">
        <f>IF(AH67&lt;=1,"Remota",VLOOKUP(AH67,[71]Listas!$C$6:$D$10,2,0))</f>
        <v>#N/A</v>
      </c>
      <c r="AJ67" s="271" t="e">
        <f t="shared" si="10"/>
        <v>#N/A</v>
      </c>
      <c r="AK67" s="272" t="e">
        <f>IF(AJ67&lt;=1,"Insignificante",HLOOKUP(AJ67,[71]Listas!$F$3:$J$4,2,0))</f>
        <v>#N/A</v>
      </c>
      <c r="AL67" s="273" t="e">
        <f t="shared" si="11"/>
        <v>#N/A</v>
      </c>
      <c r="AM67" s="270" t="e">
        <f>INDEX([71]Listas!$F$6:$J$10,MATCH(AI67,[71]Listas!$D$6:$D$10,0),MATCH(AK67,[71]Listas!$F$4:$J$4,0))</f>
        <v>#N/A</v>
      </c>
      <c r="AN67" s="259"/>
      <c r="AO67" s="259"/>
      <c r="AP67" s="610"/>
      <c r="AQ67" s="259"/>
      <c r="AR67" s="259" t="s">
        <v>2343</v>
      </c>
      <c r="AS67" s="608"/>
      <c r="AT67" s="259"/>
      <c r="AU67" s="259"/>
      <c r="AV67" s="261"/>
      <c r="AW67" s="261"/>
      <c r="AX67" s="608"/>
      <c r="AY67" s="262"/>
    </row>
    <row r="68" spans="1:51" s="260" customFormat="1" ht="103.5" hidden="1" customHeight="1">
      <c r="A68" s="608"/>
      <c r="B68" s="266"/>
      <c r="C68" s="1399"/>
      <c r="D68" s="1408"/>
      <c r="E68" s="1400"/>
      <c r="F68" s="267"/>
      <c r="G68" s="1399"/>
      <c r="H68" s="1408"/>
      <c r="I68" s="1400"/>
      <c r="J68" s="1380"/>
      <c r="K68" s="1380"/>
      <c r="L68" s="1380"/>
      <c r="M68" s="608"/>
      <c r="N68" s="608"/>
      <c r="O68" s="608"/>
      <c r="P68" s="608"/>
      <c r="Q68" s="266"/>
      <c r="R68" s="266"/>
      <c r="S68" s="268"/>
      <c r="T68" s="269" t="e">
        <f>VLOOKUP(Q68,[71]Listas!$D$6:$E$10,2,0)</f>
        <v>#N/A</v>
      </c>
      <c r="U68" s="269" t="e">
        <f>HLOOKUP(R68,[71]Listas!$F$4:$J$5,2,0)</f>
        <v>#N/A</v>
      </c>
      <c r="V68" s="270" t="e">
        <f>INDEX([71]Listas!$F$6:$J$10,MATCH(Q68,[71]Listas!$D$6:$D$10,0),MATCH(R68,[71]Listas!$F$4:$J$4,0))</f>
        <v>#N/A</v>
      </c>
      <c r="W68" s="268"/>
      <c r="X68" s="1399"/>
      <c r="Y68" s="1408"/>
      <c r="Z68" s="1400"/>
      <c r="AA68" s="1063"/>
      <c r="AB68" s="267"/>
      <c r="AC68" s="259"/>
      <c r="AD68" s="608"/>
      <c r="AE68" s="267"/>
      <c r="AF68" s="268"/>
      <c r="AG68" s="269">
        <f t="shared" si="8"/>
        <v>0</v>
      </c>
      <c r="AH68" s="271" t="e">
        <f t="shared" si="9"/>
        <v>#N/A</v>
      </c>
      <c r="AI68" s="272" t="e">
        <f>IF(AH68&lt;=1,"Remota",VLOOKUP(AH68,[71]Listas!$C$6:$D$10,2,0))</f>
        <v>#N/A</v>
      </c>
      <c r="AJ68" s="271" t="e">
        <f t="shared" si="10"/>
        <v>#N/A</v>
      </c>
      <c r="AK68" s="272" t="e">
        <f>IF(AJ68&lt;=1,"Insignificante",HLOOKUP(AJ68,[71]Listas!$F$3:$J$4,2,0))</f>
        <v>#N/A</v>
      </c>
      <c r="AL68" s="273" t="e">
        <f t="shared" si="11"/>
        <v>#N/A</v>
      </c>
      <c r="AM68" s="270" t="e">
        <f>INDEX([71]Listas!$F$6:$J$10,MATCH(AI68,[71]Listas!$D$6:$D$10,0),MATCH(AK68,[71]Listas!$F$4:$J$4,0))</f>
        <v>#N/A</v>
      </c>
      <c r="AN68" s="259"/>
      <c r="AO68" s="259"/>
      <c r="AP68" s="610"/>
      <c r="AQ68" s="259"/>
      <c r="AR68" s="259" t="s">
        <v>2343</v>
      </c>
      <c r="AS68" s="608"/>
      <c r="AT68" s="259"/>
      <c r="AU68" s="259"/>
      <c r="AV68" s="261"/>
      <c r="AW68" s="261"/>
      <c r="AX68" s="608"/>
      <c r="AY68" s="262"/>
    </row>
    <row r="69" spans="1:51" s="260" customFormat="1" ht="103.5" hidden="1" customHeight="1">
      <c r="A69" s="608"/>
      <c r="B69" s="266"/>
      <c r="C69" s="1399"/>
      <c r="D69" s="1408"/>
      <c r="E69" s="1400"/>
      <c r="F69" s="267"/>
      <c r="G69" s="1399"/>
      <c r="H69" s="1408"/>
      <c r="I69" s="1400"/>
      <c r="J69" s="1380"/>
      <c r="K69" s="1380"/>
      <c r="L69" s="1380"/>
      <c r="M69" s="608"/>
      <c r="N69" s="608"/>
      <c r="O69" s="608"/>
      <c r="P69" s="608"/>
      <c r="Q69" s="266"/>
      <c r="R69" s="266"/>
      <c r="S69" s="268"/>
      <c r="T69" s="269" t="e">
        <f>VLOOKUP(Q69,[71]Listas!$D$6:$E$10,2,0)</f>
        <v>#N/A</v>
      </c>
      <c r="U69" s="269" t="e">
        <f>HLOOKUP(R69,[71]Listas!$F$4:$J$5,2,0)</f>
        <v>#N/A</v>
      </c>
      <c r="V69" s="270" t="e">
        <f>INDEX([71]Listas!$F$6:$J$10,MATCH(Q69,[71]Listas!$D$6:$D$10,0),MATCH(R69,[71]Listas!$F$4:$J$4,0))</f>
        <v>#N/A</v>
      </c>
      <c r="W69" s="268"/>
      <c r="X69" s="1399"/>
      <c r="Y69" s="1408"/>
      <c r="Z69" s="1400"/>
      <c r="AA69" s="1063"/>
      <c r="AB69" s="267"/>
      <c r="AC69" s="259"/>
      <c r="AD69" s="608"/>
      <c r="AE69" s="267"/>
      <c r="AF69" s="268"/>
      <c r="AG69" s="269">
        <f t="shared" si="8"/>
        <v>0</v>
      </c>
      <c r="AH69" s="271" t="e">
        <f t="shared" si="9"/>
        <v>#N/A</v>
      </c>
      <c r="AI69" s="272" t="e">
        <f>IF(AH69&lt;=1,"Remota",VLOOKUP(AH69,[71]Listas!$C$6:$D$10,2,0))</f>
        <v>#N/A</v>
      </c>
      <c r="AJ69" s="271" t="e">
        <f t="shared" si="10"/>
        <v>#N/A</v>
      </c>
      <c r="AK69" s="272" t="e">
        <f>IF(AJ69&lt;=1,"Insignificante",HLOOKUP(AJ69,[71]Listas!$F$3:$J$4,2,0))</f>
        <v>#N/A</v>
      </c>
      <c r="AL69" s="273" t="e">
        <f t="shared" si="11"/>
        <v>#N/A</v>
      </c>
      <c r="AM69" s="270" t="e">
        <f>INDEX([71]Listas!$F$6:$J$10,MATCH(AI69,[71]Listas!$D$6:$D$10,0),MATCH(AK69,[71]Listas!$F$4:$J$4,0))</f>
        <v>#N/A</v>
      </c>
      <c r="AN69" s="259"/>
      <c r="AO69" s="259"/>
      <c r="AP69" s="610"/>
      <c r="AQ69" s="259"/>
      <c r="AR69" s="259" t="s">
        <v>2343</v>
      </c>
      <c r="AS69" s="608"/>
      <c r="AT69" s="259"/>
      <c r="AU69" s="259"/>
      <c r="AV69" s="261"/>
      <c r="AW69" s="261"/>
      <c r="AX69" s="608"/>
      <c r="AY69" s="262"/>
    </row>
    <row r="70" spans="1:51" s="260" customFormat="1" ht="103.5" hidden="1" customHeight="1">
      <c r="A70" s="608"/>
      <c r="B70" s="266"/>
      <c r="C70" s="1399"/>
      <c r="D70" s="1408"/>
      <c r="E70" s="1400"/>
      <c r="F70" s="267"/>
      <c r="G70" s="1399"/>
      <c r="H70" s="1408"/>
      <c r="I70" s="1400"/>
      <c r="J70" s="1380"/>
      <c r="K70" s="1380"/>
      <c r="L70" s="1380"/>
      <c r="M70" s="608"/>
      <c r="N70" s="608"/>
      <c r="O70" s="608"/>
      <c r="P70" s="608"/>
      <c r="Q70" s="266"/>
      <c r="R70" s="266"/>
      <c r="S70" s="268"/>
      <c r="T70" s="269" t="e">
        <f>VLOOKUP(Q70,[71]Listas!$D$6:$E$10,2,0)</f>
        <v>#N/A</v>
      </c>
      <c r="U70" s="269" t="e">
        <f>HLOOKUP(R70,[71]Listas!$F$4:$J$5,2,0)</f>
        <v>#N/A</v>
      </c>
      <c r="V70" s="270" t="e">
        <f>INDEX([71]Listas!$F$6:$J$10,MATCH(Q70,[71]Listas!$D$6:$D$10,0),MATCH(R70,[71]Listas!$F$4:$J$4,0))</f>
        <v>#N/A</v>
      </c>
      <c r="W70" s="268"/>
      <c r="X70" s="1399"/>
      <c r="Y70" s="1408"/>
      <c r="Z70" s="1400"/>
      <c r="AA70" s="1063"/>
      <c r="AB70" s="267"/>
      <c r="AC70" s="259"/>
      <c r="AD70" s="608"/>
      <c r="AE70" s="267"/>
      <c r="AF70" s="268"/>
      <c r="AG70" s="269">
        <f t="shared" si="8"/>
        <v>0</v>
      </c>
      <c r="AH70" s="271" t="e">
        <f t="shared" si="9"/>
        <v>#N/A</v>
      </c>
      <c r="AI70" s="272" t="e">
        <f>IF(AH70&lt;=1,"Remota",VLOOKUP(AH70,[71]Listas!$C$6:$D$10,2,0))</f>
        <v>#N/A</v>
      </c>
      <c r="AJ70" s="271" t="e">
        <f t="shared" si="10"/>
        <v>#N/A</v>
      </c>
      <c r="AK70" s="272" t="e">
        <f>IF(AJ70&lt;=1,"Insignificante",HLOOKUP(AJ70,[71]Listas!$F$3:$J$4,2,0))</f>
        <v>#N/A</v>
      </c>
      <c r="AL70" s="273" t="e">
        <f t="shared" si="11"/>
        <v>#N/A</v>
      </c>
      <c r="AM70" s="270" t="e">
        <f>INDEX([71]Listas!$F$6:$J$10,MATCH(AI70,[71]Listas!$D$6:$D$10,0),MATCH(AK70,[71]Listas!$F$4:$J$4,0))</f>
        <v>#N/A</v>
      </c>
      <c r="AN70" s="259"/>
      <c r="AO70" s="259"/>
      <c r="AP70" s="610"/>
      <c r="AQ70" s="259"/>
      <c r="AR70" s="259" t="s">
        <v>2343</v>
      </c>
      <c r="AS70" s="608"/>
      <c r="AT70" s="259"/>
      <c r="AU70" s="259"/>
      <c r="AV70" s="261"/>
      <c r="AW70" s="261"/>
      <c r="AX70" s="608"/>
      <c r="AY70" s="262"/>
    </row>
    <row r="71" spans="1:51" s="260" customFormat="1" ht="103.5" hidden="1" customHeight="1">
      <c r="A71" s="608"/>
      <c r="B71" s="266"/>
      <c r="C71" s="1399"/>
      <c r="D71" s="1408"/>
      <c r="E71" s="1400"/>
      <c r="F71" s="267"/>
      <c r="G71" s="1399"/>
      <c r="H71" s="1408"/>
      <c r="I71" s="1400"/>
      <c r="J71" s="1380"/>
      <c r="K71" s="1380"/>
      <c r="L71" s="1380"/>
      <c r="M71" s="608"/>
      <c r="N71" s="608"/>
      <c r="O71" s="608"/>
      <c r="P71" s="608"/>
      <c r="Q71" s="266"/>
      <c r="R71" s="266"/>
      <c r="S71" s="268"/>
      <c r="T71" s="269" t="e">
        <f>VLOOKUP(Q71,[71]Listas!$D$6:$E$10,2,0)</f>
        <v>#N/A</v>
      </c>
      <c r="U71" s="269" t="e">
        <f>HLOOKUP(R71,[71]Listas!$F$4:$J$5,2,0)</f>
        <v>#N/A</v>
      </c>
      <c r="V71" s="270" t="e">
        <f>INDEX([71]Listas!$F$6:$J$10,MATCH(Q71,[71]Listas!$D$6:$D$10,0),MATCH(R71,[71]Listas!$F$4:$J$4,0))</f>
        <v>#N/A</v>
      </c>
      <c r="W71" s="268"/>
      <c r="X71" s="1399"/>
      <c r="Y71" s="1408"/>
      <c r="Z71" s="1400"/>
      <c r="AA71" s="1063"/>
      <c r="AB71" s="267"/>
      <c r="AC71" s="259"/>
      <c r="AD71" s="608"/>
      <c r="AE71" s="267"/>
      <c r="AF71" s="268"/>
      <c r="AG71" s="269">
        <f t="shared" si="8"/>
        <v>0</v>
      </c>
      <c r="AH71" s="271" t="e">
        <f t="shared" si="9"/>
        <v>#N/A</v>
      </c>
      <c r="AI71" s="272" t="e">
        <f>IF(AH71&lt;=1,"Remota",VLOOKUP(AH71,[71]Listas!$C$6:$D$10,2,0))</f>
        <v>#N/A</v>
      </c>
      <c r="AJ71" s="271" t="e">
        <f t="shared" si="10"/>
        <v>#N/A</v>
      </c>
      <c r="AK71" s="272" t="e">
        <f>IF(AJ71&lt;=1,"Insignificante",HLOOKUP(AJ71,[71]Listas!$F$3:$J$4,2,0))</f>
        <v>#N/A</v>
      </c>
      <c r="AL71" s="273" t="e">
        <f t="shared" si="11"/>
        <v>#N/A</v>
      </c>
      <c r="AM71" s="270" t="e">
        <f>INDEX([71]Listas!$F$6:$J$10,MATCH(AI71,[71]Listas!$D$6:$D$10,0),MATCH(AK71,[71]Listas!$F$4:$J$4,0))</f>
        <v>#N/A</v>
      </c>
      <c r="AN71" s="259"/>
      <c r="AO71" s="259"/>
      <c r="AP71" s="610"/>
      <c r="AQ71" s="259"/>
      <c r="AR71" s="259" t="s">
        <v>2343</v>
      </c>
      <c r="AS71" s="608"/>
      <c r="AT71" s="259"/>
      <c r="AU71" s="259"/>
      <c r="AV71" s="261"/>
      <c r="AW71" s="261"/>
      <c r="AX71" s="608"/>
      <c r="AY71" s="262"/>
    </row>
    <row r="72" spans="1:51" s="260" customFormat="1" ht="103.5" hidden="1" customHeight="1">
      <c r="A72" s="608"/>
      <c r="B72" s="266"/>
      <c r="C72" s="1399"/>
      <c r="D72" s="1408"/>
      <c r="E72" s="1400"/>
      <c r="F72" s="267"/>
      <c r="G72" s="1399"/>
      <c r="H72" s="1408"/>
      <c r="I72" s="1400"/>
      <c r="J72" s="1380"/>
      <c r="K72" s="1380"/>
      <c r="L72" s="1380"/>
      <c r="M72" s="608"/>
      <c r="N72" s="608"/>
      <c r="O72" s="608"/>
      <c r="P72" s="608"/>
      <c r="Q72" s="266"/>
      <c r="R72" s="266"/>
      <c r="S72" s="268"/>
      <c r="T72" s="269" t="e">
        <f>VLOOKUP(Q72,[71]Listas!$D$6:$E$10,2,0)</f>
        <v>#N/A</v>
      </c>
      <c r="U72" s="269" t="e">
        <f>HLOOKUP(R72,[71]Listas!$F$4:$J$5,2,0)</f>
        <v>#N/A</v>
      </c>
      <c r="V72" s="270" t="e">
        <f>INDEX([71]Listas!$F$6:$J$10,MATCH(Q72,[71]Listas!$D$6:$D$10,0),MATCH(R72,[71]Listas!$F$4:$J$4,0))</f>
        <v>#N/A</v>
      </c>
      <c r="W72" s="268"/>
      <c r="X72" s="1399"/>
      <c r="Y72" s="1408"/>
      <c r="Z72" s="1400"/>
      <c r="AA72" s="1063"/>
      <c r="AB72" s="267"/>
      <c r="AC72" s="259"/>
      <c r="AD72" s="608"/>
      <c r="AE72" s="267"/>
      <c r="AF72" s="268"/>
      <c r="AG72" s="269">
        <f t="shared" si="8"/>
        <v>0</v>
      </c>
      <c r="AH72" s="271" t="e">
        <f t="shared" si="9"/>
        <v>#N/A</v>
      </c>
      <c r="AI72" s="272" t="e">
        <f>IF(AH72&lt;=1,"Remota",VLOOKUP(AH72,[71]Listas!$C$6:$D$10,2,0))</f>
        <v>#N/A</v>
      </c>
      <c r="AJ72" s="271" t="e">
        <f t="shared" si="10"/>
        <v>#N/A</v>
      </c>
      <c r="AK72" s="272" t="e">
        <f>IF(AJ72&lt;=1,"Insignificante",HLOOKUP(AJ72,[71]Listas!$F$3:$J$4,2,0))</f>
        <v>#N/A</v>
      </c>
      <c r="AL72" s="273" t="e">
        <f t="shared" si="11"/>
        <v>#N/A</v>
      </c>
      <c r="AM72" s="270" t="e">
        <f>INDEX([71]Listas!$F$6:$J$10,MATCH(AI72,[71]Listas!$D$6:$D$10,0),MATCH(AK72,[71]Listas!$F$4:$J$4,0))</f>
        <v>#N/A</v>
      </c>
      <c r="AN72" s="259"/>
      <c r="AO72" s="259"/>
      <c r="AP72" s="610"/>
      <c r="AQ72" s="259"/>
      <c r="AR72" s="259" t="s">
        <v>2343</v>
      </c>
      <c r="AS72" s="608"/>
      <c r="AT72" s="259"/>
      <c r="AU72" s="259"/>
      <c r="AV72" s="261"/>
      <c r="AW72" s="261"/>
      <c r="AX72" s="608"/>
      <c r="AY72" s="262"/>
    </row>
    <row r="73" spans="1:51" s="260" customFormat="1" ht="103.5" hidden="1" customHeight="1">
      <c r="A73" s="608"/>
      <c r="B73" s="266"/>
      <c r="C73" s="1399"/>
      <c r="D73" s="1408"/>
      <c r="E73" s="1400"/>
      <c r="F73" s="267"/>
      <c r="G73" s="1399"/>
      <c r="H73" s="1408"/>
      <c r="I73" s="1400"/>
      <c r="J73" s="1380"/>
      <c r="K73" s="1380"/>
      <c r="L73" s="1380"/>
      <c r="M73" s="608"/>
      <c r="N73" s="608"/>
      <c r="O73" s="608"/>
      <c r="P73" s="608"/>
      <c r="Q73" s="266"/>
      <c r="R73" s="266"/>
      <c r="S73" s="268"/>
      <c r="T73" s="269" t="e">
        <f>VLOOKUP(Q73,[71]Listas!$D$6:$E$10,2,0)</f>
        <v>#N/A</v>
      </c>
      <c r="U73" s="269" t="e">
        <f>HLOOKUP(R73,[71]Listas!$F$4:$J$5,2,0)</f>
        <v>#N/A</v>
      </c>
      <c r="V73" s="270" t="e">
        <f>INDEX([71]Listas!$F$6:$J$10,MATCH(Q73,[71]Listas!$D$6:$D$10,0),MATCH(R73,[71]Listas!$F$4:$J$4,0))</f>
        <v>#N/A</v>
      </c>
      <c r="W73" s="268"/>
      <c r="X73" s="1399"/>
      <c r="Y73" s="1408"/>
      <c r="Z73" s="1400"/>
      <c r="AA73" s="1063"/>
      <c r="AB73" s="267"/>
      <c r="AC73" s="259"/>
      <c r="AD73" s="608"/>
      <c r="AE73" s="267"/>
      <c r="AF73" s="268"/>
      <c r="AG73" s="269">
        <f t="shared" si="8"/>
        <v>0</v>
      </c>
      <c r="AH73" s="271" t="e">
        <f t="shared" si="9"/>
        <v>#N/A</v>
      </c>
      <c r="AI73" s="272" t="e">
        <f>IF(AH73&lt;=1,"Remota",VLOOKUP(AH73,[71]Listas!$C$6:$D$10,2,0))</f>
        <v>#N/A</v>
      </c>
      <c r="AJ73" s="271" t="e">
        <f t="shared" si="10"/>
        <v>#N/A</v>
      </c>
      <c r="AK73" s="272" t="e">
        <f>IF(AJ73&lt;=1,"Insignificante",HLOOKUP(AJ73,[71]Listas!$F$3:$J$4,2,0))</f>
        <v>#N/A</v>
      </c>
      <c r="AL73" s="273" t="e">
        <f t="shared" si="11"/>
        <v>#N/A</v>
      </c>
      <c r="AM73" s="270" t="e">
        <f>INDEX([71]Listas!$F$6:$J$10,MATCH(AI73,[71]Listas!$D$6:$D$10,0),MATCH(AK73,[71]Listas!$F$4:$J$4,0))</f>
        <v>#N/A</v>
      </c>
      <c r="AN73" s="259"/>
      <c r="AO73" s="259"/>
      <c r="AP73" s="610"/>
      <c r="AQ73" s="259"/>
      <c r="AR73" s="259" t="s">
        <v>2343</v>
      </c>
      <c r="AS73" s="608"/>
      <c r="AT73" s="259"/>
      <c r="AU73" s="259"/>
      <c r="AV73" s="261"/>
      <c r="AW73" s="261"/>
      <c r="AX73" s="608"/>
      <c r="AY73" s="262"/>
    </row>
    <row r="74" spans="1:51" s="260" customFormat="1" ht="103.5" hidden="1" customHeight="1">
      <c r="A74" s="608"/>
      <c r="B74" s="266"/>
      <c r="C74" s="1399"/>
      <c r="D74" s="1408"/>
      <c r="E74" s="1400"/>
      <c r="F74" s="267"/>
      <c r="G74" s="1399"/>
      <c r="H74" s="1408"/>
      <c r="I74" s="1400"/>
      <c r="J74" s="1380"/>
      <c r="K74" s="1380"/>
      <c r="L74" s="1380"/>
      <c r="M74" s="608"/>
      <c r="N74" s="608"/>
      <c r="O74" s="608"/>
      <c r="P74" s="608"/>
      <c r="Q74" s="266"/>
      <c r="R74" s="266"/>
      <c r="S74" s="268"/>
      <c r="T74" s="269" t="e">
        <f>VLOOKUP(Q74,[71]Listas!$D$6:$E$10,2,0)</f>
        <v>#N/A</v>
      </c>
      <c r="U74" s="269" t="e">
        <f>HLOOKUP(R74,[71]Listas!$F$4:$J$5,2,0)</f>
        <v>#N/A</v>
      </c>
      <c r="V74" s="270" t="e">
        <f>INDEX([71]Listas!$F$6:$J$10,MATCH(Q74,[71]Listas!$D$6:$D$10,0),MATCH(R74,[71]Listas!$F$4:$J$4,0))</f>
        <v>#N/A</v>
      </c>
      <c r="W74" s="268"/>
      <c r="X74" s="1399"/>
      <c r="Y74" s="1408"/>
      <c r="Z74" s="1400"/>
      <c r="AA74" s="1063"/>
      <c r="AB74" s="267"/>
      <c r="AC74" s="259"/>
      <c r="AD74" s="608"/>
      <c r="AE74" s="267"/>
      <c r="AF74" s="268"/>
      <c r="AG74" s="269">
        <f t="shared" si="8"/>
        <v>0</v>
      </c>
      <c r="AH74" s="271" t="e">
        <f t="shared" si="9"/>
        <v>#N/A</v>
      </c>
      <c r="AI74" s="272" t="e">
        <f>IF(AH74&lt;=1,"Remota",VLOOKUP(AH74,[71]Listas!$C$6:$D$10,2,0))</f>
        <v>#N/A</v>
      </c>
      <c r="AJ74" s="271" t="e">
        <f t="shared" si="10"/>
        <v>#N/A</v>
      </c>
      <c r="AK74" s="272" t="e">
        <f>IF(AJ74&lt;=1,"Insignificante",HLOOKUP(AJ74,[71]Listas!$F$3:$J$4,2,0))</f>
        <v>#N/A</v>
      </c>
      <c r="AL74" s="273" t="e">
        <f t="shared" si="11"/>
        <v>#N/A</v>
      </c>
      <c r="AM74" s="270" t="e">
        <f>INDEX([71]Listas!$F$6:$J$10,MATCH(AI74,[71]Listas!$D$6:$D$10,0),MATCH(AK74,[71]Listas!$F$4:$J$4,0))</f>
        <v>#N/A</v>
      </c>
      <c r="AN74" s="259"/>
      <c r="AO74" s="259"/>
      <c r="AP74" s="610"/>
      <c r="AQ74" s="259"/>
      <c r="AR74" s="259" t="s">
        <v>2343</v>
      </c>
      <c r="AS74" s="608"/>
      <c r="AT74" s="259"/>
      <c r="AU74" s="259"/>
      <c r="AV74" s="261"/>
      <c r="AW74" s="261"/>
      <c r="AX74" s="608"/>
      <c r="AY74" s="262"/>
    </row>
    <row r="75" spans="1:51" s="260" customFormat="1" ht="103.5" hidden="1" customHeight="1">
      <c r="A75" s="608"/>
      <c r="B75" s="266"/>
      <c r="C75" s="1399"/>
      <c r="D75" s="1408"/>
      <c r="E75" s="1400"/>
      <c r="F75" s="267"/>
      <c r="G75" s="1399"/>
      <c r="H75" s="1408"/>
      <c r="I75" s="1400"/>
      <c r="J75" s="1380"/>
      <c r="K75" s="1380"/>
      <c r="L75" s="1380"/>
      <c r="M75" s="608"/>
      <c r="N75" s="608"/>
      <c r="O75" s="608"/>
      <c r="P75" s="608"/>
      <c r="Q75" s="266"/>
      <c r="R75" s="266"/>
      <c r="S75" s="268"/>
      <c r="T75" s="269" t="e">
        <f>VLOOKUP(Q75,[71]Listas!$D$6:$E$10,2,0)</f>
        <v>#N/A</v>
      </c>
      <c r="U75" s="269" t="e">
        <f>HLOOKUP(R75,[71]Listas!$F$4:$J$5,2,0)</f>
        <v>#N/A</v>
      </c>
      <c r="V75" s="270" t="e">
        <f>INDEX([71]Listas!$F$6:$J$10,MATCH(Q75,[71]Listas!$D$6:$D$10,0),MATCH(R75,[71]Listas!$F$4:$J$4,0))</f>
        <v>#N/A</v>
      </c>
      <c r="W75" s="268"/>
      <c r="X75" s="1399"/>
      <c r="Y75" s="1408"/>
      <c r="Z75" s="1400"/>
      <c r="AA75" s="1063"/>
      <c r="AB75" s="267"/>
      <c r="AC75" s="259"/>
      <c r="AD75" s="608"/>
      <c r="AE75" s="267"/>
      <c r="AF75" s="268"/>
      <c r="AG75" s="269">
        <f t="shared" si="8"/>
        <v>0</v>
      </c>
      <c r="AH75" s="271" t="e">
        <f t="shared" si="9"/>
        <v>#N/A</v>
      </c>
      <c r="AI75" s="272" t="e">
        <f>IF(AH75&lt;=1,"Remota",VLOOKUP(AH75,[71]Listas!$C$6:$D$10,2,0))</f>
        <v>#N/A</v>
      </c>
      <c r="AJ75" s="271" t="e">
        <f t="shared" si="10"/>
        <v>#N/A</v>
      </c>
      <c r="AK75" s="272" t="e">
        <f>IF(AJ75&lt;=1,"Insignificante",HLOOKUP(AJ75,[71]Listas!$F$3:$J$4,2,0))</f>
        <v>#N/A</v>
      </c>
      <c r="AL75" s="273" t="e">
        <f t="shared" si="11"/>
        <v>#N/A</v>
      </c>
      <c r="AM75" s="270" t="e">
        <f>INDEX([71]Listas!$F$6:$J$10,MATCH(AI75,[71]Listas!$D$6:$D$10,0),MATCH(AK75,[71]Listas!$F$4:$J$4,0))</f>
        <v>#N/A</v>
      </c>
      <c r="AN75" s="259"/>
      <c r="AO75" s="259"/>
      <c r="AP75" s="610"/>
      <c r="AQ75" s="259"/>
      <c r="AR75" s="259" t="s">
        <v>2343</v>
      </c>
      <c r="AS75" s="608"/>
      <c r="AT75" s="259"/>
      <c r="AU75" s="259"/>
      <c r="AV75" s="261"/>
      <c r="AW75" s="261"/>
      <c r="AX75" s="608"/>
      <c r="AY75" s="262"/>
    </row>
    <row r="76" spans="1:51" s="260" customFormat="1" ht="103.5" hidden="1" customHeight="1">
      <c r="A76" s="608"/>
      <c r="B76" s="266"/>
      <c r="C76" s="1399"/>
      <c r="D76" s="1408"/>
      <c r="E76" s="1400"/>
      <c r="F76" s="267"/>
      <c r="G76" s="1399"/>
      <c r="H76" s="1408"/>
      <c r="I76" s="1400"/>
      <c r="J76" s="1380"/>
      <c r="K76" s="1380"/>
      <c r="L76" s="1380"/>
      <c r="M76" s="608"/>
      <c r="N76" s="608"/>
      <c r="O76" s="608"/>
      <c r="P76" s="608"/>
      <c r="Q76" s="266"/>
      <c r="R76" s="266"/>
      <c r="S76" s="268"/>
      <c r="T76" s="269" t="e">
        <f>VLOOKUP(Q76,[71]Listas!$D$6:$E$10,2,0)</f>
        <v>#N/A</v>
      </c>
      <c r="U76" s="269" t="e">
        <f>HLOOKUP(R76,[71]Listas!$F$4:$J$5,2,0)</f>
        <v>#N/A</v>
      </c>
      <c r="V76" s="270" t="e">
        <f>INDEX([71]Listas!$F$6:$J$10,MATCH(Q76,[71]Listas!$D$6:$D$10,0),MATCH(R76,[71]Listas!$F$4:$J$4,0))</f>
        <v>#N/A</v>
      </c>
      <c r="W76" s="268"/>
      <c r="X76" s="1399"/>
      <c r="Y76" s="1408"/>
      <c r="Z76" s="1400"/>
      <c r="AA76" s="1063"/>
      <c r="AB76" s="267"/>
      <c r="AC76" s="259"/>
      <c r="AD76" s="608"/>
      <c r="AE76" s="267"/>
      <c r="AF76" s="268"/>
      <c r="AG76" s="269">
        <f t="shared" si="8"/>
        <v>0</v>
      </c>
      <c r="AH76" s="271" t="e">
        <f t="shared" si="9"/>
        <v>#N/A</v>
      </c>
      <c r="AI76" s="272" t="e">
        <f>IF(AH76&lt;=1,"Remota",VLOOKUP(AH76,[71]Listas!$C$6:$D$10,2,0))</f>
        <v>#N/A</v>
      </c>
      <c r="AJ76" s="271" t="e">
        <f t="shared" si="10"/>
        <v>#N/A</v>
      </c>
      <c r="AK76" s="272" t="e">
        <f>IF(AJ76&lt;=1,"Insignificante",HLOOKUP(AJ76,[71]Listas!$F$3:$J$4,2,0))</f>
        <v>#N/A</v>
      </c>
      <c r="AL76" s="273" t="e">
        <f t="shared" si="11"/>
        <v>#N/A</v>
      </c>
      <c r="AM76" s="270" t="e">
        <f>INDEX([71]Listas!$F$6:$J$10,MATCH(AI76,[71]Listas!$D$6:$D$10,0),MATCH(AK76,[71]Listas!$F$4:$J$4,0))</f>
        <v>#N/A</v>
      </c>
      <c r="AN76" s="259"/>
      <c r="AO76" s="259"/>
      <c r="AP76" s="610"/>
      <c r="AQ76" s="259"/>
      <c r="AR76" s="259" t="s">
        <v>2343</v>
      </c>
      <c r="AS76" s="608"/>
      <c r="AT76" s="259"/>
      <c r="AU76" s="259"/>
      <c r="AV76" s="261"/>
      <c r="AW76" s="261"/>
      <c r="AX76" s="608"/>
      <c r="AY76" s="262"/>
    </row>
    <row r="77" spans="1:51" s="260" customFormat="1" ht="103.5" hidden="1" customHeight="1">
      <c r="A77" s="608"/>
      <c r="B77" s="266"/>
      <c r="C77" s="1399"/>
      <c r="D77" s="1408"/>
      <c r="E77" s="1400"/>
      <c r="F77" s="267"/>
      <c r="G77" s="1399"/>
      <c r="H77" s="1408"/>
      <c r="I77" s="1400"/>
      <c r="J77" s="1380"/>
      <c r="K77" s="1380"/>
      <c r="L77" s="1380"/>
      <c r="M77" s="608"/>
      <c r="N77" s="608"/>
      <c r="O77" s="608"/>
      <c r="P77" s="608"/>
      <c r="Q77" s="266"/>
      <c r="R77" s="266"/>
      <c r="S77" s="268"/>
      <c r="T77" s="269" t="e">
        <f>VLOOKUP(Q77,[71]Listas!$D$6:$E$10,2,0)</f>
        <v>#N/A</v>
      </c>
      <c r="U77" s="269" t="e">
        <f>HLOOKUP(R77,[71]Listas!$F$4:$J$5,2,0)</f>
        <v>#N/A</v>
      </c>
      <c r="V77" s="270" t="e">
        <f>INDEX([71]Listas!$F$6:$J$10,MATCH(Q77,[71]Listas!$D$6:$D$10,0),MATCH(R77,[71]Listas!$F$4:$J$4,0))</f>
        <v>#N/A</v>
      </c>
      <c r="W77" s="268"/>
      <c r="X77" s="1399"/>
      <c r="Y77" s="1408"/>
      <c r="Z77" s="1400"/>
      <c r="AA77" s="1063"/>
      <c r="AB77" s="267"/>
      <c r="AC77" s="259"/>
      <c r="AD77" s="608"/>
      <c r="AE77" s="267"/>
      <c r="AF77" s="268"/>
      <c r="AG77" s="269">
        <f t="shared" si="8"/>
        <v>0</v>
      </c>
      <c r="AH77" s="271" t="e">
        <f t="shared" si="9"/>
        <v>#N/A</v>
      </c>
      <c r="AI77" s="272" t="e">
        <f>IF(AH77&lt;=1,"Remota",VLOOKUP(AH77,[71]Listas!$C$6:$D$10,2,0))</f>
        <v>#N/A</v>
      </c>
      <c r="AJ77" s="271" t="e">
        <f t="shared" si="10"/>
        <v>#N/A</v>
      </c>
      <c r="AK77" s="272" t="e">
        <f>IF(AJ77&lt;=1,"Insignificante",HLOOKUP(AJ77,[71]Listas!$F$3:$J$4,2,0))</f>
        <v>#N/A</v>
      </c>
      <c r="AL77" s="273" t="e">
        <f t="shared" si="11"/>
        <v>#N/A</v>
      </c>
      <c r="AM77" s="270" t="e">
        <f>INDEX([71]Listas!$F$6:$J$10,MATCH(AI77,[71]Listas!$D$6:$D$10,0),MATCH(AK77,[71]Listas!$F$4:$J$4,0))</f>
        <v>#N/A</v>
      </c>
      <c r="AN77" s="259"/>
      <c r="AO77" s="259"/>
      <c r="AP77" s="610"/>
      <c r="AQ77" s="259"/>
      <c r="AR77" s="259" t="s">
        <v>2343</v>
      </c>
      <c r="AS77" s="608"/>
      <c r="AT77" s="259"/>
      <c r="AU77" s="259"/>
      <c r="AV77" s="261"/>
      <c r="AW77" s="261"/>
      <c r="AX77" s="608"/>
      <c r="AY77" s="262"/>
    </row>
    <row r="78" spans="1:51" s="260" customFormat="1" ht="103.5" hidden="1" customHeight="1">
      <c r="A78" s="608"/>
      <c r="B78" s="266"/>
      <c r="C78" s="1399"/>
      <c r="D78" s="1408"/>
      <c r="E78" s="1400"/>
      <c r="F78" s="267"/>
      <c r="G78" s="1399"/>
      <c r="H78" s="1408"/>
      <c r="I78" s="1400"/>
      <c r="J78" s="1380"/>
      <c r="K78" s="1380"/>
      <c r="L78" s="1380"/>
      <c r="M78" s="608"/>
      <c r="N78" s="608"/>
      <c r="O78" s="608"/>
      <c r="P78" s="608"/>
      <c r="Q78" s="266"/>
      <c r="R78" s="266"/>
      <c r="S78" s="268"/>
      <c r="T78" s="269" t="e">
        <f>VLOOKUP(Q78,[71]Listas!$D$6:$E$10,2,0)</f>
        <v>#N/A</v>
      </c>
      <c r="U78" s="269" t="e">
        <f>HLOOKUP(R78,[71]Listas!$F$4:$J$5,2,0)</f>
        <v>#N/A</v>
      </c>
      <c r="V78" s="270" t="e">
        <f>INDEX([71]Listas!$F$6:$J$10,MATCH(Q78,[71]Listas!$D$6:$D$10,0),MATCH(R78,[71]Listas!$F$4:$J$4,0))</f>
        <v>#N/A</v>
      </c>
      <c r="W78" s="268"/>
      <c r="X78" s="1399"/>
      <c r="Y78" s="1408"/>
      <c r="Z78" s="1400"/>
      <c r="AA78" s="1063"/>
      <c r="AB78" s="267"/>
      <c r="AC78" s="259"/>
      <c r="AD78" s="608"/>
      <c r="AE78" s="267"/>
      <c r="AF78" s="268"/>
      <c r="AG78" s="269">
        <f t="shared" si="8"/>
        <v>0</v>
      </c>
      <c r="AH78" s="271" t="e">
        <f t="shared" si="9"/>
        <v>#N/A</v>
      </c>
      <c r="AI78" s="272" t="e">
        <f>IF(AH78&lt;=1,"Remota",VLOOKUP(AH78,[71]Listas!$C$6:$D$10,2,0))</f>
        <v>#N/A</v>
      </c>
      <c r="AJ78" s="271" t="e">
        <f t="shared" si="10"/>
        <v>#N/A</v>
      </c>
      <c r="AK78" s="272" t="e">
        <f>IF(AJ78&lt;=1,"Insignificante",HLOOKUP(AJ78,[71]Listas!$F$3:$J$4,2,0))</f>
        <v>#N/A</v>
      </c>
      <c r="AL78" s="273" t="e">
        <f t="shared" si="11"/>
        <v>#N/A</v>
      </c>
      <c r="AM78" s="270" t="e">
        <f>INDEX([71]Listas!$F$6:$J$10,MATCH(AI78,[71]Listas!$D$6:$D$10,0),MATCH(AK78,[71]Listas!$F$4:$J$4,0))</f>
        <v>#N/A</v>
      </c>
      <c r="AN78" s="259"/>
      <c r="AO78" s="259"/>
      <c r="AP78" s="610"/>
      <c r="AQ78" s="259"/>
      <c r="AR78" s="259" t="s">
        <v>2343</v>
      </c>
      <c r="AS78" s="608"/>
      <c r="AT78" s="259"/>
      <c r="AU78" s="259"/>
      <c r="AV78" s="261"/>
      <c r="AW78" s="261"/>
      <c r="AX78" s="608"/>
      <c r="AY78" s="262"/>
    </row>
    <row r="79" spans="1:51" s="260" customFormat="1" ht="103.5" hidden="1" customHeight="1">
      <c r="A79" s="608"/>
      <c r="B79" s="266"/>
      <c r="C79" s="1399"/>
      <c r="D79" s="1408"/>
      <c r="E79" s="1400"/>
      <c r="F79" s="267"/>
      <c r="G79" s="1399"/>
      <c r="H79" s="1408"/>
      <c r="I79" s="1400"/>
      <c r="J79" s="1380"/>
      <c r="K79" s="1380"/>
      <c r="L79" s="1380"/>
      <c r="M79" s="608"/>
      <c r="N79" s="608"/>
      <c r="O79" s="608"/>
      <c r="P79" s="608"/>
      <c r="Q79" s="266"/>
      <c r="R79" s="266"/>
      <c r="S79" s="268"/>
      <c r="T79" s="269" t="e">
        <f>VLOOKUP(Q79,[71]Listas!$D$6:$E$10,2,0)</f>
        <v>#N/A</v>
      </c>
      <c r="U79" s="269" t="e">
        <f>HLOOKUP(R79,[71]Listas!$F$4:$J$5,2,0)</f>
        <v>#N/A</v>
      </c>
      <c r="V79" s="270" t="e">
        <f>INDEX([71]Listas!$F$6:$J$10,MATCH(Q79,[71]Listas!$D$6:$D$10,0),MATCH(R79,[71]Listas!$F$4:$J$4,0))</f>
        <v>#N/A</v>
      </c>
      <c r="W79" s="268"/>
      <c r="X79" s="1399"/>
      <c r="Y79" s="1408"/>
      <c r="Z79" s="1400"/>
      <c r="AA79" s="1063"/>
      <c r="AB79" s="267"/>
      <c r="AC79" s="259"/>
      <c r="AD79" s="608"/>
      <c r="AE79" s="267"/>
      <c r="AF79" s="268"/>
      <c r="AG79" s="269">
        <f t="shared" si="8"/>
        <v>0</v>
      </c>
      <c r="AH79" s="271" t="e">
        <f t="shared" si="9"/>
        <v>#N/A</v>
      </c>
      <c r="AI79" s="272" t="e">
        <f>IF(AH79&lt;=1,"Remota",VLOOKUP(AH79,[71]Listas!$C$6:$D$10,2,0))</f>
        <v>#N/A</v>
      </c>
      <c r="AJ79" s="271" t="e">
        <f t="shared" si="10"/>
        <v>#N/A</v>
      </c>
      <c r="AK79" s="272" t="e">
        <f>IF(AJ79&lt;=1,"Insignificante",HLOOKUP(AJ79,[71]Listas!$F$3:$J$4,2,0))</f>
        <v>#N/A</v>
      </c>
      <c r="AL79" s="273" t="e">
        <f t="shared" si="11"/>
        <v>#N/A</v>
      </c>
      <c r="AM79" s="270" t="e">
        <f>INDEX([71]Listas!$F$6:$J$10,MATCH(AI79,[71]Listas!$D$6:$D$10,0),MATCH(AK79,[71]Listas!$F$4:$J$4,0))</f>
        <v>#N/A</v>
      </c>
      <c r="AN79" s="259"/>
      <c r="AO79" s="259"/>
      <c r="AP79" s="610"/>
      <c r="AQ79" s="259"/>
      <c r="AR79" s="259" t="s">
        <v>2343</v>
      </c>
      <c r="AS79" s="608"/>
      <c r="AT79" s="259"/>
      <c r="AU79" s="259"/>
      <c r="AV79" s="261"/>
      <c r="AW79" s="261"/>
      <c r="AX79" s="608"/>
      <c r="AY79" s="262"/>
    </row>
    <row r="80" spans="1:51" s="260" customFormat="1" ht="103.5" hidden="1" customHeight="1">
      <c r="A80" s="608"/>
      <c r="B80" s="266"/>
      <c r="C80" s="1399"/>
      <c r="D80" s="1408"/>
      <c r="E80" s="1400"/>
      <c r="F80" s="267"/>
      <c r="G80" s="1399"/>
      <c r="H80" s="1408"/>
      <c r="I80" s="1400"/>
      <c r="J80" s="1380"/>
      <c r="K80" s="1380"/>
      <c r="L80" s="1380"/>
      <c r="M80" s="608"/>
      <c r="N80" s="608"/>
      <c r="O80" s="608"/>
      <c r="P80" s="608"/>
      <c r="Q80" s="266"/>
      <c r="R80" s="266"/>
      <c r="S80" s="268"/>
      <c r="T80" s="269" t="e">
        <f>VLOOKUP(Q80,[71]Listas!$D$6:$E$10,2,0)</f>
        <v>#N/A</v>
      </c>
      <c r="U80" s="269" t="e">
        <f>HLOOKUP(R80,[71]Listas!$F$4:$J$5,2,0)</f>
        <v>#N/A</v>
      </c>
      <c r="V80" s="270" t="e">
        <f>INDEX([71]Listas!$F$6:$J$10,MATCH(Q80,[71]Listas!$D$6:$D$10,0),MATCH(R80,[71]Listas!$F$4:$J$4,0))</f>
        <v>#N/A</v>
      </c>
      <c r="W80" s="268"/>
      <c r="X80" s="1399"/>
      <c r="Y80" s="1408"/>
      <c r="Z80" s="1400"/>
      <c r="AA80" s="1063"/>
      <c r="AB80" s="267"/>
      <c r="AC80" s="259"/>
      <c r="AD80" s="608"/>
      <c r="AE80" s="267"/>
      <c r="AF80" s="268"/>
      <c r="AG80" s="269">
        <f t="shared" si="8"/>
        <v>0</v>
      </c>
      <c r="AH80" s="271" t="e">
        <f t="shared" si="9"/>
        <v>#N/A</v>
      </c>
      <c r="AI80" s="272" t="e">
        <f>IF(AH80&lt;=1,"Remota",VLOOKUP(AH80,[71]Listas!$C$6:$D$10,2,0))</f>
        <v>#N/A</v>
      </c>
      <c r="AJ80" s="271" t="e">
        <f t="shared" si="10"/>
        <v>#N/A</v>
      </c>
      <c r="AK80" s="272" t="e">
        <f>IF(AJ80&lt;=1,"Insignificante",HLOOKUP(AJ80,[71]Listas!$F$3:$J$4,2,0))</f>
        <v>#N/A</v>
      </c>
      <c r="AL80" s="273" t="e">
        <f t="shared" si="11"/>
        <v>#N/A</v>
      </c>
      <c r="AM80" s="270" t="e">
        <f>INDEX([71]Listas!$F$6:$J$10,MATCH(AI80,[71]Listas!$D$6:$D$10,0),MATCH(AK80,[71]Listas!$F$4:$J$4,0))</f>
        <v>#N/A</v>
      </c>
      <c r="AN80" s="259"/>
      <c r="AO80" s="259"/>
      <c r="AP80" s="610"/>
      <c r="AQ80" s="259"/>
      <c r="AR80" s="259" t="s">
        <v>2343</v>
      </c>
      <c r="AS80" s="608"/>
      <c r="AT80" s="259"/>
      <c r="AU80" s="259"/>
      <c r="AV80" s="261"/>
      <c r="AW80" s="261"/>
      <c r="AX80" s="608"/>
      <c r="AY80" s="262"/>
    </row>
    <row r="81" spans="1:51" s="260" customFormat="1" ht="103.5" hidden="1" customHeight="1">
      <c r="A81" s="608"/>
      <c r="B81" s="266"/>
      <c r="C81" s="1399"/>
      <c r="D81" s="1408"/>
      <c r="E81" s="1400"/>
      <c r="F81" s="266"/>
      <c r="G81" s="1399"/>
      <c r="H81" s="1408"/>
      <c r="I81" s="1400"/>
      <c r="J81" s="1380"/>
      <c r="K81" s="1380"/>
      <c r="L81" s="1380"/>
      <c r="M81" s="608"/>
      <c r="N81" s="608"/>
      <c r="O81" s="608"/>
      <c r="P81" s="608"/>
      <c r="Q81" s="266"/>
      <c r="R81" s="266"/>
      <c r="S81" s="268"/>
      <c r="T81" s="269" t="e">
        <f>VLOOKUP(Q81,[71]Listas!$D$6:$E$10,2,0)</f>
        <v>#N/A</v>
      </c>
      <c r="U81" s="269" t="e">
        <f>HLOOKUP(R81,[71]Listas!$F$4:$J$5,2,0)</f>
        <v>#N/A</v>
      </c>
      <c r="V81" s="270" t="e">
        <f>INDEX([71]Listas!$F$6:$J$10,MATCH(Q81,[71]Listas!$D$6:$D$10,0),MATCH(R81,[71]Listas!$F$4:$J$4,0))</f>
        <v>#N/A</v>
      </c>
      <c r="W81" s="268"/>
      <c r="X81" s="1399"/>
      <c r="Y81" s="1408"/>
      <c r="Z81" s="1400"/>
      <c r="AA81" s="1063"/>
      <c r="AB81" s="267"/>
      <c r="AC81" s="259"/>
      <c r="AD81" s="608"/>
      <c r="AE81" s="267"/>
      <c r="AF81" s="268"/>
      <c r="AG81" s="269">
        <f>IF(AD81&lt;=33,0,IF(AD81&gt;81,2,1))</f>
        <v>0</v>
      </c>
      <c r="AH81" s="271" t="e">
        <f>IF(OR(AE81="Probabilidad",AE81="Ambos"),T81-AG81,T81)</f>
        <v>#N/A</v>
      </c>
      <c r="AI81" s="272" t="e">
        <f>IF(AH81&lt;=1,"Remota",VLOOKUP(AH81,[71]Listas!$C$6:$D$10,2,0))</f>
        <v>#N/A</v>
      </c>
      <c r="AJ81" s="271" t="e">
        <f>IF(OR(AE81="Impacto",AE81="Ambos"),U81-AG81,U81)</f>
        <v>#N/A</v>
      </c>
      <c r="AK81" s="272" t="e">
        <f>IF(AJ81&lt;=1,"Insignificante",HLOOKUP(AJ81,[71]Listas!$F$3:$J$4,2,0))</f>
        <v>#N/A</v>
      </c>
      <c r="AL81" s="273" t="e">
        <f>AH81*AJ81</f>
        <v>#N/A</v>
      </c>
      <c r="AM81" s="270" t="e">
        <f>INDEX([71]Listas!$F$6:$J$10,MATCH(AI81,[71]Listas!$D$6:$D$10,0),MATCH(AK81,[71]Listas!$F$4:$J$4,0))</f>
        <v>#N/A</v>
      </c>
      <c r="AN81" s="259"/>
      <c r="AO81" s="259"/>
      <c r="AP81" s="610"/>
      <c r="AQ81" s="259"/>
      <c r="AR81" s="259" t="s">
        <v>2343</v>
      </c>
      <c r="AS81" s="608"/>
      <c r="AU81" s="259"/>
      <c r="AV81" s="261"/>
      <c r="AW81" s="261"/>
      <c r="AX81" s="608"/>
      <c r="AY81" s="262"/>
    </row>
    <row r="82" spans="1:51" s="260" customFormat="1" ht="103.5" hidden="1" customHeight="1">
      <c r="A82" s="608"/>
      <c r="B82" s="266"/>
      <c r="C82" s="1399"/>
      <c r="D82" s="1408"/>
      <c r="E82" s="1400"/>
      <c r="F82" s="267"/>
      <c r="G82" s="1399"/>
      <c r="H82" s="1408"/>
      <c r="I82" s="1400"/>
      <c r="J82" s="1380"/>
      <c r="K82" s="1380"/>
      <c r="L82" s="1380"/>
      <c r="M82" s="608"/>
      <c r="N82" s="608"/>
      <c r="O82" s="608"/>
      <c r="P82" s="608"/>
      <c r="Q82" s="266"/>
      <c r="R82" s="266"/>
      <c r="S82" s="268"/>
      <c r="T82" s="269" t="e">
        <f>VLOOKUP(Q82,[71]Listas!$D$6:$E$10,2,0)</f>
        <v>#N/A</v>
      </c>
      <c r="U82" s="269" t="e">
        <f>HLOOKUP(R82,[71]Listas!$F$4:$J$5,2,0)</f>
        <v>#N/A</v>
      </c>
      <c r="V82" s="270" t="e">
        <f>INDEX([71]Listas!$F$6:$J$10,MATCH(Q82,[71]Listas!$D$6:$D$10,0),MATCH(R82,[71]Listas!$F$4:$J$4,0))</f>
        <v>#N/A</v>
      </c>
      <c r="W82" s="268"/>
      <c r="X82" s="1399"/>
      <c r="Y82" s="1408"/>
      <c r="Z82" s="1400"/>
      <c r="AA82" s="1063"/>
      <c r="AB82" s="267"/>
      <c r="AC82" s="259"/>
      <c r="AD82" s="608"/>
      <c r="AE82" s="267"/>
      <c r="AF82" s="268"/>
      <c r="AG82" s="269">
        <f t="shared" ref="AG82:AG145" si="12">IF(AD82&lt;=33,0,IF(AD82&gt;81,2,1))</f>
        <v>0</v>
      </c>
      <c r="AH82" s="271" t="e">
        <f t="shared" ref="AH82:AH145" si="13">IF(OR(AE82="Probabilidad",AE82="Ambos"),T82-AG82,T82)</f>
        <v>#N/A</v>
      </c>
      <c r="AI82" s="272" t="e">
        <f>IF(AH82&lt;=1,"Remota",VLOOKUP(AH82,[71]Listas!$C$6:$D$10,2,0))</f>
        <v>#N/A</v>
      </c>
      <c r="AJ82" s="271" t="e">
        <f t="shared" ref="AJ82:AJ145" si="14">IF(OR(AE82="Impacto",AE82="Ambos"),U82-AG82,U82)</f>
        <v>#N/A</v>
      </c>
      <c r="AK82" s="272" t="e">
        <f>IF(AJ82&lt;=1,"Insignificante",HLOOKUP(AJ82,[71]Listas!$F$3:$J$4,2,0))</f>
        <v>#N/A</v>
      </c>
      <c r="AL82" s="273" t="e">
        <f t="shared" ref="AL82:AL145" si="15">AH82*AJ82</f>
        <v>#N/A</v>
      </c>
      <c r="AM82" s="270" t="e">
        <f>INDEX([71]Listas!$F$6:$J$10,MATCH(AI82,[71]Listas!$D$6:$D$10,0),MATCH(AK82,[71]Listas!$F$4:$J$4,0))</f>
        <v>#N/A</v>
      </c>
      <c r="AN82" s="259"/>
      <c r="AO82" s="259"/>
      <c r="AP82" s="610"/>
      <c r="AQ82" s="259"/>
      <c r="AR82" s="259" t="s">
        <v>2343</v>
      </c>
      <c r="AS82" s="608"/>
      <c r="AT82" s="259"/>
      <c r="AU82" s="259"/>
      <c r="AV82" s="261"/>
      <c r="AW82" s="261"/>
      <c r="AX82" s="608"/>
      <c r="AY82" s="262"/>
    </row>
    <row r="83" spans="1:51" s="260" customFormat="1" ht="103.5" hidden="1" customHeight="1">
      <c r="A83" s="608"/>
      <c r="B83" s="266"/>
      <c r="C83" s="1399"/>
      <c r="D83" s="1408"/>
      <c r="E83" s="1400"/>
      <c r="F83" s="267"/>
      <c r="G83" s="1399"/>
      <c r="H83" s="1408"/>
      <c r="I83" s="1400"/>
      <c r="J83" s="1380"/>
      <c r="K83" s="1380"/>
      <c r="L83" s="1380"/>
      <c r="M83" s="608"/>
      <c r="N83" s="608"/>
      <c r="O83" s="608"/>
      <c r="P83" s="608"/>
      <c r="Q83" s="266"/>
      <c r="R83" s="266"/>
      <c r="S83" s="268"/>
      <c r="T83" s="269" t="e">
        <f>VLOOKUP(Q83,[71]Listas!$D$6:$E$10,2,0)</f>
        <v>#N/A</v>
      </c>
      <c r="U83" s="269" t="e">
        <f>HLOOKUP(R83,[71]Listas!$F$4:$J$5,2,0)</f>
        <v>#N/A</v>
      </c>
      <c r="V83" s="270" t="e">
        <f>INDEX([71]Listas!$F$6:$J$10,MATCH(Q83,[71]Listas!$D$6:$D$10,0),MATCH(R83,[71]Listas!$F$4:$J$4,0))</f>
        <v>#N/A</v>
      </c>
      <c r="W83" s="268"/>
      <c r="X83" s="1399"/>
      <c r="Y83" s="1408"/>
      <c r="Z83" s="1400"/>
      <c r="AA83" s="1063"/>
      <c r="AB83" s="267"/>
      <c r="AC83" s="259"/>
      <c r="AD83" s="608"/>
      <c r="AE83" s="267"/>
      <c r="AF83" s="268"/>
      <c r="AG83" s="269">
        <f t="shared" si="12"/>
        <v>0</v>
      </c>
      <c r="AH83" s="271" t="e">
        <f t="shared" si="13"/>
        <v>#N/A</v>
      </c>
      <c r="AI83" s="272" t="e">
        <f>IF(AH83&lt;=1,"Remota",VLOOKUP(AH83,[71]Listas!$C$6:$D$10,2,0))</f>
        <v>#N/A</v>
      </c>
      <c r="AJ83" s="271" t="e">
        <f t="shared" si="14"/>
        <v>#N/A</v>
      </c>
      <c r="AK83" s="272" t="e">
        <f>IF(AJ83&lt;=1,"Insignificante",HLOOKUP(AJ83,[71]Listas!$F$3:$J$4,2,0))</f>
        <v>#N/A</v>
      </c>
      <c r="AL83" s="273" t="e">
        <f t="shared" si="15"/>
        <v>#N/A</v>
      </c>
      <c r="AM83" s="270" t="e">
        <f>INDEX([71]Listas!$F$6:$J$10,MATCH(AI83,[71]Listas!$D$6:$D$10,0),MATCH(AK83,[71]Listas!$F$4:$J$4,0))</f>
        <v>#N/A</v>
      </c>
      <c r="AN83" s="259"/>
      <c r="AO83" s="259"/>
      <c r="AP83" s="610"/>
      <c r="AQ83" s="259"/>
      <c r="AR83" s="259" t="s">
        <v>2343</v>
      </c>
      <c r="AS83" s="608"/>
      <c r="AT83" s="259"/>
      <c r="AU83" s="259"/>
      <c r="AV83" s="261"/>
      <c r="AW83" s="261"/>
      <c r="AX83" s="608"/>
      <c r="AY83" s="262"/>
    </row>
    <row r="84" spans="1:51" s="260" customFormat="1" ht="103.5" hidden="1" customHeight="1">
      <c r="A84" s="608"/>
      <c r="B84" s="266"/>
      <c r="C84" s="1399"/>
      <c r="D84" s="1408"/>
      <c r="E84" s="1400"/>
      <c r="F84" s="267"/>
      <c r="G84" s="1399"/>
      <c r="H84" s="1408"/>
      <c r="I84" s="1400"/>
      <c r="J84" s="1380"/>
      <c r="K84" s="1380"/>
      <c r="L84" s="1380"/>
      <c r="M84" s="608"/>
      <c r="N84" s="608"/>
      <c r="O84" s="608"/>
      <c r="P84" s="608"/>
      <c r="Q84" s="266"/>
      <c r="R84" s="266"/>
      <c r="S84" s="268"/>
      <c r="T84" s="269" t="e">
        <f>VLOOKUP(Q84,[71]Listas!$D$6:$E$10,2,0)</f>
        <v>#N/A</v>
      </c>
      <c r="U84" s="269" t="e">
        <f>HLOOKUP(R84,[71]Listas!$F$4:$J$5,2,0)</f>
        <v>#N/A</v>
      </c>
      <c r="V84" s="270" t="e">
        <f>INDEX([71]Listas!$F$6:$J$10,MATCH(Q84,[71]Listas!$D$6:$D$10,0),MATCH(R84,[71]Listas!$F$4:$J$4,0))</f>
        <v>#N/A</v>
      </c>
      <c r="W84" s="268"/>
      <c r="X84" s="1399"/>
      <c r="Y84" s="1408"/>
      <c r="Z84" s="1400"/>
      <c r="AA84" s="1063"/>
      <c r="AB84" s="267"/>
      <c r="AC84" s="259"/>
      <c r="AD84" s="608"/>
      <c r="AE84" s="267"/>
      <c r="AF84" s="268"/>
      <c r="AG84" s="269">
        <f t="shared" si="12"/>
        <v>0</v>
      </c>
      <c r="AH84" s="271" t="e">
        <f t="shared" si="13"/>
        <v>#N/A</v>
      </c>
      <c r="AI84" s="272" t="e">
        <f>IF(AH84&lt;=1,"Remota",VLOOKUP(AH84,[71]Listas!$C$6:$D$10,2,0))</f>
        <v>#N/A</v>
      </c>
      <c r="AJ84" s="271" t="e">
        <f t="shared" si="14"/>
        <v>#N/A</v>
      </c>
      <c r="AK84" s="272" t="e">
        <f>IF(AJ84&lt;=1,"Insignificante",HLOOKUP(AJ84,[71]Listas!$F$3:$J$4,2,0))</f>
        <v>#N/A</v>
      </c>
      <c r="AL84" s="273" t="e">
        <f t="shared" si="15"/>
        <v>#N/A</v>
      </c>
      <c r="AM84" s="270" t="e">
        <f>INDEX([71]Listas!$F$6:$J$10,MATCH(AI84,[71]Listas!$D$6:$D$10,0),MATCH(AK84,[71]Listas!$F$4:$J$4,0))</f>
        <v>#N/A</v>
      </c>
      <c r="AN84" s="259"/>
      <c r="AO84" s="259"/>
      <c r="AP84" s="610"/>
      <c r="AQ84" s="259"/>
      <c r="AR84" s="259" t="s">
        <v>2343</v>
      </c>
      <c r="AS84" s="608"/>
      <c r="AT84" s="259"/>
      <c r="AU84" s="259"/>
      <c r="AV84" s="261"/>
      <c r="AW84" s="261"/>
      <c r="AX84" s="608"/>
      <c r="AY84" s="262"/>
    </row>
    <row r="85" spans="1:51" s="260" customFormat="1" ht="103.5" hidden="1" customHeight="1">
      <c r="A85" s="608"/>
      <c r="B85" s="266"/>
      <c r="C85" s="1399"/>
      <c r="D85" s="1408"/>
      <c r="E85" s="1400"/>
      <c r="F85" s="267"/>
      <c r="G85" s="1399"/>
      <c r="H85" s="1408"/>
      <c r="I85" s="1400"/>
      <c r="J85" s="1380"/>
      <c r="K85" s="1380"/>
      <c r="L85" s="1380"/>
      <c r="M85" s="608"/>
      <c r="N85" s="608"/>
      <c r="O85" s="608"/>
      <c r="P85" s="608"/>
      <c r="Q85" s="266"/>
      <c r="R85" s="266"/>
      <c r="S85" s="268"/>
      <c r="T85" s="269" t="e">
        <f>VLOOKUP(Q85,[71]Listas!$D$6:$E$10,2,0)</f>
        <v>#N/A</v>
      </c>
      <c r="U85" s="269" t="e">
        <f>HLOOKUP(R85,[71]Listas!$F$4:$J$5,2,0)</f>
        <v>#N/A</v>
      </c>
      <c r="V85" s="270" t="e">
        <f>INDEX([71]Listas!$F$6:$J$10,MATCH(Q85,[71]Listas!$D$6:$D$10,0),MATCH(R85,[71]Listas!$F$4:$J$4,0))</f>
        <v>#N/A</v>
      </c>
      <c r="W85" s="268"/>
      <c r="X85" s="1399"/>
      <c r="Y85" s="1408"/>
      <c r="Z85" s="1400"/>
      <c r="AA85" s="1063"/>
      <c r="AB85" s="267"/>
      <c r="AC85" s="259"/>
      <c r="AD85" s="608"/>
      <c r="AE85" s="267"/>
      <c r="AF85" s="268"/>
      <c r="AG85" s="269">
        <f t="shared" si="12"/>
        <v>0</v>
      </c>
      <c r="AH85" s="271" t="e">
        <f t="shared" si="13"/>
        <v>#N/A</v>
      </c>
      <c r="AI85" s="272" t="e">
        <f>IF(AH85&lt;=1,"Remota",VLOOKUP(AH85,[71]Listas!$C$6:$D$10,2,0))</f>
        <v>#N/A</v>
      </c>
      <c r="AJ85" s="271" t="e">
        <f t="shared" si="14"/>
        <v>#N/A</v>
      </c>
      <c r="AK85" s="272" t="e">
        <f>IF(AJ85&lt;=1,"Insignificante",HLOOKUP(AJ85,[71]Listas!$F$3:$J$4,2,0))</f>
        <v>#N/A</v>
      </c>
      <c r="AL85" s="273" t="e">
        <f t="shared" si="15"/>
        <v>#N/A</v>
      </c>
      <c r="AM85" s="270" t="e">
        <f>INDEX([71]Listas!$F$6:$J$10,MATCH(AI85,[71]Listas!$D$6:$D$10,0),MATCH(AK85,[71]Listas!$F$4:$J$4,0))</f>
        <v>#N/A</v>
      </c>
      <c r="AN85" s="259"/>
      <c r="AO85" s="259"/>
      <c r="AP85" s="610"/>
      <c r="AQ85" s="259"/>
      <c r="AR85" s="259" t="s">
        <v>2343</v>
      </c>
      <c r="AS85" s="608"/>
      <c r="AT85" s="259"/>
      <c r="AU85" s="259"/>
      <c r="AV85" s="261"/>
      <c r="AW85" s="261"/>
      <c r="AX85" s="608"/>
      <c r="AY85" s="262"/>
    </row>
    <row r="86" spans="1:51" s="260" customFormat="1" ht="103.5" hidden="1" customHeight="1">
      <c r="A86" s="608"/>
      <c r="B86" s="266"/>
      <c r="C86" s="1399"/>
      <c r="D86" s="1408"/>
      <c r="E86" s="1400"/>
      <c r="F86" s="267"/>
      <c r="G86" s="1399"/>
      <c r="H86" s="1408"/>
      <c r="I86" s="1400"/>
      <c r="J86" s="1380"/>
      <c r="K86" s="1380"/>
      <c r="L86" s="1380"/>
      <c r="M86" s="608"/>
      <c r="N86" s="608"/>
      <c r="O86" s="608"/>
      <c r="P86" s="608"/>
      <c r="Q86" s="266"/>
      <c r="R86" s="266"/>
      <c r="S86" s="268"/>
      <c r="T86" s="269" t="e">
        <f>VLOOKUP(Q86,[71]Listas!$D$6:$E$10,2,0)</f>
        <v>#N/A</v>
      </c>
      <c r="U86" s="269" t="e">
        <f>HLOOKUP(R86,[71]Listas!$F$4:$J$5,2,0)</f>
        <v>#N/A</v>
      </c>
      <c r="V86" s="270" t="e">
        <f>INDEX([71]Listas!$F$6:$J$10,MATCH(Q86,[71]Listas!$D$6:$D$10,0),MATCH(R86,[71]Listas!$F$4:$J$4,0))</f>
        <v>#N/A</v>
      </c>
      <c r="W86" s="268"/>
      <c r="X86" s="1399"/>
      <c r="Y86" s="1408"/>
      <c r="Z86" s="1400"/>
      <c r="AA86" s="1063"/>
      <c r="AB86" s="267"/>
      <c r="AC86" s="259"/>
      <c r="AD86" s="608"/>
      <c r="AE86" s="267"/>
      <c r="AF86" s="268"/>
      <c r="AG86" s="269">
        <f t="shared" si="12"/>
        <v>0</v>
      </c>
      <c r="AH86" s="271" t="e">
        <f t="shared" si="13"/>
        <v>#N/A</v>
      </c>
      <c r="AI86" s="272" t="e">
        <f>IF(AH86&lt;=1,"Remota",VLOOKUP(AH86,[71]Listas!$C$6:$D$10,2,0))</f>
        <v>#N/A</v>
      </c>
      <c r="AJ86" s="271" t="e">
        <f t="shared" si="14"/>
        <v>#N/A</v>
      </c>
      <c r="AK86" s="272" t="e">
        <f>IF(AJ86&lt;=1,"Insignificante",HLOOKUP(AJ86,[71]Listas!$F$3:$J$4,2,0))</f>
        <v>#N/A</v>
      </c>
      <c r="AL86" s="273" t="e">
        <f t="shared" si="15"/>
        <v>#N/A</v>
      </c>
      <c r="AM86" s="270" t="e">
        <f>INDEX([71]Listas!$F$6:$J$10,MATCH(AI86,[71]Listas!$D$6:$D$10,0),MATCH(AK86,[71]Listas!$F$4:$J$4,0))</f>
        <v>#N/A</v>
      </c>
      <c r="AN86" s="259"/>
      <c r="AO86" s="259"/>
      <c r="AP86" s="610"/>
      <c r="AQ86" s="259"/>
      <c r="AR86" s="259" t="s">
        <v>2343</v>
      </c>
      <c r="AS86" s="608"/>
      <c r="AT86" s="259"/>
      <c r="AU86" s="259"/>
      <c r="AV86" s="261"/>
      <c r="AW86" s="261"/>
      <c r="AX86" s="608"/>
      <c r="AY86" s="262"/>
    </row>
    <row r="87" spans="1:51" s="260" customFormat="1" ht="103.5" hidden="1" customHeight="1">
      <c r="A87" s="608"/>
      <c r="B87" s="266"/>
      <c r="C87" s="1399"/>
      <c r="D87" s="1408"/>
      <c r="E87" s="1400"/>
      <c r="F87" s="267"/>
      <c r="G87" s="1399"/>
      <c r="H87" s="1408"/>
      <c r="I87" s="1400"/>
      <c r="J87" s="1380"/>
      <c r="K87" s="1380"/>
      <c r="L87" s="1380"/>
      <c r="M87" s="608"/>
      <c r="N87" s="608"/>
      <c r="O87" s="608"/>
      <c r="P87" s="608"/>
      <c r="Q87" s="266"/>
      <c r="R87" s="266"/>
      <c r="S87" s="268"/>
      <c r="T87" s="269" t="e">
        <f>VLOOKUP(Q87,[71]Listas!$D$6:$E$10,2,0)</f>
        <v>#N/A</v>
      </c>
      <c r="U87" s="269" t="e">
        <f>HLOOKUP(R87,[71]Listas!$F$4:$J$5,2,0)</f>
        <v>#N/A</v>
      </c>
      <c r="V87" s="270" t="e">
        <f>INDEX([71]Listas!$F$6:$J$10,MATCH(Q87,[71]Listas!$D$6:$D$10,0),MATCH(R87,[71]Listas!$F$4:$J$4,0))</f>
        <v>#N/A</v>
      </c>
      <c r="W87" s="268"/>
      <c r="X87" s="1399"/>
      <c r="Y87" s="1408"/>
      <c r="Z87" s="1400"/>
      <c r="AA87" s="1063"/>
      <c r="AB87" s="267"/>
      <c r="AC87" s="259"/>
      <c r="AD87" s="608"/>
      <c r="AE87" s="267"/>
      <c r="AF87" s="268"/>
      <c r="AG87" s="269">
        <f t="shared" si="12"/>
        <v>0</v>
      </c>
      <c r="AH87" s="271" t="e">
        <f t="shared" si="13"/>
        <v>#N/A</v>
      </c>
      <c r="AI87" s="272" t="e">
        <f>IF(AH87&lt;=1,"Remota",VLOOKUP(AH87,[71]Listas!$C$6:$D$10,2,0))</f>
        <v>#N/A</v>
      </c>
      <c r="AJ87" s="271" t="e">
        <f t="shared" si="14"/>
        <v>#N/A</v>
      </c>
      <c r="AK87" s="272" t="e">
        <f>IF(AJ87&lt;=1,"Insignificante",HLOOKUP(AJ87,[71]Listas!$F$3:$J$4,2,0))</f>
        <v>#N/A</v>
      </c>
      <c r="AL87" s="273" t="e">
        <f t="shared" si="15"/>
        <v>#N/A</v>
      </c>
      <c r="AM87" s="270" t="e">
        <f>INDEX([71]Listas!$F$6:$J$10,MATCH(AI87,[71]Listas!$D$6:$D$10,0),MATCH(AK87,[71]Listas!$F$4:$J$4,0))</f>
        <v>#N/A</v>
      </c>
      <c r="AN87" s="259"/>
      <c r="AO87" s="259"/>
      <c r="AP87" s="610"/>
      <c r="AQ87" s="259"/>
      <c r="AR87" s="259" t="s">
        <v>2343</v>
      </c>
      <c r="AS87" s="608"/>
      <c r="AT87" s="259"/>
      <c r="AU87" s="259"/>
      <c r="AV87" s="261"/>
      <c r="AW87" s="261"/>
      <c r="AX87" s="608"/>
      <c r="AY87" s="262"/>
    </row>
    <row r="88" spans="1:51" s="260" customFormat="1" ht="103.5" hidden="1" customHeight="1">
      <c r="A88" s="608"/>
      <c r="B88" s="266"/>
      <c r="C88" s="1399"/>
      <c r="D88" s="1408"/>
      <c r="E88" s="1400"/>
      <c r="F88" s="267"/>
      <c r="G88" s="1399"/>
      <c r="H88" s="1408"/>
      <c r="I88" s="1400"/>
      <c r="J88" s="1380"/>
      <c r="K88" s="1380"/>
      <c r="L88" s="1380"/>
      <c r="M88" s="608"/>
      <c r="N88" s="608"/>
      <c r="O88" s="608"/>
      <c r="P88" s="608"/>
      <c r="Q88" s="266"/>
      <c r="R88" s="266"/>
      <c r="S88" s="268"/>
      <c r="T88" s="269" t="e">
        <f>VLOOKUP(Q88,[71]Listas!$D$6:$E$10,2,0)</f>
        <v>#N/A</v>
      </c>
      <c r="U88" s="269" t="e">
        <f>HLOOKUP(R88,[71]Listas!$F$4:$J$5,2,0)</f>
        <v>#N/A</v>
      </c>
      <c r="V88" s="270" t="e">
        <f>INDEX([71]Listas!$F$6:$J$10,MATCH(Q88,[71]Listas!$D$6:$D$10,0),MATCH(R88,[71]Listas!$F$4:$J$4,0))</f>
        <v>#N/A</v>
      </c>
      <c r="W88" s="268"/>
      <c r="X88" s="1399"/>
      <c r="Y88" s="1408"/>
      <c r="Z88" s="1400"/>
      <c r="AA88" s="1063"/>
      <c r="AB88" s="267"/>
      <c r="AC88" s="259"/>
      <c r="AD88" s="608"/>
      <c r="AE88" s="267"/>
      <c r="AF88" s="268"/>
      <c r="AG88" s="269">
        <f t="shared" si="12"/>
        <v>0</v>
      </c>
      <c r="AH88" s="271" t="e">
        <f t="shared" si="13"/>
        <v>#N/A</v>
      </c>
      <c r="AI88" s="272" t="e">
        <f>IF(AH88&lt;=1,"Remota",VLOOKUP(AH88,[71]Listas!$C$6:$D$10,2,0))</f>
        <v>#N/A</v>
      </c>
      <c r="AJ88" s="271" t="e">
        <f t="shared" si="14"/>
        <v>#N/A</v>
      </c>
      <c r="AK88" s="272" t="e">
        <f>IF(AJ88&lt;=1,"Insignificante",HLOOKUP(AJ88,[71]Listas!$F$3:$J$4,2,0))</f>
        <v>#N/A</v>
      </c>
      <c r="AL88" s="273" t="e">
        <f t="shared" si="15"/>
        <v>#N/A</v>
      </c>
      <c r="AM88" s="270" t="e">
        <f>INDEX([71]Listas!$F$6:$J$10,MATCH(AI88,[71]Listas!$D$6:$D$10,0),MATCH(AK88,[71]Listas!$F$4:$J$4,0))</f>
        <v>#N/A</v>
      </c>
      <c r="AN88" s="259"/>
      <c r="AO88" s="259"/>
      <c r="AP88" s="610"/>
      <c r="AQ88" s="259"/>
      <c r="AR88" s="259" t="s">
        <v>2343</v>
      </c>
      <c r="AS88" s="608"/>
      <c r="AT88" s="259"/>
      <c r="AU88" s="259"/>
      <c r="AV88" s="261"/>
      <c r="AW88" s="261"/>
      <c r="AX88" s="608"/>
      <c r="AY88" s="262"/>
    </row>
    <row r="89" spans="1:51" s="260" customFormat="1" ht="103.5" hidden="1" customHeight="1">
      <c r="A89" s="608"/>
      <c r="B89" s="266"/>
      <c r="C89" s="1399"/>
      <c r="D89" s="1408"/>
      <c r="E89" s="1400"/>
      <c r="F89" s="267"/>
      <c r="G89" s="1399"/>
      <c r="H89" s="1408"/>
      <c r="I89" s="1400"/>
      <c r="J89" s="1380"/>
      <c r="K89" s="1380"/>
      <c r="L89" s="1380"/>
      <c r="M89" s="608"/>
      <c r="N89" s="608"/>
      <c r="O89" s="608"/>
      <c r="P89" s="608"/>
      <c r="Q89" s="266"/>
      <c r="R89" s="266"/>
      <c r="S89" s="268"/>
      <c r="T89" s="269" t="e">
        <f>VLOOKUP(Q89,[71]Listas!$D$6:$E$10,2,0)</f>
        <v>#N/A</v>
      </c>
      <c r="U89" s="269" t="e">
        <f>HLOOKUP(R89,[71]Listas!$F$4:$J$5,2,0)</f>
        <v>#N/A</v>
      </c>
      <c r="V89" s="270" t="e">
        <f>INDEX([71]Listas!$F$6:$J$10,MATCH(Q89,[71]Listas!$D$6:$D$10,0),MATCH(R89,[71]Listas!$F$4:$J$4,0))</f>
        <v>#N/A</v>
      </c>
      <c r="W89" s="268"/>
      <c r="X89" s="1399"/>
      <c r="Y89" s="1408"/>
      <c r="Z89" s="1400"/>
      <c r="AA89" s="1063"/>
      <c r="AB89" s="267"/>
      <c r="AC89" s="259"/>
      <c r="AD89" s="608"/>
      <c r="AE89" s="267"/>
      <c r="AF89" s="268"/>
      <c r="AG89" s="269">
        <f t="shared" si="12"/>
        <v>0</v>
      </c>
      <c r="AH89" s="271" t="e">
        <f t="shared" si="13"/>
        <v>#N/A</v>
      </c>
      <c r="AI89" s="272" t="e">
        <f>IF(AH89&lt;=1,"Remota",VLOOKUP(AH89,[71]Listas!$C$6:$D$10,2,0))</f>
        <v>#N/A</v>
      </c>
      <c r="AJ89" s="271" t="e">
        <f t="shared" si="14"/>
        <v>#N/A</v>
      </c>
      <c r="AK89" s="272" t="e">
        <f>IF(AJ89&lt;=1,"Insignificante",HLOOKUP(AJ89,[71]Listas!$F$3:$J$4,2,0))</f>
        <v>#N/A</v>
      </c>
      <c r="AL89" s="273" t="e">
        <f t="shared" si="15"/>
        <v>#N/A</v>
      </c>
      <c r="AM89" s="270" t="e">
        <f>INDEX([71]Listas!$F$6:$J$10,MATCH(AI89,[71]Listas!$D$6:$D$10,0),MATCH(AK89,[71]Listas!$F$4:$J$4,0))</f>
        <v>#N/A</v>
      </c>
      <c r="AN89" s="259"/>
      <c r="AO89" s="259"/>
      <c r="AP89" s="610"/>
      <c r="AQ89" s="259"/>
      <c r="AR89" s="259" t="s">
        <v>2343</v>
      </c>
      <c r="AS89" s="608"/>
      <c r="AT89" s="259"/>
      <c r="AU89" s="259"/>
      <c r="AV89" s="261"/>
      <c r="AW89" s="261"/>
      <c r="AX89" s="608"/>
      <c r="AY89" s="262"/>
    </row>
    <row r="90" spans="1:51" s="260" customFormat="1" ht="103.5" hidden="1" customHeight="1">
      <c r="A90" s="608"/>
      <c r="B90" s="266"/>
      <c r="C90" s="1399"/>
      <c r="D90" s="1408"/>
      <c r="E90" s="1400"/>
      <c r="F90" s="267"/>
      <c r="G90" s="1399"/>
      <c r="H90" s="1408"/>
      <c r="I90" s="1400"/>
      <c r="J90" s="1380"/>
      <c r="K90" s="1380"/>
      <c r="L90" s="1380"/>
      <c r="M90" s="608"/>
      <c r="N90" s="608"/>
      <c r="O90" s="608"/>
      <c r="P90" s="608"/>
      <c r="Q90" s="266"/>
      <c r="R90" s="266"/>
      <c r="S90" s="268"/>
      <c r="T90" s="269" t="e">
        <f>VLOOKUP(Q90,[71]Listas!$D$6:$E$10,2,0)</f>
        <v>#N/A</v>
      </c>
      <c r="U90" s="269" t="e">
        <f>HLOOKUP(R90,[71]Listas!$F$4:$J$5,2,0)</f>
        <v>#N/A</v>
      </c>
      <c r="V90" s="270" t="e">
        <f>INDEX([71]Listas!$F$6:$J$10,MATCH(Q90,[71]Listas!$D$6:$D$10,0),MATCH(R90,[71]Listas!$F$4:$J$4,0))</f>
        <v>#N/A</v>
      </c>
      <c r="W90" s="268"/>
      <c r="X90" s="1399"/>
      <c r="Y90" s="1408"/>
      <c r="Z90" s="1400"/>
      <c r="AA90" s="1063"/>
      <c r="AB90" s="267"/>
      <c r="AC90" s="259"/>
      <c r="AD90" s="608"/>
      <c r="AE90" s="267"/>
      <c r="AF90" s="268"/>
      <c r="AG90" s="269">
        <f t="shared" si="12"/>
        <v>0</v>
      </c>
      <c r="AH90" s="271" t="e">
        <f t="shared" si="13"/>
        <v>#N/A</v>
      </c>
      <c r="AI90" s="272" t="e">
        <f>IF(AH90&lt;=1,"Remota",VLOOKUP(AH90,[71]Listas!$C$6:$D$10,2,0))</f>
        <v>#N/A</v>
      </c>
      <c r="AJ90" s="271" t="e">
        <f t="shared" si="14"/>
        <v>#N/A</v>
      </c>
      <c r="AK90" s="272" t="e">
        <f>IF(AJ90&lt;=1,"Insignificante",HLOOKUP(AJ90,[71]Listas!$F$3:$J$4,2,0))</f>
        <v>#N/A</v>
      </c>
      <c r="AL90" s="273" t="e">
        <f t="shared" si="15"/>
        <v>#N/A</v>
      </c>
      <c r="AM90" s="270" t="e">
        <f>INDEX([71]Listas!$F$6:$J$10,MATCH(AI90,[71]Listas!$D$6:$D$10,0),MATCH(AK90,[71]Listas!$F$4:$J$4,0))</f>
        <v>#N/A</v>
      </c>
      <c r="AN90" s="259"/>
      <c r="AO90" s="259"/>
      <c r="AP90" s="610"/>
      <c r="AQ90" s="259"/>
      <c r="AR90" s="259" t="s">
        <v>2343</v>
      </c>
      <c r="AS90" s="608"/>
      <c r="AT90" s="259"/>
      <c r="AU90" s="259"/>
      <c r="AV90" s="261"/>
      <c r="AW90" s="261"/>
      <c r="AX90" s="608"/>
      <c r="AY90" s="262"/>
    </row>
    <row r="91" spans="1:51" s="260" customFormat="1" ht="103.5" hidden="1" customHeight="1">
      <c r="A91" s="608"/>
      <c r="B91" s="266"/>
      <c r="C91" s="1399"/>
      <c r="D91" s="1408"/>
      <c r="E91" s="1400"/>
      <c r="F91" s="267"/>
      <c r="G91" s="1399"/>
      <c r="H91" s="1408"/>
      <c r="I91" s="1400"/>
      <c r="J91" s="1380"/>
      <c r="K91" s="1380"/>
      <c r="L91" s="1380"/>
      <c r="M91" s="608"/>
      <c r="N91" s="608"/>
      <c r="O91" s="608"/>
      <c r="P91" s="608"/>
      <c r="Q91" s="266"/>
      <c r="R91" s="266"/>
      <c r="S91" s="268"/>
      <c r="T91" s="269" t="e">
        <f>VLOOKUP(Q91,[71]Listas!$D$6:$E$10,2,0)</f>
        <v>#N/A</v>
      </c>
      <c r="U91" s="269" t="e">
        <f>HLOOKUP(R91,[71]Listas!$F$4:$J$5,2,0)</f>
        <v>#N/A</v>
      </c>
      <c r="V91" s="270" t="e">
        <f>INDEX([71]Listas!$F$6:$J$10,MATCH(Q91,[71]Listas!$D$6:$D$10,0),MATCH(R91,[71]Listas!$F$4:$J$4,0))</f>
        <v>#N/A</v>
      </c>
      <c r="W91" s="268"/>
      <c r="X91" s="1399"/>
      <c r="Y91" s="1408"/>
      <c r="Z91" s="1400"/>
      <c r="AA91" s="1063"/>
      <c r="AB91" s="267"/>
      <c r="AC91" s="259"/>
      <c r="AD91" s="608"/>
      <c r="AE91" s="267"/>
      <c r="AF91" s="268"/>
      <c r="AG91" s="269">
        <f t="shared" si="12"/>
        <v>0</v>
      </c>
      <c r="AH91" s="271" t="e">
        <f t="shared" si="13"/>
        <v>#N/A</v>
      </c>
      <c r="AI91" s="272" t="e">
        <f>IF(AH91&lt;=1,"Remota",VLOOKUP(AH91,[71]Listas!$C$6:$D$10,2,0))</f>
        <v>#N/A</v>
      </c>
      <c r="AJ91" s="271" t="e">
        <f t="shared" si="14"/>
        <v>#N/A</v>
      </c>
      <c r="AK91" s="272" t="e">
        <f>IF(AJ91&lt;=1,"Insignificante",HLOOKUP(AJ91,[71]Listas!$F$3:$J$4,2,0))</f>
        <v>#N/A</v>
      </c>
      <c r="AL91" s="273" t="e">
        <f t="shared" si="15"/>
        <v>#N/A</v>
      </c>
      <c r="AM91" s="270" t="e">
        <f>INDEX([71]Listas!$F$6:$J$10,MATCH(AI91,[71]Listas!$D$6:$D$10,0),MATCH(AK91,[71]Listas!$F$4:$J$4,0))</f>
        <v>#N/A</v>
      </c>
      <c r="AN91" s="259"/>
      <c r="AO91" s="259"/>
      <c r="AP91" s="610"/>
      <c r="AQ91" s="259"/>
      <c r="AR91" s="259" t="s">
        <v>2343</v>
      </c>
      <c r="AS91" s="608"/>
      <c r="AT91" s="259"/>
      <c r="AU91" s="259"/>
      <c r="AV91" s="261"/>
      <c r="AW91" s="261"/>
      <c r="AX91" s="608"/>
      <c r="AY91" s="262"/>
    </row>
    <row r="92" spans="1:51" s="260" customFormat="1" ht="103.5" hidden="1" customHeight="1">
      <c r="A92" s="608"/>
      <c r="B92" s="266"/>
      <c r="C92" s="1399"/>
      <c r="D92" s="1408"/>
      <c r="E92" s="1400"/>
      <c r="F92" s="267"/>
      <c r="G92" s="1399"/>
      <c r="H92" s="1408"/>
      <c r="I92" s="1400"/>
      <c r="J92" s="1380"/>
      <c r="K92" s="1380"/>
      <c r="L92" s="1380"/>
      <c r="M92" s="608"/>
      <c r="N92" s="608"/>
      <c r="O92" s="608"/>
      <c r="P92" s="608"/>
      <c r="Q92" s="266"/>
      <c r="R92" s="266"/>
      <c r="S92" s="268"/>
      <c r="T92" s="269" t="e">
        <f>VLOOKUP(Q92,[71]Listas!$D$6:$E$10,2,0)</f>
        <v>#N/A</v>
      </c>
      <c r="U92" s="269" t="e">
        <f>HLOOKUP(R92,[71]Listas!$F$4:$J$5,2,0)</f>
        <v>#N/A</v>
      </c>
      <c r="V92" s="270" t="e">
        <f>INDEX([71]Listas!$F$6:$J$10,MATCH(Q92,[71]Listas!$D$6:$D$10,0),MATCH(R92,[71]Listas!$F$4:$J$4,0))</f>
        <v>#N/A</v>
      </c>
      <c r="W92" s="268"/>
      <c r="X92" s="1399"/>
      <c r="Y92" s="1408"/>
      <c r="Z92" s="1400"/>
      <c r="AA92" s="1063"/>
      <c r="AB92" s="267"/>
      <c r="AC92" s="259"/>
      <c r="AD92" s="608"/>
      <c r="AE92" s="267"/>
      <c r="AF92" s="268"/>
      <c r="AG92" s="269">
        <f t="shared" si="12"/>
        <v>0</v>
      </c>
      <c r="AH92" s="271" t="e">
        <f t="shared" si="13"/>
        <v>#N/A</v>
      </c>
      <c r="AI92" s="272" t="e">
        <f>IF(AH92&lt;=1,"Remota",VLOOKUP(AH92,[71]Listas!$C$6:$D$10,2,0))</f>
        <v>#N/A</v>
      </c>
      <c r="AJ92" s="271" t="e">
        <f t="shared" si="14"/>
        <v>#N/A</v>
      </c>
      <c r="AK92" s="272" t="e">
        <f>IF(AJ92&lt;=1,"Insignificante",HLOOKUP(AJ92,[71]Listas!$F$3:$J$4,2,0))</f>
        <v>#N/A</v>
      </c>
      <c r="AL92" s="273" t="e">
        <f t="shared" si="15"/>
        <v>#N/A</v>
      </c>
      <c r="AM92" s="270" t="e">
        <f>INDEX([71]Listas!$F$6:$J$10,MATCH(AI92,[71]Listas!$D$6:$D$10,0),MATCH(AK92,[71]Listas!$F$4:$J$4,0))</f>
        <v>#N/A</v>
      </c>
      <c r="AN92" s="259"/>
      <c r="AO92" s="259"/>
      <c r="AP92" s="610"/>
      <c r="AQ92" s="259"/>
      <c r="AR92" s="259" t="s">
        <v>2343</v>
      </c>
      <c r="AS92" s="608"/>
      <c r="AT92" s="259"/>
      <c r="AU92" s="259"/>
      <c r="AV92" s="261"/>
      <c r="AW92" s="261"/>
      <c r="AX92" s="608"/>
      <c r="AY92" s="262"/>
    </row>
    <row r="93" spans="1:51" s="260" customFormat="1" ht="103.5" hidden="1" customHeight="1">
      <c r="A93" s="608"/>
      <c r="B93" s="266"/>
      <c r="C93" s="1399"/>
      <c r="D93" s="1408"/>
      <c r="E93" s="1400"/>
      <c r="F93" s="267"/>
      <c r="G93" s="1399"/>
      <c r="H93" s="1408"/>
      <c r="I93" s="1400"/>
      <c r="J93" s="1380"/>
      <c r="K93" s="1380"/>
      <c r="L93" s="1380"/>
      <c r="M93" s="608"/>
      <c r="N93" s="608"/>
      <c r="O93" s="608"/>
      <c r="P93" s="608"/>
      <c r="Q93" s="266"/>
      <c r="R93" s="266"/>
      <c r="S93" s="268"/>
      <c r="T93" s="269" t="e">
        <f>VLOOKUP(Q93,[71]Listas!$D$6:$E$10,2,0)</f>
        <v>#N/A</v>
      </c>
      <c r="U93" s="269" t="e">
        <f>HLOOKUP(R93,[71]Listas!$F$4:$J$5,2,0)</f>
        <v>#N/A</v>
      </c>
      <c r="V93" s="270" t="e">
        <f>INDEX([71]Listas!$F$6:$J$10,MATCH(Q93,[71]Listas!$D$6:$D$10,0),MATCH(R93,[71]Listas!$F$4:$J$4,0))</f>
        <v>#N/A</v>
      </c>
      <c r="W93" s="268"/>
      <c r="X93" s="1399"/>
      <c r="Y93" s="1408"/>
      <c r="Z93" s="1400"/>
      <c r="AA93" s="1063"/>
      <c r="AB93" s="267"/>
      <c r="AC93" s="259"/>
      <c r="AD93" s="608"/>
      <c r="AE93" s="267"/>
      <c r="AF93" s="268"/>
      <c r="AG93" s="269">
        <f t="shared" si="12"/>
        <v>0</v>
      </c>
      <c r="AH93" s="271" t="e">
        <f t="shared" si="13"/>
        <v>#N/A</v>
      </c>
      <c r="AI93" s="272" t="e">
        <f>IF(AH93&lt;=1,"Remota",VLOOKUP(AH93,[71]Listas!$C$6:$D$10,2,0))</f>
        <v>#N/A</v>
      </c>
      <c r="AJ93" s="271" t="e">
        <f t="shared" si="14"/>
        <v>#N/A</v>
      </c>
      <c r="AK93" s="272" t="e">
        <f>IF(AJ93&lt;=1,"Insignificante",HLOOKUP(AJ93,[71]Listas!$F$3:$J$4,2,0))</f>
        <v>#N/A</v>
      </c>
      <c r="AL93" s="273" t="e">
        <f t="shared" si="15"/>
        <v>#N/A</v>
      </c>
      <c r="AM93" s="270" t="e">
        <f>INDEX([71]Listas!$F$6:$J$10,MATCH(AI93,[71]Listas!$D$6:$D$10,0),MATCH(AK93,[71]Listas!$F$4:$J$4,0))</f>
        <v>#N/A</v>
      </c>
      <c r="AN93" s="259"/>
      <c r="AO93" s="259"/>
      <c r="AP93" s="610"/>
      <c r="AQ93" s="259"/>
      <c r="AR93" s="259" t="s">
        <v>2343</v>
      </c>
      <c r="AS93" s="608"/>
      <c r="AT93" s="259"/>
      <c r="AU93" s="259"/>
      <c r="AV93" s="261"/>
      <c r="AW93" s="261"/>
      <c r="AX93" s="608"/>
      <c r="AY93" s="262"/>
    </row>
    <row r="94" spans="1:51" s="260" customFormat="1" ht="103.5" hidden="1" customHeight="1">
      <c r="A94" s="608"/>
      <c r="B94" s="266"/>
      <c r="C94" s="1399"/>
      <c r="D94" s="1408"/>
      <c r="E94" s="1400"/>
      <c r="F94" s="267"/>
      <c r="G94" s="1399"/>
      <c r="H94" s="1408"/>
      <c r="I94" s="1400"/>
      <c r="J94" s="1380"/>
      <c r="K94" s="1380"/>
      <c r="L94" s="1380"/>
      <c r="M94" s="608"/>
      <c r="N94" s="608"/>
      <c r="O94" s="608"/>
      <c r="P94" s="608"/>
      <c r="Q94" s="266"/>
      <c r="R94" s="266"/>
      <c r="S94" s="268"/>
      <c r="T94" s="269" t="e">
        <f>VLOOKUP(Q94,[71]Listas!$D$6:$E$10,2,0)</f>
        <v>#N/A</v>
      </c>
      <c r="U94" s="269" t="e">
        <f>HLOOKUP(R94,[71]Listas!$F$4:$J$5,2,0)</f>
        <v>#N/A</v>
      </c>
      <c r="V94" s="270" t="e">
        <f>INDEX([71]Listas!$F$6:$J$10,MATCH(Q94,[71]Listas!$D$6:$D$10,0),MATCH(R94,[71]Listas!$F$4:$J$4,0))</f>
        <v>#N/A</v>
      </c>
      <c r="W94" s="268"/>
      <c r="X94" s="1399"/>
      <c r="Y94" s="1408"/>
      <c r="Z94" s="1400"/>
      <c r="AA94" s="1063"/>
      <c r="AB94" s="267"/>
      <c r="AC94" s="259"/>
      <c r="AD94" s="608"/>
      <c r="AE94" s="267"/>
      <c r="AF94" s="268"/>
      <c r="AG94" s="269">
        <f t="shared" si="12"/>
        <v>0</v>
      </c>
      <c r="AH94" s="271" t="e">
        <f t="shared" si="13"/>
        <v>#N/A</v>
      </c>
      <c r="AI94" s="272" t="e">
        <f>IF(AH94&lt;=1,"Remota",VLOOKUP(AH94,[71]Listas!$C$6:$D$10,2,0))</f>
        <v>#N/A</v>
      </c>
      <c r="AJ94" s="271" t="e">
        <f t="shared" si="14"/>
        <v>#N/A</v>
      </c>
      <c r="AK94" s="272" t="e">
        <f>IF(AJ94&lt;=1,"Insignificante",HLOOKUP(AJ94,[71]Listas!$F$3:$J$4,2,0))</f>
        <v>#N/A</v>
      </c>
      <c r="AL94" s="273" t="e">
        <f t="shared" si="15"/>
        <v>#N/A</v>
      </c>
      <c r="AM94" s="270" t="e">
        <f>INDEX([71]Listas!$F$6:$J$10,MATCH(AI94,[71]Listas!$D$6:$D$10,0),MATCH(AK94,[71]Listas!$F$4:$J$4,0))</f>
        <v>#N/A</v>
      </c>
      <c r="AN94" s="259"/>
      <c r="AO94" s="259"/>
      <c r="AP94" s="610"/>
      <c r="AQ94" s="259"/>
      <c r="AR94" s="259" t="s">
        <v>2343</v>
      </c>
      <c r="AS94" s="608"/>
      <c r="AT94" s="259"/>
      <c r="AU94" s="259"/>
      <c r="AV94" s="261"/>
      <c r="AW94" s="261"/>
      <c r="AX94" s="608"/>
      <c r="AY94" s="262"/>
    </row>
    <row r="95" spans="1:51" s="260" customFormat="1" ht="103.5" hidden="1" customHeight="1">
      <c r="A95" s="620"/>
      <c r="B95" s="274"/>
      <c r="C95" s="1399"/>
      <c r="D95" s="1408"/>
      <c r="E95" s="1400"/>
      <c r="F95" s="267"/>
      <c r="G95" s="1399"/>
      <c r="H95" s="1408"/>
      <c r="I95" s="1400"/>
      <c r="J95" s="1380"/>
      <c r="K95" s="1380"/>
      <c r="L95" s="1380"/>
      <c r="M95" s="608"/>
      <c r="N95" s="608"/>
      <c r="O95" s="608"/>
      <c r="P95" s="608"/>
      <c r="Q95" s="266"/>
      <c r="R95" s="266"/>
      <c r="S95" s="268"/>
      <c r="T95" s="269" t="e">
        <f>VLOOKUP(Q95,[71]Listas!$D$6:$E$10,2,0)</f>
        <v>#N/A</v>
      </c>
      <c r="U95" s="269" t="e">
        <f>HLOOKUP(R95,[71]Listas!$F$4:$J$5,2,0)</f>
        <v>#N/A</v>
      </c>
      <c r="V95" s="270" t="e">
        <f>INDEX([71]Listas!$F$6:$J$10,MATCH(Q95,[71]Listas!$D$6:$D$10,0),MATCH(R95,[71]Listas!$F$4:$J$4,0))</f>
        <v>#N/A</v>
      </c>
      <c r="W95" s="268"/>
      <c r="X95" s="1399"/>
      <c r="Y95" s="1408"/>
      <c r="Z95" s="1400"/>
      <c r="AA95" s="1063"/>
      <c r="AB95" s="267"/>
      <c r="AC95" s="259"/>
      <c r="AD95" s="608"/>
      <c r="AE95" s="267"/>
      <c r="AF95" s="268"/>
      <c r="AG95" s="269">
        <f t="shared" si="12"/>
        <v>0</v>
      </c>
      <c r="AH95" s="271" t="e">
        <f t="shared" si="13"/>
        <v>#N/A</v>
      </c>
      <c r="AI95" s="272" t="e">
        <f>IF(AH95&lt;=1,"Remota",VLOOKUP(AH95,[71]Listas!$C$6:$D$10,2,0))</f>
        <v>#N/A</v>
      </c>
      <c r="AJ95" s="271" t="e">
        <f t="shared" si="14"/>
        <v>#N/A</v>
      </c>
      <c r="AK95" s="272" t="e">
        <f>IF(AJ95&lt;=1,"Insignificante",HLOOKUP(AJ95,[71]Listas!$F$3:$J$4,2,0))</f>
        <v>#N/A</v>
      </c>
      <c r="AL95" s="273" t="e">
        <f t="shared" si="15"/>
        <v>#N/A</v>
      </c>
      <c r="AM95" s="270" t="e">
        <f>INDEX([71]Listas!$F$6:$J$10,MATCH(AI95,[71]Listas!$D$6:$D$10,0),MATCH(AK95,[71]Listas!$F$4:$J$4,0))</f>
        <v>#N/A</v>
      </c>
      <c r="AN95" s="259"/>
      <c r="AO95" s="259"/>
      <c r="AP95" s="610"/>
      <c r="AQ95" s="259"/>
      <c r="AR95" s="259" t="s">
        <v>2343</v>
      </c>
      <c r="AS95" s="608"/>
      <c r="AT95" s="259"/>
      <c r="AU95" s="259"/>
      <c r="AV95" s="261"/>
      <c r="AW95" s="261"/>
      <c r="AX95" s="608"/>
      <c r="AY95" s="262"/>
    </row>
    <row r="96" spans="1:51" s="260" customFormat="1" ht="103.5" hidden="1" customHeight="1">
      <c r="A96" s="608"/>
      <c r="B96" s="266"/>
      <c r="C96" s="1399"/>
      <c r="D96" s="1408"/>
      <c r="E96" s="1400"/>
      <c r="F96" s="267"/>
      <c r="G96" s="1399"/>
      <c r="H96" s="1408"/>
      <c r="I96" s="1400"/>
      <c r="J96" s="1380"/>
      <c r="K96" s="1380"/>
      <c r="L96" s="1380"/>
      <c r="M96" s="608"/>
      <c r="N96" s="608"/>
      <c r="O96" s="608"/>
      <c r="P96" s="608"/>
      <c r="Q96" s="266"/>
      <c r="R96" s="266"/>
      <c r="S96" s="268"/>
      <c r="T96" s="269" t="e">
        <f>VLOOKUP(Q96,[71]Listas!$D$6:$E$10,2,0)</f>
        <v>#N/A</v>
      </c>
      <c r="U96" s="269" t="e">
        <f>HLOOKUP(R96,[71]Listas!$F$4:$J$5,2,0)</f>
        <v>#N/A</v>
      </c>
      <c r="V96" s="270" t="e">
        <f>INDEX([71]Listas!$F$6:$J$10,MATCH(Q96,[71]Listas!$D$6:$D$10,0),MATCH(R96,[71]Listas!$F$4:$J$4,0))</f>
        <v>#N/A</v>
      </c>
      <c r="W96" s="268"/>
      <c r="X96" s="1399"/>
      <c r="Y96" s="1408"/>
      <c r="Z96" s="1400"/>
      <c r="AA96" s="1063"/>
      <c r="AB96" s="267"/>
      <c r="AC96" s="259"/>
      <c r="AD96" s="608"/>
      <c r="AE96" s="267"/>
      <c r="AF96" s="268"/>
      <c r="AG96" s="269">
        <f t="shared" si="12"/>
        <v>0</v>
      </c>
      <c r="AH96" s="271" t="e">
        <f t="shared" si="13"/>
        <v>#N/A</v>
      </c>
      <c r="AI96" s="272" t="e">
        <f>IF(AH96&lt;=1,"Remota",VLOOKUP(AH96,[71]Listas!$C$6:$D$10,2,0))</f>
        <v>#N/A</v>
      </c>
      <c r="AJ96" s="271" t="e">
        <f t="shared" si="14"/>
        <v>#N/A</v>
      </c>
      <c r="AK96" s="272" t="e">
        <f>IF(AJ96&lt;=1,"Insignificante",HLOOKUP(AJ96,[71]Listas!$F$3:$J$4,2,0))</f>
        <v>#N/A</v>
      </c>
      <c r="AL96" s="273" t="e">
        <f t="shared" si="15"/>
        <v>#N/A</v>
      </c>
      <c r="AM96" s="270" t="e">
        <f>INDEX([71]Listas!$F$6:$J$10,MATCH(AI96,[71]Listas!$D$6:$D$10,0),MATCH(AK96,[71]Listas!$F$4:$J$4,0))</f>
        <v>#N/A</v>
      </c>
      <c r="AN96" s="259"/>
      <c r="AO96" s="259"/>
      <c r="AP96" s="610"/>
      <c r="AQ96" s="259"/>
      <c r="AR96" s="259" t="s">
        <v>2343</v>
      </c>
      <c r="AS96" s="608"/>
      <c r="AT96" s="259"/>
      <c r="AU96" s="259"/>
      <c r="AV96" s="261"/>
      <c r="AW96" s="261"/>
      <c r="AX96" s="608"/>
      <c r="AY96" s="262"/>
    </row>
    <row r="97" spans="1:51" s="260" customFormat="1" ht="103.5" hidden="1" customHeight="1">
      <c r="A97" s="608"/>
      <c r="B97" s="266"/>
      <c r="C97" s="1399"/>
      <c r="D97" s="1408"/>
      <c r="E97" s="1400"/>
      <c r="F97" s="267"/>
      <c r="G97" s="1399"/>
      <c r="H97" s="1408"/>
      <c r="I97" s="1400"/>
      <c r="J97" s="1380"/>
      <c r="K97" s="1380"/>
      <c r="L97" s="1380"/>
      <c r="M97" s="608"/>
      <c r="N97" s="608"/>
      <c r="O97" s="608"/>
      <c r="P97" s="608"/>
      <c r="Q97" s="266"/>
      <c r="R97" s="266"/>
      <c r="S97" s="268"/>
      <c r="T97" s="269" t="e">
        <f>VLOOKUP(Q97,[71]Listas!$D$6:$E$10,2,0)</f>
        <v>#N/A</v>
      </c>
      <c r="U97" s="269" t="e">
        <f>HLOOKUP(R97,[71]Listas!$F$4:$J$5,2,0)</f>
        <v>#N/A</v>
      </c>
      <c r="V97" s="270" t="e">
        <f>INDEX([71]Listas!$F$6:$J$10,MATCH(Q97,[71]Listas!$D$6:$D$10,0),MATCH(R97,[71]Listas!$F$4:$J$4,0))</f>
        <v>#N/A</v>
      </c>
      <c r="W97" s="268"/>
      <c r="X97" s="1399"/>
      <c r="Y97" s="1408"/>
      <c r="Z97" s="1400"/>
      <c r="AA97" s="1063"/>
      <c r="AB97" s="267"/>
      <c r="AC97" s="259"/>
      <c r="AD97" s="608"/>
      <c r="AE97" s="267"/>
      <c r="AF97" s="268"/>
      <c r="AG97" s="269">
        <f t="shared" si="12"/>
        <v>0</v>
      </c>
      <c r="AH97" s="271" t="e">
        <f t="shared" si="13"/>
        <v>#N/A</v>
      </c>
      <c r="AI97" s="272" t="e">
        <f>IF(AH97&lt;=1,"Remota",VLOOKUP(AH97,[71]Listas!$C$6:$D$10,2,0))</f>
        <v>#N/A</v>
      </c>
      <c r="AJ97" s="271" t="e">
        <f t="shared" si="14"/>
        <v>#N/A</v>
      </c>
      <c r="AK97" s="272" t="e">
        <f>IF(AJ97&lt;=1,"Insignificante",HLOOKUP(AJ97,[71]Listas!$F$3:$J$4,2,0))</f>
        <v>#N/A</v>
      </c>
      <c r="AL97" s="273" t="e">
        <f t="shared" si="15"/>
        <v>#N/A</v>
      </c>
      <c r="AM97" s="270" t="e">
        <f>INDEX([71]Listas!$F$6:$J$10,MATCH(AI97,[71]Listas!$D$6:$D$10,0),MATCH(AK97,[71]Listas!$F$4:$J$4,0))</f>
        <v>#N/A</v>
      </c>
      <c r="AN97" s="259"/>
      <c r="AO97" s="259"/>
      <c r="AP97" s="610"/>
      <c r="AQ97" s="259"/>
      <c r="AR97" s="259" t="s">
        <v>2343</v>
      </c>
      <c r="AS97" s="608"/>
      <c r="AT97" s="259"/>
      <c r="AU97" s="259"/>
      <c r="AV97" s="261"/>
      <c r="AW97" s="261"/>
      <c r="AX97" s="608"/>
      <c r="AY97" s="262"/>
    </row>
    <row r="98" spans="1:51" s="260" customFormat="1" ht="103.5" hidden="1" customHeight="1">
      <c r="A98" s="608"/>
      <c r="B98" s="266"/>
      <c r="C98" s="1399"/>
      <c r="D98" s="1408"/>
      <c r="E98" s="1400"/>
      <c r="F98" s="267"/>
      <c r="G98" s="1399"/>
      <c r="H98" s="1408"/>
      <c r="I98" s="1400"/>
      <c r="J98" s="1380"/>
      <c r="K98" s="1380"/>
      <c r="L98" s="1380"/>
      <c r="M98" s="608"/>
      <c r="N98" s="608"/>
      <c r="O98" s="608"/>
      <c r="P98" s="608"/>
      <c r="Q98" s="266"/>
      <c r="R98" s="266"/>
      <c r="S98" s="268"/>
      <c r="T98" s="269" t="e">
        <f>VLOOKUP(Q98,[71]Listas!$D$6:$E$10,2,0)</f>
        <v>#N/A</v>
      </c>
      <c r="U98" s="269" t="e">
        <f>HLOOKUP(R98,[71]Listas!$F$4:$J$5,2,0)</f>
        <v>#N/A</v>
      </c>
      <c r="V98" s="270" t="e">
        <f>INDEX([71]Listas!$F$6:$J$10,MATCH(Q98,[71]Listas!$D$6:$D$10,0),MATCH(R98,[71]Listas!$F$4:$J$4,0))</f>
        <v>#N/A</v>
      </c>
      <c r="W98" s="268"/>
      <c r="X98" s="1399"/>
      <c r="Y98" s="1408"/>
      <c r="Z98" s="1400"/>
      <c r="AA98" s="1063"/>
      <c r="AB98" s="267"/>
      <c r="AC98" s="259"/>
      <c r="AD98" s="608"/>
      <c r="AE98" s="267"/>
      <c r="AF98" s="268"/>
      <c r="AG98" s="269">
        <f t="shared" si="12"/>
        <v>0</v>
      </c>
      <c r="AH98" s="271" t="e">
        <f t="shared" si="13"/>
        <v>#N/A</v>
      </c>
      <c r="AI98" s="272" t="e">
        <f>IF(AH98&lt;=1,"Remota",VLOOKUP(AH98,[71]Listas!$C$6:$D$10,2,0))</f>
        <v>#N/A</v>
      </c>
      <c r="AJ98" s="271" t="e">
        <f t="shared" si="14"/>
        <v>#N/A</v>
      </c>
      <c r="AK98" s="272" t="e">
        <f>IF(AJ98&lt;=1,"Insignificante",HLOOKUP(AJ98,[71]Listas!$F$3:$J$4,2,0))</f>
        <v>#N/A</v>
      </c>
      <c r="AL98" s="273" t="e">
        <f t="shared" si="15"/>
        <v>#N/A</v>
      </c>
      <c r="AM98" s="270" t="e">
        <f>INDEX([71]Listas!$F$6:$J$10,MATCH(AI98,[71]Listas!$D$6:$D$10,0),MATCH(AK98,[71]Listas!$F$4:$J$4,0))</f>
        <v>#N/A</v>
      </c>
      <c r="AN98" s="259"/>
      <c r="AO98" s="259"/>
      <c r="AP98" s="610"/>
      <c r="AQ98" s="259"/>
      <c r="AR98" s="259" t="s">
        <v>2343</v>
      </c>
      <c r="AS98" s="608"/>
      <c r="AT98" s="259"/>
      <c r="AU98" s="259"/>
      <c r="AV98" s="261"/>
      <c r="AW98" s="261"/>
      <c r="AX98" s="608"/>
      <c r="AY98" s="262"/>
    </row>
    <row r="99" spans="1:51" s="260" customFormat="1" ht="103.5" hidden="1" customHeight="1">
      <c r="A99" s="608"/>
      <c r="B99" s="266"/>
      <c r="C99" s="1399"/>
      <c r="D99" s="1408"/>
      <c r="E99" s="1400"/>
      <c r="F99" s="267"/>
      <c r="G99" s="1399"/>
      <c r="H99" s="1408"/>
      <c r="I99" s="1400"/>
      <c r="J99" s="1380"/>
      <c r="K99" s="1380"/>
      <c r="L99" s="1380"/>
      <c r="M99" s="608"/>
      <c r="N99" s="608"/>
      <c r="O99" s="608"/>
      <c r="P99" s="608"/>
      <c r="Q99" s="266"/>
      <c r="R99" s="266"/>
      <c r="S99" s="268"/>
      <c r="T99" s="269" t="e">
        <f>VLOOKUP(Q99,[71]Listas!$D$6:$E$10,2,0)</f>
        <v>#N/A</v>
      </c>
      <c r="U99" s="269" t="e">
        <f>HLOOKUP(R99,[71]Listas!$F$4:$J$5,2,0)</f>
        <v>#N/A</v>
      </c>
      <c r="V99" s="270" t="e">
        <f>INDEX([71]Listas!$F$6:$J$10,MATCH(Q99,[71]Listas!$D$6:$D$10,0),MATCH(R99,[71]Listas!$F$4:$J$4,0))</f>
        <v>#N/A</v>
      </c>
      <c r="W99" s="268"/>
      <c r="X99" s="1399"/>
      <c r="Y99" s="1408"/>
      <c r="Z99" s="1400"/>
      <c r="AA99" s="1063"/>
      <c r="AB99" s="267"/>
      <c r="AC99" s="259"/>
      <c r="AD99" s="608"/>
      <c r="AE99" s="267"/>
      <c r="AF99" s="268"/>
      <c r="AG99" s="269">
        <f t="shared" si="12"/>
        <v>0</v>
      </c>
      <c r="AH99" s="271" t="e">
        <f t="shared" si="13"/>
        <v>#N/A</v>
      </c>
      <c r="AI99" s="272" t="e">
        <f>IF(AH99&lt;=1,"Remota",VLOOKUP(AH99,[71]Listas!$C$6:$D$10,2,0))</f>
        <v>#N/A</v>
      </c>
      <c r="AJ99" s="271" t="e">
        <f t="shared" si="14"/>
        <v>#N/A</v>
      </c>
      <c r="AK99" s="272" t="e">
        <f>IF(AJ99&lt;=1,"Insignificante",HLOOKUP(AJ99,[71]Listas!$F$3:$J$4,2,0))</f>
        <v>#N/A</v>
      </c>
      <c r="AL99" s="273" t="e">
        <f t="shared" si="15"/>
        <v>#N/A</v>
      </c>
      <c r="AM99" s="270" t="e">
        <f>INDEX([71]Listas!$F$6:$J$10,MATCH(AI99,[71]Listas!$D$6:$D$10,0),MATCH(AK99,[71]Listas!$F$4:$J$4,0))</f>
        <v>#N/A</v>
      </c>
      <c r="AN99" s="259"/>
      <c r="AO99" s="259"/>
      <c r="AP99" s="610"/>
      <c r="AQ99" s="259"/>
      <c r="AR99" s="259" t="s">
        <v>2343</v>
      </c>
      <c r="AS99" s="608"/>
      <c r="AT99" s="259"/>
      <c r="AU99" s="259"/>
      <c r="AV99" s="261"/>
      <c r="AW99" s="261"/>
      <c r="AX99" s="608"/>
      <c r="AY99" s="262"/>
    </row>
    <row r="100" spans="1:51" s="260" customFormat="1" ht="103.5" hidden="1" customHeight="1">
      <c r="A100" s="608"/>
      <c r="B100" s="266"/>
      <c r="C100" s="1399"/>
      <c r="D100" s="1408"/>
      <c r="E100" s="1400"/>
      <c r="F100" s="267"/>
      <c r="G100" s="1399"/>
      <c r="H100" s="1408"/>
      <c r="I100" s="1400"/>
      <c r="J100" s="1380"/>
      <c r="K100" s="1380"/>
      <c r="L100" s="1380"/>
      <c r="M100" s="608"/>
      <c r="N100" s="608"/>
      <c r="O100" s="608"/>
      <c r="P100" s="608"/>
      <c r="Q100" s="266"/>
      <c r="R100" s="266"/>
      <c r="S100" s="268"/>
      <c r="T100" s="269" t="e">
        <f>VLOOKUP(Q100,[71]Listas!$D$6:$E$10,2,0)</f>
        <v>#N/A</v>
      </c>
      <c r="U100" s="269" t="e">
        <f>HLOOKUP(R100,[71]Listas!$F$4:$J$5,2,0)</f>
        <v>#N/A</v>
      </c>
      <c r="V100" s="270" t="e">
        <f>INDEX([71]Listas!$F$6:$J$10,MATCH(Q100,[71]Listas!$D$6:$D$10,0),MATCH(R100,[71]Listas!$F$4:$J$4,0))</f>
        <v>#N/A</v>
      </c>
      <c r="W100" s="268"/>
      <c r="X100" s="1399"/>
      <c r="Y100" s="1408"/>
      <c r="Z100" s="1400"/>
      <c r="AA100" s="1063"/>
      <c r="AB100" s="267"/>
      <c r="AC100" s="259"/>
      <c r="AD100" s="608"/>
      <c r="AE100" s="267"/>
      <c r="AF100" s="268"/>
      <c r="AG100" s="269">
        <f t="shared" si="12"/>
        <v>0</v>
      </c>
      <c r="AH100" s="271" t="e">
        <f t="shared" si="13"/>
        <v>#N/A</v>
      </c>
      <c r="AI100" s="272" t="e">
        <f>IF(AH100&lt;=1,"Remota",VLOOKUP(AH100,[71]Listas!$C$6:$D$10,2,0))</f>
        <v>#N/A</v>
      </c>
      <c r="AJ100" s="271" t="e">
        <f t="shared" si="14"/>
        <v>#N/A</v>
      </c>
      <c r="AK100" s="272" t="e">
        <f>IF(AJ100&lt;=1,"Insignificante",HLOOKUP(AJ100,[71]Listas!$F$3:$J$4,2,0))</f>
        <v>#N/A</v>
      </c>
      <c r="AL100" s="273" t="e">
        <f t="shared" si="15"/>
        <v>#N/A</v>
      </c>
      <c r="AM100" s="270" t="e">
        <f>INDEX([71]Listas!$F$6:$J$10,MATCH(AI100,[71]Listas!$D$6:$D$10,0),MATCH(AK100,[71]Listas!$F$4:$J$4,0))</f>
        <v>#N/A</v>
      </c>
      <c r="AN100" s="259"/>
      <c r="AO100" s="259"/>
      <c r="AP100" s="610"/>
      <c r="AQ100" s="259"/>
      <c r="AR100" s="259" t="s">
        <v>2343</v>
      </c>
      <c r="AS100" s="608"/>
      <c r="AT100" s="259"/>
      <c r="AU100" s="259"/>
      <c r="AV100" s="261"/>
      <c r="AW100" s="261"/>
      <c r="AX100" s="608"/>
      <c r="AY100" s="262"/>
    </row>
    <row r="101" spans="1:51" s="260" customFormat="1" ht="103.5" hidden="1" customHeight="1">
      <c r="A101" s="608"/>
      <c r="B101" s="266"/>
      <c r="C101" s="1399"/>
      <c r="D101" s="1408"/>
      <c r="E101" s="1400"/>
      <c r="F101" s="267"/>
      <c r="G101" s="1399"/>
      <c r="H101" s="1408"/>
      <c r="I101" s="1400"/>
      <c r="J101" s="1380"/>
      <c r="K101" s="1380"/>
      <c r="L101" s="1380"/>
      <c r="M101" s="608"/>
      <c r="N101" s="608"/>
      <c r="O101" s="608"/>
      <c r="P101" s="608"/>
      <c r="Q101" s="266"/>
      <c r="R101" s="266"/>
      <c r="S101" s="268"/>
      <c r="T101" s="269" t="e">
        <f>VLOOKUP(Q101,[71]Listas!$D$6:$E$10,2,0)</f>
        <v>#N/A</v>
      </c>
      <c r="U101" s="269" t="e">
        <f>HLOOKUP(R101,[71]Listas!$F$4:$J$5,2,0)</f>
        <v>#N/A</v>
      </c>
      <c r="V101" s="270" t="e">
        <f>INDEX([71]Listas!$F$6:$J$10,MATCH(Q101,[71]Listas!$D$6:$D$10,0),MATCH(R101,[71]Listas!$F$4:$J$4,0))</f>
        <v>#N/A</v>
      </c>
      <c r="W101" s="268"/>
      <c r="X101" s="1399"/>
      <c r="Y101" s="1408"/>
      <c r="Z101" s="1400"/>
      <c r="AA101" s="1063"/>
      <c r="AB101" s="267"/>
      <c r="AC101" s="259"/>
      <c r="AD101" s="608"/>
      <c r="AE101" s="267"/>
      <c r="AF101" s="268"/>
      <c r="AG101" s="269">
        <f t="shared" si="12"/>
        <v>0</v>
      </c>
      <c r="AH101" s="271" t="e">
        <f t="shared" si="13"/>
        <v>#N/A</v>
      </c>
      <c r="AI101" s="272" t="e">
        <f>IF(AH101&lt;=1,"Remota",VLOOKUP(AH101,[71]Listas!$C$6:$D$10,2,0))</f>
        <v>#N/A</v>
      </c>
      <c r="AJ101" s="271" t="e">
        <f t="shared" si="14"/>
        <v>#N/A</v>
      </c>
      <c r="AK101" s="272" t="e">
        <f>IF(AJ101&lt;=1,"Insignificante",HLOOKUP(AJ101,[71]Listas!$F$3:$J$4,2,0))</f>
        <v>#N/A</v>
      </c>
      <c r="AL101" s="273" t="e">
        <f t="shared" si="15"/>
        <v>#N/A</v>
      </c>
      <c r="AM101" s="270" t="e">
        <f>INDEX([71]Listas!$F$6:$J$10,MATCH(AI101,[71]Listas!$D$6:$D$10,0),MATCH(AK101,[71]Listas!$F$4:$J$4,0))</f>
        <v>#N/A</v>
      </c>
      <c r="AN101" s="259"/>
      <c r="AO101" s="259"/>
      <c r="AP101" s="610"/>
      <c r="AQ101" s="259"/>
      <c r="AR101" s="259" t="s">
        <v>2343</v>
      </c>
      <c r="AS101" s="608"/>
      <c r="AT101" s="259"/>
      <c r="AU101" s="259"/>
      <c r="AV101" s="261"/>
      <c r="AW101" s="261"/>
      <c r="AX101" s="608"/>
      <c r="AY101" s="262"/>
    </row>
    <row r="102" spans="1:51" s="260" customFormat="1" ht="103.5" hidden="1" customHeight="1">
      <c r="A102" s="608"/>
      <c r="B102" s="266"/>
      <c r="C102" s="1399"/>
      <c r="D102" s="1408"/>
      <c r="E102" s="1400"/>
      <c r="F102" s="267"/>
      <c r="G102" s="1399"/>
      <c r="H102" s="1408"/>
      <c r="I102" s="1400"/>
      <c r="J102" s="1380"/>
      <c r="K102" s="1380"/>
      <c r="L102" s="1380"/>
      <c r="M102" s="608"/>
      <c r="N102" s="608"/>
      <c r="O102" s="608"/>
      <c r="P102" s="608"/>
      <c r="Q102" s="266"/>
      <c r="R102" s="266"/>
      <c r="S102" s="268"/>
      <c r="T102" s="269" t="e">
        <f>VLOOKUP(Q102,[71]Listas!$D$6:$E$10,2,0)</f>
        <v>#N/A</v>
      </c>
      <c r="U102" s="269" t="e">
        <f>HLOOKUP(R102,[71]Listas!$F$4:$J$5,2,0)</f>
        <v>#N/A</v>
      </c>
      <c r="V102" s="270" t="e">
        <f>INDEX([71]Listas!$F$6:$J$10,MATCH(Q102,[71]Listas!$D$6:$D$10,0),MATCH(R102,[71]Listas!$F$4:$J$4,0))</f>
        <v>#N/A</v>
      </c>
      <c r="W102" s="268"/>
      <c r="X102" s="1399"/>
      <c r="Y102" s="1408"/>
      <c r="Z102" s="1400"/>
      <c r="AA102" s="1063"/>
      <c r="AB102" s="267"/>
      <c r="AC102" s="259"/>
      <c r="AD102" s="608"/>
      <c r="AE102" s="267"/>
      <c r="AF102" s="268"/>
      <c r="AG102" s="269">
        <f t="shared" si="12"/>
        <v>0</v>
      </c>
      <c r="AH102" s="271" t="e">
        <f t="shared" si="13"/>
        <v>#N/A</v>
      </c>
      <c r="AI102" s="272" t="e">
        <f>IF(AH102&lt;=1,"Remota",VLOOKUP(AH102,[71]Listas!$C$6:$D$10,2,0))</f>
        <v>#N/A</v>
      </c>
      <c r="AJ102" s="271" t="e">
        <f t="shared" si="14"/>
        <v>#N/A</v>
      </c>
      <c r="AK102" s="272" t="e">
        <f>IF(AJ102&lt;=1,"Insignificante",HLOOKUP(AJ102,[71]Listas!$F$3:$J$4,2,0))</f>
        <v>#N/A</v>
      </c>
      <c r="AL102" s="273" t="e">
        <f t="shared" si="15"/>
        <v>#N/A</v>
      </c>
      <c r="AM102" s="270" t="e">
        <f>INDEX([71]Listas!$F$6:$J$10,MATCH(AI102,[71]Listas!$D$6:$D$10,0),MATCH(AK102,[71]Listas!$F$4:$J$4,0))</f>
        <v>#N/A</v>
      </c>
      <c r="AN102" s="259"/>
      <c r="AO102" s="259"/>
      <c r="AP102" s="610"/>
      <c r="AQ102" s="259"/>
      <c r="AR102" s="259" t="s">
        <v>2343</v>
      </c>
      <c r="AS102" s="608"/>
      <c r="AT102" s="259"/>
      <c r="AU102" s="259"/>
      <c r="AV102" s="261"/>
      <c r="AW102" s="261"/>
      <c r="AX102" s="608"/>
      <c r="AY102" s="262"/>
    </row>
    <row r="103" spans="1:51" s="260" customFormat="1" ht="103.5" hidden="1" customHeight="1">
      <c r="A103" s="608"/>
      <c r="B103" s="266"/>
      <c r="C103" s="1399"/>
      <c r="D103" s="1408"/>
      <c r="E103" s="1400"/>
      <c r="F103" s="267"/>
      <c r="G103" s="1399"/>
      <c r="H103" s="1408"/>
      <c r="I103" s="1400"/>
      <c r="J103" s="1380"/>
      <c r="K103" s="1380"/>
      <c r="L103" s="1380"/>
      <c r="M103" s="608"/>
      <c r="N103" s="608"/>
      <c r="O103" s="608"/>
      <c r="P103" s="608"/>
      <c r="Q103" s="266"/>
      <c r="R103" s="266"/>
      <c r="S103" s="268"/>
      <c r="T103" s="269" t="e">
        <f>VLOOKUP(Q103,[71]Listas!$D$6:$E$10,2,0)</f>
        <v>#N/A</v>
      </c>
      <c r="U103" s="269" t="e">
        <f>HLOOKUP(R103,[71]Listas!$F$4:$J$5,2,0)</f>
        <v>#N/A</v>
      </c>
      <c r="V103" s="270" t="e">
        <f>INDEX([71]Listas!$F$6:$J$10,MATCH(Q103,[71]Listas!$D$6:$D$10,0),MATCH(R103,[71]Listas!$F$4:$J$4,0))</f>
        <v>#N/A</v>
      </c>
      <c r="W103" s="268"/>
      <c r="X103" s="1399"/>
      <c r="Y103" s="1408"/>
      <c r="Z103" s="1400"/>
      <c r="AA103" s="1063"/>
      <c r="AB103" s="267"/>
      <c r="AC103" s="259"/>
      <c r="AD103" s="608"/>
      <c r="AE103" s="267"/>
      <c r="AF103" s="268"/>
      <c r="AG103" s="269">
        <f t="shared" si="12"/>
        <v>0</v>
      </c>
      <c r="AH103" s="271" t="e">
        <f t="shared" si="13"/>
        <v>#N/A</v>
      </c>
      <c r="AI103" s="272" t="e">
        <f>IF(AH103&lt;=1,"Remota",VLOOKUP(AH103,[71]Listas!$C$6:$D$10,2,0))</f>
        <v>#N/A</v>
      </c>
      <c r="AJ103" s="271" t="e">
        <f t="shared" si="14"/>
        <v>#N/A</v>
      </c>
      <c r="AK103" s="272" t="e">
        <f>IF(AJ103&lt;=1,"Insignificante",HLOOKUP(AJ103,[71]Listas!$F$3:$J$4,2,0))</f>
        <v>#N/A</v>
      </c>
      <c r="AL103" s="273" t="e">
        <f t="shared" si="15"/>
        <v>#N/A</v>
      </c>
      <c r="AM103" s="270" t="e">
        <f>INDEX([71]Listas!$F$6:$J$10,MATCH(AI103,[71]Listas!$D$6:$D$10,0),MATCH(AK103,[71]Listas!$F$4:$J$4,0))</f>
        <v>#N/A</v>
      </c>
      <c r="AN103" s="259"/>
      <c r="AO103" s="259"/>
      <c r="AP103" s="610"/>
      <c r="AQ103" s="259"/>
      <c r="AR103" s="259" t="s">
        <v>2343</v>
      </c>
      <c r="AS103" s="608"/>
      <c r="AT103" s="259"/>
      <c r="AU103" s="259"/>
      <c r="AV103" s="261"/>
      <c r="AW103" s="261"/>
      <c r="AX103" s="608"/>
      <c r="AY103" s="262"/>
    </row>
    <row r="104" spans="1:51" s="260" customFormat="1" ht="103.5" hidden="1" customHeight="1">
      <c r="A104" s="608"/>
      <c r="B104" s="266"/>
      <c r="C104" s="1399"/>
      <c r="D104" s="1408"/>
      <c r="E104" s="1400"/>
      <c r="F104" s="267"/>
      <c r="G104" s="1399"/>
      <c r="H104" s="1408"/>
      <c r="I104" s="1400"/>
      <c r="J104" s="1380"/>
      <c r="K104" s="1380"/>
      <c r="L104" s="1380"/>
      <c r="M104" s="608"/>
      <c r="N104" s="608"/>
      <c r="O104" s="608"/>
      <c r="P104" s="608"/>
      <c r="Q104" s="266"/>
      <c r="R104" s="266"/>
      <c r="S104" s="268"/>
      <c r="T104" s="269" t="e">
        <f>VLOOKUP(Q104,[71]Listas!$D$6:$E$10,2,0)</f>
        <v>#N/A</v>
      </c>
      <c r="U104" s="269" t="e">
        <f>HLOOKUP(R104,[71]Listas!$F$4:$J$5,2,0)</f>
        <v>#N/A</v>
      </c>
      <c r="V104" s="270" t="e">
        <f>INDEX([71]Listas!$F$6:$J$10,MATCH(Q104,[71]Listas!$D$6:$D$10,0),MATCH(R104,[71]Listas!$F$4:$J$4,0))</f>
        <v>#N/A</v>
      </c>
      <c r="W104" s="268"/>
      <c r="X104" s="1399"/>
      <c r="Y104" s="1408"/>
      <c r="Z104" s="1400"/>
      <c r="AA104" s="1063"/>
      <c r="AB104" s="267"/>
      <c r="AC104" s="259"/>
      <c r="AD104" s="608"/>
      <c r="AE104" s="267"/>
      <c r="AF104" s="268"/>
      <c r="AG104" s="269">
        <f t="shared" si="12"/>
        <v>0</v>
      </c>
      <c r="AH104" s="271" t="e">
        <f t="shared" si="13"/>
        <v>#N/A</v>
      </c>
      <c r="AI104" s="272" t="e">
        <f>IF(AH104&lt;=1,"Remota",VLOOKUP(AH104,[71]Listas!$C$6:$D$10,2,0))</f>
        <v>#N/A</v>
      </c>
      <c r="AJ104" s="271" t="e">
        <f t="shared" si="14"/>
        <v>#N/A</v>
      </c>
      <c r="AK104" s="272" t="e">
        <f>IF(AJ104&lt;=1,"Insignificante",HLOOKUP(AJ104,[71]Listas!$F$3:$J$4,2,0))</f>
        <v>#N/A</v>
      </c>
      <c r="AL104" s="273" t="e">
        <f t="shared" si="15"/>
        <v>#N/A</v>
      </c>
      <c r="AM104" s="270" t="e">
        <f>INDEX([71]Listas!$F$6:$J$10,MATCH(AI104,[71]Listas!$D$6:$D$10,0),MATCH(AK104,[71]Listas!$F$4:$J$4,0))</f>
        <v>#N/A</v>
      </c>
      <c r="AN104" s="259"/>
      <c r="AO104" s="259"/>
      <c r="AP104" s="610"/>
      <c r="AQ104" s="259"/>
      <c r="AR104" s="259" t="s">
        <v>2343</v>
      </c>
      <c r="AS104" s="608"/>
      <c r="AT104" s="259"/>
      <c r="AU104" s="259"/>
      <c r="AV104" s="261"/>
      <c r="AW104" s="261"/>
      <c r="AX104" s="608"/>
      <c r="AY104" s="262"/>
    </row>
    <row r="105" spans="1:51" s="260" customFormat="1" ht="103.5" hidden="1" customHeight="1">
      <c r="A105" s="608"/>
      <c r="B105" s="266"/>
      <c r="C105" s="1399"/>
      <c r="D105" s="1408"/>
      <c r="E105" s="1400"/>
      <c r="F105" s="267"/>
      <c r="G105" s="1399"/>
      <c r="H105" s="1408"/>
      <c r="I105" s="1400"/>
      <c r="J105" s="1380"/>
      <c r="K105" s="1380"/>
      <c r="L105" s="1380"/>
      <c r="M105" s="608"/>
      <c r="N105" s="608"/>
      <c r="O105" s="608"/>
      <c r="P105" s="608"/>
      <c r="Q105" s="266"/>
      <c r="R105" s="266"/>
      <c r="S105" s="268"/>
      <c r="T105" s="269" t="e">
        <f>VLOOKUP(Q105,[71]Listas!$D$6:$E$10,2,0)</f>
        <v>#N/A</v>
      </c>
      <c r="U105" s="269" t="e">
        <f>HLOOKUP(R105,[71]Listas!$F$4:$J$5,2,0)</f>
        <v>#N/A</v>
      </c>
      <c r="V105" s="270" t="e">
        <f>INDEX([71]Listas!$F$6:$J$10,MATCH(Q105,[71]Listas!$D$6:$D$10,0),MATCH(R105,[71]Listas!$F$4:$J$4,0))</f>
        <v>#N/A</v>
      </c>
      <c r="W105" s="268"/>
      <c r="X105" s="1399"/>
      <c r="Y105" s="1408"/>
      <c r="Z105" s="1400"/>
      <c r="AA105" s="1063"/>
      <c r="AB105" s="267"/>
      <c r="AC105" s="259"/>
      <c r="AD105" s="608"/>
      <c r="AE105" s="267"/>
      <c r="AF105" s="268"/>
      <c r="AG105" s="269">
        <f t="shared" si="12"/>
        <v>0</v>
      </c>
      <c r="AH105" s="271" t="e">
        <f t="shared" si="13"/>
        <v>#N/A</v>
      </c>
      <c r="AI105" s="272" t="e">
        <f>IF(AH105&lt;=1,"Remota",VLOOKUP(AH105,[71]Listas!$C$6:$D$10,2,0))</f>
        <v>#N/A</v>
      </c>
      <c r="AJ105" s="271" t="e">
        <f t="shared" si="14"/>
        <v>#N/A</v>
      </c>
      <c r="AK105" s="272" t="e">
        <f>IF(AJ105&lt;=1,"Insignificante",HLOOKUP(AJ105,[71]Listas!$F$3:$J$4,2,0))</f>
        <v>#N/A</v>
      </c>
      <c r="AL105" s="273" t="e">
        <f t="shared" si="15"/>
        <v>#N/A</v>
      </c>
      <c r="AM105" s="270" t="e">
        <f>INDEX([71]Listas!$F$6:$J$10,MATCH(AI105,[71]Listas!$D$6:$D$10,0),MATCH(AK105,[71]Listas!$F$4:$J$4,0))</f>
        <v>#N/A</v>
      </c>
      <c r="AN105" s="259"/>
      <c r="AO105" s="259"/>
      <c r="AP105" s="610"/>
      <c r="AQ105" s="259"/>
      <c r="AR105" s="259" t="s">
        <v>2343</v>
      </c>
      <c r="AS105" s="608"/>
      <c r="AT105" s="259"/>
      <c r="AU105" s="259"/>
      <c r="AV105" s="261"/>
      <c r="AW105" s="261"/>
      <c r="AX105" s="608"/>
      <c r="AY105" s="262"/>
    </row>
    <row r="106" spans="1:51" s="260" customFormat="1" ht="103.5" hidden="1" customHeight="1">
      <c r="A106" s="608"/>
      <c r="B106" s="266"/>
      <c r="C106" s="1399"/>
      <c r="D106" s="1408"/>
      <c r="E106" s="1400"/>
      <c r="F106" s="267"/>
      <c r="G106" s="1399"/>
      <c r="H106" s="1408"/>
      <c r="I106" s="1400"/>
      <c r="J106" s="1380"/>
      <c r="K106" s="1380"/>
      <c r="L106" s="1380"/>
      <c r="M106" s="608"/>
      <c r="N106" s="608"/>
      <c r="O106" s="608"/>
      <c r="P106" s="608"/>
      <c r="Q106" s="266"/>
      <c r="R106" s="266"/>
      <c r="S106" s="268"/>
      <c r="T106" s="269" t="e">
        <f>VLOOKUP(Q106,[71]Listas!$D$6:$E$10,2,0)</f>
        <v>#N/A</v>
      </c>
      <c r="U106" s="269" t="e">
        <f>HLOOKUP(R106,[71]Listas!$F$4:$J$5,2,0)</f>
        <v>#N/A</v>
      </c>
      <c r="V106" s="270" t="e">
        <f>INDEX([71]Listas!$F$6:$J$10,MATCH(Q106,[71]Listas!$D$6:$D$10,0),MATCH(R106,[71]Listas!$F$4:$J$4,0))</f>
        <v>#N/A</v>
      </c>
      <c r="W106" s="268"/>
      <c r="X106" s="1399"/>
      <c r="Y106" s="1408"/>
      <c r="Z106" s="1400"/>
      <c r="AA106" s="1063"/>
      <c r="AB106" s="267"/>
      <c r="AC106" s="259"/>
      <c r="AD106" s="608"/>
      <c r="AE106" s="267"/>
      <c r="AF106" s="268"/>
      <c r="AG106" s="269">
        <f t="shared" si="12"/>
        <v>0</v>
      </c>
      <c r="AH106" s="271" t="e">
        <f t="shared" si="13"/>
        <v>#N/A</v>
      </c>
      <c r="AI106" s="272" t="e">
        <f>IF(AH106&lt;=1,"Remota",VLOOKUP(AH106,[71]Listas!$C$6:$D$10,2,0))</f>
        <v>#N/A</v>
      </c>
      <c r="AJ106" s="271" t="e">
        <f t="shared" si="14"/>
        <v>#N/A</v>
      </c>
      <c r="AK106" s="272" t="e">
        <f>IF(AJ106&lt;=1,"Insignificante",HLOOKUP(AJ106,[71]Listas!$F$3:$J$4,2,0))</f>
        <v>#N/A</v>
      </c>
      <c r="AL106" s="273" t="e">
        <f t="shared" si="15"/>
        <v>#N/A</v>
      </c>
      <c r="AM106" s="270" t="e">
        <f>INDEX([71]Listas!$F$6:$J$10,MATCH(AI106,[71]Listas!$D$6:$D$10,0),MATCH(AK106,[71]Listas!$F$4:$J$4,0))</f>
        <v>#N/A</v>
      </c>
      <c r="AN106" s="259"/>
      <c r="AO106" s="259"/>
      <c r="AP106" s="610"/>
      <c r="AQ106" s="259"/>
      <c r="AR106" s="259" t="s">
        <v>2343</v>
      </c>
      <c r="AS106" s="608"/>
      <c r="AT106" s="259"/>
      <c r="AU106" s="259"/>
      <c r="AV106" s="261"/>
      <c r="AW106" s="261"/>
      <c r="AX106" s="608"/>
      <c r="AY106" s="262"/>
    </row>
    <row r="107" spans="1:51" s="260" customFormat="1" ht="103.5" hidden="1" customHeight="1">
      <c r="A107" s="608"/>
      <c r="B107" s="266"/>
      <c r="C107" s="1399"/>
      <c r="D107" s="1408"/>
      <c r="E107" s="1400"/>
      <c r="F107" s="267"/>
      <c r="G107" s="1399"/>
      <c r="H107" s="1408"/>
      <c r="I107" s="1400"/>
      <c r="J107" s="1380"/>
      <c r="K107" s="1380"/>
      <c r="L107" s="1380"/>
      <c r="M107" s="608"/>
      <c r="N107" s="608"/>
      <c r="O107" s="608"/>
      <c r="P107" s="608"/>
      <c r="Q107" s="266"/>
      <c r="R107" s="266"/>
      <c r="S107" s="268"/>
      <c r="T107" s="269" t="e">
        <f>VLOOKUP(Q107,[71]Listas!$D$6:$E$10,2,0)</f>
        <v>#N/A</v>
      </c>
      <c r="U107" s="269" t="e">
        <f>HLOOKUP(R107,[71]Listas!$F$4:$J$5,2,0)</f>
        <v>#N/A</v>
      </c>
      <c r="V107" s="270" t="e">
        <f>INDEX([71]Listas!$F$6:$J$10,MATCH(Q107,[71]Listas!$D$6:$D$10,0),MATCH(R107,[71]Listas!$F$4:$J$4,0))</f>
        <v>#N/A</v>
      </c>
      <c r="W107" s="268"/>
      <c r="X107" s="1399"/>
      <c r="Y107" s="1408"/>
      <c r="Z107" s="1400"/>
      <c r="AA107" s="1063"/>
      <c r="AB107" s="267"/>
      <c r="AC107" s="259"/>
      <c r="AD107" s="608"/>
      <c r="AE107" s="267"/>
      <c r="AF107" s="268"/>
      <c r="AG107" s="269">
        <f t="shared" si="12"/>
        <v>0</v>
      </c>
      <c r="AH107" s="271" t="e">
        <f t="shared" si="13"/>
        <v>#N/A</v>
      </c>
      <c r="AI107" s="272" t="e">
        <f>IF(AH107&lt;=1,"Remota",VLOOKUP(AH107,[71]Listas!$C$6:$D$10,2,0))</f>
        <v>#N/A</v>
      </c>
      <c r="AJ107" s="271" t="e">
        <f t="shared" si="14"/>
        <v>#N/A</v>
      </c>
      <c r="AK107" s="272" t="e">
        <f>IF(AJ107&lt;=1,"Insignificante",HLOOKUP(AJ107,[71]Listas!$F$3:$J$4,2,0))</f>
        <v>#N/A</v>
      </c>
      <c r="AL107" s="273" t="e">
        <f t="shared" si="15"/>
        <v>#N/A</v>
      </c>
      <c r="AM107" s="270" t="e">
        <f>INDEX([71]Listas!$F$6:$J$10,MATCH(AI107,[71]Listas!$D$6:$D$10,0),MATCH(AK107,[71]Listas!$F$4:$J$4,0))</f>
        <v>#N/A</v>
      </c>
      <c r="AN107" s="259"/>
      <c r="AO107" s="259"/>
      <c r="AP107" s="610"/>
      <c r="AQ107" s="259"/>
      <c r="AR107" s="259" t="s">
        <v>2343</v>
      </c>
      <c r="AS107" s="608"/>
      <c r="AT107" s="259"/>
      <c r="AU107" s="259"/>
      <c r="AV107" s="261"/>
      <c r="AW107" s="261"/>
      <c r="AX107" s="608"/>
      <c r="AY107" s="262"/>
    </row>
    <row r="108" spans="1:51" s="260" customFormat="1" ht="103.5" hidden="1" customHeight="1">
      <c r="A108" s="608"/>
      <c r="B108" s="266"/>
      <c r="C108" s="1399"/>
      <c r="D108" s="1408"/>
      <c r="E108" s="1400"/>
      <c r="F108" s="267"/>
      <c r="G108" s="1399"/>
      <c r="H108" s="1408"/>
      <c r="I108" s="1400"/>
      <c r="J108" s="1380"/>
      <c r="K108" s="1380"/>
      <c r="L108" s="1380"/>
      <c r="M108" s="608"/>
      <c r="N108" s="608"/>
      <c r="O108" s="608"/>
      <c r="P108" s="608"/>
      <c r="Q108" s="266"/>
      <c r="R108" s="266"/>
      <c r="S108" s="268"/>
      <c r="T108" s="269" t="e">
        <f>VLOOKUP(Q108,[71]Listas!$D$6:$E$10,2,0)</f>
        <v>#N/A</v>
      </c>
      <c r="U108" s="269" t="e">
        <f>HLOOKUP(R108,[71]Listas!$F$4:$J$5,2,0)</f>
        <v>#N/A</v>
      </c>
      <c r="V108" s="270" t="e">
        <f>INDEX([71]Listas!$F$6:$J$10,MATCH(Q108,[71]Listas!$D$6:$D$10,0),MATCH(R108,[71]Listas!$F$4:$J$4,0))</f>
        <v>#N/A</v>
      </c>
      <c r="W108" s="268"/>
      <c r="X108" s="1399"/>
      <c r="Y108" s="1408"/>
      <c r="Z108" s="1400"/>
      <c r="AA108" s="1063"/>
      <c r="AB108" s="267"/>
      <c r="AC108" s="259"/>
      <c r="AD108" s="608"/>
      <c r="AE108" s="267"/>
      <c r="AF108" s="268"/>
      <c r="AG108" s="269">
        <f t="shared" si="12"/>
        <v>0</v>
      </c>
      <c r="AH108" s="271" t="e">
        <f t="shared" si="13"/>
        <v>#N/A</v>
      </c>
      <c r="AI108" s="272" t="e">
        <f>IF(AH108&lt;=1,"Remota",VLOOKUP(AH108,[71]Listas!$C$6:$D$10,2,0))</f>
        <v>#N/A</v>
      </c>
      <c r="AJ108" s="271" t="e">
        <f t="shared" si="14"/>
        <v>#N/A</v>
      </c>
      <c r="AK108" s="272" t="e">
        <f>IF(AJ108&lt;=1,"Insignificante",HLOOKUP(AJ108,[71]Listas!$F$3:$J$4,2,0))</f>
        <v>#N/A</v>
      </c>
      <c r="AL108" s="273" t="e">
        <f t="shared" si="15"/>
        <v>#N/A</v>
      </c>
      <c r="AM108" s="270" t="e">
        <f>INDEX([71]Listas!$F$6:$J$10,MATCH(AI108,[71]Listas!$D$6:$D$10,0),MATCH(AK108,[71]Listas!$F$4:$J$4,0))</f>
        <v>#N/A</v>
      </c>
      <c r="AN108" s="259"/>
      <c r="AO108" s="259"/>
      <c r="AP108" s="610"/>
      <c r="AQ108" s="259"/>
      <c r="AR108" s="259" t="s">
        <v>2343</v>
      </c>
      <c r="AS108" s="608"/>
      <c r="AT108" s="259"/>
      <c r="AU108" s="259"/>
      <c r="AV108" s="261"/>
      <c r="AW108" s="261"/>
      <c r="AX108" s="608"/>
      <c r="AY108" s="262"/>
    </row>
    <row r="109" spans="1:51" s="260" customFormat="1" ht="103.5" hidden="1" customHeight="1">
      <c r="A109" s="608"/>
      <c r="B109" s="266"/>
      <c r="C109" s="1399"/>
      <c r="D109" s="1408"/>
      <c r="E109" s="1400"/>
      <c r="F109" s="267"/>
      <c r="G109" s="1399"/>
      <c r="H109" s="1408"/>
      <c r="I109" s="1400"/>
      <c r="J109" s="1380"/>
      <c r="K109" s="1380"/>
      <c r="L109" s="1380"/>
      <c r="M109" s="608"/>
      <c r="N109" s="608"/>
      <c r="O109" s="608"/>
      <c r="P109" s="608"/>
      <c r="Q109" s="266"/>
      <c r="R109" s="266"/>
      <c r="S109" s="268"/>
      <c r="T109" s="269" t="e">
        <f>VLOOKUP(Q109,[71]Listas!$D$6:$E$10,2,0)</f>
        <v>#N/A</v>
      </c>
      <c r="U109" s="269" t="e">
        <f>HLOOKUP(R109,[71]Listas!$F$4:$J$5,2,0)</f>
        <v>#N/A</v>
      </c>
      <c r="V109" s="270" t="e">
        <f>INDEX([71]Listas!$F$6:$J$10,MATCH(Q109,[71]Listas!$D$6:$D$10,0),MATCH(R109,[71]Listas!$F$4:$J$4,0))</f>
        <v>#N/A</v>
      </c>
      <c r="W109" s="268"/>
      <c r="X109" s="1399"/>
      <c r="Y109" s="1408"/>
      <c r="Z109" s="1400"/>
      <c r="AA109" s="1063"/>
      <c r="AB109" s="267"/>
      <c r="AC109" s="259"/>
      <c r="AD109" s="608"/>
      <c r="AE109" s="267"/>
      <c r="AF109" s="268"/>
      <c r="AG109" s="269">
        <f t="shared" si="12"/>
        <v>0</v>
      </c>
      <c r="AH109" s="271" t="e">
        <f t="shared" si="13"/>
        <v>#N/A</v>
      </c>
      <c r="AI109" s="272" t="e">
        <f>IF(AH109&lt;=1,"Remota",VLOOKUP(AH109,[71]Listas!$C$6:$D$10,2,0))</f>
        <v>#N/A</v>
      </c>
      <c r="AJ109" s="271" t="e">
        <f t="shared" si="14"/>
        <v>#N/A</v>
      </c>
      <c r="AK109" s="272" t="e">
        <f>IF(AJ109&lt;=1,"Insignificante",HLOOKUP(AJ109,[71]Listas!$F$3:$J$4,2,0))</f>
        <v>#N/A</v>
      </c>
      <c r="AL109" s="273" t="e">
        <f t="shared" si="15"/>
        <v>#N/A</v>
      </c>
      <c r="AM109" s="270" t="e">
        <f>INDEX([71]Listas!$F$6:$J$10,MATCH(AI109,[71]Listas!$D$6:$D$10,0),MATCH(AK109,[71]Listas!$F$4:$J$4,0))</f>
        <v>#N/A</v>
      </c>
      <c r="AN109" s="259"/>
      <c r="AO109" s="259"/>
      <c r="AP109" s="610"/>
      <c r="AQ109" s="259"/>
      <c r="AR109" s="259" t="s">
        <v>2343</v>
      </c>
      <c r="AS109" s="608"/>
      <c r="AT109" s="259"/>
      <c r="AU109" s="259"/>
      <c r="AV109" s="261"/>
      <c r="AW109" s="261"/>
      <c r="AX109" s="608"/>
      <c r="AY109" s="262"/>
    </row>
    <row r="110" spans="1:51" s="260" customFormat="1" ht="103.5" hidden="1" customHeight="1">
      <c r="A110" s="608"/>
      <c r="B110" s="266"/>
      <c r="C110" s="1399"/>
      <c r="D110" s="1408"/>
      <c r="E110" s="1400"/>
      <c r="F110" s="267"/>
      <c r="G110" s="1399"/>
      <c r="H110" s="1408"/>
      <c r="I110" s="1400"/>
      <c r="J110" s="1380"/>
      <c r="K110" s="1380"/>
      <c r="L110" s="1380"/>
      <c r="M110" s="608"/>
      <c r="N110" s="608"/>
      <c r="O110" s="608"/>
      <c r="P110" s="608"/>
      <c r="Q110" s="266"/>
      <c r="R110" s="266"/>
      <c r="S110" s="268"/>
      <c r="T110" s="269" t="e">
        <f>VLOOKUP(Q110,[71]Listas!$D$6:$E$10,2,0)</f>
        <v>#N/A</v>
      </c>
      <c r="U110" s="269" t="e">
        <f>HLOOKUP(R110,[71]Listas!$F$4:$J$5,2,0)</f>
        <v>#N/A</v>
      </c>
      <c r="V110" s="270" t="e">
        <f>INDEX([71]Listas!$F$6:$J$10,MATCH(Q110,[71]Listas!$D$6:$D$10,0),MATCH(R110,[71]Listas!$F$4:$J$4,0))</f>
        <v>#N/A</v>
      </c>
      <c r="W110" s="268"/>
      <c r="X110" s="1399"/>
      <c r="Y110" s="1408"/>
      <c r="Z110" s="1400"/>
      <c r="AA110" s="1063"/>
      <c r="AB110" s="267"/>
      <c r="AC110" s="259"/>
      <c r="AD110" s="608"/>
      <c r="AE110" s="267"/>
      <c r="AF110" s="268"/>
      <c r="AG110" s="269">
        <f t="shared" si="12"/>
        <v>0</v>
      </c>
      <c r="AH110" s="271" t="e">
        <f t="shared" si="13"/>
        <v>#N/A</v>
      </c>
      <c r="AI110" s="272" t="e">
        <f>IF(AH110&lt;=1,"Remota",VLOOKUP(AH110,[71]Listas!$C$6:$D$10,2,0))</f>
        <v>#N/A</v>
      </c>
      <c r="AJ110" s="271" t="e">
        <f t="shared" si="14"/>
        <v>#N/A</v>
      </c>
      <c r="AK110" s="272" t="e">
        <f>IF(AJ110&lt;=1,"Insignificante",HLOOKUP(AJ110,[71]Listas!$F$3:$J$4,2,0))</f>
        <v>#N/A</v>
      </c>
      <c r="AL110" s="273" t="e">
        <f t="shared" si="15"/>
        <v>#N/A</v>
      </c>
      <c r="AM110" s="270" t="e">
        <f>INDEX([71]Listas!$F$6:$J$10,MATCH(AI110,[71]Listas!$D$6:$D$10,0),MATCH(AK110,[71]Listas!$F$4:$J$4,0))</f>
        <v>#N/A</v>
      </c>
      <c r="AN110" s="259"/>
      <c r="AO110" s="259"/>
      <c r="AP110" s="610"/>
      <c r="AQ110" s="259"/>
      <c r="AR110" s="259" t="s">
        <v>2343</v>
      </c>
      <c r="AS110" s="608"/>
      <c r="AT110" s="259"/>
      <c r="AU110" s="259"/>
      <c r="AV110" s="261"/>
      <c r="AW110" s="261"/>
      <c r="AX110" s="608"/>
      <c r="AY110" s="262"/>
    </row>
    <row r="111" spans="1:51" s="260" customFormat="1" ht="103.5" hidden="1" customHeight="1">
      <c r="A111" s="608"/>
      <c r="B111" s="266"/>
      <c r="C111" s="1399"/>
      <c r="D111" s="1408"/>
      <c r="E111" s="1400"/>
      <c r="F111" s="267"/>
      <c r="G111" s="1399"/>
      <c r="H111" s="1408"/>
      <c r="I111" s="1400"/>
      <c r="J111" s="1380"/>
      <c r="K111" s="1380"/>
      <c r="L111" s="1380"/>
      <c r="M111" s="608"/>
      <c r="N111" s="608"/>
      <c r="O111" s="608"/>
      <c r="P111" s="608"/>
      <c r="Q111" s="266"/>
      <c r="R111" s="266"/>
      <c r="S111" s="268"/>
      <c r="T111" s="269" t="e">
        <f>VLOOKUP(Q111,[71]Listas!$D$6:$E$10,2,0)</f>
        <v>#N/A</v>
      </c>
      <c r="U111" s="269" t="e">
        <f>HLOOKUP(R111,[71]Listas!$F$4:$J$5,2,0)</f>
        <v>#N/A</v>
      </c>
      <c r="V111" s="270" t="e">
        <f>INDEX([71]Listas!$F$6:$J$10,MATCH(Q111,[71]Listas!$D$6:$D$10,0),MATCH(R111,[71]Listas!$F$4:$J$4,0))</f>
        <v>#N/A</v>
      </c>
      <c r="W111" s="268"/>
      <c r="X111" s="1399"/>
      <c r="Y111" s="1408"/>
      <c r="Z111" s="1400"/>
      <c r="AA111" s="1063"/>
      <c r="AB111" s="267"/>
      <c r="AC111" s="259"/>
      <c r="AD111" s="608"/>
      <c r="AE111" s="267"/>
      <c r="AF111" s="268"/>
      <c r="AG111" s="269">
        <f t="shared" si="12"/>
        <v>0</v>
      </c>
      <c r="AH111" s="271" t="e">
        <f t="shared" si="13"/>
        <v>#N/A</v>
      </c>
      <c r="AI111" s="272" t="e">
        <f>IF(AH111&lt;=1,"Remota",VLOOKUP(AH111,[71]Listas!$C$6:$D$10,2,0))</f>
        <v>#N/A</v>
      </c>
      <c r="AJ111" s="271" t="e">
        <f t="shared" si="14"/>
        <v>#N/A</v>
      </c>
      <c r="AK111" s="272" t="e">
        <f>IF(AJ111&lt;=1,"Insignificante",HLOOKUP(AJ111,[71]Listas!$F$3:$J$4,2,0))</f>
        <v>#N/A</v>
      </c>
      <c r="AL111" s="273" t="e">
        <f t="shared" si="15"/>
        <v>#N/A</v>
      </c>
      <c r="AM111" s="270" t="e">
        <f>INDEX([71]Listas!$F$6:$J$10,MATCH(AI111,[71]Listas!$D$6:$D$10,0),MATCH(AK111,[71]Listas!$F$4:$J$4,0))</f>
        <v>#N/A</v>
      </c>
      <c r="AN111" s="259"/>
      <c r="AO111" s="259"/>
      <c r="AP111" s="610"/>
      <c r="AQ111" s="259"/>
      <c r="AR111" s="259" t="s">
        <v>2343</v>
      </c>
      <c r="AS111" s="608"/>
      <c r="AT111" s="259"/>
      <c r="AU111" s="259"/>
      <c r="AV111" s="261"/>
      <c r="AW111" s="261"/>
      <c r="AX111" s="608"/>
      <c r="AY111" s="262"/>
    </row>
    <row r="112" spans="1:51" s="260" customFormat="1" ht="103.5" hidden="1" customHeight="1">
      <c r="A112" s="608"/>
      <c r="B112" s="266"/>
      <c r="C112" s="1399"/>
      <c r="D112" s="1408"/>
      <c r="E112" s="1400"/>
      <c r="F112" s="267"/>
      <c r="G112" s="1399"/>
      <c r="H112" s="1408"/>
      <c r="I112" s="1400"/>
      <c r="J112" s="1380"/>
      <c r="K112" s="1380"/>
      <c r="L112" s="1380"/>
      <c r="M112" s="608"/>
      <c r="N112" s="608"/>
      <c r="O112" s="608"/>
      <c r="P112" s="608"/>
      <c r="Q112" s="266"/>
      <c r="R112" s="266"/>
      <c r="S112" s="268"/>
      <c r="T112" s="269" t="e">
        <f>VLOOKUP(Q112,[71]Listas!$D$6:$E$10,2,0)</f>
        <v>#N/A</v>
      </c>
      <c r="U112" s="269" t="e">
        <f>HLOOKUP(R112,[71]Listas!$F$4:$J$5,2,0)</f>
        <v>#N/A</v>
      </c>
      <c r="V112" s="270" t="e">
        <f>INDEX([71]Listas!$F$6:$J$10,MATCH(Q112,[71]Listas!$D$6:$D$10,0),MATCH(R112,[71]Listas!$F$4:$J$4,0))</f>
        <v>#N/A</v>
      </c>
      <c r="W112" s="268"/>
      <c r="X112" s="1399"/>
      <c r="Y112" s="1408"/>
      <c r="Z112" s="1400"/>
      <c r="AA112" s="1063"/>
      <c r="AB112" s="267"/>
      <c r="AC112" s="259"/>
      <c r="AD112" s="608"/>
      <c r="AE112" s="267"/>
      <c r="AF112" s="268"/>
      <c r="AG112" s="269">
        <f t="shared" si="12"/>
        <v>0</v>
      </c>
      <c r="AH112" s="271" t="e">
        <f t="shared" si="13"/>
        <v>#N/A</v>
      </c>
      <c r="AI112" s="272" t="e">
        <f>IF(AH112&lt;=1,"Remota",VLOOKUP(AH112,[71]Listas!$C$6:$D$10,2,0))</f>
        <v>#N/A</v>
      </c>
      <c r="AJ112" s="271" t="e">
        <f t="shared" si="14"/>
        <v>#N/A</v>
      </c>
      <c r="AK112" s="272" t="e">
        <f>IF(AJ112&lt;=1,"Insignificante",HLOOKUP(AJ112,[71]Listas!$F$3:$J$4,2,0))</f>
        <v>#N/A</v>
      </c>
      <c r="AL112" s="273" t="e">
        <f t="shared" si="15"/>
        <v>#N/A</v>
      </c>
      <c r="AM112" s="270" t="e">
        <f>INDEX([71]Listas!$F$6:$J$10,MATCH(AI112,[71]Listas!$D$6:$D$10,0),MATCH(AK112,[71]Listas!$F$4:$J$4,0))</f>
        <v>#N/A</v>
      </c>
      <c r="AN112" s="259"/>
      <c r="AO112" s="259"/>
      <c r="AP112" s="610"/>
      <c r="AQ112" s="259"/>
      <c r="AR112" s="259" t="s">
        <v>2343</v>
      </c>
      <c r="AS112" s="608"/>
      <c r="AT112" s="259"/>
      <c r="AU112" s="259"/>
      <c r="AV112" s="261"/>
      <c r="AW112" s="261"/>
      <c r="AX112" s="608"/>
      <c r="AY112" s="262"/>
    </row>
    <row r="113" spans="1:51" s="260" customFormat="1" ht="103.5" hidden="1" customHeight="1">
      <c r="A113" s="608"/>
      <c r="B113" s="266"/>
      <c r="C113" s="1399"/>
      <c r="D113" s="1408"/>
      <c r="E113" s="1400"/>
      <c r="F113" s="267"/>
      <c r="G113" s="1399"/>
      <c r="H113" s="1408"/>
      <c r="I113" s="1400"/>
      <c r="J113" s="1380"/>
      <c r="K113" s="1380"/>
      <c r="L113" s="1380"/>
      <c r="M113" s="608"/>
      <c r="N113" s="608"/>
      <c r="O113" s="608"/>
      <c r="P113" s="608"/>
      <c r="Q113" s="266"/>
      <c r="R113" s="266"/>
      <c r="S113" s="268"/>
      <c r="T113" s="269" t="e">
        <f>VLOOKUP(Q113,[71]Listas!$D$6:$E$10,2,0)</f>
        <v>#N/A</v>
      </c>
      <c r="U113" s="269" t="e">
        <f>HLOOKUP(R113,[71]Listas!$F$4:$J$5,2,0)</f>
        <v>#N/A</v>
      </c>
      <c r="V113" s="270" t="e">
        <f>INDEX([71]Listas!$F$6:$J$10,MATCH(Q113,[71]Listas!$D$6:$D$10,0),MATCH(R113,[71]Listas!$F$4:$J$4,0))</f>
        <v>#N/A</v>
      </c>
      <c r="W113" s="268"/>
      <c r="X113" s="1399"/>
      <c r="Y113" s="1408"/>
      <c r="Z113" s="1400"/>
      <c r="AA113" s="1063"/>
      <c r="AB113" s="267"/>
      <c r="AC113" s="259"/>
      <c r="AD113" s="608"/>
      <c r="AE113" s="267"/>
      <c r="AF113" s="268"/>
      <c r="AG113" s="269">
        <f t="shared" si="12"/>
        <v>0</v>
      </c>
      <c r="AH113" s="271" t="e">
        <f t="shared" si="13"/>
        <v>#N/A</v>
      </c>
      <c r="AI113" s="272" t="e">
        <f>IF(AH113&lt;=1,"Remota",VLOOKUP(AH113,[71]Listas!$C$6:$D$10,2,0))</f>
        <v>#N/A</v>
      </c>
      <c r="AJ113" s="271" t="e">
        <f t="shared" si="14"/>
        <v>#N/A</v>
      </c>
      <c r="AK113" s="272" t="e">
        <f>IF(AJ113&lt;=1,"Insignificante",HLOOKUP(AJ113,[71]Listas!$F$3:$J$4,2,0))</f>
        <v>#N/A</v>
      </c>
      <c r="AL113" s="273" t="e">
        <f t="shared" si="15"/>
        <v>#N/A</v>
      </c>
      <c r="AM113" s="270" t="e">
        <f>INDEX([71]Listas!$F$6:$J$10,MATCH(AI113,[71]Listas!$D$6:$D$10,0),MATCH(AK113,[71]Listas!$F$4:$J$4,0))</f>
        <v>#N/A</v>
      </c>
      <c r="AN113" s="259"/>
      <c r="AO113" s="259"/>
      <c r="AP113" s="610"/>
      <c r="AQ113" s="259"/>
      <c r="AR113" s="259" t="s">
        <v>2343</v>
      </c>
      <c r="AS113" s="608"/>
      <c r="AT113" s="259"/>
      <c r="AU113" s="259"/>
      <c r="AV113" s="261"/>
      <c r="AW113" s="261"/>
      <c r="AX113" s="608"/>
      <c r="AY113" s="262"/>
    </row>
    <row r="114" spans="1:51" s="260" customFormat="1" ht="103.5" hidden="1" customHeight="1">
      <c r="A114" s="608"/>
      <c r="B114" s="266"/>
      <c r="C114" s="1399"/>
      <c r="D114" s="1408"/>
      <c r="E114" s="1400"/>
      <c r="F114" s="267"/>
      <c r="G114" s="1399"/>
      <c r="H114" s="1408"/>
      <c r="I114" s="1400"/>
      <c r="J114" s="1380"/>
      <c r="K114" s="1380"/>
      <c r="L114" s="1380"/>
      <c r="M114" s="608"/>
      <c r="N114" s="608"/>
      <c r="O114" s="608"/>
      <c r="P114" s="608"/>
      <c r="Q114" s="266"/>
      <c r="R114" s="266"/>
      <c r="S114" s="268"/>
      <c r="T114" s="269" t="e">
        <f>VLOOKUP(Q114,[71]Listas!$D$6:$E$10,2,0)</f>
        <v>#N/A</v>
      </c>
      <c r="U114" s="269" t="e">
        <f>HLOOKUP(R114,[71]Listas!$F$4:$J$5,2,0)</f>
        <v>#N/A</v>
      </c>
      <c r="V114" s="270" t="e">
        <f>INDEX([71]Listas!$F$6:$J$10,MATCH(Q114,[71]Listas!$D$6:$D$10,0),MATCH(R114,[71]Listas!$F$4:$J$4,0))</f>
        <v>#N/A</v>
      </c>
      <c r="W114" s="268"/>
      <c r="X114" s="1399"/>
      <c r="Y114" s="1408"/>
      <c r="Z114" s="1400"/>
      <c r="AA114" s="1063"/>
      <c r="AB114" s="267"/>
      <c r="AC114" s="259"/>
      <c r="AD114" s="608"/>
      <c r="AE114" s="267"/>
      <c r="AF114" s="268"/>
      <c r="AG114" s="269">
        <f t="shared" si="12"/>
        <v>0</v>
      </c>
      <c r="AH114" s="271" t="e">
        <f t="shared" si="13"/>
        <v>#N/A</v>
      </c>
      <c r="AI114" s="272" t="e">
        <f>IF(AH114&lt;=1,"Remota",VLOOKUP(AH114,[71]Listas!$C$6:$D$10,2,0))</f>
        <v>#N/A</v>
      </c>
      <c r="AJ114" s="271" t="e">
        <f t="shared" si="14"/>
        <v>#N/A</v>
      </c>
      <c r="AK114" s="272" t="e">
        <f>IF(AJ114&lt;=1,"Insignificante",HLOOKUP(AJ114,[71]Listas!$F$3:$J$4,2,0))</f>
        <v>#N/A</v>
      </c>
      <c r="AL114" s="273" t="e">
        <f t="shared" si="15"/>
        <v>#N/A</v>
      </c>
      <c r="AM114" s="270" t="e">
        <f>INDEX([71]Listas!$F$6:$J$10,MATCH(AI114,[71]Listas!$D$6:$D$10,0),MATCH(AK114,[71]Listas!$F$4:$J$4,0))</f>
        <v>#N/A</v>
      </c>
      <c r="AN114" s="259"/>
      <c r="AO114" s="259"/>
      <c r="AP114" s="610"/>
      <c r="AQ114" s="259"/>
      <c r="AR114" s="259" t="s">
        <v>2343</v>
      </c>
      <c r="AS114" s="608"/>
      <c r="AT114" s="259"/>
      <c r="AU114" s="259"/>
      <c r="AV114" s="261"/>
      <c r="AW114" s="261"/>
      <c r="AX114" s="608"/>
      <c r="AY114" s="262"/>
    </row>
    <row r="115" spans="1:51" s="260" customFormat="1" ht="103.5" hidden="1" customHeight="1">
      <c r="A115" s="608"/>
      <c r="B115" s="266"/>
      <c r="C115" s="1399"/>
      <c r="D115" s="1408"/>
      <c r="E115" s="1400"/>
      <c r="F115" s="267"/>
      <c r="G115" s="1399"/>
      <c r="H115" s="1408"/>
      <c r="I115" s="1400"/>
      <c r="J115" s="1380"/>
      <c r="K115" s="1380"/>
      <c r="L115" s="1380"/>
      <c r="M115" s="608"/>
      <c r="N115" s="608"/>
      <c r="O115" s="608"/>
      <c r="P115" s="608"/>
      <c r="Q115" s="266"/>
      <c r="R115" s="266"/>
      <c r="S115" s="268"/>
      <c r="T115" s="269" t="e">
        <f>VLOOKUP(Q115,[71]Listas!$D$6:$E$10,2,0)</f>
        <v>#N/A</v>
      </c>
      <c r="U115" s="269" t="e">
        <f>HLOOKUP(R115,[71]Listas!$F$4:$J$5,2,0)</f>
        <v>#N/A</v>
      </c>
      <c r="V115" s="270" t="e">
        <f>INDEX([71]Listas!$F$6:$J$10,MATCH(Q115,[71]Listas!$D$6:$D$10,0),MATCH(R115,[71]Listas!$F$4:$J$4,0))</f>
        <v>#N/A</v>
      </c>
      <c r="W115" s="268"/>
      <c r="X115" s="1399"/>
      <c r="Y115" s="1408"/>
      <c r="Z115" s="1400"/>
      <c r="AA115" s="1063"/>
      <c r="AB115" s="267"/>
      <c r="AC115" s="259"/>
      <c r="AD115" s="608"/>
      <c r="AE115" s="267"/>
      <c r="AF115" s="268"/>
      <c r="AG115" s="269">
        <f t="shared" si="12"/>
        <v>0</v>
      </c>
      <c r="AH115" s="271" t="e">
        <f t="shared" si="13"/>
        <v>#N/A</v>
      </c>
      <c r="AI115" s="272" t="e">
        <f>IF(AH115&lt;=1,"Remota",VLOOKUP(AH115,[71]Listas!$C$6:$D$10,2,0))</f>
        <v>#N/A</v>
      </c>
      <c r="AJ115" s="271" t="e">
        <f t="shared" si="14"/>
        <v>#N/A</v>
      </c>
      <c r="AK115" s="272" t="e">
        <f>IF(AJ115&lt;=1,"Insignificante",HLOOKUP(AJ115,[71]Listas!$F$3:$J$4,2,0))</f>
        <v>#N/A</v>
      </c>
      <c r="AL115" s="273" t="e">
        <f t="shared" si="15"/>
        <v>#N/A</v>
      </c>
      <c r="AM115" s="270" t="e">
        <f>INDEX([71]Listas!$F$6:$J$10,MATCH(AI115,[71]Listas!$D$6:$D$10,0),MATCH(AK115,[71]Listas!$F$4:$J$4,0))</f>
        <v>#N/A</v>
      </c>
      <c r="AN115" s="259"/>
      <c r="AO115" s="259"/>
      <c r="AP115" s="610"/>
      <c r="AQ115" s="259"/>
      <c r="AR115" s="259" t="s">
        <v>2343</v>
      </c>
      <c r="AS115" s="608"/>
      <c r="AT115" s="259"/>
      <c r="AU115" s="259"/>
      <c r="AV115" s="261"/>
      <c r="AW115" s="261"/>
      <c r="AX115" s="608"/>
      <c r="AY115" s="262"/>
    </row>
    <row r="116" spans="1:51" s="260" customFormat="1" ht="103.5" hidden="1" customHeight="1">
      <c r="A116" s="608"/>
      <c r="B116" s="266"/>
      <c r="C116" s="1399"/>
      <c r="D116" s="1408"/>
      <c r="E116" s="1400"/>
      <c r="F116" s="267"/>
      <c r="G116" s="1399"/>
      <c r="H116" s="1408"/>
      <c r="I116" s="1400"/>
      <c r="J116" s="1380"/>
      <c r="K116" s="1380"/>
      <c r="L116" s="1380"/>
      <c r="M116" s="608"/>
      <c r="N116" s="608"/>
      <c r="O116" s="608"/>
      <c r="P116" s="608"/>
      <c r="Q116" s="266"/>
      <c r="R116" s="266"/>
      <c r="S116" s="268"/>
      <c r="T116" s="269" t="e">
        <f>VLOOKUP(Q116,[71]Listas!$D$6:$E$10,2,0)</f>
        <v>#N/A</v>
      </c>
      <c r="U116" s="269" t="e">
        <f>HLOOKUP(R116,[71]Listas!$F$4:$J$5,2,0)</f>
        <v>#N/A</v>
      </c>
      <c r="V116" s="270" t="e">
        <f>INDEX([71]Listas!$F$6:$J$10,MATCH(Q116,[71]Listas!$D$6:$D$10,0),MATCH(R116,[71]Listas!$F$4:$J$4,0))</f>
        <v>#N/A</v>
      </c>
      <c r="W116" s="268"/>
      <c r="X116" s="1399"/>
      <c r="Y116" s="1408"/>
      <c r="Z116" s="1400"/>
      <c r="AA116" s="1063"/>
      <c r="AB116" s="267"/>
      <c r="AC116" s="259"/>
      <c r="AD116" s="608"/>
      <c r="AE116" s="267"/>
      <c r="AF116" s="268"/>
      <c r="AG116" s="269">
        <f t="shared" si="12"/>
        <v>0</v>
      </c>
      <c r="AH116" s="271" t="e">
        <f t="shared" si="13"/>
        <v>#N/A</v>
      </c>
      <c r="AI116" s="272" t="e">
        <f>IF(AH116&lt;=1,"Remota",VLOOKUP(AH116,[71]Listas!$C$6:$D$10,2,0))</f>
        <v>#N/A</v>
      </c>
      <c r="AJ116" s="271" t="e">
        <f t="shared" si="14"/>
        <v>#N/A</v>
      </c>
      <c r="AK116" s="272" t="e">
        <f>IF(AJ116&lt;=1,"Insignificante",HLOOKUP(AJ116,[71]Listas!$F$3:$J$4,2,0))</f>
        <v>#N/A</v>
      </c>
      <c r="AL116" s="273" t="e">
        <f t="shared" si="15"/>
        <v>#N/A</v>
      </c>
      <c r="AM116" s="270" t="e">
        <f>INDEX([71]Listas!$F$6:$J$10,MATCH(AI116,[71]Listas!$D$6:$D$10,0),MATCH(AK116,[71]Listas!$F$4:$J$4,0))</f>
        <v>#N/A</v>
      </c>
      <c r="AN116" s="259"/>
      <c r="AO116" s="259"/>
      <c r="AP116" s="610"/>
      <c r="AQ116" s="259"/>
      <c r="AR116" s="259" t="s">
        <v>2343</v>
      </c>
      <c r="AS116" s="608"/>
      <c r="AT116" s="259"/>
      <c r="AU116" s="259"/>
      <c r="AV116" s="261"/>
      <c r="AW116" s="261"/>
      <c r="AX116" s="608"/>
      <c r="AY116" s="262"/>
    </row>
    <row r="117" spans="1:51" s="260" customFormat="1" ht="103.5" hidden="1" customHeight="1">
      <c r="A117" s="608"/>
      <c r="B117" s="266"/>
      <c r="C117" s="1399"/>
      <c r="D117" s="1408"/>
      <c r="E117" s="1400"/>
      <c r="F117" s="267"/>
      <c r="G117" s="1399"/>
      <c r="H117" s="1408"/>
      <c r="I117" s="1400"/>
      <c r="J117" s="1380"/>
      <c r="K117" s="1380"/>
      <c r="L117" s="1380"/>
      <c r="M117" s="608"/>
      <c r="N117" s="608"/>
      <c r="O117" s="608"/>
      <c r="P117" s="608"/>
      <c r="Q117" s="266"/>
      <c r="R117" s="266"/>
      <c r="S117" s="268"/>
      <c r="T117" s="269" t="e">
        <f>VLOOKUP(Q117,[71]Listas!$D$6:$E$10,2,0)</f>
        <v>#N/A</v>
      </c>
      <c r="U117" s="269" t="e">
        <f>HLOOKUP(R117,[71]Listas!$F$4:$J$5,2,0)</f>
        <v>#N/A</v>
      </c>
      <c r="V117" s="270" t="e">
        <f>INDEX([71]Listas!$F$6:$J$10,MATCH(Q117,[71]Listas!$D$6:$D$10,0),MATCH(R117,[71]Listas!$F$4:$J$4,0))</f>
        <v>#N/A</v>
      </c>
      <c r="W117" s="268"/>
      <c r="X117" s="1399"/>
      <c r="Y117" s="1408"/>
      <c r="Z117" s="1400"/>
      <c r="AA117" s="1063"/>
      <c r="AB117" s="267"/>
      <c r="AC117" s="259"/>
      <c r="AD117" s="608"/>
      <c r="AE117" s="267"/>
      <c r="AF117" s="268"/>
      <c r="AG117" s="269">
        <f t="shared" si="12"/>
        <v>0</v>
      </c>
      <c r="AH117" s="271" t="e">
        <f t="shared" si="13"/>
        <v>#N/A</v>
      </c>
      <c r="AI117" s="272" t="e">
        <f>IF(AH117&lt;=1,"Remota",VLOOKUP(AH117,[71]Listas!$C$6:$D$10,2,0))</f>
        <v>#N/A</v>
      </c>
      <c r="AJ117" s="271" t="e">
        <f t="shared" si="14"/>
        <v>#N/A</v>
      </c>
      <c r="AK117" s="272" t="e">
        <f>IF(AJ117&lt;=1,"Insignificante",HLOOKUP(AJ117,[71]Listas!$F$3:$J$4,2,0))</f>
        <v>#N/A</v>
      </c>
      <c r="AL117" s="273" t="e">
        <f t="shared" si="15"/>
        <v>#N/A</v>
      </c>
      <c r="AM117" s="270" t="e">
        <f>INDEX([71]Listas!$F$6:$J$10,MATCH(AI117,[71]Listas!$D$6:$D$10,0),MATCH(AK117,[71]Listas!$F$4:$J$4,0))</f>
        <v>#N/A</v>
      </c>
      <c r="AN117" s="259"/>
      <c r="AO117" s="259"/>
      <c r="AP117" s="610"/>
      <c r="AQ117" s="259"/>
      <c r="AR117" s="259" t="s">
        <v>2343</v>
      </c>
      <c r="AS117" s="608"/>
      <c r="AT117" s="259"/>
      <c r="AU117" s="259"/>
      <c r="AV117" s="261"/>
      <c r="AW117" s="261"/>
      <c r="AX117" s="608"/>
      <c r="AY117" s="262"/>
    </row>
    <row r="118" spans="1:51" s="260" customFormat="1" ht="103.5" hidden="1" customHeight="1">
      <c r="A118" s="608"/>
      <c r="B118" s="266"/>
      <c r="C118" s="1399"/>
      <c r="D118" s="1408"/>
      <c r="E118" s="1400"/>
      <c r="F118" s="267"/>
      <c r="G118" s="1399"/>
      <c r="H118" s="1408"/>
      <c r="I118" s="1400"/>
      <c r="J118" s="1380"/>
      <c r="K118" s="1380"/>
      <c r="L118" s="1380"/>
      <c r="M118" s="608"/>
      <c r="N118" s="608"/>
      <c r="O118" s="608"/>
      <c r="P118" s="608"/>
      <c r="Q118" s="266"/>
      <c r="R118" s="266"/>
      <c r="S118" s="268"/>
      <c r="T118" s="269" t="e">
        <f>VLOOKUP(Q118,[71]Listas!$D$6:$E$10,2,0)</f>
        <v>#N/A</v>
      </c>
      <c r="U118" s="269" t="e">
        <f>HLOOKUP(R118,[71]Listas!$F$4:$J$5,2,0)</f>
        <v>#N/A</v>
      </c>
      <c r="V118" s="270" t="e">
        <f>INDEX([71]Listas!$F$6:$J$10,MATCH(Q118,[71]Listas!$D$6:$D$10,0),MATCH(R118,[71]Listas!$F$4:$J$4,0))</f>
        <v>#N/A</v>
      </c>
      <c r="W118" s="268"/>
      <c r="X118" s="1399"/>
      <c r="Y118" s="1408"/>
      <c r="Z118" s="1400"/>
      <c r="AA118" s="1063"/>
      <c r="AB118" s="267"/>
      <c r="AC118" s="259"/>
      <c r="AD118" s="608"/>
      <c r="AE118" s="267"/>
      <c r="AF118" s="268"/>
      <c r="AG118" s="269">
        <f t="shared" si="12"/>
        <v>0</v>
      </c>
      <c r="AH118" s="271" t="e">
        <f t="shared" si="13"/>
        <v>#N/A</v>
      </c>
      <c r="AI118" s="272" t="e">
        <f>IF(AH118&lt;=1,"Remota",VLOOKUP(AH118,[71]Listas!$C$6:$D$10,2,0))</f>
        <v>#N/A</v>
      </c>
      <c r="AJ118" s="271" t="e">
        <f t="shared" si="14"/>
        <v>#N/A</v>
      </c>
      <c r="AK118" s="272" t="e">
        <f>IF(AJ118&lt;=1,"Insignificante",HLOOKUP(AJ118,[71]Listas!$F$3:$J$4,2,0))</f>
        <v>#N/A</v>
      </c>
      <c r="AL118" s="273" t="e">
        <f t="shared" si="15"/>
        <v>#N/A</v>
      </c>
      <c r="AM118" s="270" t="e">
        <f>INDEX([71]Listas!$F$6:$J$10,MATCH(AI118,[71]Listas!$D$6:$D$10,0),MATCH(AK118,[71]Listas!$F$4:$J$4,0))</f>
        <v>#N/A</v>
      </c>
      <c r="AN118" s="259"/>
      <c r="AO118" s="259"/>
      <c r="AP118" s="610"/>
      <c r="AQ118" s="259"/>
      <c r="AR118" s="259" t="s">
        <v>2343</v>
      </c>
      <c r="AS118" s="608"/>
      <c r="AT118" s="259"/>
      <c r="AU118" s="259"/>
      <c r="AV118" s="261"/>
      <c r="AW118" s="261"/>
      <c r="AX118" s="608"/>
      <c r="AY118" s="262"/>
    </row>
    <row r="119" spans="1:51" s="260" customFormat="1" ht="103.5" hidden="1" customHeight="1">
      <c r="A119" s="608"/>
      <c r="B119" s="266"/>
      <c r="C119" s="1399"/>
      <c r="D119" s="1408"/>
      <c r="E119" s="1400"/>
      <c r="F119" s="267"/>
      <c r="G119" s="1399"/>
      <c r="H119" s="1408"/>
      <c r="I119" s="1400"/>
      <c r="J119" s="1380"/>
      <c r="K119" s="1380"/>
      <c r="L119" s="1380"/>
      <c r="M119" s="608"/>
      <c r="N119" s="608"/>
      <c r="O119" s="608"/>
      <c r="P119" s="608"/>
      <c r="Q119" s="266"/>
      <c r="R119" s="266"/>
      <c r="S119" s="268"/>
      <c r="T119" s="269" t="e">
        <f>VLOOKUP(Q119,[71]Listas!$D$6:$E$10,2,0)</f>
        <v>#N/A</v>
      </c>
      <c r="U119" s="269" t="e">
        <f>HLOOKUP(R119,[71]Listas!$F$4:$J$5,2,0)</f>
        <v>#N/A</v>
      </c>
      <c r="V119" s="270" t="e">
        <f>INDEX([71]Listas!$F$6:$J$10,MATCH(Q119,[71]Listas!$D$6:$D$10,0),MATCH(R119,[71]Listas!$F$4:$J$4,0))</f>
        <v>#N/A</v>
      </c>
      <c r="W119" s="268"/>
      <c r="X119" s="1399"/>
      <c r="Y119" s="1408"/>
      <c r="Z119" s="1400"/>
      <c r="AA119" s="1063"/>
      <c r="AB119" s="267"/>
      <c r="AC119" s="259"/>
      <c r="AD119" s="608"/>
      <c r="AE119" s="267"/>
      <c r="AF119" s="268"/>
      <c r="AG119" s="269">
        <f t="shared" si="12"/>
        <v>0</v>
      </c>
      <c r="AH119" s="271" t="e">
        <f t="shared" si="13"/>
        <v>#N/A</v>
      </c>
      <c r="AI119" s="272" t="e">
        <f>IF(AH119&lt;=1,"Remota",VLOOKUP(AH119,[71]Listas!$C$6:$D$10,2,0))</f>
        <v>#N/A</v>
      </c>
      <c r="AJ119" s="271" t="e">
        <f t="shared" si="14"/>
        <v>#N/A</v>
      </c>
      <c r="AK119" s="272" t="e">
        <f>IF(AJ119&lt;=1,"Insignificante",HLOOKUP(AJ119,[71]Listas!$F$3:$J$4,2,0))</f>
        <v>#N/A</v>
      </c>
      <c r="AL119" s="273" t="e">
        <f t="shared" si="15"/>
        <v>#N/A</v>
      </c>
      <c r="AM119" s="270" t="e">
        <f>INDEX([71]Listas!$F$6:$J$10,MATCH(AI119,[71]Listas!$D$6:$D$10,0),MATCH(AK119,[71]Listas!$F$4:$J$4,0))</f>
        <v>#N/A</v>
      </c>
      <c r="AN119" s="259"/>
      <c r="AO119" s="259"/>
      <c r="AP119" s="610"/>
      <c r="AQ119" s="259"/>
      <c r="AR119" s="259" t="s">
        <v>2343</v>
      </c>
      <c r="AS119" s="608"/>
      <c r="AT119" s="259"/>
      <c r="AU119" s="259"/>
      <c r="AV119" s="261"/>
      <c r="AW119" s="261"/>
      <c r="AX119" s="608"/>
      <c r="AY119" s="262"/>
    </row>
    <row r="120" spans="1:51" s="260" customFormat="1" ht="103.5" hidden="1" customHeight="1">
      <c r="A120" s="608"/>
      <c r="B120" s="266"/>
      <c r="C120" s="1399"/>
      <c r="D120" s="1408"/>
      <c r="E120" s="1400"/>
      <c r="F120" s="267"/>
      <c r="G120" s="1399"/>
      <c r="H120" s="1408"/>
      <c r="I120" s="1400"/>
      <c r="J120" s="1380"/>
      <c r="K120" s="1380"/>
      <c r="L120" s="1380"/>
      <c r="M120" s="608"/>
      <c r="N120" s="608"/>
      <c r="O120" s="608"/>
      <c r="P120" s="608"/>
      <c r="Q120" s="266"/>
      <c r="R120" s="266"/>
      <c r="S120" s="268"/>
      <c r="T120" s="269" t="e">
        <f>VLOOKUP(Q120,[71]Listas!$D$6:$E$10,2,0)</f>
        <v>#N/A</v>
      </c>
      <c r="U120" s="269" t="e">
        <f>HLOOKUP(R120,[71]Listas!$F$4:$J$5,2,0)</f>
        <v>#N/A</v>
      </c>
      <c r="V120" s="270" t="e">
        <f>INDEX([71]Listas!$F$6:$J$10,MATCH(Q120,[71]Listas!$D$6:$D$10,0),MATCH(R120,[71]Listas!$F$4:$J$4,0))</f>
        <v>#N/A</v>
      </c>
      <c r="W120" s="268"/>
      <c r="X120" s="1399"/>
      <c r="Y120" s="1408"/>
      <c r="Z120" s="1400"/>
      <c r="AA120" s="1063"/>
      <c r="AB120" s="267"/>
      <c r="AC120" s="259"/>
      <c r="AD120" s="608"/>
      <c r="AE120" s="267"/>
      <c r="AF120" s="268"/>
      <c r="AG120" s="269">
        <f t="shared" si="12"/>
        <v>0</v>
      </c>
      <c r="AH120" s="271" t="e">
        <f t="shared" si="13"/>
        <v>#N/A</v>
      </c>
      <c r="AI120" s="272" t="e">
        <f>IF(AH120&lt;=1,"Remota",VLOOKUP(AH120,[71]Listas!$C$6:$D$10,2,0))</f>
        <v>#N/A</v>
      </c>
      <c r="AJ120" s="271" t="e">
        <f t="shared" si="14"/>
        <v>#N/A</v>
      </c>
      <c r="AK120" s="272" t="e">
        <f>IF(AJ120&lt;=1,"Insignificante",HLOOKUP(AJ120,[71]Listas!$F$3:$J$4,2,0))</f>
        <v>#N/A</v>
      </c>
      <c r="AL120" s="273" t="e">
        <f t="shared" si="15"/>
        <v>#N/A</v>
      </c>
      <c r="AM120" s="270" t="e">
        <f>INDEX([71]Listas!$F$6:$J$10,MATCH(AI120,[71]Listas!$D$6:$D$10,0),MATCH(AK120,[71]Listas!$F$4:$J$4,0))</f>
        <v>#N/A</v>
      </c>
      <c r="AN120" s="259"/>
      <c r="AO120" s="259"/>
      <c r="AP120" s="610"/>
      <c r="AQ120" s="259"/>
      <c r="AR120" s="259" t="s">
        <v>2343</v>
      </c>
      <c r="AS120" s="608"/>
      <c r="AT120" s="259"/>
      <c r="AU120" s="259"/>
      <c r="AV120" s="261"/>
      <c r="AW120" s="261"/>
      <c r="AX120" s="608"/>
      <c r="AY120" s="262"/>
    </row>
    <row r="121" spans="1:51" s="260" customFormat="1" ht="103.5" hidden="1" customHeight="1">
      <c r="A121" s="608"/>
      <c r="B121" s="266"/>
      <c r="C121" s="1399"/>
      <c r="D121" s="1408"/>
      <c r="E121" s="1400"/>
      <c r="F121" s="267"/>
      <c r="G121" s="1399"/>
      <c r="H121" s="1408"/>
      <c r="I121" s="1400"/>
      <c r="J121" s="1380"/>
      <c r="K121" s="1380"/>
      <c r="L121" s="1380"/>
      <c r="M121" s="608"/>
      <c r="N121" s="608"/>
      <c r="O121" s="608"/>
      <c r="P121" s="608"/>
      <c r="Q121" s="266"/>
      <c r="R121" s="266"/>
      <c r="S121" s="268"/>
      <c r="T121" s="269" t="e">
        <f>VLOOKUP(Q121,[71]Listas!$D$6:$E$10,2,0)</f>
        <v>#N/A</v>
      </c>
      <c r="U121" s="269" t="e">
        <f>HLOOKUP(R121,[71]Listas!$F$4:$J$5,2,0)</f>
        <v>#N/A</v>
      </c>
      <c r="V121" s="270" t="e">
        <f>INDEX([71]Listas!$F$6:$J$10,MATCH(Q121,[71]Listas!$D$6:$D$10,0),MATCH(R121,[71]Listas!$F$4:$J$4,0))</f>
        <v>#N/A</v>
      </c>
      <c r="W121" s="268"/>
      <c r="X121" s="1399"/>
      <c r="Y121" s="1408"/>
      <c r="Z121" s="1400"/>
      <c r="AA121" s="1063"/>
      <c r="AB121" s="267"/>
      <c r="AC121" s="259"/>
      <c r="AD121" s="608"/>
      <c r="AE121" s="267"/>
      <c r="AF121" s="268"/>
      <c r="AG121" s="269">
        <f t="shared" si="12"/>
        <v>0</v>
      </c>
      <c r="AH121" s="271" t="e">
        <f t="shared" si="13"/>
        <v>#N/A</v>
      </c>
      <c r="AI121" s="272" t="e">
        <f>IF(AH121&lt;=1,"Remota",VLOOKUP(AH121,[71]Listas!$C$6:$D$10,2,0))</f>
        <v>#N/A</v>
      </c>
      <c r="AJ121" s="271" t="e">
        <f t="shared" si="14"/>
        <v>#N/A</v>
      </c>
      <c r="AK121" s="272" t="e">
        <f>IF(AJ121&lt;=1,"Insignificante",HLOOKUP(AJ121,[71]Listas!$F$3:$J$4,2,0))</f>
        <v>#N/A</v>
      </c>
      <c r="AL121" s="273" t="e">
        <f t="shared" si="15"/>
        <v>#N/A</v>
      </c>
      <c r="AM121" s="270" t="e">
        <f>INDEX([71]Listas!$F$6:$J$10,MATCH(AI121,[71]Listas!$D$6:$D$10,0),MATCH(AK121,[71]Listas!$F$4:$J$4,0))</f>
        <v>#N/A</v>
      </c>
      <c r="AN121" s="259"/>
      <c r="AO121" s="259"/>
      <c r="AP121" s="610"/>
      <c r="AQ121" s="259"/>
      <c r="AR121" s="259" t="s">
        <v>2343</v>
      </c>
      <c r="AS121" s="608"/>
      <c r="AT121" s="259"/>
      <c r="AU121" s="259"/>
      <c r="AV121" s="261"/>
      <c r="AW121" s="261"/>
      <c r="AX121" s="608"/>
      <c r="AY121" s="262"/>
    </row>
    <row r="122" spans="1:51" s="260" customFormat="1" ht="103.5" hidden="1" customHeight="1">
      <c r="A122" s="608"/>
      <c r="B122" s="266"/>
      <c r="C122" s="1399"/>
      <c r="D122" s="1408"/>
      <c r="E122" s="1400"/>
      <c r="F122" s="267"/>
      <c r="G122" s="1399"/>
      <c r="H122" s="1408"/>
      <c r="I122" s="1400"/>
      <c r="J122" s="1380"/>
      <c r="K122" s="1380"/>
      <c r="L122" s="1380"/>
      <c r="M122" s="608"/>
      <c r="N122" s="608"/>
      <c r="O122" s="608"/>
      <c r="P122" s="608"/>
      <c r="Q122" s="266"/>
      <c r="R122" s="266"/>
      <c r="S122" s="268"/>
      <c r="T122" s="269" t="e">
        <f>VLOOKUP(Q122,[71]Listas!$D$6:$E$10,2,0)</f>
        <v>#N/A</v>
      </c>
      <c r="U122" s="269" t="e">
        <f>HLOOKUP(R122,[71]Listas!$F$4:$J$5,2,0)</f>
        <v>#N/A</v>
      </c>
      <c r="V122" s="270" t="e">
        <f>INDEX([71]Listas!$F$6:$J$10,MATCH(Q122,[71]Listas!$D$6:$D$10,0),MATCH(R122,[71]Listas!$F$4:$J$4,0))</f>
        <v>#N/A</v>
      </c>
      <c r="W122" s="268"/>
      <c r="X122" s="1399"/>
      <c r="Y122" s="1408"/>
      <c r="Z122" s="1400"/>
      <c r="AA122" s="1063"/>
      <c r="AB122" s="267"/>
      <c r="AC122" s="259"/>
      <c r="AD122" s="608"/>
      <c r="AE122" s="267"/>
      <c r="AF122" s="268"/>
      <c r="AG122" s="269">
        <f t="shared" si="12"/>
        <v>0</v>
      </c>
      <c r="AH122" s="271" t="e">
        <f t="shared" si="13"/>
        <v>#N/A</v>
      </c>
      <c r="AI122" s="272" t="e">
        <f>IF(AH122&lt;=1,"Remota",VLOOKUP(AH122,[71]Listas!$C$6:$D$10,2,0))</f>
        <v>#N/A</v>
      </c>
      <c r="AJ122" s="271" t="e">
        <f t="shared" si="14"/>
        <v>#N/A</v>
      </c>
      <c r="AK122" s="272" t="e">
        <f>IF(AJ122&lt;=1,"Insignificante",HLOOKUP(AJ122,[71]Listas!$F$3:$J$4,2,0))</f>
        <v>#N/A</v>
      </c>
      <c r="AL122" s="273" t="e">
        <f t="shared" si="15"/>
        <v>#N/A</v>
      </c>
      <c r="AM122" s="270" t="e">
        <f>INDEX([71]Listas!$F$6:$J$10,MATCH(AI122,[71]Listas!$D$6:$D$10,0),MATCH(AK122,[71]Listas!$F$4:$J$4,0))</f>
        <v>#N/A</v>
      </c>
      <c r="AN122" s="259"/>
      <c r="AO122" s="259"/>
      <c r="AP122" s="610"/>
      <c r="AQ122" s="259"/>
      <c r="AR122" s="259" t="s">
        <v>2343</v>
      </c>
      <c r="AS122" s="608"/>
      <c r="AT122" s="259"/>
      <c r="AU122" s="259"/>
      <c r="AV122" s="261"/>
      <c r="AW122" s="261"/>
      <c r="AX122" s="608"/>
      <c r="AY122" s="262"/>
    </row>
    <row r="123" spans="1:51" s="260" customFormat="1" ht="103.5" hidden="1" customHeight="1">
      <c r="A123" s="608"/>
      <c r="B123" s="266"/>
      <c r="C123" s="1399"/>
      <c r="D123" s="1408"/>
      <c r="E123" s="1400"/>
      <c r="F123" s="267"/>
      <c r="G123" s="1399"/>
      <c r="H123" s="1408"/>
      <c r="I123" s="1400"/>
      <c r="J123" s="1380"/>
      <c r="K123" s="1380"/>
      <c r="L123" s="1380"/>
      <c r="M123" s="608"/>
      <c r="N123" s="608"/>
      <c r="O123" s="608"/>
      <c r="P123" s="608"/>
      <c r="Q123" s="266"/>
      <c r="R123" s="266"/>
      <c r="S123" s="268"/>
      <c r="T123" s="269" t="e">
        <f>VLOOKUP(Q123,[71]Listas!$D$6:$E$10,2,0)</f>
        <v>#N/A</v>
      </c>
      <c r="U123" s="269" t="e">
        <f>HLOOKUP(R123,[71]Listas!$F$4:$J$5,2,0)</f>
        <v>#N/A</v>
      </c>
      <c r="V123" s="270" t="e">
        <f>INDEX([71]Listas!$F$6:$J$10,MATCH(Q123,[71]Listas!$D$6:$D$10,0),MATCH(R123,[71]Listas!$F$4:$J$4,0))</f>
        <v>#N/A</v>
      </c>
      <c r="W123" s="268"/>
      <c r="X123" s="1399"/>
      <c r="Y123" s="1408"/>
      <c r="Z123" s="1400"/>
      <c r="AA123" s="1063"/>
      <c r="AB123" s="267"/>
      <c r="AC123" s="259"/>
      <c r="AD123" s="608"/>
      <c r="AE123" s="267"/>
      <c r="AF123" s="268"/>
      <c r="AG123" s="269">
        <f t="shared" si="12"/>
        <v>0</v>
      </c>
      <c r="AH123" s="271" t="e">
        <f t="shared" si="13"/>
        <v>#N/A</v>
      </c>
      <c r="AI123" s="272" t="e">
        <f>IF(AH123&lt;=1,"Remota",VLOOKUP(AH123,[71]Listas!$C$6:$D$10,2,0))</f>
        <v>#N/A</v>
      </c>
      <c r="AJ123" s="271" t="e">
        <f t="shared" si="14"/>
        <v>#N/A</v>
      </c>
      <c r="AK123" s="272" t="e">
        <f>IF(AJ123&lt;=1,"Insignificante",HLOOKUP(AJ123,[71]Listas!$F$3:$J$4,2,0))</f>
        <v>#N/A</v>
      </c>
      <c r="AL123" s="273" t="e">
        <f t="shared" si="15"/>
        <v>#N/A</v>
      </c>
      <c r="AM123" s="270" t="e">
        <f>INDEX([71]Listas!$F$6:$J$10,MATCH(AI123,[71]Listas!$D$6:$D$10,0),MATCH(AK123,[71]Listas!$F$4:$J$4,0))</f>
        <v>#N/A</v>
      </c>
      <c r="AN123" s="259"/>
      <c r="AO123" s="259"/>
      <c r="AP123" s="610"/>
      <c r="AQ123" s="259"/>
      <c r="AR123" s="259" t="s">
        <v>2343</v>
      </c>
      <c r="AS123" s="608"/>
      <c r="AT123" s="259"/>
      <c r="AU123" s="259"/>
      <c r="AV123" s="261"/>
      <c r="AW123" s="261"/>
      <c r="AX123" s="608"/>
      <c r="AY123" s="262"/>
    </row>
    <row r="124" spans="1:51" s="260" customFormat="1" ht="103.5" hidden="1" customHeight="1">
      <c r="A124" s="608"/>
      <c r="B124" s="266"/>
      <c r="C124" s="1399"/>
      <c r="D124" s="1408"/>
      <c r="E124" s="1400"/>
      <c r="F124" s="267"/>
      <c r="G124" s="1399"/>
      <c r="H124" s="1408"/>
      <c r="I124" s="1400"/>
      <c r="J124" s="1380"/>
      <c r="K124" s="1380"/>
      <c r="L124" s="1380"/>
      <c r="M124" s="608"/>
      <c r="N124" s="608"/>
      <c r="O124" s="608"/>
      <c r="P124" s="608"/>
      <c r="Q124" s="266"/>
      <c r="R124" s="266"/>
      <c r="S124" s="268"/>
      <c r="T124" s="269" t="e">
        <f>VLOOKUP(Q124,[71]Listas!$D$6:$E$10,2,0)</f>
        <v>#N/A</v>
      </c>
      <c r="U124" s="269" t="e">
        <f>HLOOKUP(R124,[71]Listas!$F$4:$J$5,2,0)</f>
        <v>#N/A</v>
      </c>
      <c r="V124" s="270" t="e">
        <f>INDEX([71]Listas!$F$6:$J$10,MATCH(Q124,[71]Listas!$D$6:$D$10,0),MATCH(R124,[71]Listas!$F$4:$J$4,0))</f>
        <v>#N/A</v>
      </c>
      <c r="W124" s="268"/>
      <c r="X124" s="1399"/>
      <c r="Y124" s="1408"/>
      <c r="Z124" s="1400"/>
      <c r="AA124" s="1063"/>
      <c r="AB124" s="267"/>
      <c r="AC124" s="259"/>
      <c r="AD124" s="608"/>
      <c r="AE124" s="267"/>
      <c r="AF124" s="268"/>
      <c r="AG124" s="269">
        <f t="shared" si="12"/>
        <v>0</v>
      </c>
      <c r="AH124" s="271" t="e">
        <f t="shared" si="13"/>
        <v>#N/A</v>
      </c>
      <c r="AI124" s="272" t="e">
        <f>IF(AH124&lt;=1,"Remota",VLOOKUP(AH124,[71]Listas!$C$6:$D$10,2,0))</f>
        <v>#N/A</v>
      </c>
      <c r="AJ124" s="271" t="e">
        <f t="shared" si="14"/>
        <v>#N/A</v>
      </c>
      <c r="AK124" s="272" t="e">
        <f>IF(AJ124&lt;=1,"Insignificante",HLOOKUP(AJ124,[71]Listas!$F$3:$J$4,2,0))</f>
        <v>#N/A</v>
      </c>
      <c r="AL124" s="273" t="e">
        <f t="shared" si="15"/>
        <v>#N/A</v>
      </c>
      <c r="AM124" s="270" t="e">
        <f>INDEX([71]Listas!$F$6:$J$10,MATCH(AI124,[71]Listas!$D$6:$D$10,0),MATCH(AK124,[71]Listas!$F$4:$J$4,0))</f>
        <v>#N/A</v>
      </c>
      <c r="AN124" s="259"/>
      <c r="AO124" s="259"/>
      <c r="AP124" s="610"/>
      <c r="AQ124" s="259"/>
      <c r="AR124" s="259" t="s">
        <v>2343</v>
      </c>
      <c r="AS124" s="608"/>
      <c r="AT124" s="259"/>
      <c r="AU124" s="259"/>
      <c r="AV124" s="261"/>
      <c r="AW124" s="261"/>
      <c r="AX124" s="608"/>
      <c r="AY124" s="262"/>
    </row>
    <row r="125" spans="1:51" s="260" customFormat="1" ht="103.5" hidden="1" customHeight="1">
      <c r="A125" s="608"/>
      <c r="B125" s="266"/>
      <c r="C125" s="1399"/>
      <c r="D125" s="1408"/>
      <c r="E125" s="1400"/>
      <c r="F125" s="267"/>
      <c r="G125" s="1399"/>
      <c r="H125" s="1408"/>
      <c r="I125" s="1400"/>
      <c r="J125" s="1380"/>
      <c r="K125" s="1380"/>
      <c r="L125" s="1380"/>
      <c r="M125" s="608"/>
      <c r="N125" s="608"/>
      <c r="O125" s="608"/>
      <c r="P125" s="608"/>
      <c r="Q125" s="266"/>
      <c r="R125" s="266"/>
      <c r="S125" s="268"/>
      <c r="T125" s="269" t="e">
        <f>VLOOKUP(Q125,[71]Listas!$D$6:$E$10,2,0)</f>
        <v>#N/A</v>
      </c>
      <c r="U125" s="269" t="e">
        <f>HLOOKUP(R125,[71]Listas!$F$4:$J$5,2,0)</f>
        <v>#N/A</v>
      </c>
      <c r="V125" s="270" t="e">
        <f>INDEX([71]Listas!$F$6:$J$10,MATCH(Q125,[71]Listas!$D$6:$D$10,0),MATCH(R125,[71]Listas!$F$4:$J$4,0))</f>
        <v>#N/A</v>
      </c>
      <c r="W125" s="268"/>
      <c r="X125" s="1399"/>
      <c r="Y125" s="1408"/>
      <c r="Z125" s="1400"/>
      <c r="AA125" s="1063"/>
      <c r="AB125" s="267"/>
      <c r="AC125" s="259"/>
      <c r="AD125" s="608"/>
      <c r="AE125" s="267"/>
      <c r="AF125" s="268"/>
      <c r="AG125" s="269">
        <f t="shared" si="12"/>
        <v>0</v>
      </c>
      <c r="AH125" s="271" t="e">
        <f t="shared" si="13"/>
        <v>#N/A</v>
      </c>
      <c r="AI125" s="272" t="e">
        <f>IF(AH125&lt;=1,"Remota",VLOOKUP(AH125,[71]Listas!$C$6:$D$10,2,0))</f>
        <v>#N/A</v>
      </c>
      <c r="AJ125" s="271" t="e">
        <f t="shared" si="14"/>
        <v>#N/A</v>
      </c>
      <c r="AK125" s="272" t="e">
        <f>IF(AJ125&lt;=1,"Insignificante",HLOOKUP(AJ125,[71]Listas!$F$3:$J$4,2,0))</f>
        <v>#N/A</v>
      </c>
      <c r="AL125" s="273" t="e">
        <f t="shared" si="15"/>
        <v>#N/A</v>
      </c>
      <c r="AM125" s="270" t="e">
        <f>INDEX([71]Listas!$F$6:$J$10,MATCH(AI125,[71]Listas!$D$6:$D$10,0),MATCH(AK125,[71]Listas!$F$4:$J$4,0))</f>
        <v>#N/A</v>
      </c>
      <c r="AN125" s="259"/>
      <c r="AO125" s="259"/>
      <c r="AP125" s="610"/>
      <c r="AQ125" s="259"/>
      <c r="AR125" s="259" t="s">
        <v>2343</v>
      </c>
      <c r="AS125" s="608"/>
      <c r="AT125" s="259"/>
      <c r="AU125" s="259"/>
      <c r="AV125" s="261"/>
      <c r="AW125" s="261"/>
      <c r="AX125" s="608"/>
      <c r="AY125" s="262"/>
    </row>
    <row r="126" spans="1:51" s="260" customFormat="1" ht="103.5" hidden="1" customHeight="1">
      <c r="A126" s="608"/>
      <c r="B126" s="266"/>
      <c r="C126" s="1399"/>
      <c r="D126" s="1408"/>
      <c r="E126" s="1400"/>
      <c r="F126" s="267"/>
      <c r="G126" s="1399"/>
      <c r="H126" s="1408"/>
      <c r="I126" s="1400"/>
      <c r="J126" s="1380"/>
      <c r="K126" s="1380"/>
      <c r="L126" s="1380"/>
      <c r="M126" s="608"/>
      <c r="N126" s="608"/>
      <c r="O126" s="608"/>
      <c r="P126" s="608"/>
      <c r="Q126" s="266"/>
      <c r="R126" s="266"/>
      <c r="S126" s="268"/>
      <c r="T126" s="269" t="e">
        <f>VLOOKUP(Q126,[71]Listas!$D$6:$E$10,2,0)</f>
        <v>#N/A</v>
      </c>
      <c r="U126" s="269" t="e">
        <f>HLOOKUP(R126,[71]Listas!$F$4:$J$5,2,0)</f>
        <v>#N/A</v>
      </c>
      <c r="V126" s="270" t="e">
        <f>INDEX([71]Listas!$F$6:$J$10,MATCH(Q126,[71]Listas!$D$6:$D$10,0),MATCH(R126,[71]Listas!$F$4:$J$4,0))</f>
        <v>#N/A</v>
      </c>
      <c r="W126" s="268"/>
      <c r="X126" s="1399"/>
      <c r="Y126" s="1408"/>
      <c r="Z126" s="1400"/>
      <c r="AA126" s="1063"/>
      <c r="AB126" s="267"/>
      <c r="AC126" s="259"/>
      <c r="AD126" s="608"/>
      <c r="AE126" s="267"/>
      <c r="AF126" s="268"/>
      <c r="AG126" s="269">
        <f t="shared" si="12"/>
        <v>0</v>
      </c>
      <c r="AH126" s="271" t="e">
        <f t="shared" si="13"/>
        <v>#N/A</v>
      </c>
      <c r="AI126" s="272" t="e">
        <f>IF(AH126&lt;=1,"Remota",VLOOKUP(AH126,[71]Listas!$C$6:$D$10,2,0))</f>
        <v>#N/A</v>
      </c>
      <c r="AJ126" s="271" t="e">
        <f t="shared" si="14"/>
        <v>#N/A</v>
      </c>
      <c r="AK126" s="272" t="e">
        <f>IF(AJ126&lt;=1,"Insignificante",HLOOKUP(AJ126,[71]Listas!$F$3:$J$4,2,0))</f>
        <v>#N/A</v>
      </c>
      <c r="AL126" s="273" t="e">
        <f t="shared" si="15"/>
        <v>#N/A</v>
      </c>
      <c r="AM126" s="270" t="e">
        <f>INDEX([71]Listas!$F$6:$J$10,MATCH(AI126,[71]Listas!$D$6:$D$10,0),MATCH(AK126,[71]Listas!$F$4:$J$4,0))</f>
        <v>#N/A</v>
      </c>
      <c r="AN126" s="259"/>
      <c r="AO126" s="259"/>
      <c r="AP126" s="610"/>
      <c r="AQ126" s="259"/>
      <c r="AR126" s="259" t="s">
        <v>2343</v>
      </c>
      <c r="AS126" s="608"/>
      <c r="AT126" s="259"/>
      <c r="AU126" s="259"/>
      <c r="AV126" s="261"/>
      <c r="AW126" s="261"/>
      <c r="AX126" s="608"/>
      <c r="AY126" s="262"/>
    </row>
    <row r="127" spans="1:51" s="260" customFormat="1" ht="103.5" hidden="1" customHeight="1">
      <c r="A127" s="608"/>
      <c r="B127" s="266"/>
      <c r="C127" s="1399"/>
      <c r="D127" s="1408"/>
      <c r="E127" s="1400"/>
      <c r="F127" s="267"/>
      <c r="G127" s="1399"/>
      <c r="H127" s="1408"/>
      <c r="I127" s="1400"/>
      <c r="J127" s="1380"/>
      <c r="K127" s="1380"/>
      <c r="L127" s="1380"/>
      <c r="M127" s="608"/>
      <c r="N127" s="608"/>
      <c r="O127" s="608"/>
      <c r="P127" s="608"/>
      <c r="Q127" s="266"/>
      <c r="R127" s="266"/>
      <c r="S127" s="268"/>
      <c r="T127" s="269" t="e">
        <f>VLOOKUP(Q127,[71]Listas!$D$6:$E$10,2,0)</f>
        <v>#N/A</v>
      </c>
      <c r="U127" s="269" t="e">
        <f>HLOOKUP(R127,[71]Listas!$F$4:$J$5,2,0)</f>
        <v>#N/A</v>
      </c>
      <c r="V127" s="270" t="e">
        <f>INDEX([71]Listas!$F$6:$J$10,MATCH(Q127,[71]Listas!$D$6:$D$10,0),MATCH(R127,[71]Listas!$F$4:$J$4,0))</f>
        <v>#N/A</v>
      </c>
      <c r="W127" s="268"/>
      <c r="X127" s="1399"/>
      <c r="Y127" s="1408"/>
      <c r="Z127" s="1400"/>
      <c r="AA127" s="1063"/>
      <c r="AB127" s="267"/>
      <c r="AC127" s="259"/>
      <c r="AD127" s="608"/>
      <c r="AE127" s="267"/>
      <c r="AF127" s="268"/>
      <c r="AG127" s="269">
        <f t="shared" si="12"/>
        <v>0</v>
      </c>
      <c r="AH127" s="271" t="e">
        <f t="shared" si="13"/>
        <v>#N/A</v>
      </c>
      <c r="AI127" s="272" t="e">
        <f>IF(AH127&lt;=1,"Remota",VLOOKUP(AH127,[71]Listas!$C$6:$D$10,2,0))</f>
        <v>#N/A</v>
      </c>
      <c r="AJ127" s="271" t="e">
        <f t="shared" si="14"/>
        <v>#N/A</v>
      </c>
      <c r="AK127" s="272" t="e">
        <f>IF(AJ127&lt;=1,"Insignificante",HLOOKUP(AJ127,[71]Listas!$F$3:$J$4,2,0))</f>
        <v>#N/A</v>
      </c>
      <c r="AL127" s="273" t="e">
        <f t="shared" si="15"/>
        <v>#N/A</v>
      </c>
      <c r="AM127" s="270" t="e">
        <f>INDEX([71]Listas!$F$6:$J$10,MATCH(AI127,[71]Listas!$D$6:$D$10,0),MATCH(AK127,[71]Listas!$F$4:$J$4,0))</f>
        <v>#N/A</v>
      </c>
      <c r="AN127" s="259"/>
      <c r="AO127" s="259"/>
      <c r="AP127" s="610"/>
      <c r="AQ127" s="259"/>
      <c r="AR127" s="259" t="s">
        <v>2343</v>
      </c>
      <c r="AS127" s="608"/>
      <c r="AT127" s="259"/>
      <c r="AU127" s="259"/>
      <c r="AV127" s="261"/>
      <c r="AW127" s="261"/>
      <c r="AX127" s="608"/>
      <c r="AY127" s="262"/>
    </row>
    <row r="128" spans="1:51" s="260" customFormat="1" ht="103.5" hidden="1" customHeight="1">
      <c r="A128" s="608"/>
      <c r="B128" s="266"/>
      <c r="C128" s="1399"/>
      <c r="D128" s="1408"/>
      <c r="E128" s="1400"/>
      <c r="F128" s="267"/>
      <c r="G128" s="1399"/>
      <c r="H128" s="1408"/>
      <c r="I128" s="1400"/>
      <c r="J128" s="1380"/>
      <c r="K128" s="1380"/>
      <c r="L128" s="1380"/>
      <c r="M128" s="608"/>
      <c r="N128" s="608"/>
      <c r="O128" s="608"/>
      <c r="P128" s="608"/>
      <c r="Q128" s="266"/>
      <c r="R128" s="266"/>
      <c r="S128" s="268"/>
      <c r="T128" s="269" t="e">
        <f>VLOOKUP(Q128,[71]Listas!$D$6:$E$10,2,0)</f>
        <v>#N/A</v>
      </c>
      <c r="U128" s="269" t="e">
        <f>HLOOKUP(R128,[71]Listas!$F$4:$J$5,2,0)</f>
        <v>#N/A</v>
      </c>
      <c r="V128" s="270" t="e">
        <f>INDEX([71]Listas!$F$6:$J$10,MATCH(Q128,[71]Listas!$D$6:$D$10,0),MATCH(R128,[71]Listas!$F$4:$J$4,0))</f>
        <v>#N/A</v>
      </c>
      <c r="W128" s="268"/>
      <c r="X128" s="1399"/>
      <c r="Y128" s="1408"/>
      <c r="Z128" s="1400"/>
      <c r="AA128" s="1063"/>
      <c r="AB128" s="267"/>
      <c r="AC128" s="259"/>
      <c r="AD128" s="608"/>
      <c r="AE128" s="267"/>
      <c r="AF128" s="268"/>
      <c r="AG128" s="269">
        <f t="shared" si="12"/>
        <v>0</v>
      </c>
      <c r="AH128" s="271" t="e">
        <f t="shared" si="13"/>
        <v>#N/A</v>
      </c>
      <c r="AI128" s="272" t="e">
        <f>IF(AH128&lt;=1,"Remota",VLOOKUP(AH128,[71]Listas!$C$6:$D$10,2,0))</f>
        <v>#N/A</v>
      </c>
      <c r="AJ128" s="271" t="e">
        <f t="shared" si="14"/>
        <v>#N/A</v>
      </c>
      <c r="AK128" s="272" t="e">
        <f>IF(AJ128&lt;=1,"Insignificante",HLOOKUP(AJ128,[71]Listas!$F$3:$J$4,2,0))</f>
        <v>#N/A</v>
      </c>
      <c r="AL128" s="273" t="e">
        <f t="shared" si="15"/>
        <v>#N/A</v>
      </c>
      <c r="AM128" s="270" t="e">
        <f>INDEX([71]Listas!$F$6:$J$10,MATCH(AI128,[71]Listas!$D$6:$D$10,0),MATCH(AK128,[71]Listas!$F$4:$J$4,0))</f>
        <v>#N/A</v>
      </c>
      <c r="AN128" s="259"/>
      <c r="AO128" s="259"/>
      <c r="AP128" s="610"/>
      <c r="AQ128" s="259"/>
      <c r="AR128" s="259" t="s">
        <v>2343</v>
      </c>
      <c r="AS128" s="608"/>
      <c r="AT128" s="259"/>
      <c r="AU128" s="259"/>
      <c r="AV128" s="261"/>
      <c r="AW128" s="261"/>
      <c r="AX128" s="608"/>
      <c r="AY128" s="262"/>
    </row>
    <row r="129" spans="1:51" s="260" customFormat="1" ht="103.5" hidden="1" customHeight="1">
      <c r="A129" s="608"/>
      <c r="B129" s="266"/>
      <c r="C129" s="1399"/>
      <c r="D129" s="1408"/>
      <c r="E129" s="1400"/>
      <c r="F129" s="267"/>
      <c r="G129" s="1399"/>
      <c r="H129" s="1408"/>
      <c r="I129" s="1400"/>
      <c r="J129" s="1380"/>
      <c r="K129" s="1380"/>
      <c r="L129" s="1380"/>
      <c r="M129" s="608"/>
      <c r="N129" s="608"/>
      <c r="O129" s="608"/>
      <c r="P129" s="608"/>
      <c r="Q129" s="266"/>
      <c r="R129" s="266"/>
      <c r="S129" s="268"/>
      <c r="T129" s="269" t="e">
        <f>VLOOKUP(Q129,[71]Listas!$D$6:$E$10,2,0)</f>
        <v>#N/A</v>
      </c>
      <c r="U129" s="269" t="e">
        <f>HLOOKUP(R129,[71]Listas!$F$4:$J$5,2,0)</f>
        <v>#N/A</v>
      </c>
      <c r="V129" s="270" t="e">
        <f>INDEX([71]Listas!$F$6:$J$10,MATCH(Q129,[71]Listas!$D$6:$D$10,0),MATCH(R129,[71]Listas!$F$4:$J$4,0))</f>
        <v>#N/A</v>
      </c>
      <c r="W129" s="268"/>
      <c r="X129" s="1399"/>
      <c r="Y129" s="1408"/>
      <c r="Z129" s="1400"/>
      <c r="AA129" s="1063"/>
      <c r="AB129" s="267"/>
      <c r="AC129" s="259"/>
      <c r="AD129" s="608"/>
      <c r="AE129" s="267"/>
      <c r="AF129" s="268"/>
      <c r="AG129" s="269">
        <f t="shared" si="12"/>
        <v>0</v>
      </c>
      <c r="AH129" s="271" t="e">
        <f t="shared" si="13"/>
        <v>#N/A</v>
      </c>
      <c r="AI129" s="272" t="e">
        <f>IF(AH129&lt;=1,"Remota",VLOOKUP(AH129,[71]Listas!$C$6:$D$10,2,0))</f>
        <v>#N/A</v>
      </c>
      <c r="AJ129" s="271" t="e">
        <f t="shared" si="14"/>
        <v>#N/A</v>
      </c>
      <c r="AK129" s="272" t="e">
        <f>IF(AJ129&lt;=1,"Insignificante",HLOOKUP(AJ129,[71]Listas!$F$3:$J$4,2,0))</f>
        <v>#N/A</v>
      </c>
      <c r="AL129" s="273" t="e">
        <f t="shared" si="15"/>
        <v>#N/A</v>
      </c>
      <c r="AM129" s="270" t="e">
        <f>INDEX([71]Listas!$F$6:$J$10,MATCH(AI129,[71]Listas!$D$6:$D$10,0),MATCH(AK129,[71]Listas!$F$4:$J$4,0))</f>
        <v>#N/A</v>
      </c>
      <c r="AN129" s="259"/>
      <c r="AO129" s="259"/>
      <c r="AP129" s="610"/>
      <c r="AQ129" s="259"/>
      <c r="AR129" s="259" t="s">
        <v>2343</v>
      </c>
      <c r="AS129" s="608"/>
      <c r="AT129" s="259"/>
      <c r="AU129" s="259"/>
      <c r="AV129" s="261"/>
      <c r="AW129" s="261"/>
      <c r="AX129" s="608"/>
      <c r="AY129" s="262"/>
    </row>
    <row r="130" spans="1:51" s="260" customFormat="1" ht="103.5" hidden="1" customHeight="1">
      <c r="A130" s="608"/>
      <c r="B130" s="266"/>
      <c r="C130" s="1399"/>
      <c r="D130" s="1408"/>
      <c r="E130" s="1400"/>
      <c r="F130" s="267"/>
      <c r="G130" s="1399"/>
      <c r="H130" s="1408"/>
      <c r="I130" s="1400"/>
      <c r="J130" s="1380"/>
      <c r="K130" s="1380"/>
      <c r="L130" s="1380"/>
      <c r="M130" s="608"/>
      <c r="N130" s="608"/>
      <c r="O130" s="608"/>
      <c r="P130" s="608"/>
      <c r="Q130" s="266"/>
      <c r="R130" s="266"/>
      <c r="S130" s="268"/>
      <c r="T130" s="269" t="e">
        <f>VLOOKUP(Q130,[71]Listas!$D$6:$E$10,2,0)</f>
        <v>#N/A</v>
      </c>
      <c r="U130" s="269" t="e">
        <f>HLOOKUP(R130,[71]Listas!$F$4:$J$5,2,0)</f>
        <v>#N/A</v>
      </c>
      <c r="V130" s="270" t="e">
        <f>INDEX([71]Listas!$F$6:$J$10,MATCH(Q130,[71]Listas!$D$6:$D$10,0),MATCH(R130,[71]Listas!$F$4:$J$4,0))</f>
        <v>#N/A</v>
      </c>
      <c r="W130" s="268"/>
      <c r="X130" s="1399"/>
      <c r="Y130" s="1408"/>
      <c r="Z130" s="1400"/>
      <c r="AA130" s="1063"/>
      <c r="AB130" s="267"/>
      <c r="AC130" s="259"/>
      <c r="AD130" s="608"/>
      <c r="AE130" s="267"/>
      <c r="AF130" s="268"/>
      <c r="AG130" s="269">
        <f t="shared" si="12"/>
        <v>0</v>
      </c>
      <c r="AH130" s="271" t="e">
        <f t="shared" si="13"/>
        <v>#N/A</v>
      </c>
      <c r="AI130" s="272" t="e">
        <f>IF(AH130&lt;=1,"Remota",VLOOKUP(AH130,[71]Listas!$C$6:$D$10,2,0))</f>
        <v>#N/A</v>
      </c>
      <c r="AJ130" s="271" t="e">
        <f t="shared" si="14"/>
        <v>#N/A</v>
      </c>
      <c r="AK130" s="272" t="e">
        <f>IF(AJ130&lt;=1,"Insignificante",HLOOKUP(AJ130,[71]Listas!$F$3:$J$4,2,0))</f>
        <v>#N/A</v>
      </c>
      <c r="AL130" s="273" t="e">
        <f t="shared" si="15"/>
        <v>#N/A</v>
      </c>
      <c r="AM130" s="270" t="e">
        <f>INDEX([71]Listas!$F$6:$J$10,MATCH(AI130,[71]Listas!$D$6:$D$10,0),MATCH(AK130,[71]Listas!$F$4:$J$4,0))</f>
        <v>#N/A</v>
      </c>
      <c r="AN130" s="259"/>
      <c r="AO130" s="259"/>
      <c r="AP130" s="610"/>
      <c r="AQ130" s="259"/>
      <c r="AR130" s="259" t="s">
        <v>2343</v>
      </c>
      <c r="AS130" s="608"/>
      <c r="AT130" s="259"/>
      <c r="AU130" s="259"/>
      <c r="AV130" s="261"/>
      <c r="AW130" s="261"/>
      <c r="AX130" s="608"/>
      <c r="AY130" s="262"/>
    </row>
    <row r="131" spans="1:51" s="260" customFormat="1" ht="103.5" hidden="1" customHeight="1">
      <c r="A131" s="608"/>
      <c r="B131" s="266"/>
      <c r="C131" s="1399"/>
      <c r="D131" s="1408"/>
      <c r="E131" s="1400"/>
      <c r="F131" s="267"/>
      <c r="G131" s="1399"/>
      <c r="H131" s="1408"/>
      <c r="I131" s="1400"/>
      <c r="J131" s="1380"/>
      <c r="K131" s="1380"/>
      <c r="L131" s="1380"/>
      <c r="M131" s="608"/>
      <c r="N131" s="608"/>
      <c r="O131" s="608"/>
      <c r="P131" s="608"/>
      <c r="Q131" s="266"/>
      <c r="R131" s="266"/>
      <c r="S131" s="268"/>
      <c r="T131" s="269" t="e">
        <f>VLOOKUP(Q131,[71]Listas!$D$6:$E$10,2,0)</f>
        <v>#N/A</v>
      </c>
      <c r="U131" s="269" t="e">
        <f>HLOOKUP(R131,[71]Listas!$F$4:$J$5,2,0)</f>
        <v>#N/A</v>
      </c>
      <c r="V131" s="270" t="e">
        <f>INDEX([71]Listas!$F$6:$J$10,MATCH(Q131,[71]Listas!$D$6:$D$10,0),MATCH(R131,[71]Listas!$F$4:$J$4,0))</f>
        <v>#N/A</v>
      </c>
      <c r="W131" s="268"/>
      <c r="X131" s="1399"/>
      <c r="Y131" s="1408"/>
      <c r="Z131" s="1400"/>
      <c r="AA131" s="1063"/>
      <c r="AB131" s="267"/>
      <c r="AC131" s="259"/>
      <c r="AD131" s="608"/>
      <c r="AE131" s="267"/>
      <c r="AF131" s="268"/>
      <c r="AG131" s="269">
        <f t="shared" si="12"/>
        <v>0</v>
      </c>
      <c r="AH131" s="271" t="e">
        <f t="shared" si="13"/>
        <v>#N/A</v>
      </c>
      <c r="AI131" s="272" t="e">
        <f>IF(AH131&lt;=1,"Remota",VLOOKUP(AH131,[71]Listas!$C$6:$D$10,2,0))</f>
        <v>#N/A</v>
      </c>
      <c r="AJ131" s="271" t="e">
        <f t="shared" si="14"/>
        <v>#N/A</v>
      </c>
      <c r="AK131" s="272" t="e">
        <f>IF(AJ131&lt;=1,"Insignificante",HLOOKUP(AJ131,[71]Listas!$F$3:$J$4,2,0))</f>
        <v>#N/A</v>
      </c>
      <c r="AL131" s="273" t="e">
        <f t="shared" si="15"/>
        <v>#N/A</v>
      </c>
      <c r="AM131" s="270" t="e">
        <f>INDEX([71]Listas!$F$6:$J$10,MATCH(AI131,[71]Listas!$D$6:$D$10,0),MATCH(AK131,[71]Listas!$F$4:$J$4,0))</f>
        <v>#N/A</v>
      </c>
      <c r="AN131" s="259"/>
      <c r="AO131" s="259"/>
      <c r="AP131" s="610"/>
      <c r="AQ131" s="259"/>
      <c r="AR131" s="259" t="s">
        <v>2343</v>
      </c>
      <c r="AS131" s="608"/>
      <c r="AT131" s="259"/>
      <c r="AU131" s="259"/>
      <c r="AV131" s="261"/>
      <c r="AW131" s="261"/>
      <c r="AX131" s="608"/>
      <c r="AY131" s="262"/>
    </row>
    <row r="132" spans="1:51" s="260" customFormat="1" ht="103.5" hidden="1" customHeight="1">
      <c r="A132" s="608"/>
      <c r="B132" s="266"/>
      <c r="C132" s="1399"/>
      <c r="D132" s="1408"/>
      <c r="E132" s="1400"/>
      <c r="F132" s="267"/>
      <c r="G132" s="1399"/>
      <c r="H132" s="1408"/>
      <c r="I132" s="1400"/>
      <c r="J132" s="1380"/>
      <c r="K132" s="1380"/>
      <c r="L132" s="1380"/>
      <c r="M132" s="608"/>
      <c r="N132" s="608"/>
      <c r="O132" s="608"/>
      <c r="P132" s="608"/>
      <c r="Q132" s="266"/>
      <c r="R132" s="266"/>
      <c r="S132" s="268"/>
      <c r="T132" s="269" t="e">
        <f>VLOOKUP(Q132,[71]Listas!$D$6:$E$10,2,0)</f>
        <v>#N/A</v>
      </c>
      <c r="U132" s="269" t="e">
        <f>HLOOKUP(R132,[71]Listas!$F$4:$J$5,2,0)</f>
        <v>#N/A</v>
      </c>
      <c r="V132" s="270" t="e">
        <f>INDEX([71]Listas!$F$6:$J$10,MATCH(Q132,[71]Listas!$D$6:$D$10,0),MATCH(R132,[71]Listas!$F$4:$J$4,0))</f>
        <v>#N/A</v>
      </c>
      <c r="W132" s="268"/>
      <c r="X132" s="1399"/>
      <c r="Y132" s="1408"/>
      <c r="Z132" s="1400"/>
      <c r="AA132" s="1063"/>
      <c r="AB132" s="267"/>
      <c r="AC132" s="259"/>
      <c r="AD132" s="608"/>
      <c r="AE132" s="267"/>
      <c r="AF132" s="268"/>
      <c r="AG132" s="269">
        <f t="shared" si="12"/>
        <v>0</v>
      </c>
      <c r="AH132" s="271" t="e">
        <f t="shared" si="13"/>
        <v>#N/A</v>
      </c>
      <c r="AI132" s="272" t="e">
        <f>IF(AH132&lt;=1,"Remota",VLOOKUP(AH132,[71]Listas!$C$6:$D$10,2,0))</f>
        <v>#N/A</v>
      </c>
      <c r="AJ132" s="271" t="e">
        <f t="shared" si="14"/>
        <v>#N/A</v>
      </c>
      <c r="AK132" s="272" t="e">
        <f>IF(AJ132&lt;=1,"Insignificante",HLOOKUP(AJ132,[71]Listas!$F$3:$J$4,2,0))</f>
        <v>#N/A</v>
      </c>
      <c r="AL132" s="273" t="e">
        <f t="shared" si="15"/>
        <v>#N/A</v>
      </c>
      <c r="AM132" s="270" t="e">
        <f>INDEX([71]Listas!$F$6:$J$10,MATCH(AI132,[71]Listas!$D$6:$D$10,0),MATCH(AK132,[71]Listas!$F$4:$J$4,0))</f>
        <v>#N/A</v>
      </c>
      <c r="AN132" s="259"/>
      <c r="AO132" s="259"/>
      <c r="AP132" s="610"/>
      <c r="AQ132" s="259"/>
      <c r="AR132" s="259" t="s">
        <v>2343</v>
      </c>
      <c r="AS132" s="608"/>
      <c r="AT132" s="259"/>
      <c r="AU132" s="259"/>
      <c r="AV132" s="261"/>
      <c r="AW132" s="261"/>
      <c r="AX132" s="608"/>
      <c r="AY132" s="262"/>
    </row>
    <row r="133" spans="1:51" s="260" customFormat="1" ht="103.5" hidden="1" customHeight="1">
      <c r="A133" s="608"/>
      <c r="B133" s="266"/>
      <c r="C133" s="1399"/>
      <c r="D133" s="1408"/>
      <c r="E133" s="1400"/>
      <c r="F133" s="267"/>
      <c r="G133" s="1399"/>
      <c r="H133" s="1408"/>
      <c r="I133" s="1400"/>
      <c r="J133" s="1380"/>
      <c r="K133" s="1380"/>
      <c r="L133" s="1380"/>
      <c r="M133" s="608"/>
      <c r="N133" s="608"/>
      <c r="O133" s="608"/>
      <c r="P133" s="608"/>
      <c r="Q133" s="266"/>
      <c r="R133" s="266"/>
      <c r="S133" s="268"/>
      <c r="T133" s="269" t="e">
        <f>VLOOKUP(Q133,[71]Listas!$D$6:$E$10,2,0)</f>
        <v>#N/A</v>
      </c>
      <c r="U133" s="269" t="e">
        <f>HLOOKUP(R133,[71]Listas!$F$4:$J$5,2,0)</f>
        <v>#N/A</v>
      </c>
      <c r="V133" s="270" t="e">
        <f>INDEX([71]Listas!$F$6:$J$10,MATCH(Q133,[71]Listas!$D$6:$D$10,0),MATCH(R133,[71]Listas!$F$4:$J$4,0))</f>
        <v>#N/A</v>
      </c>
      <c r="W133" s="268"/>
      <c r="X133" s="1399"/>
      <c r="Y133" s="1408"/>
      <c r="Z133" s="1400"/>
      <c r="AA133" s="1063"/>
      <c r="AB133" s="267"/>
      <c r="AC133" s="259"/>
      <c r="AD133" s="608"/>
      <c r="AE133" s="267"/>
      <c r="AF133" s="268"/>
      <c r="AG133" s="269">
        <f t="shared" si="12"/>
        <v>0</v>
      </c>
      <c r="AH133" s="271" t="e">
        <f t="shared" si="13"/>
        <v>#N/A</v>
      </c>
      <c r="AI133" s="272" t="e">
        <f>IF(AH133&lt;=1,"Remota",VLOOKUP(AH133,[71]Listas!$C$6:$D$10,2,0))</f>
        <v>#N/A</v>
      </c>
      <c r="AJ133" s="271" t="e">
        <f t="shared" si="14"/>
        <v>#N/A</v>
      </c>
      <c r="AK133" s="272" t="e">
        <f>IF(AJ133&lt;=1,"Insignificante",HLOOKUP(AJ133,[71]Listas!$F$3:$J$4,2,0))</f>
        <v>#N/A</v>
      </c>
      <c r="AL133" s="273" t="e">
        <f t="shared" si="15"/>
        <v>#N/A</v>
      </c>
      <c r="AM133" s="270" t="e">
        <f>INDEX([71]Listas!$F$6:$J$10,MATCH(AI133,[71]Listas!$D$6:$D$10,0),MATCH(AK133,[71]Listas!$F$4:$J$4,0))</f>
        <v>#N/A</v>
      </c>
      <c r="AN133" s="259"/>
      <c r="AO133" s="259"/>
      <c r="AP133" s="610"/>
      <c r="AQ133" s="259"/>
      <c r="AR133" s="259" t="s">
        <v>2343</v>
      </c>
      <c r="AS133" s="608"/>
      <c r="AT133" s="259"/>
      <c r="AU133" s="259"/>
      <c r="AV133" s="261"/>
      <c r="AW133" s="261"/>
      <c r="AX133" s="608"/>
      <c r="AY133" s="262"/>
    </row>
    <row r="134" spans="1:51" s="260" customFormat="1" ht="103.5" hidden="1" customHeight="1">
      <c r="A134" s="608"/>
      <c r="B134" s="266"/>
      <c r="C134" s="1399"/>
      <c r="D134" s="1408"/>
      <c r="E134" s="1400"/>
      <c r="F134" s="267"/>
      <c r="G134" s="1399"/>
      <c r="H134" s="1408"/>
      <c r="I134" s="1400"/>
      <c r="J134" s="1380"/>
      <c r="K134" s="1380"/>
      <c r="L134" s="1380"/>
      <c r="M134" s="608"/>
      <c r="N134" s="608"/>
      <c r="O134" s="608"/>
      <c r="P134" s="608"/>
      <c r="Q134" s="266"/>
      <c r="R134" s="266"/>
      <c r="S134" s="268"/>
      <c r="T134" s="269" t="e">
        <f>VLOOKUP(Q134,[71]Listas!$D$6:$E$10,2,0)</f>
        <v>#N/A</v>
      </c>
      <c r="U134" s="269" t="e">
        <f>HLOOKUP(R134,[71]Listas!$F$4:$J$5,2,0)</f>
        <v>#N/A</v>
      </c>
      <c r="V134" s="270" t="e">
        <f>INDEX([71]Listas!$F$6:$J$10,MATCH(Q134,[71]Listas!$D$6:$D$10,0),MATCH(R134,[71]Listas!$F$4:$J$4,0))</f>
        <v>#N/A</v>
      </c>
      <c r="W134" s="268"/>
      <c r="X134" s="1399"/>
      <c r="Y134" s="1408"/>
      <c r="Z134" s="1400"/>
      <c r="AA134" s="1063"/>
      <c r="AB134" s="267"/>
      <c r="AC134" s="259"/>
      <c r="AD134" s="608"/>
      <c r="AE134" s="267"/>
      <c r="AF134" s="268"/>
      <c r="AG134" s="269">
        <f t="shared" si="12"/>
        <v>0</v>
      </c>
      <c r="AH134" s="271" t="e">
        <f t="shared" si="13"/>
        <v>#N/A</v>
      </c>
      <c r="AI134" s="272" t="e">
        <f>IF(AH134&lt;=1,"Remota",VLOOKUP(AH134,[71]Listas!$C$6:$D$10,2,0))</f>
        <v>#N/A</v>
      </c>
      <c r="AJ134" s="271" t="e">
        <f t="shared" si="14"/>
        <v>#N/A</v>
      </c>
      <c r="AK134" s="272" t="e">
        <f>IF(AJ134&lt;=1,"Insignificante",HLOOKUP(AJ134,[71]Listas!$F$3:$J$4,2,0))</f>
        <v>#N/A</v>
      </c>
      <c r="AL134" s="273" t="e">
        <f t="shared" si="15"/>
        <v>#N/A</v>
      </c>
      <c r="AM134" s="270" t="e">
        <f>INDEX([71]Listas!$F$6:$J$10,MATCH(AI134,[71]Listas!$D$6:$D$10,0),MATCH(AK134,[71]Listas!$F$4:$J$4,0))</f>
        <v>#N/A</v>
      </c>
      <c r="AN134" s="259"/>
      <c r="AO134" s="259"/>
      <c r="AP134" s="610"/>
      <c r="AQ134" s="259"/>
      <c r="AR134" s="259" t="s">
        <v>2343</v>
      </c>
      <c r="AS134" s="608"/>
      <c r="AT134" s="259"/>
      <c r="AU134" s="259"/>
      <c r="AV134" s="261"/>
      <c r="AW134" s="261"/>
      <c r="AX134" s="608"/>
      <c r="AY134" s="262"/>
    </row>
    <row r="135" spans="1:51" s="260" customFormat="1" ht="103.5" hidden="1" customHeight="1">
      <c r="A135" s="608"/>
      <c r="B135" s="266"/>
      <c r="C135" s="1399"/>
      <c r="D135" s="1408"/>
      <c r="E135" s="1400"/>
      <c r="F135" s="267"/>
      <c r="G135" s="1399"/>
      <c r="H135" s="1408"/>
      <c r="I135" s="1400"/>
      <c r="J135" s="1380"/>
      <c r="K135" s="1380"/>
      <c r="L135" s="1380"/>
      <c r="M135" s="608"/>
      <c r="N135" s="608"/>
      <c r="O135" s="608"/>
      <c r="P135" s="608"/>
      <c r="Q135" s="266"/>
      <c r="R135" s="266"/>
      <c r="S135" s="268"/>
      <c r="T135" s="269" t="e">
        <f>VLOOKUP(Q135,[71]Listas!$D$6:$E$10,2,0)</f>
        <v>#N/A</v>
      </c>
      <c r="U135" s="269" t="e">
        <f>HLOOKUP(R135,[71]Listas!$F$4:$J$5,2,0)</f>
        <v>#N/A</v>
      </c>
      <c r="V135" s="270" t="e">
        <f>INDEX([71]Listas!$F$6:$J$10,MATCH(Q135,[71]Listas!$D$6:$D$10,0),MATCH(R135,[71]Listas!$F$4:$J$4,0))</f>
        <v>#N/A</v>
      </c>
      <c r="W135" s="268"/>
      <c r="X135" s="1399"/>
      <c r="Y135" s="1408"/>
      <c r="Z135" s="1400"/>
      <c r="AA135" s="1063"/>
      <c r="AB135" s="267"/>
      <c r="AC135" s="259"/>
      <c r="AD135" s="608"/>
      <c r="AE135" s="267"/>
      <c r="AF135" s="268"/>
      <c r="AG135" s="269">
        <f t="shared" si="12"/>
        <v>0</v>
      </c>
      <c r="AH135" s="271" t="e">
        <f t="shared" si="13"/>
        <v>#N/A</v>
      </c>
      <c r="AI135" s="272" t="e">
        <f>IF(AH135&lt;=1,"Remota",VLOOKUP(AH135,[71]Listas!$C$6:$D$10,2,0))</f>
        <v>#N/A</v>
      </c>
      <c r="AJ135" s="271" t="e">
        <f t="shared" si="14"/>
        <v>#N/A</v>
      </c>
      <c r="AK135" s="272" t="e">
        <f>IF(AJ135&lt;=1,"Insignificante",HLOOKUP(AJ135,[71]Listas!$F$3:$J$4,2,0))</f>
        <v>#N/A</v>
      </c>
      <c r="AL135" s="273" t="e">
        <f t="shared" si="15"/>
        <v>#N/A</v>
      </c>
      <c r="AM135" s="270" t="e">
        <f>INDEX([71]Listas!$F$6:$J$10,MATCH(AI135,[71]Listas!$D$6:$D$10,0),MATCH(AK135,[71]Listas!$F$4:$J$4,0))</f>
        <v>#N/A</v>
      </c>
      <c r="AN135" s="259"/>
      <c r="AO135" s="259"/>
      <c r="AP135" s="610"/>
      <c r="AQ135" s="259"/>
      <c r="AR135" s="259" t="s">
        <v>2343</v>
      </c>
      <c r="AS135" s="608"/>
      <c r="AT135" s="259"/>
      <c r="AU135" s="259"/>
      <c r="AV135" s="261"/>
      <c r="AW135" s="261"/>
      <c r="AX135" s="608"/>
      <c r="AY135" s="262"/>
    </row>
    <row r="136" spans="1:51" s="260" customFormat="1" ht="103.5" hidden="1" customHeight="1">
      <c r="A136" s="608"/>
      <c r="B136" s="266"/>
      <c r="C136" s="1399"/>
      <c r="D136" s="1408"/>
      <c r="E136" s="1400"/>
      <c r="F136" s="267"/>
      <c r="G136" s="1399"/>
      <c r="H136" s="1408"/>
      <c r="I136" s="1400"/>
      <c r="J136" s="1380"/>
      <c r="K136" s="1380"/>
      <c r="L136" s="1380"/>
      <c r="M136" s="608"/>
      <c r="N136" s="608"/>
      <c r="O136" s="608"/>
      <c r="P136" s="608"/>
      <c r="Q136" s="266"/>
      <c r="R136" s="266"/>
      <c r="S136" s="268"/>
      <c r="T136" s="269" t="e">
        <f>VLOOKUP(Q136,[71]Listas!$D$6:$E$10,2,0)</f>
        <v>#N/A</v>
      </c>
      <c r="U136" s="269" t="e">
        <f>HLOOKUP(R136,[71]Listas!$F$4:$J$5,2,0)</f>
        <v>#N/A</v>
      </c>
      <c r="V136" s="270" t="e">
        <f>INDEX([71]Listas!$F$6:$J$10,MATCH(Q136,[71]Listas!$D$6:$D$10,0),MATCH(R136,[71]Listas!$F$4:$J$4,0))</f>
        <v>#N/A</v>
      </c>
      <c r="W136" s="268"/>
      <c r="X136" s="1399"/>
      <c r="Y136" s="1408"/>
      <c r="Z136" s="1400"/>
      <c r="AA136" s="1063"/>
      <c r="AB136" s="267"/>
      <c r="AC136" s="259"/>
      <c r="AD136" s="608"/>
      <c r="AE136" s="267"/>
      <c r="AF136" s="268"/>
      <c r="AG136" s="269">
        <f t="shared" si="12"/>
        <v>0</v>
      </c>
      <c r="AH136" s="271" t="e">
        <f t="shared" si="13"/>
        <v>#N/A</v>
      </c>
      <c r="AI136" s="272" t="e">
        <f>IF(AH136&lt;=1,"Remota",VLOOKUP(AH136,[71]Listas!$C$6:$D$10,2,0))</f>
        <v>#N/A</v>
      </c>
      <c r="AJ136" s="271" t="e">
        <f t="shared" si="14"/>
        <v>#N/A</v>
      </c>
      <c r="AK136" s="272" t="e">
        <f>IF(AJ136&lt;=1,"Insignificante",HLOOKUP(AJ136,[71]Listas!$F$3:$J$4,2,0))</f>
        <v>#N/A</v>
      </c>
      <c r="AL136" s="273" t="e">
        <f t="shared" si="15"/>
        <v>#N/A</v>
      </c>
      <c r="AM136" s="270" t="e">
        <f>INDEX([71]Listas!$F$6:$J$10,MATCH(AI136,[71]Listas!$D$6:$D$10,0),MATCH(AK136,[71]Listas!$F$4:$J$4,0))</f>
        <v>#N/A</v>
      </c>
      <c r="AN136" s="259"/>
      <c r="AO136" s="259"/>
      <c r="AP136" s="610"/>
      <c r="AQ136" s="259"/>
      <c r="AR136" s="259" t="s">
        <v>2343</v>
      </c>
      <c r="AS136" s="608"/>
      <c r="AT136" s="259"/>
      <c r="AU136" s="259"/>
      <c r="AV136" s="261"/>
      <c r="AW136" s="261"/>
      <c r="AX136" s="608"/>
      <c r="AY136" s="262"/>
    </row>
    <row r="137" spans="1:51" s="260" customFormat="1" ht="103.5" hidden="1" customHeight="1">
      <c r="A137" s="608"/>
      <c r="B137" s="266"/>
      <c r="C137" s="1399"/>
      <c r="D137" s="1408"/>
      <c r="E137" s="1400"/>
      <c r="F137" s="267"/>
      <c r="G137" s="1399"/>
      <c r="H137" s="1408"/>
      <c r="I137" s="1400"/>
      <c r="J137" s="1380"/>
      <c r="K137" s="1380"/>
      <c r="L137" s="1380"/>
      <c r="M137" s="608"/>
      <c r="N137" s="608"/>
      <c r="O137" s="608"/>
      <c r="P137" s="608"/>
      <c r="Q137" s="266"/>
      <c r="R137" s="266"/>
      <c r="S137" s="268"/>
      <c r="T137" s="269" t="e">
        <f>VLOOKUP(Q137,[71]Listas!$D$6:$E$10,2,0)</f>
        <v>#N/A</v>
      </c>
      <c r="U137" s="269" t="e">
        <f>HLOOKUP(R137,[71]Listas!$F$4:$J$5,2,0)</f>
        <v>#N/A</v>
      </c>
      <c r="V137" s="270" t="e">
        <f>INDEX([71]Listas!$F$6:$J$10,MATCH(Q137,[71]Listas!$D$6:$D$10,0),MATCH(R137,[71]Listas!$F$4:$J$4,0))</f>
        <v>#N/A</v>
      </c>
      <c r="W137" s="268"/>
      <c r="X137" s="1399"/>
      <c r="Y137" s="1408"/>
      <c r="Z137" s="1400"/>
      <c r="AA137" s="1063"/>
      <c r="AB137" s="267"/>
      <c r="AC137" s="259"/>
      <c r="AD137" s="608"/>
      <c r="AE137" s="267"/>
      <c r="AF137" s="268"/>
      <c r="AG137" s="269">
        <f t="shared" si="12"/>
        <v>0</v>
      </c>
      <c r="AH137" s="271" t="e">
        <f t="shared" si="13"/>
        <v>#N/A</v>
      </c>
      <c r="AI137" s="272" t="e">
        <f>IF(AH137&lt;=1,"Remota",VLOOKUP(AH137,[71]Listas!$C$6:$D$10,2,0))</f>
        <v>#N/A</v>
      </c>
      <c r="AJ137" s="271" t="e">
        <f t="shared" si="14"/>
        <v>#N/A</v>
      </c>
      <c r="AK137" s="272" t="e">
        <f>IF(AJ137&lt;=1,"Insignificante",HLOOKUP(AJ137,[71]Listas!$F$3:$J$4,2,0))</f>
        <v>#N/A</v>
      </c>
      <c r="AL137" s="273" t="e">
        <f t="shared" si="15"/>
        <v>#N/A</v>
      </c>
      <c r="AM137" s="270" t="e">
        <f>INDEX([71]Listas!$F$6:$J$10,MATCH(AI137,[71]Listas!$D$6:$D$10,0),MATCH(AK137,[71]Listas!$F$4:$J$4,0))</f>
        <v>#N/A</v>
      </c>
      <c r="AN137" s="259"/>
      <c r="AO137" s="259"/>
      <c r="AP137" s="610"/>
      <c r="AQ137" s="259"/>
      <c r="AR137" s="259" t="s">
        <v>2343</v>
      </c>
      <c r="AS137" s="608"/>
      <c r="AT137" s="259"/>
      <c r="AU137" s="259"/>
      <c r="AV137" s="261"/>
      <c r="AW137" s="261"/>
      <c r="AX137" s="608"/>
      <c r="AY137" s="262"/>
    </row>
    <row r="138" spans="1:51" s="260" customFormat="1" ht="103.5" hidden="1" customHeight="1">
      <c r="A138" s="608"/>
      <c r="B138" s="266"/>
      <c r="C138" s="1399"/>
      <c r="D138" s="1408"/>
      <c r="E138" s="1400"/>
      <c r="F138" s="267"/>
      <c r="G138" s="1399"/>
      <c r="H138" s="1408"/>
      <c r="I138" s="1400"/>
      <c r="J138" s="1380"/>
      <c r="K138" s="1380"/>
      <c r="L138" s="1380"/>
      <c r="M138" s="608"/>
      <c r="N138" s="608"/>
      <c r="O138" s="608"/>
      <c r="P138" s="608"/>
      <c r="Q138" s="266"/>
      <c r="R138" s="266"/>
      <c r="S138" s="268"/>
      <c r="T138" s="269" t="e">
        <f>VLOOKUP(Q138,[71]Listas!$D$6:$E$10,2,0)</f>
        <v>#N/A</v>
      </c>
      <c r="U138" s="269" t="e">
        <f>HLOOKUP(R138,[71]Listas!$F$4:$J$5,2,0)</f>
        <v>#N/A</v>
      </c>
      <c r="V138" s="270" t="e">
        <f>INDEX([71]Listas!$F$6:$J$10,MATCH(Q138,[71]Listas!$D$6:$D$10,0),MATCH(R138,[71]Listas!$F$4:$J$4,0))</f>
        <v>#N/A</v>
      </c>
      <c r="W138" s="268"/>
      <c r="X138" s="1399"/>
      <c r="Y138" s="1408"/>
      <c r="Z138" s="1400"/>
      <c r="AA138" s="1063"/>
      <c r="AB138" s="267"/>
      <c r="AC138" s="259"/>
      <c r="AD138" s="608"/>
      <c r="AE138" s="267"/>
      <c r="AF138" s="268"/>
      <c r="AG138" s="269">
        <f t="shared" si="12"/>
        <v>0</v>
      </c>
      <c r="AH138" s="271" t="e">
        <f t="shared" si="13"/>
        <v>#N/A</v>
      </c>
      <c r="AI138" s="272" t="e">
        <f>IF(AH138&lt;=1,"Remota",VLOOKUP(AH138,[71]Listas!$C$6:$D$10,2,0))</f>
        <v>#N/A</v>
      </c>
      <c r="AJ138" s="271" t="e">
        <f t="shared" si="14"/>
        <v>#N/A</v>
      </c>
      <c r="AK138" s="272" t="e">
        <f>IF(AJ138&lt;=1,"Insignificante",HLOOKUP(AJ138,[71]Listas!$F$3:$J$4,2,0))</f>
        <v>#N/A</v>
      </c>
      <c r="AL138" s="273" t="e">
        <f t="shared" si="15"/>
        <v>#N/A</v>
      </c>
      <c r="AM138" s="270" t="e">
        <f>INDEX([71]Listas!$F$6:$J$10,MATCH(AI138,[71]Listas!$D$6:$D$10,0),MATCH(AK138,[71]Listas!$F$4:$J$4,0))</f>
        <v>#N/A</v>
      </c>
      <c r="AN138" s="259"/>
      <c r="AO138" s="259"/>
      <c r="AP138" s="610"/>
      <c r="AQ138" s="259"/>
      <c r="AR138" s="259" t="s">
        <v>2343</v>
      </c>
      <c r="AS138" s="608"/>
      <c r="AT138" s="259"/>
      <c r="AU138" s="259"/>
      <c r="AV138" s="261"/>
      <c r="AW138" s="261"/>
      <c r="AX138" s="608"/>
      <c r="AY138" s="262"/>
    </row>
    <row r="139" spans="1:51" s="260" customFormat="1" ht="103.5" hidden="1" customHeight="1">
      <c r="A139" s="608"/>
      <c r="B139" s="266"/>
      <c r="C139" s="1399"/>
      <c r="D139" s="1408"/>
      <c r="E139" s="1400"/>
      <c r="F139" s="267"/>
      <c r="G139" s="1399"/>
      <c r="H139" s="1408"/>
      <c r="I139" s="1400"/>
      <c r="J139" s="1380"/>
      <c r="K139" s="1380"/>
      <c r="L139" s="1380"/>
      <c r="M139" s="608"/>
      <c r="N139" s="608"/>
      <c r="O139" s="608"/>
      <c r="P139" s="608"/>
      <c r="Q139" s="266"/>
      <c r="R139" s="266"/>
      <c r="S139" s="268"/>
      <c r="T139" s="269" t="e">
        <f>VLOOKUP(Q139,[71]Listas!$D$6:$E$10,2,0)</f>
        <v>#N/A</v>
      </c>
      <c r="U139" s="269" t="e">
        <f>HLOOKUP(R139,[71]Listas!$F$4:$J$5,2,0)</f>
        <v>#N/A</v>
      </c>
      <c r="V139" s="270" t="e">
        <f>INDEX([71]Listas!$F$6:$J$10,MATCH(Q139,[71]Listas!$D$6:$D$10,0),MATCH(R139,[71]Listas!$F$4:$J$4,0))</f>
        <v>#N/A</v>
      </c>
      <c r="W139" s="268"/>
      <c r="X139" s="1399"/>
      <c r="Y139" s="1408"/>
      <c r="Z139" s="1400"/>
      <c r="AA139" s="1063"/>
      <c r="AB139" s="267"/>
      <c r="AC139" s="259"/>
      <c r="AD139" s="608"/>
      <c r="AE139" s="267"/>
      <c r="AF139" s="268"/>
      <c r="AG139" s="269">
        <f t="shared" si="12"/>
        <v>0</v>
      </c>
      <c r="AH139" s="271" t="e">
        <f t="shared" si="13"/>
        <v>#N/A</v>
      </c>
      <c r="AI139" s="272" t="e">
        <f>IF(AH139&lt;=1,"Remota",VLOOKUP(AH139,[71]Listas!$C$6:$D$10,2,0))</f>
        <v>#N/A</v>
      </c>
      <c r="AJ139" s="271" t="e">
        <f t="shared" si="14"/>
        <v>#N/A</v>
      </c>
      <c r="AK139" s="272" t="e">
        <f>IF(AJ139&lt;=1,"Insignificante",HLOOKUP(AJ139,[71]Listas!$F$3:$J$4,2,0))</f>
        <v>#N/A</v>
      </c>
      <c r="AL139" s="273" t="e">
        <f t="shared" si="15"/>
        <v>#N/A</v>
      </c>
      <c r="AM139" s="270" t="e">
        <f>INDEX([71]Listas!$F$6:$J$10,MATCH(AI139,[71]Listas!$D$6:$D$10,0),MATCH(AK139,[71]Listas!$F$4:$J$4,0))</f>
        <v>#N/A</v>
      </c>
      <c r="AN139" s="259"/>
      <c r="AO139" s="259"/>
      <c r="AP139" s="610"/>
      <c r="AQ139" s="259"/>
      <c r="AR139" s="259" t="s">
        <v>2343</v>
      </c>
      <c r="AS139" s="608"/>
      <c r="AT139" s="259"/>
      <c r="AU139" s="259"/>
      <c r="AV139" s="261"/>
      <c r="AW139" s="261"/>
      <c r="AX139" s="608"/>
      <c r="AY139" s="262"/>
    </row>
    <row r="140" spans="1:51" s="260" customFormat="1" ht="103.5" hidden="1" customHeight="1">
      <c r="A140" s="608"/>
      <c r="B140" s="266"/>
      <c r="C140" s="1399"/>
      <c r="D140" s="1408"/>
      <c r="E140" s="1400"/>
      <c r="F140" s="267"/>
      <c r="G140" s="1399"/>
      <c r="H140" s="1408"/>
      <c r="I140" s="1400"/>
      <c r="J140" s="1380"/>
      <c r="K140" s="1380"/>
      <c r="L140" s="1380"/>
      <c r="M140" s="608"/>
      <c r="N140" s="608"/>
      <c r="O140" s="608"/>
      <c r="P140" s="608"/>
      <c r="Q140" s="266"/>
      <c r="R140" s="266"/>
      <c r="S140" s="268"/>
      <c r="T140" s="269" t="e">
        <f>VLOOKUP(Q140,[71]Listas!$D$6:$E$10,2,0)</f>
        <v>#N/A</v>
      </c>
      <c r="U140" s="269" t="e">
        <f>HLOOKUP(R140,[71]Listas!$F$4:$J$5,2,0)</f>
        <v>#N/A</v>
      </c>
      <c r="V140" s="270" t="e">
        <f>INDEX([71]Listas!$F$6:$J$10,MATCH(Q140,[71]Listas!$D$6:$D$10,0),MATCH(R140,[71]Listas!$F$4:$J$4,0))</f>
        <v>#N/A</v>
      </c>
      <c r="W140" s="268"/>
      <c r="X140" s="1399"/>
      <c r="Y140" s="1408"/>
      <c r="Z140" s="1400"/>
      <c r="AA140" s="1063"/>
      <c r="AB140" s="267"/>
      <c r="AC140" s="259"/>
      <c r="AD140" s="608"/>
      <c r="AE140" s="267"/>
      <c r="AF140" s="268"/>
      <c r="AG140" s="269">
        <f t="shared" si="12"/>
        <v>0</v>
      </c>
      <c r="AH140" s="271" t="e">
        <f t="shared" si="13"/>
        <v>#N/A</v>
      </c>
      <c r="AI140" s="272" t="e">
        <f>IF(AH140&lt;=1,"Remota",VLOOKUP(AH140,[71]Listas!$C$6:$D$10,2,0))</f>
        <v>#N/A</v>
      </c>
      <c r="AJ140" s="271" t="e">
        <f t="shared" si="14"/>
        <v>#N/A</v>
      </c>
      <c r="AK140" s="272" t="e">
        <f>IF(AJ140&lt;=1,"Insignificante",HLOOKUP(AJ140,[71]Listas!$F$3:$J$4,2,0))</f>
        <v>#N/A</v>
      </c>
      <c r="AL140" s="273" t="e">
        <f t="shared" si="15"/>
        <v>#N/A</v>
      </c>
      <c r="AM140" s="270" t="e">
        <f>INDEX([71]Listas!$F$6:$J$10,MATCH(AI140,[71]Listas!$D$6:$D$10,0),MATCH(AK140,[71]Listas!$F$4:$J$4,0))</f>
        <v>#N/A</v>
      </c>
      <c r="AN140" s="259"/>
      <c r="AO140" s="259"/>
      <c r="AP140" s="610"/>
      <c r="AQ140" s="259"/>
      <c r="AR140" s="259" t="s">
        <v>2343</v>
      </c>
      <c r="AS140" s="608"/>
      <c r="AT140" s="259"/>
      <c r="AU140" s="259"/>
      <c r="AV140" s="261"/>
      <c r="AW140" s="261"/>
      <c r="AX140" s="608"/>
      <c r="AY140" s="262"/>
    </row>
    <row r="141" spans="1:51" s="260" customFormat="1" ht="103.5" hidden="1" customHeight="1">
      <c r="A141" s="608"/>
      <c r="B141" s="266"/>
      <c r="C141" s="1399"/>
      <c r="D141" s="1408"/>
      <c r="E141" s="1400"/>
      <c r="F141" s="267"/>
      <c r="G141" s="1399"/>
      <c r="H141" s="1408"/>
      <c r="I141" s="1400"/>
      <c r="J141" s="1380"/>
      <c r="K141" s="1380"/>
      <c r="L141" s="1380"/>
      <c r="M141" s="608"/>
      <c r="N141" s="608"/>
      <c r="O141" s="608"/>
      <c r="P141" s="608"/>
      <c r="Q141" s="266"/>
      <c r="R141" s="266"/>
      <c r="S141" s="268"/>
      <c r="T141" s="269" t="e">
        <f>VLOOKUP(Q141,[71]Listas!$D$6:$E$10,2,0)</f>
        <v>#N/A</v>
      </c>
      <c r="U141" s="269" t="e">
        <f>HLOOKUP(R141,[71]Listas!$F$4:$J$5,2,0)</f>
        <v>#N/A</v>
      </c>
      <c r="V141" s="270" t="e">
        <f>INDEX([71]Listas!$F$6:$J$10,MATCH(Q141,[71]Listas!$D$6:$D$10,0),MATCH(R141,[71]Listas!$F$4:$J$4,0))</f>
        <v>#N/A</v>
      </c>
      <c r="W141" s="268"/>
      <c r="X141" s="1399"/>
      <c r="Y141" s="1408"/>
      <c r="Z141" s="1400"/>
      <c r="AA141" s="1063"/>
      <c r="AB141" s="267"/>
      <c r="AC141" s="259"/>
      <c r="AD141" s="608"/>
      <c r="AE141" s="267"/>
      <c r="AF141" s="268"/>
      <c r="AG141" s="269">
        <f t="shared" si="12"/>
        <v>0</v>
      </c>
      <c r="AH141" s="271" t="e">
        <f t="shared" si="13"/>
        <v>#N/A</v>
      </c>
      <c r="AI141" s="272" t="e">
        <f>IF(AH141&lt;=1,"Remota",VLOOKUP(AH141,[71]Listas!$C$6:$D$10,2,0))</f>
        <v>#N/A</v>
      </c>
      <c r="AJ141" s="271" t="e">
        <f t="shared" si="14"/>
        <v>#N/A</v>
      </c>
      <c r="AK141" s="272" t="e">
        <f>IF(AJ141&lt;=1,"Insignificante",HLOOKUP(AJ141,[71]Listas!$F$3:$J$4,2,0))</f>
        <v>#N/A</v>
      </c>
      <c r="AL141" s="273" t="e">
        <f t="shared" si="15"/>
        <v>#N/A</v>
      </c>
      <c r="AM141" s="270" t="e">
        <f>INDEX([71]Listas!$F$6:$J$10,MATCH(AI141,[71]Listas!$D$6:$D$10,0),MATCH(AK141,[71]Listas!$F$4:$J$4,0))</f>
        <v>#N/A</v>
      </c>
      <c r="AN141" s="259"/>
      <c r="AO141" s="259"/>
      <c r="AP141" s="610"/>
      <c r="AQ141" s="259"/>
      <c r="AR141" s="259" t="s">
        <v>2343</v>
      </c>
      <c r="AS141" s="608"/>
      <c r="AT141" s="259"/>
      <c r="AU141" s="259"/>
      <c r="AV141" s="261"/>
      <c r="AW141" s="261"/>
      <c r="AX141" s="608"/>
      <c r="AY141" s="262"/>
    </row>
    <row r="142" spans="1:51" s="260" customFormat="1" ht="103.5" hidden="1" customHeight="1">
      <c r="A142" s="608"/>
      <c r="B142" s="266"/>
      <c r="C142" s="1399"/>
      <c r="D142" s="1408"/>
      <c r="E142" s="1400"/>
      <c r="F142" s="267"/>
      <c r="G142" s="1399"/>
      <c r="H142" s="1408"/>
      <c r="I142" s="1400"/>
      <c r="J142" s="1380"/>
      <c r="K142" s="1380"/>
      <c r="L142" s="1380"/>
      <c r="M142" s="608"/>
      <c r="N142" s="608"/>
      <c r="O142" s="608"/>
      <c r="P142" s="608"/>
      <c r="Q142" s="266"/>
      <c r="R142" s="266"/>
      <c r="S142" s="268"/>
      <c r="T142" s="269" t="e">
        <f>VLOOKUP(Q142,[71]Listas!$D$6:$E$10,2,0)</f>
        <v>#N/A</v>
      </c>
      <c r="U142" s="269" t="e">
        <f>HLOOKUP(R142,[71]Listas!$F$4:$J$5,2,0)</f>
        <v>#N/A</v>
      </c>
      <c r="V142" s="270" t="e">
        <f>INDEX([71]Listas!$F$6:$J$10,MATCH(Q142,[71]Listas!$D$6:$D$10,0),MATCH(R142,[71]Listas!$F$4:$J$4,0))</f>
        <v>#N/A</v>
      </c>
      <c r="W142" s="268"/>
      <c r="X142" s="1399"/>
      <c r="Y142" s="1408"/>
      <c r="Z142" s="1400"/>
      <c r="AA142" s="1063"/>
      <c r="AB142" s="267"/>
      <c r="AC142" s="259"/>
      <c r="AD142" s="608"/>
      <c r="AE142" s="267"/>
      <c r="AF142" s="268"/>
      <c r="AG142" s="269">
        <f t="shared" si="12"/>
        <v>0</v>
      </c>
      <c r="AH142" s="271" t="e">
        <f t="shared" si="13"/>
        <v>#N/A</v>
      </c>
      <c r="AI142" s="272" t="e">
        <f>IF(AH142&lt;=1,"Remota",VLOOKUP(AH142,[71]Listas!$C$6:$D$10,2,0))</f>
        <v>#N/A</v>
      </c>
      <c r="AJ142" s="271" t="e">
        <f t="shared" si="14"/>
        <v>#N/A</v>
      </c>
      <c r="AK142" s="272" t="e">
        <f>IF(AJ142&lt;=1,"Insignificante",HLOOKUP(AJ142,[71]Listas!$F$3:$J$4,2,0))</f>
        <v>#N/A</v>
      </c>
      <c r="AL142" s="273" t="e">
        <f t="shared" si="15"/>
        <v>#N/A</v>
      </c>
      <c r="AM142" s="270" t="e">
        <f>INDEX([71]Listas!$F$6:$J$10,MATCH(AI142,[71]Listas!$D$6:$D$10,0),MATCH(AK142,[71]Listas!$F$4:$J$4,0))</f>
        <v>#N/A</v>
      </c>
      <c r="AN142" s="259"/>
      <c r="AO142" s="259"/>
      <c r="AP142" s="610"/>
      <c r="AQ142" s="259"/>
      <c r="AR142" s="259" t="s">
        <v>2343</v>
      </c>
      <c r="AS142" s="608"/>
      <c r="AT142" s="259"/>
      <c r="AU142" s="259"/>
      <c r="AV142" s="261"/>
      <c r="AW142" s="261"/>
      <c r="AX142" s="608"/>
      <c r="AY142" s="262"/>
    </row>
    <row r="143" spans="1:51" s="260" customFormat="1" ht="103.5" hidden="1" customHeight="1">
      <c r="A143" s="608"/>
      <c r="B143" s="266"/>
      <c r="C143" s="1399"/>
      <c r="D143" s="1408"/>
      <c r="E143" s="1400"/>
      <c r="F143" s="267"/>
      <c r="G143" s="1399"/>
      <c r="H143" s="1408"/>
      <c r="I143" s="1400"/>
      <c r="J143" s="1380"/>
      <c r="K143" s="1380"/>
      <c r="L143" s="1380"/>
      <c r="M143" s="608"/>
      <c r="N143" s="608"/>
      <c r="O143" s="608"/>
      <c r="P143" s="608"/>
      <c r="Q143" s="266"/>
      <c r="R143" s="266"/>
      <c r="S143" s="268"/>
      <c r="T143" s="269" t="e">
        <f>VLOOKUP(Q143,[71]Listas!$D$6:$E$10,2,0)</f>
        <v>#N/A</v>
      </c>
      <c r="U143" s="269" t="e">
        <f>HLOOKUP(R143,[71]Listas!$F$4:$J$5,2,0)</f>
        <v>#N/A</v>
      </c>
      <c r="V143" s="270" t="e">
        <f>INDEX([71]Listas!$F$6:$J$10,MATCH(Q143,[71]Listas!$D$6:$D$10,0),MATCH(R143,[71]Listas!$F$4:$J$4,0))</f>
        <v>#N/A</v>
      </c>
      <c r="W143" s="268"/>
      <c r="X143" s="1399"/>
      <c r="Y143" s="1408"/>
      <c r="Z143" s="1400"/>
      <c r="AA143" s="1063"/>
      <c r="AB143" s="267"/>
      <c r="AC143" s="259"/>
      <c r="AD143" s="608"/>
      <c r="AE143" s="267"/>
      <c r="AF143" s="268"/>
      <c r="AG143" s="269">
        <f t="shared" si="12"/>
        <v>0</v>
      </c>
      <c r="AH143" s="271" t="e">
        <f t="shared" si="13"/>
        <v>#N/A</v>
      </c>
      <c r="AI143" s="272" t="e">
        <f>IF(AH143&lt;=1,"Remota",VLOOKUP(AH143,[71]Listas!$C$6:$D$10,2,0))</f>
        <v>#N/A</v>
      </c>
      <c r="AJ143" s="271" t="e">
        <f t="shared" si="14"/>
        <v>#N/A</v>
      </c>
      <c r="AK143" s="272" t="e">
        <f>IF(AJ143&lt;=1,"Insignificante",HLOOKUP(AJ143,[71]Listas!$F$3:$J$4,2,0))</f>
        <v>#N/A</v>
      </c>
      <c r="AL143" s="273" t="e">
        <f t="shared" si="15"/>
        <v>#N/A</v>
      </c>
      <c r="AM143" s="270" t="e">
        <f>INDEX([71]Listas!$F$6:$J$10,MATCH(AI143,[71]Listas!$D$6:$D$10,0),MATCH(AK143,[71]Listas!$F$4:$J$4,0))</f>
        <v>#N/A</v>
      </c>
      <c r="AN143" s="259"/>
      <c r="AO143" s="259"/>
      <c r="AP143" s="610"/>
      <c r="AQ143" s="259"/>
      <c r="AR143" s="259" t="s">
        <v>2343</v>
      </c>
      <c r="AS143" s="608"/>
      <c r="AT143" s="259"/>
      <c r="AU143" s="259"/>
      <c r="AV143" s="261"/>
      <c r="AW143" s="261"/>
      <c r="AX143" s="608"/>
      <c r="AY143" s="262"/>
    </row>
    <row r="144" spans="1:51" s="260" customFormat="1" ht="103.5" hidden="1" customHeight="1">
      <c r="A144" s="608"/>
      <c r="B144" s="266"/>
      <c r="C144" s="1399"/>
      <c r="D144" s="1408"/>
      <c r="E144" s="1400"/>
      <c r="F144" s="267"/>
      <c r="G144" s="1399"/>
      <c r="H144" s="1408"/>
      <c r="I144" s="1400"/>
      <c r="J144" s="1380"/>
      <c r="K144" s="1380"/>
      <c r="L144" s="1380"/>
      <c r="M144" s="608"/>
      <c r="N144" s="608"/>
      <c r="O144" s="608"/>
      <c r="P144" s="608"/>
      <c r="Q144" s="266"/>
      <c r="R144" s="266"/>
      <c r="S144" s="268"/>
      <c r="T144" s="269" t="e">
        <f>VLOOKUP(Q144,[71]Listas!$D$6:$E$10,2,0)</f>
        <v>#N/A</v>
      </c>
      <c r="U144" s="269" t="e">
        <f>HLOOKUP(R144,[71]Listas!$F$4:$J$5,2,0)</f>
        <v>#N/A</v>
      </c>
      <c r="V144" s="270" t="e">
        <f>INDEX([71]Listas!$F$6:$J$10,MATCH(Q144,[71]Listas!$D$6:$D$10,0),MATCH(R144,[71]Listas!$F$4:$J$4,0))</f>
        <v>#N/A</v>
      </c>
      <c r="W144" s="268"/>
      <c r="X144" s="1399"/>
      <c r="Y144" s="1408"/>
      <c r="Z144" s="1400"/>
      <c r="AA144" s="1063"/>
      <c r="AB144" s="267"/>
      <c r="AC144" s="259"/>
      <c r="AD144" s="608"/>
      <c r="AE144" s="267"/>
      <c r="AF144" s="268"/>
      <c r="AG144" s="269">
        <f t="shared" si="12"/>
        <v>0</v>
      </c>
      <c r="AH144" s="271" t="e">
        <f t="shared" si="13"/>
        <v>#N/A</v>
      </c>
      <c r="AI144" s="272" t="e">
        <f>IF(AH144&lt;=1,"Remota",VLOOKUP(AH144,[71]Listas!$C$6:$D$10,2,0))</f>
        <v>#N/A</v>
      </c>
      <c r="AJ144" s="271" t="e">
        <f t="shared" si="14"/>
        <v>#N/A</v>
      </c>
      <c r="AK144" s="272" t="e">
        <f>IF(AJ144&lt;=1,"Insignificante",HLOOKUP(AJ144,[71]Listas!$F$3:$J$4,2,0))</f>
        <v>#N/A</v>
      </c>
      <c r="AL144" s="273" t="e">
        <f t="shared" si="15"/>
        <v>#N/A</v>
      </c>
      <c r="AM144" s="270" t="e">
        <f>INDEX([71]Listas!$F$6:$J$10,MATCH(AI144,[71]Listas!$D$6:$D$10,0),MATCH(AK144,[71]Listas!$F$4:$J$4,0))</f>
        <v>#N/A</v>
      </c>
      <c r="AN144" s="259"/>
      <c r="AO144" s="259"/>
      <c r="AP144" s="610"/>
      <c r="AQ144" s="259"/>
      <c r="AR144" s="259" t="s">
        <v>2343</v>
      </c>
      <c r="AS144" s="608"/>
      <c r="AT144" s="259"/>
      <c r="AU144" s="259"/>
      <c r="AV144" s="261"/>
      <c r="AW144" s="261"/>
      <c r="AX144" s="608"/>
      <c r="AY144" s="262"/>
    </row>
    <row r="145" spans="1:51" s="260" customFormat="1" ht="103.5" hidden="1" customHeight="1">
      <c r="A145" s="608"/>
      <c r="B145" s="266"/>
      <c r="C145" s="1399"/>
      <c r="D145" s="1408"/>
      <c r="E145" s="1400"/>
      <c r="F145" s="267"/>
      <c r="G145" s="1399"/>
      <c r="H145" s="1408"/>
      <c r="I145" s="1400"/>
      <c r="J145" s="1380"/>
      <c r="K145" s="1380"/>
      <c r="L145" s="1380"/>
      <c r="M145" s="608"/>
      <c r="N145" s="608"/>
      <c r="O145" s="608"/>
      <c r="P145" s="608"/>
      <c r="Q145" s="266"/>
      <c r="R145" s="266"/>
      <c r="S145" s="268"/>
      <c r="T145" s="269" t="e">
        <f>VLOOKUP(Q145,[71]Listas!$D$6:$E$10,2,0)</f>
        <v>#N/A</v>
      </c>
      <c r="U145" s="269" t="e">
        <f>HLOOKUP(R145,[71]Listas!$F$4:$J$5,2,0)</f>
        <v>#N/A</v>
      </c>
      <c r="V145" s="270" t="e">
        <f>INDEX([71]Listas!$F$6:$J$10,MATCH(Q145,[71]Listas!$D$6:$D$10,0),MATCH(R145,[71]Listas!$F$4:$J$4,0))</f>
        <v>#N/A</v>
      </c>
      <c r="W145" s="268"/>
      <c r="X145" s="1399"/>
      <c r="Y145" s="1408"/>
      <c r="Z145" s="1400"/>
      <c r="AA145" s="1063"/>
      <c r="AB145" s="267"/>
      <c r="AC145" s="259"/>
      <c r="AD145" s="608"/>
      <c r="AE145" s="267"/>
      <c r="AF145" s="268"/>
      <c r="AG145" s="269">
        <f t="shared" si="12"/>
        <v>0</v>
      </c>
      <c r="AH145" s="271" t="e">
        <f t="shared" si="13"/>
        <v>#N/A</v>
      </c>
      <c r="AI145" s="272" t="e">
        <f>IF(AH145&lt;=1,"Remota",VLOOKUP(AH145,[71]Listas!$C$6:$D$10,2,0))</f>
        <v>#N/A</v>
      </c>
      <c r="AJ145" s="271" t="e">
        <f t="shared" si="14"/>
        <v>#N/A</v>
      </c>
      <c r="AK145" s="272" t="e">
        <f>IF(AJ145&lt;=1,"Insignificante",HLOOKUP(AJ145,[71]Listas!$F$3:$J$4,2,0))</f>
        <v>#N/A</v>
      </c>
      <c r="AL145" s="273" t="e">
        <f t="shared" si="15"/>
        <v>#N/A</v>
      </c>
      <c r="AM145" s="270" t="e">
        <f>INDEX([71]Listas!$F$6:$J$10,MATCH(AI145,[71]Listas!$D$6:$D$10,0),MATCH(AK145,[71]Listas!$F$4:$J$4,0))</f>
        <v>#N/A</v>
      </c>
      <c r="AN145" s="259"/>
      <c r="AO145" s="259"/>
      <c r="AP145" s="610"/>
      <c r="AQ145" s="259"/>
      <c r="AR145" s="259" t="s">
        <v>2343</v>
      </c>
      <c r="AS145" s="608"/>
      <c r="AT145" s="259"/>
      <c r="AU145" s="259"/>
      <c r="AV145" s="261"/>
      <c r="AW145" s="261"/>
      <c r="AX145" s="608"/>
      <c r="AY145" s="262"/>
    </row>
    <row r="146" spans="1:51" s="260" customFormat="1" ht="103.5" hidden="1" customHeight="1">
      <c r="A146" s="608"/>
      <c r="B146" s="266"/>
      <c r="C146" s="1399"/>
      <c r="D146" s="1408"/>
      <c r="E146" s="1400"/>
      <c r="F146" s="267"/>
      <c r="G146" s="1399"/>
      <c r="H146" s="1408"/>
      <c r="I146" s="1400"/>
      <c r="J146" s="1380"/>
      <c r="K146" s="1380"/>
      <c r="L146" s="1380"/>
      <c r="M146" s="608"/>
      <c r="N146" s="608"/>
      <c r="O146" s="608"/>
      <c r="P146" s="608"/>
      <c r="Q146" s="266"/>
      <c r="R146" s="266"/>
      <c r="S146" s="268"/>
      <c r="T146" s="269" t="e">
        <f>VLOOKUP(Q146,[71]Listas!$D$6:$E$10,2,0)</f>
        <v>#N/A</v>
      </c>
      <c r="U146" s="269" t="e">
        <f>HLOOKUP(R146,[71]Listas!$F$4:$J$5,2,0)</f>
        <v>#N/A</v>
      </c>
      <c r="V146" s="270" t="e">
        <f>INDEX([71]Listas!$F$6:$J$10,MATCH(Q146,[71]Listas!$D$6:$D$10,0),MATCH(R146,[71]Listas!$F$4:$J$4,0))</f>
        <v>#N/A</v>
      </c>
      <c r="W146" s="268"/>
      <c r="X146" s="1399"/>
      <c r="Y146" s="1408"/>
      <c r="Z146" s="1400"/>
      <c r="AA146" s="1063"/>
      <c r="AB146" s="267"/>
      <c r="AC146" s="259"/>
      <c r="AD146" s="608"/>
      <c r="AE146" s="267"/>
      <c r="AF146" s="268"/>
      <c r="AG146" s="269">
        <f t="shared" ref="AG146:AG163" si="16">IF(AD146&lt;=33,0,IF(AD146&gt;81,2,1))</f>
        <v>0</v>
      </c>
      <c r="AH146" s="271" t="e">
        <f t="shared" ref="AH146:AH163" si="17">IF(OR(AE146="Probabilidad",AE146="Ambos"),T146-AG146,T146)</f>
        <v>#N/A</v>
      </c>
      <c r="AI146" s="272" t="e">
        <f>IF(AH146&lt;=1,"Remota",VLOOKUP(AH146,[71]Listas!$C$6:$D$10,2,0))</f>
        <v>#N/A</v>
      </c>
      <c r="AJ146" s="271" t="e">
        <f t="shared" ref="AJ146:AJ163" si="18">IF(OR(AE146="Impacto",AE146="Ambos"),U146-AG146,U146)</f>
        <v>#N/A</v>
      </c>
      <c r="AK146" s="272" t="e">
        <f>IF(AJ146&lt;=1,"Insignificante",HLOOKUP(AJ146,[71]Listas!$F$3:$J$4,2,0))</f>
        <v>#N/A</v>
      </c>
      <c r="AL146" s="273" t="e">
        <f t="shared" ref="AL146:AL163" si="19">AH146*AJ146</f>
        <v>#N/A</v>
      </c>
      <c r="AM146" s="270" t="e">
        <f>INDEX([71]Listas!$F$6:$J$10,MATCH(AI146,[71]Listas!$D$6:$D$10,0),MATCH(AK146,[71]Listas!$F$4:$J$4,0))</f>
        <v>#N/A</v>
      </c>
      <c r="AN146" s="259"/>
      <c r="AO146" s="259"/>
      <c r="AP146" s="610"/>
      <c r="AQ146" s="259"/>
      <c r="AR146" s="259" t="s">
        <v>2343</v>
      </c>
      <c r="AS146" s="608"/>
      <c r="AT146" s="259"/>
      <c r="AU146" s="259"/>
      <c r="AV146" s="261"/>
      <c r="AW146" s="261"/>
      <c r="AX146" s="608"/>
      <c r="AY146" s="262"/>
    </row>
    <row r="147" spans="1:51" s="260" customFormat="1" ht="103.5" hidden="1" customHeight="1">
      <c r="A147" s="608"/>
      <c r="B147" s="266"/>
      <c r="C147" s="1399"/>
      <c r="D147" s="1408"/>
      <c r="E147" s="1400"/>
      <c r="F147" s="267"/>
      <c r="G147" s="1399"/>
      <c r="H147" s="1408"/>
      <c r="I147" s="1400"/>
      <c r="J147" s="1380"/>
      <c r="K147" s="1380"/>
      <c r="L147" s="1380"/>
      <c r="M147" s="608"/>
      <c r="N147" s="608"/>
      <c r="O147" s="608"/>
      <c r="P147" s="608"/>
      <c r="Q147" s="266"/>
      <c r="R147" s="266"/>
      <c r="S147" s="268"/>
      <c r="T147" s="269" t="e">
        <f>VLOOKUP(Q147,[71]Listas!$D$6:$E$10,2,0)</f>
        <v>#N/A</v>
      </c>
      <c r="U147" s="269" t="e">
        <f>HLOOKUP(R147,[71]Listas!$F$4:$J$5,2,0)</f>
        <v>#N/A</v>
      </c>
      <c r="V147" s="270" t="e">
        <f>INDEX([71]Listas!$F$6:$J$10,MATCH(Q147,[71]Listas!$D$6:$D$10,0),MATCH(R147,[71]Listas!$F$4:$J$4,0))</f>
        <v>#N/A</v>
      </c>
      <c r="W147" s="268"/>
      <c r="X147" s="1399"/>
      <c r="Y147" s="1408"/>
      <c r="Z147" s="1400"/>
      <c r="AA147" s="1063"/>
      <c r="AB147" s="267"/>
      <c r="AC147" s="259"/>
      <c r="AD147" s="608"/>
      <c r="AE147" s="267"/>
      <c r="AF147" s="268"/>
      <c r="AG147" s="269">
        <f t="shared" si="16"/>
        <v>0</v>
      </c>
      <c r="AH147" s="271" t="e">
        <f t="shared" si="17"/>
        <v>#N/A</v>
      </c>
      <c r="AI147" s="272" t="e">
        <f>IF(AH147&lt;=1,"Remota",VLOOKUP(AH147,[71]Listas!$C$6:$D$10,2,0))</f>
        <v>#N/A</v>
      </c>
      <c r="AJ147" s="271" t="e">
        <f t="shared" si="18"/>
        <v>#N/A</v>
      </c>
      <c r="AK147" s="272" t="e">
        <f>IF(AJ147&lt;=1,"Insignificante",HLOOKUP(AJ147,[71]Listas!$F$3:$J$4,2,0))</f>
        <v>#N/A</v>
      </c>
      <c r="AL147" s="273" t="e">
        <f t="shared" si="19"/>
        <v>#N/A</v>
      </c>
      <c r="AM147" s="270" t="e">
        <f>INDEX([71]Listas!$F$6:$J$10,MATCH(AI147,[71]Listas!$D$6:$D$10,0),MATCH(AK147,[71]Listas!$F$4:$J$4,0))</f>
        <v>#N/A</v>
      </c>
      <c r="AN147" s="259"/>
      <c r="AO147" s="259"/>
      <c r="AP147" s="610"/>
      <c r="AQ147" s="259"/>
      <c r="AR147" s="259" t="s">
        <v>2343</v>
      </c>
      <c r="AS147" s="608"/>
      <c r="AT147" s="259"/>
      <c r="AU147" s="259"/>
      <c r="AV147" s="261"/>
      <c r="AW147" s="261"/>
      <c r="AX147" s="608"/>
      <c r="AY147" s="262"/>
    </row>
    <row r="148" spans="1:51" s="260" customFormat="1" ht="103.5" hidden="1" customHeight="1">
      <c r="A148" s="608"/>
      <c r="B148" s="266"/>
      <c r="C148" s="1399"/>
      <c r="D148" s="1408"/>
      <c r="E148" s="1400"/>
      <c r="F148" s="267"/>
      <c r="G148" s="1399"/>
      <c r="H148" s="1408"/>
      <c r="I148" s="1400"/>
      <c r="J148" s="1380"/>
      <c r="K148" s="1380"/>
      <c r="L148" s="1380"/>
      <c r="M148" s="608"/>
      <c r="N148" s="608"/>
      <c r="O148" s="608"/>
      <c r="P148" s="608"/>
      <c r="Q148" s="266"/>
      <c r="R148" s="266"/>
      <c r="S148" s="268"/>
      <c r="T148" s="269" t="e">
        <f>VLOOKUP(Q148,[71]Listas!$D$6:$E$10,2,0)</f>
        <v>#N/A</v>
      </c>
      <c r="U148" s="269" t="e">
        <f>HLOOKUP(R148,[71]Listas!$F$4:$J$5,2,0)</f>
        <v>#N/A</v>
      </c>
      <c r="V148" s="270" t="e">
        <f>INDEX([71]Listas!$F$6:$J$10,MATCH(Q148,[71]Listas!$D$6:$D$10,0),MATCH(R148,[71]Listas!$F$4:$J$4,0))</f>
        <v>#N/A</v>
      </c>
      <c r="W148" s="268"/>
      <c r="X148" s="1399"/>
      <c r="Y148" s="1408"/>
      <c r="Z148" s="1400"/>
      <c r="AA148" s="1063"/>
      <c r="AB148" s="267"/>
      <c r="AC148" s="259"/>
      <c r="AD148" s="608"/>
      <c r="AE148" s="267"/>
      <c r="AF148" s="268"/>
      <c r="AG148" s="269">
        <f t="shared" si="16"/>
        <v>0</v>
      </c>
      <c r="AH148" s="271" t="e">
        <f t="shared" si="17"/>
        <v>#N/A</v>
      </c>
      <c r="AI148" s="272" t="e">
        <f>IF(AH148&lt;=1,"Remota",VLOOKUP(AH148,[71]Listas!$C$6:$D$10,2,0))</f>
        <v>#N/A</v>
      </c>
      <c r="AJ148" s="271" t="e">
        <f t="shared" si="18"/>
        <v>#N/A</v>
      </c>
      <c r="AK148" s="272" t="e">
        <f>IF(AJ148&lt;=1,"Insignificante",HLOOKUP(AJ148,[71]Listas!$F$3:$J$4,2,0))</f>
        <v>#N/A</v>
      </c>
      <c r="AL148" s="273" t="e">
        <f t="shared" si="19"/>
        <v>#N/A</v>
      </c>
      <c r="AM148" s="270" t="e">
        <f>INDEX([71]Listas!$F$6:$J$10,MATCH(AI148,[71]Listas!$D$6:$D$10,0),MATCH(AK148,[71]Listas!$F$4:$J$4,0))</f>
        <v>#N/A</v>
      </c>
      <c r="AN148" s="259"/>
      <c r="AO148" s="259"/>
      <c r="AP148" s="610"/>
      <c r="AQ148" s="259"/>
      <c r="AR148" s="259" t="s">
        <v>2343</v>
      </c>
      <c r="AS148" s="608"/>
      <c r="AT148" s="259"/>
      <c r="AU148" s="259"/>
      <c r="AV148" s="261"/>
      <c r="AW148" s="261"/>
      <c r="AX148" s="608"/>
      <c r="AY148" s="262"/>
    </row>
    <row r="149" spans="1:51" s="260" customFormat="1" ht="103.5" hidden="1" customHeight="1">
      <c r="A149" s="608"/>
      <c r="B149" s="266"/>
      <c r="C149" s="1399"/>
      <c r="D149" s="1408"/>
      <c r="E149" s="1400"/>
      <c r="F149" s="267"/>
      <c r="G149" s="1399"/>
      <c r="H149" s="1408"/>
      <c r="I149" s="1400"/>
      <c r="J149" s="1380"/>
      <c r="K149" s="1380"/>
      <c r="L149" s="1380"/>
      <c r="M149" s="608"/>
      <c r="N149" s="608"/>
      <c r="O149" s="608"/>
      <c r="P149" s="608"/>
      <c r="Q149" s="266"/>
      <c r="R149" s="266"/>
      <c r="S149" s="268"/>
      <c r="T149" s="269" t="e">
        <f>VLOOKUP(Q149,[71]Listas!$D$6:$E$10,2,0)</f>
        <v>#N/A</v>
      </c>
      <c r="U149" s="269" t="e">
        <f>HLOOKUP(R149,[71]Listas!$F$4:$J$5,2,0)</f>
        <v>#N/A</v>
      </c>
      <c r="V149" s="270" t="e">
        <f>INDEX([71]Listas!$F$6:$J$10,MATCH(Q149,[71]Listas!$D$6:$D$10,0),MATCH(R149,[71]Listas!$F$4:$J$4,0))</f>
        <v>#N/A</v>
      </c>
      <c r="W149" s="268"/>
      <c r="X149" s="1399"/>
      <c r="Y149" s="1408"/>
      <c r="Z149" s="1400"/>
      <c r="AA149" s="1063"/>
      <c r="AB149" s="267"/>
      <c r="AC149" s="259"/>
      <c r="AD149" s="608"/>
      <c r="AE149" s="267"/>
      <c r="AF149" s="268"/>
      <c r="AG149" s="269">
        <f t="shared" si="16"/>
        <v>0</v>
      </c>
      <c r="AH149" s="271" t="e">
        <f t="shared" si="17"/>
        <v>#N/A</v>
      </c>
      <c r="AI149" s="272" t="e">
        <f>IF(AH149&lt;=1,"Remota",VLOOKUP(AH149,[71]Listas!$C$6:$D$10,2,0))</f>
        <v>#N/A</v>
      </c>
      <c r="AJ149" s="271" t="e">
        <f t="shared" si="18"/>
        <v>#N/A</v>
      </c>
      <c r="AK149" s="272" t="e">
        <f>IF(AJ149&lt;=1,"Insignificante",HLOOKUP(AJ149,[71]Listas!$F$3:$J$4,2,0))</f>
        <v>#N/A</v>
      </c>
      <c r="AL149" s="273" t="e">
        <f t="shared" si="19"/>
        <v>#N/A</v>
      </c>
      <c r="AM149" s="270" t="e">
        <f>INDEX([71]Listas!$F$6:$J$10,MATCH(AI149,[71]Listas!$D$6:$D$10,0),MATCH(AK149,[71]Listas!$F$4:$J$4,0))</f>
        <v>#N/A</v>
      </c>
      <c r="AN149" s="259"/>
      <c r="AO149" s="259"/>
      <c r="AP149" s="610"/>
      <c r="AQ149" s="259"/>
      <c r="AR149" s="259" t="s">
        <v>2343</v>
      </c>
      <c r="AS149" s="608"/>
      <c r="AT149" s="259"/>
      <c r="AU149" s="259"/>
      <c r="AV149" s="261"/>
      <c r="AW149" s="261"/>
      <c r="AX149" s="608"/>
      <c r="AY149" s="262"/>
    </row>
    <row r="150" spans="1:51" s="260" customFormat="1" ht="103.5" hidden="1" customHeight="1">
      <c r="A150" s="608"/>
      <c r="B150" s="266"/>
      <c r="C150" s="1399"/>
      <c r="D150" s="1408"/>
      <c r="E150" s="1400"/>
      <c r="F150" s="267"/>
      <c r="G150" s="1399"/>
      <c r="H150" s="1408"/>
      <c r="I150" s="1400"/>
      <c r="J150" s="1380"/>
      <c r="K150" s="1380"/>
      <c r="L150" s="1380"/>
      <c r="M150" s="608"/>
      <c r="N150" s="608"/>
      <c r="O150" s="608"/>
      <c r="P150" s="608"/>
      <c r="Q150" s="266"/>
      <c r="R150" s="266"/>
      <c r="S150" s="268"/>
      <c r="T150" s="269" t="e">
        <f>VLOOKUP(Q150,[71]Listas!$D$6:$E$10,2,0)</f>
        <v>#N/A</v>
      </c>
      <c r="U150" s="269" t="e">
        <f>HLOOKUP(R150,[71]Listas!$F$4:$J$5,2,0)</f>
        <v>#N/A</v>
      </c>
      <c r="V150" s="270" t="e">
        <f>INDEX([71]Listas!$F$6:$J$10,MATCH(Q150,[71]Listas!$D$6:$D$10,0),MATCH(R150,[71]Listas!$F$4:$J$4,0))</f>
        <v>#N/A</v>
      </c>
      <c r="W150" s="268"/>
      <c r="X150" s="1399"/>
      <c r="Y150" s="1408"/>
      <c r="Z150" s="1400"/>
      <c r="AA150" s="1063"/>
      <c r="AB150" s="267"/>
      <c r="AC150" s="259"/>
      <c r="AD150" s="608"/>
      <c r="AE150" s="267"/>
      <c r="AF150" s="268"/>
      <c r="AG150" s="269">
        <f t="shared" si="16"/>
        <v>0</v>
      </c>
      <c r="AH150" s="271" t="e">
        <f t="shared" si="17"/>
        <v>#N/A</v>
      </c>
      <c r="AI150" s="272" t="e">
        <f>IF(AH150&lt;=1,"Remota",VLOOKUP(AH150,[71]Listas!$C$6:$D$10,2,0))</f>
        <v>#N/A</v>
      </c>
      <c r="AJ150" s="271" t="e">
        <f t="shared" si="18"/>
        <v>#N/A</v>
      </c>
      <c r="AK150" s="272" t="e">
        <f>IF(AJ150&lt;=1,"Insignificante",HLOOKUP(AJ150,[71]Listas!$F$3:$J$4,2,0))</f>
        <v>#N/A</v>
      </c>
      <c r="AL150" s="273" t="e">
        <f t="shared" si="19"/>
        <v>#N/A</v>
      </c>
      <c r="AM150" s="270" t="e">
        <f>INDEX([71]Listas!$F$6:$J$10,MATCH(AI150,[71]Listas!$D$6:$D$10,0),MATCH(AK150,[71]Listas!$F$4:$J$4,0))</f>
        <v>#N/A</v>
      </c>
      <c r="AN150" s="259"/>
      <c r="AO150" s="259"/>
      <c r="AP150" s="610"/>
      <c r="AQ150" s="259"/>
      <c r="AR150" s="259" t="s">
        <v>2343</v>
      </c>
      <c r="AS150" s="608"/>
      <c r="AT150" s="259"/>
      <c r="AU150" s="259"/>
      <c r="AV150" s="261"/>
      <c r="AW150" s="261"/>
      <c r="AX150" s="608"/>
      <c r="AY150" s="262"/>
    </row>
    <row r="151" spans="1:51" s="260" customFormat="1" ht="103.5" hidden="1" customHeight="1">
      <c r="A151" s="608"/>
      <c r="B151" s="266"/>
      <c r="C151" s="1399"/>
      <c r="D151" s="1408"/>
      <c r="E151" s="1400"/>
      <c r="F151" s="267"/>
      <c r="G151" s="1399"/>
      <c r="H151" s="1408"/>
      <c r="I151" s="1400"/>
      <c r="J151" s="1380"/>
      <c r="K151" s="1380"/>
      <c r="L151" s="1380"/>
      <c r="M151" s="608"/>
      <c r="N151" s="608"/>
      <c r="O151" s="608"/>
      <c r="P151" s="608"/>
      <c r="Q151" s="266"/>
      <c r="R151" s="266"/>
      <c r="S151" s="268"/>
      <c r="T151" s="269" t="e">
        <f>VLOOKUP(Q151,[71]Listas!$D$6:$E$10,2,0)</f>
        <v>#N/A</v>
      </c>
      <c r="U151" s="269" t="e">
        <f>HLOOKUP(R151,[71]Listas!$F$4:$J$5,2,0)</f>
        <v>#N/A</v>
      </c>
      <c r="V151" s="270" t="e">
        <f>INDEX([71]Listas!$F$6:$J$10,MATCH(Q151,[71]Listas!$D$6:$D$10,0),MATCH(R151,[71]Listas!$F$4:$J$4,0))</f>
        <v>#N/A</v>
      </c>
      <c r="W151" s="268"/>
      <c r="X151" s="1399"/>
      <c r="Y151" s="1408"/>
      <c r="Z151" s="1400"/>
      <c r="AA151" s="1063"/>
      <c r="AB151" s="267"/>
      <c r="AC151" s="259"/>
      <c r="AD151" s="608"/>
      <c r="AE151" s="267"/>
      <c r="AF151" s="268"/>
      <c r="AG151" s="269">
        <f t="shared" si="16"/>
        <v>0</v>
      </c>
      <c r="AH151" s="271" t="e">
        <f t="shared" si="17"/>
        <v>#N/A</v>
      </c>
      <c r="AI151" s="272" t="e">
        <f>IF(AH151&lt;=1,"Remota",VLOOKUP(AH151,[71]Listas!$C$6:$D$10,2,0))</f>
        <v>#N/A</v>
      </c>
      <c r="AJ151" s="271" t="e">
        <f t="shared" si="18"/>
        <v>#N/A</v>
      </c>
      <c r="AK151" s="272" t="e">
        <f>IF(AJ151&lt;=1,"Insignificante",HLOOKUP(AJ151,[71]Listas!$F$3:$J$4,2,0))</f>
        <v>#N/A</v>
      </c>
      <c r="AL151" s="273" t="e">
        <f t="shared" si="19"/>
        <v>#N/A</v>
      </c>
      <c r="AM151" s="270" t="e">
        <f>INDEX([71]Listas!$F$6:$J$10,MATCH(AI151,[71]Listas!$D$6:$D$10,0),MATCH(AK151,[71]Listas!$F$4:$J$4,0))</f>
        <v>#N/A</v>
      </c>
      <c r="AN151" s="259"/>
      <c r="AO151" s="259"/>
      <c r="AP151" s="610"/>
      <c r="AQ151" s="259"/>
      <c r="AR151" s="259" t="s">
        <v>2343</v>
      </c>
      <c r="AS151" s="608"/>
      <c r="AT151" s="259"/>
      <c r="AU151" s="259"/>
      <c r="AV151" s="261"/>
      <c r="AW151" s="261"/>
      <c r="AX151" s="608"/>
      <c r="AY151" s="262"/>
    </row>
    <row r="152" spans="1:51" s="260" customFormat="1" ht="103.5" hidden="1" customHeight="1">
      <c r="A152" s="608"/>
      <c r="B152" s="266"/>
      <c r="C152" s="1399"/>
      <c r="D152" s="1408"/>
      <c r="E152" s="1400"/>
      <c r="F152" s="267"/>
      <c r="G152" s="1399"/>
      <c r="H152" s="1408"/>
      <c r="I152" s="1400"/>
      <c r="J152" s="1380"/>
      <c r="K152" s="1380"/>
      <c r="L152" s="1380"/>
      <c r="M152" s="608"/>
      <c r="N152" s="608"/>
      <c r="O152" s="608"/>
      <c r="P152" s="608"/>
      <c r="Q152" s="266"/>
      <c r="R152" s="266"/>
      <c r="S152" s="268"/>
      <c r="T152" s="269" t="e">
        <f>VLOOKUP(Q152,[71]Listas!$D$6:$E$10,2,0)</f>
        <v>#N/A</v>
      </c>
      <c r="U152" s="269" t="e">
        <f>HLOOKUP(R152,[71]Listas!$F$4:$J$5,2,0)</f>
        <v>#N/A</v>
      </c>
      <c r="V152" s="270" t="e">
        <f>INDEX([71]Listas!$F$6:$J$10,MATCH(Q152,[71]Listas!$D$6:$D$10,0),MATCH(R152,[71]Listas!$F$4:$J$4,0))</f>
        <v>#N/A</v>
      </c>
      <c r="W152" s="268"/>
      <c r="X152" s="1399"/>
      <c r="Y152" s="1408"/>
      <c r="Z152" s="1400"/>
      <c r="AA152" s="1063"/>
      <c r="AB152" s="267"/>
      <c r="AC152" s="259"/>
      <c r="AD152" s="608"/>
      <c r="AE152" s="267"/>
      <c r="AF152" s="268"/>
      <c r="AG152" s="269">
        <f t="shared" si="16"/>
        <v>0</v>
      </c>
      <c r="AH152" s="271" t="e">
        <f t="shared" si="17"/>
        <v>#N/A</v>
      </c>
      <c r="AI152" s="272" t="e">
        <f>IF(AH152&lt;=1,"Remota",VLOOKUP(AH152,[71]Listas!$C$6:$D$10,2,0))</f>
        <v>#N/A</v>
      </c>
      <c r="AJ152" s="271" t="e">
        <f t="shared" si="18"/>
        <v>#N/A</v>
      </c>
      <c r="AK152" s="272" t="e">
        <f>IF(AJ152&lt;=1,"Insignificante",HLOOKUP(AJ152,[71]Listas!$F$3:$J$4,2,0))</f>
        <v>#N/A</v>
      </c>
      <c r="AL152" s="273" t="e">
        <f t="shared" si="19"/>
        <v>#N/A</v>
      </c>
      <c r="AM152" s="270" t="e">
        <f>INDEX([71]Listas!$F$6:$J$10,MATCH(AI152,[71]Listas!$D$6:$D$10,0),MATCH(AK152,[71]Listas!$F$4:$J$4,0))</f>
        <v>#N/A</v>
      </c>
      <c r="AN152" s="259"/>
      <c r="AO152" s="259"/>
      <c r="AP152" s="610"/>
      <c r="AQ152" s="259"/>
      <c r="AR152" s="259" t="s">
        <v>2343</v>
      </c>
      <c r="AS152" s="608"/>
      <c r="AT152" s="259"/>
      <c r="AU152" s="259"/>
      <c r="AV152" s="261"/>
      <c r="AW152" s="261"/>
      <c r="AX152" s="608"/>
      <c r="AY152" s="262"/>
    </row>
    <row r="153" spans="1:51" s="260" customFormat="1" ht="103.5" hidden="1" customHeight="1">
      <c r="A153" s="608"/>
      <c r="B153" s="266"/>
      <c r="C153" s="1399"/>
      <c r="D153" s="1408"/>
      <c r="E153" s="1400"/>
      <c r="F153" s="267"/>
      <c r="G153" s="1399"/>
      <c r="H153" s="1408"/>
      <c r="I153" s="1400"/>
      <c r="J153" s="1380"/>
      <c r="K153" s="1380"/>
      <c r="L153" s="1380"/>
      <c r="M153" s="608"/>
      <c r="N153" s="608"/>
      <c r="O153" s="608"/>
      <c r="P153" s="608"/>
      <c r="Q153" s="266"/>
      <c r="R153" s="266"/>
      <c r="S153" s="268"/>
      <c r="T153" s="269" t="e">
        <f>VLOOKUP(Q153,[71]Listas!$D$6:$E$10,2,0)</f>
        <v>#N/A</v>
      </c>
      <c r="U153" s="269" t="e">
        <f>HLOOKUP(R153,[71]Listas!$F$4:$J$5,2,0)</f>
        <v>#N/A</v>
      </c>
      <c r="V153" s="270" t="e">
        <f>INDEX([71]Listas!$F$6:$J$10,MATCH(Q153,[71]Listas!$D$6:$D$10,0),MATCH(R153,[71]Listas!$F$4:$J$4,0))</f>
        <v>#N/A</v>
      </c>
      <c r="W153" s="268"/>
      <c r="X153" s="1399"/>
      <c r="Y153" s="1408"/>
      <c r="Z153" s="1400"/>
      <c r="AA153" s="1063"/>
      <c r="AB153" s="267"/>
      <c r="AC153" s="259"/>
      <c r="AD153" s="608"/>
      <c r="AE153" s="267"/>
      <c r="AF153" s="268"/>
      <c r="AG153" s="269">
        <f t="shared" si="16"/>
        <v>0</v>
      </c>
      <c r="AH153" s="271" t="e">
        <f t="shared" si="17"/>
        <v>#N/A</v>
      </c>
      <c r="AI153" s="272" t="e">
        <f>IF(AH153&lt;=1,"Remota",VLOOKUP(AH153,[71]Listas!$C$6:$D$10,2,0))</f>
        <v>#N/A</v>
      </c>
      <c r="AJ153" s="271" t="e">
        <f t="shared" si="18"/>
        <v>#N/A</v>
      </c>
      <c r="AK153" s="272" t="e">
        <f>IF(AJ153&lt;=1,"Insignificante",HLOOKUP(AJ153,[71]Listas!$F$3:$J$4,2,0))</f>
        <v>#N/A</v>
      </c>
      <c r="AL153" s="273" t="e">
        <f t="shared" si="19"/>
        <v>#N/A</v>
      </c>
      <c r="AM153" s="270" t="e">
        <f>INDEX([71]Listas!$F$6:$J$10,MATCH(AI153,[71]Listas!$D$6:$D$10,0),MATCH(AK153,[71]Listas!$F$4:$J$4,0))</f>
        <v>#N/A</v>
      </c>
      <c r="AN153" s="259"/>
      <c r="AO153" s="259"/>
      <c r="AP153" s="610"/>
      <c r="AQ153" s="259"/>
      <c r="AR153" s="259" t="s">
        <v>2343</v>
      </c>
      <c r="AS153" s="608"/>
      <c r="AT153" s="259"/>
      <c r="AU153" s="259"/>
      <c r="AV153" s="261"/>
      <c r="AW153" s="261"/>
      <c r="AX153" s="608"/>
      <c r="AY153" s="262"/>
    </row>
    <row r="154" spans="1:51" s="260" customFormat="1" ht="103.5" hidden="1" customHeight="1">
      <c r="A154" s="608"/>
      <c r="B154" s="266"/>
      <c r="C154" s="1399"/>
      <c r="D154" s="1408"/>
      <c r="E154" s="1400"/>
      <c r="F154" s="267"/>
      <c r="G154" s="1399"/>
      <c r="H154" s="1408"/>
      <c r="I154" s="1400"/>
      <c r="J154" s="1380"/>
      <c r="K154" s="1380"/>
      <c r="L154" s="1380"/>
      <c r="M154" s="608"/>
      <c r="N154" s="608"/>
      <c r="O154" s="608"/>
      <c r="P154" s="608"/>
      <c r="Q154" s="266"/>
      <c r="R154" s="266"/>
      <c r="S154" s="268"/>
      <c r="T154" s="269" t="e">
        <f>VLOOKUP(Q154,[71]Listas!$D$6:$E$10,2,0)</f>
        <v>#N/A</v>
      </c>
      <c r="U154" s="269" t="e">
        <f>HLOOKUP(R154,[71]Listas!$F$4:$J$5,2,0)</f>
        <v>#N/A</v>
      </c>
      <c r="V154" s="270" t="e">
        <f>INDEX([71]Listas!$F$6:$J$10,MATCH(Q154,[71]Listas!$D$6:$D$10,0),MATCH(R154,[71]Listas!$F$4:$J$4,0))</f>
        <v>#N/A</v>
      </c>
      <c r="W154" s="268"/>
      <c r="X154" s="1399"/>
      <c r="Y154" s="1408"/>
      <c r="Z154" s="1400"/>
      <c r="AA154" s="1063"/>
      <c r="AB154" s="267"/>
      <c r="AC154" s="259"/>
      <c r="AD154" s="608"/>
      <c r="AE154" s="267"/>
      <c r="AF154" s="268"/>
      <c r="AG154" s="269">
        <f t="shared" si="16"/>
        <v>0</v>
      </c>
      <c r="AH154" s="271" t="e">
        <f t="shared" si="17"/>
        <v>#N/A</v>
      </c>
      <c r="AI154" s="272" t="e">
        <f>IF(AH154&lt;=1,"Remota",VLOOKUP(AH154,[71]Listas!$C$6:$D$10,2,0))</f>
        <v>#N/A</v>
      </c>
      <c r="AJ154" s="271" t="e">
        <f t="shared" si="18"/>
        <v>#N/A</v>
      </c>
      <c r="AK154" s="272" t="e">
        <f>IF(AJ154&lt;=1,"Insignificante",HLOOKUP(AJ154,[71]Listas!$F$3:$J$4,2,0))</f>
        <v>#N/A</v>
      </c>
      <c r="AL154" s="273" t="e">
        <f t="shared" si="19"/>
        <v>#N/A</v>
      </c>
      <c r="AM154" s="270" t="e">
        <f>INDEX([71]Listas!$F$6:$J$10,MATCH(AI154,[71]Listas!$D$6:$D$10,0),MATCH(AK154,[71]Listas!$F$4:$J$4,0))</f>
        <v>#N/A</v>
      </c>
      <c r="AN154" s="259"/>
      <c r="AO154" s="259"/>
      <c r="AP154" s="610"/>
      <c r="AQ154" s="259"/>
      <c r="AR154" s="259" t="s">
        <v>2343</v>
      </c>
      <c r="AS154" s="608"/>
      <c r="AT154" s="259"/>
      <c r="AU154" s="259"/>
      <c r="AV154" s="261"/>
      <c r="AW154" s="261"/>
      <c r="AX154" s="608"/>
      <c r="AY154" s="262"/>
    </row>
    <row r="155" spans="1:51" s="260" customFormat="1" ht="103.5" hidden="1" customHeight="1">
      <c r="A155" s="608"/>
      <c r="B155" s="266"/>
      <c r="C155" s="1399"/>
      <c r="D155" s="1408"/>
      <c r="E155" s="1400"/>
      <c r="F155" s="267"/>
      <c r="G155" s="1399"/>
      <c r="H155" s="1408"/>
      <c r="I155" s="1400"/>
      <c r="J155" s="1380"/>
      <c r="K155" s="1380"/>
      <c r="L155" s="1380"/>
      <c r="M155" s="608"/>
      <c r="N155" s="608"/>
      <c r="O155" s="608"/>
      <c r="P155" s="608"/>
      <c r="Q155" s="266"/>
      <c r="R155" s="266"/>
      <c r="S155" s="268"/>
      <c r="T155" s="269" t="e">
        <f>VLOOKUP(Q155,[71]Listas!$D$6:$E$10,2,0)</f>
        <v>#N/A</v>
      </c>
      <c r="U155" s="269" t="e">
        <f>HLOOKUP(R155,[71]Listas!$F$4:$J$5,2,0)</f>
        <v>#N/A</v>
      </c>
      <c r="V155" s="270" t="e">
        <f>INDEX([71]Listas!$F$6:$J$10,MATCH(Q155,[71]Listas!$D$6:$D$10,0),MATCH(R155,[71]Listas!$F$4:$J$4,0))</f>
        <v>#N/A</v>
      </c>
      <c r="W155" s="268"/>
      <c r="X155" s="1399"/>
      <c r="Y155" s="1408"/>
      <c r="Z155" s="1400"/>
      <c r="AA155" s="1063"/>
      <c r="AB155" s="267"/>
      <c r="AC155" s="259"/>
      <c r="AD155" s="608"/>
      <c r="AE155" s="267"/>
      <c r="AF155" s="268"/>
      <c r="AG155" s="269">
        <f t="shared" si="16"/>
        <v>0</v>
      </c>
      <c r="AH155" s="271" t="e">
        <f t="shared" si="17"/>
        <v>#N/A</v>
      </c>
      <c r="AI155" s="272" t="e">
        <f>IF(AH155&lt;=1,"Remota",VLOOKUP(AH155,[71]Listas!$C$6:$D$10,2,0))</f>
        <v>#N/A</v>
      </c>
      <c r="AJ155" s="271" t="e">
        <f t="shared" si="18"/>
        <v>#N/A</v>
      </c>
      <c r="AK155" s="272" t="e">
        <f>IF(AJ155&lt;=1,"Insignificante",HLOOKUP(AJ155,[71]Listas!$F$3:$J$4,2,0))</f>
        <v>#N/A</v>
      </c>
      <c r="AL155" s="273" t="e">
        <f t="shared" si="19"/>
        <v>#N/A</v>
      </c>
      <c r="AM155" s="270" t="e">
        <f>INDEX([71]Listas!$F$6:$J$10,MATCH(AI155,[71]Listas!$D$6:$D$10,0),MATCH(AK155,[71]Listas!$F$4:$J$4,0))</f>
        <v>#N/A</v>
      </c>
      <c r="AN155" s="259"/>
      <c r="AO155" s="259"/>
      <c r="AP155" s="610"/>
      <c r="AQ155" s="259"/>
      <c r="AR155" s="259" t="s">
        <v>2343</v>
      </c>
      <c r="AS155" s="608"/>
      <c r="AT155" s="259"/>
      <c r="AU155" s="259"/>
      <c r="AV155" s="261"/>
      <c r="AW155" s="261"/>
      <c r="AX155" s="608"/>
      <c r="AY155" s="262"/>
    </row>
    <row r="156" spans="1:51" s="260" customFormat="1" ht="103.5" hidden="1" customHeight="1">
      <c r="A156" s="608"/>
      <c r="B156" s="266"/>
      <c r="C156" s="1399"/>
      <c r="D156" s="1408"/>
      <c r="E156" s="1400"/>
      <c r="F156" s="267"/>
      <c r="G156" s="1399"/>
      <c r="H156" s="1408"/>
      <c r="I156" s="1400"/>
      <c r="J156" s="1380"/>
      <c r="K156" s="1380"/>
      <c r="L156" s="1380"/>
      <c r="M156" s="608"/>
      <c r="N156" s="608"/>
      <c r="O156" s="608"/>
      <c r="P156" s="608"/>
      <c r="Q156" s="266"/>
      <c r="R156" s="266"/>
      <c r="S156" s="268"/>
      <c r="T156" s="269" t="e">
        <f>VLOOKUP(Q156,[71]Listas!$D$6:$E$10,2,0)</f>
        <v>#N/A</v>
      </c>
      <c r="U156" s="269" t="e">
        <f>HLOOKUP(R156,[71]Listas!$F$4:$J$5,2,0)</f>
        <v>#N/A</v>
      </c>
      <c r="V156" s="270" t="e">
        <f>INDEX([71]Listas!$F$6:$J$10,MATCH(Q156,[71]Listas!$D$6:$D$10,0),MATCH(R156,[71]Listas!$F$4:$J$4,0))</f>
        <v>#N/A</v>
      </c>
      <c r="W156" s="268"/>
      <c r="X156" s="1399"/>
      <c r="Y156" s="1408"/>
      <c r="Z156" s="1400"/>
      <c r="AA156" s="1063"/>
      <c r="AB156" s="267"/>
      <c r="AC156" s="259"/>
      <c r="AD156" s="608"/>
      <c r="AE156" s="267"/>
      <c r="AF156" s="268"/>
      <c r="AG156" s="269">
        <f t="shared" si="16"/>
        <v>0</v>
      </c>
      <c r="AH156" s="271" t="e">
        <f t="shared" si="17"/>
        <v>#N/A</v>
      </c>
      <c r="AI156" s="272" t="e">
        <f>IF(AH156&lt;=1,"Remota",VLOOKUP(AH156,[71]Listas!$C$6:$D$10,2,0))</f>
        <v>#N/A</v>
      </c>
      <c r="AJ156" s="271" t="e">
        <f t="shared" si="18"/>
        <v>#N/A</v>
      </c>
      <c r="AK156" s="272" t="e">
        <f>IF(AJ156&lt;=1,"Insignificante",HLOOKUP(AJ156,[71]Listas!$F$3:$J$4,2,0))</f>
        <v>#N/A</v>
      </c>
      <c r="AL156" s="273" t="e">
        <f t="shared" si="19"/>
        <v>#N/A</v>
      </c>
      <c r="AM156" s="270" t="e">
        <f>INDEX([71]Listas!$F$6:$J$10,MATCH(AI156,[71]Listas!$D$6:$D$10,0),MATCH(AK156,[71]Listas!$F$4:$J$4,0))</f>
        <v>#N/A</v>
      </c>
      <c r="AN156" s="259"/>
      <c r="AO156" s="259"/>
      <c r="AP156" s="610"/>
      <c r="AQ156" s="259"/>
      <c r="AR156" s="259" t="s">
        <v>2343</v>
      </c>
      <c r="AS156" s="608"/>
      <c r="AT156" s="259"/>
      <c r="AU156" s="259"/>
      <c r="AV156" s="261"/>
      <c r="AW156" s="261"/>
      <c r="AX156" s="608"/>
      <c r="AY156" s="262"/>
    </row>
    <row r="157" spans="1:51" s="260" customFormat="1" ht="103.5" hidden="1" customHeight="1">
      <c r="A157" s="608"/>
      <c r="B157" s="266"/>
      <c r="C157" s="1399"/>
      <c r="D157" s="1408"/>
      <c r="E157" s="1400"/>
      <c r="F157" s="267"/>
      <c r="G157" s="1399"/>
      <c r="H157" s="1408"/>
      <c r="I157" s="1400"/>
      <c r="J157" s="1380"/>
      <c r="K157" s="1380"/>
      <c r="L157" s="1380"/>
      <c r="M157" s="608"/>
      <c r="N157" s="608"/>
      <c r="O157" s="608"/>
      <c r="P157" s="608"/>
      <c r="Q157" s="266"/>
      <c r="R157" s="266"/>
      <c r="S157" s="268"/>
      <c r="T157" s="269" t="e">
        <f>VLOOKUP(Q157,[71]Listas!$D$6:$E$10,2,0)</f>
        <v>#N/A</v>
      </c>
      <c r="U157" s="269" t="e">
        <f>HLOOKUP(R157,[71]Listas!$F$4:$J$5,2,0)</f>
        <v>#N/A</v>
      </c>
      <c r="V157" s="270" t="e">
        <f>INDEX([71]Listas!$F$6:$J$10,MATCH(Q157,[71]Listas!$D$6:$D$10,0),MATCH(R157,[71]Listas!$F$4:$J$4,0))</f>
        <v>#N/A</v>
      </c>
      <c r="W157" s="268"/>
      <c r="X157" s="1399"/>
      <c r="Y157" s="1408"/>
      <c r="Z157" s="1400"/>
      <c r="AA157" s="1063"/>
      <c r="AB157" s="267"/>
      <c r="AC157" s="259"/>
      <c r="AD157" s="608"/>
      <c r="AE157" s="267"/>
      <c r="AF157" s="268"/>
      <c r="AG157" s="269">
        <f t="shared" si="16"/>
        <v>0</v>
      </c>
      <c r="AH157" s="271" t="e">
        <f t="shared" si="17"/>
        <v>#N/A</v>
      </c>
      <c r="AI157" s="272" t="e">
        <f>IF(AH157&lt;=1,"Remota",VLOOKUP(AH157,[71]Listas!$C$6:$D$10,2,0))</f>
        <v>#N/A</v>
      </c>
      <c r="AJ157" s="271" t="e">
        <f t="shared" si="18"/>
        <v>#N/A</v>
      </c>
      <c r="AK157" s="272" t="e">
        <f>IF(AJ157&lt;=1,"Insignificante",HLOOKUP(AJ157,[71]Listas!$F$3:$J$4,2,0))</f>
        <v>#N/A</v>
      </c>
      <c r="AL157" s="273" t="e">
        <f t="shared" si="19"/>
        <v>#N/A</v>
      </c>
      <c r="AM157" s="270" t="e">
        <f>INDEX([71]Listas!$F$6:$J$10,MATCH(AI157,[71]Listas!$D$6:$D$10,0),MATCH(AK157,[71]Listas!$F$4:$J$4,0))</f>
        <v>#N/A</v>
      </c>
      <c r="AN157" s="259"/>
      <c r="AO157" s="259"/>
      <c r="AP157" s="610"/>
      <c r="AQ157" s="259"/>
      <c r="AR157" s="259" t="s">
        <v>2343</v>
      </c>
      <c r="AS157" s="608"/>
      <c r="AT157" s="259"/>
      <c r="AU157" s="259"/>
      <c r="AV157" s="261"/>
      <c r="AW157" s="261"/>
      <c r="AX157" s="608"/>
      <c r="AY157" s="262"/>
    </row>
    <row r="158" spans="1:51" s="260" customFormat="1" ht="103.5" hidden="1" customHeight="1">
      <c r="A158" s="608"/>
      <c r="B158" s="266"/>
      <c r="C158" s="1399"/>
      <c r="D158" s="1408"/>
      <c r="E158" s="1400"/>
      <c r="F158" s="267"/>
      <c r="G158" s="1399"/>
      <c r="H158" s="1408"/>
      <c r="I158" s="1400"/>
      <c r="J158" s="1380"/>
      <c r="K158" s="1380"/>
      <c r="L158" s="1380"/>
      <c r="M158" s="608"/>
      <c r="N158" s="608"/>
      <c r="O158" s="608"/>
      <c r="P158" s="608"/>
      <c r="Q158" s="266"/>
      <c r="R158" s="266"/>
      <c r="S158" s="268"/>
      <c r="T158" s="269" t="e">
        <f>VLOOKUP(Q158,[71]Listas!$D$6:$E$10,2,0)</f>
        <v>#N/A</v>
      </c>
      <c r="U158" s="269" t="e">
        <f>HLOOKUP(R158,[71]Listas!$F$4:$J$5,2,0)</f>
        <v>#N/A</v>
      </c>
      <c r="V158" s="270" t="e">
        <f>INDEX([71]Listas!$F$6:$J$10,MATCH(Q158,[71]Listas!$D$6:$D$10,0),MATCH(R158,[71]Listas!$F$4:$J$4,0))</f>
        <v>#N/A</v>
      </c>
      <c r="W158" s="268"/>
      <c r="X158" s="1399"/>
      <c r="Y158" s="1408"/>
      <c r="Z158" s="1400"/>
      <c r="AA158" s="1063"/>
      <c r="AB158" s="267"/>
      <c r="AC158" s="259"/>
      <c r="AD158" s="608"/>
      <c r="AE158" s="267"/>
      <c r="AF158" s="268"/>
      <c r="AG158" s="269">
        <f t="shared" si="16"/>
        <v>0</v>
      </c>
      <c r="AH158" s="271" t="e">
        <f t="shared" si="17"/>
        <v>#N/A</v>
      </c>
      <c r="AI158" s="272" t="e">
        <f>IF(AH158&lt;=1,"Remota",VLOOKUP(AH158,[71]Listas!$C$6:$D$10,2,0))</f>
        <v>#N/A</v>
      </c>
      <c r="AJ158" s="271" t="e">
        <f t="shared" si="18"/>
        <v>#N/A</v>
      </c>
      <c r="AK158" s="272" t="e">
        <f>IF(AJ158&lt;=1,"Insignificante",HLOOKUP(AJ158,[71]Listas!$F$3:$J$4,2,0))</f>
        <v>#N/A</v>
      </c>
      <c r="AL158" s="273" t="e">
        <f t="shared" si="19"/>
        <v>#N/A</v>
      </c>
      <c r="AM158" s="270" t="e">
        <f>INDEX([71]Listas!$F$6:$J$10,MATCH(AI158,[71]Listas!$D$6:$D$10,0),MATCH(AK158,[71]Listas!$F$4:$J$4,0))</f>
        <v>#N/A</v>
      </c>
      <c r="AN158" s="259"/>
      <c r="AO158" s="259"/>
      <c r="AP158" s="610"/>
      <c r="AQ158" s="259"/>
      <c r="AR158" s="259" t="s">
        <v>2343</v>
      </c>
      <c r="AS158" s="608"/>
      <c r="AT158" s="259"/>
      <c r="AU158" s="259"/>
      <c r="AV158" s="261"/>
      <c r="AW158" s="261"/>
      <c r="AX158" s="608"/>
      <c r="AY158" s="262"/>
    </row>
    <row r="159" spans="1:51" s="260" customFormat="1" ht="103.5" hidden="1" customHeight="1">
      <c r="A159" s="608"/>
      <c r="B159" s="266"/>
      <c r="C159" s="1399"/>
      <c r="D159" s="1408"/>
      <c r="E159" s="1400"/>
      <c r="F159" s="267"/>
      <c r="G159" s="1399"/>
      <c r="H159" s="1408"/>
      <c r="I159" s="1400"/>
      <c r="J159" s="1380"/>
      <c r="K159" s="1380"/>
      <c r="L159" s="1380"/>
      <c r="M159" s="608"/>
      <c r="N159" s="608"/>
      <c r="O159" s="608"/>
      <c r="P159" s="608"/>
      <c r="Q159" s="266"/>
      <c r="R159" s="266"/>
      <c r="S159" s="268"/>
      <c r="T159" s="269" t="e">
        <f>VLOOKUP(Q159,[71]Listas!$D$6:$E$10,2,0)</f>
        <v>#N/A</v>
      </c>
      <c r="U159" s="269" t="e">
        <f>HLOOKUP(R159,[71]Listas!$F$4:$J$5,2,0)</f>
        <v>#N/A</v>
      </c>
      <c r="V159" s="270" t="e">
        <f>INDEX([71]Listas!$F$6:$J$10,MATCH(Q159,[71]Listas!$D$6:$D$10,0),MATCH(R159,[71]Listas!$F$4:$J$4,0))</f>
        <v>#N/A</v>
      </c>
      <c r="W159" s="268"/>
      <c r="X159" s="1399"/>
      <c r="Y159" s="1408"/>
      <c r="Z159" s="1400"/>
      <c r="AA159" s="1063"/>
      <c r="AB159" s="267"/>
      <c r="AC159" s="259"/>
      <c r="AD159" s="608"/>
      <c r="AE159" s="267"/>
      <c r="AF159" s="268"/>
      <c r="AG159" s="269">
        <f t="shared" si="16"/>
        <v>0</v>
      </c>
      <c r="AH159" s="271" t="e">
        <f t="shared" si="17"/>
        <v>#N/A</v>
      </c>
      <c r="AI159" s="272" t="e">
        <f>IF(AH159&lt;=1,"Remota",VLOOKUP(AH159,[71]Listas!$C$6:$D$10,2,0))</f>
        <v>#N/A</v>
      </c>
      <c r="AJ159" s="271" t="e">
        <f t="shared" si="18"/>
        <v>#N/A</v>
      </c>
      <c r="AK159" s="272" t="e">
        <f>IF(AJ159&lt;=1,"Insignificante",HLOOKUP(AJ159,[71]Listas!$F$3:$J$4,2,0))</f>
        <v>#N/A</v>
      </c>
      <c r="AL159" s="273" t="e">
        <f t="shared" si="19"/>
        <v>#N/A</v>
      </c>
      <c r="AM159" s="270" t="e">
        <f>INDEX([71]Listas!$F$6:$J$10,MATCH(AI159,[71]Listas!$D$6:$D$10,0),MATCH(AK159,[71]Listas!$F$4:$J$4,0))</f>
        <v>#N/A</v>
      </c>
      <c r="AN159" s="259"/>
      <c r="AO159" s="259"/>
      <c r="AP159" s="610"/>
      <c r="AQ159" s="259"/>
      <c r="AR159" s="259" t="s">
        <v>2343</v>
      </c>
      <c r="AS159" s="608"/>
      <c r="AT159" s="259"/>
      <c r="AU159" s="259"/>
      <c r="AV159" s="261"/>
      <c r="AW159" s="261"/>
      <c r="AX159" s="608"/>
      <c r="AY159" s="262"/>
    </row>
    <row r="160" spans="1:51" s="260" customFormat="1" ht="103.5" hidden="1" customHeight="1">
      <c r="A160" s="608"/>
      <c r="B160" s="266"/>
      <c r="C160" s="1399"/>
      <c r="D160" s="1408"/>
      <c r="E160" s="1400"/>
      <c r="F160" s="267"/>
      <c r="G160" s="1399"/>
      <c r="H160" s="1408"/>
      <c r="I160" s="1400"/>
      <c r="J160" s="1380"/>
      <c r="K160" s="1380"/>
      <c r="L160" s="1380"/>
      <c r="M160" s="608"/>
      <c r="N160" s="608"/>
      <c r="O160" s="608"/>
      <c r="P160" s="608"/>
      <c r="Q160" s="266"/>
      <c r="R160" s="266"/>
      <c r="S160" s="268"/>
      <c r="T160" s="269" t="e">
        <f>VLOOKUP(Q160,[71]Listas!$D$6:$E$10,2,0)</f>
        <v>#N/A</v>
      </c>
      <c r="U160" s="269" t="e">
        <f>HLOOKUP(R160,[71]Listas!$F$4:$J$5,2,0)</f>
        <v>#N/A</v>
      </c>
      <c r="V160" s="270" t="e">
        <f>INDEX([71]Listas!$F$6:$J$10,MATCH(Q160,[71]Listas!$D$6:$D$10,0),MATCH(R160,[71]Listas!$F$4:$J$4,0))</f>
        <v>#N/A</v>
      </c>
      <c r="W160" s="268"/>
      <c r="X160" s="1399"/>
      <c r="Y160" s="1408"/>
      <c r="Z160" s="1400"/>
      <c r="AA160" s="1063"/>
      <c r="AB160" s="267"/>
      <c r="AC160" s="259"/>
      <c r="AD160" s="608"/>
      <c r="AE160" s="267"/>
      <c r="AF160" s="268"/>
      <c r="AG160" s="269">
        <f t="shared" si="16"/>
        <v>0</v>
      </c>
      <c r="AH160" s="271" t="e">
        <f t="shared" si="17"/>
        <v>#N/A</v>
      </c>
      <c r="AI160" s="272" t="e">
        <f>IF(AH160&lt;=1,"Remota",VLOOKUP(AH160,[71]Listas!$C$6:$D$10,2,0))</f>
        <v>#N/A</v>
      </c>
      <c r="AJ160" s="271" t="e">
        <f t="shared" si="18"/>
        <v>#N/A</v>
      </c>
      <c r="AK160" s="272" t="e">
        <f>IF(AJ160&lt;=1,"Insignificante",HLOOKUP(AJ160,[71]Listas!$F$3:$J$4,2,0))</f>
        <v>#N/A</v>
      </c>
      <c r="AL160" s="273" t="e">
        <f t="shared" si="19"/>
        <v>#N/A</v>
      </c>
      <c r="AM160" s="270" t="e">
        <f>INDEX([71]Listas!$F$6:$J$10,MATCH(AI160,[71]Listas!$D$6:$D$10,0),MATCH(AK160,[71]Listas!$F$4:$J$4,0))</f>
        <v>#N/A</v>
      </c>
      <c r="AN160" s="259"/>
      <c r="AO160" s="259"/>
      <c r="AP160" s="610"/>
      <c r="AQ160" s="259"/>
      <c r="AR160" s="259" t="s">
        <v>2343</v>
      </c>
      <c r="AS160" s="608"/>
      <c r="AT160" s="259"/>
      <c r="AU160" s="259"/>
      <c r="AV160" s="261"/>
      <c r="AW160" s="261"/>
      <c r="AX160" s="608"/>
      <c r="AY160" s="262"/>
    </row>
    <row r="161" spans="1:1027" s="260" customFormat="1" ht="103.5" hidden="1" customHeight="1">
      <c r="A161" s="608"/>
      <c r="B161" s="266"/>
      <c r="C161" s="1399"/>
      <c r="D161" s="1408"/>
      <c r="E161" s="1400"/>
      <c r="F161" s="267"/>
      <c r="G161" s="1399"/>
      <c r="H161" s="1408"/>
      <c r="I161" s="1400"/>
      <c r="J161" s="1380"/>
      <c r="K161" s="1380"/>
      <c r="L161" s="1380"/>
      <c r="M161" s="608"/>
      <c r="N161" s="608"/>
      <c r="O161" s="608"/>
      <c r="P161" s="608"/>
      <c r="Q161" s="266"/>
      <c r="R161" s="266"/>
      <c r="S161" s="268"/>
      <c r="T161" s="269" t="e">
        <f>VLOOKUP(Q161,[71]Listas!$D$6:$E$10,2,0)</f>
        <v>#N/A</v>
      </c>
      <c r="U161" s="269" t="e">
        <f>HLOOKUP(R161,[71]Listas!$F$4:$J$5,2,0)</f>
        <v>#N/A</v>
      </c>
      <c r="V161" s="270" t="e">
        <f>INDEX([71]Listas!$F$6:$J$10,MATCH(Q161,[71]Listas!$D$6:$D$10,0),MATCH(R161,[71]Listas!$F$4:$J$4,0))</f>
        <v>#N/A</v>
      </c>
      <c r="W161" s="268"/>
      <c r="X161" s="1399"/>
      <c r="Y161" s="1408"/>
      <c r="Z161" s="1400"/>
      <c r="AA161" s="1063"/>
      <c r="AB161" s="267"/>
      <c r="AC161" s="259"/>
      <c r="AD161" s="608"/>
      <c r="AE161" s="267"/>
      <c r="AF161" s="268"/>
      <c r="AG161" s="269">
        <f t="shared" si="16"/>
        <v>0</v>
      </c>
      <c r="AH161" s="271" t="e">
        <f t="shared" si="17"/>
        <v>#N/A</v>
      </c>
      <c r="AI161" s="272" t="e">
        <f>IF(AH161&lt;=1,"Remota",VLOOKUP(AH161,[71]Listas!$C$6:$D$10,2,0))</f>
        <v>#N/A</v>
      </c>
      <c r="AJ161" s="271" t="e">
        <f t="shared" si="18"/>
        <v>#N/A</v>
      </c>
      <c r="AK161" s="272" t="e">
        <f>IF(AJ161&lt;=1,"Insignificante",HLOOKUP(AJ161,[71]Listas!$F$3:$J$4,2,0))</f>
        <v>#N/A</v>
      </c>
      <c r="AL161" s="273" t="e">
        <f t="shared" si="19"/>
        <v>#N/A</v>
      </c>
      <c r="AM161" s="270" t="e">
        <f>INDEX([71]Listas!$F$6:$J$10,MATCH(AI161,[71]Listas!$D$6:$D$10,0),MATCH(AK161,[71]Listas!$F$4:$J$4,0))</f>
        <v>#N/A</v>
      </c>
      <c r="AN161" s="259"/>
      <c r="AO161" s="259"/>
      <c r="AP161" s="610"/>
      <c r="AQ161" s="259"/>
      <c r="AR161" s="259" t="s">
        <v>2343</v>
      </c>
      <c r="AS161" s="608"/>
      <c r="AT161" s="259"/>
      <c r="AU161" s="259"/>
      <c r="AV161" s="261"/>
      <c r="AW161" s="261"/>
      <c r="AX161" s="608"/>
      <c r="AY161" s="262"/>
    </row>
    <row r="162" spans="1:1027" s="260" customFormat="1" ht="103.5" hidden="1" customHeight="1">
      <c r="A162" s="608"/>
      <c r="B162" s="266"/>
      <c r="C162" s="1399"/>
      <c r="D162" s="1408"/>
      <c r="E162" s="1400"/>
      <c r="F162" s="267"/>
      <c r="G162" s="1399"/>
      <c r="H162" s="1408"/>
      <c r="I162" s="1400"/>
      <c r="J162" s="1380"/>
      <c r="K162" s="1380"/>
      <c r="L162" s="1380"/>
      <c r="M162" s="608"/>
      <c r="N162" s="608"/>
      <c r="O162" s="608"/>
      <c r="P162" s="608"/>
      <c r="Q162" s="266"/>
      <c r="R162" s="266"/>
      <c r="S162" s="268"/>
      <c r="T162" s="269" t="e">
        <f>VLOOKUP(Q162,[71]Listas!$D$6:$E$10,2,0)</f>
        <v>#N/A</v>
      </c>
      <c r="U162" s="269" t="e">
        <f>HLOOKUP(R162,[71]Listas!$F$4:$J$5,2,0)</f>
        <v>#N/A</v>
      </c>
      <c r="V162" s="270" t="e">
        <f>INDEX([71]Listas!$F$6:$J$10,MATCH(Q162,[71]Listas!$D$6:$D$10,0),MATCH(R162,[71]Listas!$F$4:$J$4,0))</f>
        <v>#N/A</v>
      </c>
      <c r="W162" s="268"/>
      <c r="X162" s="1399"/>
      <c r="Y162" s="1408"/>
      <c r="Z162" s="1400"/>
      <c r="AA162" s="1063"/>
      <c r="AB162" s="267"/>
      <c r="AC162" s="259"/>
      <c r="AD162" s="608"/>
      <c r="AE162" s="267"/>
      <c r="AF162" s="268"/>
      <c r="AG162" s="269">
        <f t="shared" si="16"/>
        <v>0</v>
      </c>
      <c r="AH162" s="271" t="e">
        <f t="shared" si="17"/>
        <v>#N/A</v>
      </c>
      <c r="AI162" s="272" t="e">
        <f>IF(AH162&lt;=1,"Remota",VLOOKUP(AH162,[71]Listas!$C$6:$D$10,2,0))</f>
        <v>#N/A</v>
      </c>
      <c r="AJ162" s="271" t="e">
        <f t="shared" si="18"/>
        <v>#N/A</v>
      </c>
      <c r="AK162" s="272" t="e">
        <f>IF(AJ162&lt;=1,"Insignificante",HLOOKUP(AJ162,[71]Listas!$F$3:$J$4,2,0))</f>
        <v>#N/A</v>
      </c>
      <c r="AL162" s="273" t="e">
        <f t="shared" si="19"/>
        <v>#N/A</v>
      </c>
      <c r="AM162" s="270" t="e">
        <f>INDEX([71]Listas!$F$6:$J$10,MATCH(AI162,[71]Listas!$D$6:$D$10,0),MATCH(AK162,[71]Listas!$F$4:$J$4,0))</f>
        <v>#N/A</v>
      </c>
      <c r="AN162" s="259"/>
      <c r="AO162" s="259"/>
      <c r="AP162" s="610"/>
      <c r="AQ162" s="259"/>
      <c r="AR162" s="259" t="s">
        <v>2343</v>
      </c>
      <c r="AS162" s="608"/>
      <c r="AT162" s="259"/>
      <c r="AU162" s="259"/>
      <c r="AV162" s="261"/>
      <c r="AW162" s="261"/>
      <c r="AX162" s="608"/>
      <c r="AY162" s="262"/>
    </row>
    <row r="163" spans="1:1027" s="260" customFormat="1" ht="103.5" hidden="1" customHeight="1">
      <c r="A163" s="608"/>
      <c r="B163" s="266"/>
      <c r="C163" s="1399"/>
      <c r="D163" s="1408"/>
      <c r="E163" s="1400"/>
      <c r="F163" s="267"/>
      <c r="G163" s="1399"/>
      <c r="H163" s="1408"/>
      <c r="I163" s="1400"/>
      <c r="J163" s="1380"/>
      <c r="K163" s="1380"/>
      <c r="L163" s="1380"/>
      <c r="M163" s="608"/>
      <c r="N163" s="608"/>
      <c r="O163" s="608"/>
      <c r="P163" s="608"/>
      <c r="Q163" s="266"/>
      <c r="R163" s="266"/>
      <c r="S163" s="268"/>
      <c r="T163" s="269" t="e">
        <f>VLOOKUP(Q163,[71]Listas!$D$6:$E$10,2,0)</f>
        <v>#N/A</v>
      </c>
      <c r="U163" s="269" t="e">
        <f>HLOOKUP(R163,[71]Listas!$F$4:$J$5,2,0)</f>
        <v>#N/A</v>
      </c>
      <c r="V163" s="270" t="e">
        <f>INDEX([71]Listas!$F$6:$J$10,MATCH(Q163,[71]Listas!$D$6:$D$10,0),MATCH(R163,[71]Listas!$F$4:$J$4,0))</f>
        <v>#N/A</v>
      </c>
      <c r="W163" s="268"/>
      <c r="X163" s="1399"/>
      <c r="Y163" s="1408"/>
      <c r="Z163" s="1400"/>
      <c r="AA163" s="1063"/>
      <c r="AB163" s="267"/>
      <c r="AC163" s="259"/>
      <c r="AD163" s="608"/>
      <c r="AE163" s="267"/>
      <c r="AF163" s="268"/>
      <c r="AG163" s="269">
        <f t="shared" si="16"/>
        <v>0</v>
      </c>
      <c r="AH163" s="271" t="e">
        <f t="shared" si="17"/>
        <v>#N/A</v>
      </c>
      <c r="AI163" s="272" t="e">
        <f>IF(AH163&lt;=1,"Remota",VLOOKUP(AH163,[71]Listas!$C$6:$D$10,2,0))</f>
        <v>#N/A</v>
      </c>
      <c r="AJ163" s="271" t="e">
        <f t="shared" si="18"/>
        <v>#N/A</v>
      </c>
      <c r="AK163" s="272" t="e">
        <f>IF(AJ163&lt;=1,"Insignificante",HLOOKUP(AJ163,[71]Listas!$F$3:$J$4,2,0))</f>
        <v>#N/A</v>
      </c>
      <c r="AL163" s="273" t="e">
        <f t="shared" si="19"/>
        <v>#N/A</v>
      </c>
      <c r="AM163" s="270" t="e">
        <f>INDEX([71]Listas!$F$6:$J$10,MATCH(AI163,[71]Listas!$D$6:$D$10,0),MATCH(AK163,[71]Listas!$F$4:$J$4,0))</f>
        <v>#N/A</v>
      </c>
      <c r="AN163" s="259"/>
      <c r="AO163" s="259"/>
      <c r="AP163" s="610"/>
      <c r="AQ163" s="259"/>
      <c r="AR163" s="259" t="s">
        <v>2343</v>
      </c>
      <c r="AS163" s="608"/>
      <c r="AT163" s="259"/>
      <c r="AU163" s="259"/>
      <c r="AV163" s="261"/>
      <c r="AW163" s="261"/>
      <c r="AX163" s="608"/>
      <c r="AY163" s="262"/>
    </row>
    <row r="164" spans="1:1027" ht="5.25" customHeight="1">
      <c r="A164" s="275"/>
      <c r="B164" s="276"/>
      <c r="C164" s="276"/>
      <c r="D164" s="276"/>
      <c r="E164" s="275"/>
      <c r="F164" s="275"/>
      <c r="G164" s="277"/>
      <c r="H164" s="277"/>
      <c r="I164" s="277"/>
      <c r="J164" s="275"/>
      <c r="K164" s="275"/>
      <c r="L164" s="278"/>
      <c r="M164" s="278"/>
      <c r="N164" s="278"/>
      <c r="O164" s="278"/>
      <c r="P164" s="278"/>
      <c r="Q164" s="278"/>
      <c r="R164" s="278"/>
      <c r="S164" s="278"/>
      <c r="T164" s="278"/>
      <c r="U164" s="278"/>
      <c r="V164" s="275"/>
      <c r="W164" s="275"/>
      <c r="X164" s="277"/>
      <c r="Y164" s="277"/>
      <c r="Z164" s="277"/>
      <c r="AA164" s="275"/>
      <c r="AB164" s="277"/>
      <c r="AC164" s="277"/>
      <c r="AD164" s="275"/>
      <c r="AE164" s="275"/>
      <c r="AF164" s="275"/>
      <c r="AG164" s="275"/>
      <c r="AH164" s="275"/>
      <c r="AI164" s="275"/>
      <c r="AJ164" s="275"/>
      <c r="AK164" s="275"/>
      <c r="AL164" s="275"/>
      <c r="AM164" s="279"/>
      <c r="AN164" s="262" t="s">
        <v>971</v>
      </c>
      <c r="AO164" s="262"/>
      <c r="AP164" s="262"/>
      <c r="AQ164" s="262"/>
      <c r="AR164" s="262"/>
      <c r="AS164" s="262"/>
      <c r="AT164" s="262"/>
      <c r="AU164" s="262"/>
      <c r="AV164" s="262"/>
      <c r="AW164" s="262"/>
      <c r="AX164" s="262"/>
      <c r="AY164" s="262"/>
      <c r="AZ164" s="236"/>
      <c r="BA164" s="236"/>
      <c r="BB164" s="236"/>
      <c r="BC164" s="236"/>
      <c r="BD164" s="236"/>
      <c r="BE164" s="236"/>
      <c r="BF164" s="236"/>
      <c r="BG164" s="236"/>
      <c r="BH164" s="236"/>
      <c r="BI164" s="236"/>
      <c r="BJ164" s="236"/>
      <c r="BK164" s="236"/>
      <c r="BL164" s="236"/>
      <c r="BM164" s="236"/>
      <c r="BN164" s="236"/>
      <c r="BO164" s="236"/>
      <c r="BP164" s="236"/>
      <c r="BQ164" s="236"/>
      <c r="BR164" s="236"/>
      <c r="BS164" s="236"/>
      <c r="BT164" s="236"/>
      <c r="BU164" s="236"/>
      <c r="BV164" s="236"/>
      <c r="BW164" s="236"/>
      <c r="BX164" s="236"/>
      <c r="BY164" s="236"/>
      <c r="BZ164" s="236"/>
      <c r="CA164" s="236"/>
      <c r="CB164" s="236"/>
      <c r="CC164" s="236"/>
      <c r="CD164" s="236"/>
      <c r="CE164" s="236"/>
      <c r="CF164" s="236"/>
      <c r="CG164" s="236"/>
      <c r="CH164" s="236"/>
      <c r="CI164" s="236"/>
      <c r="CJ164" s="236"/>
      <c r="CK164" s="236"/>
      <c r="CL164" s="236"/>
      <c r="CM164" s="236"/>
      <c r="CN164" s="236"/>
      <c r="CO164" s="236"/>
      <c r="CP164" s="236"/>
      <c r="CQ164" s="236"/>
      <c r="CR164" s="236"/>
      <c r="CS164" s="236"/>
      <c r="CT164" s="236"/>
      <c r="CU164" s="236"/>
      <c r="CV164" s="236"/>
      <c r="CW164" s="236"/>
      <c r="CX164" s="236"/>
      <c r="CY164" s="236"/>
      <c r="CZ164" s="236"/>
      <c r="DA164" s="236"/>
      <c r="DB164" s="236"/>
      <c r="DC164" s="236"/>
      <c r="DD164" s="236"/>
      <c r="DE164" s="236"/>
      <c r="DF164" s="236"/>
      <c r="DG164" s="236"/>
      <c r="DH164" s="236"/>
      <c r="DI164" s="236"/>
      <c r="DJ164" s="236"/>
      <c r="DK164" s="236"/>
      <c r="DL164" s="236"/>
      <c r="DM164" s="236"/>
      <c r="DN164" s="236"/>
      <c r="DO164" s="236"/>
      <c r="DP164" s="236"/>
      <c r="DQ164" s="236"/>
      <c r="DR164" s="236"/>
      <c r="DS164" s="236"/>
      <c r="DT164" s="236"/>
      <c r="DU164" s="236"/>
      <c r="DV164" s="236"/>
      <c r="DW164" s="236"/>
      <c r="DX164" s="236"/>
      <c r="DY164" s="236"/>
      <c r="DZ164" s="236"/>
      <c r="EA164" s="236"/>
      <c r="EB164" s="236"/>
      <c r="EC164" s="236"/>
      <c r="ED164" s="236"/>
      <c r="EE164" s="236"/>
      <c r="EF164" s="236"/>
      <c r="EG164" s="236"/>
      <c r="EH164" s="236"/>
      <c r="EI164" s="236"/>
      <c r="EJ164" s="236"/>
      <c r="EK164" s="236"/>
      <c r="EL164" s="236"/>
      <c r="EM164" s="236"/>
      <c r="EN164" s="236"/>
      <c r="EO164" s="236"/>
      <c r="EP164" s="236"/>
      <c r="EQ164" s="236"/>
      <c r="ER164" s="236"/>
      <c r="ES164" s="236"/>
      <c r="ET164" s="236"/>
      <c r="EU164" s="236"/>
      <c r="EV164" s="236"/>
      <c r="EW164" s="236"/>
      <c r="EX164" s="236"/>
      <c r="EY164" s="236"/>
      <c r="EZ164" s="236"/>
      <c r="FA164" s="236"/>
      <c r="FB164" s="236"/>
      <c r="FC164" s="236"/>
      <c r="FD164" s="236"/>
      <c r="FE164" s="236"/>
      <c r="FF164" s="236"/>
      <c r="FG164" s="236"/>
      <c r="FH164" s="236"/>
      <c r="FI164" s="236"/>
      <c r="FJ164" s="236"/>
      <c r="FK164" s="236"/>
      <c r="FL164" s="236"/>
      <c r="FM164" s="236"/>
      <c r="FN164" s="236"/>
      <c r="FO164" s="236"/>
      <c r="FP164" s="236"/>
      <c r="FQ164" s="236"/>
      <c r="FR164" s="236"/>
      <c r="FS164" s="236"/>
      <c r="FT164" s="236"/>
      <c r="FU164" s="236"/>
      <c r="FV164" s="236"/>
      <c r="FW164" s="236"/>
      <c r="FX164" s="236"/>
      <c r="FY164" s="236"/>
      <c r="FZ164" s="236"/>
      <c r="GA164" s="236"/>
      <c r="GB164" s="236"/>
      <c r="GC164" s="236"/>
      <c r="GD164" s="236"/>
      <c r="GE164" s="236"/>
      <c r="GF164" s="236"/>
      <c r="GG164" s="236"/>
      <c r="GH164" s="236"/>
      <c r="GI164" s="236"/>
      <c r="GJ164" s="236"/>
      <c r="GK164" s="236"/>
      <c r="GL164" s="236"/>
      <c r="GM164" s="236"/>
      <c r="GN164" s="236"/>
      <c r="GO164" s="236"/>
      <c r="GP164" s="236"/>
      <c r="GQ164" s="236"/>
      <c r="GR164" s="236"/>
      <c r="GS164" s="236"/>
      <c r="GT164" s="236"/>
      <c r="GU164" s="236"/>
      <c r="GV164" s="236"/>
      <c r="GW164" s="236"/>
      <c r="GX164" s="236"/>
      <c r="GY164" s="236"/>
      <c r="GZ164" s="236"/>
      <c r="HA164" s="236"/>
      <c r="HB164" s="236"/>
      <c r="HC164" s="236"/>
      <c r="HD164" s="236"/>
      <c r="HE164" s="236"/>
      <c r="HF164" s="236"/>
      <c r="HG164" s="236"/>
      <c r="HH164" s="236"/>
      <c r="HI164" s="236"/>
      <c r="HJ164" s="236"/>
      <c r="HK164" s="236"/>
      <c r="HL164" s="236"/>
      <c r="HM164" s="236"/>
      <c r="HN164" s="236"/>
      <c r="HO164" s="236"/>
      <c r="HP164" s="236"/>
      <c r="HQ164" s="236"/>
      <c r="HR164" s="236"/>
      <c r="HS164" s="236"/>
      <c r="HT164" s="236"/>
      <c r="HU164" s="236"/>
      <c r="HV164" s="236"/>
      <c r="HW164" s="236"/>
      <c r="HX164" s="236"/>
      <c r="HY164" s="236"/>
      <c r="HZ164" s="236"/>
      <c r="IA164" s="236"/>
      <c r="IB164" s="236"/>
      <c r="IC164" s="236"/>
      <c r="ID164" s="236"/>
      <c r="IE164" s="236"/>
      <c r="IF164" s="236"/>
      <c r="IG164" s="236"/>
      <c r="IH164" s="236"/>
      <c r="II164" s="236"/>
      <c r="IJ164" s="236"/>
      <c r="IK164" s="236"/>
      <c r="IL164" s="236"/>
      <c r="IM164" s="236"/>
      <c r="IN164" s="236"/>
      <c r="IO164" s="236"/>
      <c r="IP164" s="236"/>
      <c r="IQ164" s="236"/>
      <c r="IR164" s="236"/>
      <c r="IS164" s="236"/>
      <c r="IT164" s="236"/>
      <c r="IU164" s="236"/>
      <c r="IV164" s="236"/>
      <c r="IW164" s="236"/>
      <c r="IX164" s="236"/>
      <c r="IY164" s="236"/>
      <c r="IZ164" s="236"/>
      <c r="JA164" s="236"/>
      <c r="JB164" s="236"/>
      <c r="JC164" s="236"/>
      <c r="JD164" s="236"/>
      <c r="JE164" s="236"/>
      <c r="JF164" s="236"/>
      <c r="JG164" s="236"/>
      <c r="JH164" s="236"/>
      <c r="JI164" s="236"/>
      <c r="JJ164" s="236"/>
      <c r="JK164" s="236"/>
      <c r="JL164" s="236"/>
      <c r="JM164" s="236"/>
      <c r="JN164" s="236"/>
      <c r="JO164" s="236"/>
      <c r="JP164" s="236"/>
      <c r="JQ164" s="236"/>
      <c r="JR164" s="236"/>
      <c r="JS164" s="236"/>
      <c r="JT164" s="236"/>
      <c r="JU164" s="236"/>
      <c r="JV164" s="236"/>
      <c r="JW164" s="236"/>
      <c r="JX164" s="236"/>
      <c r="JY164" s="236"/>
      <c r="JZ164" s="236"/>
      <c r="KA164" s="236"/>
      <c r="KB164" s="236"/>
      <c r="KC164" s="236"/>
      <c r="KD164" s="236"/>
      <c r="KE164" s="236"/>
      <c r="KF164" s="236"/>
      <c r="KG164" s="236"/>
      <c r="KH164" s="236"/>
      <c r="KI164" s="236"/>
      <c r="KJ164" s="236"/>
      <c r="KK164" s="236"/>
      <c r="KL164" s="236"/>
      <c r="KM164" s="236"/>
      <c r="KN164" s="236"/>
      <c r="KO164" s="236"/>
      <c r="KP164" s="236"/>
      <c r="KQ164" s="236"/>
      <c r="KR164" s="236"/>
      <c r="KS164" s="236"/>
      <c r="KT164" s="236"/>
      <c r="KU164" s="236"/>
      <c r="KV164" s="236"/>
      <c r="KW164" s="236"/>
      <c r="KX164" s="236"/>
      <c r="KY164" s="236"/>
      <c r="KZ164" s="236"/>
      <c r="LA164" s="236"/>
      <c r="LB164" s="236"/>
      <c r="LC164" s="236"/>
      <c r="LD164" s="236"/>
      <c r="LE164" s="236"/>
      <c r="LF164" s="236"/>
      <c r="LG164" s="236"/>
      <c r="LH164" s="236"/>
      <c r="LI164" s="236"/>
      <c r="LJ164" s="236"/>
      <c r="LK164" s="236"/>
      <c r="LL164" s="236"/>
      <c r="LM164" s="236"/>
      <c r="LN164" s="236"/>
      <c r="LO164" s="236"/>
      <c r="LP164" s="236"/>
      <c r="LQ164" s="236"/>
      <c r="LR164" s="236"/>
      <c r="LS164" s="236"/>
      <c r="LT164" s="236"/>
      <c r="LU164" s="236"/>
      <c r="LV164" s="236"/>
      <c r="LW164" s="236"/>
      <c r="LX164" s="236"/>
      <c r="LY164" s="236"/>
      <c r="LZ164" s="236"/>
      <c r="MA164" s="236"/>
      <c r="MB164" s="236"/>
      <c r="MC164" s="236"/>
      <c r="MD164" s="236"/>
      <c r="ME164" s="236"/>
      <c r="MF164" s="236"/>
      <c r="MG164" s="236"/>
      <c r="MH164" s="236"/>
      <c r="MI164" s="236"/>
      <c r="MJ164" s="236"/>
      <c r="MK164" s="236"/>
      <c r="ML164" s="236"/>
      <c r="MM164" s="236"/>
      <c r="MN164" s="236"/>
      <c r="MO164" s="236"/>
      <c r="MP164" s="236"/>
      <c r="MQ164" s="236"/>
      <c r="MR164" s="236"/>
      <c r="MS164" s="236"/>
      <c r="MT164" s="236"/>
      <c r="MU164" s="236"/>
      <c r="MV164" s="236"/>
      <c r="MW164" s="236"/>
      <c r="MX164" s="236"/>
      <c r="MY164" s="236"/>
      <c r="MZ164" s="236"/>
      <c r="NA164" s="236"/>
      <c r="NB164" s="236"/>
      <c r="NC164" s="236"/>
      <c r="ND164" s="236"/>
      <c r="NE164" s="236"/>
      <c r="NF164" s="236"/>
      <c r="NG164" s="236"/>
      <c r="NH164" s="236"/>
      <c r="NI164" s="236"/>
      <c r="NJ164" s="236"/>
      <c r="NK164" s="236"/>
      <c r="NL164" s="236"/>
      <c r="NM164" s="236"/>
      <c r="NN164" s="236"/>
      <c r="NO164" s="236"/>
      <c r="NP164" s="236"/>
      <c r="NQ164" s="236"/>
      <c r="NR164" s="236"/>
      <c r="NS164" s="236"/>
      <c r="NT164" s="236"/>
      <c r="NU164" s="236"/>
      <c r="NV164" s="236"/>
      <c r="NW164" s="236"/>
      <c r="NX164" s="236"/>
      <c r="NY164" s="236"/>
      <c r="NZ164" s="236"/>
      <c r="OA164" s="236"/>
      <c r="OB164" s="236"/>
      <c r="OC164" s="236"/>
      <c r="OD164" s="236"/>
      <c r="OE164" s="236"/>
      <c r="OF164" s="236"/>
      <c r="OG164" s="236"/>
      <c r="OH164" s="236"/>
      <c r="OI164" s="236"/>
      <c r="OJ164" s="236"/>
      <c r="OK164" s="236"/>
      <c r="OL164" s="236"/>
      <c r="OM164" s="236"/>
      <c r="ON164" s="236"/>
      <c r="OO164" s="236"/>
      <c r="OP164" s="236"/>
      <c r="OQ164" s="236"/>
      <c r="OR164" s="236"/>
      <c r="OS164" s="236"/>
      <c r="OT164" s="236"/>
      <c r="OU164" s="236"/>
      <c r="OV164" s="236"/>
      <c r="OW164" s="236"/>
      <c r="OX164" s="236"/>
      <c r="OY164" s="236"/>
      <c r="OZ164" s="236"/>
      <c r="PA164" s="236"/>
      <c r="PB164" s="236"/>
      <c r="PC164" s="236"/>
      <c r="PD164" s="236"/>
      <c r="PE164" s="236"/>
      <c r="PF164" s="236"/>
      <c r="PG164" s="236"/>
      <c r="PH164" s="236"/>
      <c r="PI164" s="236"/>
      <c r="PJ164" s="236"/>
      <c r="PK164" s="236"/>
      <c r="PL164" s="236"/>
      <c r="PM164" s="236"/>
      <c r="PN164" s="236"/>
      <c r="PO164" s="236"/>
      <c r="PP164" s="236"/>
      <c r="PQ164" s="236"/>
      <c r="PR164" s="236"/>
      <c r="PS164" s="236"/>
      <c r="PT164" s="236"/>
      <c r="PU164" s="236"/>
      <c r="PV164" s="236"/>
      <c r="PW164" s="236"/>
      <c r="PX164" s="236"/>
      <c r="PY164" s="236"/>
      <c r="PZ164" s="236"/>
      <c r="QA164" s="236"/>
      <c r="QB164" s="236"/>
      <c r="QC164" s="236"/>
      <c r="QD164" s="236"/>
      <c r="QE164" s="236"/>
      <c r="QF164" s="236"/>
      <c r="QG164" s="236"/>
      <c r="QH164" s="236"/>
      <c r="QI164" s="236"/>
      <c r="QJ164" s="236"/>
      <c r="QK164" s="236"/>
      <c r="QL164" s="236"/>
      <c r="QM164" s="236"/>
      <c r="QN164" s="236"/>
      <c r="QO164" s="236"/>
      <c r="QP164" s="236"/>
      <c r="QQ164" s="236"/>
      <c r="QR164" s="236"/>
      <c r="QS164" s="236"/>
      <c r="QT164" s="236"/>
      <c r="QU164" s="236"/>
      <c r="QV164" s="236"/>
      <c r="QW164" s="236"/>
      <c r="QX164" s="236"/>
      <c r="QY164" s="236"/>
      <c r="QZ164" s="236"/>
      <c r="RA164" s="236"/>
      <c r="RB164" s="236"/>
      <c r="RC164" s="236"/>
      <c r="RD164" s="236"/>
      <c r="RE164" s="236"/>
      <c r="RF164" s="236"/>
      <c r="RG164" s="236"/>
      <c r="RH164" s="236"/>
      <c r="RI164" s="236"/>
      <c r="RJ164" s="236"/>
      <c r="RK164" s="236"/>
      <c r="RL164" s="236"/>
      <c r="RM164" s="236"/>
      <c r="RN164" s="236"/>
      <c r="RO164" s="236"/>
      <c r="RP164" s="236"/>
      <c r="RQ164" s="236"/>
      <c r="RR164" s="236"/>
      <c r="RS164" s="236"/>
      <c r="RT164" s="236"/>
      <c r="RU164" s="236"/>
      <c r="RV164" s="236"/>
      <c r="RW164" s="236"/>
      <c r="RX164" s="236"/>
      <c r="RY164" s="236"/>
      <c r="RZ164" s="236"/>
      <c r="SA164" s="236"/>
      <c r="SB164" s="236"/>
      <c r="SC164" s="236"/>
      <c r="SD164" s="236"/>
      <c r="SE164" s="236"/>
      <c r="SF164" s="236"/>
      <c r="SG164" s="236"/>
      <c r="SH164" s="236"/>
      <c r="SI164" s="236"/>
      <c r="SJ164" s="236"/>
      <c r="SK164" s="236"/>
      <c r="SL164" s="236"/>
      <c r="SM164" s="236"/>
      <c r="SN164" s="236"/>
      <c r="SO164" s="236"/>
      <c r="SP164" s="236"/>
      <c r="SQ164" s="236"/>
      <c r="SR164" s="236"/>
      <c r="SS164" s="236"/>
      <c r="ST164" s="236"/>
      <c r="SU164" s="236"/>
      <c r="SV164" s="236"/>
      <c r="SW164" s="236"/>
      <c r="SX164" s="236"/>
      <c r="SY164" s="236"/>
      <c r="SZ164" s="236"/>
      <c r="TA164" s="236"/>
      <c r="TB164" s="236"/>
      <c r="TC164" s="236"/>
      <c r="TD164" s="236"/>
      <c r="TE164" s="236"/>
      <c r="TF164" s="236"/>
      <c r="TG164" s="236"/>
      <c r="TH164" s="236"/>
      <c r="TI164" s="236"/>
      <c r="TJ164" s="236"/>
      <c r="TK164" s="236"/>
      <c r="TL164" s="236"/>
      <c r="TM164" s="236"/>
      <c r="TN164" s="236"/>
      <c r="TO164" s="236"/>
      <c r="TP164" s="236"/>
      <c r="TQ164" s="236"/>
      <c r="TR164" s="236"/>
      <c r="TS164" s="236"/>
      <c r="TT164" s="236"/>
      <c r="TU164" s="236"/>
      <c r="TV164" s="236"/>
      <c r="TW164" s="236"/>
      <c r="TX164" s="236"/>
      <c r="TY164" s="236"/>
      <c r="TZ164" s="236"/>
      <c r="UA164" s="236"/>
      <c r="UB164" s="236"/>
      <c r="UC164" s="236"/>
      <c r="UD164" s="236"/>
      <c r="UE164" s="236"/>
      <c r="UF164" s="236"/>
      <c r="UG164" s="236"/>
      <c r="UH164" s="236"/>
      <c r="UI164" s="236"/>
      <c r="UJ164" s="236"/>
      <c r="UK164" s="236"/>
      <c r="UL164" s="236"/>
      <c r="UM164" s="236"/>
      <c r="UN164" s="236"/>
      <c r="UO164" s="236"/>
      <c r="UP164" s="236"/>
      <c r="UQ164" s="236"/>
      <c r="UR164" s="236"/>
      <c r="US164" s="236"/>
      <c r="UT164" s="236"/>
      <c r="UU164" s="236"/>
      <c r="UV164" s="236"/>
      <c r="UW164" s="236"/>
      <c r="UX164" s="236"/>
      <c r="UY164" s="236"/>
      <c r="UZ164" s="236"/>
      <c r="VA164" s="236"/>
      <c r="VB164" s="236"/>
      <c r="VC164" s="236"/>
      <c r="VD164" s="236"/>
      <c r="VE164" s="236"/>
      <c r="VF164" s="236"/>
      <c r="VG164" s="236"/>
      <c r="VH164" s="236"/>
      <c r="VI164" s="236"/>
      <c r="VJ164" s="236"/>
      <c r="VK164" s="236"/>
      <c r="VL164" s="236"/>
      <c r="VM164" s="236"/>
      <c r="VN164" s="236"/>
      <c r="VO164" s="236"/>
      <c r="VP164" s="236"/>
      <c r="VQ164" s="236"/>
      <c r="VR164" s="236"/>
      <c r="VS164" s="236"/>
      <c r="VT164" s="236"/>
      <c r="VU164" s="236"/>
      <c r="VV164" s="236"/>
      <c r="VW164" s="236"/>
      <c r="VX164" s="236"/>
      <c r="VY164" s="236"/>
      <c r="VZ164" s="236"/>
      <c r="WA164" s="236"/>
      <c r="WB164" s="236"/>
      <c r="WC164" s="236"/>
      <c r="WD164" s="236"/>
      <c r="WE164" s="236"/>
      <c r="WF164" s="236"/>
      <c r="WG164" s="236"/>
      <c r="WH164" s="236"/>
      <c r="WI164" s="236"/>
      <c r="WJ164" s="236"/>
      <c r="WK164" s="236"/>
      <c r="WL164" s="236"/>
      <c r="WM164" s="236"/>
      <c r="WN164" s="236"/>
      <c r="WO164" s="236"/>
      <c r="WP164" s="236"/>
      <c r="WQ164" s="236"/>
      <c r="WR164" s="236"/>
      <c r="WS164" s="236"/>
      <c r="WT164" s="236"/>
      <c r="WU164" s="236"/>
      <c r="WV164" s="236"/>
      <c r="WW164" s="236"/>
      <c r="WX164" s="236"/>
      <c r="WY164" s="236"/>
      <c r="WZ164" s="236"/>
      <c r="XA164" s="236"/>
      <c r="XB164" s="236"/>
      <c r="XC164" s="236"/>
      <c r="XD164" s="236"/>
      <c r="XE164" s="236"/>
      <c r="XF164" s="236"/>
      <c r="XG164" s="236"/>
      <c r="XH164" s="236"/>
      <c r="XI164" s="236"/>
      <c r="XJ164" s="236"/>
      <c r="XK164" s="236"/>
      <c r="XL164" s="236"/>
      <c r="XM164" s="236"/>
      <c r="XN164" s="236"/>
      <c r="XO164" s="236"/>
      <c r="XP164" s="236"/>
      <c r="XQ164" s="236"/>
      <c r="XR164" s="236"/>
      <c r="XS164" s="236"/>
      <c r="XT164" s="236"/>
      <c r="XU164" s="236"/>
      <c r="XV164" s="236"/>
      <c r="XW164" s="236"/>
      <c r="XX164" s="236"/>
      <c r="XY164" s="236"/>
      <c r="XZ164" s="236"/>
      <c r="YA164" s="236"/>
      <c r="YB164" s="236"/>
      <c r="YC164" s="236"/>
      <c r="YD164" s="236"/>
      <c r="YE164" s="236"/>
      <c r="YF164" s="236"/>
      <c r="YG164" s="236"/>
      <c r="YH164" s="236"/>
      <c r="YI164" s="236"/>
      <c r="YJ164" s="236"/>
      <c r="YK164" s="236"/>
      <c r="YL164" s="236"/>
      <c r="YM164" s="236"/>
      <c r="YN164" s="236"/>
      <c r="YO164" s="236"/>
      <c r="YP164" s="236"/>
      <c r="YQ164" s="236"/>
      <c r="YR164" s="236"/>
      <c r="YS164" s="236"/>
      <c r="YT164" s="236"/>
      <c r="YU164" s="236"/>
      <c r="YV164" s="236"/>
      <c r="YW164" s="236"/>
      <c r="YX164" s="236"/>
      <c r="YY164" s="236"/>
      <c r="YZ164" s="236"/>
      <c r="ZA164" s="236"/>
      <c r="ZB164" s="236"/>
      <c r="ZC164" s="236"/>
      <c r="ZD164" s="236"/>
      <c r="ZE164" s="236"/>
      <c r="ZF164" s="236"/>
      <c r="ZG164" s="236"/>
      <c r="ZH164" s="236"/>
      <c r="ZI164" s="236"/>
      <c r="ZJ164" s="236"/>
      <c r="ZK164" s="236"/>
      <c r="ZL164" s="236"/>
      <c r="ZM164" s="236"/>
      <c r="ZN164" s="236"/>
      <c r="ZO164" s="236"/>
      <c r="ZP164" s="236"/>
      <c r="ZQ164" s="236"/>
      <c r="ZR164" s="236"/>
      <c r="ZS164" s="236"/>
      <c r="ZT164" s="236"/>
      <c r="ZU164" s="236"/>
      <c r="ZV164" s="236"/>
      <c r="ZW164" s="236"/>
      <c r="ZX164" s="236"/>
      <c r="ZY164" s="236"/>
      <c r="ZZ164" s="236"/>
      <c r="AAA164" s="236"/>
      <c r="AAB164" s="236"/>
      <c r="AAC164" s="236"/>
      <c r="AAD164" s="236"/>
      <c r="AAE164" s="236"/>
      <c r="AAF164" s="236"/>
      <c r="AAG164" s="236"/>
      <c r="AAH164" s="236"/>
      <c r="AAI164" s="236"/>
      <c r="AAJ164" s="236"/>
      <c r="AAK164" s="236"/>
      <c r="AAL164" s="236"/>
      <c r="AAM164" s="236"/>
      <c r="AAN164" s="236"/>
      <c r="AAO164" s="236"/>
      <c r="AAP164" s="236"/>
      <c r="AAQ164" s="236"/>
      <c r="AAR164" s="236"/>
      <c r="AAS164" s="236"/>
      <c r="AAT164" s="236"/>
      <c r="AAU164" s="236"/>
      <c r="AAV164" s="236"/>
      <c r="AAW164" s="236"/>
      <c r="AAX164" s="236"/>
      <c r="AAY164" s="236"/>
      <c r="AAZ164" s="236"/>
      <c r="ABA164" s="236"/>
      <c r="ABB164" s="236"/>
      <c r="ABC164" s="236"/>
      <c r="ABD164" s="236"/>
      <c r="ABE164" s="236"/>
      <c r="ABF164" s="236"/>
      <c r="ABG164" s="236"/>
      <c r="ABH164" s="236"/>
      <c r="ABI164" s="236"/>
      <c r="ABJ164" s="236"/>
      <c r="ABK164" s="236"/>
      <c r="ABL164" s="236"/>
      <c r="ABM164" s="236"/>
      <c r="ABN164" s="236"/>
      <c r="ABO164" s="236"/>
      <c r="ABP164" s="236"/>
      <c r="ABQ164" s="236"/>
      <c r="ABR164" s="236"/>
      <c r="ABS164" s="236"/>
      <c r="ABT164" s="236"/>
      <c r="ABU164" s="236"/>
      <c r="ABV164" s="236"/>
      <c r="ABW164" s="236"/>
      <c r="ABX164" s="236"/>
      <c r="ABY164" s="236"/>
      <c r="ABZ164" s="236"/>
      <c r="ACA164" s="236"/>
      <c r="ACB164" s="236"/>
      <c r="ACC164" s="236"/>
      <c r="ACD164" s="236"/>
      <c r="ACE164" s="236"/>
      <c r="ACF164" s="236"/>
      <c r="ACG164" s="236"/>
      <c r="ACH164" s="236"/>
      <c r="ACI164" s="236"/>
      <c r="ACJ164" s="236"/>
      <c r="ACK164" s="236"/>
      <c r="ACL164" s="236"/>
      <c r="ACM164" s="236"/>
      <c r="ACN164" s="236"/>
      <c r="ACO164" s="236"/>
      <c r="ACP164" s="236"/>
      <c r="ACQ164" s="236"/>
      <c r="ACR164" s="236"/>
      <c r="ACS164" s="236"/>
      <c r="ACT164" s="236"/>
      <c r="ACU164" s="236"/>
      <c r="ACV164" s="236"/>
      <c r="ACW164" s="236"/>
      <c r="ACX164" s="236"/>
      <c r="ACY164" s="236"/>
      <c r="ACZ164" s="236"/>
      <c r="ADA164" s="236"/>
      <c r="ADB164" s="236"/>
      <c r="ADC164" s="236"/>
      <c r="ADD164" s="236"/>
      <c r="ADE164" s="236"/>
      <c r="ADF164" s="236"/>
      <c r="ADG164" s="236"/>
      <c r="ADH164" s="236"/>
      <c r="ADI164" s="236"/>
      <c r="ADJ164" s="236"/>
      <c r="ADK164" s="236"/>
      <c r="ADL164" s="236"/>
      <c r="ADM164" s="236"/>
      <c r="ADN164" s="236"/>
      <c r="ADO164" s="236"/>
      <c r="ADP164" s="236"/>
      <c r="ADQ164" s="236"/>
      <c r="ADR164" s="236"/>
      <c r="ADS164" s="236"/>
      <c r="ADT164" s="236"/>
      <c r="ADU164" s="236"/>
      <c r="ADV164" s="236"/>
      <c r="ADW164" s="236"/>
      <c r="ADX164" s="236"/>
      <c r="ADY164" s="236"/>
      <c r="ADZ164" s="236"/>
      <c r="AEA164" s="236"/>
      <c r="AEB164" s="236"/>
      <c r="AEC164" s="236"/>
      <c r="AED164" s="236"/>
      <c r="AEE164" s="236"/>
      <c r="AEF164" s="236"/>
      <c r="AEG164" s="236"/>
      <c r="AEH164" s="236"/>
      <c r="AEI164" s="236"/>
      <c r="AEJ164" s="236"/>
      <c r="AEK164" s="236"/>
      <c r="AEL164" s="236"/>
      <c r="AEM164" s="236"/>
      <c r="AEN164" s="236"/>
      <c r="AEO164" s="236"/>
      <c r="AEP164" s="236"/>
      <c r="AEQ164" s="236"/>
      <c r="AER164" s="236"/>
      <c r="AES164" s="236"/>
      <c r="AET164" s="236"/>
      <c r="AEU164" s="236"/>
      <c r="AEV164" s="236"/>
      <c r="AEW164" s="236"/>
      <c r="AEX164" s="236"/>
      <c r="AEY164" s="236"/>
      <c r="AEZ164" s="236"/>
      <c r="AFA164" s="236"/>
      <c r="AFB164" s="236"/>
      <c r="AFC164" s="236"/>
      <c r="AFD164" s="236"/>
      <c r="AFE164" s="236"/>
      <c r="AFF164" s="236"/>
      <c r="AFG164" s="236"/>
      <c r="AFH164" s="236"/>
      <c r="AFI164" s="236"/>
      <c r="AFJ164" s="236"/>
      <c r="AFK164" s="236"/>
      <c r="AFL164" s="236"/>
      <c r="AFM164" s="236"/>
      <c r="AFN164" s="236"/>
      <c r="AFO164" s="236"/>
      <c r="AFP164" s="236"/>
      <c r="AFQ164" s="236"/>
      <c r="AFR164" s="236"/>
      <c r="AFS164" s="236"/>
      <c r="AFT164" s="236"/>
      <c r="AFU164" s="236"/>
      <c r="AFV164" s="236"/>
      <c r="AFW164" s="236"/>
      <c r="AFX164" s="236"/>
      <c r="AFY164" s="236"/>
      <c r="AFZ164" s="236"/>
      <c r="AGA164" s="236"/>
      <c r="AGB164" s="236"/>
      <c r="AGC164" s="236"/>
      <c r="AGD164" s="236"/>
      <c r="AGE164" s="236"/>
      <c r="AGF164" s="236"/>
      <c r="AGG164" s="236"/>
      <c r="AGH164" s="236"/>
      <c r="AGI164" s="236"/>
      <c r="AGJ164" s="236"/>
      <c r="AGK164" s="236"/>
      <c r="AGL164" s="236"/>
      <c r="AGM164" s="236"/>
      <c r="AGN164" s="236"/>
      <c r="AGO164" s="236"/>
      <c r="AGP164" s="236"/>
      <c r="AGQ164" s="236"/>
      <c r="AGR164" s="236"/>
      <c r="AGS164" s="236"/>
      <c r="AGT164" s="236"/>
      <c r="AGU164" s="236"/>
      <c r="AGV164" s="236"/>
      <c r="AGW164" s="236"/>
      <c r="AGX164" s="236"/>
      <c r="AGY164" s="236"/>
      <c r="AGZ164" s="236"/>
      <c r="AHA164" s="236"/>
      <c r="AHB164" s="236"/>
      <c r="AHC164" s="236"/>
      <c r="AHD164" s="236"/>
      <c r="AHE164" s="236"/>
      <c r="AHF164" s="236"/>
      <c r="AHG164" s="236"/>
      <c r="AHH164" s="236"/>
      <c r="AHI164" s="236"/>
      <c r="AHJ164" s="236"/>
      <c r="AHK164" s="236"/>
      <c r="AHL164" s="236"/>
      <c r="AHM164" s="236"/>
      <c r="AHN164" s="236"/>
      <c r="AHO164" s="236"/>
      <c r="AHP164" s="236"/>
      <c r="AHQ164" s="236"/>
      <c r="AHR164" s="236"/>
      <c r="AHS164" s="236"/>
      <c r="AHT164" s="236"/>
      <c r="AHU164" s="236"/>
      <c r="AHV164" s="236"/>
      <c r="AHW164" s="236"/>
      <c r="AHX164" s="236"/>
      <c r="AHY164" s="236"/>
      <c r="AHZ164" s="236"/>
      <c r="AIA164" s="236"/>
      <c r="AIB164" s="236"/>
      <c r="AIC164" s="236"/>
      <c r="AID164" s="236"/>
      <c r="AIE164" s="236"/>
      <c r="AIF164" s="236"/>
      <c r="AIG164" s="236"/>
      <c r="AIH164" s="236"/>
      <c r="AII164" s="236"/>
      <c r="AIJ164" s="236"/>
      <c r="AIK164" s="236"/>
      <c r="AIL164" s="236"/>
      <c r="AIM164" s="236"/>
      <c r="AIN164" s="236"/>
      <c r="AIO164" s="236"/>
      <c r="AIP164" s="236"/>
      <c r="AIQ164" s="236"/>
      <c r="AIR164" s="236"/>
      <c r="AIS164" s="236"/>
      <c r="AIT164" s="236"/>
      <c r="AIU164" s="236"/>
      <c r="AIV164" s="236"/>
      <c r="AIW164" s="236"/>
      <c r="AIX164" s="236"/>
      <c r="AIY164" s="236"/>
      <c r="AIZ164" s="236"/>
      <c r="AJA164" s="236"/>
      <c r="AJB164" s="236"/>
      <c r="AJC164" s="236"/>
      <c r="AJD164" s="236"/>
      <c r="AJE164" s="236"/>
      <c r="AJF164" s="236"/>
      <c r="AJG164" s="236"/>
      <c r="AJH164" s="236"/>
      <c r="AJI164" s="236"/>
      <c r="AJJ164" s="236"/>
      <c r="AJK164" s="236"/>
      <c r="AJL164" s="236"/>
      <c r="AJM164" s="236"/>
      <c r="AJN164" s="236"/>
      <c r="AJO164" s="236"/>
      <c r="AJP164" s="236"/>
      <c r="AJQ164" s="236"/>
      <c r="AJR164" s="236"/>
      <c r="AJS164" s="236"/>
      <c r="AJT164" s="236"/>
      <c r="AJU164" s="236"/>
      <c r="AJV164" s="236"/>
      <c r="AJW164" s="236"/>
      <c r="AJX164" s="236"/>
      <c r="AJY164" s="236"/>
      <c r="AJZ164" s="236"/>
      <c r="AKA164" s="236"/>
      <c r="AKB164" s="236"/>
      <c r="AKC164" s="236"/>
      <c r="AKD164" s="236"/>
      <c r="AKE164" s="236"/>
      <c r="AKF164" s="236"/>
      <c r="AKG164" s="236"/>
      <c r="AKH164" s="236"/>
      <c r="AKI164" s="236"/>
      <c r="AKJ164" s="236"/>
      <c r="AKK164" s="236"/>
      <c r="AKL164" s="236"/>
      <c r="AKM164" s="236"/>
      <c r="AKN164" s="236"/>
      <c r="AKO164" s="236"/>
      <c r="AKP164" s="236"/>
      <c r="AKQ164" s="236"/>
      <c r="AKR164" s="236"/>
      <c r="AKS164" s="236"/>
      <c r="AKT164" s="236"/>
      <c r="AKU164" s="236"/>
      <c r="AKV164" s="236"/>
      <c r="AKW164" s="236"/>
      <c r="AKX164" s="236"/>
      <c r="AKY164" s="236"/>
      <c r="AKZ164" s="236"/>
      <c r="ALA164" s="236"/>
      <c r="ALB164" s="236"/>
      <c r="ALC164" s="236"/>
      <c r="ALD164" s="236"/>
      <c r="ALE164" s="236"/>
      <c r="ALF164" s="236"/>
      <c r="ALG164" s="236"/>
      <c r="ALH164" s="236"/>
      <c r="ALI164" s="236"/>
      <c r="ALJ164" s="236"/>
      <c r="ALK164" s="236"/>
      <c r="ALL164" s="236"/>
      <c r="ALM164" s="236"/>
      <c r="ALN164" s="236"/>
      <c r="ALO164" s="236"/>
      <c r="ALP164" s="236"/>
      <c r="ALQ164" s="236"/>
      <c r="ALR164" s="236"/>
      <c r="ALS164" s="236"/>
      <c r="ALT164" s="236"/>
      <c r="ALU164" s="236"/>
      <c r="ALV164" s="236"/>
      <c r="ALW164" s="236"/>
      <c r="ALX164" s="236"/>
      <c r="ALY164" s="236"/>
      <c r="ALZ164" s="236"/>
      <c r="AMA164" s="236"/>
      <c r="AMB164" s="236"/>
      <c r="AMC164" s="236"/>
      <c r="AMD164" s="236"/>
      <c r="AME164" s="236"/>
      <c r="AMF164" s="236"/>
      <c r="AMG164" s="236"/>
      <c r="AMH164" s="236"/>
      <c r="AMI164" s="236"/>
      <c r="AMJ164" s="236"/>
      <c r="AMK164" s="236"/>
      <c r="AML164" s="236"/>
      <c r="AMM164" s="236"/>
    </row>
    <row r="165" spans="1:1027" ht="11.25" customHeight="1">
      <c r="A165" s="1386" t="s">
        <v>649</v>
      </c>
      <c r="B165" s="1387"/>
      <c r="C165" s="1387"/>
      <c r="D165" s="1387"/>
      <c r="E165" s="1387"/>
      <c r="F165" s="1387"/>
      <c r="G165" s="1387"/>
      <c r="H165" s="1387"/>
      <c r="I165" s="1387"/>
      <c r="J165" s="1387"/>
      <c r="K165" s="1387"/>
      <c r="L165" s="1388"/>
      <c r="M165" s="275"/>
      <c r="N165" s="280" t="s">
        <v>650</v>
      </c>
      <c r="O165" s="280"/>
      <c r="P165" s="281"/>
      <c r="Q165" s="281"/>
      <c r="R165" s="281"/>
      <c r="S165" s="281"/>
      <c r="T165" s="281"/>
      <c r="U165" s="281"/>
      <c r="V165" s="281"/>
      <c r="W165" s="281"/>
      <c r="X165" s="282"/>
      <c r="Y165" s="282"/>
      <c r="Z165" s="282"/>
      <c r="AA165" s="281"/>
      <c r="AB165" s="282"/>
      <c r="AC165" s="282"/>
      <c r="AD165" s="281"/>
      <c r="AE165" s="281"/>
      <c r="AF165" s="281"/>
      <c r="AG165" s="281"/>
      <c r="AH165" s="281"/>
      <c r="AI165" s="281"/>
      <c r="AJ165" s="275"/>
      <c r="AK165" s="275"/>
      <c r="AL165" s="275"/>
      <c r="AM165" s="279"/>
      <c r="AN165" s="262" t="s">
        <v>971</v>
      </c>
      <c r="AO165" s="262"/>
      <c r="AP165" s="262"/>
      <c r="AQ165" s="262"/>
      <c r="AR165" s="262"/>
      <c r="AS165" s="262"/>
      <c r="AT165" s="262"/>
      <c r="AU165" s="262"/>
      <c r="AV165" s="262"/>
      <c r="AW165" s="262"/>
      <c r="AX165" s="262"/>
      <c r="AY165" s="236"/>
      <c r="AZ165" s="236"/>
      <c r="BA165" s="236"/>
      <c r="BB165" s="236"/>
      <c r="BC165" s="236"/>
      <c r="BD165" s="236"/>
      <c r="BE165" s="236"/>
      <c r="BF165" s="236"/>
      <c r="BG165" s="236"/>
      <c r="BH165" s="236"/>
      <c r="BI165" s="236"/>
      <c r="BJ165" s="236"/>
      <c r="BK165" s="236"/>
      <c r="BL165" s="236"/>
      <c r="BM165" s="236"/>
      <c r="BN165" s="236"/>
      <c r="BO165" s="236"/>
      <c r="BP165" s="236"/>
      <c r="BQ165" s="236"/>
      <c r="BR165" s="236"/>
      <c r="BS165" s="236"/>
      <c r="BT165" s="236"/>
      <c r="BU165" s="236"/>
      <c r="BV165" s="236"/>
      <c r="BW165" s="236"/>
      <c r="BX165" s="236"/>
      <c r="BY165" s="236"/>
      <c r="BZ165" s="236"/>
      <c r="CA165" s="236"/>
      <c r="CB165" s="236"/>
      <c r="CC165" s="236"/>
      <c r="CD165" s="236"/>
      <c r="CE165" s="236"/>
      <c r="CF165" s="236"/>
      <c r="CG165" s="236"/>
      <c r="CH165" s="236"/>
      <c r="CI165" s="236"/>
      <c r="CJ165" s="236"/>
      <c r="CK165" s="236"/>
      <c r="CL165" s="236"/>
      <c r="CM165" s="236"/>
      <c r="CN165" s="236"/>
      <c r="CO165" s="236"/>
      <c r="CP165" s="236"/>
      <c r="CQ165" s="236"/>
      <c r="CR165" s="236"/>
      <c r="CS165" s="236"/>
      <c r="CT165" s="236"/>
      <c r="CU165" s="236"/>
      <c r="CV165" s="236"/>
      <c r="CW165" s="236"/>
      <c r="CX165" s="236"/>
      <c r="CY165" s="236"/>
      <c r="CZ165" s="236"/>
      <c r="DA165" s="236"/>
      <c r="DB165" s="236"/>
      <c r="DC165" s="236"/>
      <c r="DD165" s="236"/>
      <c r="DE165" s="236"/>
      <c r="DF165" s="236"/>
      <c r="DG165" s="236"/>
      <c r="DH165" s="236"/>
      <c r="DI165" s="236"/>
      <c r="DJ165" s="236"/>
      <c r="DK165" s="236"/>
      <c r="DL165" s="236"/>
      <c r="DM165" s="236"/>
      <c r="DN165" s="236"/>
      <c r="DO165" s="236"/>
      <c r="DP165" s="236"/>
      <c r="DQ165" s="236"/>
      <c r="DR165" s="236"/>
      <c r="DS165" s="236"/>
      <c r="DT165" s="236"/>
      <c r="DU165" s="236"/>
      <c r="DV165" s="236"/>
      <c r="DW165" s="236"/>
      <c r="DX165" s="236"/>
      <c r="DY165" s="236"/>
      <c r="DZ165" s="236"/>
      <c r="EA165" s="236"/>
      <c r="EB165" s="236"/>
      <c r="EC165" s="236"/>
      <c r="ED165" s="236"/>
      <c r="EE165" s="236"/>
      <c r="EF165" s="236"/>
      <c r="EG165" s="236"/>
      <c r="EH165" s="236"/>
      <c r="EI165" s="236"/>
      <c r="EJ165" s="236"/>
      <c r="EK165" s="236"/>
      <c r="EL165" s="236"/>
      <c r="EM165" s="236"/>
      <c r="EN165" s="236"/>
      <c r="EO165" s="236"/>
      <c r="EP165" s="236"/>
      <c r="EQ165" s="236"/>
      <c r="ER165" s="236"/>
      <c r="ES165" s="236"/>
      <c r="ET165" s="236"/>
      <c r="EU165" s="236"/>
      <c r="EV165" s="236"/>
      <c r="EW165" s="236"/>
      <c r="EX165" s="236"/>
      <c r="EY165" s="236"/>
      <c r="EZ165" s="236"/>
      <c r="FA165" s="236"/>
      <c r="FB165" s="236"/>
      <c r="FC165" s="236"/>
      <c r="FD165" s="236"/>
      <c r="FE165" s="236"/>
      <c r="FF165" s="236"/>
      <c r="FG165" s="236"/>
      <c r="FH165" s="236"/>
      <c r="FI165" s="236"/>
      <c r="FJ165" s="236"/>
      <c r="FK165" s="236"/>
      <c r="FL165" s="236"/>
      <c r="FM165" s="236"/>
      <c r="FN165" s="236"/>
      <c r="FO165" s="236"/>
      <c r="FP165" s="236"/>
      <c r="FQ165" s="236"/>
      <c r="FR165" s="236"/>
      <c r="FS165" s="236"/>
      <c r="FT165" s="236"/>
      <c r="FU165" s="236"/>
      <c r="FV165" s="236"/>
      <c r="FW165" s="236"/>
      <c r="FX165" s="236"/>
      <c r="FY165" s="236"/>
      <c r="FZ165" s="236"/>
      <c r="GA165" s="236"/>
      <c r="GB165" s="236"/>
      <c r="GC165" s="236"/>
      <c r="GD165" s="236"/>
      <c r="GE165" s="236"/>
      <c r="GF165" s="236"/>
      <c r="GG165" s="236"/>
      <c r="GH165" s="236"/>
      <c r="GI165" s="236"/>
      <c r="GJ165" s="236"/>
      <c r="GK165" s="236"/>
      <c r="GL165" s="236"/>
      <c r="GM165" s="236"/>
      <c r="GN165" s="236"/>
      <c r="GO165" s="236"/>
      <c r="GP165" s="236"/>
      <c r="GQ165" s="236"/>
      <c r="GR165" s="236"/>
      <c r="GS165" s="236"/>
      <c r="GT165" s="236"/>
      <c r="GU165" s="236"/>
      <c r="GV165" s="236"/>
      <c r="GW165" s="236"/>
      <c r="GX165" s="236"/>
      <c r="GY165" s="236"/>
      <c r="GZ165" s="236"/>
      <c r="HA165" s="236"/>
      <c r="HB165" s="236"/>
      <c r="HC165" s="236"/>
      <c r="HD165" s="236"/>
      <c r="HE165" s="236"/>
      <c r="HF165" s="236"/>
      <c r="HG165" s="236"/>
      <c r="HH165" s="236"/>
      <c r="HI165" s="236"/>
      <c r="HJ165" s="236"/>
      <c r="HK165" s="236"/>
      <c r="HL165" s="236"/>
      <c r="HM165" s="236"/>
      <c r="HN165" s="236"/>
      <c r="HO165" s="236"/>
      <c r="HP165" s="236"/>
      <c r="HQ165" s="236"/>
      <c r="HR165" s="236"/>
      <c r="HS165" s="236"/>
      <c r="HT165" s="236"/>
      <c r="HU165" s="236"/>
      <c r="HV165" s="236"/>
      <c r="HW165" s="236"/>
      <c r="HX165" s="236"/>
      <c r="HY165" s="236"/>
      <c r="HZ165" s="236"/>
      <c r="IA165" s="236"/>
      <c r="IB165" s="236"/>
      <c r="IC165" s="236"/>
      <c r="ID165" s="236"/>
      <c r="IE165" s="236"/>
      <c r="IF165" s="236"/>
      <c r="IG165" s="236"/>
      <c r="IH165" s="236"/>
      <c r="II165" s="236"/>
      <c r="IJ165" s="236"/>
      <c r="IK165" s="236"/>
      <c r="IL165" s="236"/>
      <c r="IM165" s="236"/>
      <c r="IN165" s="236"/>
      <c r="IO165" s="236"/>
      <c r="IP165" s="236"/>
      <c r="IQ165" s="236"/>
      <c r="IR165" s="236"/>
      <c r="IS165" s="236"/>
      <c r="IT165" s="236"/>
      <c r="IU165" s="236"/>
      <c r="IV165" s="236"/>
      <c r="IW165" s="236"/>
      <c r="IX165" s="236"/>
      <c r="IY165" s="236"/>
      <c r="IZ165" s="236"/>
      <c r="JA165" s="236"/>
      <c r="JB165" s="236"/>
      <c r="JC165" s="236"/>
      <c r="JD165" s="236"/>
      <c r="JE165" s="236"/>
      <c r="JF165" s="236"/>
      <c r="JG165" s="236"/>
      <c r="JH165" s="236"/>
      <c r="JI165" s="236"/>
      <c r="JJ165" s="236"/>
      <c r="JK165" s="236"/>
      <c r="JL165" s="236"/>
      <c r="JM165" s="236"/>
      <c r="JN165" s="236"/>
      <c r="JO165" s="236"/>
      <c r="JP165" s="236"/>
      <c r="JQ165" s="236"/>
      <c r="JR165" s="236"/>
      <c r="JS165" s="236"/>
      <c r="JT165" s="236"/>
      <c r="JU165" s="236"/>
      <c r="JV165" s="236"/>
      <c r="JW165" s="236"/>
      <c r="JX165" s="236"/>
      <c r="JY165" s="236"/>
      <c r="JZ165" s="236"/>
      <c r="KA165" s="236"/>
      <c r="KB165" s="236"/>
      <c r="KC165" s="236"/>
      <c r="KD165" s="236"/>
      <c r="KE165" s="236"/>
      <c r="KF165" s="236"/>
      <c r="KG165" s="236"/>
      <c r="KH165" s="236"/>
      <c r="KI165" s="236"/>
      <c r="KJ165" s="236"/>
      <c r="KK165" s="236"/>
      <c r="KL165" s="236"/>
      <c r="KM165" s="236"/>
      <c r="KN165" s="236"/>
      <c r="KO165" s="236"/>
      <c r="KP165" s="236"/>
      <c r="KQ165" s="236"/>
      <c r="KR165" s="236"/>
      <c r="KS165" s="236"/>
      <c r="KT165" s="236"/>
      <c r="KU165" s="236"/>
      <c r="KV165" s="236"/>
      <c r="KW165" s="236"/>
      <c r="KX165" s="236"/>
      <c r="KY165" s="236"/>
      <c r="KZ165" s="236"/>
      <c r="LA165" s="236"/>
      <c r="LB165" s="236"/>
      <c r="LC165" s="236"/>
      <c r="LD165" s="236"/>
      <c r="LE165" s="236"/>
      <c r="LF165" s="236"/>
      <c r="LG165" s="236"/>
      <c r="LH165" s="236"/>
      <c r="LI165" s="236"/>
      <c r="LJ165" s="236"/>
      <c r="LK165" s="236"/>
      <c r="LL165" s="236"/>
      <c r="LM165" s="236"/>
      <c r="LN165" s="236"/>
      <c r="LO165" s="236"/>
      <c r="LP165" s="236"/>
      <c r="LQ165" s="236"/>
      <c r="LR165" s="236"/>
      <c r="LS165" s="236"/>
      <c r="LT165" s="236"/>
      <c r="LU165" s="236"/>
      <c r="LV165" s="236"/>
      <c r="LW165" s="236"/>
      <c r="LX165" s="236"/>
      <c r="LY165" s="236"/>
      <c r="LZ165" s="236"/>
      <c r="MA165" s="236"/>
      <c r="MB165" s="236"/>
      <c r="MC165" s="236"/>
      <c r="MD165" s="236"/>
      <c r="ME165" s="236"/>
      <c r="MF165" s="236"/>
      <c r="MG165" s="236"/>
      <c r="MH165" s="236"/>
      <c r="MI165" s="236"/>
      <c r="MJ165" s="236"/>
      <c r="MK165" s="236"/>
      <c r="ML165" s="236"/>
      <c r="MM165" s="236"/>
      <c r="MN165" s="236"/>
      <c r="MO165" s="236"/>
      <c r="MP165" s="236"/>
      <c r="MQ165" s="236"/>
      <c r="MR165" s="236"/>
      <c r="MS165" s="236"/>
      <c r="MT165" s="236"/>
      <c r="MU165" s="236"/>
      <c r="MV165" s="236"/>
      <c r="MW165" s="236"/>
      <c r="MX165" s="236"/>
      <c r="MY165" s="236"/>
      <c r="MZ165" s="236"/>
      <c r="NA165" s="236"/>
      <c r="NB165" s="236"/>
      <c r="NC165" s="236"/>
      <c r="ND165" s="236"/>
      <c r="NE165" s="236"/>
      <c r="NF165" s="236"/>
      <c r="NG165" s="236"/>
      <c r="NH165" s="236"/>
      <c r="NI165" s="236"/>
      <c r="NJ165" s="236"/>
      <c r="NK165" s="236"/>
      <c r="NL165" s="236"/>
      <c r="NM165" s="236"/>
      <c r="NN165" s="236"/>
      <c r="NO165" s="236"/>
      <c r="NP165" s="236"/>
      <c r="NQ165" s="236"/>
      <c r="NR165" s="236"/>
      <c r="NS165" s="236"/>
      <c r="NT165" s="236"/>
      <c r="NU165" s="236"/>
      <c r="NV165" s="236"/>
      <c r="NW165" s="236"/>
      <c r="NX165" s="236"/>
      <c r="NY165" s="236"/>
      <c r="NZ165" s="236"/>
      <c r="OA165" s="236"/>
      <c r="OB165" s="236"/>
      <c r="OC165" s="236"/>
      <c r="OD165" s="236"/>
      <c r="OE165" s="236"/>
      <c r="OF165" s="236"/>
      <c r="OG165" s="236"/>
      <c r="OH165" s="236"/>
      <c r="OI165" s="236"/>
      <c r="OJ165" s="236"/>
      <c r="OK165" s="236"/>
      <c r="OL165" s="236"/>
      <c r="OM165" s="236"/>
      <c r="ON165" s="236"/>
      <c r="OO165" s="236"/>
      <c r="OP165" s="236"/>
      <c r="OQ165" s="236"/>
      <c r="OR165" s="236"/>
      <c r="OS165" s="236"/>
      <c r="OT165" s="236"/>
      <c r="OU165" s="236"/>
      <c r="OV165" s="236"/>
      <c r="OW165" s="236"/>
      <c r="OX165" s="236"/>
      <c r="OY165" s="236"/>
      <c r="OZ165" s="236"/>
      <c r="PA165" s="236"/>
      <c r="PB165" s="236"/>
      <c r="PC165" s="236"/>
      <c r="PD165" s="236"/>
      <c r="PE165" s="236"/>
      <c r="PF165" s="236"/>
      <c r="PG165" s="236"/>
      <c r="PH165" s="236"/>
      <c r="PI165" s="236"/>
      <c r="PJ165" s="236"/>
      <c r="PK165" s="236"/>
      <c r="PL165" s="236"/>
      <c r="PM165" s="236"/>
      <c r="PN165" s="236"/>
      <c r="PO165" s="236"/>
      <c r="PP165" s="236"/>
      <c r="PQ165" s="236"/>
      <c r="PR165" s="236"/>
      <c r="PS165" s="236"/>
      <c r="PT165" s="236"/>
      <c r="PU165" s="236"/>
      <c r="PV165" s="236"/>
      <c r="PW165" s="236"/>
      <c r="PX165" s="236"/>
      <c r="PY165" s="236"/>
      <c r="PZ165" s="236"/>
      <c r="QA165" s="236"/>
      <c r="QB165" s="236"/>
      <c r="QC165" s="236"/>
      <c r="QD165" s="236"/>
      <c r="QE165" s="236"/>
      <c r="QF165" s="236"/>
      <c r="QG165" s="236"/>
      <c r="QH165" s="236"/>
      <c r="QI165" s="236"/>
      <c r="QJ165" s="236"/>
      <c r="QK165" s="236"/>
      <c r="QL165" s="236"/>
      <c r="QM165" s="236"/>
      <c r="QN165" s="236"/>
      <c r="QO165" s="236"/>
      <c r="QP165" s="236"/>
      <c r="QQ165" s="236"/>
      <c r="QR165" s="236"/>
      <c r="QS165" s="236"/>
      <c r="QT165" s="236"/>
      <c r="QU165" s="236"/>
      <c r="QV165" s="236"/>
      <c r="QW165" s="236"/>
      <c r="QX165" s="236"/>
      <c r="QY165" s="236"/>
      <c r="QZ165" s="236"/>
      <c r="RA165" s="236"/>
      <c r="RB165" s="236"/>
      <c r="RC165" s="236"/>
      <c r="RD165" s="236"/>
      <c r="RE165" s="236"/>
      <c r="RF165" s="236"/>
      <c r="RG165" s="236"/>
      <c r="RH165" s="236"/>
      <c r="RI165" s="236"/>
      <c r="RJ165" s="236"/>
      <c r="RK165" s="236"/>
      <c r="RL165" s="236"/>
      <c r="RM165" s="236"/>
      <c r="RN165" s="236"/>
      <c r="RO165" s="236"/>
      <c r="RP165" s="236"/>
      <c r="RQ165" s="236"/>
      <c r="RR165" s="236"/>
      <c r="RS165" s="236"/>
      <c r="RT165" s="236"/>
      <c r="RU165" s="236"/>
      <c r="RV165" s="236"/>
      <c r="RW165" s="236"/>
      <c r="RX165" s="236"/>
      <c r="RY165" s="236"/>
      <c r="RZ165" s="236"/>
      <c r="SA165" s="236"/>
      <c r="SB165" s="236"/>
      <c r="SC165" s="236"/>
      <c r="SD165" s="236"/>
      <c r="SE165" s="236"/>
      <c r="SF165" s="236"/>
      <c r="SG165" s="236"/>
      <c r="SH165" s="236"/>
      <c r="SI165" s="236"/>
      <c r="SJ165" s="236"/>
      <c r="SK165" s="236"/>
      <c r="SL165" s="236"/>
      <c r="SM165" s="236"/>
      <c r="SN165" s="236"/>
      <c r="SO165" s="236"/>
      <c r="SP165" s="236"/>
      <c r="SQ165" s="236"/>
      <c r="SR165" s="236"/>
      <c r="SS165" s="236"/>
      <c r="ST165" s="236"/>
      <c r="SU165" s="236"/>
      <c r="SV165" s="236"/>
      <c r="SW165" s="236"/>
      <c r="SX165" s="236"/>
      <c r="SY165" s="236"/>
      <c r="SZ165" s="236"/>
      <c r="TA165" s="236"/>
      <c r="TB165" s="236"/>
      <c r="TC165" s="236"/>
      <c r="TD165" s="236"/>
      <c r="TE165" s="236"/>
      <c r="TF165" s="236"/>
      <c r="TG165" s="236"/>
      <c r="TH165" s="236"/>
      <c r="TI165" s="236"/>
      <c r="TJ165" s="236"/>
      <c r="TK165" s="236"/>
      <c r="TL165" s="236"/>
      <c r="TM165" s="236"/>
      <c r="TN165" s="236"/>
      <c r="TO165" s="236"/>
      <c r="TP165" s="236"/>
      <c r="TQ165" s="236"/>
      <c r="TR165" s="236"/>
      <c r="TS165" s="236"/>
      <c r="TT165" s="236"/>
      <c r="TU165" s="236"/>
      <c r="TV165" s="236"/>
      <c r="TW165" s="236"/>
      <c r="TX165" s="236"/>
      <c r="TY165" s="236"/>
      <c r="TZ165" s="236"/>
      <c r="UA165" s="236"/>
      <c r="UB165" s="236"/>
      <c r="UC165" s="236"/>
      <c r="UD165" s="236"/>
      <c r="UE165" s="236"/>
      <c r="UF165" s="236"/>
      <c r="UG165" s="236"/>
      <c r="UH165" s="236"/>
      <c r="UI165" s="236"/>
      <c r="UJ165" s="236"/>
      <c r="UK165" s="236"/>
      <c r="UL165" s="236"/>
      <c r="UM165" s="236"/>
      <c r="UN165" s="236"/>
      <c r="UO165" s="236"/>
      <c r="UP165" s="236"/>
      <c r="UQ165" s="236"/>
      <c r="UR165" s="236"/>
      <c r="US165" s="236"/>
      <c r="UT165" s="236"/>
      <c r="UU165" s="236"/>
      <c r="UV165" s="236"/>
      <c r="UW165" s="236"/>
      <c r="UX165" s="236"/>
      <c r="UY165" s="236"/>
      <c r="UZ165" s="236"/>
      <c r="VA165" s="236"/>
      <c r="VB165" s="236"/>
      <c r="VC165" s="236"/>
      <c r="VD165" s="236"/>
      <c r="VE165" s="236"/>
      <c r="VF165" s="236"/>
      <c r="VG165" s="236"/>
      <c r="VH165" s="236"/>
      <c r="VI165" s="236"/>
      <c r="VJ165" s="236"/>
      <c r="VK165" s="236"/>
      <c r="VL165" s="236"/>
      <c r="VM165" s="236"/>
      <c r="VN165" s="236"/>
      <c r="VO165" s="236"/>
      <c r="VP165" s="236"/>
      <c r="VQ165" s="236"/>
      <c r="VR165" s="236"/>
      <c r="VS165" s="236"/>
      <c r="VT165" s="236"/>
      <c r="VU165" s="236"/>
      <c r="VV165" s="236"/>
      <c r="VW165" s="236"/>
      <c r="VX165" s="236"/>
      <c r="VY165" s="236"/>
      <c r="VZ165" s="236"/>
      <c r="WA165" s="236"/>
      <c r="WB165" s="236"/>
      <c r="WC165" s="236"/>
      <c r="WD165" s="236"/>
      <c r="WE165" s="236"/>
      <c r="WF165" s="236"/>
      <c r="WG165" s="236"/>
      <c r="WH165" s="236"/>
      <c r="WI165" s="236"/>
      <c r="WJ165" s="236"/>
      <c r="WK165" s="236"/>
      <c r="WL165" s="236"/>
      <c r="WM165" s="236"/>
      <c r="WN165" s="236"/>
      <c r="WO165" s="236"/>
      <c r="WP165" s="236"/>
      <c r="WQ165" s="236"/>
      <c r="WR165" s="236"/>
      <c r="WS165" s="236"/>
      <c r="WT165" s="236"/>
      <c r="WU165" s="236"/>
      <c r="WV165" s="236"/>
      <c r="WW165" s="236"/>
      <c r="WX165" s="236"/>
      <c r="WY165" s="236"/>
      <c r="WZ165" s="236"/>
      <c r="XA165" s="236"/>
      <c r="XB165" s="236"/>
      <c r="XC165" s="236"/>
      <c r="XD165" s="236"/>
      <c r="XE165" s="236"/>
      <c r="XF165" s="236"/>
      <c r="XG165" s="236"/>
      <c r="XH165" s="236"/>
      <c r="XI165" s="236"/>
      <c r="XJ165" s="236"/>
      <c r="XK165" s="236"/>
      <c r="XL165" s="236"/>
      <c r="XM165" s="236"/>
      <c r="XN165" s="236"/>
      <c r="XO165" s="236"/>
      <c r="XP165" s="236"/>
      <c r="XQ165" s="236"/>
      <c r="XR165" s="236"/>
      <c r="XS165" s="236"/>
      <c r="XT165" s="236"/>
      <c r="XU165" s="236"/>
      <c r="XV165" s="236"/>
      <c r="XW165" s="236"/>
      <c r="XX165" s="236"/>
      <c r="XY165" s="236"/>
      <c r="XZ165" s="236"/>
      <c r="YA165" s="236"/>
      <c r="YB165" s="236"/>
      <c r="YC165" s="236"/>
      <c r="YD165" s="236"/>
      <c r="YE165" s="236"/>
      <c r="YF165" s="236"/>
      <c r="YG165" s="236"/>
      <c r="YH165" s="236"/>
      <c r="YI165" s="236"/>
      <c r="YJ165" s="236"/>
      <c r="YK165" s="236"/>
      <c r="YL165" s="236"/>
      <c r="YM165" s="236"/>
      <c r="YN165" s="236"/>
      <c r="YO165" s="236"/>
      <c r="YP165" s="236"/>
      <c r="YQ165" s="236"/>
      <c r="YR165" s="236"/>
      <c r="YS165" s="236"/>
      <c r="YT165" s="236"/>
      <c r="YU165" s="236"/>
      <c r="YV165" s="236"/>
      <c r="YW165" s="236"/>
      <c r="YX165" s="236"/>
      <c r="YY165" s="236"/>
      <c r="YZ165" s="236"/>
      <c r="ZA165" s="236"/>
      <c r="ZB165" s="236"/>
      <c r="ZC165" s="236"/>
      <c r="ZD165" s="236"/>
      <c r="ZE165" s="236"/>
      <c r="ZF165" s="236"/>
      <c r="ZG165" s="236"/>
      <c r="ZH165" s="236"/>
      <c r="ZI165" s="236"/>
      <c r="ZJ165" s="236"/>
      <c r="ZK165" s="236"/>
      <c r="ZL165" s="236"/>
      <c r="ZM165" s="236"/>
      <c r="ZN165" s="236"/>
      <c r="ZO165" s="236"/>
      <c r="ZP165" s="236"/>
      <c r="ZQ165" s="236"/>
      <c r="ZR165" s="236"/>
      <c r="ZS165" s="236"/>
      <c r="ZT165" s="236"/>
      <c r="ZU165" s="236"/>
      <c r="ZV165" s="236"/>
      <c r="ZW165" s="236"/>
      <c r="ZX165" s="236"/>
      <c r="ZY165" s="236"/>
      <c r="ZZ165" s="236"/>
      <c r="AAA165" s="236"/>
      <c r="AAB165" s="236"/>
      <c r="AAC165" s="236"/>
      <c r="AAD165" s="236"/>
      <c r="AAE165" s="236"/>
      <c r="AAF165" s="236"/>
      <c r="AAG165" s="236"/>
      <c r="AAH165" s="236"/>
      <c r="AAI165" s="236"/>
      <c r="AAJ165" s="236"/>
      <c r="AAK165" s="236"/>
      <c r="AAL165" s="236"/>
      <c r="AAM165" s="236"/>
      <c r="AAN165" s="236"/>
      <c r="AAO165" s="236"/>
      <c r="AAP165" s="236"/>
      <c r="AAQ165" s="236"/>
      <c r="AAR165" s="236"/>
      <c r="AAS165" s="236"/>
      <c r="AAT165" s="236"/>
      <c r="AAU165" s="236"/>
      <c r="AAV165" s="236"/>
      <c r="AAW165" s="236"/>
      <c r="AAX165" s="236"/>
      <c r="AAY165" s="236"/>
      <c r="AAZ165" s="236"/>
      <c r="ABA165" s="236"/>
      <c r="ABB165" s="236"/>
      <c r="ABC165" s="236"/>
      <c r="ABD165" s="236"/>
      <c r="ABE165" s="236"/>
      <c r="ABF165" s="236"/>
      <c r="ABG165" s="236"/>
      <c r="ABH165" s="236"/>
      <c r="ABI165" s="236"/>
      <c r="ABJ165" s="236"/>
      <c r="ABK165" s="236"/>
      <c r="ABL165" s="236"/>
      <c r="ABM165" s="236"/>
      <c r="ABN165" s="236"/>
      <c r="ABO165" s="236"/>
      <c r="ABP165" s="236"/>
      <c r="ABQ165" s="236"/>
      <c r="ABR165" s="236"/>
      <c r="ABS165" s="236"/>
      <c r="ABT165" s="236"/>
      <c r="ABU165" s="236"/>
      <c r="ABV165" s="236"/>
      <c r="ABW165" s="236"/>
      <c r="ABX165" s="236"/>
      <c r="ABY165" s="236"/>
      <c r="ABZ165" s="236"/>
      <c r="ACA165" s="236"/>
      <c r="ACB165" s="236"/>
      <c r="ACC165" s="236"/>
      <c r="ACD165" s="236"/>
      <c r="ACE165" s="236"/>
      <c r="ACF165" s="236"/>
      <c r="ACG165" s="236"/>
      <c r="ACH165" s="236"/>
      <c r="ACI165" s="236"/>
      <c r="ACJ165" s="236"/>
      <c r="ACK165" s="236"/>
      <c r="ACL165" s="236"/>
      <c r="ACM165" s="236"/>
      <c r="ACN165" s="236"/>
      <c r="ACO165" s="236"/>
      <c r="ACP165" s="236"/>
      <c r="ACQ165" s="236"/>
      <c r="ACR165" s="236"/>
      <c r="ACS165" s="236"/>
      <c r="ACT165" s="236"/>
      <c r="ACU165" s="236"/>
      <c r="ACV165" s="236"/>
      <c r="ACW165" s="236"/>
      <c r="ACX165" s="236"/>
      <c r="ACY165" s="236"/>
      <c r="ACZ165" s="236"/>
      <c r="ADA165" s="236"/>
      <c r="ADB165" s="236"/>
      <c r="ADC165" s="236"/>
      <c r="ADD165" s="236"/>
      <c r="ADE165" s="236"/>
      <c r="ADF165" s="236"/>
      <c r="ADG165" s="236"/>
      <c r="ADH165" s="236"/>
      <c r="ADI165" s="236"/>
      <c r="ADJ165" s="236"/>
      <c r="ADK165" s="236"/>
      <c r="ADL165" s="236"/>
      <c r="ADM165" s="236"/>
      <c r="ADN165" s="236"/>
      <c r="ADO165" s="236"/>
      <c r="ADP165" s="236"/>
      <c r="ADQ165" s="236"/>
      <c r="ADR165" s="236"/>
      <c r="ADS165" s="236"/>
      <c r="ADT165" s="236"/>
      <c r="ADU165" s="236"/>
      <c r="ADV165" s="236"/>
      <c r="ADW165" s="236"/>
      <c r="ADX165" s="236"/>
      <c r="ADY165" s="236"/>
      <c r="ADZ165" s="236"/>
      <c r="AEA165" s="236"/>
      <c r="AEB165" s="236"/>
      <c r="AEC165" s="236"/>
      <c r="AED165" s="236"/>
      <c r="AEE165" s="236"/>
      <c r="AEF165" s="236"/>
      <c r="AEG165" s="236"/>
      <c r="AEH165" s="236"/>
      <c r="AEI165" s="236"/>
      <c r="AEJ165" s="236"/>
      <c r="AEK165" s="236"/>
      <c r="AEL165" s="236"/>
      <c r="AEM165" s="236"/>
      <c r="AEN165" s="236"/>
      <c r="AEO165" s="236"/>
      <c r="AEP165" s="236"/>
      <c r="AEQ165" s="236"/>
      <c r="AER165" s="236"/>
      <c r="AES165" s="236"/>
      <c r="AET165" s="236"/>
      <c r="AEU165" s="236"/>
      <c r="AEV165" s="236"/>
      <c r="AEW165" s="236"/>
      <c r="AEX165" s="236"/>
      <c r="AEY165" s="236"/>
      <c r="AEZ165" s="236"/>
      <c r="AFA165" s="236"/>
      <c r="AFB165" s="236"/>
      <c r="AFC165" s="236"/>
      <c r="AFD165" s="236"/>
      <c r="AFE165" s="236"/>
      <c r="AFF165" s="236"/>
      <c r="AFG165" s="236"/>
      <c r="AFH165" s="236"/>
      <c r="AFI165" s="236"/>
      <c r="AFJ165" s="236"/>
      <c r="AFK165" s="236"/>
      <c r="AFL165" s="236"/>
      <c r="AFM165" s="236"/>
      <c r="AFN165" s="236"/>
      <c r="AFO165" s="236"/>
      <c r="AFP165" s="236"/>
      <c r="AFQ165" s="236"/>
      <c r="AFR165" s="236"/>
      <c r="AFS165" s="236"/>
      <c r="AFT165" s="236"/>
      <c r="AFU165" s="236"/>
      <c r="AFV165" s="236"/>
      <c r="AFW165" s="236"/>
      <c r="AFX165" s="236"/>
      <c r="AFY165" s="236"/>
      <c r="AFZ165" s="236"/>
      <c r="AGA165" s="236"/>
      <c r="AGB165" s="236"/>
      <c r="AGC165" s="236"/>
      <c r="AGD165" s="236"/>
      <c r="AGE165" s="236"/>
      <c r="AGF165" s="236"/>
      <c r="AGG165" s="236"/>
      <c r="AGH165" s="236"/>
      <c r="AGI165" s="236"/>
      <c r="AGJ165" s="236"/>
      <c r="AGK165" s="236"/>
      <c r="AGL165" s="236"/>
      <c r="AGM165" s="236"/>
      <c r="AGN165" s="236"/>
      <c r="AGO165" s="236"/>
      <c r="AGP165" s="236"/>
      <c r="AGQ165" s="236"/>
      <c r="AGR165" s="236"/>
      <c r="AGS165" s="236"/>
      <c r="AGT165" s="236"/>
      <c r="AGU165" s="236"/>
      <c r="AGV165" s="236"/>
      <c r="AGW165" s="236"/>
      <c r="AGX165" s="236"/>
      <c r="AGY165" s="236"/>
      <c r="AGZ165" s="236"/>
      <c r="AHA165" s="236"/>
      <c r="AHB165" s="236"/>
      <c r="AHC165" s="236"/>
      <c r="AHD165" s="236"/>
      <c r="AHE165" s="236"/>
      <c r="AHF165" s="236"/>
      <c r="AHG165" s="236"/>
      <c r="AHH165" s="236"/>
      <c r="AHI165" s="236"/>
      <c r="AHJ165" s="236"/>
      <c r="AHK165" s="236"/>
      <c r="AHL165" s="236"/>
      <c r="AHM165" s="236"/>
      <c r="AHN165" s="236"/>
      <c r="AHO165" s="236"/>
      <c r="AHP165" s="236"/>
      <c r="AHQ165" s="236"/>
      <c r="AHR165" s="236"/>
      <c r="AHS165" s="236"/>
      <c r="AHT165" s="236"/>
      <c r="AHU165" s="236"/>
      <c r="AHV165" s="236"/>
      <c r="AHW165" s="236"/>
      <c r="AHX165" s="236"/>
      <c r="AHY165" s="236"/>
      <c r="AHZ165" s="236"/>
      <c r="AIA165" s="236"/>
      <c r="AIB165" s="236"/>
      <c r="AIC165" s="236"/>
      <c r="AID165" s="236"/>
      <c r="AIE165" s="236"/>
      <c r="AIF165" s="236"/>
      <c r="AIG165" s="236"/>
      <c r="AIH165" s="236"/>
      <c r="AII165" s="236"/>
      <c r="AIJ165" s="236"/>
      <c r="AIK165" s="236"/>
      <c r="AIL165" s="236"/>
      <c r="AIM165" s="236"/>
      <c r="AIN165" s="236"/>
      <c r="AIO165" s="236"/>
      <c r="AIP165" s="236"/>
      <c r="AIQ165" s="236"/>
      <c r="AIR165" s="236"/>
      <c r="AIS165" s="236"/>
      <c r="AIT165" s="236"/>
      <c r="AIU165" s="236"/>
      <c r="AIV165" s="236"/>
      <c r="AIW165" s="236"/>
      <c r="AIX165" s="236"/>
      <c r="AIY165" s="236"/>
      <c r="AIZ165" s="236"/>
      <c r="AJA165" s="236"/>
      <c r="AJB165" s="236"/>
      <c r="AJC165" s="236"/>
      <c r="AJD165" s="236"/>
      <c r="AJE165" s="236"/>
      <c r="AJF165" s="236"/>
      <c r="AJG165" s="236"/>
      <c r="AJH165" s="236"/>
      <c r="AJI165" s="236"/>
      <c r="AJJ165" s="236"/>
      <c r="AJK165" s="236"/>
      <c r="AJL165" s="236"/>
      <c r="AJM165" s="236"/>
      <c r="AJN165" s="236"/>
      <c r="AJO165" s="236"/>
      <c r="AJP165" s="236"/>
      <c r="AJQ165" s="236"/>
      <c r="AJR165" s="236"/>
      <c r="AJS165" s="236"/>
      <c r="AJT165" s="236"/>
      <c r="AJU165" s="236"/>
      <c r="AJV165" s="236"/>
      <c r="AJW165" s="236"/>
      <c r="AJX165" s="236"/>
      <c r="AJY165" s="236"/>
      <c r="AJZ165" s="236"/>
      <c r="AKA165" s="236"/>
      <c r="AKB165" s="236"/>
      <c r="AKC165" s="236"/>
      <c r="AKD165" s="236"/>
      <c r="AKE165" s="236"/>
      <c r="AKF165" s="236"/>
      <c r="AKG165" s="236"/>
      <c r="AKH165" s="236"/>
      <c r="AKI165" s="236"/>
      <c r="AKJ165" s="236"/>
      <c r="AKK165" s="236"/>
      <c r="AKL165" s="236"/>
      <c r="AKM165" s="236"/>
      <c r="AKN165" s="236"/>
      <c r="AKO165" s="236"/>
      <c r="AKP165" s="236"/>
      <c r="AKQ165" s="236"/>
      <c r="AKR165" s="236"/>
      <c r="AKS165" s="236"/>
      <c r="AKT165" s="236"/>
      <c r="AKU165" s="236"/>
      <c r="AKV165" s="236"/>
      <c r="AKW165" s="236"/>
      <c r="AKX165" s="236"/>
      <c r="AKY165" s="236"/>
      <c r="AKZ165" s="236"/>
      <c r="ALA165" s="236"/>
      <c r="ALB165" s="236"/>
      <c r="ALC165" s="236"/>
      <c r="ALD165" s="236"/>
      <c r="ALE165" s="236"/>
      <c r="ALF165" s="236"/>
      <c r="ALG165" s="236"/>
      <c r="ALH165" s="236"/>
      <c r="ALI165" s="236"/>
      <c r="ALJ165" s="236"/>
      <c r="ALK165" s="236"/>
      <c r="ALL165" s="236"/>
      <c r="ALM165" s="236"/>
      <c r="ALN165" s="236"/>
      <c r="ALO165" s="236"/>
      <c r="ALP165" s="236"/>
      <c r="ALQ165" s="236"/>
      <c r="ALR165" s="236"/>
      <c r="ALS165" s="236"/>
      <c r="ALT165" s="236"/>
      <c r="ALU165" s="236"/>
      <c r="ALV165" s="236"/>
      <c r="ALW165" s="236"/>
      <c r="ALX165" s="236"/>
      <c r="ALY165" s="236"/>
      <c r="ALZ165" s="236"/>
      <c r="AMA165" s="236"/>
      <c r="AMB165" s="236"/>
      <c r="AMC165" s="236"/>
      <c r="AMD165" s="236"/>
      <c r="AME165" s="236"/>
      <c r="AMF165" s="236"/>
      <c r="AMG165" s="236"/>
      <c r="AMH165" s="236"/>
      <c r="AMI165" s="236"/>
      <c r="AMJ165" s="236"/>
      <c r="AMK165" s="236"/>
      <c r="AML165" s="236"/>
      <c r="AMM165" s="236"/>
    </row>
    <row r="166" spans="1:1027">
      <c r="A166" s="1418"/>
      <c r="B166" s="1419"/>
      <c r="C166" s="1419"/>
      <c r="D166" s="1419"/>
      <c r="E166" s="1419"/>
      <c r="F166" s="1419"/>
      <c r="G166" s="1419"/>
      <c r="H166" s="1419"/>
      <c r="I166" s="1419"/>
      <c r="J166" s="1419"/>
      <c r="K166" s="1419"/>
      <c r="L166" s="1420"/>
      <c r="M166" s="283"/>
      <c r="N166" s="1392" t="s">
        <v>278</v>
      </c>
      <c r="O166" s="1393"/>
      <c r="P166" s="1393"/>
      <c r="Q166" s="1393"/>
      <c r="R166" s="1394"/>
      <c r="S166" s="284"/>
      <c r="T166" s="284"/>
      <c r="U166" s="284"/>
      <c r="V166" s="1392" t="s">
        <v>170</v>
      </c>
      <c r="W166" s="1393"/>
      <c r="X166" s="1393"/>
      <c r="Y166" s="1393"/>
      <c r="Z166" s="1394"/>
      <c r="AA166" s="1065"/>
      <c r="AB166" s="1392" t="s">
        <v>171</v>
      </c>
      <c r="AC166" s="1394"/>
      <c r="AD166" s="1392" t="s">
        <v>172</v>
      </c>
      <c r="AE166" s="1393"/>
      <c r="AF166" s="1393"/>
      <c r="AG166" s="1393"/>
      <c r="AH166" s="1393"/>
      <c r="AI166" s="1393"/>
      <c r="AJ166" s="1393"/>
      <c r="AK166" s="1393"/>
      <c r="AL166" s="1393"/>
      <c r="AM166" s="1394"/>
      <c r="AN166" s="262" t="s">
        <v>971</v>
      </c>
      <c r="AO166" s="262"/>
      <c r="AP166" s="262"/>
      <c r="AQ166" s="262"/>
      <c r="AR166" s="262"/>
      <c r="AS166" s="262"/>
      <c r="AT166" s="262"/>
      <c r="AU166" s="262"/>
      <c r="AV166" s="262"/>
      <c r="AW166" s="262"/>
      <c r="AX166" s="262"/>
      <c r="AY166" s="236"/>
      <c r="AZ166" s="236"/>
      <c r="BA166" s="236"/>
      <c r="BB166" s="236"/>
      <c r="BC166" s="236"/>
      <c r="BD166" s="236"/>
      <c r="BE166" s="236"/>
      <c r="BF166" s="236"/>
      <c r="BG166" s="236"/>
      <c r="BH166" s="236"/>
      <c r="BI166" s="236"/>
      <c r="BJ166" s="236"/>
      <c r="BK166" s="236"/>
      <c r="BL166" s="236"/>
      <c r="BM166" s="236"/>
      <c r="BN166" s="236"/>
      <c r="BO166" s="236"/>
      <c r="BP166" s="236"/>
      <c r="BQ166" s="236"/>
      <c r="BR166" s="236"/>
      <c r="BS166" s="236"/>
      <c r="BT166" s="236"/>
      <c r="BU166" s="236"/>
      <c r="BV166" s="236"/>
      <c r="BW166" s="236"/>
      <c r="BX166" s="236"/>
      <c r="BY166" s="236"/>
      <c r="BZ166" s="236"/>
      <c r="CA166" s="236"/>
      <c r="CB166" s="236"/>
      <c r="CC166" s="236"/>
      <c r="CD166" s="236"/>
      <c r="CE166" s="236"/>
      <c r="CF166" s="236"/>
      <c r="CG166" s="236"/>
      <c r="CH166" s="236"/>
      <c r="CI166" s="236"/>
      <c r="CJ166" s="236"/>
      <c r="CK166" s="236"/>
      <c r="CL166" s="236"/>
      <c r="CM166" s="236"/>
      <c r="CN166" s="236"/>
      <c r="CO166" s="236"/>
      <c r="CP166" s="236"/>
      <c r="CQ166" s="236"/>
      <c r="CR166" s="236"/>
      <c r="CS166" s="236"/>
      <c r="CT166" s="236"/>
      <c r="CU166" s="236"/>
      <c r="CV166" s="236"/>
      <c r="CW166" s="236"/>
      <c r="CX166" s="236"/>
      <c r="CY166" s="236"/>
      <c r="CZ166" s="236"/>
      <c r="DA166" s="236"/>
      <c r="DB166" s="236"/>
      <c r="DC166" s="236"/>
      <c r="DD166" s="236"/>
      <c r="DE166" s="236"/>
      <c r="DF166" s="236"/>
      <c r="DG166" s="236"/>
      <c r="DH166" s="236"/>
      <c r="DI166" s="236"/>
      <c r="DJ166" s="236"/>
      <c r="DK166" s="236"/>
      <c r="DL166" s="236"/>
      <c r="DM166" s="236"/>
      <c r="DN166" s="236"/>
      <c r="DO166" s="236"/>
      <c r="DP166" s="236"/>
      <c r="DQ166" s="236"/>
      <c r="DR166" s="236"/>
      <c r="DS166" s="236"/>
      <c r="DT166" s="236"/>
      <c r="DU166" s="236"/>
      <c r="DV166" s="236"/>
      <c r="DW166" s="236"/>
      <c r="DX166" s="236"/>
      <c r="DY166" s="236"/>
      <c r="DZ166" s="236"/>
      <c r="EA166" s="236"/>
      <c r="EB166" s="236"/>
      <c r="EC166" s="236"/>
      <c r="ED166" s="236"/>
      <c r="EE166" s="236"/>
      <c r="EF166" s="236"/>
      <c r="EG166" s="236"/>
      <c r="EH166" s="236"/>
      <c r="EI166" s="236"/>
      <c r="EJ166" s="236"/>
      <c r="EK166" s="236"/>
      <c r="EL166" s="236"/>
      <c r="EM166" s="236"/>
      <c r="EN166" s="236"/>
      <c r="EO166" s="236"/>
      <c r="EP166" s="236"/>
      <c r="EQ166" s="236"/>
      <c r="ER166" s="236"/>
      <c r="ES166" s="236"/>
      <c r="ET166" s="236"/>
      <c r="EU166" s="236"/>
      <c r="EV166" s="236"/>
      <c r="EW166" s="236"/>
      <c r="EX166" s="236"/>
      <c r="EY166" s="236"/>
      <c r="EZ166" s="236"/>
      <c r="FA166" s="236"/>
      <c r="FB166" s="236"/>
      <c r="FC166" s="236"/>
      <c r="FD166" s="236"/>
      <c r="FE166" s="236"/>
      <c r="FF166" s="236"/>
      <c r="FG166" s="236"/>
      <c r="FH166" s="236"/>
      <c r="FI166" s="236"/>
      <c r="FJ166" s="236"/>
      <c r="FK166" s="236"/>
      <c r="FL166" s="236"/>
      <c r="FM166" s="236"/>
      <c r="FN166" s="236"/>
      <c r="FO166" s="236"/>
      <c r="FP166" s="236"/>
      <c r="FQ166" s="236"/>
      <c r="FR166" s="236"/>
      <c r="FS166" s="236"/>
      <c r="FT166" s="236"/>
      <c r="FU166" s="236"/>
      <c r="FV166" s="236"/>
      <c r="FW166" s="236"/>
      <c r="FX166" s="236"/>
      <c r="FY166" s="236"/>
      <c r="FZ166" s="236"/>
      <c r="GA166" s="236"/>
      <c r="GB166" s="236"/>
      <c r="GC166" s="236"/>
      <c r="GD166" s="236"/>
      <c r="GE166" s="236"/>
      <c r="GF166" s="236"/>
      <c r="GG166" s="236"/>
      <c r="GH166" s="236"/>
      <c r="GI166" s="236"/>
      <c r="GJ166" s="236"/>
      <c r="GK166" s="236"/>
      <c r="GL166" s="236"/>
      <c r="GM166" s="236"/>
      <c r="GN166" s="236"/>
      <c r="GO166" s="236"/>
      <c r="GP166" s="236"/>
      <c r="GQ166" s="236"/>
      <c r="GR166" s="236"/>
      <c r="GS166" s="236"/>
      <c r="GT166" s="236"/>
      <c r="GU166" s="236"/>
      <c r="GV166" s="236"/>
      <c r="GW166" s="236"/>
      <c r="GX166" s="236"/>
      <c r="GY166" s="236"/>
      <c r="GZ166" s="236"/>
      <c r="HA166" s="236"/>
      <c r="HB166" s="236"/>
      <c r="HC166" s="236"/>
      <c r="HD166" s="236"/>
      <c r="HE166" s="236"/>
      <c r="HF166" s="236"/>
      <c r="HG166" s="236"/>
      <c r="HH166" s="236"/>
      <c r="HI166" s="236"/>
      <c r="HJ166" s="236"/>
      <c r="HK166" s="236"/>
      <c r="HL166" s="236"/>
      <c r="HM166" s="236"/>
      <c r="HN166" s="236"/>
      <c r="HO166" s="236"/>
      <c r="HP166" s="236"/>
      <c r="HQ166" s="236"/>
      <c r="HR166" s="236"/>
      <c r="HS166" s="236"/>
      <c r="HT166" s="236"/>
      <c r="HU166" s="236"/>
      <c r="HV166" s="236"/>
      <c r="HW166" s="236"/>
      <c r="HX166" s="236"/>
      <c r="HY166" s="236"/>
      <c r="HZ166" s="236"/>
      <c r="IA166" s="236"/>
      <c r="IB166" s="236"/>
      <c r="IC166" s="236"/>
      <c r="ID166" s="236"/>
      <c r="IE166" s="236"/>
      <c r="IF166" s="236"/>
      <c r="IG166" s="236"/>
      <c r="IH166" s="236"/>
      <c r="II166" s="236"/>
      <c r="IJ166" s="236"/>
      <c r="IK166" s="236"/>
      <c r="IL166" s="236"/>
      <c r="IM166" s="236"/>
      <c r="IN166" s="236"/>
      <c r="IO166" s="236"/>
      <c r="IP166" s="236"/>
      <c r="IQ166" s="236"/>
      <c r="IR166" s="236"/>
      <c r="IS166" s="236"/>
      <c r="IT166" s="236"/>
      <c r="IU166" s="236"/>
      <c r="IV166" s="236"/>
      <c r="IW166" s="236"/>
      <c r="IX166" s="236"/>
      <c r="IY166" s="236"/>
      <c r="IZ166" s="236"/>
      <c r="JA166" s="236"/>
      <c r="JB166" s="236"/>
      <c r="JC166" s="236"/>
      <c r="JD166" s="236"/>
      <c r="JE166" s="236"/>
      <c r="JF166" s="236"/>
      <c r="JG166" s="236"/>
      <c r="JH166" s="236"/>
      <c r="JI166" s="236"/>
      <c r="JJ166" s="236"/>
      <c r="JK166" s="236"/>
      <c r="JL166" s="236"/>
      <c r="JM166" s="236"/>
      <c r="JN166" s="236"/>
      <c r="JO166" s="236"/>
      <c r="JP166" s="236"/>
      <c r="JQ166" s="236"/>
      <c r="JR166" s="236"/>
      <c r="JS166" s="236"/>
      <c r="JT166" s="236"/>
      <c r="JU166" s="236"/>
      <c r="JV166" s="236"/>
      <c r="JW166" s="236"/>
      <c r="JX166" s="236"/>
      <c r="JY166" s="236"/>
      <c r="JZ166" s="236"/>
      <c r="KA166" s="236"/>
      <c r="KB166" s="236"/>
      <c r="KC166" s="236"/>
      <c r="KD166" s="236"/>
      <c r="KE166" s="236"/>
      <c r="KF166" s="236"/>
      <c r="KG166" s="236"/>
      <c r="KH166" s="236"/>
      <c r="KI166" s="236"/>
      <c r="KJ166" s="236"/>
      <c r="KK166" s="236"/>
      <c r="KL166" s="236"/>
      <c r="KM166" s="236"/>
      <c r="KN166" s="236"/>
      <c r="KO166" s="236"/>
      <c r="KP166" s="236"/>
      <c r="KQ166" s="236"/>
      <c r="KR166" s="236"/>
      <c r="KS166" s="236"/>
      <c r="KT166" s="236"/>
      <c r="KU166" s="236"/>
      <c r="KV166" s="236"/>
      <c r="KW166" s="236"/>
      <c r="KX166" s="236"/>
      <c r="KY166" s="236"/>
      <c r="KZ166" s="236"/>
      <c r="LA166" s="236"/>
      <c r="LB166" s="236"/>
      <c r="LC166" s="236"/>
      <c r="LD166" s="236"/>
      <c r="LE166" s="236"/>
      <c r="LF166" s="236"/>
      <c r="LG166" s="236"/>
      <c r="LH166" s="236"/>
      <c r="LI166" s="236"/>
      <c r="LJ166" s="236"/>
      <c r="LK166" s="236"/>
      <c r="LL166" s="236"/>
      <c r="LM166" s="236"/>
      <c r="LN166" s="236"/>
      <c r="LO166" s="236"/>
      <c r="LP166" s="236"/>
      <c r="LQ166" s="236"/>
      <c r="LR166" s="236"/>
      <c r="LS166" s="236"/>
      <c r="LT166" s="236"/>
      <c r="LU166" s="236"/>
      <c r="LV166" s="236"/>
      <c r="LW166" s="236"/>
      <c r="LX166" s="236"/>
      <c r="LY166" s="236"/>
      <c r="LZ166" s="236"/>
      <c r="MA166" s="236"/>
      <c r="MB166" s="236"/>
      <c r="MC166" s="236"/>
      <c r="MD166" s="236"/>
      <c r="ME166" s="236"/>
      <c r="MF166" s="236"/>
      <c r="MG166" s="236"/>
      <c r="MH166" s="236"/>
      <c r="MI166" s="236"/>
      <c r="MJ166" s="236"/>
      <c r="MK166" s="236"/>
      <c r="ML166" s="236"/>
      <c r="MM166" s="236"/>
      <c r="MN166" s="236"/>
      <c r="MO166" s="236"/>
      <c r="MP166" s="236"/>
      <c r="MQ166" s="236"/>
      <c r="MR166" s="236"/>
      <c r="MS166" s="236"/>
      <c r="MT166" s="236"/>
      <c r="MU166" s="236"/>
      <c r="MV166" s="236"/>
      <c r="MW166" s="236"/>
      <c r="MX166" s="236"/>
      <c r="MY166" s="236"/>
      <c r="MZ166" s="236"/>
      <c r="NA166" s="236"/>
      <c r="NB166" s="236"/>
      <c r="NC166" s="236"/>
      <c r="ND166" s="236"/>
      <c r="NE166" s="236"/>
      <c r="NF166" s="236"/>
      <c r="NG166" s="236"/>
      <c r="NH166" s="236"/>
      <c r="NI166" s="236"/>
      <c r="NJ166" s="236"/>
      <c r="NK166" s="236"/>
      <c r="NL166" s="236"/>
      <c r="NM166" s="236"/>
      <c r="NN166" s="236"/>
      <c r="NO166" s="236"/>
      <c r="NP166" s="236"/>
      <c r="NQ166" s="236"/>
      <c r="NR166" s="236"/>
      <c r="NS166" s="236"/>
      <c r="NT166" s="236"/>
      <c r="NU166" s="236"/>
      <c r="NV166" s="236"/>
      <c r="NW166" s="236"/>
      <c r="NX166" s="236"/>
      <c r="NY166" s="236"/>
      <c r="NZ166" s="236"/>
      <c r="OA166" s="236"/>
      <c r="OB166" s="236"/>
      <c r="OC166" s="236"/>
      <c r="OD166" s="236"/>
      <c r="OE166" s="236"/>
      <c r="OF166" s="236"/>
      <c r="OG166" s="236"/>
      <c r="OH166" s="236"/>
      <c r="OI166" s="236"/>
      <c r="OJ166" s="236"/>
      <c r="OK166" s="236"/>
      <c r="OL166" s="236"/>
      <c r="OM166" s="236"/>
      <c r="ON166" s="236"/>
      <c r="OO166" s="236"/>
      <c r="OP166" s="236"/>
      <c r="OQ166" s="236"/>
      <c r="OR166" s="236"/>
      <c r="OS166" s="236"/>
      <c r="OT166" s="236"/>
      <c r="OU166" s="236"/>
      <c r="OV166" s="236"/>
      <c r="OW166" s="236"/>
      <c r="OX166" s="236"/>
      <c r="OY166" s="236"/>
      <c r="OZ166" s="236"/>
      <c r="PA166" s="236"/>
      <c r="PB166" s="236"/>
      <c r="PC166" s="236"/>
      <c r="PD166" s="236"/>
      <c r="PE166" s="236"/>
      <c r="PF166" s="236"/>
      <c r="PG166" s="236"/>
      <c r="PH166" s="236"/>
      <c r="PI166" s="236"/>
      <c r="PJ166" s="236"/>
      <c r="PK166" s="236"/>
      <c r="PL166" s="236"/>
      <c r="PM166" s="236"/>
      <c r="PN166" s="236"/>
      <c r="PO166" s="236"/>
      <c r="PP166" s="236"/>
      <c r="PQ166" s="236"/>
      <c r="PR166" s="236"/>
      <c r="PS166" s="236"/>
      <c r="PT166" s="236"/>
      <c r="PU166" s="236"/>
      <c r="PV166" s="236"/>
      <c r="PW166" s="236"/>
      <c r="PX166" s="236"/>
      <c r="PY166" s="236"/>
      <c r="PZ166" s="236"/>
      <c r="QA166" s="236"/>
      <c r="QB166" s="236"/>
      <c r="QC166" s="236"/>
      <c r="QD166" s="236"/>
      <c r="QE166" s="236"/>
      <c r="QF166" s="236"/>
      <c r="QG166" s="236"/>
      <c r="QH166" s="236"/>
      <c r="QI166" s="236"/>
      <c r="QJ166" s="236"/>
      <c r="QK166" s="236"/>
      <c r="QL166" s="236"/>
      <c r="QM166" s="236"/>
      <c r="QN166" s="236"/>
      <c r="QO166" s="236"/>
      <c r="QP166" s="236"/>
      <c r="QQ166" s="236"/>
      <c r="QR166" s="236"/>
      <c r="QS166" s="236"/>
      <c r="QT166" s="236"/>
      <c r="QU166" s="236"/>
      <c r="QV166" s="236"/>
      <c r="QW166" s="236"/>
      <c r="QX166" s="236"/>
      <c r="QY166" s="236"/>
      <c r="QZ166" s="236"/>
      <c r="RA166" s="236"/>
      <c r="RB166" s="236"/>
      <c r="RC166" s="236"/>
      <c r="RD166" s="236"/>
      <c r="RE166" s="236"/>
      <c r="RF166" s="236"/>
      <c r="RG166" s="236"/>
      <c r="RH166" s="236"/>
      <c r="RI166" s="236"/>
      <c r="RJ166" s="236"/>
      <c r="RK166" s="236"/>
      <c r="RL166" s="236"/>
      <c r="RM166" s="236"/>
      <c r="RN166" s="236"/>
      <c r="RO166" s="236"/>
      <c r="RP166" s="236"/>
      <c r="RQ166" s="236"/>
      <c r="RR166" s="236"/>
      <c r="RS166" s="236"/>
      <c r="RT166" s="236"/>
      <c r="RU166" s="236"/>
      <c r="RV166" s="236"/>
      <c r="RW166" s="236"/>
      <c r="RX166" s="236"/>
      <c r="RY166" s="236"/>
      <c r="RZ166" s="236"/>
      <c r="SA166" s="236"/>
      <c r="SB166" s="236"/>
      <c r="SC166" s="236"/>
      <c r="SD166" s="236"/>
      <c r="SE166" s="236"/>
      <c r="SF166" s="236"/>
      <c r="SG166" s="236"/>
      <c r="SH166" s="236"/>
      <c r="SI166" s="236"/>
      <c r="SJ166" s="236"/>
      <c r="SK166" s="236"/>
      <c r="SL166" s="236"/>
      <c r="SM166" s="236"/>
      <c r="SN166" s="236"/>
      <c r="SO166" s="236"/>
      <c r="SP166" s="236"/>
      <c r="SQ166" s="236"/>
      <c r="SR166" s="236"/>
      <c r="SS166" s="236"/>
      <c r="ST166" s="236"/>
      <c r="SU166" s="236"/>
      <c r="SV166" s="236"/>
      <c r="SW166" s="236"/>
      <c r="SX166" s="236"/>
      <c r="SY166" s="236"/>
      <c r="SZ166" s="236"/>
      <c r="TA166" s="236"/>
      <c r="TB166" s="236"/>
      <c r="TC166" s="236"/>
      <c r="TD166" s="236"/>
      <c r="TE166" s="236"/>
      <c r="TF166" s="236"/>
      <c r="TG166" s="236"/>
      <c r="TH166" s="236"/>
      <c r="TI166" s="236"/>
      <c r="TJ166" s="236"/>
      <c r="TK166" s="236"/>
      <c r="TL166" s="236"/>
      <c r="TM166" s="236"/>
      <c r="TN166" s="236"/>
      <c r="TO166" s="236"/>
      <c r="TP166" s="236"/>
      <c r="TQ166" s="236"/>
      <c r="TR166" s="236"/>
      <c r="TS166" s="236"/>
      <c r="TT166" s="236"/>
      <c r="TU166" s="236"/>
      <c r="TV166" s="236"/>
      <c r="TW166" s="236"/>
      <c r="TX166" s="236"/>
      <c r="TY166" s="236"/>
      <c r="TZ166" s="236"/>
      <c r="UA166" s="236"/>
      <c r="UB166" s="236"/>
      <c r="UC166" s="236"/>
      <c r="UD166" s="236"/>
      <c r="UE166" s="236"/>
      <c r="UF166" s="236"/>
      <c r="UG166" s="236"/>
      <c r="UH166" s="236"/>
      <c r="UI166" s="236"/>
      <c r="UJ166" s="236"/>
      <c r="UK166" s="236"/>
      <c r="UL166" s="236"/>
      <c r="UM166" s="236"/>
      <c r="UN166" s="236"/>
      <c r="UO166" s="236"/>
      <c r="UP166" s="236"/>
      <c r="UQ166" s="236"/>
      <c r="UR166" s="236"/>
      <c r="US166" s="236"/>
      <c r="UT166" s="236"/>
      <c r="UU166" s="236"/>
      <c r="UV166" s="236"/>
      <c r="UW166" s="236"/>
      <c r="UX166" s="236"/>
      <c r="UY166" s="236"/>
      <c r="UZ166" s="236"/>
      <c r="VA166" s="236"/>
      <c r="VB166" s="236"/>
      <c r="VC166" s="236"/>
      <c r="VD166" s="236"/>
      <c r="VE166" s="236"/>
      <c r="VF166" s="236"/>
      <c r="VG166" s="236"/>
      <c r="VH166" s="236"/>
      <c r="VI166" s="236"/>
      <c r="VJ166" s="236"/>
      <c r="VK166" s="236"/>
      <c r="VL166" s="236"/>
      <c r="VM166" s="236"/>
      <c r="VN166" s="236"/>
      <c r="VO166" s="236"/>
      <c r="VP166" s="236"/>
      <c r="VQ166" s="236"/>
      <c r="VR166" s="236"/>
      <c r="VS166" s="236"/>
      <c r="VT166" s="236"/>
      <c r="VU166" s="236"/>
      <c r="VV166" s="236"/>
      <c r="VW166" s="236"/>
      <c r="VX166" s="236"/>
      <c r="VY166" s="236"/>
      <c r="VZ166" s="236"/>
      <c r="WA166" s="236"/>
      <c r="WB166" s="236"/>
      <c r="WC166" s="236"/>
      <c r="WD166" s="236"/>
      <c r="WE166" s="236"/>
      <c r="WF166" s="236"/>
      <c r="WG166" s="236"/>
      <c r="WH166" s="236"/>
      <c r="WI166" s="236"/>
      <c r="WJ166" s="236"/>
      <c r="WK166" s="236"/>
      <c r="WL166" s="236"/>
      <c r="WM166" s="236"/>
      <c r="WN166" s="236"/>
      <c r="WO166" s="236"/>
      <c r="WP166" s="236"/>
      <c r="WQ166" s="236"/>
      <c r="WR166" s="236"/>
      <c r="WS166" s="236"/>
      <c r="WT166" s="236"/>
      <c r="WU166" s="236"/>
      <c r="WV166" s="236"/>
      <c r="WW166" s="236"/>
      <c r="WX166" s="236"/>
      <c r="WY166" s="236"/>
      <c r="WZ166" s="236"/>
      <c r="XA166" s="236"/>
      <c r="XB166" s="236"/>
      <c r="XC166" s="236"/>
      <c r="XD166" s="236"/>
      <c r="XE166" s="236"/>
      <c r="XF166" s="236"/>
      <c r="XG166" s="236"/>
      <c r="XH166" s="236"/>
      <c r="XI166" s="236"/>
      <c r="XJ166" s="236"/>
      <c r="XK166" s="236"/>
      <c r="XL166" s="236"/>
      <c r="XM166" s="236"/>
      <c r="XN166" s="236"/>
      <c r="XO166" s="236"/>
      <c r="XP166" s="236"/>
      <c r="XQ166" s="236"/>
      <c r="XR166" s="236"/>
      <c r="XS166" s="236"/>
      <c r="XT166" s="236"/>
      <c r="XU166" s="236"/>
      <c r="XV166" s="236"/>
      <c r="XW166" s="236"/>
      <c r="XX166" s="236"/>
      <c r="XY166" s="236"/>
      <c r="XZ166" s="236"/>
      <c r="YA166" s="236"/>
      <c r="YB166" s="236"/>
      <c r="YC166" s="236"/>
      <c r="YD166" s="236"/>
      <c r="YE166" s="236"/>
      <c r="YF166" s="236"/>
      <c r="YG166" s="236"/>
      <c r="YH166" s="236"/>
      <c r="YI166" s="236"/>
      <c r="YJ166" s="236"/>
      <c r="YK166" s="236"/>
      <c r="YL166" s="236"/>
      <c r="YM166" s="236"/>
      <c r="YN166" s="236"/>
      <c r="YO166" s="236"/>
      <c r="YP166" s="236"/>
      <c r="YQ166" s="236"/>
      <c r="YR166" s="236"/>
      <c r="YS166" s="236"/>
      <c r="YT166" s="236"/>
      <c r="YU166" s="236"/>
      <c r="YV166" s="236"/>
      <c r="YW166" s="236"/>
      <c r="YX166" s="236"/>
      <c r="YY166" s="236"/>
      <c r="YZ166" s="236"/>
      <c r="ZA166" s="236"/>
      <c r="ZB166" s="236"/>
      <c r="ZC166" s="236"/>
      <c r="ZD166" s="236"/>
      <c r="ZE166" s="236"/>
      <c r="ZF166" s="236"/>
      <c r="ZG166" s="236"/>
      <c r="ZH166" s="236"/>
      <c r="ZI166" s="236"/>
      <c r="ZJ166" s="236"/>
      <c r="ZK166" s="236"/>
      <c r="ZL166" s="236"/>
      <c r="ZM166" s="236"/>
      <c r="ZN166" s="236"/>
      <c r="ZO166" s="236"/>
      <c r="ZP166" s="236"/>
      <c r="ZQ166" s="236"/>
      <c r="ZR166" s="236"/>
      <c r="ZS166" s="236"/>
      <c r="ZT166" s="236"/>
      <c r="ZU166" s="236"/>
      <c r="ZV166" s="236"/>
      <c r="ZW166" s="236"/>
      <c r="ZX166" s="236"/>
      <c r="ZY166" s="236"/>
      <c r="ZZ166" s="236"/>
      <c r="AAA166" s="236"/>
      <c r="AAB166" s="236"/>
      <c r="AAC166" s="236"/>
      <c r="AAD166" s="236"/>
      <c r="AAE166" s="236"/>
      <c r="AAF166" s="236"/>
      <c r="AAG166" s="236"/>
      <c r="AAH166" s="236"/>
      <c r="AAI166" s="236"/>
      <c r="AAJ166" s="236"/>
      <c r="AAK166" s="236"/>
      <c r="AAL166" s="236"/>
      <c r="AAM166" s="236"/>
      <c r="AAN166" s="236"/>
      <c r="AAO166" s="236"/>
      <c r="AAP166" s="236"/>
      <c r="AAQ166" s="236"/>
      <c r="AAR166" s="236"/>
      <c r="AAS166" s="236"/>
      <c r="AAT166" s="236"/>
      <c r="AAU166" s="236"/>
      <c r="AAV166" s="236"/>
      <c r="AAW166" s="236"/>
      <c r="AAX166" s="236"/>
      <c r="AAY166" s="236"/>
      <c r="AAZ166" s="236"/>
      <c r="ABA166" s="236"/>
      <c r="ABB166" s="236"/>
      <c r="ABC166" s="236"/>
      <c r="ABD166" s="236"/>
      <c r="ABE166" s="236"/>
      <c r="ABF166" s="236"/>
      <c r="ABG166" s="236"/>
      <c r="ABH166" s="236"/>
      <c r="ABI166" s="236"/>
      <c r="ABJ166" s="236"/>
      <c r="ABK166" s="236"/>
      <c r="ABL166" s="236"/>
      <c r="ABM166" s="236"/>
      <c r="ABN166" s="236"/>
      <c r="ABO166" s="236"/>
      <c r="ABP166" s="236"/>
      <c r="ABQ166" s="236"/>
      <c r="ABR166" s="236"/>
      <c r="ABS166" s="236"/>
      <c r="ABT166" s="236"/>
      <c r="ABU166" s="236"/>
      <c r="ABV166" s="236"/>
      <c r="ABW166" s="236"/>
      <c r="ABX166" s="236"/>
      <c r="ABY166" s="236"/>
      <c r="ABZ166" s="236"/>
      <c r="ACA166" s="236"/>
      <c r="ACB166" s="236"/>
      <c r="ACC166" s="236"/>
      <c r="ACD166" s="236"/>
      <c r="ACE166" s="236"/>
      <c r="ACF166" s="236"/>
      <c r="ACG166" s="236"/>
      <c r="ACH166" s="236"/>
      <c r="ACI166" s="236"/>
      <c r="ACJ166" s="236"/>
      <c r="ACK166" s="236"/>
      <c r="ACL166" s="236"/>
      <c r="ACM166" s="236"/>
      <c r="ACN166" s="236"/>
      <c r="ACO166" s="236"/>
      <c r="ACP166" s="236"/>
      <c r="ACQ166" s="236"/>
      <c r="ACR166" s="236"/>
      <c r="ACS166" s="236"/>
      <c r="ACT166" s="236"/>
      <c r="ACU166" s="236"/>
      <c r="ACV166" s="236"/>
      <c r="ACW166" s="236"/>
      <c r="ACX166" s="236"/>
      <c r="ACY166" s="236"/>
      <c r="ACZ166" s="236"/>
      <c r="ADA166" s="236"/>
      <c r="ADB166" s="236"/>
      <c r="ADC166" s="236"/>
      <c r="ADD166" s="236"/>
      <c r="ADE166" s="236"/>
      <c r="ADF166" s="236"/>
      <c r="ADG166" s="236"/>
      <c r="ADH166" s="236"/>
      <c r="ADI166" s="236"/>
      <c r="ADJ166" s="236"/>
      <c r="ADK166" s="236"/>
      <c r="ADL166" s="236"/>
      <c r="ADM166" s="236"/>
      <c r="ADN166" s="236"/>
      <c r="ADO166" s="236"/>
      <c r="ADP166" s="236"/>
      <c r="ADQ166" s="236"/>
      <c r="ADR166" s="236"/>
      <c r="ADS166" s="236"/>
      <c r="ADT166" s="236"/>
      <c r="ADU166" s="236"/>
      <c r="ADV166" s="236"/>
      <c r="ADW166" s="236"/>
      <c r="ADX166" s="236"/>
      <c r="ADY166" s="236"/>
      <c r="ADZ166" s="236"/>
      <c r="AEA166" s="236"/>
      <c r="AEB166" s="236"/>
      <c r="AEC166" s="236"/>
      <c r="AED166" s="236"/>
      <c r="AEE166" s="236"/>
      <c r="AEF166" s="236"/>
      <c r="AEG166" s="236"/>
      <c r="AEH166" s="236"/>
      <c r="AEI166" s="236"/>
      <c r="AEJ166" s="236"/>
      <c r="AEK166" s="236"/>
      <c r="AEL166" s="236"/>
      <c r="AEM166" s="236"/>
      <c r="AEN166" s="236"/>
      <c r="AEO166" s="236"/>
      <c r="AEP166" s="236"/>
      <c r="AEQ166" s="236"/>
      <c r="AER166" s="236"/>
      <c r="AES166" s="236"/>
      <c r="AET166" s="236"/>
      <c r="AEU166" s="236"/>
      <c r="AEV166" s="236"/>
      <c r="AEW166" s="236"/>
      <c r="AEX166" s="236"/>
      <c r="AEY166" s="236"/>
      <c r="AEZ166" s="236"/>
      <c r="AFA166" s="236"/>
      <c r="AFB166" s="236"/>
      <c r="AFC166" s="236"/>
      <c r="AFD166" s="236"/>
      <c r="AFE166" s="236"/>
      <c r="AFF166" s="236"/>
      <c r="AFG166" s="236"/>
      <c r="AFH166" s="236"/>
      <c r="AFI166" s="236"/>
      <c r="AFJ166" s="236"/>
      <c r="AFK166" s="236"/>
      <c r="AFL166" s="236"/>
      <c r="AFM166" s="236"/>
      <c r="AFN166" s="236"/>
      <c r="AFO166" s="236"/>
      <c r="AFP166" s="236"/>
      <c r="AFQ166" s="236"/>
      <c r="AFR166" s="236"/>
      <c r="AFS166" s="236"/>
      <c r="AFT166" s="236"/>
      <c r="AFU166" s="236"/>
      <c r="AFV166" s="236"/>
      <c r="AFW166" s="236"/>
      <c r="AFX166" s="236"/>
      <c r="AFY166" s="236"/>
      <c r="AFZ166" s="236"/>
      <c r="AGA166" s="236"/>
      <c r="AGB166" s="236"/>
      <c r="AGC166" s="236"/>
      <c r="AGD166" s="236"/>
      <c r="AGE166" s="236"/>
      <c r="AGF166" s="236"/>
      <c r="AGG166" s="236"/>
      <c r="AGH166" s="236"/>
      <c r="AGI166" s="236"/>
      <c r="AGJ166" s="236"/>
      <c r="AGK166" s="236"/>
      <c r="AGL166" s="236"/>
      <c r="AGM166" s="236"/>
      <c r="AGN166" s="236"/>
      <c r="AGO166" s="236"/>
      <c r="AGP166" s="236"/>
      <c r="AGQ166" s="236"/>
      <c r="AGR166" s="236"/>
      <c r="AGS166" s="236"/>
      <c r="AGT166" s="236"/>
      <c r="AGU166" s="236"/>
      <c r="AGV166" s="236"/>
      <c r="AGW166" s="236"/>
      <c r="AGX166" s="236"/>
      <c r="AGY166" s="236"/>
      <c r="AGZ166" s="236"/>
      <c r="AHA166" s="236"/>
      <c r="AHB166" s="236"/>
      <c r="AHC166" s="236"/>
      <c r="AHD166" s="236"/>
      <c r="AHE166" s="236"/>
      <c r="AHF166" s="236"/>
      <c r="AHG166" s="236"/>
      <c r="AHH166" s="236"/>
      <c r="AHI166" s="236"/>
      <c r="AHJ166" s="236"/>
      <c r="AHK166" s="236"/>
      <c r="AHL166" s="236"/>
      <c r="AHM166" s="236"/>
      <c r="AHN166" s="236"/>
      <c r="AHO166" s="236"/>
      <c r="AHP166" s="236"/>
      <c r="AHQ166" s="236"/>
      <c r="AHR166" s="236"/>
      <c r="AHS166" s="236"/>
      <c r="AHT166" s="236"/>
      <c r="AHU166" s="236"/>
      <c r="AHV166" s="236"/>
      <c r="AHW166" s="236"/>
      <c r="AHX166" s="236"/>
      <c r="AHY166" s="236"/>
      <c r="AHZ166" s="236"/>
      <c r="AIA166" s="236"/>
      <c r="AIB166" s="236"/>
      <c r="AIC166" s="236"/>
      <c r="AID166" s="236"/>
      <c r="AIE166" s="236"/>
      <c r="AIF166" s="236"/>
      <c r="AIG166" s="236"/>
      <c r="AIH166" s="236"/>
      <c r="AII166" s="236"/>
      <c r="AIJ166" s="236"/>
      <c r="AIK166" s="236"/>
      <c r="AIL166" s="236"/>
      <c r="AIM166" s="236"/>
      <c r="AIN166" s="236"/>
      <c r="AIO166" s="236"/>
      <c r="AIP166" s="236"/>
      <c r="AIQ166" s="236"/>
      <c r="AIR166" s="236"/>
      <c r="AIS166" s="236"/>
      <c r="AIT166" s="236"/>
      <c r="AIU166" s="236"/>
      <c r="AIV166" s="236"/>
      <c r="AIW166" s="236"/>
      <c r="AIX166" s="236"/>
      <c r="AIY166" s="236"/>
      <c r="AIZ166" s="236"/>
      <c r="AJA166" s="236"/>
      <c r="AJB166" s="236"/>
      <c r="AJC166" s="236"/>
      <c r="AJD166" s="236"/>
      <c r="AJE166" s="236"/>
      <c r="AJF166" s="236"/>
      <c r="AJG166" s="236"/>
      <c r="AJH166" s="236"/>
      <c r="AJI166" s="236"/>
      <c r="AJJ166" s="236"/>
      <c r="AJK166" s="236"/>
      <c r="AJL166" s="236"/>
      <c r="AJM166" s="236"/>
      <c r="AJN166" s="236"/>
      <c r="AJO166" s="236"/>
      <c r="AJP166" s="236"/>
      <c r="AJQ166" s="236"/>
      <c r="AJR166" s="236"/>
      <c r="AJS166" s="236"/>
      <c r="AJT166" s="236"/>
      <c r="AJU166" s="236"/>
      <c r="AJV166" s="236"/>
      <c r="AJW166" s="236"/>
      <c r="AJX166" s="236"/>
      <c r="AJY166" s="236"/>
      <c r="AJZ166" s="236"/>
      <c r="AKA166" s="236"/>
      <c r="AKB166" s="236"/>
      <c r="AKC166" s="236"/>
      <c r="AKD166" s="236"/>
      <c r="AKE166" s="236"/>
      <c r="AKF166" s="236"/>
      <c r="AKG166" s="236"/>
      <c r="AKH166" s="236"/>
      <c r="AKI166" s="236"/>
      <c r="AKJ166" s="236"/>
      <c r="AKK166" s="236"/>
      <c r="AKL166" s="236"/>
      <c r="AKM166" s="236"/>
      <c r="AKN166" s="236"/>
      <c r="AKO166" s="236"/>
      <c r="AKP166" s="236"/>
      <c r="AKQ166" s="236"/>
      <c r="AKR166" s="236"/>
      <c r="AKS166" s="236"/>
      <c r="AKT166" s="236"/>
      <c r="AKU166" s="236"/>
      <c r="AKV166" s="236"/>
      <c r="AKW166" s="236"/>
      <c r="AKX166" s="236"/>
      <c r="AKY166" s="236"/>
      <c r="AKZ166" s="236"/>
      <c r="ALA166" s="236"/>
      <c r="ALB166" s="236"/>
      <c r="ALC166" s="236"/>
      <c r="ALD166" s="236"/>
      <c r="ALE166" s="236"/>
      <c r="ALF166" s="236"/>
      <c r="ALG166" s="236"/>
      <c r="ALH166" s="236"/>
      <c r="ALI166" s="236"/>
      <c r="ALJ166" s="236"/>
      <c r="ALK166" s="236"/>
      <c r="ALL166" s="236"/>
      <c r="ALM166" s="236"/>
      <c r="ALN166" s="236"/>
      <c r="ALO166" s="236"/>
      <c r="ALP166" s="236"/>
      <c r="ALQ166" s="236"/>
      <c r="ALR166" s="236"/>
      <c r="ALS166" s="236"/>
      <c r="ALT166" s="236"/>
      <c r="ALU166" s="236"/>
      <c r="ALV166" s="236"/>
      <c r="ALW166" s="236"/>
      <c r="ALX166" s="236"/>
      <c r="ALY166" s="236"/>
      <c r="ALZ166" s="236"/>
      <c r="AMA166" s="236"/>
      <c r="AMB166" s="236"/>
      <c r="AMC166" s="236"/>
      <c r="AMD166" s="236"/>
      <c r="AME166" s="236"/>
      <c r="AMF166" s="236"/>
      <c r="AMG166" s="236"/>
      <c r="AMH166" s="236"/>
      <c r="AMI166" s="236"/>
      <c r="AMJ166" s="236"/>
      <c r="AMK166" s="236"/>
      <c r="AML166" s="236"/>
      <c r="AMM166" s="236"/>
    </row>
    <row r="167" spans="1:1027" s="243" customFormat="1" ht="30" customHeight="1">
      <c r="A167" s="1984" t="s">
        <v>971</v>
      </c>
      <c r="B167" s="1985"/>
      <c r="C167" s="1985"/>
      <c r="D167" s="1985"/>
      <c r="E167" s="1985"/>
      <c r="F167" s="1985"/>
      <c r="G167" s="1985"/>
      <c r="H167" s="1985"/>
      <c r="I167" s="1985"/>
      <c r="J167" s="1985"/>
      <c r="K167" s="1985"/>
      <c r="L167" s="1986"/>
      <c r="M167" s="285"/>
      <c r="N167" s="1396" t="s">
        <v>193</v>
      </c>
      <c r="O167" s="1397"/>
      <c r="P167" s="1397"/>
      <c r="Q167" s="1397"/>
      <c r="R167" s="1398"/>
      <c r="S167" s="286"/>
      <c r="T167" s="286"/>
      <c r="U167" s="286"/>
      <c r="V167" s="1396" t="s">
        <v>3779</v>
      </c>
      <c r="W167" s="1397"/>
      <c r="X167" s="1397"/>
      <c r="Y167" s="1397"/>
      <c r="Z167" s="1398"/>
      <c r="AA167" s="1062"/>
      <c r="AB167" s="1399" t="s">
        <v>1304</v>
      </c>
      <c r="AC167" s="1398"/>
      <c r="AD167" s="1396"/>
      <c r="AE167" s="1397"/>
      <c r="AF167" s="1397"/>
      <c r="AG167" s="1397"/>
      <c r="AH167" s="1397"/>
      <c r="AI167" s="1397"/>
      <c r="AJ167" s="1397"/>
      <c r="AK167" s="1397"/>
      <c r="AL167" s="1397"/>
      <c r="AM167" s="1398"/>
      <c r="AN167" s="245"/>
      <c r="AO167" s="245"/>
      <c r="AP167" s="245"/>
      <c r="AQ167" s="245"/>
      <c r="AR167" s="245"/>
      <c r="AS167" s="245"/>
      <c r="AT167" s="245"/>
      <c r="AU167" s="245"/>
      <c r="AV167" s="245"/>
      <c r="AW167" s="245"/>
      <c r="AX167" s="245"/>
    </row>
    <row r="168" spans="1:1027" s="243" customFormat="1" ht="30" customHeight="1">
      <c r="A168" s="1984"/>
      <c r="B168" s="1985"/>
      <c r="C168" s="1985"/>
      <c r="D168" s="1985"/>
      <c r="E168" s="1985"/>
      <c r="F168" s="1985"/>
      <c r="G168" s="1985"/>
      <c r="H168" s="1985"/>
      <c r="I168" s="1985"/>
      <c r="J168" s="1985"/>
      <c r="K168" s="1985"/>
      <c r="L168" s="1986"/>
      <c r="M168" s="285"/>
      <c r="N168" s="2215" t="s">
        <v>189</v>
      </c>
      <c r="O168" s="2216"/>
      <c r="P168" s="2216"/>
      <c r="Q168" s="2216"/>
      <c r="R168" s="2217"/>
      <c r="S168" s="361"/>
      <c r="T168" s="361"/>
      <c r="U168" s="361"/>
      <c r="V168" s="2215" t="s">
        <v>1287</v>
      </c>
      <c r="W168" s="2216"/>
      <c r="X168" s="2216"/>
      <c r="Y168" s="2216"/>
      <c r="Z168" s="2217"/>
      <c r="AA168" s="1100"/>
      <c r="AB168" s="2218" t="s">
        <v>2519</v>
      </c>
      <c r="AC168" s="2217"/>
      <c r="AD168" s="1396"/>
      <c r="AE168" s="1397"/>
      <c r="AF168" s="1397"/>
      <c r="AG168" s="1397"/>
      <c r="AH168" s="1397"/>
      <c r="AI168" s="1397"/>
      <c r="AJ168" s="1397"/>
      <c r="AK168" s="1397"/>
      <c r="AL168" s="1397"/>
      <c r="AM168" s="1398"/>
      <c r="AN168" s="245"/>
      <c r="AO168" s="245"/>
      <c r="AP168" s="245"/>
      <c r="AQ168" s="245"/>
      <c r="AR168" s="245"/>
      <c r="AS168" s="245"/>
      <c r="AT168" s="245"/>
      <c r="AU168" s="245"/>
      <c r="AV168" s="245"/>
      <c r="AW168" s="245"/>
      <c r="AX168" s="245"/>
    </row>
    <row r="169" spans="1:1027" s="243" customFormat="1" ht="30" customHeight="1">
      <c r="A169" s="300"/>
      <c r="B169" s="300"/>
      <c r="C169" s="300"/>
      <c r="D169" s="300"/>
      <c r="E169" s="300"/>
      <c r="F169" s="300"/>
      <c r="G169" s="300"/>
      <c r="H169" s="300"/>
      <c r="I169" s="300"/>
      <c r="J169" s="300"/>
      <c r="K169" s="300"/>
      <c r="L169" s="300"/>
      <c r="M169" s="285"/>
      <c r="N169" s="1403"/>
      <c r="O169" s="1403"/>
      <c r="P169" s="1403"/>
      <c r="Q169" s="1403"/>
      <c r="R169" s="1403"/>
      <c r="S169" s="288"/>
      <c r="T169" s="288"/>
      <c r="U169" s="288"/>
      <c r="V169" s="1403"/>
      <c r="W169" s="1403"/>
      <c r="X169" s="1403"/>
      <c r="Y169" s="1403"/>
      <c r="Z169" s="1403"/>
      <c r="AA169" s="1064"/>
      <c r="AB169" s="611"/>
      <c r="AC169" s="611"/>
      <c r="AD169" s="288"/>
      <c r="AE169" s="288"/>
      <c r="AF169" s="288"/>
      <c r="AG169" s="288"/>
      <c r="AH169" s="288"/>
      <c r="AI169" s="288"/>
      <c r="AJ169" s="288"/>
      <c r="AK169" s="288"/>
      <c r="AL169" s="288"/>
      <c r="AM169" s="288"/>
      <c r="AN169" s="245"/>
      <c r="AO169" s="245"/>
      <c r="AP169" s="245"/>
      <c r="AQ169" s="245"/>
      <c r="AR169" s="245"/>
      <c r="AS169" s="245"/>
      <c r="AT169" s="245"/>
      <c r="AU169" s="245"/>
      <c r="AV169" s="245"/>
      <c r="AW169" s="245"/>
      <c r="AX169" s="245"/>
    </row>
    <row r="170" spans="1:1027">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1076"/>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row>
    <row r="171" spans="1:1027">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1076"/>
      <c r="AB171" s="233"/>
      <c r="AC171" s="233"/>
      <c r="AD171" s="233"/>
      <c r="AE171" s="233"/>
      <c r="AF171" s="233"/>
      <c r="AG171" s="233"/>
      <c r="AH171" s="233"/>
      <c r="AI171" s="233"/>
      <c r="AJ171" s="233"/>
      <c r="AK171" s="233"/>
      <c r="AL171" s="233"/>
      <c r="AM171" s="233"/>
    </row>
  </sheetData>
  <sheetProtection formatCells="0" formatColumns="0" formatRows="0" insertRows="0" deleteColumns="0" sort="0" autoFilter="0"/>
  <mergeCells count="690">
    <mergeCell ref="AW1:AX4"/>
    <mergeCell ref="G2:V2"/>
    <mergeCell ref="AP2:AQ2"/>
    <mergeCell ref="AR2:AS2"/>
    <mergeCell ref="A3:A4"/>
    <mergeCell ref="G3:H3"/>
    <mergeCell ref="I3:N3"/>
    <mergeCell ref="O3:V3"/>
    <mergeCell ref="Z3:AB4"/>
    <mergeCell ref="AC3:AC4"/>
    <mergeCell ref="G1:V1"/>
    <mergeCell ref="X1:Y4"/>
    <mergeCell ref="Z1:AB2"/>
    <mergeCell ref="AC1:AC2"/>
    <mergeCell ref="AD1:AN2"/>
    <mergeCell ref="AP1:AS1"/>
    <mergeCell ref="AD3:AN4"/>
    <mergeCell ref="AP3:AQ3"/>
    <mergeCell ref="AR3:AS3"/>
    <mergeCell ref="G4:H4"/>
    <mergeCell ref="I4:N4"/>
    <mergeCell ref="O4:V4"/>
    <mergeCell ref="AP4:AQ4"/>
    <mergeCell ref="AR4:AS4"/>
    <mergeCell ref="AT6:AX6"/>
    <mergeCell ref="A7:A8"/>
    <mergeCell ref="B7:B8"/>
    <mergeCell ref="C7:E8"/>
    <mergeCell ref="F7:F8"/>
    <mergeCell ref="G7:I8"/>
    <mergeCell ref="J7:L8"/>
    <mergeCell ref="M7:P7"/>
    <mergeCell ref="Q7:V7"/>
    <mergeCell ref="X7:Z8"/>
    <mergeCell ref="AV7:AV8"/>
    <mergeCell ref="AW7:AW8"/>
    <mergeCell ref="AX7:AX8"/>
    <mergeCell ref="AT7:AT8"/>
    <mergeCell ref="A6:P6"/>
    <mergeCell ref="Q6:V6"/>
    <mergeCell ref="X6:AM6"/>
    <mergeCell ref="AA7:AA8"/>
    <mergeCell ref="C10:E10"/>
    <mergeCell ref="G10:I10"/>
    <mergeCell ref="J10:L10"/>
    <mergeCell ref="X10:Z10"/>
    <mergeCell ref="C11:E11"/>
    <mergeCell ref="G11:I11"/>
    <mergeCell ref="J11:L11"/>
    <mergeCell ref="X11:Z11"/>
    <mergeCell ref="AU7:AU8"/>
    <mergeCell ref="C9:E9"/>
    <mergeCell ref="G9:I9"/>
    <mergeCell ref="J9:L9"/>
    <mergeCell ref="X9:Z9"/>
    <mergeCell ref="AO7:AO8"/>
    <mergeCell ref="AP7:AP8"/>
    <mergeCell ref="AQ7:AQ8"/>
    <mergeCell ref="AR7:AR8"/>
    <mergeCell ref="AS7:AS8"/>
    <mergeCell ref="AB7:AB8"/>
    <mergeCell ref="AC7:AC8"/>
    <mergeCell ref="AD7:AD8"/>
    <mergeCell ref="AE7:AE8"/>
    <mergeCell ref="AI7:AM7"/>
    <mergeCell ref="AN7:AN8"/>
    <mergeCell ref="C14:E14"/>
    <mergeCell ref="G14:I14"/>
    <mergeCell ref="J14:L14"/>
    <mergeCell ref="X14:Z14"/>
    <mergeCell ref="C15:E15"/>
    <mergeCell ref="G15:I15"/>
    <mergeCell ref="J15:L15"/>
    <mergeCell ref="X15:Z15"/>
    <mergeCell ref="C12:E12"/>
    <mergeCell ref="G12:I12"/>
    <mergeCell ref="J12:L12"/>
    <mergeCell ref="X12:Z12"/>
    <mergeCell ref="C13:E13"/>
    <mergeCell ref="G13:I13"/>
    <mergeCell ref="J13:L13"/>
    <mergeCell ref="X13:Z13"/>
    <mergeCell ref="C18:E18"/>
    <mergeCell ref="G18:I18"/>
    <mergeCell ref="J18:L18"/>
    <mergeCell ref="X18:Z18"/>
    <mergeCell ref="C19:E19"/>
    <mergeCell ref="G19:I19"/>
    <mergeCell ref="J19:L19"/>
    <mergeCell ref="X19:Z19"/>
    <mergeCell ref="C16:E16"/>
    <mergeCell ref="G16:I16"/>
    <mergeCell ref="J16:L16"/>
    <mergeCell ref="X16:Z16"/>
    <mergeCell ref="C17:E17"/>
    <mergeCell ref="G17:I17"/>
    <mergeCell ref="J17:L17"/>
    <mergeCell ref="X17:Z17"/>
    <mergeCell ref="C22:E22"/>
    <mergeCell ref="G22:I22"/>
    <mergeCell ref="J22:L22"/>
    <mergeCell ref="X22:Z22"/>
    <mergeCell ref="C23:E23"/>
    <mergeCell ref="G23:I23"/>
    <mergeCell ref="J23:L23"/>
    <mergeCell ref="X23:Z23"/>
    <mergeCell ref="C20:E20"/>
    <mergeCell ref="G20:I20"/>
    <mergeCell ref="J20:L20"/>
    <mergeCell ref="X20:Z20"/>
    <mergeCell ref="C21:E21"/>
    <mergeCell ref="G21:I21"/>
    <mergeCell ref="J21:L21"/>
    <mergeCell ref="X21:Z21"/>
    <mergeCell ref="C26:E26"/>
    <mergeCell ref="G26:I26"/>
    <mergeCell ref="J26:L26"/>
    <mergeCell ref="X26:Z26"/>
    <mergeCell ref="C27:E27"/>
    <mergeCell ref="G27:I27"/>
    <mergeCell ref="J27:L27"/>
    <mergeCell ref="X27:Z27"/>
    <mergeCell ref="C24:E24"/>
    <mergeCell ref="G24:I24"/>
    <mergeCell ref="J24:L24"/>
    <mergeCell ref="X24:Z24"/>
    <mergeCell ref="C25:E25"/>
    <mergeCell ref="G25:I25"/>
    <mergeCell ref="J25:L25"/>
    <mergeCell ref="X25:Z25"/>
    <mergeCell ref="C30:E30"/>
    <mergeCell ref="G30:I30"/>
    <mergeCell ref="J30:L30"/>
    <mergeCell ref="X30:Z30"/>
    <mergeCell ref="C31:E31"/>
    <mergeCell ref="G31:I31"/>
    <mergeCell ref="J31:L31"/>
    <mergeCell ref="X31:Z31"/>
    <mergeCell ref="C28:E28"/>
    <mergeCell ref="G28:I28"/>
    <mergeCell ref="J28:L28"/>
    <mergeCell ref="X28:Z28"/>
    <mergeCell ref="C29:E29"/>
    <mergeCell ref="G29:I29"/>
    <mergeCell ref="J29:L29"/>
    <mergeCell ref="X29:Z29"/>
    <mergeCell ref="C34:E34"/>
    <mergeCell ref="G34:I34"/>
    <mergeCell ref="J34:L34"/>
    <mergeCell ref="X34:Z34"/>
    <mergeCell ref="C35:E35"/>
    <mergeCell ref="G35:I35"/>
    <mergeCell ref="J35:L35"/>
    <mergeCell ref="X35:Z35"/>
    <mergeCell ref="C32:E32"/>
    <mergeCell ref="G32:I32"/>
    <mergeCell ref="J32:L32"/>
    <mergeCell ref="X32:Z32"/>
    <mergeCell ref="C33:E33"/>
    <mergeCell ref="G33:I33"/>
    <mergeCell ref="J33:L33"/>
    <mergeCell ref="X33:Z33"/>
    <mergeCell ref="C38:E38"/>
    <mergeCell ref="G38:I38"/>
    <mergeCell ref="J38:L38"/>
    <mergeCell ref="X38:Z38"/>
    <mergeCell ref="C39:E39"/>
    <mergeCell ref="G39:I39"/>
    <mergeCell ref="J39:L39"/>
    <mergeCell ref="X39:Z39"/>
    <mergeCell ref="C36:E36"/>
    <mergeCell ref="G36:I36"/>
    <mergeCell ref="J36:L36"/>
    <mergeCell ref="X36:Z36"/>
    <mergeCell ref="C37:E37"/>
    <mergeCell ref="G37:I37"/>
    <mergeCell ref="J37:L37"/>
    <mergeCell ref="X37:Z37"/>
    <mergeCell ref="C42:E42"/>
    <mergeCell ref="G42:I42"/>
    <mergeCell ref="J42:L42"/>
    <mergeCell ref="X42:Z42"/>
    <mergeCell ref="C43:E43"/>
    <mergeCell ref="G43:I43"/>
    <mergeCell ref="J43:L43"/>
    <mergeCell ref="X43:Z43"/>
    <mergeCell ref="C40:E40"/>
    <mergeCell ref="G40:I40"/>
    <mergeCell ref="J40:L40"/>
    <mergeCell ref="X40:Z40"/>
    <mergeCell ref="C41:E41"/>
    <mergeCell ref="G41:I41"/>
    <mergeCell ref="J41:L41"/>
    <mergeCell ref="X41:Z41"/>
    <mergeCell ref="C46:E46"/>
    <mergeCell ref="G46:I46"/>
    <mergeCell ref="J46:L46"/>
    <mergeCell ref="X46:Z46"/>
    <mergeCell ref="C47:E47"/>
    <mergeCell ref="G47:I47"/>
    <mergeCell ref="J47:L47"/>
    <mergeCell ref="X47:Z47"/>
    <mergeCell ref="C44:E44"/>
    <mergeCell ref="G44:I44"/>
    <mergeCell ref="J44:L44"/>
    <mergeCell ref="X44:Z44"/>
    <mergeCell ref="C45:E45"/>
    <mergeCell ref="G45:I45"/>
    <mergeCell ref="J45:L45"/>
    <mergeCell ref="X45:Z45"/>
    <mergeCell ref="C50:E50"/>
    <mergeCell ref="G50:I50"/>
    <mergeCell ref="J50:L50"/>
    <mergeCell ref="X50:Z50"/>
    <mergeCell ref="C51:E51"/>
    <mergeCell ref="G51:I51"/>
    <mergeCell ref="J51:L51"/>
    <mergeCell ref="X51:Z51"/>
    <mergeCell ref="C48:E48"/>
    <mergeCell ref="G48:I48"/>
    <mergeCell ref="J48:L48"/>
    <mergeCell ref="X48:Z48"/>
    <mergeCell ref="C49:E49"/>
    <mergeCell ref="G49:I49"/>
    <mergeCell ref="J49:L49"/>
    <mergeCell ref="X49:Z49"/>
    <mergeCell ref="C54:E54"/>
    <mergeCell ref="G54:I54"/>
    <mergeCell ref="J54:L54"/>
    <mergeCell ref="X54:Z54"/>
    <mergeCell ref="C55:E55"/>
    <mergeCell ref="G55:I55"/>
    <mergeCell ref="J55:L55"/>
    <mergeCell ref="X55:Z55"/>
    <mergeCell ref="C52:E52"/>
    <mergeCell ref="G52:I52"/>
    <mergeCell ref="J52:L52"/>
    <mergeCell ref="X52:Z52"/>
    <mergeCell ref="C53:E53"/>
    <mergeCell ref="G53:I53"/>
    <mergeCell ref="J53:L53"/>
    <mergeCell ref="X53:Z53"/>
    <mergeCell ref="C58:E58"/>
    <mergeCell ref="G58:I58"/>
    <mergeCell ref="J58:L58"/>
    <mergeCell ref="X58:Z58"/>
    <mergeCell ref="C59:E59"/>
    <mergeCell ref="G59:I59"/>
    <mergeCell ref="J59:L59"/>
    <mergeCell ref="X59:Z59"/>
    <mergeCell ref="C56:E56"/>
    <mergeCell ref="G56:I56"/>
    <mergeCell ref="J56:L56"/>
    <mergeCell ref="X56:Z56"/>
    <mergeCell ref="C57:E57"/>
    <mergeCell ref="G57:I57"/>
    <mergeCell ref="J57:L57"/>
    <mergeCell ref="X57:Z57"/>
    <mergeCell ref="C62:E62"/>
    <mergeCell ref="G62:I62"/>
    <mergeCell ref="J62:L62"/>
    <mergeCell ref="X62:Z62"/>
    <mergeCell ref="C63:E63"/>
    <mergeCell ref="G63:I63"/>
    <mergeCell ref="J63:L63"/>
    <mergeCell ref="X63:Z63"/>
    <mergeCell ref="C60:E60"/>
    <mergeCell ref="G60:I60"/>
    <mergeCell ref="J60:L60"/>
    <mergeCell ref="X60:Z60"/>
    <mergeCell ref="C61:E61"/>
    <mergeCell ref="G61:I61"/>
    <mergeCell ref="J61:L61"/>
    <mergeCell ref="X61:Z61"/>
    <mergeCell ref="C66:E66"/>
    <mergeCell ref="G66:I66"/>
    <mergeCell ref="J66:L66"/>
    <mergeCell ref="X66:Z66"/>
    <mergeCell ref="C67:E67"/>
    <mergeCell ref="G67:I67"/>
    <mergeCell ref="J67:L67"/>
    <mergeCell ref="X67:Z67"/>
    <mergeCell ref="C64:E64"/>
    <mergeCell ref="G64:I64"/>
    <mergeCell ref="J64:L64"/>
    <mergeCell ref="X64:Z64"/>
    <mergeCell ref="C65:E65"/>
    <mergeCell ref="G65:I65"/>
    <mergeCell ref="J65:L65"/>
    <mergeCell ref="X65:Z65"/>
    <mergeCell ref="C70:E70"/>
    <mergeCell ref="G70:I70"/>
    <mergeCell ref="J70:L70"/>
    <mergeCell ref="X70:Z70"/>
    <mergeCell ref="C71:E71"/>
    <mergeCell ref="G71:I71"/>
    <mergeCell ref="J71:L71"/>
    <mergeCell ref="X71:Z71"/>
    <mergeCell ref="C68:E68"/>
    <mergeCell ref="G68:I68"/>
    <mergeCell ref="J68:L68"/>
    <mergeCell ref="X68:Z68"/>
    <mergeCell ref="C69:E69"/>
    <mergeCell ref="G69:I69"/>
    <mergeCell ref="J69:L69"/>
    <mergeCell ref="X69:Z69"/>
    <mergeCell ref="C74:E74"/>
    <mergeCell ref="G74:I74"/>
    <mergeCell ref="J74:L74"/>
    <mergeCell ref="X74:Z74"/>
    <mergeCell ref="C75:E75"/>
    <mergeCell ref="G75:I75"/>
    <mergeCell ref="J75:L75"/>
    <mergeCell ref="X75:Z75"/>
    <mergeCell ref="C72:E72"/>
    <mergeCell ref="G72:I72"/>
    <mergeCell ref="J72:L72"/>
    <mergeCell ref="X72:Z72"/>
    <mergeCell ref="C73:E73"/>
    <mergeCell ref="G73:I73"/>
    <mergeCell ref="J73:L73"/>
    <mergeCell ref="X73:Z73"/>
    <mergeCell ref="C78:E78"/>
    <mergeCell ref="G78:I78"/>
    <mergeCell ref="J78:L78"/>
    <mergeCell ref="X78:Z78"/>
    <mergeCell ref="C79:E79"/>
    <mergeCell ref="G79:I79"/>
    <mergeCell ref="J79:L79"/>
    <mergeCell ref="X79:Z79"/>
    <mergeCell ref="C76:E76"/>
    <mergeCell ref="G76:I76"/>
    <mergeCell ref="J76:L76"/>
    <mergeCell ref="X76:Z76"/>
    <mergeCell ref="C77:E77"/>
    <mergeCell ref="G77:I77"/>
    <mergeCell ref="J77:L77"/>
    <mergeCell ref="X77:Z77"/>
    <mergeCell ref="C82:E82"/>
    <mergeCell ref="G82:I82"/>
    <mergeCell ref="J82:L82"/>
    <mergeCell ref="X82:Z82"/>
    <mergeCell ref="C83:E83"/>
    <mergeCell ref="G83:I83"/>
    <mergeCell ref="J83:L83"/>
    <mergeCell ref="X83:Z83"/>
    <mergeCell ref="C80:E80"/>
    <mergeCell ref="G80:I80"/>
    <mergeCell ref="J80:L80"/>
    <mergeCell ref="X80:Z80"/>
    <mergeCell ref="C81:E81"/>
    <mergeCell ref="G81:I81"/>
    <mergeCell ref="J81:L81"/>
    <mergeCell ref="X81:Z81"/>
    <mergeCell ref="C86:E86"/>
    <mergeCell ref="G86:I86"/>
    <mergeCell ref="J86:L86"/>
    <mergeCell ref="X86:Z86"/>
    <mergeCell ref="C87:E87"/>
    <mergeCell ref="G87:I87"/>
    <mergeCell ref="J87:L87"/>
    <mergeCell ref="X87:Z87"/>
    <mergeCell ref="C84:E84"/>
    <mergeCell ref="G84:I84"/>
    <mergeCell ref="J84:L84"/>
    <mergeCell ref="X84:Z84"/>
    <mergeCell ref="C85:E85"/>
    <mergeCell ref="G85:I85"/>
    <mergeCell ref="J85:L85"/>
    <mergeCell ref="X85:Z85"/>
    <mergeCell ref="C90:E90"/>
    <mergeCell ref="G90:I90"/>
    <mergeCell ref="J90:L90"/>
    <mergeCell ref="X90:Z90"/>
    <mergeCell ref="C91:E91"/>
    <mergeCell ref="G91:I91"/>
    <mergeCell ref="J91:L91"/>
    <mergeCell ref="X91:Z91"/>
    <mergeCell ref="C88:E88"/>
    <mergeCell ref="G88:I88"/>
    <mergeCell ref="J88:L88"/>
    <mergeCell ref="X88:Z88"/>
    <mergeCell ref="C89:E89"/>
    <mergeCell ref="G89:I89"/>
    <mergeCell ref="J89:L89"/>
    <mergeCell ref="X89:Z89"/>
    <mergeCell ref="C94:E94"/>
    <mergeCell ref="G94:I94"/>
    <mergeCell ref="J94:L94"/>
    <mergeCell ref="X94:Z94"/>
    <mergeCell ref="C95:E95"/>
    <mergeCell ref="G95:I95"/>
    <mergeCell ref="J95:L95"/>
    <mergeCell ref="X95:Z95"/>
    <mergeCell ref="C92:E92"/>
    <mergeCell ref="G92:I92"/>
    <mergeCell ref="J92:L92"/>
    <mergeCell ref="X92:Z92"/>
    <mergeCell ref="C93:E93"/>
    <mergeCell ref="G93:I93"/>
    <mergeCell ref="J93:L93"/>
    <mergeCell ref="X93:Z93"/>
    <mergeCell ref="C98:E98"/>
    <mergeCell ref="G98:I98"/>
    <mergeCell ref="J98:L98"/>
    <mergeCell ref="X98:Z98"/>
    <mergeCell ref="C99:E99"/>
    <mergeCell ref="G99:I99"/>
    <mergeCell ref="J99:L99"/>
    <mergeCell ref="X99:Z99"/>
    <mergeCell ref="C96:E96"/>
    <mergeCell ref="G96:I96"/>
    <mergeCell ref="J96:L96"/>
    <mergeCell ref="X96:Z96"/>
    <mergeCell ref="C97:E97"/>
    <mergeCell ref="G97:I97"/>
    <mergeCell ref="J97:L97"/>
    <mergeCell ref="X97:Z97"/>
    <mergeCell ref="C102:E102"/>
    <mergeCell ref="G102:I102"/>
    <mergeCell ref="J102:L102"/>
    <mergeCell ref="X102:Z102"/>
    <mergeCell ref="C103:E103"/>
    <mergeCell ref="G103:I103"/>
    <mergeCell ref="J103:L103"/>
    <mergeCell ref="X103:Z103"/>
    <mergeCell ref="C100:E100"/>
    <mergeCell ref="G100:I100"/>
    <mergeCell ref="J100:L100"/>
    <mergeCell ref="X100:Z100"/>
    <mergeCell ref="C101:E101"/>
    <mergeCell ref="G101:I101"/>
    <mergeCell ref="J101:L101"/>
    <mergeCell ref="X101:Z101"/>
    <mergeCell ref="C106:E106"/>
    <mergeCell ref="G106:I106"/>
    <mergeCell ref="J106:L106"/>
    <mergeCell ref="X106:Z106"/>
    <mergeCell ref="C107:E107"/>
    <mergeCell ref="G107:I107"/>
    <mergeCell ref="J107:L107"/>
    <mergeCell ref="X107:Z107"/>
    <mergeCell ref="C104:E104"/>
    <mergeCell ref="G104:I104"/>
    <mergeCell ref="J104:L104"/>
    <mergeCell ref="X104:Z104"/>
    <mergeCell ref="C105:E105"/>
    <mergeCell ref="G105:I105"/>
    <mergeCell ref="J105:L105"/>
    <mergeCell ref="X105:Z105"/>
    <mergeCell ref="C110:E110"/>
    <mergeCell ref="G110:I110"/>
    <mergeCell ref="J110:L110"/>
    <mergeCell ref="X110:Z110"/>
    <mergeCell ref="C111:E111"/>
    <mergeCell ref="G111:I111"/>
    <mergeCell ref="J111:L111"/>
    <mergeCell ref="X111:Z111"/>
    <mergeCell ref="C108:E108"/>
    <mergeCell ref="G108:I108"/>
    <mergeCell ref="J108:L108"/>
    <mergeCell ref="X108:Z108"/>
    <mergeCell ref="C109:E109"/>
    <mergeCell ref="G109:I109"/>
    <mergeCell ref="J109:L109"/>
    <mergeCell ref="X109:Z109"/>
    <mergeCell ref="C114:E114"/>
    <mergeCell ref="G114:I114"/>
    <mergeCell ref="J114:L114"/>
    <mergeCell ref="X114:Z114"/>
    <mergeCell ref="C115:E115"/>
    <mergeCell ref="G115:I115"/>
    <mergeCell ref="J115:L115"/>
    <mergeCell ref="X115:Z115"/>
    <mergeCell ref="C112:E112"/>
    <mergeCell ref="G112:I112"/>
    <mergeCell ref="J112:L112"/>
    <mergeCell ref="X112:Z112"/>
    <mergeCell ref="C113:E113"/>
    <mergeCell ref="G113:I113"/>
    <mergeCell ref="J113:L113"/>
    <mergeCell ref="X113:Z113"/>
    <mergeCell ref="C118:E118"/>
    <mergeCell ref="G118:I118"/>
    <mergeCell ref="J118:L118"/>
    <mergeCell ref="X118:Z118"/>
    <mergeCell ref="C119:E119"/>
    <mergeCell ref="G119:I119"/>
    <mergeCell ref="J119:L119"/>
    <mergeCell ref="X119:Z119"/>
    <mergeCell ref="C116:E116"/>
    <mergeCell ref="G116:I116"/>
    <mergeCell ref="J116:L116"/>
    <mergeCell ref="X116:Z116"/>
    <mergeCell ref="C117:E117"/>
    <mergeCell ref="G117:I117"/>
    <mergeCell ref="J117:L117"/>
    <mergeCell ref="X117:Z117"/>
    <mergeCell ref="C122:E122"/>
    <mergeCell ref="G122:I122"/>
    <mergeCell ref="J122:L122"/>
    <mergeCell ref="X122:Z122"/>
    <mergeCell ref="C123:E123"/>
    <mergeCell ref="G123:I123"/>
    <mergeCell ref="J123:L123"/>
    <mergeCell ref="X123:Z123"/>
    <mergeCell ref="C120:E120"/>
    <mergeCell ref="G120:I120"/>
    <mergeCell ref="J120:L120"/>
    <mergeCell ref="X120:Z120"/>
    <mergeCell ref="C121:E121"/>
    <mergeCell ref="G121:I121"/>
    <mergeCell ref="J121:L121"/>
    <mergeCell ref="X121:Z121"/>
    <mergeCell ref="C126:E126"/>
    <mergeCell ref="G126:I126"/>
    <mergeCell ref="J126:L126"/>
    <mergeCell ref="X126:Z126"/>
    <mergeCell ref="C127:E127"/>
    <mergeCell ref="G127:I127"/>
    <mergeCell ref="J127:L127"/>
    <mergeCell ref="X127:Z127"/>
    <mergeCell ref="C124:E124"/>
    <mergeCell ref="G124:I124"/>
    <mergeCell ref="J124:L124"/>
    <mergeCell ref="X124:Z124"/>
    <mergeCell ref="C125:E125"/>
    <mergeCell ref="G125:I125"/>
    <mergeCell ref="J125:L125"/>
    <mergeCell ref="X125:Z125"/>
    <mergeCell ref="C130:E130"/>
    <mergeCell ref="G130:I130"/>
    <mergeCell ref="J130:L130"/>
    <mergeCell ref="X130:Z130"/>
    <mergeCell ref="C131:E131"/>
    <mergeCell ref="G131:I131"/>
    <mergeCell ref="J131:L131"/>
    <mergeCell ref="X131:Z131"/>
    <mergeCell ref="C128:E128"/>
    <mergeCell ref="G128:I128"/>
    <mergeCell ref="J128:L128"/>
    <mergeCell ref="X128:Z128"/>
    <mergeCell ref="C129:E129"/>
    <mergeCell ref="G129:I129"/>
    <mergeCell ref="J129:L129"/>
    <mergeCell ref="X129:Z129"/>
    <mergeCell ref="C134:E134"/>
    <mergeCell ref="G134:I134"/>
    <mergeCell ref="J134:L134"/>
    <mergeCell ref="X134:Z134"/>
    <mergeCell ref="C135:E135"/>
    <mergeCell ref="G135:I135"/>
    <mergeCell ref="J135:L135"/>
    <mergeCell ref="X135:Z135"/>
    <mergeCell ref="C132:E132"/>
    <mergeCell ref="G132:I132"/>
    <mergeCell ref="J132:L132"/>
    <mergeCell ref="X132:Z132"/>
    <mergeCell ref="C133:E133"/>
    <mergeCell ref="G133:I133"/>
    <mergeCell ref="J133:L133"/>
    <mergeCell ref="X133:Z133"/>
    <mergeCell ref="C138:E138"/>
    <mergeCell ref="G138:I138"/>
    <mergeCell ref="J138:L138"/>
    <mergeCell ref="X138:Z138"/>
    <mergeCell ref="C139:E139"/>
    <mergeCell ref="G139:I139"/>
    <mergeCell ref="J139:L139"/>
    <mergeCell ref="X139:Z139"/>
    <mergeCell ref="C136:E136"/>
    <mergeCell ref="G136:I136"/>
    <mergeCell ref="J136:L136"/>
    <mergeCell ref="X136:Z136"/>
    <mergeCell ref="C137:E137"/>
    <mergeCell ref="G137:I137"/>
    <mergeCell ref="J137:L137"/>
    <mergeCell ref="X137:Z137"/>
    <mergeCell ref="C142:E142"/>
    <mergeCell ref="G142:I142"/>
    <mergeCell ref="J142:L142"/>
    <mergeCell ref="X142:Z142"/>
    <mergeCell ref="C143:E143"/>
    <mergeCell ref="G143:I143"/>
    <mergeCell ref="J143:L143"/>
    <mergeCell ref="X143:Z143"/>
    <mergeCell ref="C140:E140"/>
    <mergeCell ref="G140:I140"/>
    <mergeCell ref="J140:L140"/>
    <mergeCell ref="X140:Z140"/>
    <mergeCell ref="C141:E141"/>
    <mergeCell ref="G141:I141"/>
    <mergeCell ref="J141:L141"/>
    <mergeCell ref="X141:Z141"/>
    <mergeCell ref="C146:E146"/>
    <mergeCell ref="G146:I146"/>
    <mergeCell ref="J146:L146"/>
    <mergeCell ref="X146:Z146"/>
    <mergeCell ref="C147:E147"/>
    <mergeCell ref="G147:I147"/>
    <mergeCell ref="J147:L147"/>
    <mergeCell ref="X147:Z147"/>
    <mergeCell ref="C144:E144"/>
    <mergeCell ref="G144:I144"/>
    <mergeCell ref="J144:L144"/>
    <mergeCell ref="X144:Z144"/>
    <mergeCell ref="C145:E145"/>
    <mergeCell ref="G145:I145"/>
    <mergeCell ref="J145:L145"/>
    <mergeCell ref="X145:Z145"/>
    <mergeCell ref="C150:E150"/>
    <mergeCell ref="G150:I150"/>
    <mergeCell ref="J150:L150"/>
    <mergeCell ref="X150:Z150"/>
    <mergeCell ref="C151:E151"/>
    <mergeCell ref="G151:I151"/>
    <mergeCell ref="J151:L151"/>
    <mergeCell ref="X151:Z151"/>
    <mergeCell ref="C148:E148"/>
    <mergeCell ref="G148:I148"/>
    <mergeCell ref="J148:L148"/>
    <mergeCell ref="X148:Z148"/>
    <mergeCell ref="C149:E149"/>
    <mergeCell ref="G149:I149"/>
    <mergeCell ref="J149:L149"/>
    <mergeCell ref="X149:Z149"/>
    <mergeCell ref="C154:E154"/>
    <mergeCell ref="G154:I154"/>
    <mergeCell ref="J154:L154"/>
    <mergeCell ref="X154:Z154"/>
    <mergeCell ref="C155:E155"/>
    <mergeCell ref="G155:I155"/>
    <mergeCell ref="J155:L155"/>
    <mergeCell ref="X155:Z155"/>
    <mergeCell ref="C152:E152"/>
    <mergeCell ref="G152:I152"/>
    <mergeCell ref="J152:L152"/>
    <mergeCell ref="X152:Z152"/>
    <mergeCell ref="C153:E153"/>
    <mergeCell ref="G153:I153"/>
    <mergeCell ref="J153:L153"/>
    <mergeCell ref="X153:Z153"/>
    <mergeCell ref="C158:E158"/>
    <mergeCell ref="G158:I158"/>
    <mergeCell ref="J158:L158"/>
    <mergeCell ref="X158:Z158"/>
    <mergeCell ref="C159:E159"/>
    <mergeCell ref="G159:I159"/>
    <mergeCell ref="J159:L159"/>
    <mergeCell ref="X159:Z159"/>
    <mergeCell ref="C156:E156"/>
    <mergeCell ref="G156:I156"/>
    <mergeCell ref="J156:L156"/>
    <mergeCell ref="X156:Z156"/>
    <mergeCell ref="C157:E157"/>
    <mergeCell ref="G157:I157"/>
    <mergeCell ref="J157:L157"/>
    <mergeCell ref="X157:Z157"/>
    <mergeCell ref="C162:E162"/>
    <mergeCell ref="G162:I162"/>
    <mergeCell ref="J162:L162"/>
    <mergeCell ref="X162:Z162"/>
    <mergeCell ref="C163:E163"/>
    <mergeCell ref="G163:I163"/>
    <mergeCell ref="J163:L163"/>
    <mergeCell ref="X163:Z163"/>
    <mergeCell ref="C160:E160"/>
    <mergeCell ref="G160:I160"/>
    <mergeCell ref="J160:L160"/>
    <mergeCell ref="X160:Z160"/>
    <mergeCell ref="C161:E161"/>
    <mergeCell ref="G161:I161"/>
    <mergeCell ref="J161:L161"/>
    <mergeCell ref="X161:Z161"/>
    <mergeCell ref="N168:R168"/>
    <mergeCell ref="V168:Z168"/>
    <mergeCell ref="AB168:AC168"/>
    <mergeCell ref="AD168:AM168"/>
    <mergeCell ref="N169:R169"/>
    <mergeCell ref="V169:Z169"/>
    <mergeCell ref="A165:L166"/>
    <mergeCell ref="N166:R166"/>
    <mergeCell ref="V166:Z166"/>
    <mergeCell ref="AB166:AC166"/>
    <mergeCell ref="AD166:AM166"/>
    <mergeCell ref="A167:L168"/>
    <mergeCell ref="N167:R167"/>
    <mergeCell ref="V167:Z167"/>
    <mergeCell ref="AB167:AC167"/>
    <mergeCell ref="AD167:AM167"/>
  </mergeCells>
  <dataValidations count="6">
    <dataValidation type="list" allowBlank="1" showInputMessage="1" showErrorMessage="1" sqref="WVZ9:WVZ163 WMD9:WMD163 JN9:JN163 TJ9:TJ163 ADF9:ADF163 ANB9:ANB163 AWX9:AWX163 BGT9:BGT163 BQP9:BQP163 CAL9:CAL163 CKH9:CKH163 CUD9:CUD163 DDZ9:DDZ163 DNV9:DNV163 DXR9:DXR163 EHN9:EHN163 ERJ9:ERJ163 FBF9:FBF163 FLB9:FLB163 FUX9:FUX163 GET9:GET163 GOP9:GOP163 GYL9:GYL163 HIH9:HIH163 HSD9:HSD163 IBZ9:IBZ163 ILV9:ILV163 IVR9:IVR163 JFN9:JFN163 JPJ9:JPJ163 JZF9:JZF163 KJB9:KJB163 KSX9:KSX163 LCT9:LCT163 LMP9:LMP163 LWL9:LWL163 MGH9:MGH163 MQD9:MQD163 MZZ9:MZZ163 NJV9:NJV163 NTR9:NTR163 ODN9:ODN163 ONJ9:ONJ163 OXF9:OXF163 PHB9:PHB163 PQX9:PQX163 QAT9:QAT163 QKP9:QKP163 QUL9:QUL163 REH9:REH163 ROD9:ROD163 RXZ9:RXZ163 SHV9:SHV163 SRR9:SRR163 TBN9:TBN163 TLJ9:TLJ163 TVF9:TVF163 UFB9:UFB163 UOX9:UOX163 UYT9:UYT163 VIP9:VIP163 VSL9:VSL163 WCH9:WCH163 Q9:Q163">
      <formula1>PROBAB</formula1>
    </dataValidation>
    <dataValidation type="list" allowBlank="1" showInputMessage="1" showErrorMessage="1" sqref="WWA9:WWA163 WME9:WME163 JO9:JO163 TK9:TK163 ADG9:ADG163 ANC9:ANC163 AWY9:AWY163 BGU9:BGU163 BQQ9:BQQ163 CAM9:CAM163 CKI9:CKI163 CUE9:CUE163 DEA9:DEA163 DNW9:DNW163 DXS9:DXS163 EHO9:EHO163 ERK9:ERK163 FBG9:FBG163 FLC9:FLC163 FUY9:FUY163 GEU9:GEU163 GOQ9:GOQ163 GYM9:GYM163 HII9:HII163 HSE9:HSE163 ICA9:ICA163 ILW9:ILW163 IVS9:IVS163 JFO9:JFO163 JPK9:JPK163 JZG9:JZG163 KJC9:KJC163 KSY9:KSY163 LCU9:LCU163 LMQ9:LMQ163 LWM9:LWM163 MGI9:MGI163 MQE9:MQE163 NAA9:NAA163 NJW9:NJW163 NTS9:NTS163 ODO9:ODO163 ONK9:ONK163 OXG9:OXG163 PHC9:PHC163 PQY9:PQY163 QAU9:QAU163 QKQ9:QKQ163 QUM9:QUM163 REI9:REI163 ROE9:ROE163 RYA9:RYA163 SHW9:SHW163 SRS9:SRS163 TBO9:TBO163 TLK9:TLK163 TVG9:TVG163 UFC9:UFC163 UOY9:UOY163 UYU9:UYU163 VIQ9:VIQ163 VSM9:VSM163 WCI9:WCI163 R9:R163">
      <formula1>IMPACTO</formula1>
    </dataValidation>
    <dataValidation type="list" showInputMessage="1" showErrorMessage="1" errorTitle="Rechazado" error="Solo son validadas las opciones de la lista" sqref="WWM9:WWM163 WMQ9:WMQ163 KA9:KA163 TW9:TW163 ADS9:ADS163 ANO9:ANO163 AXK9:AXK163 BHG9:BHG163 BRC9:BRC163 CAY9:CAY163 CKU9:CKU163 CUQ9:CUQ163 DEM9:DEM163 DOI9:DOI163 DYE9:DYE163 EIA9:EIA163 ERW9:ERW163 FBS9:FBS163 FLO9:FLO163 FVK9:FVK163 GFG9:GFG163 GPC9:GPC163 GYY9:GYY163 HIU9:HIU163 HSQ9:HSQ163 ICM9:ICM163 IMI9:IMI163 IWE9:IWE163 JGA9:JGA163 JPW9:JPW163 JZS9:JZS163 KJO9:KJO163 KTK9:KTK163 LDG9:LDG163 LNC9:LNC163 LWY9:LWY163 MGU9:MGU163 MQQ9:MQQ163 NAM9:NAM163 NKI9:NKI163 NUE9:NUE163 OEA9:OEA163 ONW9:ONW163 OXS9:OXS163 PHO9:PHO163 PRK9:PRK163 QBG9:QBG163 QLC9:QLC163 QUY9:QUY163 REU9:REU163 ROQ9:ROQ163 RYM9:RYM163 SII9:SII163 SSE9:SSE163 TCA9:TCA163 TLW9:TLW163 TVS9:TVS163 UFO9:UFO163 UPK9:UPK163 UZG9:UZG163 VJC9:VJC163 VSY9:VSY163 WCU9:WCU163 AE9:AE163">
      <formula1>Efecto</formula1>
    </dataValidation>
    <dataValidation showInputMessage="1" showErrorMessage="1" sqref="WWO9:WWS163 WMS9:WMW163 KC9:KG163 TY9:UC163 ADU9:ADY163 ANQ9:ANU163 AXM9:AXQ163 BHI9:BHM163 BRE9:BRI163 CBA9:CBE163 CKW9:CLA163 CUS9:CUW163 DEO9:DES163 DOK9:DOO163 DYG9:DYK163 EIC9:EIG163 ERY9:ESC163 FBU9:FBY163 FLQ9:FLU163 FVM9:FVQ163 GFI9:GFM163 GPE9:GPI163 GZA9:GZE163 HIW9:HJA163 HSS9:HSW163 ICO9:ICS163 IMK9:IMO163 IWG9:IWK163 JGC9:JGG163 JPY9:JQC163 JZU9:JZY163 KJQ9:KJU163 KTM9:KTQ163 LDI9:LDM163 LNE9:LNI163 LXA9:LXE163 MGW9:MHA163 MQS9:MQW163 NAO9:NAS163 NKK9:NKO163 NUG9:NUK163 OEC9:OEG163 ONY9:OOC163 OXU9:OXY163 PHQ9:PHU163 PRM9:PRQ163 QBI9:QBM163 QLE9:QLI163 QVA9:QVE163 REW9:RFA163 ROS9:ROW163 RYO9:RYS163 SIK9:SIO163 SSG9:SSK163 TCC9:TCG163 TLY9:TMC163 TVU9:TVY163 UFQ9:UFU163 UPM9:UPQ163 UZI9:UZM163 VJE9:VJI163 VTA9:VTE163 WCW9:WDA163 AG9:AK163"/>
    <dataValidation type="whole" allowBlank="1" showInputMessage="1" showErrorMessage="1" sqref="WWL9:WWL163 WMP9:WMP163 JZ9:JZ163 TV9:TV163 ADR9:ADR163 ANN9:ANN163 AXJ9:AXJ163 BHF9:BHF163 BRB9:BRB163 CAX9:CAX163 CKT9:CKT163 CUP9:CUP163 DEL9:DEL163 DOH9:DOH163 DYD9:DYD163 EHZ9:EHZ163 ERV9:ERV163 FBR9:FBR163 FLN9:FLN163 FVJ9:FVJ163 GFF9:GFF163 GPB9:GPB163 GYX9:GYX163 HIT9:HIT163 HSP9:HSP163 ICL9:ICL163 IMH9:IMH163 IWD9:IWD163 JFZ9:JFZ163 JPV9:JPV163 JZR9:JZR163 KJN9:KJN163 KTJ9:KTJ163 LDF9:LDF163 LNB9:LNB163 LWX9:LWX163 MGT9:MGT163 MQP9:MQP163 NAL9:NAL163 NKH9:NKH163 NUD9:NUD163 ODZ9:ODZ163 ONV9:ONV163 OXR9:OXR163 PHN9:PHN163 PRJ9:PRJ163 QBF9:QBF163 QLB9:QLB163 QUX9:QUX163 RET9:RET163 ROP9:ROP163 RYL9:RYL163 SIH9:SIH163 SSD9:SSD163 TBZ9:TBZ163 TLV9:TLV163 TVR9:TVR163 UFN9:UFN163 UPJ9:UPJ163 UZF9:UZF163 VJB9:VJB163 VSX9:VSX163 WCT9:WCT163 AD9:AD163">
      <formula1>0</formula1>
      <formula2>100</formula2>
    </dataValidation>
    <dataValidation type="list" allowBlank="1" showInputMessage="1" showErrorMessage="1" sqref="WNE9:WNE163 WXA9:WXA163 KO9:KO163 UK9:UK163 AEG9:AEG163 AOC9:AOC163 AXY9:AXY163 BHU9:BHU163 BRQ9:BRQ163 CBM9:CBM163 CLI9:CLI163 CVE9:CVE163 DFA9:DFA163 DOW9:DOW163 DYS9:DYS163 EIO9:EIO163 ESK9:ESK163 FCG9:FCG163 FMC9:FMC163 FVY9:FVY163 GFU9:GFU163 GPQ9:GPQ163 GZM9:GZM163 HJI9:HJI163 HTE9:HTE163 IDA9:IDA163 IMW9:IMW163 IWS9:IWS163 JGO9:JGO163 JQK9:JQK163 KAG9:KAG163 KKC9:KKC163 KTY9:KTY163 LDU9:LDU163 LNQ9:LNQ163 LXM9:LXM163 MHI9:MHI163 MRE9:MRE163 NBA9:NBA163 NKW9:NKW163 NUS9:NUS163 OEO9:OEO163 OOK9:OOK163 OYG9:OYG163 PIC9:PIC163 PRY9:PRY163 QBU9:QBU163 QLQ9:QLQ163 QVM9:QVM163 RFI9:RFI163 RPE9:RPE163 RZA9:RZA163 SIW9:SIW163 SSS9:SSS163 TCO9:TCO163 TMK9:TMK163 TWG9:TWG163 UGC9:UGC163 UPY9:UPY163 UZU9:UZU163 VJQ9:VJQ163 VTM9:VTM163 WDI9:WDI163 AS9:AS163">
      <formula1>SINO</formula1>
    </dataValidation>
  </dataValidations>
  <printOptions horizontalCentered="1" verticalCentered="1"/>
  <pageMargins left="0.78740157480314965" right="0.19685039370078741" top="0.39370078740157483" bottom="0.39370078740157483" header="0.51181102362204722" footer="0.27559055118110237"/>
  <pageSetup paperSize="5" scale="59" firstPageNumber="0" fitToHeight="0" orientation="landscape" r:id="rId1"/>
  <headerFooter>
    <oddFooter>&amp;L&amp;9Formato: FO-AC-07 Versión: 3&amp;C&amp;9Página &amp;P</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N157"/>
  <sheetViews>
    <sheetView view="pageBreakPreview" zoomScaleNormal="100" zoomScaleSheetLayoutView="100" zoomScalePageLayoutView="95" workbookViewId="0">
      <pane xSplit="6" ySplit="8" topLeftCell="G9" activePane="bottomRight" state="frozen"/>
      <selection pane="topRight" activeCell="F1" sqref="F1"/>
      <selection pane="bottomLeft" activeCell="A9" sqref="A9"/>
      <selection pane="bottomRight" activeCell="AE1" sqref="AE1:AO2"/>
    </sheetView>
  </sheetViews>
  <sheetFormatPr baseColWidth="10" defaultRowHeight="12.75"/>
  <cols>
    <col min="1" max="1" width="1.42578125" style="551" customWidth="1"/>
    <col min="2" max="2" width="12" style="235" customWidth="1"/>
    <col min="3" max="3" width="2.7109375" style="235" customWidth="1"/>
    <col min="4" max="5" width="6.5703125" style="235" customWidth="1"/>
    <col min="6" max="6" width="5.85546875" style="235" customWidth="1"/>
    <col min="7" max="7" width="6.5703125" style="235" customWidth="1"/>
    <col min="8" max="9" width="8.42578125" style="235" customWidth="1"/>
    <col min="10" max="10" width="18.140625" style="235" customWidth="1"/>
    <col min="11" max="11" width="2.5703125" style="235" customWidth="1"/>
    <col min="12" max="13" width="9.5703125" style="235" customWidth="1"/>
    <col min="14" max="16" width="3.7109375" style="235" customWidth="1"/>
    <col min="17" max="17" width="3.5703125" style="235" customWidth="1"/>
    <col min="18" max="18" width="2.85546875" style="235" customWidth="1"/>
    <col min="19" max="19" width="3" style="235" customWidth="1"/>
    <col min="20" max="22" width="0" style="235" hidden="1" customWidth="1"/>
    <col min="23" max="23" width="4.42578125" style="235" customWidth="1"/>
    <col min="24" max="24" width="0" style="235" hidden="1" customWidth="1"/>
    <col min="25" max="28" width="14.28515625" style="235" customWidth="1"/>
    <col min="29" max="29" width="6.42578125" style="235" customWidth="1"/>
    <col min="30" max="30" width="17.7109375" style="235" customWidth="1"/>
    <col min="31" max="31" width="4.140625" style="235" customWidth="1"/>
    <col min="32" max="32" width="3" style="235" customWidth="1"/>
    <col min="33" max="35" width="0" style="235" hidden="1" customWidth="1"/>
    <col min="36" max="36" width="3" style="235" customWidth="1"/>
    <col min="37" max="37" width="0" style="235" hidden="1" customWidth="1"/>
    <col min="38" max="38" width="3" style="235" customWidth="1"/>
    <col min="39" max="39" width="0" style="235" hidden="1" customWidth="1"/>
    <col min="40" max="40" width="4.42578125" style="235" customWidth="1"/>
    <col min="41" max="41" width="34.28515625" style="235" customWidth="1"/>
    <col min="42" max="42" width="23.42578125" style="235" customWidth="1"/>
    <col min="43" max="43" width="9.140625" style="235" customWidth="1"/>
    <col min="44" max="44" width="19.5703125" style="235" customWidth="1"/>
    <col min="45" max="45" width="42.7109375" style="235" customWidth="1"/>
    <col min="46" max="46" width="5.85546875" style="235" customWidth="1"/>
    <col min="47" max="47" width="31.5703125" style="235" customWidth="1"/>
    <col min="48" max="48" width="16.140625" style="235" customWidth="1"/>
    <col min="49" max="49" width="11.140625" style="235" customWidth="1"/>
    <col min="50" max="50" width="9.28515625" style="235" customWidth="1"/>
    <col min="51" max="51" width="11.140625" style="235" customWidth="1"/>
    <col min="52" max="52" width="2.140625" style="235" customWidth="1"/>
    <col min="53" max="258" width="11.42578125" style="235"/>
    <col min="259" max="259" width="12" style="235" customWidth="1"/>
    <col min="260" max="260" width="2.7109375" style="235" customWidth="1"/>
    <col min="261" max="262" width="6.5703125" style="235" customWidth="1"/>
    <col min="263" max="263" width="5.85546875" style="235" customWidth="1"/>
    <col min="264" max="264" width="6.5703125" style="235" customWidth="1"/>
    <col min="265" max="265" width="13.7109375" style="235" customWidth="1"/>
    <col min="266" max="267" width="9" style="235" customWidth="1"/>
    <col min="268" max="268" width="2.5703125" style="235" customWidth="1"/>
    <col min="269" max="269" width="8.85546875" style="235" customWidth="1"/>
    <col min="270" max="270" width="7.5703125" style="235" customWidth="1"/>
    <col min="271" max="273" width="3.7109375" style="235" customWidth="1"/>
    <col min="274" max="274" width="3.5703125" style="235" customWidth="1"/>
    <col min="275" max="275" width="2.85546875" style="235" customWidth="1"/>
    <col min="276" max="276" width="3" style="235" customWidth="1"/>
    <col min="277" max="279" width="0" style="235" hidden="1" customWidth="1"/>
    <col min="280" max="280" width="4.42578125" style="235" customWidth="1"/>
    <col min="281" max="281" width="0" style="235" hidden="1" customWidth="1"/>
    <col min="282" max="283" width="14.85546875" style="235" customWidth="1"/>
    <col min="284" max="284" width="15.140625" style="235" customWidth="1"/>
    <col min="285" max="285" width="6.42578125" style="235" customWidth="1"/>
    <col min="286" max="286" width="15.140625" style="235" customWidth="1"/>
    <col min="287" max="287" width="4.140625" style="235" customWidth="1"/>
    <col min="288" max="288" width="3" style="235" customWidth="1"/>
    <col min="289" max="291" width="0" style="235" hidden="1" customWidth="1"/>
    <col min="292" max="292" width="3" style="235" customWidth="1"/>
    <col min="293" max="293" width="0" style="235" hidden="1" customWidth="1"/>
    <col min="294" max="294" width="3" style="235" customWidth="1"/>
    <col min="295" max="295" width="0" style="235" hidden="1" customWidth="1"/>
    <col min="296" max="296" width="4.42578125" style="235" customWidth="1"/>
    <col min="297" max="297" width="34.28515625" style="235" customWidth="1"/>
    <col min="298" max="298" width="23.42578125" style="235" customWidth="1"/>
    <col min="299" max="299" width="9.140625" style="235" customWidth="1"/>
    <col min="300" max="300" width="19.5703125" style="235" customWidth="1"/>
    <col min="301" max="301" width="42.7109375" style="235" customWidth="1"/>
    <col min="302" max="302" width="5.85546875" style="235" customWidth="1"/>
    <col min="303" max="303" width="31.5703125" style="235" customWidth="1"/>
    <col min="304" max="304" width="16.140625" style="235" customWidth="1"/>
    <col min="305" max="306" width="9.28515625" style="235" customWidth="1"/>
    <col min="307" max="307" width="11.140625" style="235" customWidth="1"/>
    <col min="308" max="308" width="2.140625" style="235" customWidth="1"/>
    <col min="309" max="514" width="11.42578125" style="235"/>
    <col min="515" max="515" width="12" style="235" customWidth="1"/>
    <col min="516" max="516" width="2.7109375" style="235" customWidth="1"/>
    <col min="517" max="518" width="6.5703125" style="235" customWidth="1"/>
    <col min="519" max="519" width="5.85546875" style="235" customWidth="1"/>
    <col min="520" max="520" width="6.5703125" style="235" customWidth="1"/>
    <col min="521" max="521" width="13.7109375" style="235" customWidth="1"/>
    <col min="522" max="523" width="9" style="235" customWidth="1"/>
    <col min="524" max="524" width="2.5703125" style="235" customWidth="1"/>
    <col min="525" max="525" width="8.85546875" style="235" customWidth="1"/>
    <col min="526" max="526" width="7.5703125" style="235" customWidth="1"/>
    <col min="527" max="529" width="3.7109375" style="235" customWidth="1"/>
    <col min="530" max="530" width="3.5703125" style="235" customWidth="1"/>
    <col min="531" max="531" width="2.85546875" style="235" customWidth="1"/>
    <col min="532" max="532" width="3" style="235" customWidth="1"/>
    <col min="533" max="535" width="0" style="235" hidden="1" customWidth="1"/>
    <col min="536" max="536" width="4.42578125" style="235" customWidth="1"/>
    <col min="537" max="537" width="0" style="235" hidden="1" customWidth="1"/>
    <col min="538" max="539" width="14.85546875" style="235" customWidth="1"/>
    <col min="540" max="540" width="15.140625" style="235" customWidth="1"/>
    <col min="541" max="541" width="6.42578125" style="235" customWidth="1"/>
    <col min="542" max="542" width="15.140625" style="235" customWidth="1"/>
    <col min="543" max="543" width="4.140625" style="235" customWidth="1"/>
    <col min="544" max="544" width="3" style="235" customWidth="1"/>
    <col min="545" max="547" width="0" style="235" hidden="1" customWidth="1"/>
    <col min="548" max="548" width="3" style="235" customWidth="1"/>
    <col min="549" max="549" width="0" style="235" hidden="1" customWidth="1"/>
    <col min="550" max="550" width="3" style="235" customWidth="1"/>
    <col min="551" max="551" width="0" style="235" hidden="1" customWidth="1"/>
    <col min="552" max="552" width="4.42578125" style="235" customWidth="1"/>
    <col min="553" max="553" width="34.28515625" style="235" customWidth="1"/>
    <col min="554" max="554" width="23.42578125" style="235" customWidth="1"/>
    <col min="555" max="555" width="9.140625" style="235" customWidth="1"/>
    <col min="556" max="556" width="19.5703125" style="235" customWidth="1"/>
    <col min="557" max="557" width="42.7109375" style="235" customWidth="1"/>
    <col min="558" max="558" width="5.85546875" style="235" customWidth="1"/>
    <col min="559" max="559" width="31.5703125" style="235" customWidth="1"/>
    <col min="560" max="560" width="16.140625" style="235" customWidth="1"/>
    <col min="561" max="562" width="9.28515625" style="235" customWidth="1"/>
    <col min="563" max="563" width="11.140625" style="235" customWidth="1"/>
    <col min="564" max="564" width="2.140625" style="235" customWidth="1"/>
    <col min="565" max="770" width="11.42578125" style="235"/>
    <col min="771" max="771" width="12" style="235" customWidth="1"/>
    <col min="772" max="772" width="2.7109375" style="235" customWidth="1"/>
    <col min="773" max="774" width="6.5703125" style="235" customWidth="1"/>
    <col min="775" max="775" width="5.85546875" style="235" customWidth="1"/>
    <col min="776" max="776" width="6.5703125" style="235" customWidth="1"/>
    <col min="777" max="777" width="13.7109375" style="235" customWidth="1"/>
    <col min="778" max="779" width="9" style="235" customWidth="1"/>
    <col min="780" max="780" width="2.5703125" style="235" customWidth="1"/>
    <col min="781" max="781" width="8.85546875" style="235" customWidth="1"/>
    <col min="782" max="782" width="7.5703125" style="235" customWidth="1"/>
    <col min="783" max="785" width="3.7109375" style="235" customWidth="1"/>
    <col min="786" max="786" width="3.5703125" style="235" customWidth="1"/>
    <col min="787" max="787" width="2.85546875" style="235" customWidth="1"/>
    <col min="788" max="788" width="3" style="235" customWidth="1"/>
    <col min="789" max="791" width="0" style="235" hidden="1" customWidth="1"/>
    <col min="792" max="792" width="4.42578125" style="235" customWidth="1"/>
    <col min="793" max="793" width="0" style="235" hidden="1" customWidth="1"/>
    <col min="794" max="795" width="14.85546875" style="235" customWidth="1"/>
    <col min="796" max="796" width="15.140625" style="235" customWidth="1"/>
    <col min="797" max="797" width="6.42578125" style="235" customWidth="1"/>
    <col min="798" max="798" width="15.140625" style="235" customWidth="1"/>
    <col min="799" max="799" width="4.140625" style="235" customWidth="1"/>
    <col min="800" max="800" width="3" style="235" customWidth="1"/>
    <col min="801" max="803" width="0" style="235" hidden="1" customWidth="1"/>
    <col min="804" max="804" width="3" style="235" customWidth="1"/>
    <col min="805" max="805" width="0" style="235" hidden="1" customWidth="1"/>
    <col min="806" max="806" width="3" style="235" customWidth="1"/>
    <col min="807" max="807" width="0" style="235" hidden="1" customWidth="1"/>
    <col min="808" max="808" width="4.42578125" style="235" customWidth="1"/>
    <col min="809" max="809" width="34.28515625" style="235" customWidth="1"/>
    <col min="810" max="810" width="23.42578125" style="235" customWidth="1"/>
    <col min="811" max="811" width="9.140625" style="235" customWidth="1"/>
    <col min="812" max="812" width="19.5703125" style="235" customWidth="1"/>
    <col min="813" max="813" width="42.7109375" style="235" customWidth="1"/>
    <col min="814" max="814" width="5.85546875" style="235" customWidth="1"/>
    <col min="815" max="815" width="31.5703125" style="235" customWidth="1"/>
    <col min="816" max="816" width="16.140625" style="235" customWidth="1"/>
    <col min="817" max="818" width="9.28515625" style="235" customWidth="1"/>
    <col min="819" max="819" width="11.140625" style="235" customWidth="1"/>
    <col min="820" max="820" width="2.140625" style="235" customWidth="1"/>
    <col min="821" max="1026" width="11.42578125" style="235"/>
    <col min="1027" max="1027" width="12" style="235" customWidth="1"/>
    <col min="1028" max="1028" width="2.7109375" style="235" customWidth="1"/>
    <col min="1029" max="1030" width="6.5703125" style="551" customWidth="1"/>
    <col min="1031" max="1031" width="5.85546875" style="551" customWidth="1"/>
    <col min="1032" max="1032" width="6.5703125" style="551" customWidth="1"/>
    <col min="1033" max="1033" width="13.7109375" style="551" customWidth="1"/>
    <col min="1034" max="1035" width="9" style="551" customWidth="1"/>
    <col min="1036" max="1036" width="2.5703125" style="551" customWidth="1"/>
    <col min="1037" max="1037" width="8.85546875" style="551" customWidth="1"/>
    <col min="1038" max="1038" width="7.5703125" style="551" customWidth="1"/>
    <col min="1039" max="1041" width="3.7109375" style="551" customWidth="1"/>
    <col min="1042" max="1042" width="3.5703125" style="551" customWidth="1"/>
    <col min="1043" max="1043" width="2.85546875" style="551" customWidth="1"/>
    <col min="1044" max="1044" width="3" style="551" customWidth="1"/>
    <col min="1045" max="1047" width="0" style="551" hidden="1" customWidth="1"/>
    <col min="1048" max="1048" width="4.42578125" style="551" customWidth="1"/>
    <col min="1049" max="1049" width="0" style="551" hidden="1" customWidth="1"/>
    <col min="1050" max="1051" width="14.85546875" style="551" customWidth="1"/>
    <col min="1052" max="1052" width="15.140625" style="551" customWidth="1"/>
    <col min="1053" max="1053" width="6.42578125" style="551" customWidth="1"/>
    <col min="1054" max="1054" width="15.140625" style="551" customWidth="1"/>
    <col min="1055" max="1055" width="4.140625" style="551" customWidth="1"/>
    <col min="1056" max="1056" width="3" style="551" customWidth="1"/>
    <col min="1057" max="1059" width="0" style="551" hidden="1" customWidth="1"/>
    <col min="1060" max="1060" width="3" style="551" customWidth="1"/>
    <col min="1061" max="1061" width="0" style="551" hidden="1" customWidth="1"/>
    <col min="1062" max="1062" width="3" style="551" customWidth="1"/>
    <col min="1063" max="1063" width="0" style="551" hidden="1" customWidth="1"/>
    <col min="1064" max="1064" width="4.42578125" style="551" customWidth="1"/>
    <col min="1065" max="1065" width="34.28515625" style="551" customWidth="1"/>
    <col min="1066" max="1066" width="23.42578125" style="551" customWidth="1"/>
    <col min="1067" max="1067" width="9.140625" style="551" customWidth="1"/>
    <col min="1068" max="1068" width="19.5703125" style="551" customWidth="1"/>
    <col min="1069" max="1069" width="42.7109375" style="551" customWidth="1"/>
    <col min="1070" max="1070" width="5.85546875" style="551" customWidth="1"/>
    <col min="1071" max="1071" width="31.5703125" style="551" customWidth="1"/>
    <col min="1072" max="1072" width="16.140625" style="551" customWidth="1"/>
    <col min="1073" max="1074" width="9.28515625" style="551" customWidth="1"/>
    <col min="1075" max="1075" width="11.140625" style="551" customWidth="1"/>
    <col min="1076" max="1076" width="2.140625" style="551" customWidth="1"/>
    <col min="1077" max="1282" width="11.42578125" style="551"/>
    <col min="1283" max="1283" width="12" style="551" customWidth="1"/>
    <col min="1284" max="1284" width="2.7109375" style="551" customWidth="1"/>
    <col min="1285" max="1286" width="6.5703125" style="551" customWidth="1"/>
    <col min="1287" max="1287" width="5.85546875" style="551" customWidth="1"/>
    <col min="1288" max="1288" width="6.5703125" style="551" customWidth="1"/>
    <col min="1289" max="1289" width="13.7109375" style="551" customWidth="1"/>
    <col min="1290" max="1291" width="9" style="551" customWidth="1"/>
    <col min="1292" max="1292" width="2.5703125" style="551" customWidth="1"/>
    <col min="1293" max="1293" width="8.85546875" style="551" customWidth="1"/>
    <col min="1294" max="1294" width="7.5703125" style="551" customWidth="1"/>
    <col min="1295" max="1297" width="3.7109375" style="551" customWidth="1"/>
    <col min="1298" max="1298" width="3.5703125" style="551" customWidth="1"/>
    <col min="1299" max="1299" width="2.85546875" style="551" customWidth="1"/>
    <col min="1300" max="1300" width="3" style="551" customWidth="1"/>
    <col min="1301" max="1303" width="0" style="551" hidden="1" customWidth="1"/>
    <col min="1304" max="1304" width="4.42578125" style="551" customWidth="1"/>
    <col min="1305" max="1305" width="0" style="551" hidden="1" customWidth="1"/>
    <col min="1306" max="1307" width="14.85546875" style="551" customWidth="1"/>
    <col min="1308" max="1308" width="15.140625" style="551" customWidth="1"/>
    <col min="1309" max="1309" width="6.42578125" style="551" customWidth="1"/>
    <col min="1310" max="1310" width="15.140625" style="551" customWidth="1"/>
    <col min="1311" max="1311" width="4.140625" style="551" customWidth="1"/>
    <col min="1312" max="1312" width="3" style="551" customWidth="1"/>
    <col min="1313" max="1315" width="0" style="551" hidden="1" customWidth="1"/>
    <col min="1316" max="1316" width="3" style="551" customWidth="1"/>
    <col min="1317" max="1317" width="0" style="551" hidden="1" customWidth="1"/>
    <col min="1318" max="1318" width="3" style="551" customWidth="1"/>
    <col min="1319" max="1319" width="0" style="551" hidden="1" customWidth="1"/>
    <col min="1320" max="1320" width="4.42578125" style="551" customWidth="1"/>
    <col min="1321" max="1321" width="34.28515625" style="551" customWidth="1"/>
    <col min="1322" max="1322" width="23.42578125" style="551" customWidth="1"/>
    <col min="1323" max="1323" width="9.140625" style="551" customWidth="1"/>
    <col min="1324" max="1324" width="19.5703125" style="551" customWidth="1"/>
    <col min="1325" max="1325" width="42.7109375" style="551" customWidth="1"/>
    <col min="1326" max="1326" width="5.85546875" style="551" customWidth="1"/>
    <col min="1327" max="1327" width="31.5703125" style="551" customWidth="1"/>
    <col min="1328" max="1328" width="16.140625" style="551" customWidth="1"/>
    <col min="1329" max="1330" width="9.28515625" style="551" customWidth="1"/>
    <col min="1331" max="1331" width="11.140625" style="551" customWidth="1"/>
    <col min="1332" max="1332" width="2.140625" style="551" customWidth="1"/>
    <col min="1333" max="1538" width="11.42578125" style="551"/>
    <col min="1539" max="1539" width="12" style="551" customWidth="1"/>
    <col min="1540" max="1540" width="2.7109375" style="551" customWidth="1"/>
    <col min="1541" max="1542" width="6.5703125" style="551" customWidth="1"/>
    <col min="1543" max="1543" width="5.85546875" style="551" customWidth="1"/>
    <col min="1544" max="1544" width="6.5703125" style="551" customWidth="1"/>
    <col min="1545" max="1545" width="13.7109375" style="551" customWidth="1"/>
    <col min="1546" max="1547" width="9" style="551" customWidth="1"/>
    <col min="1548" max="1548" width="2.5703125" style="551" customWidth="1"/>
    <col min="1549" max="1549" width="8.85546875" style="551" customWidth="1"/>
    <col min="1550" max="1550" width="7.5703125" style="551" customWidth="1"/>
    <col min="1551" max="1553" width="3.7109375" style="551" customWidth="1"/>
    <col min="1554" max="1554" width="3.5703125" style="551" customWidth="1"/>
    <col min="1555" max="1555" width="2.85546875" style="551" customWidth="1"/>
    <col min="1556" max="1556" width="3" style="551" customWidth="1"/>
    <col min="1557" max="1559" width="0" style="551" hidden="1" customWidth="1"/>
    <col min="1560" max="1560" width="4.42578125" style="551" customWidth="1"/>
    <col min="1561" max="1561" width="0" style="551" hidden="1" customWidth="1"/>
    <col min="1562" max="1563" width="14.85546875" style="551" customWidth="1"/>
    <col min="1564" max="1564" width="15.140625" style="551" customWidth="1"/>
    <col min="1565" max="1565" width="6.42578125" style="551" customWidth="1"/>
    <col min="1566" max="1566" width="15.140625" style="551" customWidth="1"/>
    <col min="1567" max="1567" width="4.140625" style="551" customWidth="1"/>
    <col min="1568" max="1568" width="3" style="551" customWidth="1"/>
    <col min="1569" max="1571" width="0" style="551" hidden="1" customWidth="1"/>
    <col min="1572" max="1572" width="3" style="551" customWidth="1"/>
    <col min="1573" max="1573" width="0" style="551" hidden="1" customWidth="1"/>
    <col min="1574" max="1574" width="3" style="551" customWidth="1"/>
    <col min="1575" max="1575" width="0" style="551" hidden="1" customWidth="1"/>
    <col min="1576" max="1576" width="4.42578125" style="551" customWidth="1"/>
    <col min="1577" max="1577" width="34.28515625" style="551" customWidth="1"/>
    <col min="1578" max="1578" width="23.42578125" style="551" customWidth="1"/>
    <col min="1579" max="1579" width="9.140625" style="551" customWidth="1"/>
    <col min="1580" max="1580" width="19.5703125" style="551" customWidth="1"/>
    <col min="1581" max="1581" width="42.7109375" style="551" customWidth="1"/>
    <col min="1582" max="1582" width="5.85546875" style="551" customWidth="1"/>
    <col min="1583" max="1583" width="31.5703125" style="551" customWidth="1"/>
    <col min="1584" max="1584" width="16.140625" style="551" customWidth="1"/>
    <col min="1585" max="1586" width="9.28515625" style="551" customWidth="1"/>
    <col min="1587" max="1587" width="11.140625" style="551" customWidth="1"/>
    <col min="1588" max="1588" width="2.140625" style="551" customWidth="1"/>
    <col min="1589" max="1794" width="11.42578125" style="551"/>
    <col min="1795" max="1795" width="12" style="551" customWidth="1"/>
    <col min="1796" max="1796" width="2.7109375" style="551" customWidth="1"/>
    <col min="1797" max="1798" width="6.5703125" style="551" customWidth="1"/>
    <col min="1799" max="1799" width="5.85546875" style="551" customWidth="1"/>
    <col min="1800" max="1800" width="6.5703125" style="551" customWidth="1"/>
    <col min="1801" max="1801" width="13.7109375" style="551" customWidth="1"/>
    <col min="1802" max="1803" width="9" style="551" customWidth="1"/>
    <col min="1804" max="1804" width="2.5703125" style="551" customWidth="1"/>
    <col min="1805" max="1805" width="8.85546875" style="551" customWidth="1"/>
    <col min="1806" max="1806" width="7.5703125" style="551" customWidth="1"/>
    <col min="1807" max="1809" width="3.7109375" style="551" customWidth="1"/>
    <col min="1810" max="1810" width="3.5703125" style="551" customWidth="1"/>
    <col min="1811" max="1811" width="2.85546875" style="551" customWidth="1"/>
    <col min="1812" max="1812" width="3" style="551" customWidth="1"/>
    <col min="1813" max="1815" width="0" style="551" hidden="1" customWidth="1"/>
    <col min="1816" max="1816" width="4.42578125" style="551" customWidth="1"/>
    <col min="1817" max="1817" width="0" style="551" hidden="1" customWidth="1"/>
    <col min="1818" max="1819" width="14.85546875" style="551" customWidth="1"/>
    <col min="1820" max="1820" width="15.140625" style="551" customWidth="1"/>
    <col min="1821" max="1821" width="6.42578125" style="551" customWidth="1"/>
    <col min="1822" max="1822" width="15.140625" style="551" customWidth="1"/>
    <col min="1823" max="1823" width="4.140625" style="551" customWidth="1"/>
    <col min="1824" max="1824" width="3" style="551" customWidth="1"/>
    <col min="1825" max="1827" width="0" style="551" hidden="1" customWidth="1"/>
    <col min="1828" max="1828" width="3" style="551" customWidth="1"/>
    <col min="1829" max="1829" width="0" style="551" hidden="1" customWidth="1"/>
    <col min="1830" max="1830" width="3" style="551" customWidth="1"/>
    <col min="1831" max="1831" width="0" style="551" hidden="1" customWidth="1"/>
    <col min="1832" max="1832" width="4.42578125" style="551" customWidth="1"/>
    <col min="1833" max="1833" width="34.28515625" style="551" customWidth="1"/>
    <col min="1834" max="1834" width="23.42578125" style="551" customWidth="1"/>
    <col min="1835" max="1835" width="9.140625" style="551" customWidth="1"/>
    <col min="1836" max="1836" width="19.5703125" style="551" customWidth="1"/>
    <col min="1837" max="1837" width="42.7109375" style="551" customWidth="1"/>
    <col min="1838" max="1838" width="5.85546875" style="551" customWidth="1"/>
    <col min="1839" max="1839" width="31.5703125" style="551" customWidth="1"/>
    <col min="1840" max="1840" width="16.140625" style="551" customWidth="1"/>
    <col min="1841" max="1842" width="9.28515625" style="551" customWidth="1"/>
    <col min="1843" max="1843" width="11.140625" style="551" customWidth="1"/>
    <col min="1844" max="1844" width="2.140625" style="551" customWidth="1"/>
    <col min="1845" max="2050" width="11.42578125" style="551"/>
    <col min="2051" max="2051" width="12" style="551" customWidth="1"/>
    <col min="2052" max="2052" width="2.7109375" style="551" customWidth="1"/>
    <col min="2053" max="2054" width="6.5703125" style="551" customWidth="1"/>
    <col min="2055" max="2055" width="5.85546875" style="551" customWidth="1"/>
    <col min="2056" max="2056" width="6.5703125" style="551" customWidth="1"/>
    <col min="2057" max="2057" width="13.7109375" style="551" customWidth="1"/>
    <col min="2058" max="2059" width="9" style="551" customWidth="1"/>
    <col min="2060" max="2060" width="2.5703125" style="551" customWidth="1"/>
    <col min="2061" max="2061" width="8.85546875" style="551" customWidth="1"/>
    <col min="2062" max="2062" width="7.5703125" style="551" customWidth="1"/>
    <col min="2063" max="2065" width="3.7109375" style="551" customWidth="1"/>
    <col min="2066" max="2066" width="3.5703125" style="551" customWidth="1"/>
    <col min="2067" max="2067" width="2.85546875" style="551" customWidth="1"/>
    <col min="2068" max="2068" width="3" style="551" customWidth="1"/>
    <col min="2069" max="2071" width="0" style="551" hidden="1" customWidth="1"/>
    <col min="2072" max="2072" width="4.42578125" style="551" customWidth="1"/>
    <col min="2073" max="2073" width="0" style="551" hidden="1" customWidth="1"/>
    <col min="2074" max="2075" width="14.85546875" style="551" customWidth="1"/>
    <col min="2076" max="2076" width="15.140625" style="551" customWidth="1"/>
    <col min="2077" max="2077" width="6.42578125" style="551" customWidth="1"/>
    <col min="2078" max="2078" width="15.140625" style="551" customWidth="1"/>
    <col min="2079" max="2079" width="4.140625" style="551" customWidth="1"/>
    <col min="2080" max="2080" width="3" style="551" customWidth="1"/>
    <col min="2081" max="2083" width="0" style="551" hidden="1" customWidth="1"/>
    <col min="2084" max="2084" width="3" style="551" customWidth="1"/>
    <col min="2085" max="2085" width="0" style="551" hidden="1" customWidth="1"/>
    <col min="2086" max="2086" width="3" style="551" customWidth="1"/>
    <col min="2087" max="2087" width="0" style="551" hidden="1" customWidth="1"/>
    <col min="2088" max="2088" width="4.42578125" style="551" customWidth="1"/>
    <col min="2089" max="2089" width="34.28515625" style="551" customWidth="1"/>
    <col min="2090" max="2090" width="23.42578125" style="551" customWidth="1"/>
    <col min="2091" max="2091" width="9.140625" style="551" customWidth="1"/>
    <col min="2092" max="2092" width="19.5703125" style="551" customWidth="1"/>
    <col min="2093" max="2093" width="42.7109375" style="551" customWidth="1"/>
    <col min="2094" max="2094" width="5.85546875" style="551" customWidth="1"/>
    <col min="2095" max="2095" width="31.5703125" style="551" customWidth="1"/>
    <col min="2096" max="2096" width="16.140625" style="551" customWidth="1"/>
    <col min="2097" max="2098" width="9.28515625" style="551" customWidth="1"/>
    <col min="2099" max="2099" width="11.140625" style="551" customWidth="1"/>
    <col min="2100" max="2100" width="2.140625" style="551" customWidth="1"/>
    <col min="2101" max="2306" width="11.42578125" style="551"/>
    <col min="2307" max="2307" width="12" style="551" customWidth="1"/>
    <col min="2308" max="2308" width="2.7109375" style="551" customWidth="1"/>
    <col min="2309" max="2310" width="6.5703125" style="551" customWidth="1"/>
    <col min="2311" max="2311" width="5.85546875" style="551" customWidth="1"/>
    <col min="2312" max="2312" width="6.5703125" style="551" customWidth="1"/>
    <col min="2313" max="2313" width="13.7109375" style="551" customWidth="1"/>
    <col min="2314" max="2315" width="9" style="551" customWidth="1"/>
    <col min="2316" max="2316" width="2.5703125" style="551" customWidth="1"/>
    <col min="2317" max="2317" width="8.85546875" style="551" customWidth="1"/>
    <col min="2318" max="2318" width="7.5703125" style="551" customWidth="1"/>
    <col min="2319" max="2321" width="3.7109375" style="551" customWidth="1"/>
    <col min="2322" max="2322" width="3.5703125" style="551" customWidth="1"/>
    <col min="2323" max="2323" width="2.85546875" style="551" customWidth="1"/>
    <col min="2324" max="2324" width="3" style="551" customWidth="1"/>
    <col min="2325" max="2327" width="0" style="551" hidden="1" customWidth="1"/>
    <col min="2328" max="2328" width="4.42578125" style="551" customWidth="1"/>
    <col min="2329" max="2329" width="0" style="551" hidden="1" customWidth="1"/>
    <col min="2330" max="2331" width="14.85546875" style="551" customWidth="1"/>
    <col min="2332" max="2332" width="15.140625" style="551" customWidth="1"/>
    <col min="2333" max="2333" width="6.42578125" style="551" customWidth="1"/>
    <col min="2334" max="2334" width="15.140625" style="551" customWidth="1"/>
    <col min="2335" max="2335" width="4.140625" style="551" customWidth="1"/>
    <col min="2336" max="2336" width="3" style="551" customWidth="1"/>
    <col min="2337" max="2339" width="0" style="551" hidden="1" customWidth="1"/>
    <col min="2340" max="2340" width="3" style="551" customWidth="1"/>
    <col min="2341" max="2341" width="0" style="551" hidden="1" customWidth="1"/>
    <col min="2342" max="2342" width="3" style="551" customWidth="1"/>
    <col min="2343" max="2343" width="0" style="551" hidden="1" customWidth="1"/>
    <col min="2344" max="2344" width="4.42578125" style="551" customWidth="1"/>
    <col min="2345" max="2345" width="34.28515625" style="551" customWidth="1"/>
    <col min="2346" max="2346" width="23.42578125" style="551" customWidth="1"/>
    <col min="2347" max="2347" width="9.140625" style="551" customWidth="1"/>
    <col min="2348" max="2348" width="19.5703125" style="551" customWidth="1"/>
    <col min="2349" max="2349" width="42.7109375" style="551" customWidth="1"/>
    <col min="2350" max="2350" width="5.85546875" style="551" customWidth="1"/>
    <col min="2351" max="2351" width="31.5703125" style="551" customWidth="1"/>
    <col min="2352" max="2352" width="16.140625" style="551" customWidth="1"/>
    <col min="2353" max="2354" width="9.28515625" style="551" customWidth="1"/>
    <col min="2355" max="2355" width="11.140625" style="551" customWidth="1"/>
    <col min="2356" max="2356" width="2.140625" style="551" customWidth="1"/>
    <col min="2357" max="2562" width="11.42578125" style="551"/>
    <col min="2563" max="2563" width="12" style="551" customWidth="1"/>
    <col min="2564" max="2564" width="2.7109375" style="551" customWidth="1"/>
    <col min="2565" max="2566" width="6.5703125" style="551" customWidth="1"/>
    <col min="2567" max="2567" width="5.85546875" style="551" customWidth="1"/>
    <col min="2568" max="2568" width="6.5703125" style="551" customWidth="1"/>
    <col min="2569" max="2569" width="13.7109375" style="551" customWidth="1"/>
    <col min="2570" max="2571" width="9" style="551" customWidth="1"/>
    <col min="2572" max="2572" width="2.5703125" style="551" customWidth="1"/>
    <col min="2573" max="2573" width="8.85546875" style="551" customWidth="1"/>
    <col min="2574" max="2574" width="7.5703125" style="551" customWidth="1"/>
    <col min="2575" max="2577" width="3.7109375" style="551" customWidth="1"/>
    <col min="2578" max="2578" width="3.5703125" style="551" customWidth="1"/>
    <col min="2579" max="2579" width="2.85546875" style="551" customWidth="1"/>
    <col min="2580" max="2580" width="3" style="551" customWidth="1"/>
    <col min="2581" max="2583" width="0" style="551" hidden="1" customWidth="1"/>
    <col min="2584" max="2584" width="4.42578125" style="551" customWidth="1"/>
    <col min="2585" max="2585" width="0" style="551" hidden="1" customWidth="1"/>
    <col min="2586" max="2587" width="14.85546875" style="551" customWidth="1"/>
    <col min="2588" max="2588" width="15.140625" style="551" customWidth="1"/>
    <col min="2589" max="2589" width="6.42578125" style="551" customWidth="1"/>
    <col min="2590" max="2590" width="15.140625" style="551" customWidth="1"/>
    <col min="2591" max="2591" width="4.140625" style="551" customWidth="1"/>
    <col min="2592" max="2592" width="3" style="551" customWidth="1"/>
    <col min="2593" max="2595" width="0" style="551" hidden="1" customWidth="1"/>
    <col min="2596" max="2596" width="3" style="551" customWidth="1"/>
    <col min="2597" max="2597" width="0" style="551" hidden="1" customWidth="1"/>
    <col min="2598" max="2598" width="3" style="551" customWidth="1"/>
    <col min="2599" max="2599" width="0" style="551" hidden="1" customWidth="1"/>
    <col min="2600" max="2600" width="4.42578125" style="551" customWidth="1"/>
    <col min="2601" max="2601" width="34.28515625" style="551" customWidth="1"/>
    <col min="2602" max="2602" width="23.42578125" style="551" customWidth="1"/>
    <col min="2603" max="2603" width="9.140625" style="551" customWidth="1"/>
    <col min="2604" max="2604" width="19.5703125" style="551" customWidth="1"/>
    <col min="2605" max="2605" width="42.7109375" style="551" customWidth="1"/>
    <col min="2606" max="2606" width="5.85546875" style="551" customWidth="1"/>
    <col min="2607" max="2607" width="31.5703125" style="551" customWidth="1"/>
    <col min="2608" max="2608" width="16.140625" style="551" customWidth="1"/>
    <col min="2609" max="2610" width="9.28515625" style="551" customWidth="1"/>
    <col min="2611" max="2611" width="11.140625" style="551" customWidth="1"/>
    <col min="2612" max="2612" width="2.140625" style="551" customWidth="1"/>
    <col min="2613" max="2818" width="11.42578125" style="551"/>
    <col min="2819" max="2819" width="12" style="551" customWidth="1"/>
    <col min="2820" max="2820" width="2.7109375" style="551" customWidth="1"/>
    <col min="2821" max="2822" width="6.5703125" style="551" customWidth="1"/>
    <col min="2823" max="2823" width="5.85546875" style="551" customWidth="1"/>
    <col min="2824" max="2824" width="6.5703125" style="551" customWidth="1"/>
    <col min="2825" max="2825" width="13.7109375" style="551" customWidth="1"/>
    <col min="2826" max="2827" width="9" style="551" customWidth="1"/>
    <col min="2828" max="2828" width="2.5703125" style="551" customWidth="1"/>
    <col min="2829" max="2829" width="8.85546875" style="551" customWidth="1"/>
    <col min="2830" max="2830" width="7.5703125" style="551" customWidth="1"/>
    <col min="2831" max="2833" width="3.7109375" style="551" customWidth="1"/>
    <col min="2834" max="2834" width="3.5703125" style="551" customWidth="1"/>
    <col min="2835" max="2835" width="2.85546875" style="551" customWidth="1"/>
    <col min="2836" max="2836" width="3" style="551" customWidth="1"/>
    <col min="2837" max="2839" width="0" style="551" hidden="1" customWidth="1"/>
    <col min="2840" max="2840" width="4.42578125" style="551" customWidth="1"/>
    <col min="2841" max="2841" width="0" style="551" hidden="1" customWidth="1"/>
    <col min="2842" max="2843" width="14.85546875" style="551" customWidth="1"/>
    <col min="2844" max="2844" width="15.140625" style="551" customWidth="1"/>
    <col min="2845" max="2845" width="6.42578125" style="551" customWidth="1"/>
    <col min="2846" max="2846" width="15.140625" style="551" customWidth="1"/>
    <col min="2847" max="2847" width="4.140625" style="551" customWidth="1"/>
    <col min="2848" max="2848" width="3" style="551" customWidth="1"/>
    <col min="2849" max="2851" width="0" style="551" hidden="1" customWidth="1"/>
    <col min="2852" max="2852" width="3" style="551" customWidth="1"/>
    <col min="2853" max="2853" width="0" style="551" hidden="1" customWidth="1"/>
    <col min="2854" max="2854" width="3" style="551" customWidth="1"/>
    <col min="2855" max="2855" width="0" style="551" hidden="1" customWidth="1"/>
    <col min="2856" max="2856" width="4.42578125" style="551" customWidth="1"/>
    <col min="2857" max="2857" width="34.28515625" style="551" customWidth="1"/>
    <col min="2858" max="2858" width="23.42578125" style="551" customWidth="1"/>
    <col min="2859" max="2859" width="9.140625" style="551" customWidth="1"/>
    <col min="2860" max="2860" width="19.5703125" style="551" customWidth="1"/>
    <col min="2861" max="2861" width="42.7109375" style="551" customWidth="1"/>
    <col min="2862" max="2862" width="5.85546875" style="551" customWidth="1"/>
    <col min="2863" max="2863" width="31.5703125" style="551" customWidth="1"/>
    <col min="2864" max="2864" width="16.140625" style="551" customWidth="1"/>
    <col min="2865" max="2866" width="9.28515625" style="551" customWidth="1"/>
    <col min="2867" max="2867" width="11.140625" style="551" customWidth="1"/>
    <col min="2868" max="2868" width="2.140625" style="551" customWidth="1"/>
    <col min="2869" max="3074" width="11.42578125" style="551"/>
    <col min="3075" max="3075" width="12" style="551" customWidth="1"/>
    <col min="3076" max="3076" width="2.7109375" style="551" customWidth="1"/>
    <col min="3077" max="3078" width="6.5703125" style="551" customWidth="1"/>
    <col min="3079" max="3079" width="5.85546875" style="551" customWidth="1"/>
    <col min="3080" max="3080" width="6.5703125" style="551" customWidth="1"/>
    <col min="3081" max="3081" width="13.7109375" style="551" customWidth="1"/>
    <col min="3082" max="3083" width="9" style="551" customWidth="1"/>
    <col min="3084" max="3084" width="2.5703125" style="551" customWidth="1"/>
    <col min="3085" max="3085" width="8.85546875" style="551" customWidth="1"/>
    <col min="3086" max="3086" width="7.5703125" style="551" customWidth="1"/>
    <col min="3087" max="3089" width="3.7109375" style="551" customWidth="1"/>
    <col min="3090" max="3090" width="3.5703125" style="551" customWidth="1"/>
    <col min="3091" max="3091" width="2.85546875" style="551" customWidth="1"/>
    <col min="3092" max="3092" width="3" style="551" customWidth="1"/>
    <col min="3093" max="3095" width="0" style="551" hidden="1" customWidth="1"/>
    <col min="3096" max="3096" width="4.42578125" style="551" customWidth="1"/>
    <col min="3097" max="3097" width="0" style="551" hidden="1" customWidth="1"/>
    <col min="3098" max="3099" width="14.85546875" style="551" customWidth="1"/>
    <col min="3100" max="3100" width="15.140625" style="551" customWidth="1"/>
    <col min="3101" max="3101" width="6.42578125" style="551" customWidth="1"/>
    <col min="3102" max="3102" width="15.140625" style="551" customWidth="1"/>
    <col min="3103" max="3103" width="4.140625" style="551" customWidth="1"/>
    <col min="3104" max="3104" width="3" style="551" customWidth="1"/>
    <col min="3105" max="3107" width="0" style="551" hidden="1" customWidth="1"/>
    <col min="3108" max="3108" width="3" style="551" customWidth="1"/>
    <col min="3109" max="3109" width="0" style="551" hidden="1" customWidth="1"/>
    <col min="3110" max="3110" width="3" style="551" customWidth="1"/>
    <col min="3111" max="3111" width="0" style="551" hidden="1" customWidth="1"/>
    <col min="3112" max="3112" width="4.42578125" style="551" customWidth="1"/>
    <col min="3113" max="3113" width="34.28515625" style="551" customWidth="1"/>
    <col min="3114" max="3114" width="23.42578125" style="551" customWidth="1"/>
    <col min="3115" max="3115" width="9.140625" style="551" customWidth="1"/>
    <col min="3116" max="3116" width="19.5703125" style="551" customWidth="1"/>
    <col min="3117" max="3117" width="42.7109375" style="551" customWidth="1"/>
    <col min="3118" max="3118" width="5.85546875" style="551" customWidth="1"/>
    <col min="3119" max="3119" width="31.5703125" style="551" customWidth="1"/>
    <col min="3120" max="3120" width="16.140625" style="551" customWidth="1"/>
    <col min="3121" max="3122" width="9.28515625" style="551" customWidth="1"/>
    <col min="3123" max="3123" width="11.140625" style="551" customWidth="1"/>
    <col min="3124" max="3124" width="2.140625" style="551" customWidth="1"/>
    <col min="3125" max="3330" width="11.42578125" style="551"/>
    <col min="3331" max="3331" width="12" style="551" customWidth="1"/>
    <col min="3332" max="3332" width="2.7109375" style="551" customWidth="1"/>
    <col min="3333" max="3334" width="6.5703125" style="551" customWidth="1"/>
    <col min="3335" max="3335" width="5.85546875" style="551" customWidth="1"/>
    <col min="3336" max="3336" width="6.5703125" style="551" customWidth="1"/>
    <col min="3337" max="3337" width="13.7109375" style="551" customWidth="1"/>
    <col min="3338" max="3339" width="9" style="551" customWidth="1"/>
    <col min="3340" max="3340" width="2.5703125" style="551" customWidth="1"/>
    <col min="3341" max="3341" width="8.85546875" style="551" customWidth="1"/>
    <col min="3342" max="3342" width="7.5703125" style="551" customWidth="1"/>
    <col min="3343" max="3345" width="3.7109375" style="551" customWidth="1"/>
    <col min="3346" max="3346" width="3.5703125" style="551" customWidth="1"/>
    <col min="3347" max="3347" width="2.85546875" style="551" customWidth="1"/>
    <col min="3348" max="3348" width="3" style="551" customWidth="1"/>
    <col min="3349" max="3351" width="0" style="551" hidden="1" customWidth="1"/>
    <col min="3352" max="3352" width="4.42578125" style="551" customWidth="1"/>
    <col min="3353" max="3353" width="0" style="551" hidden="1" customWidth="1"/>
    <col min="3354" max="3355" width="14.85546875" style="551" customWidth="1"/>
    <col min="3356" max="3356" width="15.140625" style="551" customWidth="1"/>
    <col min="3357" max="3357" width="6.42578125" style="551" customWidth="1"/>
    <col min="3358" max="3358" width="15.140625" style="551" customWidth="1"/>
    <col min="3359" max="3359" width="4.140625" style="551" customWidth="1"/>
    <col min="3360" max="3360" width="3" style="551" customWidth="1"/>
    <col min="3361" max="3363" width="0" style="551" hidden="1" customWidth="1"/>
    <col min="3364" max="3364" width="3" style="551" customWidth="1"/>
    <col min="3365" max="3365" width="0" style="551" hidden="1" customWidth="1"/>
    <col min="3366" max="3366" width="3" style="551" customWidth="1"/>
    <col min="3367" max="3367" width="0" style="551" hidden="1" customWidth="1"/>
    <col min="3368" max="3368" width="4.42578125" style="551" customWidth="1"/>
    <col min="3369" max="3369" width="34.28515625" style="551" customWidth="1"/>
    <col min="3370" max="3370" width="23.42578125" style="551" customWidth="1"/>
    <col min="3371" max="3371" width="9.140625" style="551" customWidth="1"/>
    <col min="3372" max="3372" width="19.5703125" style="551" customWidth="1"/>
    <col min="3373" max="3373" width="42.7109375" style="551" customWidth="1"/>
    <col min="3374" max="3374" width="5.85546875" style="551" customWidth="1"/>
    <col min="3375" max="3375" width="31.5703125" style="551" customWidth="1"/>
    <col min="3376" max="3376" width="16.140625" style="551" customWidth="1"/>
    <col min="3377" max="3378" width="9.28515625" style="551" customWidth="1"/>
    <col min="3379" max="3379" width="11.140625" style="551" customWidth="1"/>
    <col min="3380" max="3380" width="2.140625" style="551" customWidth="1"/>
    <col min="3381" max="3586" width="11.42578125" style="551"/>
    <col min="3587" max="3587" width="12" style="551" customWidth="1"/>
    <col min="3588" max="3588" width="2.7109375" style="551" customWidth="1"/>
    <col min="3589" max="3590" width="6.5703125" style="551" customWidth="1"/>
    <col min="3591" max="3591" width="5.85546875" style="551" customWidth="1"/>
    <col min="3592" max="3592" width="6.5703125" style="551" customWidth="1"/>
    <col min="3593" max="3593" width="13.7109375" style="551" customWidth="1"/>
    <col min="3594" max="3595" width="9" style="551" customWidth="1"/>
    <col min="3596" max="3596" width="2.5703125" style="551" customWidth="1"/>
    <col min="3597" max="3597" width="8.85546875" style="551" customWidth="1"/>
    <col min="3598" max="3598" width="7.5703125" style="551" customWidth="1"/>
    <col min="3599" max="3601" width="3.7109375" style="551" customWidth="1"/>
    <col min="3602" max="3602" width="3.5703125" style="551" customWidth="1"/>
    <col min="3603" max="3603" width="2.85546875" style="551" customWidth="1"/>
    <col min="3604" max="3604" width="3" style="551" customWidth="1"/>
    <col min="3605" max="3607" width="0" style="551" hidden="1" customWidth="1"/>
    <col min="3608" max="3608" width="4.42578125" style="551" customWidth="1"/>
    <col min="3609" max="3609" width="0" style="551" hidden="1" customWidth="1"/>
    <col min="3610" max="3611" width="14.85546875" style="551" customWidth="1"/>
    <col min="3612" max="3612" width="15.140625" style="551" customWidth="1"/>
    <col min="3613" max="3613" width="6.42578125" style="551" customWidth="1"/>
    <col min="3614" max="3614" width="15.140625" style="551" customWidth="1"/>
    <col min="3615" max="3615" width="4.140625" style="551" customWidth="1"/>
    <col min="3616" max="3616" width="3" style="551" customWidth="1"/>
    <col min="3617" max="3619" width="0" style="551" hidden="1" customWidth="1"/>
    <col min="3620" max="3620" width="3" style="551" customWidth="1"/>
    <col min="3621" max="3621" width="0" style="551" hidden="1" customWidth="1"/>
    <col min="3622" max="3622" width="3" style="551" customWidth="1"/>
    <col min="3623" max="3623" width="0" style="551" hidden="1" customWidth="1"/>
    <col min="3624" max="3624" width="4.42578125" style="551" customWidth="1"/>
    <col min="3625" max="3625" width="34.28515625" style="551" customWidth="1"/>
    <col min="3626" max="3626" width="23.42578125" style="551" customWidth="1"/>
    <col min="3627" max="3627" width="9.140625" style="551" customWidth="1"/>
    <col min="3628" max="3628" width="19.5703125" style="551" customWidth="1"/>
    <col min="3629" max="3629" width="42.7109375" style="551" customWidth="1"/>
    <col min="3630" max="3630" width="5.85546875" style="551" customWidth="1"/>
    <col min="3631" max="3631" width="31.5703125" style="551" customWidth="1"/>
    <col min="3632" max="3632" width="16.140625" style="551" customWidth="1"/>
    <col min="3633" max="3634" width="9.28515625" style="551" customWidth="1"/>
    <col min="3635" max="3635" width="11.140625" style="551" customWidth="1"/>
    <col min="3636" max="3636" width="2.140625" style="551" customWidth="1"/>
    <col min="3637" max="3842" width="11.42578125" style="551"/>
    <col min="3843" max="3843" width="12" style="551" customWidth="1"/>
    <col min="3844" max="3844" width="2.7109375" style="551" customWidth="1"/>
    <col min="3845" max="3846" width="6.5703125" style="551" customWidth="1"/>
    <col min="3847" max="3847" width="5.85546875" style="551" customWidth="1"/>
    <col min="3848" max="3848" width="6.5703125" style="551" customWidth="1"/>
    <col min="3849" max="3849" width="13.7109375" style="551" customWidth="1"/>
    <col min="3850" max="3851" width="9" style="551" customWidth="1"/>
    <col min="3852" max="3852" width="2.5703125" style="551" customWidth="1"/>
    <col min="3853" max="3853" width="8.85546875" style="551" customWidth="1"/>
    <col min="3854" max="3854" width="7.5703125" style="551" customWidth="1"/>
    <col min="3855" max="3857" width="3.7109375" style="551" customWidth="1"/>
    <col min="3858" max="3858" width="3.5703125" style="551" customWidth="1"/>
    <col min="3859" max="3859" width="2.85546875" style="551" customWidth="1"/>
    <col min="3860" max="3860" width="3" style="551" customWidth="1"/>
    <col min="3861" max="3863" width="0" style="551" hidden="1" customWidth="1"/>
    <col min="3864" max="3864" width="4.42578125" style="551" customWidth="1"/>
    <col min="3865" max="3865" width="0" style="551" hidden="1" customWidth="1"/>
    <col min="3866" max="3867" width="14.85546875" style="551" customWidth="1"/>
    <col min="3868" max="3868" width="15.140625" style="551" customWidth="1"/>
    <col min="3869" max="3869" width="6.42578125" style="551" customWidth="1"/>
    <col min="3870" max="3870" width="15.140625" style="551" customWidth="1"/>
    <col min="3871" max="3871" width="4.140625" style="551" customWidth="1"/>
    <col min="3872" max="3872" width="3" style="551" customWidth="1"/>
    <col min="3873" max="3875" width="0" style="551" hidden="1" customWidth="1"/>
    <col min="3876" max="3876" width="3" style="551" customWidth="1"/>
    <col min="3877" max="3877" width="0" style="551" hidden="1" customWidth="1"/>
    <col min="3878" max="3878" width="3" style="551" customWidth="1"/>
    <col min="3879" max="3879" width="0" style="551" hidden="1" customWidth="1"/>
    <col min="3880" max="3880" width="4.42578125" style="551" customWidth="1"/>
    <col min="3881" max="3881" width="34.28515625" style="551" customWidth="1"/>
    <col min="3882" max="3882" width="23.42578125" style="551" customWidth="1"/>
    <col min="3883" max="3883" width="9.140625" style="551" customWidth="1"/>
    <col min="3884" max="3884" width="19.5703125" style="551" customWidth="1"/>
    <col min="3885" max="3885" width="42.7109375" style="551" customWidth="1"/>
    <col min="3886" max="3886" width="5.85546875" style="551" customWidth="1"/>
    <col min="3887" max="3887" width="31.5703125" style="551" customWidth="1"/>
    <col min="3888" max="3888" width="16.140625" style="551" customWidth="1"/>
    <col min="3889" max="3890" width="9.28515625" style="551" customWidth="1"/>
    <col min="3891" max="3891" width="11.140625" style="551" customWidth="1"/>
    <col min="3892" max="3892" width="2.140625" style="551" customWidth="1"/>
    <col min="3893" max="4098" width="11.42578125" style="551"/>
    <col min="4099" max="4099" width="12" style="551" customWidth="1"/>
    <col min="4100" max="4100" width="2.7109375" style="551" customWidth="1"/>
    <col min="4101" max="4102" width="6.5703125" style="551" customWidth="1"/>
    <col min="4103" max="4103" width="5.85546875" style="551" customWidth="1"/>
    <col min="4104" max="4104" width="6.5703125" style="551" customWidth="1"/>
    <col min="4105" max="4105" width="13.7109375" style="551" customWidth="1"/>
    <col min="4106" max="4107" width="9" style="551" customWidth="1"/>
    <col min="4108" max="4108" width="2.5703125" style="551" customWidth="1"/>
    <col min="4109" max="4109" width="8.85546875" style="551" customWidth="1"/>
    <col min="4110" max="4110" width="7.5703125" style="551" customWidth="1"/>
    <col min="4111" max="4113" width="3.7109375" style="551" customWidth="1"/>
    <col min="4114" max="4114" width="3.5703125" style="551" customWidth="1"/>
    <col min="4115" max="4115" width="2.85546875" style="551" customWidth="1"/>
    <col min="4116" max="4116" width="3" style="551" customWidth="1"/>
    <col min="4117" max="4119" width="0" style="551" hidden="1" customWidth="1"/>
    <col min="4120" max="4120" width="4.42578125" style="551" customWidth="1"/>
    <col min="4121" max="4121" width="0" style="551" hidden="1" customWidth="1"/>
    <col min="4122" max="4123" width="14.85546875" style="551" customWidth="1"/>
    <col min="4124" max="4124" width="15.140625" style="551" customWidth="1"/>
    <col min="4125" max="4125" width="6.42578125" style="551" customWidth="1"/>
    <col min="4126" max="4126" width="15.140625" style="551" customWidth="1"/>
    <col min="4127" max="4127" width="4.140625" style="551" customWidth="1"/>
    <col min="4128" max="4128" width="3" style="551" customWidth="1"/>
    <col min="4129" max="4131" width="0" style="551" hidden="1" customWidth="1"/>
    <col min="4132" max="4132" width="3" style="551" customWidth="1"/>
    <col min="4133" max="4133" width="0" style="551" hidden="1" customWidth="1"/>
    <col min="4134" max="4134" width="3" style="551" customWidth="1"/>
    <col min="4135" max="4135" width="0" style="551" hidden="1" customWidth="1"/>
    <col min="4136" max="4136" width="4.42578125" style="551" customWidth="1"/>
    <col min="4137" max="4137" width="34.28515625" style="551" customWidth="1"/>
    <col min="4138" max="4138" width="23.42578125" style="551" customWidth="1"/>
    <col min="4139" max="4139" width="9.140625" style="551" customWidth="1"/>
    <col min="4140" max="4140" width="19.5703125" style="551" customWidth="1"/>
    <col min="4141" max="4141" width="42.7109375" style="551" customWidth="1"/>
    <col min="4142" max="4142" width="5.85546875" style="551" customWidth="1"/>
    <col min="4143" max="4143" width="31.5703125" style="551" customWidth="1"/>
    <col min="4144" max="4144" width="16.140625" style="551" customWidth="1"/>
    <col min="4145" max="4146" width="9.28515625" style="551" customWidth="1"/>
    <col min="4147" max="4147" width="11.140625" style="551" customWidth="1"/>
    <col min="4148" max="4148" width="2.140625" style="551" customWidth="1"/>
    <col min="4149" max="4354" width="11.42578125" style="551"/>
    <col min="4355" max="4355" width="12" style="551" customWidth="1"/>
    <col min="4356" max="4356" width="2.7109375" style="551" customWidth="1"/>
    <col min="4357" max="4358" width="6.5703125" style="551" customWidth="1"/>
    <col min="4359" max="4359" width="5.85546875" style="551" customWidth="1"/>
    <col min="4360" max="4360" width="6.5703125" style="551" customWidth="1"/>
    <col min="4361" max="4361" width="13.7109375" style="551" customWidth="1"/>
    <col min="4362" max="4363" width="9" style="551" customWidth="1"/>
    <col min="4364" max="4364" width="2.5703125" style="551" customWidth="1"/>
    <col min="4365" max="4365" width="8.85546875" style="551" customWidth="1"/>
    <col min="4366" max="4366" width="7.5703125" style="551" customWidth="1"/>
    <col min="4367" max="4369" width="3.7109375" style="551" customWidth="1"/>
    <col min="4370" max="4370" width="3.5703125" style="551" customWidth="1"/>
    <col min="4371" max="4371" width="2.85546875" style="551" customWidth="1"/>
    <col min="4372" max="4372" width="3" style="551" customWidth="1"/>
    <col min="4373" max="4375" width="0" style="551" hidden="1" customWidth="1"/>
    <col min="4376" max="4376" width="4.42578125" style="551" customWidth="1"/>
    <col min="4377" max="4377" width="0" style="551" hidden="1" customWidth="1"/>
    <col min="4378" max="4379" width="14.85546875" style="551" customWidth="1"/>
    <col min="4380" max="4380" width="15.140625" style="551" customWidth="1"/>
    <col min="4381" max="4381" width="6.42578125" style="551" customWidth="1"/>
    <col min="4382" max="4382" width="15.140625" style="551" customWidth="1"/>
    <col min="4383" max="4383" width="4.140625" style="551" customWidth="1"/>
    <col min="4384" max="4384" width="3" style="551" customWidth="1"/>
    <col min="4385" max="4387" width="0" style="551" hidden="1" customWidth="1"/>
    <col min="4388" max="4388" width="3" style="551" customWidth="1"/>
    <col min="4389" max="4389" width="0" style="551" hidden="1" customWidth="1"/>
    <col min="4390" max="4390" width="3" style="551" customWidth="1"/>
    <col min="4391" max="4391" width="0" style="551" hidden="1" customWidth="1"/>
    <col min="4392" max="4392" width="4.42578125" style="551" customWidth="1"/>
    <col min="4393" max="4393" width="34.28515625" style="551" customWidth="1"/>
    <col min="4394" max="4394" width="23.42578125" style="551" customWidth="1"/>
    <col min="4395" max="4395" width="9.140625" style="551" customWidth="1"/>
    <col min="4396" max="4396" width="19.5703125" style="551" customWidth="1"/>
    <col min="4397" max="4397" width="42.7109375" style="551" customWidth="1"/>
    <col min="4398" max="4398" width="5.85546875" style="551" customWidth="1"/>
    <col min="4399" max="4399" width="31.5703125" style="551" customWidth="1"/>
    <col min="4400" max="4400" width="16.140625" style="551" customWidth="1"/>
    <col min="4401" max="4402" width="9.28515625" style="551" customWidth="1"/>
    <col min="4403" max="4403" width="11.140625" style="551" customWidth="1"/>
    <col min="4404" max="4404" width="2.140625" style="551" customWidth="1"/>
    <col min="4405" max="4610" width="11.42578125" style="551"/>
    <col min="4611" max="4611" width="12" style="551" customWidth="1"/>
    <col min="4612" max="4612" width="2.7109375" style="551" customWidth="1"/>
    <col min="4613" max="4614" width="6.5703125" style="551" customWidth="1"/>
    <col min="4615" max="4615" width="5.85546875" style="551" customWidth="1"/>
    <col min="4616" max="4616" width="6.5703125" style="551" customWidth="1"/>
    <col min="4617" max="4617" width="13.7109375" style="551" customWidth="1"/>
    <col min="4618" max="4619" width="9" style="551" customWidth="1"/>
    <col min="4620" max="4620" width="2.5703125" style="551" customWidth="1"/>
    <col min="4621" max="4621" width="8.85546875" style="551" customWidth="1"/>
    <col min="4622" max="4622" width="7.5703125" style="551" customWidth="1"/>
    <col min="4623" max="4625" width="3.7109375" style="551" customWidth="1"/>
    <col min="4626" max="4626" width="3.5703125" style="551" customWidth="1"/>
    <col min="4627" max="4627" width="2.85546875" style="551" customWidth="1"/>
    <col min="4628" max="4628" width="3" style="551" customWidth="1"/>
    <col min="4629" max="4631" width="0" style="551" hidden="1" customWidth="1"/>
    <col min="4632" max="4632" width="4.42578125" style="551" customWidth="1"/>
    <col min="4633" max="4633" width="0" style="551" hidden="1" customWidth="1"/>
    <col min="4634" max="4635" width="14.85546875" style="551" customWidth="1"/>
    <col min="4636" max="4636" width="15.140625" style="551" customWidth="1"/>
    <col min="4637" max="4637" width="6.42578125" style="551" customWidth="1"/>
    <col min="4638" max="4638" width="15.140625" style="551" customWidth="1"/>
    <col min="4639" max="4639" width="4.140625" style="551" customWidth="1"/>
    <col min="4640" max="4640" width="3" style="551" customWidth="1"/>
    <col min="4641" max="4643" width="0" style="551" hidden="1" customWidth="1"/>
    <col min="4644" max="4644" width="3" style="551" customWidth="1"/>
    <col min="4645" max="4645" width="0" style="551" hidden="1" customWidth="1"/>
    <col min="4646" max="4646" width="3" style="551" customWidth="1"/>
    <col min="4647" max="4647" width="0" style="551" hidden="1" customWidth="1"/>
    <col min="4648" max="4648" width="4.42578125" style="551" customWidth="1"/>
    <col min="4649" max="4649" width="34.28515625" style="551" customWidth="1"/>
    <col min="4650" max="4650" width="23.42578125" style="551" customWidth="1"/>
    <col min="4651" max="4651" width="9.140625" style="551" customWidth="1"/>
    <col min="4652" max="4652" width="19.5703125" style="551" customWidth="1"/>
    <col min="4653" max="4653" width="42.7109375" style="551" customWidth="1"/>
    <col min="4654" max="4654" width="5.85546875" style="551" customWidth="1"/>
    <col min="4655" max="4655" width="31.5703125" style="551" customWidth="1"/>
    <col min="4656" max="4656" width="16.140625" style="551" customWidth="1"/>
    <col min="4657" max="4658" width="9.28515625" style="551" customWidth="1"/>
    <col min="4659" max="4659" width="11.140625" style="551" customWidth="1"/>
    <col min="4660" max="4660" width="2.140625" style="551" customWidth="1"/>
    <col min="4661" max="4866" width="11.42578125" style="551"/>
    <col min="4867" max="4867" width="12" style="551" customWidth="1"/>
    <col min="4868" max="4868" width="2.7109375" style="551" customWidth="1"/>
    <col min="4869" max="4870" width="6.5703125" style="551" customWidth="1"/>
    <col min="4871" max="4871" width="5.85546875" style="551" customWidth="1"/>
    <col min="4872" max="4872" width="6.5703125" style="551" customWidth="1"/>
    <col min="4873" max="4873" width="13.7109375" style="551" customWidth="1"/>
    <col min="4874" max="4875" width="9" style="551" customWidth="1"/>
    <col min="4876" max="4876" width="2.5703125" style="551" customWidth="1"/>
    <col min="4877" max="4877" width="8.85546875" style="551" customWidth="1"/>
    <col min="4878" max="4878" width="7.5703125" style="551" customWidth="1"/>
    <col min="4879" max="4881" width="3.7109375" style="551" customWidth="1"/>
    <col min="4882" max="4882" width="3.5703125" style="551" customWidth="1"/>
    <col min="4883" max="4883" width="2.85546875" style="551" customWidth="1"/>
    <col min="4884" max="4884" width="3" style="551" customWidth="1"/>
    <col min="4885" max="4887" width="0" style="551" hidden="1" customWidth="1"/>
    <col min="4888" max="4888" width="4.42578125" style="551" customWidth="1"/>
    <col min="4889" max="4889" width="0" style="551" hidden="1" customWidth="1"/>
    <col min="4890" max="4891" width="14.85546875" style="551" customWidth="1"/>
    <col min="4892" max="4892" width="15.140625" style="551" customWidth="1"/>
    <col min="4893" max="4893" width="6.42578125" style="551" customWidth="1"/>
    <col min="4894" max="4894" width="15.140625" style="551" customWidth="1"/>
    <col min="4895" max="4895" width="4.140625" style="551" customWidth="1"/>
    <col min="4896" max="4896" width="3" style="551" customWidth="1"/>
    <col min="4897" max="4899" width="0" style="551" hidden="1" customWidth="1"/>
    <col min="4900" max="4900" width="3" style="551" customWidth="1"/>
    <col min="4901" max="4901" width="0" style="551" hidden="1" customWidth="1"/>
    <col min="4902" max="4902" width="3" style="551" customWidth="1"/>
    <col min="4903" max="4903" width="0" style="551" hidden="1" customWidth="1"/>
    <col min="4904" max="4904" width="4.42578125" style="551" customWidth="1"/>
    <col min="4905" max="4905" width="34.28515625" style="551" customWidth="1"/>
    <col min="4906" max="4906" width="23.42578125" style="551" customWidth="1"/>
    <col min="4907" max="4907" width="9.140625" style="551" customWidth="1"/>
    <col min="4908" max="4908" width="19.5703125" style="551" customWidth="1"/>
    <col min="4909" max="4909" width="42.7109375" style="551" customWidth="1"/>
    <col min="4910" max="4910" width="5.85546875" style="551" customWidth="1"/>
    <col min="4911" max="4911" width="31.5703125" style="551" customWidth="1"/>
    <col min="4912" max="4912" width="16.140625" style="551" customWidth="1"/>
    <col min="4913" max="4914" width="9.28515625" style="551" customWidth="1"/>
    <col min="4915" max="4915" width="11.140625" style="551" customWidth="1"/>
    <col min="4916" max="4916" width="2.140625" style="551" customWidth="1"/>
    <col min="4917" max="5122" width="11.42578125" style="551"/>
    <col min="5123" max="5123" width="12" style="551" customWidth="1"/>
    <col min="5124" max="5124" width="2.7109375" style="551" customWidth="1"/>
    <col min="5125" max="5126" width="6.5703125" style="551" customWidth="1"/>
    <col min="5127" max="5127" width="5.85546875" style="551" customWidth="1"/>
    <col min="5128" max="5128" width="6.5703125" style="551" customWidth="1"/>
    <col min="5129" max="5129" width="13.7109375" style="551" customWidth="1"/>
    <col min="5130" max="5131" width="9" style="551" customWidth="1"/>
    <col min="5132" max="5132" width="2.5703125" style="551" customWidth="1"/>
    <col min="5133" max="5133" width="8.85546875" style="551" customWidth="1"/>
    <col min="5134" max="5134" width="7.5703125" style="551" customWidth="1"/>
    <col min="5135" max="5137" width="3.7109375" style="551" customWidth="1"/>
    <col min="5138" max="5138" width="3.5703125" style="551" customWidth="1"/>
    <col min="5139" max="5139" width="2.85546875" style="551" customWidth="1"/>
    <col min="5140" max="5140" width="3" style="551" customWidth="1"/>
    <col min="5141" max="5143" width="0" style="551" hidden="1" customWidth="1"/>
    <col min="5144" max="5144" width="4.42578125" style="551" customWidth="1"/>
    <col min="5145" max="5145" width="0" style="551" hidden="1" customWidth="1"/>
    <col min="5146" max="5147" width="14.85546875" style="551" customWidth="1"/>
    <col min="5148" max="5148" width="15.140625" style="551" customWidth="1"/>
    <col min="5149" max="5149" width="6.42578125" style="551" customWidth="1"/>
    <col min="5150" max="5150" width="15.140625" style="551" customWidth="1"/>
    <col min="5151" max="5151" width="4.140625" style="551" customWidth="1"/>
    <col min="5152" max="5152" width="3" style="551" customWidth="1"/>
    <col min="5153" max="5155" width="0" style="551" hidden="1" customWidth="1"/>
    <col min="5156" max="5156" width="3" style="551" customWidth="1"/>
    <col min="5157" max="5157" width="0" style="551" hidden="1" customWidth="1"/>
    <col min="5158" max="5158" width="3" style="551" customWidth="1"/>
    <col min="5159" max="5159" width="0" style="551" hidden="1" customWidth="1"/>
    <col min="5160" max="5160" width="4.42578125" style="551" customWidth="1"/>
    <col min="5161" max="5161" width="34.28515625" style="551" customWidth="1"/>
    <col min="5162" max="5162" width="23.42578125" style="551" customWidth="1"/>
    <col min="5163" max="5163" width="9.140625" style="551" customWidth="1"/>
    <col min="5164" max="5164" width="19.5703125" style="551" customWidth="1"/>
    <col min="5165" max="5165" width="42.7109375" style="551" customWidth="1"/>
    <col min="5166" max="5166" width="5.85546875" style="551" customWidth="1"/>
    <col min="5167" max="5167" width="31.5703125" style="551" customWidth="1"/>
    <col min="5168" max="5168" width="16.140625" style="551" customWidth="1"/>
    <col min="5169" max="5170" width="9.28515625" style="551" customWidth="1"/>
    <col min="5171" max="5171" width="11.140625" style="551" customWidth="1"/>
    <col min="5172" max="5172" width="2.140625" style="551" customWidth="1"/>
    <col min="5173" max="5378" width="11.42578125" style="551"/>
    <col min="5379" max="5379" width="12" style="551" customWidth="1"/>
    <col min="5380" max="5380" width="2.7109375" style="551" customWidth="1"/>
    <col min="5381" max="5382" width="6.5703125" style="551" customWidth="1"/>
    <col min="5383" max="5383" width="5.85546875" style="551" customWidth="1"/>
    <col min="5384" max="5384" width="6.5703125" style="551" customWidth="1"/>
    <col min="5385" max="5385" width="13.7109375" style="551" customWidth="1"/>
    <col min="5386" max="5387" width="9" style="551" customWidth="1"/>
    <col min="5388" max="5388" width="2.5703125" style="551" customWidth="1"/>
    <col min="5389" max="5389" width="8.85546875" style="551" customWidth="1"/>
    <col min="5390" max="5390" width="7.5703125" style="551" customWidth="1"/>
    <col min="5391" max="5393" width="3.7109375" style="551" customWidth="1"/>
    <col min="5394" max="5394" width="3.5703125" style="551" customWidth="1"/>
    <col min="5395" max="5395" width="2.85546875" style="551" customWidth="1"/>
    <col min="5396" max="5396" width="3" style="551" customWidth="1"/>
    <col min="5397" max="5399" width="0" style="551" hidden="1" customWidth="1"/>
    <col min="5400" max="5400" width="4.42578125" style="551" customWidth="1"/>
    <col min="5401" max="5401" width="0" style="551" hidden="1" customWidth="1"/>
    <col min="5402" max="5403" width="14.85546875" style="551" customWidth="1"/>
    <col min="5404" max="5404" width="15.140625" style="551" customWidth="1"/>
    <col min="5405" max="5405" width="6.42578125" style="551" customWidth="1"/>
    <col min="5406" max="5406" width="15.140625" style="551" customWidth="1"/>
    <col min="5407" max="5407" width="4.140625" style="551" customWidth="1"/>
    <col min="5408" max="5408" width="3" style="551" customWidth="1"/>
    <col min="5409" max="5411" width="0" style="551" hidden="1" customWidth="1"/>
    <col min="5412" max="5412" width="3" style="551" customWidth="1"/>
    <col min="5413" max="5413" width="0" style="551" hidden="1" customWidth="1"/>
    <col min="5414" max="5414" width="3" style="551" customWidth="1"/>
    <col min="5415" max="5415" width="0" style="551" hidden="1" customWidth="1"/>
    <col min="5416" max="5416" width="4.42578125" style="551" customWidth="1"/>
    <col min="5417" max="5417" width="34.28515625" style="551" customWidth="1"/>
    <col min="5418" max="5418" width="23.42578125" style="551" customWidth="1"/>
    <col min="5419" max="5419" width="9.140625" style="551" customWidth="1"/>
    <col min="5420" max="5420" width="19.5703125" style="551" customWidth="1"/>
    <col min="5421" max="5421" width="42.7109375" style="551" customWidth="1"/>
    <col min="5422" max="5422" width="5.85546875" style="551" customWidth="1"/>
    <col min="5423" max="5423" width="31.5703125" style="551" customWidth="1"/>
    <col min="5424" max="5424" width="16.140625" style="551" customWidth="1"/>
    <col min="5425" max="5426" width="9.28515625" style="551" customWidth="1"/>
    <col min="5427" max="5427" width="11.140625" style="551" customWidth="1"/>
    <col min="5428" max="5428" width="2.140625" style="551" customWidth="1"/>
    <col min="5429" max="5634" width="11.42578125" style="551"/>
    <col min="5635" max="5635" width="12" style="551" customWidth="1"/>
    <col min="5636" max="5636" width="2.7109375" style="551" customWidth="1"/>
    <col min="5637" max="5638" width="6.5703125" style="551" customWidth="1"/>
    <col min="5639" max="5639" width="5.85546875" style="551" customWidth="1"/>
    <col min="5640" max="5640" width="6.5703125" style="551" customWidth="1"/>
    <col min="5641" max="5641" width="13.7109375" style="551" customWidth="1"/>
    <col min="5642" max="5643" width="9" style="551" customWidth="1"/>
    <col min="5644" max="5644" width="2.5703125" style="551" customWidth="1"/>
    <col min="5645" max="5645" width="8.85546875" style="551" customWidth="1"/>
    <col min="5646" max="5646" width="7.5703125" style="551" customWidth="1"/>
    <col min="5647" max="5649" width="3.7109375" style="551" customWidth="1"/>
    <col min="5650" max="5650" width="3.5703125" style="551" customWidth="1"/>
    <col min="5651" max="5651" width="2.85546875" style="551" customWidth="1"/>
    <col min="5652" max="5652" width="3" style="551" customWidth="1"/>
    <col min="5653" max="5655" width="0" style="551" hidden="1" customWidth="1"/>
    <col min="5656" max="5656" width="4.42578125" style="551" customWidth="1"/>
    <col min="5657" max="5657" width="0" style="551" hidden="1" customWidth="1"/>
    <col min="5658" max="5659" width="14.85546875" style="551" customWidth="1"/>
    <col min="5660" max="5660" width="15.140625" style="551" customWidth="1"/>
    <col min="5661" max="5661" width="6.42578125" style="551" customWidth="1"/>
    <col min="5662" max="5662" width="15.140625" style="551" customWidth="1"/>
    <col min="5663" max="5663" width="4.140625" style="551" customWidth="1"/>
    <col min="5664" max="5664" width="3" style="551" customWidth="1"/>
    <col min="5665" max="5667" width="0" style="551" hidden="1" customWidth="1"/>
    <col min="5668" max="5668" width="3" style="551" customWidth="1"/>
    <col min="5669" max="5669" width="0" style="551" hidden="1" customWidth="1"/>
    <col min="5670" max="5670" width="3" style="551" customWidth="1"/>
    <col min="5671" max="5671" width="0" style="551" hidden="1" customWidth="1"/>
    <col min="5672" max="5672" width="4.42578125" style="551" customWidth="1"/>
    <col min="5673" max="5673" width="34.28515625" style="551" customWidth="1"/>
    <col min="5674" max="5674" width="23.42578125" style="551" customWidth="1"/>
    <col min="5675" max="5675" width="9.140625" style="551" customWidth="1"/>
    <col min="5676" max="5676" width="19.5703125" style="551" customWidth="1"/>
    <col min="5677" max="5677" width="42.7109375" style="551" customWidth="1"/>
    <col min="5678" max="5678" width="5.85546875" style="551" customWidth="1"/>
    <col min="5679" max="5679" width="31.5703125" style="551" customWidth="1"/>
    <col min="5680" max="5680" width="16.140625" style="551" customWidth="1"/>
    <col min="5681" max="5682" width="9.28515625" style="551" customWidth="1"/>
    <col min="5683" max="5683" width="11.140625" style="551" customWidth="1"/>
    <col min="5684" max="5684" width="2.140625" style="551" customWidth="1"/>
    <col min="5685" max="5890" width="11.42578125" style="551"/>
    <col min="5891" max="5891" width="12" style="551" customWidth="1"/>
    <col min="5892" max="5892" width="2.7109375" style="551" customWidth="1"/>
    <col min="5893" max="5894" width="6.5703125" style="551" customWidth="1"/>
    <col min="5895" max="5895" width="5.85546875" style="551" customWidth="1"/>
    <col min="5896" max="5896" width="6.5703125" style="551" customWidth="1"/>
    <col min="5897" max="5897" width="13.7109375" style="551" customWidth="1"/>
    <col min="5898" max="5899" width="9" style="551" customWidth="1"/>
    <col min="5900" max="5900" width="2.5703125" style="551" customWidth="1"/>
    <col min="5901" max="5901" width="8.85546875" style="551" customWidth="1"/>
    <col min="5902" max="5902" width="7.5703125" style="551" customWidth="1"/>
    <col min="5903" max="5905" width="3.7109375" style="551" customWidth="1"/>
    <col min="5906" max="5906" width="3.5703125" style="551" customWidth="1"/>
    <col min="5907" max="5907" width="2.85546875" style="551" customWidth="1"/>
    <col min="5908" max="5908" width="3" style="551" customWidth="1"/>
    <col min="5909" max="5911" width="0" style="551" hidden="1" customWidth="1"/>
    <col min="5912" max="5912" width="4.42578125" style="551" customWidth="1"/>
    <col min="5913" max="5913" width="0" style="551" hidden="1" customWidth="1"/>
    <col min="5914" max="5915" width="14.85546875" style="551" customWidth="1"/>
    <col min="5916" max="5916" width="15.140625" style="551" customWidth="1"/>
    <col min="5917" max="5917" width="6.42578125" style="551" customWidth="1"/>
    <col min="5918" max="5918" width="15.140625" style="551" customWidth="1"/>
    <col min="5919" max="5919" width="4.140625" style="551" customWidth="1"/>
    <col min="5920" max="5920" width="3" style="551" customWidth="1"/>
    <col min="5921" max="5923" width="0" style="551" hidden="1" customWidth="1"/>
    <col min="5924" max="5924" width="3" style="551" customWidth="1"/>
    <col min="5925" max="5925" width="0" style="551" hidden="1" customWidth="1"/>
    <col min="5926" max="5926" width="3" style="551" customWidth="1"/>
    <col min="5927" max="5927" width="0" style="551" hidden="1" customWidth="1"/>
    <col min="5928" max="5928" width="4.42578125" style="551" customWidth="1"/>
    <col min="5929" max="5929" width="34.28515625" style="551" customWidth="1"/>
    <col min="5930" max="5930" width="23.42578125" style="551" customWidth="1"/>
    <col min="5931" max="5931" width="9.140625" style="551" customWidth="1"/>
    <col min="5932" max="5932" width="19.5703125" style="551" customWidth="1"/>
    <col min="5933" max="5933" width="42.7109375" style="551" customWidth="1"/>
    <col min="5934" max="5934" width="5.85546875" style="551" customWidth="1"/>
    <col min="5935" max="5935" width="31.5703125" style="551" customWidth="1"/>
    <col min="5936" max="5936" width="16.140625" style="551" customWidth="1"/>
    <col min="5937" max="5938" width="9.28515625" style="551" customWidth="1"/>
    <col min="5939" max="5939" width="11.140625" style="551" customWidth="1"/>
    <col min="5940" max="5940" width="2.140625" style="551" customWidth="1"/>
    <col min="5941" max="6146" width="11.42578125" style="551"/>
    <col min="6147" max="6147" width="12" style="551" customWidth="1"/>
    <col min="6148" max="6148" width="2.7109375" style="551" customWidth="1"/>
    <col min="6149" max="6150" width="6.5703125" style="551" customWidth="1"/>
    <col min="6151" max="6151" width="5.85546875" style="551" customWidth="1"/>
    <col min="6152" max="6152" width="6.5703125" style="551" customWidth="1"/>
    <col min="6153" max="6153" width="13.7109375" style="551" customWidth="1"/>
    <col min="6154" max="6155" width="9" style="551" customWidth="1"/>
    <col min="6156" max="6156" width="2.5703125" style="551" customWidth="1"/>
    <col min="6157" max="6157" width="8.85546875" style="551" customWidth="1"/>
    <col min="6158" max="6158" width="7.5703125" style="551" customWidth="1"/>
    <col min="6159" max="6161" width="3.7109375" style="551" customWidth="1"/>
    <col min="6162" max="6162" width="3.5703125" style="551" customWidth="1"/>
    <col min="6163" max="6163" width="2.85546875" style="551" customWidth="1"/>
    <col min="6164" max="6164" width="3" style="551" customWidth="1"/>
    <col min="6165" max="6167" width="0" style="551" hidden="1" customWidth="1"/>
    <col min="6168" max="6168" width="4.42578125" style="551" customWidth="1"/>
    <col min="6169" max="6169" width="0" style="551" hidden="1" customWidth="1"/>
    <col min="6170" max="6171" width="14.85546875" style="551" customWidth="1"/>
    <col min="6172" max="6172" width="15.140625" style="551" customWidth="1"/>
    <col min="6173" max="6173" width="6.42578125" style="551" customWidth="1"/>
    <col min="6174" max="6174" width="15.140625" style="551" customWidth="1"/>
    <col min="6175" max="6175" width="4.140625" style="551" customWidth="1"/>
    <col min="6176" max="6176" width="3" style="551" customWidth="1"/>
    <col min="6177" max="6179" width="0" style="551" hidden="1" customWidth="1"/>
    <col min="6180" max="6180" width="3" style="551" customWidth="1"/>
    <col min="6181" max="6181" width="0" style="551" hidden="1" customWidth="1"/>
    <col min="6182" max="6182" width="3" style="551" customWidth="1"/>
    <col min="6183" max="6183" width="0" style="551" hidden="1" customWidth="1"/>
    <col min="6184" max="6184" width="4.42578125" style="551" customWidth="1"/>
    <col min="6185" max="6185" width="34.28515625" style="551" customWidth="1"/>
    <col min="6186" max="6186" width="23.42578125" style="551" customWidth="1"/>
    <col min="6187" max="6187" width="9.140625" style="551" customWidth="1"/>
    <col min="6188" max="6188" width="19.5703125" style="551" customWidth="1"/>
    <col min="6189" max="6189" width="42.7109375" style="551" customWidth="1"/>
    <col min="6190" max="6190" width="5.85546875" style="551" customWidth="1"/>
    <col min="6191" max="6191" width="31.5703125" style="551" customWidth="1"/>
    <col min="6192" max="6192" width="16.140625" style="551" customWidth="1"/>
    <col min="6193" max="6194" width="9.28515625" style="551" customWidth="1"/>
    <col min="6195" max="6195" width="11.140625" style="551" customWidth="1"/>
    <col min="6196" max="6196" width="2.140625" style="551" customWidth="1"/>
    <col min="6197" max="6402" width="11.42578125" style="551"/>
    <col min="6403" max="6403" width="12" style="551" customWidth="1"/>
    <col min="6404" max="6404" width="2.7109375" style="551" customWidth="1"/>
    <col min="6405" max="6406" width="6.5703125" style="551" customWidth="1"/>
    <col min="6407" max="6407" width="5.85546875" style="551" customWidth="1"/>
    <col min="6408" max="6408" width="6.5703125" style="551" customWidth="1"/>
    <col min="6409" max="6409" width="13.7109375" style="551" customWidth="1"/>
    <col min="6410" max="6411" width="9" style="551" customWidth="1"/>
    <col min="6412" max="6412" width="2.5703125" style="551" customWidth="1"/>
    <col min="6413" max="6413" width="8.85546875" style="551" customWidth="1"/>
    <col min="6414" max="6414" width="7.5703125" style="551" customWidth="1"/>
    <col min="6415" max="6417" width="3.7109375" style="551" customWidth="1"/>
    <col min="6418" max="6418" width="3.5703125" style="551" customWidth="1"/>
    <col min="6419" max="6419" width="2.85546875" style="551" customWidth="1"/>
    <col min="6420" max="6420" width="3" style="551" customWidth="1"/>
    <col min="6421" max="6423" width="0" style="551" hidden="1" customWidth="1"/>
    <col min="6424" max="6424" width="4.42578125" style="551" customWidth="1"/>
    <col min="6425" max="6425" width="0" style="551" hidden="1" customWidth="1"/>
    <col min="6426" max="6427" width="14.85546875" style="551" customWidth="1"/>
    <col min="6428" max="6428" width="15.140625" style="551" customWidth="1"/>
    <col min="6429" max="6429" width="6.42578125" style="551" customWidth="1"/>
    <col min="6430" max="6430" width="15.140625" style="551" customWidth="1"/>
    <col min="6431" max="6431" width="4.140625" style="551" customWidth="1"/>
    <col min="6432" max="6432" width="3" style="551" customWidth="1"/>
    <col min="6433" max="6435" width="0" style="551" hidden="1" customWidth="1"/>
    <col min="6436" max="6436" width="3" style="551" customWidth="1"/>
    <col min="6437" max="6437" width="0" style="551" hidden="1" customWidth="1"/>
    <col min="6438" max="6438" width="3" style="551" customWidth="1"/>
    <col min="6439" max="6439" width="0" style="551" hidden="1" customWidth="1"/>
    <col min="6440" max="6440" width="4.42578125" style="551" customWidth="1"/>
    <col min="6441" max="6441" width="34.28515625" style="551" customWidth="1"/>
    <col min="6442" max="6442" width="23.42578125" style="551" customWidth="1"/>
    <col min="6443" max="6443" width="9.140625" style="551" customWidth="1"/>
    <col min="6444" max="6444" width="19.5703125" style="551" customWidth="1"/>
    <col min="6445" max="6445" width="42.7109375" style="551" customWidth="1"/>
    <col min="6446" max="6446" width="5.85546875" style="551" customWidth="1"/>
    <col min="6447" max="6447" width="31.5703125" style="551" customWidth="1"/>
    <col min="6448" max="6448" width="16.140625" style="551" customWidth="1"/>
    <col min="6449" max="6450" width="9.28515625" style="551" customWidth="1"/>
    <col min="6451" max="6451" width="11.140625" style="551" customWidth="1"/>
    <col min="6452" max="6452" width="2.140625" style="551" customWidth="1"/>
    <col min="6453" max="6658" width="11.42578125" style="551"/>
    <col min="6659" max="6659" width="12" style="551" customWidth="1"/>
    <col min="6660" max="6660" width="2.7109375" style="551" customWidth="1"/>
    <col min="6661" max="6662" width="6.5703125" style="551" customWidth="1"/>
    <col min="6663" max="6663" width="5.85546875" style="551" customWidth="1"/>
    <col min="6664" max="6664" width="6.5703125" style="551" customWidth="1"/>
    <col min="6665" max="6665" width="13.7109375" style="551" customWidth="1"/>
    <col min="6666" max="6667" width="9" style="551" customWidth="1"/>
    <col min="6668" max="6668" width="2.5703125" style="551" customWidth="1"/>
    <col min="6669" max="6669" width="8.85546875" style="551" customWidth="1"/>
    <col min="6670" max="6670" width="7.5703125" style="551" customWidth="1"/>
    <col min="6671" max="6673" width="3.7109375" style="551" customWidth="1"/>
    <col min="6674" max="6674" width="3.5703125" style="551" customWidth="1"/>
    <col min="6675" max="6675" width="2.85546875" style="551" customWidth="1"/>
    <col min="6676" max="6676" width="3" style="551" customWidth="1"/>
    <col min="6677" max="6679" width="0" style="551" hidden="1" customWidth="1"/>
    <col min="6680" max="6680" width="4.42578125" style="551" customWidth="1"/>
    <col min="6681" max="6681" width="0" style="551" hidden="1" customWidth="1"/>
    <col min="6682" max="6683" width="14.85546875" style="551" customWidth="1"/>
    <col min="6684" max="6684" width="15.140625" style="551" customWidth="1"/>
    <col min="6685" max="6685" width="6.42578125" style="551" customWidth="1"/>
    <col min="6686" max="6686" width="15.140625" style="551" customWidth="1"/>
    <col min="6687" max="6687" width="4.140625" style="551" customWidth="1"/>
    <col min="6688" max="6688" width="3" style="551" customWidth="1"/>
    <col min="6689" max="6691" width="0" style="551" hidden="1" customWidth="1"/>
    <col min="6692" max="6692" width="3" style="551" customWidth="1"/>
    <col min="6693" max="6693" width="0" style="551" hidden="1" customWidth="1"/>
    <col min="6694" max="6694" width="3" style="551" customWidth="1"/>
    <col min="6695" max="6695" width="0" style="551" hidden="1" customWidth="1"/>
    <col min="6696" max="6696" width="4.42578125" style="551" customWidth="1"/>
    <col min="6697" max="6697" width="34.28515625" style="551" customWidth="1"/>
    <col min="6698" max="6698" width="23.42578125" style="551" customWidth="1"/>
    <col min="6699" max="6699" width="9.140625" style="551" customWidth="1"/>
    <col min="6700" max="6700" width="19.5703125" style="551" customWidth="1"/>
    <col min="6701" max="6701" width="42.7109375" style="551" customWidth="1"/>
    <col min="6702" max="6702" width="5.85546875" style="551" customWidth="1"/>
    <col min="6703" max="6703" width="31.5703125" style="551" customWidth="1"/>
    <col min="6704" max="6704" width="16.140625" style="551" customWidth="1"/>
    <col min="6705" max="6706" width="9.28515625" style="551" customWidth="1"/>
    <col min="6707" max="6707" width="11.140625" style="551" customWidth="1"/>
    <col min="6708" max="6708" width="2.140625" style="551" customWidth="1"/>
    <col min="6709" max="6914" width="11.42578125" style="551"/>
    <col min="6915" max="6915" width="12" style="551" customWidth="1"/>
    <col min="6916" max="6916" width="2.7109375" style="551" customWidth="1"/>
    <col min="6917" max="6918" width="6.5703125" style="551" customWidth="1"/>
    <col min="6919" max="6919" width="5.85546875" style="551" customWidth="1"/>
    <col min="6920" max="6920" width="6.5703125" style="551" customWidth="1"/>
    <col min="6921" max="6921" width="13.7109375" style="551" customWidth="1"/>
    <col min="6922" max="6923" width="9" style="551" customWidth="1"/>
    <col min="6924" max="6924" width="2.5703125" style="551" customWidth="1"/>
    <col min="6925" max="6925" width="8.85546875" style="551" customWidth="1"/>
    <col min="6926" max="6926" width="7.5703125" style="551" customWidth="1"/>
    <col min="6927" max="6929" width="3.7109375" style="551" customWidth="1"/>
    <col min="6930" max="6930" width="3.5703125" style="551" customWidth="1"/>
    <col min="6931" max="6931" width="2.85546875" style="551" customWidth="1"/>
    <col min="6932" max="6932" width="3" style="551" customWidth="1"/>
    <col min="6933" max="6935" width="0" style="551" hidden="1" customWidth="1"/>
    <col min="6936" max="6936" width="4.42578125" style="551" customWidth="1"/>
    <col min="6937" max="6937" width="0" style="551" hidden="1" customWidth="1"/>
    <col min="6938" max="6939" width="14.85546875" style="551" customWidth="1"/>
    <col min="6940" max="6940" width="15.140625" style="551" customWidth="1"/>
    <col min="6941" max="6941" width="6.42578125" style="551" customWidth="1"/>
    <col min="6942" max="6942" width="15.140625" style="551" customWidth="1"/>
    <col min="6943" max="6943" width="4.140625" style="551" customWidth="1"/>
    <col min="6944" max="6944" width="3" style="551" customWidth="1"/>
    <col min="6945" max="6947" width="0" style="551" hidden="1" customWidth="1"/>
    <col min="6948" max="6948" width="3" style="551" customWidth="1"/>
    <col min="6949" max="6949" width="0" style="551" hidden="1" customWidth="1"/>
    <col min="6950" max="6950" width="3" style="551" customWidth="1"/>
    <col min="6951" max="6951" width="0" style="551" hidden="1" customWidth="1"/>
    <col min="6952" max="6952" width="4.42578125" style="551" customWidth="1"/>
    <col min="6953" max="6953" width="34.28515625" style="551" customWidth="1"/>
    <col min="6954" max="6954" width="23.42578125" style="551" customWidth="1"/>
    <col min="6955" max="6955" width="9.140625" style="551" customWidth="1"/>
    <col min="6956" max="6956" width="19.5703125" style="551" customWidth="1"/>
    <col min="6957" max="6957" width="42.7109375" style="551" customWidth="1"/>
    <col min="6958" max="6958" width="5.85546875" style="551" customWidth="1"/>
    <col min="6959" max="6959" width="31.5703125" style="551" customWidth="1"/>
    <col min="6960" max="6960" width="16.140625" style="551" customWidth="1"/>
    <col min="6961" max="6962" width="9.28515625" style="551" customWidth="1"/>
    <col min="6963" max="6963" width="11.140625" style="551" customWidth="1"/>
    <col min="6964" max="6964" width="2.140625" style="551" customWidth="1"/>
    <col min="6965" max="7170" width="11.42578125" style="551"/>
    <col min="7171" max="7171" width="12" style="551" customWidth="1"/>
    <col min="7172" max="7172" width="2.7109375" style="551" customWidth="1"/>
    <col min="7173" max="7174" width="6.5703125" style="551" customWidth="1"/>
    <col min="7175" max="7175" width="5.85546875" style="551" customWidth="1"/>
    <col min="7176" max="7176" width="6.5703125" style="551" customWidth="1"/>
    <col min="7177" max="7177" width="13.7109375" style="551" customWidth="1"/>
    <col min="7178" max="7179" width="9" style="551" customWidth="1"/>
    <col min="7180" max="7180" width="2.5703125" style="551" customWidth="1"/>
    <col min="7181" max="7181" width="8.85546875" style="551" customWidth="1"/>
    <col min="7182" max="7182" width="7.5703125" style="551" customWidth="1"/>
    <col min="7183" max="7185" width="3.7109375" style="551" customWidth="1"/>
    <col min="7186" max="7186" width="3.5703125" style="551" customWidth="1"/>
    <col min="7187" max="7187" width="2.85546875" style="551" customWidth="1"/>
    <col min="7188" max="7188" width="3" style="551" customWidth="1"/>
    <col min="7189" max="7191" width="0" style="551" hidden="1" customWidth="1"/>
    <col min="7192" max="7192" width="4.42578125" style="551" customWidth="1"/>
    <col min="7193" max="7193" width="0" style="551" hidden="1" customWidth="1"/>
    <col min="7194" max="7195" width="14.85546875" style="551" customWidth="1"/>
    <col min="7196" max="7196" width="15.140625" style="551" customWidth="1"/>
    <col min="7197" max="7197" width="6.42578125" style="551" customWidth="1"/>
    <col min="7198" max="7198" width="15.140625" style="551" customWidth="1"/>
    <col min="7199" max="7199" width="4.140625" style="551" customWidth="1"/>
    <col min="7200" max="7200" width="3" style="551" customWidth="1"/>
    <col min="7201" max="7203" width="0" style="551" hidden="1" customWidth="1"/>
    <col min="7204" max="7204" width="3" style="551" customWidth="1"/>
    <col min="7205" max="7205" width="0" style="551" hidden="1" customWidth="1"/>
    <col min="7206" max="7206" width="3" style="551" customWidth="1"/>
    <col min="7207" max="7207" width="0" style="551" hidden="1" customWidth="1"/>
    <col min="7208" max="7208" width="4.42578125" style="551" customWidth="1"/>
    <col min="7209" max="7209" width="34.28515625" style="551" customWidth="1"/>
    <col min="7210" max="7210" width="23.42578125" style="551" customWidth="1"/>
    <col min="7211" max="7211" width="9.140625" style="551" customWidth="1"/>
    <col min="7212" max="7212" width="19.5703125" style="551" customWidth="1"/>
    <col min="7213" max="7213" width="42.7109375" style="551" customWidth="1"/>
    <col min="7214" max="7214" width="5.85546875" style="551" customWidth="1"/>
    <col min="7215" max="7215" width="31.5703125" style="551" customWidth="1"/>
    <col min="7216" max="7216" width="16.140625" style="551" customWidth="1"/>
    <col min="7217" max="7218" width="9.28515625" style="551" customWidth="1"/>
    <col min="7219" max="7219" width="11.140625" style="551" customWidth="1"/>
    <col min="7220" max="7220" width="2.140625" style="551" customWidth="1"/>
    <col min="7221" max="7426" width="11.42578125" style="551"/>
    <col min="7427" max="7427" width="12" style="551" customWidth="1"/>
    <col min="7428" max="7428" width="2.7109375" style="551" customWidth="1"/>
    <col min="7429" max="7430" width="6.5703125" style="551" customWidth="1"/>
    <col min="7431" max="7431" width="5.85546875" style="551" customWidth="1"/>
    <col min="7432" max="7432" width="6.5703125" style="551" customWidth="1"/>
    <col min="7433" max="7433" width="13.7109375" style="551" customWidth="1"/>
    <col min="7434" max="7435" width="9" style="551" customWidth="1"/>
    <col min="7436" max="7436" width="2.5703125" style="551" customWidth="1"/>
    <col min="7437" max="7437" width="8.85546875" style="551" customWidth="1"/>
    <col min="7438" max="7438" width="7.5703125" style="551" customWidth="1"/>
    <col min="7439" max="7441" width="3.7109375" style="551" customWidth="1"/>
    <col min="7442" max="7442" width="3.5703125" style="551" customWidth="1"/>
    <col min="7443" max="7443" width="2.85546875" style="551" customWidth="1"/>
    <col min="7444" max="7444" width="3" style="551" customWidth="1"/>
    <col min="7445" max="7447" width="0" style="551" hidden="1" customWidth="1"/>
    <col min="7448" max="7448" width="4.42578125" style="551" customWidth="1"/>
    <col min="7449" max="7449" width="0" style="551" hidden="1" customWidth="1"/>
    <col min="7450" max="7451" width="14.85546875" style="551" customWidth="1"/>
    <col min="7452" max="7452" width="15.140625" style="551" customWidth="1"/>
    <col min="7453" max="7453" width="6.42578125" style="551" customWidth="1"/>
    <col min="7454" max="7454" width="15.140625" style="551" customWidth="1"/>
    <col min="7455" max="7455" width="4.140625" style="551" customWidth="1"/>
    <col min="7456" max="7456" width="3" style="551" customWidth="1"/>
    <col min="7457" max="7459" width="0" style="551" hidden="1" customWidth="1"/>
    <col min="7460" max="7460" width="3" style="551" customWidth="1"/>
    <col min="7461" max="7461" width="0" style="551" hidden="1" customWidth="1"/>
    <col min="7462" max="7462" width="3" style="551" customWidth="1"/>
    <col min="7463" max="7463" width="0" style="551" hidden="1" customWidth="1"/>
    <col min="7464" max="7464" width="4.42578125" style="551" customWidth="1"/>
    <col min="7465" max="7465" width="34.28515625" style="551" customWidth="1"/>
    <col min="7466" max="7466" width="23.42578125" style="551" customWidth="1"/>
    <col min="7467" max="7467" width="9.140625" style="551" customWidth="1"/>
    <col min="7468" max="7468" width="19.5703125" style="551" customWidth="1"/>
    <col min="7469" max="7469" width="42.7109375" style="551" customWidth="1"/>
    <col min="7470" max="7470" width="5.85546875" style="551" customWidth="1"/>
    <col min="7471" max="7471" width="31.5703125" style="551" customWidth="1"/>
    <col min="7472" max="7472" width="16.140625" style="551" customWidth="1"/>
    <col min="7473" max="7474" width="9.28515625" style="551" customWidth="1"/>
    <col min="7475" max="7475" width="11.140625" style="551" customWidth="1"/>
    <col min="7476" max="7476" width="2.140625" style="551" customWidth="1"/>
    <col min="7477" max="7682" width="11.42578125" style="551"/>
    <col min="7683" max="7683" width="12" style="551" customWidth="1"/>
    <col min="7684" max="7684" width="2.7109375" style="551" customWidth="1"/>
    <col min="7685" max="7686" width="6.5703125" style="551" customWidth="1"/>
    <col min="7687" max="7687" width="5.85546875" style="551" customWidth="1"/>
    <col min="7688" max="7688" width="6.5703125" style="551" customWidth="1"/>
    <col min="7689" max="7689" width="13.7109375" style="551" customWidth="1"/>
    <col min="7690" max="7691" width="9" style="551" customWidth="1"/>
    <col min="7692" max="7692" width="2.5703125" style="551" customWidth="1"/>
    <col min="7693" max="7693" width="8.85546875" style="551" customWidth="1"/>
    <col min="7694" max="7694" width="7.5703125" style="551" customWidth="1"/>
    <col min="7695" max="7697" width="3.7109375" style="551" customWidth="1"/>
    <col min="7698" max="7698" width="3.5703125" style="551" customWidth="1"/>
    <col min="7699" max="7699" width="2.85546875" style="551" customWidth="1"/>
    <col min="7700" max="7700" width="3" style="551" customWidth="1"/>
    <col min="7701" max="7703" width="0" style="551" hidden="1" customWidth="1"/>
    <col min="7704" max="7704" width="4.42578125" style="551" customWidth="1"/>
    <col min="7705" max="7705" width="0" style="551" hidden="1" customWidth="1"/>
    <col min="7706" max="7707" width="14.85546875" style="551" customWidth="1"/>
    <col min="7708" max="7708" width="15.140625" style="551" customWidth="1"/>
    <col min="7709" max="7709" width="6.42578125" style="551" customWidth="1"/>
    <col min="7710" max="7710" width="15.140625" style="551" customWidth="1"/>
    <col min="7711" max="7711" width="4.140625" style="551" customWidth="1"/>
    <col min="7712" max="7712" width="3" style="551" customWidth="1"/>
    <col min="7713" max="7715" width="0" style="551" hidden="1" customWidth="1"/>
    <col min="7716" max="7716" width="3" style="551" customWidth="1"/>
    <col min="7717" max="7717" width="0" style="551" hidden="1" customWidth="1"/>
    <col min="7718" max="7718" width="3" style="551" customWidth="1"/>
    <col min="7719" max="7719" width="0" style="551" hidden="1" customWidth="1"/>
    <col min="7720" max="7720" width="4.42578125" style="551" customWidth="1"/>
    <col min="7721" max="7721" width="34.28515625" style="551" customWidth="1"/>
    <col min="7722" max="7722" width="23.42578125" style="551" customWidth="1"/>
    <col min="7723" max="7723" width="9.140625" style="551" customWidth="1"/>
    <col min="7724" max="7724" width="19.5703125" style="551" customWidth="1"/>
    <col min="7725" max="7725" width="42.7109375" style="551" customWidth="1"/>
    <col min="7726" max="7726" width="5.85546875" style="551" customWidth="1"/>
    <col min="7727" max="7727" width="31.5703125" style="551" customWidth="1"/>
    <col min="7728" max="7728" width="16.140625" style="551" customWidth="1"/>
    <col min="7729" max="7730" width="9.28515625" style="551" customWidth="1"/>
    <col min="7731" max="7731" width="11.140625" style="551" customWidth="1"/>
    <col min="7732" max="7732" width="2.140625" style="551" customWidth="1"/>
    <col min="7733" max="7938" width="11.42578125" style="551"/>
    <col min="7939" max="7939" width="12" style="551" customWidth="1"/>
    <col min="7940" max="7940" width="2.7109375" style="551" customWidth="1"/>
    <col min="7941" max="7942" width="6.5703125" style="551" customWidth="1"/>
    <col min="7943" max="7943" width="5.85546875" style="551" customWidth="1"/>
    <col min="7944" max="7944" width="6.5703125" style="551" customWidth="1"/>
    <col min="7945" max="7945" width="13.7109375" style="551" customWidth="1"/>
    <col min="7946" max="7947" width="9" style="551" customWidth="1"/>
    <col min="7948" max="7948" width="2.5703125" style="551" customWidth="1"/>
    <col min="7949" max="7949" width="8.85546875" style="551" customWidth="1"/>
    <col min="7950" max="7950" width="7.5703125" style="551" customWidth="1"/>
    <col min="7951" max="7953" width="3.7109375" style="551" customWidth="1"/>
    <col min="7954" max="7954" width="3.5703125" style="551" customWidth="1"/>
    <col min="7955" max="7955" width="2.85546875" style="551" customWidth="1"/>
    <col min="7956" max="7956" width="3" style="551" customWidth="1"/>
    <col min="7957" max="7959" width="0" style="551" hidden="1" customWidth="1"/>
    <col min="7960" max="7960" width="4.42578125" style="551" customWidth="1"/>
    <col min="7961" max="7961" width="0" style="551" hidden="1" customWidth="1"/>
    <col min="7962" max="7963" width="14.85546875" style="551" customWidth="1"/>
    <col min="7964" max="7964" width="15.140625" style="551" customWidth="1"/>
    <col min="7965" max="7965" width="6.42578125" style="551" customWidth="1"/>
    <col min="7966" max="7966" width="15.140625" style="551" customWidth="1"/>
    <col min="7967" max="7967" width="4.140625" style="551" customWidth="1"/>
    <col min="7968" max="7968" width="3" style="551" customWidth="1"/>
    <col min="7969" max="7971" width="0" style="551" hidden="1" customWidth="1"/>
    <col min="7972" max="7972" width="3" style="551" customWidth="1"/>
    <col min="7973" max="7973" width="0" style="551" hidden="1" customWidth="1"/>
    <col min="7974" max="7974" width="3" style="551" customWidth="1"/>
    <col min="7975" max="7975" width="0" style="551" hidden="1" customWidth="1"/>
    <col min="7976" max="7976" width="4.42578125" style="551" customWidth="1"/>
    <col min="7977" max="7977" width="34.28515625" style="551" customWidth="1"/>
    <col min="7978" max="7978" width="23.42578125" style="551" customWidth="1"/>
    <col min="7979" max="7979" width="9.140625" style="551" customWidth="1"/>
    <col min="7980" max="7980" width="19.5703125" style="551" customWidth="1"/>
    <col min="7981" max="7981" width="42.7109375" style="551" customWidth="1"/>
    <col min="7982" max="7982" width="5.85546875" style="551" customWidth="1"/>
    <col min="7983" max="7983" width="31.5703125" style="551" customWidth="1"/>
    <col min="7984" max="7984" width="16.140625" style="551" customWidth="1"/>
    <col min="7985" max="7986" width="9.28515625" style="551" customWidth="1"/>
    <col min="7987" max="7987" width="11.140625" style="551" customWidth="1"/>
    <col min="7988" max="7988" width="2.140625" style="551" customWidth="1"/>
    <col min="7989" max="8194" width="11.42578125" style="551"/>
    <col min="8195" max="8195" width="12" style="551" customWidth="1"/>
    <col min="8196" max="8196" width="2.7109375" style="551" customWidth="1"/>
    <col min="8197" max="8198" width="6.5703125" style="551" customWidth="1"/>
    <col min="8199" max="8199" width="5.85546875" style="551" customWidth="1"/>
    <col min="8200" max="8200" width="6.5703125" style="551" customWidth="1"/>
    <col min="8201" max="8201" width="13.7109375" style="551" customWidth="1"/>
    <col min="8202" max="8203" width="9" style="551" customWidth="1"/>
    <col min="8204" max="8204" width="2.5703125" style="551" customWidth="1"/>
    <col min="8205" max="8205" width="8.85546875" style="551" customWidth="1"/>
    <col min="8206" max="8206" width="7.5703125" style="551" customWidth="1"/>
    <col min="8207" max="8209" width="3.7109375" style="551" customWidth="1"/>
    <col min="8210" max="8210" width="3.5703125" style="551" customWidth="1"/>
    <col min="8211" max="8211" width="2.85546875" style="551" customWidth="1"/>
    <col min="8212" max="8212" width="3" style="551" customWidth="1"/>
    <col min="8213" max="8215" width="0" style="551" hidden="1" customWidth="1"/>
    <col min="8216" max="8216" width="4.42578125" style="551" customWidth="1"/>
    <col min="8217" max="8217" width="0" style="551" hidden="1" customWidth="1"/>
    <col min="8218" max="8219" width="14.85546875" style="551" customWidth="1"/>
    <col min="8220" max="8220" width="15.140625" style="551" customWidth="1"/>
    <col min="8221" max="8221" width="6.42578125" style="551" customWidth="1"/>
    <col min="8222" max="8222" width="15.140625" style="551" customWidth="1"/>
    <col min="8223" max="8223" width="4.140625" style="551" customWidth="1"/>
    <col min="8224" max="8224" width="3" style="551" customWidth="1"/>
    <col min="8225" max="8227" width="0" style="551" hidden="1" customWidth="1"/>
    <col min="8228" max="8228" width="3" style="551" customWidth="1"/>
    <col min="8229" max="8229" width="0" style="551" hidden="1" customWidth="1"/>
    <col min="8230" max="8230" width="3" style="551" customWidth="1"/>
    <col min="8231" max="8231" width="0" style="551" hidden="1" customWidth="1"/>
    <col min="8232" max="8232" width="4.42578125" style="551" customWidth="1"/>
    <col min="8233" max="8233" width="34.28515625" style="551" customWidth="1"/>
    <col min="8234" max="8234" width="23.42578125" style="551" customWidth="1"/>
    <col min="8235" max="8235" width="9.140625" style="551" customWidth="1"/>
    <col min="8236" max="8236" width="19.5703125" style="551" customWidth="1"/>
    <col min="8237" max="8237" width="42.7109375" style="551" customWidth="1"/>
    <col min="8238" max="8238" width="5.85546875" style="551" customWidth="1"/>
    <col min="8239" max="8239" width="31.5703125" style="551" customWidth="1"/>
    <col min="8240" max="8240" width="16.140625" style="551" customWidth="1"/>
    <col min="8241" max="8242" width="9.28515625" style="551" customWidth="1"/>
    <col min="8243" max="8243" width="11.140625" style="551" customWidth="1"/>
    <col min="8244" max="8244" width="2.140625" style="551" customWidth="1"/>
    <col min="8245" max="8450" width="11.42578125" style="551"/>
    <col min="8451" max="8451" width="12" style="551" customWidth="1"/>
    <col min="8452" max="8452" width="2.7109375" style="551" customWidth="1"/>
    <col min="8453" max="8454" width="6.5703125" style="551" customWidth="1"/>
    <col min="8455" max="8455" width="5.85546875" style="551" customWidth="1"/>
    <col min="8456" max="8456" width="6.5703125" style="551" customWidth="1"/>
    <col min="8457" max="8457" width="13.7109375" style="551" customWidth="1"/>
    <col min="8458" max="8459" width="9" style="551" customWidth="1"/>
    <col min="8460" max="8460" width="2.5703125" style="551" customWidth="1"/>
    <col min="8461" max="8461" width="8.85546875" style="551" customWidth="1"/>
    <col min="8462" max="8462" width="7.5703125" style="551" customWidth="1"/>
    <col min="8463" max="8465" width="3.7109375" style="551" customWidth="1"/>
    <col min="8466" max="8466" width="3.5703125" style="551" customWidth="1"/>
    <col min="8467" max="8467" width="2.85546875" style="551" customWidth="1"/>
    <col min="8468" max="8468" width="3" style="551" customWidth="1"/>
    <col min="8469" max="8471" width="0" style="551" hidden="1" customWidth="1"/>
    <col min="8472" max="8472" width="4.42578125" style="551" customWidth="1"/>
    <col min="8473" max="8473" width="0" style="551" hidden="1" customWidth="1"/>
    <col min="8474" max="8475" width="14.85546875" style="551" customWidth="1"/>
    <col min="8476" max="8476" width="15.140625" style="551" customWidth="1"/>
    <col min="8477" max="8477" width="6.42578125" style="551" customWidth="1"/>
    <col min="8478" max="8478" width="15.140625" style="551" customWidth="1"/>
    <col min="8479" max="8479" width="4.140625" style="551" customWidth="1"/>
    <col min="8480" max="8480" width="3" style="551" customWidth="1"/>
    <col min="8481" max="8483" width="0" style="551" hidden="1" customWidth="1"/>
    <col min="8484" max="8484" width="3" style="551" customWidth="1"/>
    <col min="8485" max="8485" width="0" style="551" hidden="1" customWidth="1"/>
    <col min="8486" max="8486" width="3" style="551" customWidth="1"/>
    <col min="8487" max="8487" width="0" style="551" hidden="1" customWidth="1"/>
    <col min="8488" max="8488" width="4.42578125" style="551" customWidth="1"/>
    <col min="8489" max="8489" width="34.28515625" style="551" customWidth="1"/>
    <col min="8490" max="8490" width="23.42578125" style="551" customWidth="1"/>
    <col min="8491" max="8491" width="9.140625" style="551" customWidth="1"/>
    <col min="8492" max="8492" width="19.5703125" style="551" customWidth="1"/>
    <col min="8493" max="8493" width="42.7109375" style="551" customWidth="1"/>
    <col min="8494" max="8494" width="5.85546875" style="551" customWidth="1"/>
    <col min="8495" max="8495" width="31.5703125" style="551" customWidth="1"/>
    <col min="8496" max="8496" width="16.140625" style="551" customWidth="1"/>
    <col min="8497" max="8498" width="9.28515625" style="551" customWidth="1"/>
    <col min="8499" max="8499" width="11.140625" style="551" customWidth="1"/>
    <col min="8500" max="8500" width="2.140625" style="551" customWidth="1"/>
    <col min="8501" max="8706" width="11.42578125" style="551"/>
    <col min="8707" max="8707" width="12" style="551" customWidth="1"/>
    <col min="8708" max="8708" width="2.7109375" style="551" customWidth="1"/>
    <col min="8709" max="8710" width="6.5703125" style="551" customWidth="1"/>
    <col min="8711" max="8711" width="5.85546875" style="551" customWidth="1"/>
    <col min="8712" max="8712" width="6.5703125" style="551" customWidth="1"/>
    <col min="8713" max="8713" width="13.7109375" style="551" customWidth="1"/>
    <col min="8714" max="8715" width="9" style="551" customWidth="1"/>
    <col min="8716" max="8716" width="2.5703125" style="551" customWidth="1"/>
    <col min="8717" max="8717" width="8.85546875" style="551" customWidth="1"/>
    <col min="8718" max="8718" width="7.5703125" style="551" customWidth="1"/>
    <col min="8719" max="8721" width="3.7109375" style="551" customWidth="1"/>
    <col min="8722" max="8722" width="3.5703125" style="551" customWidth="1"/>
    <col min="8723" max="8723" width="2.85546875" style="551" customWidth="1"/>
    <col min="8724" max="8724" width="3" style="551" customWidth="1"/>
    <col min="8725" max="8727" width="0" style="551" hidden="1" customWidth="1"/>
    <col min="8728" max="8728" width="4.42578125" style="551" customWidth="1"/>
    <col min="8729" max="8729" width="0" style="551" hidden="1" customWidth="1"/>
    <col min="8730" max="8731" width="14.85546875" style="551" customWidth="1"/>
    <col min="8732" max="8732" width="15.140625" style="551" customWidth="1"/>
    <col min="8733" max="8733" width="6.42578125" style="551" customWidth="1"/>
    <col min="8734" max="8734" width="15.140625" style="551" customWidth="1"/>
    <col min="8735" max="8735" width="4.140625" style="551" customWidth="1"/>
    <col min="8736" max="8736" width="3" style="551" customWidth="1"/>
    <col min="8737" max="8739" width="0" style="551" hidden="1" customWidth="1"/>
    <col min="8740" max="8740" width="3" style="551" customWidth="1"/>
    <col min="8741" max="8741" width="0" style="551" hidden="1" customWidth="1"/>
    <col min="8742" max="8742" width="3" style="551" customWidth="1"/>
    <col min="8743" max="8743" width="0" style="551" hidden="1" customWidth="1"/>
    <col min="8744" max="8744" width="4.42578125" style="551" customWidth="1"/>
    <col min="8745" max="8745" width="34.28515625" style="551" customWidth="1"/>
    <col min="8746" max="8746" width="23.42578125" style="551" customWidth="1"/>
    <col min="8747" max="8747" width="9.140625" style="551" customWidth="1"/>
    <col min="8748" max="8748" width="19.5703125" style="551" customWidth="1"/>
    <col min="8749" max="8749" width="42.7109375" style="551" customWidth="1"/>
    <col min="8750" max="8750" width="5.85546875" style="551" customWidth="1"/>
    <col min="8751" max="8751" width="31.5703125" style="551" customWidth="1"/>
    <col min="8752" max="8752" width="16.140625" style="551" customWidth="1"/>
    <col min="8753" max="8754" width="9.28515625" style="551" customWidth="1"/>
    <col min="8755" max="8755" width="11.140625" style="551" customWidth="1"/>
    <col min="8756" max="8756" width="2.140625" style="551" customWidth="1"/>
    <col min="8757" max="8962" width="11.42578125" style="551"/>
    <col min="8963" max="8963" width="12" style="551" customWidth="1"/>
    <col min="8964" max="8964" width="2.7109375" style="551" customWidth="1"/>
    <col min="8965" max="8966" width="6.5703125" style="551" customWidth="1"/>
    <col min="8967" max="8967" width="5.85546875" style="551" customWidth="1"/>
    <col min="8968" max="8968" width="6.5703125" style="551" customWidth="1"/>
    <col min="8969" max="8969" width="13.7109375" style="551" customWidth="1"/>
    <col min="8970" max="8971" width="9" style="551" customWidth="1"/>
    <col min="8972" max="8972" width="2.5703125" style="551" customWidth="1"/>
    <col min="8973" max="8973" width="8.85546875" style="551" customWidth="1"/>
    <col min="8974" max="8974" width="7.5703125" style="551" customWidth="1"/>
    <col min="8975" max="8977" width="3.7109375" style="551" customWidth="1"/>
    <col min="8978" max="8978" width="3.5703125" style="551" customWidth="1"/>
    <col min="8979" max="8979" width="2.85546875" style="551" customWidth="1"/>
    <col min="8980" max="8980" width="3" style="551" customWidth="1"/>
    <col min="8981" max="8983" width="0" style="551" hidden="1" customWidth="1"/>
    <col min="8984" max="8984" width="4.42578125" style="551" customWidth="1"/>
    <col min="8985" max="8985" width="0" style="551" hidden="1" customWidth="1"/>
    <col min="8986" max="8987" width="14.85546875" style="551" customWidth="1"/>
    <col min="8988" max="8988" width="15.140625" style="551" customWidth="1"/>
    <col min="8989" max="8989" width="6.42578125" style="551" customWidth="1"/>
    <col min="8990" max="8990" width="15.140625" style="551" customWidth="1"/>
    <col min="8991" max="8991" width="4.140625" style="551" customWidth="1"/>
    <col min="8992" max="8992" width="3" style="551" customWidth="1"/>
    <col min="8993" max="8995" width="0" style="551" hidden="1" customWidth="1"/>
    <col min="8996" max="8996" width="3" style="551" customWidth="1"/>
    <col min="8997" max="8997" width="0" style="551" hidden="1" customWidth="1"/>
    <col min="8998" max="8998" width="3" style="551" customWidth="1"/>
    <col min="8999" max="8999" width="0" style="551" hidden="1" customWidth="1"/>
    <col min="9000" max="9000" width="4.42578125" style="551" customWidth="1"/>
    <col min="9001" max="9001" width="34.28515625" style="551" customWidth="1"/>
    <col min="9002" max="9002" width="23.42578125" style="551" customWidth="1"/>
    <col min="9003" max="9003" width="9.140625" style="551" customWidth="1"/>
    <col min="9004" max="9004" width="19.5703125" style="551" customWidth="1"/>
    <col min="9005" max="9005" width="42.7109375" style="551" customWidth="1"/>
    <col min="9006" max="9006" width="5.85546875" style="551" customWidth="1"/>
    <col min="9007" max="9007" width="31.5703125" style="551" customWidth="1"/>
    <col min="9008" max="9008" width="16.140625" style="551" customWidth="1"/>
    <col min="9009" max="9010" width="9.28515625" style="551" customWidth="1"/>
    <col min="9011" max="9011" width="11.140625" style="551" customWidth="1"/>
    <col min="9012" max="9012" width="2.140625" style="551" customWidth="1"/>
    <col min="9013" max="9218" width="11.42578125" style="551"/>
    <col min="9219" max="9219" width="12" style="551" customWidth="1"/>
    <col min="9220" max="9220" width="2.7109375" style="551" customWidth="1"/>
    <col min="9221" max="9222" width="6.5703125" style="551" customWidth="1"/>
    <col min="9223" max="9223" width="5.85546875" style="551" customWidth="1"/>
    <col min="9224" max="9224" width="6.5703125" style="551" customWidth="1"/>
    <col min="9225" max="9225" width="13.7109375" style="551" customWidth="1"/>
    <col min="9226" max="9227" width="9" style="551" customWidth="1"/>
    <col min="9228" max="9228" width="2.5703125" style="551" customWidth="1"/>
    <col min="9229" max="9229" width="8.85546875" style="551" customWidth="1"/>
    <col min="9230" max="9230" width="7.5703125" style="551" customWidth="1"/>
    <col min="9231" max="9233" width="3.7109375" style="551" customWidth="1"/>
    <col min="9234" max="9234" width="3.5703125" style="551" customWidth="1"/>
    <col min="9235" max="9235" width="2.85546875" style="551" customWidth="1"/>
    <col min="9236" max="9236" width="3" style="551" customWidth="1"/>
    <col min="9237" max="9239" width="0" style="551" hidden="1" customWidth="1"/>
    <col min="9240" max="9240" width="4.42578125" style="551" customWidth="1"/>
    <col min="9241" max="9241" width="0" style="551" hidden="1" customWidth="1"/>
    <col min="9242" max="9243" width="14.85546875" style="551" customWidth="1"/>
    <col min="9244" max="9244" width="15.140625" style="551" customWidth="1"/>
    <col min="9245" max="9245" width="6.42578125" style="551" customWidth="1"/>
    <col min="9246" max="9246" width="15.140625" style="551" customWidth="1"/>
    <col min="9247" max="9247" width="4.140625" style="551" customWidth="1"/>
    <col min="9248" max="9248" width="3" style="551" customWidth="1"/>
    <col min="9249" max="9251" width="0" style="551" hidden="1" customWidth="1"/>
    <col min="9252" max="9252" width="3" style="551" customWidth="1"/>
    <col min="9253" max="9253" width="0" style="551" hidden="1" customWidth="1"/>
    <col min="9254" max="9254" width="3" style="551" customWidth="1"/>
    <col min="9255" max="9255" width="0" style="551" hidden="1" customWidth="1"/>
    <col min="9256" max="9256" width="4.42578125" style="551" customWidth="1"/>
    <col min="9257" max="9257" width="34.28515625" style="551" customWidth="1"/>
    <col min="9258" max="9258" width="23.42578125" style="551" customWidth="1"/>
    <col min="9259" max="9259" width="9.140625" style="551" customWidth="1"/>
    <col min="9260" max="9260" width="19.5703125" style="551" customWidth="1"/>
    <col min="9261" max="9261" width="42.7109375" style="551" customWidth="1"/>
    <col min="9262" max="9262" width="5.85546875" style="551" customWidth="1"/>
    <col min="9263" max="9263" width="31.5703125" style="551" customWidth="1"/>
    <col min="9264" max="9264" width="16.140625" style="551" customWidth="1"/>
    <col min="9265" max="9266" width="9.28515625" style="551" customWidth="1"/>
    <col min="9267" max="9267" width="11.140625" style="551" customWidth="1"/>
    <col min="9268" max="9268" width="2.140625" style="551" customWidth="1"/>
    <col min="9269" max="9474" width="11.42578125" style="551"/>
    <col min="9475" max="9475" width="12" style="551" customWidth="1"/>
    <col min="9476" max="9476" width="2.7109375" style="551" customWidth="1"/>
    <col min="9477" max="9478" width="6.5703125" style="551" customWidth="1"/>
    <col min="9479" max="9479" width="5.85546875" style="551" customWidth="1"/>
    <col min="9480" max="9480" width="6.5703125" style="551" customWidth="1"/>
    <col min="9481" max="9481" width="13.7109375" style="551" customWidth="1"/>
    <col min="9482" max="9483" width="9" style="551" customWidth="1"/>
    <col min="9484" max="9484" width="2.5703125" style="551" customWidth="1"/>
    <col min="9485" max="9485" width="8.85546875" style="551" customWidth="1"/>
    <col min="9486" max="9486" width="7.5703125" style="551" customWidth="1"/>
    <col min="9487" max="9489" width="3.7109375" style="551" customWidth="1"/>
    <col min="9490" max="9490" width="3.5703125" style="551" customWidth="1"/>
    <col min="9491" max="9491" width="2.85546875" style="551" customWidth="1"/>
    <col min="9492" max="9492" width="3" style="551" customWidth="1"/>
    <col min="9493" max="9495" width="0" style="551" hidden="1" customWidth="1"/>
    <col min="9496" max="9496" width="4.42578125" style="551" customWidth="1"/>
    <col min="9497" max="9497" width="0" style="551" hidden="1" customWidth="1"/>
    <col min="9498" max="9499" width="14.85546875" style="551" customWidth="1"/>
    <col min="9500" max="9500" width="15.140625" style="551" customWidth="1"/>
    <col min="9501" max="9501" width="6.42578125" style="551" customWidth="1"/>
    <col min="9502" max="9502" width="15.140625" style="551" customWidth="1"/>
    <col min="9503" max="9503" width="4.140625" style="551" customWidth="1"/>
    <col min="9504" max="9504" width="3" style="551" customWidth="1"/>
    <col min="9505" max="9507" width="0" style="551" hidden="1" customWidth="1"/>
    <col min="9508" max="9508" width="3" style="551" customWidth="1"/>
    <col min="9509" max="9509" width="0" style="551" hidden="1" customWidth="1"/>
    <col min="9510" max="9510" width="3" style="551" customWidth="1"/>
    <col min="9511" max="9511" width="0" style="551" hidden="1" customWidth="1"/>
    <col min="9512" max="9512" width="4.42578125" style="551" customWidth="1"/>
    <col min="9513" max="9513" width="34.28515625" style="551" customWidth="1"/>
    <col min="9514" max="9514" width="23.42578125" style="551" customWidth="1"/>
    <col min="9515" max="9515" width="9.140625" style="551" customWidth="1"/>
    <col min="9516" max="9516" width="19.5703125" style="551" customWidth="1"/>
    <col min="9517" max="9517" width="42.7109375" style="551" customWidth="1"/>
    <col min="9518" max="9518" width="5.85546875" style="551" customWidth="1"/>
    <col min="9519" max="9519" width="31.5703125" style="551" customWidth="1"/>
    <col min="9520" max="9520" width="16.140625" style="551" customWidth="1"/>
    <col min="9521" max="9522" width="9.28515625" style="551" customWidth="1"/>
    <col min="9523" max="9523" width="11.140625" style="551" customWidth="1"/>
    <col min="9524" max="9524" width="2.140625" style="551" customWidth="1"/>
    <col min="9525" max="9730" width="11.42578125" style="551"/>
    <col min="9731" max="9731" width="12" style="551" customWidth="1"/>
    <col min="9732" max="9732" width="2.7109375" style="551" customWidth="1"/>
    <col min="9733" max="9734" width="6.5703125" style="551" customWidth="1"/>
    <col min="9735" max="9735" width="5.85546875" style="551" customWidth="1"/>
    <col min="9736" max="9736" width="6.5703125" style="551" customWidth="1"/>
    <col min="9737" max="9737" width="13.7109375" style="551" customWidth="1"/>
    <col min="9738" max="9739" width="9" style="551" customWidth="1"/>
    <col min="9740" max="9740" width="2.5703125" style="551" customWidth="1"/>
    <col min="9741" max="9741" width="8.85546875" style="551" customWidth="1"/>
    <col min="9742" max="9742" width="7.5703125" style="551" customWidth="1"/>
    <col min="9743" max="9745" width="3.7109375" style="551" customWidth="1"/>
    <col min="9746" max="9746" width="3.5703125" style="551" customWidth="1"/>
    <col min="9747" max="9747" width="2.85546875" style="551" customWidth="1"/>
    <col min="9748" max="9748" width="3" style="551" customWidth="1"/>
    <col min="9749" max="9751" width="0" style="551" hidden="1" customWidth="1"/>
    <col min="9752" max="9752" width="4.42578125" style="551" customWidth="1"/>
    <col min="9753" max="9753" width="0" style="551" hidden="1" customWidth="1"/>
    <col min="9754" max="9755" width="14.85546875" style="551" customWidth="1"/>
    <col min="9756" max="9756" width="15.140625" style="551" customWidth="1"/>
    <col min="9757" max="9757" width="6.42578125" style="551" customWidth="1"/>
    <col min="9758" max="9758" width="15.140625" style="551" customWidth="1"/>
    <col min="9759" max="9759" width="4.140625" style="551" customWidth="1"/>
    <col min="9760" max="9760" width="3" style="551" customWidth="1"/>
    <col min="9761" max="9763" width="0" style="551" hidden="1" customWidth="1"/>
    <col min="9764" max="9764" width="3" style="551" customWidth="1"/>
    <col min="9765" max="9765" width="0" style="551" hidden="1" customWidth="1"/>
    <col min="9766" max="9766" width="3" style="551" customWidth="1"/>
    <col min="9767" max="9767" width="0" style="551" hidden="1" customWidth="1"/>
    <col min="9768" max="9768" width="4.42578125" style="551" customWidth="1"/>
    <col min="9769" max="9769" width="34.28515625" style="551" customWidth="1"/>
    <col min="9770" max="9770" width="23.42578125" style="551" customWidth="1"/>
    <col min="9771" max="9771" width="9.140625" style="551" customWidth="1"/>
    <col min="9772" max="9772" width="19.5703125" style="551" customWidth="1"/>
    <col min="9773" max="9773" width="42.7109375" style="551" customWidth="1"/>
    <col min="9774" max="9774" width="5.85546875" style="551" customWidth="1"/>
    <col min="9775" max="9775" width="31.5703125" style="551" customWidth="1"/>
    <col min="9776" max="9776" width="16.140625" style="551" customWidth="1"/>
    <col min="9777" max="9778" width="9.28515625" style="551" customWidth="1"/>
    <col min="9779" max="9779" width="11.140625" style="551" customWidth="1"/>
    <col min="9780" max="9780" width="2.140625" style="551" customWidth="1"/>
    <col min="9781" max="9986" width="11.42578125" style="551"/>
    <col min="9987" max="9987" width="12" style="551" customWidth="1"/>
    <col min="9988" max="9988" width="2.7109375" style="551" customWidth="1"/>
    <col min="9989" max="9990" width="6.5703125" style="551" customWidth="1"/>
    <col min="9991" max="9991" width="5.85546875" style="551" customWidth="1"/>
    <col min="9992" max="9992" width="6.5703125" style="551" customWidth="1"/>
    <col min="9993" max="9993" width="13.7109375" style="551" customWidth="1"/>
    <col min="9994" max="9995" width="9" style="551" customWidth="1"/>
    <col min="9996" max="9996" width="2.5703125" style="551" customWidth="1"/>
    <col min="9997" max="9997" width="8.85546875" style="551" customWidth="1"/>
    <col min="9998" max="9998" width="7.5703125" style="551" customWidth="1"/>
    <col min="9999" max="10001" width="3.7109375" style="551" customWidth="1"/>
    <col min="10002" max="10002" width="3.5703125" style="551" customWidth="1"/>
    <col min="10003" max="10003" width="2.85546875" style="551" customWidth="1"/>
    <col min="10004" max="10004" width="3" style="551" customWidth="1"/>
    <col min="10005" max="10007" width="0" style="551" hidden="1" customWidth="1"/>
    <col min="10008" max="10008" width="4.42578125" style="551" customWidth="1"/>
    <col min="10009" max="10009" width="0" style="551" hidden="1" customWidth="1"/>
    <col min="10010" max="10011" width="14.85546875" style="551" customWidth="1"/>
    <col min="10012" max="10012" width="15.140625" style="551" customWidth="1"/>
    <col min="10013" max="10013" width="6.42578125" style="551" customWidth="1"/>
    <col min="10014" max="10014" width="15.140625" style="551" customWidth="1"/>
    <col min="10015" max="10015" width="4.140625" style="551" customWidth="1"/>
    <col min="10016" max="10016" width="3" style="551" customWidth="1"/>
    <col min="10017" max="10019" width="0" style="551" hidden="1" customWidth="1"/>
    <col min="10020" max="10020" width="3" style="551" customWidth="1"/>
    <col min="10021" max="10021" width="0" style="551" hidden="1" customWidth="1"/>
    <col min="10022" max="10022" width="3" style="551" customWidth="1"/>
    <col min="10023" max="10023" width="0" style="551" hidden="1" customWidth="1"/>
    <col min="10024" max="10024" width="4.42578125" style="551" customWidth="1"/>
    <col min="10025" max="10025" width="34.28515625" style="551" customWidth="1"/>
    <col min="10026" max="10026" width="23.42578125" style="551" customWidth="1"/>
    <col min="10027" max="10027" width="9.140625" style="551" customWidth="1"/>
    <col min="10028" max="10028" width="19.5703125" style="551" customWidth="1"/>
    <col min="10029" max="10029" width="42.7109375" style="551" customWidth="1"/>
    <col min="10030" max="10030" width="5.85546875" style="551" customWidth="1"/>
    <col min="10031" max="10031" width="31.5703125" style="551" customWidth="1"/>
    <col min="10032" max="10032" width="16.140625" style="551" customWidth="1"/>
    <col min="10033" max="10034" width="9.28515625" style="551" customWidth="1"/>
    <col min="10035" max="10035" width="11.140625" style="551" customWidth="1"/>
    <col min="10036" max="10036" width="2.140625" style="551" customWidth="1"/>
    <col min="10037" max="10242" width="11.42578125" style="551"/>
    <col min="10243" max="10243" width="12" style="551" customWidth="1"/>
    <col min="10244" max="10244" width="2.7109375" style="551" customWidth="1"/>
    <col min="10245" max="10246" width="6.5703125" style="551" customWidth="1"/>
    <col min="10247" max="10247" width="5.85546875" style="551" customWidth="1"/>
    <col min="10248" max="10248" width="6.5703125" style="551" customWidth="1"/>
    <col min="10249" max="10249" width="13.7109375" style="551" customWidth="1"/>
    <col min="10250" max="10251" width="9" style="551" customWidth="1"/>
    <col min="10252" max="10252" width="2.5703125" style="551" customWidth="1"/>
    <col min="10253" max="10253" width="8.85546875" style="551" customWidth="1"/>
    <col min="10254" max="10254" width="7.5703125" style="551" customWidth="1"/>
    <col min="10255" max="10257" width="3.7109375" style="551" customWidth="1"/>
    <col min="10258" max="10258" width="3.5703125" style="551" customWidth="1"/>
    <col min="10259" max="10259" width="2.85546875" style="551" customWidth="1"/>
    <col min="10260" max="10260" width="3" style="551" customWidth="1"/>
    <col min="10261" max="10263" width="0" style="551" hidden="1" customWidth="1"/>
    <col min="10264" max="10264" width="4.42578125" style="551" customWidth="1"/>
    <col min="10265" max="10265" width="0" style="551" hidden="1" customWidth="1"/>
    <col min="10266" max="10267" width="14.85546875" style="551" customWidth="1"/>
    <col min="10268" max="10268" width="15.140625" style="551" customWidth="1"/>
    <col min="10269" max="10269" width="6.42578125" style="551" customWidth="1"/>
    <col min="10270" max="10270" width="15.140625" style="551" customWidth="1"/>
    <col min="10271" max="10271" width="4.140625" style="551" customWidth="1"/>
    <col min="10272" max="10272" width="3" style="551" customWidth="1"/>
    <col min="10273" max="10275" width="0" style="551" hidden="1" customWidth="1"/>
    <col min="10276" max="10276" width="3" style="551" customWidth="1"/>
    <col min="10277" max="10277" width="0" style="551" hidden="1" customWidth="1"/>
    <col min="10278" max="10278" width="3" style="551" customWidth="1"/>
    <col min="10279" max="10279" width="0" style="551" hidden="1" customWidth="1"/>
    <col min="10280" max="10280" width="4.42578125" style="551" customWidth="1"/>
    <col min="10281" max="10281" width="34.28515625" style="551" customWidth="1"/>
    <col min="10282" max="10282" width="23.42578125" style="551" customWidth="1"/>
    <col min="10283" max="10283" width="9.140625" style="551" customWidth="1"/>
    <col min="10284" max="10284" width="19.5703125" style="551" customWidth="1"/>
    <col min="10285" max="10285" width="42.7109375" style="551" customWidth="1"/>
    <col min="10286" max="10286" width="5.85546875" style="551" customWidth="1"/>
    <col min="10287" max="10287" width="31.5703125" style="551" customWidth="1"/>
    <col min="10288" max="10288" width="16.140625" style="551" customWidth="1"/>
    <col min="10289" max="10290" width="9.28515625" style="551" customWidth="1"/>
    <col min="10291" max="10291" width="11.140625" style="551" customWidth="1"/>
    <col min="10292" max="10292" width="2.140625" style="551" customWidth="1"/>
    <col min="10293" max="10498" width="11.42578125" style="551"/>
    <col min="10499" max="10499" width="12" style="551" customWidth="1"/>
    <col min="10500" max="10500" width="2.7109375" style="551" customWidth="1"/>
    <col min="10501" max="10502" width="6.5703125" style="551" customWidth="1"/>
    <col min="10503" max="10503" width="5.85546875" style="551" customWidth="1"/>
    <col min="10504" max="10504" width="6.5703125" style="551" customWidth="1"/>
    <col min="10505" max="10505" width="13.7109375" style="551" customWidth="1"/>
    <col min="10506" max="10507" width="9" style="551" customWidth="1"/>
    <col min="10508" max="10508" width="2.5703125" style="551" customWidth="1"/>
    <col min="10509" max="10509" width="8.85546875" style="551" customWidth="1"/>
    <col min="10510" max="10510" width="7.5703125" style="551" customWidth="1"/>
    <col min="10511" max="10513" width="3.7109375" style="551" customWidth="1"/>
    <col min="10514" max="10514" width="3.5703125" style="551" customWidth="1"/>
    <col min="10515" max="10515" width="2.85546875" style="551" customWidth="1"/>
    <col min="10516" max="10516" width="3" style="551" customWidth="1"/>
    <col min="10517" max="10519" width="0" style="551" hidden="1" customWidth="1"/>
    <col min="10520" max="10520" width="4.42578125" style="551" customWidth="1"/>
    <col min="10521" max="10521" width="0" style="551" hidden="1" customWidth="1"/>
    <col min="10522" max="10523" width="14.85546875" style="551" customWidth="1"/>
    <col min="10524" max="10524" width="15.140625" style="551" customWidth="1"/>
    <col min="10525" max="10525" width="6.42578125" style="551" customWidth="1"/>
    <col min="10526" max="10526" width="15.140625" style="551" customWidth="1"/>
    <col min="10527" max="10527" width="4.140625" style="551" customWidth="1"/>
    <col min="10528" max="10528" width="3" style="551" customWidth="1"/>
    <col min="10529" max="10531" width="0" style="551" hidden="1" customWidth="1"/>
    <col min="10532" max="10532" width="3" style="551" customWidth="1"/>
    <col min="10533" max="10533" width="0" style="551" hidden="1" customWidth="1"/>
    <col min="10534" max="10534" width="3" style="551" customWidth="1"/>
    <col min="10535" max="10535" width="0" style="551" hidden="1" customWidth="1"/>
    <col min="10536" max="10536" width="4.42578125" style="551" customWidth="1"/>
    <col min="10537" max="10537" width="34.28515625" style="551" customWidth="1"/>
    <col min="10538" max="10538" width="23.42578125" style="551" customWidth="1"/>
    <col min="10539" max="10539" width="9.140625" style="551" customWidth="1"/>
    <col min="10540" max="10540" width="19.5703125" style="551" customWidth="1"/>
    <col min="10541" max="10541" width="42.7109375" style="551" customWidth="1"/>
    <col min="10542" max="10542" width="5.85546875" style="551" customWidth="1"/>
    <col min="10543" max="10543" width="31.5703125" style="551" customWidth="1"/>
    <col min="10544" max="10544" width="16.140625" style="551" customWidth="1"/>
    <col min="10545" max="10546" width="9.28515625" style="551" customWidth="1"/>
    <col min="10547" max="10547" width="11.140625" style="551" customWidth="1"/>
    <col min="10548" max="10548" width="2.140625" style="551" customWidth="1"/>
    <col min="10549" max="10754" width="11.42578125" style="551"/>
    <col min="10755" max="10755" width="12" style="551" customWidth="1"/>
    <col min="10756" max="10756" width="2.7109375" style="551" customWidth="1"/>
    <col min="10757" max="10758" width="6.5703125" style="551" customWidth="1"/>
    <col min="10759" max="10759" width="5.85546875" style="551" customWidth="1"/>
    <col min="10760" max="10760" width="6.5703125" style="551" customWidth="1"/>
    <col min="10761" max="10761" width="13.7109375" style="551" customWidth="1"/>
    <col min="10762" max="10763" width="9" style="551" customWidth="1"/>
    <col min="10764" max="10764" width="2.5703125" style="551" customWidth="1"/>
    <col min="10765" max="10765" width="8.85546875" style="551" customWidth="1"/>
    <col min="10766" max="10766" width="7.5703125" style="551" customWidth="1"/>
    <col min="10767" max="10769" width="3.7109375" style="551" customWidth="1"/>
    <col min="10770" max="10770" width="3.5703125" style="551" customWidth="1"/>
    <col min="10771" max="10771" width="2.85546875" style="551" customWidth="1"/>
    <col min="10772" max="10772" width="3" style="551" customWidth="1"/>
    <col min="10773" max="10775" width="0" style="551" hidden="1" customWidth="1"/>
    <col min="10776" max="10776" width="4.42578125" style="551" customWidth="1"/>
    <col min="10777" max="10777" width="0" style="551" hidden="1" customWidth="1"/>
    <col min="10778" max="10779" width="14.85546875" style="551" customWidth="1"/>
    <col min="10780" max="10780" width="15.140625" style="551" customWidth="1"/>
    <col min="10781" max="10781" width="6.42578125" style="551" customWidth="1"/>
    <col min="10782" max="10782" width="15.140625" style="551" customWidth="1"/>
    <col min="10783" max="10783" width="4.140625" style="551" customWidth="1"/>
    <col min="10784" max="10784" width="3" style="551" customWidth="1"/>
    <col min="10785" max="10787" width="0" style="551" hidden="1" customWidth="1"/>
    <col min="10788" max="10788" width="3" style="551" customWidth="1"/>
    <col min="10789" max="10789" width="0" style="551" hidden="1" customWidth="1"/>
    <col min="10790" max="10790" width="3" style="551" customWidth="1"/>
    <col min="10791" max="10791" width="0" style="551" hidden="1" customWidth="1"/>
    <col min="10792" max="10792" width="4.42578125" style="551" customWidth="1"/>
    <col min="10793" max="10793" width="34.28515625" style="551" customWidth="1"/>
    <col min="10794" max="10794" width="23.42578125" style="551" customWidth="1"/>
    <col min="10795" max="10795" width="9.140625" style="551" customWidth="1"/>
    <col min="10796" max="10796" width="19.5703125" style="551" customWidth="1"/>
    <col min="10797" max="10797" width="42.7109375" style="551" customWidth="1"/>
    <col min="10798" max="10798" width="5.85546875" style="551" customWidth="1"/>
    <col min="10799" max="10799" width="31.5703125" style="551" customWidth="1"/>
    <col min="10800" max="10800" width="16.140625" style="551" customWidth="1"/>
    <col min="10801" max="10802" width="9.28515625" style="551" customWidth="1"/>
    <col min="10803" max="10803" width="11.140625" style="551" customWidth="1"/>
    <col min="10804" max="10804" width="2.140625" style="551" customWidth="1"/>
    <col min="10805" max="11010" width="11.42578125" style="551"/>
    <col min="11011" max="11011" width="12" style="551" customWidth="1"/>
    <col min="11012" max="11012" width="2.7109375" style="551" customWidth="1"/>
    <col min="11013" max="11014" width="6.5703125" style="551" customWidth="1"/>
    <col min="11015" max="11015" width="5.85546875" style="551" customWidth="1"/>
    <col min="11016" max="11016" width="6.5703125" style="551" customWidth="1"/>
    <col min="11017" max="11017" width="13.7109375" style="551" customWidth="1"/>
    <col min="11018" max="11019" width="9" style="551" customWidth="1"/>
    <col min="11020" max="11020" width="2.5703125" style="551" customWidth="1"/>
    <col min="11021" max="11021" width="8.85546875" style="551" customWidth="1"/>
    <col min="11022" max="11022" width="7.5703125" style="551" customWidth="1"/>
    <col min="11023" max="11025" width="3.7109375" style="551" customWidth="1"/>
    <col min="11026" max="11026" width="3.5703125" style="551" customWidth="1"/>
    <col min="11027" max="11027" width="2.85546875" style="551" customWidth="1"/>
    <col min="11028" max="11028" width="3" style="551" customWidth="1"/>
    <col min="11029" max="11031" width="0" style="551" hidden="1" customWidth="1"/>
    <col min="11032" max="11032" width="4.42578125" style="551" customWidth="1"/>
    <col min="11033" max="11033" width="0" style="551" hidden="1" customWidth="1"/>
    <col min="11034" max="11035" width="14.85546875" style="551" customWidth="1"/>
    <col min="11036" max="11036" width="15.140625" style="551" customWidth="1"/>
    <col min="11037" max="11037" width="6.42578125" style="551" customWidth="1"/>
    <col min="11038" max="11038" width="15.140625" style="551" customWidth="1"/>
    <col min="11039" max="11039" width="4.140625" style="551" customWidth="1"/>
    <col min="11040" max="11040" width="3" style="551" customWidth="1"/>
    <col min="11041" max="11043" width="0" style="551" hidden="1" customWidth="1"/>
    <col min="11044" max="11044" width="3" style="551" customWidth="1"/>
    <col min="11045" max="11045" width="0" style="551" hidden="1" customWidth="1"/>
    <col min="11046" max="11046" width="3" style="551" customWidth="1"/>
    <col min="11047" max="11047" width="0" style="551" hidden="1" customWidth="1"/>
    <col min="11048" max="11048" width="4.42578125" style="551" customWidth="1"/>
    <col min="11049" max="11049" width="34.28515625" style="551" customWidth="1"/>
    <col min="11050" max="11050" width="23.42578125" style="551" customWidth="1"/>
    <col min="11051" max="11051" width="9.140625" style="551" customWidth="1"/>
    <col min="11052" max="11052" width="19.5703125" style="551" customWidth="1"/>
    <col min="11053" max="11053" width="42.7109375" style="551" customWidth="1"/>
    <col min="11054" max="11054" width="5.85546875" style="551" customWidth="1"/>
    <col min="11055" max="11055" width="31.5703125" style="551" customWidth="1"/>
    <col min="11056" max="11056" width="16.140625" style="551" customWidth="1"/>
    <col min="11057" max="11058" width="9.28515625" style="551" customWidth="1"/>
    <col min="11059" max="11059" width="11.140625" style="551" customWidth="1"/>
    <col min="11060" max="11060" width="2.140625" style="551" customWidth="1"/>
    <col min="11061" max="11266" width="11.42578125" style="551"/>
    <col min="11267" max="11267" width="12" style="551" customWidth="1"/>
    <col min="11268" max="11268" width="2.7109375" style="551" customWidth="1"/>
    <col min="11269" max="11270" width="6.5703125" style="551" customWidth="1"/>
    <col min="11271" max="11271" width="5.85546875" style="551" customWidth="1"/>
    <col min="11272" max="11272" width="6.5703125" style="551" customWidth="1"/>
    <col min="11273" max="11273" width="13.7109375" style="551" customWidth="1"/>
    <col min="11274" max="11275" width="9" style="551" customWidth="1"/>
    <col min="11276" max="11276" width="2.5703125" style="551" customWidth="1"/>
    <col min="11277" max="11277" width="8.85546875" style="551" customWidth="1"/>
    <col min="11278" max="11278" width="7.5703125" style="551" customWidth="1"/>
    <col min="11279" max="11281" width="3.7109375" style="551" customWidth="1"/>
    <col min="11282" max="11282" width="3.5703125" style="551" customWidth="1"/>
    <col min="11283" max="11283" width="2.85546875" style="551" customWidth="1"/>
    <col min="11284" max="11284" width="3" style="551" customWidth="1"/>
    <col min="11285" max="11287" width="0" style="551" hidden="1" customWidth="1"/>
    <col min="11288" max="11288" width="4.42578125" style="551" customWidth="1"/>
    <col min="11289" max="11289" width="0" style="551" hidden="1" customWidth="1"/>
    <col min="11290" max="11291" width="14.85546875" style="551" customWidth="1"/>
    <col min="11292" max="11292" width="15.140625" style="551" customWidth="1"/>
    <col min="11293" max="11293" width="6.42578125" style="551" customWidth="1"/>
    <col min="11294" max="11294" width="15.140625" style="551" customWidth="1"/>
    <col min="11295" max="11295" width="4.140625" style="551" customWidth="1"/>
    <col min="11296" max="11296" width="3" style="551" customWidth="1"/>
    <col min="11297" max="11299" width="0" style="551" hidden="1" customWidth="1"/>
    <col min="11300" max="11300" width="3" style="551" customWidth="1"/>
    <col min="11301" max="11301" width="0" style="551" hidden="1" customWidth="1"/>
    <col min="11302" max="11302" width="3" style="551" customWidth="1"/>
    <col min="11303" max="11303" width="0" style="551" hidden="1" customWidth="1"/>
    <col min="11304" max="11304" width="4.42578125" style="551" customWidth="1"/>
    <col min="11305" max="11305" width="34.28515625" style="551" customWidth="1"/>
    <col min="11306" max="11306" width="23.42578125" style="551" customWidth="1"/>
    <col min="11307" max="11307" width="9.140625" style="551" customWidth="1"/>
    <col min="11308" max="11308" width="19.5703125" style="551" customWidth="1"/>
    <col min="11309" max="11309" width="42.7109375" style="551" customWidth="1"/>
    <col min="11310" max="11310" width="5.85546875" style="551" customWidth="1"/>
    <col min="11311" max="11311" width="31.5703125" style="551" customWidth="1"/>
    <col min="11312" max="11312" width="16.140625" style="551" customWidth="1"/>
    <col min="11313" max="11314" width="9.28515625" style="551" customWidth="1"/>
    <col min="11315" max="11315" width="11.140625" style="551" customWidth="1"/>
    <col min="11316" max="11316" width="2.140625" style="551" customWidth="1"/>
    <col min="11317" max="11522" width="11.42578125" style="551"/>
    <col min="11523" max="11523" width="12" style="551" customWidth="1"/>
    <col min="11524" max="11524" width="2.7109375" style="551" customWidth="1"/>
    <col min="11525" max="11526" width="6.5703125" style="551" customWidth="1"/>
    <col min="11527" max="11527" width="5.85546875" style="551" customWidth="1"/>
    <col min="11528" max="11528" width="6.5703125" style="551" customWidth="1"/>
    <col min="11529" max="11529" width="13.7109375" style="551" customWidth="1"/>
    <col min="11530" max="11531" width="9" style="551" customWidth="1"/>
    <col min="11532" max="11532" width="2.5703125" style="551" customWidth="1"/>
    <col min="11533" max="11533" width="8.85546875" style="551" customWidth="1"/>
    <col min="11534" max="11534" width="7.5703125" style="551" customWidth="1"/>
    <col min="11535" max="11537" width="3.7109375" style="551" customWidth="1"/>
    <col min="11538" max="11538" width="3.5703125" style="551" customWidth="1"/>
    <col min="11539" max="11539" width="2.85546875" style="551" customWidth="1"/>
    <col min="11540" max="11540" width="3" style="551" customWidth="1"/>
    <col min="11541" max="11543" width="0" style="551" hidden="1" customWidth="1"/>
    <col min="11544" max="11544" width="4.42578125" style="551" customWidth="1"/>
    <col min="11545" max="11545" width="0" style="551" hidden="1" customWidth="1"/>
    <col min="11546" max="11547" width="14.85546875" style="551" customWidth="1"/>
    <col min="11548" max="11548" width="15.140625" style="551" customWidth="1"/>
    <col min="11549" max="11549" width="6.42578125" style="551" customWidth="1"/>
    <col min="11550" max="11550" width="15.140625" style="551" customWidth="1"/>
    <col min="11551" max="11551" width="4.140625" style="551" customWidth="1"/>
    <col min="11552" max="11552" width="3" style="551" customWidth="1"/>
    <col min="11553" max="11555" width="0" style="551" hidden="1" customWidth="1"/>
    <col min="11556" max="11556" width="3" style="551" customWidth="1"/>
    <col min="11557" max="11557" width="0" style="551" hidden="1" customWidth="1"/>
    <col min="11558" max="11558" width="3" style="551" customWidth="1"/>
    <col min="11559" max="11559" width="0" style="551" hidden="1" customWidth="1"/>
    <col min="11560" max="11560" width="4.42578125" style="551" customWidth="1"/>
    <col min="11561" max="11561" width="34.28515625" style="551" customWidth="1"/>
    <col min="11562" max="11562" width="23.42578125" style="551" customWidth="1"/>
    <col min="11563" max="11563" width="9.140625" style="551" customWidth="1"/>
    <col min="11564" max="11564" width="19.5703125" style="551" customWidth="1"/>
    <col min="11565" max="11565" width="42.7109375" style="551" customWidth="1"/>
    <col min="11566" max="11566" width="5.85546875" style="551" customWidth="1"/>
    <col min="11567" max="11567" width="31.5703125" style="551" customWidth="1"/>
    <col min="11568" max="11568" width="16.140625" style="551" customWidth="1"/>
    <col min="11569" max="11570" width="9.28515625" style="551" customWidth="1"/>
    <col min="11571" max="11571" width="11.140625" style="551" customWidth="1"/>
    <col min="11572" max="11572" width="2.140625" style="551" customWidth="1"/>
    <col min="11573" max="11778" width="11.42578125" style="551"/>
    <col min="11779" max="11779" width="12" style="551" customWidth="1"/>
    <col min="11780" max="11780" width="2.7109375" style="551" customWidth="1"/>
    <col min="11781" max="11782" width="6.5703125" style="551" customWidth="1"/>
    <col min="11783" max="11783" width="5.85546875" style="551" customWidth="1"/>
    <col min="11784" max="11784" width="6.5703125" style="551" customWidth="1"/>
    <col min="11785" max="11785" width="13.7109375" style="551" customWidth="1"/>
    <col min="11786" max="11787" width="9" style="551" customWidth="1"/>
    <col min="11788" max="11788" width="2.5703125" style="551" customWidth="1"/>
    <col min="11789" max="11789" width="8.85546875" style="551" customWidth="1"/>
    <col min="11790" max="11790" width="7.5703125" style="551" customWidth="1"/>
    <col min="11791" max="11793" width="3.7109375" style="551" customWidth="1"/>
    <col min="11794" max="11794" width="3.5703125" style="551" customWidth="1"/>
    <col min="11795" max="11795" width="2.85546875" style="551" customWidth="1"/>
    <col min="11796" max="11796" width="3" style="551" customWidth="1"/>
    <col min="11797" max="11799" width="0" style="551" hidden="1" customWidth="1"/>
    <col min="11800" max="11800" width="4.42578125" style="551" customWidth="1"/>
    <col min="11801" max="11801" width="0" style="551" hidden="1" customWidth="1"/>
    <col min="11802" max="11803" width="14.85546875" style="551" customWidth="1"/>
    <col min="11804" max="11804" width="15.140625" style="551" customWidth="1"/>
    <col min="11805" max="11805" width="6.42578125" style="551" customWidth="1"/>
    <col min="11806" max="11806" width="15.140625" style="551" customWidth="1"/>
    <col min="11807" max="11807" width="4.140625" style="551" customWidth="1"/>
    <col min="11808" max="11808" width="3" style="551" customWidth="1"/>
    <col min="11809" max="11811" width="0" style="551" hidden="1" customWidth="1"/>
    <col min="11812" max="11812" width="3" style="551" customWidth="1"/>
    <col min="11813" max="11813" width="0" style="551" hidden="1" customWidth="1"/>
    <col min="11814" max="11814" width="3" style="551" customWidth="1"/>
    <col min="11815" max="11815" width="0" style="551" hidden="1" customWidth="1"/>
    <col min="11816" max="11816" width="4.42578125" style="551" customWidth="1"/>
    <col min="11817" max="11817" width="34.28515625" style="551" customWidth="1"/>
    <col min="11818" max="11818" width="23.42578125" style="551" customWidth="1"/>
    <col min="11819" max="11819" width="9.140625" style="551" customWidth="1"/>
    <col min="11820" max="11820" width="19.5703125" style="551" customWidth="1"/>
    <col min="11821" max="11821" width="42.7109375" style="551" customWidth="1"/>
    <col min="11822" max="11822" width="5.85546875" style="551" customWidth="1"/>
    <col min="11823" max="11823" width="31.5703125" style="551" customWidth="1"/>
    <col min="11824" max="11824" width="16.140625" style="551" customWidth="1"/>
    <col min="11825" max="11826" width="9.28515625" style="551" customWidth="1"/>
    <col min="11827" max="11827" width="11.140625" style="551" customWidth="1"/>
    <col min="11828" max="11828" width="2.140625" style="551" customWidth="1"/>
    <col min="11829" max="12034" width="11.42578125" style="551"/>
    <col min="12035" max="12035" width="12" style="551" customWidth="1"/>
    <col min="12036" max="12036" width="2.7109375" style="551" customWidth="1"/>
    <col min="12037" max="12038" width="6.5703125" style="551" customWidth="1"/>
    <col min="12039" max="12039" width="5.85546875" style="551" customWidth="1"/>
    <col min="12040" max="12040" width="6.5703125" style="551" customWidth="1"/>
    <col min="12041" max="12041" width="13.7109375" style="551" customWidth="1"/>
    <col min="12042" max="12043" width="9" style="551" customWidth="1"/>
    <col min="12044" max="12044" width="2.5703125" style="551" customWidth="1"/>
    <col min="12045" max="12045" width="8.85546875" style="551" customWidth="1"/>
    <col min="12046" max="12046" width="7.5703125" style="551" customWidth="1"/>
    <col min="12047" max="12049" width="3.7109375" style="551" customWidth="1"/>
    <col min="12050" max="12050" width="3.5703125" style="551" customWidth="1"/>
    <col min="12051" max="12051" width="2.85546875" style="551" customWidth="1"/>
    <col min="12052" max="12052" width="3" style="551" customWidth="1"/>
    <col min="12053" max="12055" width="0" style="551" hidden="1" customWidth="1"/>
    <col min="12056" max="12056" width="4.42578125" style="551" customWidth="1"/>
    <col min="12057" max="12057" width="0" style="551" hidden="1" customWidth="1"/>
    <col min="12058" max="12059" width="14.85546875" style="551" customWidth="1"/>
    <col min="12060" max="12060" width="15.140625" style="551" customWidth="1"/>
    <col min="12061" max="12061" width="6.42578125" style="551" customWidth="1"/>
    <col min="12062" max="12062" width="15.140625" style="551" customWidth="1"/>
    <col min="12063" max="12063" width="4.140625" style="551" customWidth="1"/>
    <col min="12064" max="12064" width="3" style="551" customWidth="1"/>
    <col min="12065" max="12067" width="0" style="551" hidden="1" customWidth="1"/>
    <col min="12068" max="12068" width="3" style="551" customWidth="1"/>
    <col min="12069" max="12069" width="0" style="551" hidden="1" customWidth="1"/>
    <col min="12070" max="12070" width="3" style="551" customWidth="1"/>
    <col min="12071" max="12071" width="0" style="551" hidden="1" customWidth="1"/>
    <col min="12072" max="12072" width="4.42578125" style="551" customWidth="1"/>
    <col min="12073" max="12073" width="34.28515625" style="551" customWidth="1"/>
    <col min="12074" max="12074" width="23.42578125" style="551" customWidth="1"/>
    <col min="12075" max="12075" width="9.140625" style="551" customWidth="1"/>
    <col min="12076" max="12076" width="19.5703125" style="551" customWidth="1"/>
    <col min="12077" max="12077" width="42.7109375" style="551" customWidth="1"/>
    <col min="12078" max="12078" width="5.85546875" style="551" customWidth="1"/>
    <col min="12079" max="12079" width="31.5703125" style="551" customWidth="1"/>
    <col min="12080" max="12080" width="16.140625" style="551" customWidth="1"/>
    <col min="12081" max="12082" width="9.28515625" style="551" customWidth="1"/>
    <col min="12083" max="12083" width="11.140625" style="551" customWidth="1"/>
    <col min="12084" max="12084" width="2.140625" style="551" customWidth="1"/>
    <col min="12085" max="12290" width="11.42578125" style="551"/>
    <col min="12291" max="12291" width="12" style="551" customWidth="1"/>
    <col min="12292" max="12292" width="2.7109375" style="551" customWidth="1"/>
    <col min="12293" max="12294" width="6.5703125" style="551" customWidth="1"/>
    <col min="12295" max="12295" width="5.85546875" style="551" customWidth="1"/>
    <col min="12296" max="12296" width="6.5703125" style="551" customWidth="1"/>
    <col min="12297" max="12297" width="13.7109375" style="551" customWidth="1"/>
    <col min="12298" max="12299" width="9" style="551" customWidth="1"/>
    <col min="12300" max="12300" width="2.5703125" style="551" customWidth="1"/>
    <col min="12301" max="12301" width="8.85546875" style="551" customWidth="1"/>
    <col min="12302" max="12302" width="7.5703125" style="551" customWidth="1"/>
    <col min="12303" max="12305" width="3.7109375" style="551" customWidth="1"/>
    <col min="12306" max="12306" width="3.5703125" style="551" customWidth="1"/>
    <col min="12307" max="12307" width="2.85546875" style="551" customWidth="1"/>
    <col min="12308" max="12308" width="3" style="551" customWidth="1"/>
    <col min="12309" max="12311" width="0" style="551" hidden="1" customWidth="1"/>
    <col min="12312" max="12312" width="4.42578125" style="551" customWidth="1"/>
    <col min="12313" max="12313" width="0" style="551" hidden="1" customWidth="1"/>
    <col min="12314" max="12315" width="14.85546875" style="551" customWidth="1"/>
    <col min="12316" max="12316" width="15.140625" style="551" customWidth="1"/>
    <col min="12317" max="12317" width="6.42578125" style="551" customWidth="1"/>
    <col min="12318" max="12318" width="15.140625" style="551" customWidth="1"/>
    <col min="12319" max="12319" width="4.140625" style="551" customWidth="1"/>
    <col min="12320" max="12320" width="3" style="551" customWidth="1"/>
    <col min="12321" max="12323" width="0" style="551" hidden="1" customWidth="1"/>
    <col min="12324" max="12324" width="3" style="551" customWidth="1"/>
    <col min="12325" max="12325" width="0" style="551" hidden="1" customWidth="1"/>
    <col min="12326" max="12326" width="3" style="551" customWidth="1"/>
    <col min="12327" max="12327" width="0" style="551" hidden="1" customWidth="1"/>
    <col min="12328" max="12328" width="4.42578125" style="551" customWidth="1"/>
    <col min="12329" max="12329" width="34.28515625" style="551" customWidth="1"/>
    <col min="12330" max="12330" width="23.42578125" style="551" customWidth="1"/>
    <col min="12331" max="12331" width="9.140625" style="551" customWidth="1"/>
    <col min="12332" max="12332" width="19.5703125" style="551" customWidth="1"/>
    <col min="12333" max="12333" width="42.7109375" style="551" customWidth="1"/>
    <col min="12334" max="12334" width="5.85546875" style="551" customWidth="1"/>
    <col min="12335" max="12335" width="31.5703125" style="551" customWidth="1"/>
    <col min="12336" max="12336" width="16.140625" style="551" customWidth="1"/>
    <col min="12337" max="12338" width="9.28515625" style="551" customWidth="1"/>
    <col min="12339" max="12339" width="11.140625" style="551" customWidth="1"/>
    <col min="12340" max="12340" width="2.140625" style="551" customWidth="1"/>
    <col min="12341" max="12546" width="11.42578125" style="551"/>
    <col min="12547" max="12547" width="12" style="551" customWidth="1"/>
    <col min="12548" max="12548" width="2.7109375" style="551" customWidth="1"/>
    <col min="12549" max="12550" width="6.5703125" style="551" customWidth="1"/>
    <col min="12551" max="12551" width="5.85546875" style="551" customWidth="1"/>
    <col min="12552" max="12552" width="6.5703125" style="551" customWidth="1"/>
    <col min="12553" max="12553" width="13.7109375" style="551" customWidth="1"/>
    <col min="12554" max="12555" width="9" style="551" customWidth="1"/>
    <col min="12556" max="12556" width="2.5703125" style="551" customWidth="1"/>
    <col min="12557" max="12557" width="8.85546875" style="551" customWidth="1"/>
    <col min="12558" max="12558" width="7.5703125" style="551" customWidth="1"/>
    <col min="12559" max="12561" width="3.7109375" style="551" customWidth="1"/>
    <col min="12562" max="12562" width="3.5703125" style="551" customWidth="1"/>
    <col min="12563" max="12563" width="2.85546875" style="551" customWidth="1"/>
    <col min="12564" max="12564" width="3" style="551" customWidth="1"/>
    <col min="12565" max="12567" width="0" style="551" hidden="1" customWidth="1"/>
    <col min="12568" max="12568" width="4.42578125" style="551" customWidth="1"/>
    <col min="12569" max="12569" width="0" style="551" hidden="1" customWidth="1"/>
    <col min="12570" max="12571" width="14.85546875" style="551" customWidth="1"/>
    <col min="12572" max="12572" width="15.140625" style="551" customWidth="1"/>
    <col min="12573" max="12573" width="6.42578125" style="551" customWidth="1"/>
    <col min="12574" max="12574" width="15.140625" style="551" customWidth="1"/>
    <col min="12575" max="12575" width="4.140625" style="551" customWidth="1"/>
    <col min="12576" max="12576" width="3" style="551" customWidth="1"/>
    <col min="12577" max="12579" width="0" style="551" hidden="1" customWidth="1"/>
    <col min="12580" max="12580" width="3" style="551" customWidth="1"/>
    <col min="12581" max="12581" width="0" style="551" hidden="1" customWidth="1"/>
    <col min="12582" max="12582" width="3" style="551" customWidth="1"/>
    <col min="12583" max="12583" width="0" style="551" hidden="1" customWidth="1"/>
    <col min="12584" max="12584" width="4.42578125" style="551" customWidth="1"/>
    <col min="12585" max="12585" width="34.28515625" style="551" customWidth="1"/>
    <col min="12586" max="12586" width="23.42578125" style="551" customWidth="1"/>
    <col min="12587" max="12587" width="9.140625" style="551" customWidth="1"/>
    <col min="12588" max="12588" width="19.5703125" style="551" customWidth="1"/>
    <col min="12589" max="12589" width="42.7109375" style="551" customWidth="1"/>
    <col min="12590" max="12590" width="5.85546875" style="551" customWidth="1"/>
    <col min="12591" max="12591" width="31.5703125" style="551" customWidth="1"/>
    <col min="12592" max="12592" width="16.140625" style="551" customWidth="1"/>
    <col min="12593" max="12594" width="9.28515625" style="551" customWidth="1"/>
    <col min="12595" max="12595" width="11.140625" style="551" customWidth="1"/>
    <col min="12596" max="12596" width="2.140625" style="551" customWidth="1"/>
    <col min="12597" max="12802" width="11.42578125" style="551"/>
    <col min="12803" max="12803" width="12" style="551" customWidth="1"/>
    <col min="12804" max="12804" width="2.7109375" style="551" customWidth="1"/>
    <col min="12805" max="12806" width="6.5703125" style="551" customWidth="1"/>
    <col min="12807" max="12807" width="5.85546875" style="551" customWidth="1"/>
    <col min="12808" max="12808" width="6.5703125" style="551" customWidth="1"/>
    <col min="12809" max="12809" width="13.7109375" style="551" customWidth="1"/>
    <col min="12810" max="12811" width="9" style="551" customWidth="1"/>
    <col min="12812" max="12812" width="2.5703125" style="551" customWidth="1"/>
    <col min="12813" max="12813" width="8.85546875" style="551" customWidth="1"/>
    <col min="12814" max="12814" width="7.5703125" style="551" customWidth="1"/>
    <col min="12815" max="12817" width="3.7109375" style="551" customWidth="1"/>
    <col min="12818" max="12818" width="3.5703125" style="551" customWidth="1"/>
    <col min="12819" max="12819" width="2.85546875" style="551" customWidth="1"/>
    <col min="12820" max="12820" width="3" style="551" customWidth="1"/>
    <col min="12821" max="12823" width="0" style="551" hidden="1" customWidth="1"/>
    <col min="12824" max="12824" width="4.42578125" style="551" customWidth="1"/>
    <col min="12825" max="12825" width="0" style="551" hidden="1" customWidth="1"/>
    <col min="12826" max="12827" width="14.85546875" style="551" customWidth="1"/>
    <col min="12828" max="12828" width="15.140625" style="551" customWidth="1"/>
    <col min="12829" max="12829" width="6.42578125" style="551" customWidth="1"/>
    <col min="12830" max="12830" width="15.140625" style="551" customWidth="1"/>
    <col min="12831" max="12831" width="4.140625" style="551" customWidth="1"/>
    <col min="12832" max="12832" width="3" style="551" customWidth="1"/>
    <col min="12833" max="12835" width="0" style="551" hidden="1" customWidth="1"/>
    <col min="12836" max="12836" width="3" style="551" customWidth="1"/>
    <col min="12837" max="12837" width="0" style="551" hidden="1" customWidth="1"/>
    <col min="12838" max="12838" width="3" style="551" customWidth="1"/>
    <col min="12839" max="12839" width="0" style="551" hidden="1" customWidth="1"/>
    <col min="12840" max="12840" width="4.42578125" style="551" customWidth="1"/>
    <col min="12841" max="12841" width="34.28515625" style="551" customWidth="1"/>
    <col min="12842" max="12842" width="23.42578125" style="551" customWidth="1"/>
    <col min="12843" max="12843" width="9.140625" style="551" customWidth="1"/>
    <col min="12844" max="12844" width="19.5703125" style="551" customWidth="1"/>
    <col min="12845" max="12845" width="42.7109375" style="551" customWidth="1"/>
    <col min="12846" max="12846" width="5.85546875" style="551" customWidth="1"/>
    <col min="12847" max="12847" width="31.5703125" style="551" customWidth="1"/>
    <col min="12848" max="12848" width="16.140625" style="551" customWidth="1"/>
    <col min="12849" max="12850" width="9.28515625" style="551" customWidth="1"/>
    <col min="12851" max="12851" width="11.140625" style="551" customWidth="1"/>
    <col min="12852" max="12852" width="2.140625" style="551" customWidth="1"/>
    <col min="12853" max="13058" width="11.42578125" style="551"/>
    <col min="13059" max="13059" width="12" style="551" customWidth="1"/>
    <col min="13060" max="13060" width="2.7109375" style="551" customWidth="1"/>
    <col min="13061" max="13062" width="6.5703125" style="551" customWidth="1"/>
    <col min="13063" max="13063" width="5.85546875" style="551" customWidth="1"/>
    <col min="13064" max="13064" width="6.5703125" style="551" customWidth="1"/>
    <col min="13065" max="13065" width="13.7109375" style="551" customWidth="1"/>
    <col min="13066" max="13067" width="9" style="551" customWidth="1"/>
    <col min="13068" max="13068" width="2.5703125" style="551" customWidth="1"/>
    <col min="13069" max="13069" width="8.85546875" style="551" customWidth="1"/>
    <col min="13070" max="13070" width="7.5703125" style="551" customWidth="1"/>
    <col min="13071" max="13073" width="3.7109375" style="551" customWidth="1"/>
    <col min="13074" max="13074" width="3.5703125" style="551" customWidth="1"/>
    <col min="13075" max="13075" width="2.85546875" style="551" customWidth="1"/>
    <col min="13076" max="13076" width="3" style="551" customWidth="1"/>
    <col min="13077" max="13079" width="0" style="551" hidden="1" customWidth="1"/>
    <col min="13080" max="13080" width="4.42578125" style="551" customWidth="1"/>
    <col min="13081" max="13081" width="0" style="551" hidden="1" customWidth="1"/>
    <col min="13082" max="13083" width="14.85546875" style="551" customWidth="1"/>
    <col min="13084" max="13084" width="15.140625" style="551" customWidth="1"/>
    <col min="13085" max="13085" width="6.42578125" style="551" customWidth="1"/>
    <col min="13086" max="13086" width="15.140625" style="551" customWidth="1"/>
    <col min="13087" max="13087" width="4.140625" style="551" customWidth="1"/>
    <col min="13088" max="13088" width="3" style="551" customWidth="1"/>
    <col min="13089" max="13091" width="0" style="551" hidden="1" customWidth="1"/>
    <col min="13092" max="13092" width="3" style="551" customWidth="1"/>
    <col min="13093" max="13093" width="0" style="551" hidden="1" customWidth="1"/>
    <col min="13094" max="13094" width="3" style="551" customWidth="1"/>
    <col min="13095" max="13095" width="0" style="551" hidden="1" customWidth="1"/>
    <col min="13096" max="13096" width="4.42578125" style="551" customWidth="1"/>
    <col min="13097" max="13097" width="34.28515625" style="551" customWidth="1"/>
    <col min="13098" max="13098" width="23.42578125" style="551" customWidth="1"/>
    <col min="13099" max="13099" width="9.140625" style="551" customWidth="1"/>
    <col min="13100" max="13100" width="19.5703125" style="551" customWidth="1"/>
    <col min="13101" max="13101" width="42.7109375" style="551" customWidth="1"/>
    <col min="13102" max="13102" width="5.85546875" style="551" customWidth="1"/>
    <col min="13103" max="13103" width="31.5703125" style="551" customWidth="1"/>
    <col min="13104" max="13104" width="16.140625" style="551" customWidth="1"/>
    <col min="13105" max="13106" width="9.28515625" style="551" customWidth="1"/>
    <col min="13107" max="13107" width="11.140625" style="551" customWidth="1"/>
    <col min="13108" max="13108" width="2.140625" style="551" customWidth="1"/>
    <col min="13109" max="13314" width="11.42578125" style="551"/>
    <col min="13315" max="13315" width="12" style="551" customWidth="1"/>
    <col min="13316" max="13316" width="2.7109375" style="551" customWidth="1"/>
    <col min="13317" max="13318" width="6.5703125" style="551" customWidth="1"/>
    <col min="13319" max="13319" width="5.85546875" style="551" customWidth="1"/>
    <col min="13320" max="13320" width="6.5703125" style="551" customWidth="1"/>
    <col min="13321" max="13321" width="13.7109375" style="551" customWidth="1"/>
    <col min="13322" max="13323" width="9" style="551" customWidth="1"/>
    <col min="13324" max="13324" width="2.5703125" style="551" customWidth="1"/>
    <col min="13325" max="13325" width="8.85546875" style="551" customWidth="1"/>
    <col min="13326" max="13326" width="7.5703125" style="551" customWidth="1"/>
    <col min="13327" max="13329" width="3.7109375" style="551" customWidth="1"/>
    <col min="13330" max="13330" width="3.5703125" style="551" customWidth="1"/>
    <col min="13331" max="13331" width="2.85546875" style="551" customWidth="1"/>
    <col min="13332" max="13332" width="3" style="551" customWidth="1"/>
    <col min="13333" max="13335" width="0" style="551" hidden="1" customWidth="1"/>
    <col min="13336" max="13336" width="4.42578125" style="551" customWidth="1"/>
    <col min="13337" max="13337" width="0" style="551" hidden="1" customWidth="1"/>
    <col min="13338" max="13339" width="14.85546875" style="551" customWidth="1"/>
    <col min="13340" max="13340" width="15.140625" style="551" customWidth="1"/>
    <col min="13341" max="13341" width="6.42578125" style="551" customWidth="1"/>
    <col min="13342" max="13342" width="15.140625" style="551" customWidth="1"/>
    <col min="13343" max="13343" width="4.140625" style="551" customWidth="1"/>
    <col min="13344" max="13344" width="3" style="551" customWidth="1"/>
    <col min="13345" max="13347" width="0" style="551" hidden="1" customWidth="1"/>
    <col min="13348" max="13348" width="3" style="551" customWidth="1"/>
    <col min="13349" max="13349" width="0" style="551" hidden="1" customWidth="1"/>
    <col min="13350" max="13350" width="3" style="551" customWidth="1"/>
    <col min="13351" max="13351" width="0" style="551" hidden="1" customWidth="1"/>
    <col min="13352" max="13352" width="4.42578125" style="551" customWidth="1"/>
    <col min="13353" max="13353" width="34.28515625" style="551" customWidth="1"/>
    <col min="13354" max="13354" width="23.42578125" style="551" customWidth="1"/>
    <col min="13355" max="13355" width="9.140625" style="551" customWidth="1"/>
    <col min="13356" max="13356" width="19.5703125" style="551" customWidth="1"/>
    <col min="13357" max="13357" width="42.7109375" style="551" customWidth="1"/>
    <col min="13358" max="13358" width="5.85546875" style="551" customWidth="1"/>
    <col min="13359" max="13359" width="31.5703125" style="551" customWidth="1"/>
    <col min="13360" max="13360" width="16.140625" style="551" customWidth="1"/>
    <col min="13361" max="13362" width="9.28515625" style="551" customWidth="1"/>
    <col min="13363" max="13363" width="11.140625" style="551" customWidth="1"/>
    <col min="13364" max="13364" width="2.140625" style="551" customWidth="1"/>
    <col min="13365" max="13570" width="11.42578125" style="551"/>
    <col min="13571" max="13571" width="12" style="551" customWidth="1"/>
    <col min="13572" max="13572" width="2.7109375" style="551" customWidth="1"/>
    <col min="13573" max="13574" width="6.5703125" style="551" customWidth="1"/>
    <col min="13575" max="13575" width="5.85546875" style="551" customWidth="1"/>
    <col min="13576" max="13576" width="6.5703125" style="551" customWidth="1"/>
    <col min="13577" max="13577" width="13.7109375" style="551" customWidth="1"/>
    <col min="13578" max="13579" width="9" style="551" customWidth="1"/>
    <col min="13580" max="13580" width="2.5703125" style="551" customWidth="1"/>
    <col min="13581" max="13581" width="8.85546875" style="551" customWidth="1"/>
    <col min="13582" max="13582" width="7.5703125" style="551" customWidth="1"/>
    <col min="13583" max="13585" width="3.7109375" style="551" customWidth="1"/>
    <col min="13586" max="13586" width="3.5703125" style="551" customWidth="1"/>
    <col min="13587" max="13587" width="2.85546875" style="551" customWidth="1"/>
    <col min="13588" max="13588" width="3" style="551" customWidth="1"/>
    <col min="13589" max="13591" width="0" style="551" hidden="1" customWidth="1"/>
    <col min="13592" max="13592" width="4.42578125" style="551" customWidth="1"/>
    <col min="13593" max="13593" width="0" style="551" hidden="1" customWidth="1"/>
    <col min="13594" max="13595" width="14.85546875" style="551" customWidth="1"/>
    <col min="13596" max="13596" width="15.140625" style="551" customWidth="1"/>
    <col min="13597" max="13597" width="6.42578125" style="551" customWidth="1"/>
    <col min="13598" max="13598" width="15.140625" style="551" customWidth="1"/>
    <col min="13599" max="13599" width="4.140625" style="551" customWidth="1"/>
    <col min="13600" max="13600" width="3" style="551" customWidth="1"/>
    <col min="13601" max="13603" width="0" style="551" hidden="1" customWidth="1"/>
    <col min="13604" max="13604" width="3" style="551" customWidth="1"/>
    <col min="13605" max="13605" width="0" style="551" hidden="1" customWidth="1"/>
    <col min="13606" max="13606" width="3" style="551" customWidth="1"/>
    <col min="13607" max="13607" width="0" style="551" hidden="1" customWidth="1"/>
    <col min="13608" max="13608" width="4.42578125" style="551" customWidth="1"/>
    <col min="13609" max="13609" width="34.28515625" style="551" customWidth="1"/>
    <col min="13610" max="13610" width="23.42578125" style="551" customWidth="1"/>
    <col min="13611" max="13611" width="9.140625" style="551" customWidth="1"/>
    <col min="13612" max="13612" width="19.5703125" style="551" customWidth="1"/>
    <col min="13613" max="13613" width="42.7109375" style="551" customWidth="1"/>
    <col min="13614" max="13614" width="5.85546875" style="551" customWidth="1"/>
    <col min="13615" max="13615" width="31.5703125" style="551" customWidth="1"/>
    <col min="13616" max="13616" width="16.140625" style="551" customWidth="1"/>
    <col min="13617" max="13618" width="9.28515625" style="551" customWidth="1"/>
    <col min="13619" max="13619" width="11.140625" style="551" customWidth="1"/>
    <col min="13620" max="13620" width="2.140625" style="551" customWidth="1"/>
    <col min="13621" max="13826" width="11.42578125" style="551"/>
    <col min="13827" max="13827" width="12" style="551" customWidth="1"/>
    <col min="13828" max="13828" width="2.7109375" style="551" customWidth="1"/>
    <col min="13829" max="13830" width="6.5703125" style="551" customWidth="1"/>
    <col min="13831" max="13831" width="5.85546875" style="551" customWidth="1"/>
    <col min="13832" max="13832" width="6.5703125" style="551" customWidth="1"/>
    <col min="13833" max="13833" width="13.7109375" style="551" customWidth="1"/>
    <col min="13834" max="13835" width="9" style="551" customWidth="1"/>
    <col min="13836" max="13836" width="2.5703125" style="551" customWidth="1"/>
    <col min="13837" max="13837" width="8.85546875" style="551" customWidth="1"/>
    <col min="13838" max="13838" width="7.5703125" style="551" customWidth="1"/>
    <col min="13839" max="13841" width="3.7109375" style="551" customWidth="1"/>
    <col min="13842" max="13842" width="3.5703125" style="551" customWidth="1"/>
    <col min="13843" max="13843" width="2.85546875" style="551" customWidth="1"/>
    <col min="13844" max="13844" width="3" style="551" customWidth="1"/>
    <col min="13845" max="13847" width="0" style="551" hidden="1" customWidth="1"/>
    <col min="13848" max="13848" width="4.42578125" style="551" customWidth="1"/>
    <col min="13849" max="13849" width="0" style="551" hidden="1" customWidth="1"/>
    <col min="13850" max="13851" width="14.85546875" style="551" customWidth="1"/>
    <col min="13852" max="13852" width="15.140625" style="551" customWidth="1"/>
    <col min="13853" max="13853" width="6.42578125" style="551" customWidth="1"/>
    <col min="13854" max="13854" width="15.140625" style="551" customWidth="1"/>
    <col min="13855" max="13855" width="4.140625" style="551" customWidth="1"/>
    <col min="13856" max="13856" width="3" style="551" customWidth="1"/>
    <col min="13857" max="13859" width="0" style="551" hidden="1" customWidth="1"/>
    <col min="13860" max="13860" width="3" style="551" customWidth="1"/>
    <col min="13861" max="13861" width="0" style="551" hidden="1" customWidth="1"/>
    <col min="13862" max="13862" width="3" style="551" customWidth="1"/>
    <col min="13863" max="13863" width="0" style="551" hidden="1" customWidth="1"/>
    <col min="13864" max="13864" width="4.42578125" style="551" customWidth="1"/>
    <col min="13865" max="13865" width="34.28515625" style="551" customWidth="1"/>
    <col min="13866" max="13866" width="23.42578125" style="551" customWidth="1"/>
    <col min="13867" max="13867" width="9.140625" style="551" customWidth="1"/>
    <col min="13868" max="13868" width="19.5703125" style="551" customWidth="1"/>
    <col min="13869" max="13869" width="42.7109375" style="551" customWidth="1"/>
    <col min="13870" max="13870" width="5.85546875" style="551" customWidth="1"/>
    <col min="13871" max="13871" width="31.5703125" style="551" customWidth="1"/>
    <col min="13872" max="13872" width="16.140625" style="551" customWidth="1"/>
    <col min="13873" max="13874" width="9.28515625" style="551" customWidth="1"/>
    <col min="13875" max="13875" width="11.140625" style="551" customWidth="1"/>
    <col min="13876" max="13876" width="2.140625" style="551" customWidth="1"/>
    <col min="13877" max="14082" width="11.42578125" style="551"/>
    <col min="14083" max="14083" width="12" style="551" customWidth="1"/>
    <col min="14084" max="14084" width="2.7109375" style="551" customWidth="1"/>
    <col min="14085" max="14086" width="6.5703125" style="551" customWidth="1"/>
    <col min="14087" max="14087" width="5.85546875" style="551" customWidth="1"/>
    <col min="14088" max="14088" width="6.5703125" style="551" customWidth="1"/>
    <col min="14089" max="14089" width="13.7109375" style="551" customWidth="1"/>
    <col min="14090" max="14091" width="9" style="551" customWidth="1"/>
    <col min="14092" max="14092" width="2.5703125" style="551" customWidth="1"/>
    <col min="14093" max="14093" width="8.85546875" style="551" customWidth="1"/>
    <col min="14094" max="14094" width="7.5703125" style="551" customWidth="1"/>
    <col min="14095" max="14097" width="3.7109375" style="551" customWidth="1"/>
    <col min="14098" max="14098" width="3.5703125" style="551" customWidth="1"/>
    <col min="14099" max="14099" width="2.85546875" style="551" customWidth="1"/>
    <col min="14100" max="14100" width="3" style="551" customWidth="1"/>
    <col min="14101" max="14103" width="0" style="551" hidden="1" customWidth="1"/>
    <col min="14104" max="14104" width="4.42578125" style="551" customWidth="1"/>
    <col min="14105" max="14105" width="0" style="551" hidden="1" customWidth="1"/>
    <col min="14106" max="14107" width="14.85546875" style="551" customWidth="1"/>
    <col min="14108" max="14108" width="15.140625" style="551" customWidth="1"/>
    <col min="14109" max="14109" width="6.42578125" style="551" customWidth="1"/>
    <col min="14110" max="14110" width="15.140625" style="551" customWidth="1"/>
    <col min="14111" max="14111" width="4.140625" style="551" customWidth="1"/>
    <col min="14112" max="14112" width="3" style="551" customWidth="1"/>
    <col min="14113" max="14115" width="0" style="551" hidden="1" customWidth="1"/>
    <col min="14116" max="14116" width="3" style="551" customWidth="1"/>
    <col min="14117" max="14117" width="0" style="551" hidden="1" customWidth="1"/>
    <col min="14118" max="14118" width="3" style="551" customWidth="1"/>
    <col min="14119" max="14119" width="0" style="551" hidden="1" customWidth="1"/>
    <col min="14120" max="14120" width="4.42578125" style="551" customWidth="1"/>
    <col min="14121" max="14121" width="34.28515625" style="551" customWidth="1"/>
    <col min="14122" max="14122" width="23.42578125" style="551" customWidth="1"/>
    <col min="14123" max="14123" width="9.140625" style="551" customWidth="1"/>
    <col min="14124" max="14124" width="19.5703125" style="551" customWidth="1"/>
    <col min="14125" max="14125" width="42.7109375" style="551" customWidth="1"/>
    <col min="14126" max="14126" width="5.85546875" style="551" customWidth="1"/>
    <col min="14127" max="14127" width="31.5703125" style="551" customWidth="1"/>
    <col min="14128" max="14128" width="16.140625" style="551" customWidth="1"/>
    <col min="14129" max="14130" width="9.28515625" style="551" customWidth="1"/>
    <col min="14131" max="14131" width="11.140625" style="551" customWidth="1"/>
    <col min="14132" max="14132" width="2.140625" style="551" customWidth="1"/>
    <col min="14133" max="14338" width="11.42578125" style="551"/>
    <col min="14339" max="14339" width="12" style="551" customWidth="1"/>
    <col min="14340" max="14340" width="2.7109375" style="551" customWidth="1"/>
    <col min="14341" max="14342" width="6.5703125" style="551" customWidth="1"/>
    <col min="14343" max="14343" width="5.85546875" style="551" customWidth="1"/>
    <col min="14344" max="14344" width="6.5703125" style="551" customWidth="1"/>
    <col min="14345" max="14345" width="13.7109375" style="551" customWidth="1"/>
    <col min="14346" max="14347" width="9" style="551" customWidth="1"/>
    <col min="14348" max="14348" width="2.5703125" style="551" customWidth="1"/>
    <col min="14349" max="14349" width="8.85546875" style="551" customWidth="1"/>
    <col min="14350" max="14350" width="7.5703125" style="551" customWidth="1"/>
    <col min="14351" max="14353" width="3.7109375" style="551" customWidth="1"/>
    <col min="14354" max="14354" width="3.5703125" style="551" customWidth="1"/>
    <col min="14355" max="14355" width="2.85546875" style="551" customWidth="1"/>
    <col min="14356" max="14356" width="3" style="551" customWidth="1"/>
    <col min="14357" max="14359" width="0" style="551" hidden="1" customWidth="1"/>
    <col min="14360" max="14360" width="4.42578125" style="551" customWidth="1"/>
    <col min="14361" max="14361" width="0" style="551" hidden="1" customWidth="1"/>
    <col min="14362" max="14363" width="14.85546875" style="551" customWidth="1"/>
    <col min="14364" max="14364" width="15.140625" style="551" customWidth="1"/>
    <col min="14365" max="14365" width="6.42578125" style="551" customWidth="1"/>
    <col min="14366" max="14366" width="15.140625" style="551" customWidth="1"/>
    <col min="14367" max="14367" width="4.140625" style="551" customWidth="1"/>
    <col min="14368" max="14368" width="3" style="551" customWidth="1"/>
    <col min="14369" max="14371" width="0" style="551" hidden="1" customWidth="1"/>
    <col min="14372" max="14372" width="3" style="551" customWidth="1"/>
    <col min="14373" max="14373" width="0" style="551" hidden="1" customWidth="1"/>
    <col min="14374" max="14374" width="3" style="551" customWidth="1"/>
    <col min="14375" max="14375" width="0" style="551" hidden="1" customWidth="1"/>
    <col min="14376" max="14376" width="4.42578125" style="551" customWidth="1"/>
    <col min="14377" max="14377" width="34.28515625" style="551" customWidth="1"/>
    <col min="14378" max="14378" width="23.42578125" style="551" customWidth="1"/>
    <col min="14379" max="14379" width="9.140625" style="551" customWidth="1"/>
    <col min="14380" max="14380" width="19.5703125" style="551" customWidth="1"/>
    <col min="14381" max="14381" width="42.7109375" style="551" customWidth="1"/>
    <col min="14382" max="14382" width="5.85546875" style="551" customWidth="1"/>
    <col min="14383" max="14383" width="31.5703125" style="551" customWidth="1"/>
    <col min="14384" max="14384" width="16.140625" style="551" customWidth="1"/>
    <col min="14385" max="14386" width="9.28515625" style="551" customWidth="1"/>
    <col min="14387" max="14387" width="11.140625" style="551" customWidth="1"/>
    <col min="14388" max="14388" width="2.140625" style="551" customWidth="1"/>
    <col min="14389" max="14594" width="11.42578125" style="551"/>
    <col min="14595" max="14595" width="12" style="551" customWidth="1"/>
    <col min="14596" max="14596" width="2.7109375" style="551" customWidth="1"/>
    <col min="14597" max="14598" width="6.5703125" style="551" customWidth="1"/>
    <col min="14599" max="14599" width="5.85546875" style="551" customWidth="1"/>
    <col min="14600" max="14600" width="6.5703125" style="551" customWidth="1"/>
    <col min="14601" max="14601" width="13.7109375" style="551" customWidth="1"/>
    <col min="14602" max="14603" width="9" style="551" customWidth="1"/>
    <col min="14604" max="14604" width="2.5703125" style="551" customWidth="1"/>
    <col min="14605" max="14605" width="8.85546875" style="551" customWidth="1"/>
    <col min="14606" max="14606" width="7.5703125" style="551" customWidth="1"/>
    <col min="14607" max="14609" width="3.7109375" style="551" customWidth="1"/>
    <col min="14610" max="14610" width="3.5703125" style="551" customWidth="1"/>
    <col min="14611" max="14611" width="2.85546875" style="551" customWidth="1"/>
    <col min="14612" max="14612" width="3" style="551" customWidth="1"/>
    <col min="14613" max="14615" width="0" style="551" hidden="1" customWidth="1"/>
    <col min="14616" max="14616" width="4.42578125" style="551" customWidth="1"/>
    <col min="14617" max="14617" width="0" style="551" hidden="1" customWidth="1"/>
    <col min="14618" max="14619" width="14.85546875" style="551" customWidth="1"/>
    <col min="14620" max="14620" width="15.140625" style="551" customWidth="1"/>
    <col min="14621" max="14621" width="6.42578125" style="551" customWidth="1"/>
    <col min="14622" max="14622" width="15.140625" style="551" customWidth="1"/>
    <col min="14623" max="14623" width="4.140625" style="551" customWidth="1"/>
    <col min="14624" max="14624" width="3" style="551" customWidth="1"/>
    <col min="14625" max="14627" width="0" style="551" hidden="1" customWidth="1"/>
    <col min="14628" max="14628" width="3" style="551" customWidth="1"/>
    <col min="14629" max="14629" width="0" style="551" hidden="1" customWidth="1"/>
    <col min="14630" max="14630" width="3" style="551" customWidth="1"/>
    <col min="14631" max="14631" width="0" style="551" hidden="1" customWidth="1"/>
    <col min="14632" max="14632" width="4.42578125" style="551" customWidth="1"/>
    <col min="14633" max="14633" width="34.28515625" style="551" customWidth="1"/>
    <col min="14634" max="14634" width="23.42578125" style="551" customWidth="1"/>
    <col min="14635" max="14635" width="9.140625" style="551" customWidth="1"/>
    <col min="14636" max="14636" width="19.5703125" style="551" customWidth="1"/>
    <col min="14637" max="14637" width="42.7109375" style="551" customWidth="1"/>
    <col min="14638" max="14638" width="5.85546875" style="551" customWidth="1"/>
    <col min="14639" max="14639" width="31.5703125" style="551" customWidth="1"/>
    <col min="14640" max="14640" width="16.140625" style="551" customWidth="1"/>
    <col min="14641" max="14642" width="9.28515625" style="551" customWidth="1"/>
    <col min="14643" max="14643" width="11.140625" style="551" customWidth="1"/>
    <col min="14644" max="14644" width="2.140625" style="551" customWidth="1"/>
    <col min="14645" max="14850" width="11.42578125" style="551"/>
    <col min="14851" max="14851" width="12" style="551" customWidth="1"/>
    <col min="14852" max="14852" width="2.7109375" style="551" customWidth="1"/>
    <col min="14853" max="14854" width="6.5703125" style="551" customWidth="1"/>
    <col min="14855" max="14855" width="5.85546875" style="551" customWidth="1"/>
    <col min="14856" max="14856" width="6.5703125" style="551" customWidth="1"/>
    <col min="14857" max="14857" width="13.7109375" style="551" customWidth="1"/>
    <col min="14858" max="14859" width="9" style="551" customWidth="1"/>
    <col min="14860" max="14860" width="2.5703125" style="551" customWidth="1"/>
    <col min="14861" max="14861" width="8.85546875" style="551" customWidth="1"/>
    <col min="14862" max="14862" width="7.5703125" style="551" customWidth="1"/>
    <col min="14863" max="14865" width="3.7109375" style="551" customWidth="1"/>
    <col min="14866" max="14866" width="3.5703125" style="551" customWidth="1"/>
    <col min="14867" max="14867" width="2.85546875" style="551" customWidth="1"/>
    <col min="14868" max="14868" width="3" style="551" customWidth="1"/>
    <col min="14869" max="14871" width="0" style="551" hidden="1" customWidth="1"/>
    <col min="14872" max="14872" width="4.42578125" style="551" customWidth="1"/>
    <col min="14873" max="14873" width="0" style="551" hidden="1" customWidth="1"/>
    <col min="14874" max="14875" width="14.85546875" style="551" customWidth="1"/>
    <col min="14876" max="14876" width="15.140625" style="551" customWidth="1"/>
    <col min="14877" max="14877" width="6.42578125" style="551" customWidth="1"/>
    <col min="14878" max="14878" width="15.140625" style="551" customWidth="1"/>
    <col min="14879" max="14879" width="4.140625" style="551" customWidth="1"/>
    <col min="14880" max="14880" width="3" style="551" customWidth="1"/>
    <col min="14881" max="14883" width="0" style="551" hidden="1" customWidth="1"/>
    <col min="14884" max="14884" width="3" style="551" customWidth="1"/>
    <col min="14885" max="14885" width="0" style="551" hidden="1" customWidth="1"/>
    <col min="14886" max="14886" width="3" style="551" customWidth="1"/>
    <col min="14887" max="14887" width="0" style="551" hidden="1" customWidth="1"/>
    <col min="14888" max="14888" width="4.42578125" style="551" customWidth="1"/>
    <col min="14889" max="14889" width="34.28515625" style="551" customWidth="1"/>
    <col min="14890" max="14890" width="23.42578125" style="551" customWidth="1"/>
    <col min="14891" max="14891" width="9.140625" style="551" customWidth="1"/>
    <col min="14892" max="14892" width="19.5703125" style="551" customWidth="1"/>
    <col min="14893" max="14893" width="42.7109375" style="551" customWidth="1"/>
    <col min="14894" max="14894" width="5.85546875" style="551" customWidth="1"/>
    <col min="14895" max="14895" width="31.5703125" style="551" customWidth="1"/>
    <col min="14896" max="14896" width="16.140625" style="551" customWidth="1"/>
    <col min="14897" max="14898" width="9.28515625" style="551" customWidth="1"/>
    <col min="14899" max="14899" width="11.140625" style="551" customWidth="1"/>
    <col min="14900" max="14900" width="2.140625" style="551" customWidth="1"/>
    <col min="14901" max="15106" width="11.42578125" style="551"/>
    <col min="15107" max="15107" width="12" style="551" customWidth="1"/>
    <col min="15108" max="15108" width="2.7109375" style="551" customWidth="1"/>
    <col min="15109" max="15110" width="6.5703125" style="551" customWidth="1"/>
    <col min="15111" max="15111" width="5.85546875" style="551" customWidth="1"/>
    <col min="15112" max="15112" width="6.5703125" style="551" customWidth="1"/>
    <col min="15113" max="15113" width="13.7109375" style="551" customWidth="1"/>
    <col min="15114" max="15115" width="9" style="551" customWidth="1"/>
    <col min="15116" max="15116" width="2.5703125" style="551" customWidth="1"/>
    <col min="15117" max="15117" width="8.85546875" style="551" customWidth="1"/>
    <col min="15118" max="15118" width="7.5703125" style="551" customWidth="1"/>
    <col min="15119" max="15121" width="3.7109375" style="551" customWidth="1"/>
    <col min="15122" max="15122" width="3.5703125" style="551" customWidth="1"/>
    <col min="15123" max="15123" width="2.85546875" style="551" customWidth="1"/>
    <col min="15124" max="15124" width="3" style="551" customWidth="1"/>
    <col min="15125" max="15127" width="0" style="551" hidden="1" customWidth="1"/>
    <col min="15128" max="15128" width="4.42578125" style="551" customWidth="1"/>
    <col min="15129" max="15129" width="0" style="551" hidden="1" customWidth="1"/>
    <col min="15130" max="15131" width="14.85546875" style="551" customWidth="1"/>
    <col min="15132" max="15132" width="15.140625" style="551" customWidth="1"/>
    <col min="15133" max="15133" width="6.42578125" style="551" customWidth="1"/>
    <col min="15134" max="15134" width="15.140625" style="551" customWidth="1"/>
    <col min="15135" max="15135" width="4.140625" style="551" customWidth="1"/>
    <col min="15136" max="15136" width="3" style="551" customWidth="1"/>
    <col min="15137" max="15139" width="0" style="551" hidden="1" customWidth="1"/>
    <col min="15140" max="15140" width="3" style="551" customWidth="1"/>
    <col min="15141" max="15141" width="0" style="551" hidden="1" customWidth="1"/>
    <col min="15142" max="15142" width="3" style="551" customWidth="1"/>
    <col min="15143" max="15143" width="0" style="551" hidden="1" customWidth="1"/>
    <col min="15144" max="15144" width="4.42578125" style="551" customWidth="1"/>
    <col min="15145" max="15145" width="34.28515625" style="551" customWidth="1"/>
    <col min="15146" max="15146" width="23.42578125" style="551" customWidth="1"/>
    <col min="15147" max="15147" width="9.140625" style="551" customWidth="1"/>
    <col min="15148" max="15148" width="19.5703125" style="551" customWidth="1"/>
    <col min="15149" max="15149" width="42.7109375" style="551" customWidth="1"/>
    <col min="15150" max="15150" width="5.85546875" style="551" customWidth="1"/>
    <col min="15151" max="15151" width="31.5703125" style="551" customWidth="1"/>
    <col min="15152" max="15152" width="16.140625" style="551" customWidth="1"/>
    <col min="15153" max="15154" width="9.28515625" style="551" customWidth="1"/>
    <col min="15155" max="15155" width="11.140625" style="551" customWidth="1"/>
    <col min="15156" max="15156" width="2.140625" style="551" customWidth="1"/>
    <col min="15157" max="15362" width="11.42578125" style="551"/>
    <col min="15363" max="15363" width="12" style="551" customWidth="1"/>
    <col min="15364" max="15364" width="2.7109375" style="551" customWidth="1"/>
    <col min="15365" max="15366" width="6.5703125" style="551" customWidth="1"/>
    <col min="15367" max="15367" width="5.85546875" style="551" customWidth="1"/>
    <col min="15368" max="15368" width="6.5703125" style="551" customWidth="1"/>
    <col min="15369" max="15369" width="13.7109375" style="551" customWidth="1"/>
    <col min="15370" max="15371" width="9" style="551" customWidth="1"/>
    <col min="15372" max="15372" width="2.5703125" style="551" customWidth="1"/>
    <col min="15373" max="15373" width="8.85546875" style="551" customWidth="1"/>
    <col min="15374" max="15374" width="7.5703125" style="551" customWidth="1"/>
    <col min="15375" max="15377" width="3.7109375" style="551" customWidth="1"/>
    <col min="15378" max="15378" width="3.5703125" style="551" customWidth="1"/>
    <col min="15379" max="15379" width="2.85546875" style="551" customWidth="1"/>
    <col min="15380" max="15380" width="3" style="551" customWidth="1"/>
    <col min="15381" max="15383" width="0" style="551" hidden="1" customWidth="1"/>
    <col min="15384" max="15384" width="4.42578125" style="551" customWidth="1"/>
    <col min="15385" max="15385" width="0" style="551" hidden="1" customWidth="1"/>
    <col min="15386" max="15387" width="14.85546875" style="551" customWidth="1"/>
    <col min="15388" max="15388" width="15.140625" style="551" customWidth="1"/>
    <col min="15389" max="15389" width="6.42578125" style="551" customWidth="1"/>
    <col min="15390" max="15390" width="15.140625" style="551" customWidth="1"/>
    <col min="15391" max="15391" width="4.140625" style="551" customWidth="1"/>
    <col min="15392" max="15392" width="3" style="551" customWidth="1"/>
    <col min="15393" max="15395" width="0" style="551" hidden="1" customWidth="1"/>
    <col min="15396" max="15396" width="3" style="551" customWidth="1"/>
    <col min="15397" max="15397" width="0" style="551" hidden="1" customWidth="1"/>
    <col min="15398" max="15398" width="3" style="551" customWidth="1"/>
    <col min="15399" max="15399" width="0" style="551" hidden="1" customWidth="1"/>
    <col min="15400" max="15400" width="4.42578125" style="551" customWidth="1"/>
    <col min="15401" max="15401" width="34.28515625" style="551" customWidth="1"/>
    <col min="15402" max="15402" width="23.42578125" style="551" customWidth="1"/>
    <col min="15403" max="15403" width="9.140625" style="551" customWidth="1"/>
    <col min="15404" max="15404" width="19.5703125" style="551" customWidth="1"/>
    <col min="15405" max="15405" width="42.7109375" style="551" customWidth="1"/>
    <col min="15406" max="15406" width="5.85546875" style="551" customWidth="1"/>
    <col min="15407" max="15407" width="31.5703125" style="551" customWidth="1"/>
    <col min="15408" max="15408" width="16.140625" style="551" customWidth="1"/>
    <col min="15409" max="15410" width="9.28515625" style="551" customWidth="1"/>
    <col min="15411" max="15411" width="11.140625" style="551" customWidth="1"/>
    <col min="15412" max="15412" width="2.140625" style="551" customWidth="1"/>
    <col min="15413" max="15618" width="11.42578125" style="551"/>
    <col min="15619" max="15619" width="12" style="551" customWidth="1"/>
    <col min="15620" max="15620" width="2.7109375" style="551" customWidth="1"/>
    <col min="15621" max="15622" width="6.5703125" style="551" customWidth="1"/>
    <col min="15623" max="15623" width="5.85546875" style="551" customWidth="1"/>
    <col min="15624" max="15624" width="6.5703125" style="551" customWidth="1"/>
    <col min="15625" max="15625" width="13.7109375" style="551" customWidth="1"/>
    <col min="15626" max="15627" width="9" style="551" customWidth="1"/>
    <col min="15628" max="15628" width="2.5703125" style="551" customWidth="1"/>
    <col min="15629" max="15629" width="8.85546875" style="551" customWidth="1"/>
    <col min="15630" max="15630" width="7.5703125" style="551" customWidth="1"/>
    <col min="15631" max="15633" width="3.7109375" style="551" customWidth="1"/>
    <col min="15634" max="15634" width="3.5703125" style="551" customWidth="1"/>
    <col min="15635" max="15635" width="2.85546875" style="551" customWidth="1"/>
    <col min="15636" max="15636" width="3" style="551" customWidth="1"/>
    <col min="15637" max="15639" width="0" style="551" hidden="1" customWidth="1"/>
    <col min="15640" max="15640" width="4.42578125" style="551" customWidth="1"/>
    <col min="15641" max="15641" width="0" style="551" hidden="1" customWidth="1"/>
    <col min="15642" max="15643" width="14.85546875" style="551" customWidth="1"/>
    <col min="15644" max="15644" width="15.140625" style="551" customWidth="1"/>
    <col min="15645" max="15645" width="6.42578125" style="551" customWidth="1"/>
    <col min="15646" max="15646" width="15.140625" style="551" customWidth="1"/>
    <col min="15647" max="15647" width="4.140625" style="551" customWidth="1"/>
    <col min="15648" max="15648" width="3" style="551" customWidth="1"/>
    <col min="15649" max="15651" width="0" style="551" hidden="1" customWidth="1"/>
    <col min="15652" max="15652" width="3" style="551" customWidth="1"/>
    <col min="15653" max="15653" width="0" style="551" hidden="1" customWidth="1"/>
    <col min="15654" max="15654" width="3" style="551" customWidth="1"/>
    <col min="15655" max="15655" width="0" style="551" hidden="1" customWidth="1"/>
    <col min="15656" max="15656" width="4.42578125" style="551" customWidth="1"/>
    <col min="15657" max="15657" width="34.28515625" style="551" customWidth="1"/>
    <col min="15658" max="15658" width="23.42578125" style="551" customWidth="1"/>
    <col min="15659" max="15659" width="9.140625" style="551" customWidth="1"/>
    <col min="15660" max="15660" width="19.5703125" style="551" customWidth="1"/>
    <col min="15661" max="15661" width="42.7109375" style="551" customWidth="1"/>
    <col min="15662" max="15662" width="5.85546875" style="551" customWidth="1"/>
    <col min="15663" max="15663" width="31.5703125" style="551" customWidth="1"/>
    <col min="15664" max="15664" width="16.140625" style="551" customWidth="1"/>
    <col min="15665" max="15666" width="9.28515625" style="551" customWidth="1"/>
    <col min="15667" max="15667" width="11.140625" style="551" customWidth="1"/>
    <col min="15668" max="15668" width="2.140625" style="551" customWidth="1"/>
    <col min="15669" max="15874" width="11.42578125" style="551"/>
    <col min="15875" max="15875" width="12" style="551" customWidth="1"/>
    <col min="15876" max="15876" width="2.7109375" style="551" customWidth="1"/>
    <col min="15877" max="15878" width="6.5703125" style="551" customWidth="1"/>
    <col min="15879" max="15879" width="5.85546875" style="551" customWidth="1"/>
    <col min="15880" max="15880" width="6.5703125" style="551" customWidth="1"/>
    <col min="15881" max="15881" width="13.7109375" style="551" customWidth="1"/>
    <col min="15882" max="15883" width="9" style="551" customWidth="1"/>
    <col min="15884" max="15884" width="2.5703125" style="551" customWidth="1"/>
    <col min="15885" max="15885" width="8.85546875" style="551" customWidth="1"/>
    <col min="15886" max="15886" width="7.5703125" style="551" customWidth="1"/>
    <col min="15887" max="15889" width="3.7109375" style="551" customWidth="1"/>
    <col min="15890" max="15890" width="3.5703125" style="551" customWidth="1"/>
    <col min="15891" max="15891" width="2.85546875" style="551" customWidth="1"/>
    <col min="15892" max="15892" width="3" style="551" customWidth="1"/>
    <col min="15893" max="15895" width="0" style="551" hidden="1" customWidth="1"/>
    <col min="15896" max="15896" width="4.42578125" style="551" customWidth="1"/>
    <col min="15897" max="15897" width="0" style="551" hidden="1" customWidth="1"/>
    <col min="15898" max="15899" width="14.85546875" style="551" customWidth="1"/>
    <col min="15900" max="15900" width="15.140625" style="551" customWidth="1"/>
    <col min="15901" max="15901" width="6.42578125" style="551" customWidth="1"/>
    <col min="15902" max="15902" width="15.140625" style="551" customWidth="1"/>
    <col min="15903" max="15903" width="4.140625" style="551" customWidth="1"/>
    <col min="15904" max="15904" width="3" style="551" customWidth="1"/>
    <col min="15905" max="15907" width="0" style="551" hidden="1" customWidth="1"/>
    <col min="15908" max="15908" width="3" style="551" customWidth="1"/>
    <col min="15909" max="15909" width="0" style="551" hidden="1" customWidth="1"/>
    <col min="15910" max="15910" width="3" style="551" customWidth="1"/>
    <col min="15911" max="15911" width="0" style="551" hidden="1" customWidth="1"/>
    <col min="15912" max="15912" width="4.42578125" style="551" customWidth="1"/>
    <col min="15913" max="15913" width="34.28515625" style="551" customWidth="1"/>
    <col min="15914" max="15914" width="23.42578125" style="551" customWidth="1"/>
    <col min="15915" max="15915" width="9.140625" style="551" customWidth="1"/>
    <col min="15916" max="15916" width="19.5703125" style="551" customWidth="1"/>
    <col min="15917" max="15917" width="42.7109375" style="551" customWidth="1"/>
    <col min="15918" max="15918" width="5.85546875" style="551" customWidth="1"/>
    <col min="15919" max="15919" width="31.5703125" style="551" customWidth="1"/>
    <col min="15920" max="15920" width="16.140625" style="551" customWidth="1"/>
    <col min="15921" max="15922" width="9.28515625" style="551" customWidth="1"/>
    <col min="15923" max="15923" width="11.140625" style="551" customWidth="1"/>
    <col min="15924" max="15924" width="2.140625" style="551" customWidth="1"/>
    <col min="15925" max="16130" width="11.42578125" style="551"/>
    <col min="16131" max="16131" width="12" style="551" customWidth="1"/>
    <col min="16132" max="16132" width="2.7109375" style="551" customWidth="1"/>
    <col min="16133" max="16134" width="6.5703125" style="551" customWidth="1"/>
    <col min="16135" max="16135" width="5.85546875" style="551" customWidth="1"/>
    <col min="16136" max="16136" width="6.5703125" style="551" customWidth="1"/>
    <col min="16137" max="16137" width="13.7109375" style="551" customWidth="1"/>
    <col min="16138" max="16139" width="9" style="551" customWidth="1"/>
    <col min="16140" max="16140" width="2.5703125" style="551" customWidth="1"/>
    <col min="16141" max="16141" width="8.85546875" style="551" customWidth="1"/>
    <col min="16142" max="16142" width="7.5703125" style="551" customWidth="1"/>
    <col min="16143" max="16145" width="3.7109375" style="551" customWidth="1"/>
    <col min="16146" max="16146" width="3.5703125" style="551" customWidth="1"/>
    <col min="16147" max="16147" width="2.85546875" style="551" customWidth="1"/>
    <col min="16148" max="16148" width="3" style="551" customWidth="1"/>
    <col min="16149" max="16151" width="0" style="551" hidden="1" customWidth="1"/>
    <col min="16152" max="16152" width="4.42578125" style="551" customWidth="1"/>
    <col min="16153" max="16153" width="0" style="551" hidden="1" customWidth="1"/>
    <col min="16154" max="16155" width="14.85546875" style="551" customWidth="1"/>
    <col min="16156" max="16156" width="15.140625" style="551" customWidth="1"/>
    <col min="16157" max="16157" width="6.42578125" style="551" customWidth="1"/>
    <col min="16158" max="16158" width="15.140625" style="551" customWidth="1"/>
    <col min="16159" max="16159" width="4.140625" style="551" customWidth="1"/>
    <col min="16160" max="16160" width="3" style="551" customWidth="1"/>
    <col min="16161" max="16163" width="0" style="551" hidden="1" customWidth="1"/>
    <col min="16164" max="16164" width="3" style="551" customWidth="1"/>
    <col min="16165" max="16165" width="0" style="551" hidden="1" customWidth="1"/>
    <col min="16166" max="16166" width="3" style="551" customWidth="1"/>
    <col min="16167" max="16167" width="0" style="551" hidden="1" customWidth="1"/>
    <col min="16168" max="16168" width="4.42578125" style="551" customWidth="1"/>
    <col min="16169" max="16169" width="34.28515625" style="551" customWidth="1"/>
    <col min="16170" max="16170" width="23.42578125" style="551" customWidth="1"/>
    <col min="16171" max="16171" width="9.140625" style="551" customWidth="1"/>
    <col min="16172" max="16172" width="19.5703125" style="551" customWidth="1"/>
    <col min="16173" max="16173" width="42.7109375" style="551" customWidth="1"/>
    <col min="16174" max="16174" width="5.85546875" style="551" customWidth="1"/>
    <col min="16175" max="16175" width="31.5703125" style="551" customWidth="1"/>
    <col min="16176" max="16176" width="16.140625" style="551" customWidth="1"/>
    <col min="16177" max="16178" width="9.28515625" style="551" customWidth="1"/>
    <col min="16179" max="16179" width="11.140625" style="551" customWidth="1"/>
    <col min="16180" max="16180" width="2.140625" style="551" customWidth="1"/>
    <col min="16181" max="16384" width="11.42578125" style="551"/>
  </cols>
  <sheetData>
    <row r="1" spans="1:1028" ht="11.25" customHeight="1" thickTop="1">
      <c r="B1" s="233"/>
      <c r="C1" s="233"/>
      <c r="D1" s="233"/>
      <c r="E1" s="233"/>
      <c r="F1" s="233"/>
      <c r="G1" s="233"/>
      <c r="H1" s="1248" t="s">
        <v>137</v>
      </c>
      <c r="I1" s="1249"/>
      <c r="J1" s="1249"/>
      <c r="K1" s="1249"/>
      <c r="L1" s="1249"/>
      <c r="M1" s="1249"/>
      <c r="N1" s="1249"/>
      <c r="O1" s="1249"/>
      <c r="P1" s="1249"/>
      <c r="Q1" s="1249"/>
      <c r="R1" s="1249"/>
      <c r="S1" s="1249"/>
      <c r="T1" s="1249"/>
      <c r="U1" s="1249"/>
      <c r="V1" s="1249"/>
      <c r="W1" s="1250"/>
      <c r="X1" s="234"/>
      <c r="Y1" s="1251"/>
      <c r="Z1" s="1252"/>
      <c r="AA1" s="1257" t="s">
        <v>2347</v>
      </c>
      <c r="AB1" s="1257"/>
      <c r="AC1" s="1257"/>
      <c r="AD1" s="1258" t="s">
        <v>636</v>
      </c>
      <c r="AE1" s="2281" t="s">
        <v>340</v>
      </c>
      <c r="AF1" s="2281"/>
      <c r="AG1" s="2281"/>
      <c r="AH1" s="2281"/>
      <c r="AI1" s="2281"/>
      <c r="AJ1" s="2281"/>
      <c r="AK1" s="2281"/>
      <c r="AL1" s="2281"/>
      <c r="AM1" s="2281"/>
      <c r="AN1" s="2281"/>
      <c r="AO1" s="2281"/>
      <c r="AQ1" s="1247" t="s">
        <v>2320</v>
      </c>
      <c r="AR1" s="1247"/>
      <c r="AS1" s="1247"/>
      <c r="AT1" s="1247"/>
      <c r="AU1" s="233"/>
      <c r="AV1" s="233"/>
      <c r="AW1" s="233"/>
      <c r="AX1" s="1246"/>
      <c r="AY1" s="1246"/>
      <c r="AZ1" s="233"/>
    </row>
    <row r="2" spans="1:1028" ht="14.25" customHeight="1">
      <c r="B2" s="237" t="s">
        <v>2348</v>
      </c>
      <c r="C2" s="233"/>
      <c r="D2" s="233"/>
      <c r="E2" s="233"/>
      <c r="F2" s="233"/>
      <c r="G2" s="233"/>
      <c r="H2" s="1214" t="str">
        <f>UPPER([31]Control!A2)</f>
        <v xml:space="preserve">MATRIZ DE RIESGOS </v>
      </c>
      <c r="I2" s="1215"/>
      <c r="J2" s="1215"/>
      <c r="K2" s="1215"/>
      <c r="L2" s="1215"/>
      <c r="M2" s="1215"/>
      <c r="N2" s="1215"/>
      <c r="O2" s="1215"/>
      <c r="P2" s="1215"/>
      <c r="Q2" s="1215"/>
      <c r="R2" s="1215"/>
      <c r="S2" s="1215"/>
      <c r="T2" s="1215"/>
      <c r="U2" s="1215"/>
      <c r="V2" s="1215"/>
      <c r="W2" s="1216"/>
      <c r="X2" s="238"/>
      <c r="Y2" s="1253"/>
      <c r="Z2" s="1254"/>
      <c r="AA2" s="1257"/>
      <c r="AB2" s="1257"/>
      <c r="AC2" s="1257"/>
      <c r="AD2" s="1259"/>
      <c r="AE2" s="2281"/>
      <c r="AF2" s="2281"/>
      <c r="AG2" s="2281"/>
      <c r="AH2" s="2281"/>
      <c r="AI2" s="2281"/>
      <c r="AJ2" s="2281"/>
      <c r="AK2" s="2281"/>
      <c r="AL2" s="2281"/>
      <c r="AM2" s="2281"/>
      <c r="AN2" s="2281"/>
      <c r="AO2" s="2281"/>
      <c r="AQ2" s="1268" t="s">
        <v>138</v>
      </c>
      <c r="AR2" s="1269"/>
      <c r="AS2" s="1270" t="str">
        <f>AE1</f>
        <v>GESTIÓN AMBIENTAL, CALIDAD Y SST</v>
      </c>
      <c r="AT2" s="1271"/>
      <c r="AU2" s="233"/>
      <c r="AV2" s="233"/>
      <c r="AW2" s="233"/>
      <c r="AX2" s="1246"/>
      <c r="AY2" s="1246"/>
      <c r="AZ2" s="233"/>
    </row>
    <row r="3" spans="1:1028" ht="11.25" customHeight="1">
      <c r="B3" s="2271">
        <v>2019</v>
      </c>
      <c r="C3" s="233"/>
      <c r="D3" s="233"/>
      <c r="E3" s="233"/>
      <c r="F3" s="233"/>
      <c r="G3" s="233"/>
      <c r="H3" s="1203" t="s">
        <v>139</v>
      </c>
      <c r="I3" s="1204"/>
      <c r="J3" s="1204" t="s">
        <v>140</v>
      </c>
      <c r="K3" s="1204"/>
      <c r="L3" s="1204"/>
      <c r="M3" s="1204"/>
      <c r="N3" s="1204"/>
      <c r="O3" s="1204"/>
      <c r="P3" s="1205" t="s">
        <v>141</v>
      </c>
      <c r="Q3" s="1204"/>
      <c r="R3" s="1204"/>
      <c r="S3" s="1204"/>
      <c r="T3" s="1204"/>
      <c r="U3" s="1204"/>
      <c r="V3" s="1204"/>
      <c r="W3" s="1206"/>
      <c r="X3" s="238"/>
      <c r="Y3" s="1253"/>
      <c r="Z3" s="1254"/>
      <c r="AA3" s="2272">
        <v>43445</v>
      </c>
      <c r="AB3" s="2273"/>
      <c r="AC3" s="2274"/>
      <c r="AD3" s="1259" t="s">
        <v>2349</v>
      </c>
      <c r="AE3" s="2281" t="s">
        <v>1305</v>
      </c>
      <c r="AF3" s="2281"/>
      <c r="AG3" s="2281"/>
      <c r="AH3" s="2281"/>
      <c r="AI3" s="2281"/>
      <c r="AJ3" s="2281"/>
      <c r="AK3" s="2281"/>
      <c r="AL3" s="2281"/>
      <c r="AM3" s="2281"/>
      <c r="AN3" s="2281"/>
      <c r="AO3" s="2281"/>
      <c r="AQ3" s="1265" t="s">
        <v>2322</v>
      </c>
      <c r="AR3" s="1266"/>
      <c r="AS3" s="1266" t="s">
        <v>2323</v>
      </c>
      <c r="AT3" s="1267"/>
      <c r="AU3" s="233"/>
      <c r="AV3" s="233"/>
      <c r="AW3" s="233"/>
      <c r="AX3" s="1246"/>
      <c r="AY3" s="1246"/>
      <c r="AZ3" s="233"/>
    </row>
    <row r="4" spans="1:1028" ht="14.25" customHeight="1" thickBot="1">
      <c r="B4" s="2271"/>
      <c r="C4" s="233"/>
      <c r="D4" s="233"/>
      <c r="E4" s="233"/>
      <c r="F4" s="233"/>
      <c r="G4" s="233"/>
      <c r="H4" s="1236" t="str">
        <f>[31]Control!A4</f>
        <v>FO-PE-06</v>
      </c>
      <c r="I4" s="1237"/>
      <c r="J4" s="1238" t="str">
        <f>[31]Control!C4</f>
        <v>Planeación Estratégica</v>
      </c>
      <c r="K4" s="1237"/>
      <c r="L4" s="1237"/>
      <c r="M4" s="1237"/>
      <c r="N4" s="1237"/>
      <c r="O4" s="1239"/>
      <c r="P4" s="1238">
        <f>[31]Control!H4</f>
        <v>5</v>
      </c>
      <c r="Q4" s="1237"/>
      <c r="R4" s="1237"/>
      <c r="S4" s="1237"/>
      <c r="T4" s="1237"/>
      <c r="U4" s="1237"/>
      <c r="V4" s="1237"/>
      <c r="W4" s="1239"/>
      <c r="X4" s="239"/>
      <c r="Y4" s="1255"/>
      <c r="Z4" s="1256"/>
      <c r="AA4" s="2275"/>
      <c r="AB4" s="2276"/>
      <c r="AC4" s="2277"/>
      <c r="AD4" s="1259"/>
      <c r="AE4" s="2281"/>
      <c r="AF4" s="2281"/>
      <c r="AG4" s="2281"/>
      <c r="AH4" s="2281"/>
      <c r="AI4" s="2281"/>
      <c r="AJ4" s="2281"/>
      <c r="AK4" s="2281"/>
      <c r="AL4" s="2281"/>
      <c r="AM4" s="2281"/>
      <c r="AN4" s="2281"/>
      <c r="AO4" s="2281"/>
      <c r="AQ4" s="1442">
        <v>43708</v>
      </c>
      <c r="AR4" s="1443"/>
      <c r="AS4" s="2282" t="s">
        <v>3720</v>
      </c>
      <c r="AT4" s="2282"/>
      <c r="AU4" s="233"/>
      <c r="AV4" s="233"/>
      <c r="AW4" s="233"/>
      <c r="AX4" s="1246"/>
      <c r="AY4" s="1246"/>
      <c r="AZ4" s="233"/>
    </row>
    <row r="5" spans="1:1028" s="243" customFormat="1" ht="5.25" customHeight="1" thickTop="1">
      <c r="B5" s="240"/>
      <c r="C5" s="241"/>
      <c r="D5" s="241"/>
      <c r="E5" s="241"/>
      <c r="F5" s="241"/>
      <c r="G5" s="240"/>
      <c r="H5" s="242"/>
      <c r="I5" s="242"/>
      <c r="J5" s="242"/>
      <c r="K5" s="241"/>
      <c r="L5" s="241"/>
      <c r="M5" s="241"/>
      <c r="N5" s="241"/>
      <c r="O5" s="241"/>
      <c r="P5" s="241"/>
      <c r="Q5" s="241"/>
      <c r="R5" s="241"/>
      <c r="S5" s="241"/>
      <c r="T5" s="241"/>
      <c r="U5" s="241"/>
      <c r="V5" s="241"/>
      <c r="W5" s="241"/>
      <c r="X5" s="241"/>
      <c r="Y5" s="242"/>
      <c r="Z5" s="242"/>
      <c r="AA5" s="242"/>
      <c r="AB5" s="242"/>
      <c r="AC5" s="242"/>
      <c r="AD5" s="242"/>
      <c r="AE5" s="241"/>
      <c r="AF5" s="241"/>
      <c r="AG5" s="241"/>
      <c r="AH5" s="241"/>
      <c r="AI5" s="241"/>
      <c r="AJ5" s="241"/>
      <c r="AK5" s="241"/>
      <c r="AL5" s="241"/>
      <c r="AM5" s="241"/>
      <c r="AN5" s="240"/>
      <c r="AO5" s="240"/>
      <c r="AP5" s="240"/>
      <c r="AR5" s="552"/>
      <c r="AZ5" s="245"/>
    </row>
    <row r="6" spans="1:1028" s="243" customFormat="1" ht="11.25" customHeight="1">
      <c r="B6" s="1233" t="s">
        <v>143</v>
      </c>
      <c r="C6" s="1234"/>
      <c r="D6" s="1234"/>
      <c r="E6" s="1234"/>
      <c r="F6" s="1234"/>
      <c r="G6" s="1234"/>
      <c r="H6" s="1234"/>
      <c r="I6" s="1234"/>
      <c r="J6" s="1234"/>
      <c r="K6" s="1234"/>
      <c r="L6" s="1234"/>
      <c r="M6" s="1234"/>
      <c r="N6" s="1234"/>
      <c r="O6" s="1234"/>
      <c r="P6" s="1234"/>
      <c r="Q6" s="1235"/>
      <c r="R6" s="1230" t="s">
        <v>1003</v>
      </c>
      <c r="S6" s="1231"/>
      <c r="T6" s="1231"/>
      <c r="U6" s="1231"/>
      <c r="V6" s="1231"/>
      <c r="W6" s="1232"/>
      <c r="X6" s="246"/>
      <c r="Y6" s="1262" t="s">
        <v>2350</v>
      </c>
      <c r="Z6" s="1263"/>
      <c r="AA6" s="1263"/>
      <c r="AB6" s="1263"/>
      <c r="AC6" s="1263"/>
      <c r="AD6" s="1263"/>
      <c r="AE6" s="1263"/>
      <c r="AF6" s="1263"/>
      <c r="AG6" s="1263"/>
      <c r="AH6" s="1263"/>
      <c r="AI6" s="1263"/>
      <c r="AJ6" s="1263"/>
      <c r="AK6" s="1263"/>
      <c r="AL6" s="1263"/>
      <c r="AM6" s="1263"/>
      <c r="AN6" s="1264"/>
      <c r="AO6" s="602" t="s">
        <v>268</v>
      </c>
      <c r="AP6" s="294"/>
      <c r="AQ6" s="247" t="s">
        <v>2325</v>
      </c>
      <c r="AR6" s="248"/>
      <c r="AS6" s="248"/>
      <c r="AT6" s="249"/>
      <c r="AU6" s="1244" t="s">
        <v>2326</v>
      </c>
      <c r="AV6" s="1244"/>
      <c r="AW6" s="1244"/>
      <c r="AX6" s="1244"/>
      <c r="AY6" s="1245"/>
      <c r="AZ6" s="245"/>
    </row>
    <row r="7" spans="1:1028" s="243" customFormat="1" ht="25.5" customHeight="1">
      <c r="B7" s="1217" t="s">
        <v>1002</v>
      </c>
      <c r="C7" s="1218" t="s">
        <v>640</v>
      </c>
      <c r="D7" s="1219" t="s">
        <v>1001</v>
      </c>
      <c r="E7" s="1220"/>
      <c r="F7" s="1221"/>
      <c r="G7" s="2269" t="s">
        <v>2735</v>
      </c>
      <c r="H7" s="1219" t="s">
        <v>999</v>
      </c>
      <c r="I7" s="1220"/>
      <c r="J7" s="1221"/>
      <c r="K7" s="1217" t="s">
        <v>145</v>
      </c>
      <c r="L7" s="1217"/>
      <c r="M7" s="1217"/>
      <c r="N7" s="1225" t="s">
        <v>144</v>
      </c>
      <c r="O7" s="1226"/>
      <c r="P7" s="1226"/>
      <c r="Q7" s="1226"/>
      <c r="R7" s="1227" t="s">
        <v>637</v>
      </c>
      <c r="S7" s="1228"/>
      <c r="T7" s="1228"/>
      <c r="U7" s="1228"/>
      <c r="V7" s="1228"/>
      <c r="W7" s="1229"/>
      <c r="X7" s="250"/>
      <c r="Y7" s="1217" t="s">
        <v>2351</v>
      </c>
      <c r="Z7" s="1217"/>
      <c r="AA7" s="1217"/>
      <c r="AB7" s="1284" t="s">
        <v>4175</v>
      </c>
      <c r="AC7" s="1221" t="s">
        <v>998</v>
      </c>
      <c r="AD7" s="1284" t="s">
        <v>641</v>
      </c>
      <c r="AE7" s="1286" t="s">
        <v>546</v>
      </c>
      <c r="AF7" s="1286" t="s">
        <v>638</v>
      </c>
      <c r="AG7" s="251"/>
      <c r="AH7" s="252"/>
      <c r="AI7" s="253"/>
      <c r="AJ7" s="1288" t="s">
        <v>639</v>
      </c>
      <c r="AK7" s="1288"/>
      <c r="AL7" s="1288"/>
      <c r="AM7" s="1288"/>
      <c r="AN7" s="1288"/>
      <c r="AO7" s="1288" t="s">
        <v>2327</v>
      </c>
      <c r="AP7" s="1431" t="s">
        <v>2328</v>
      </c>
      <c r="AQ7" s="1432" t="s">
        <v>2353</v>
      </c>
      <c r="AR7" s="1431" t="s">
        <v>2330</v>
      </c>
      <c r="AS7" s="1432" t="s">
        <v>2354</v>
      </c>
      <c r="AT7" s="1432" t="s">
        <v>2332</v>
      </c>
      <c r="AU7" s="1432" t="s">
        <v>2333</v>
      </c>
      <c r="AV7" s="1432" t="s">
        <v>2334</v>
      </c>
      <c r="AW7" s="1432" t="s">
        <v>2335</v>
      </c>
      <c r="AX7" s="1432" t="s">
        <v>2336</v>
      </c>
      <c r="AY7" s="1432" t="s">
        <v>2337</v>
      </c>
      <c r="AZ7" s="245"/>
    </row>
    <row r="8" spans="1:1028" ht="14.25" customHeight="1">
      <c r="B8" s="1217"/>
      <c r="C8" s="1218"/>
      <c r="D8" s="1222"/>
      <c r="E8" s="1223"/>
      <c r="F8" s="1224"/>
      <c r="G8" s="2270"/>
      <c r="H8" s="1222"/>
      <c r="I8" s="1223"/>
      <c r="J8" s="1224"/>
      <c r="K8" s="1217"/>
      <c r="L8" s="1217"/>
      <c r="M8" s="1217"/>
      <c r="N8" s="254" t="s">
        <v>146</v>
      </c>
      <c r="O8" s="254" t="s">
        <v>997</v>
      </c>
      <c r="P8" s="254" t="s">
        <v>65</v>
      </c>
      <c r="Q8" s="254" t="s">
        <v>996</v>
      </c>
      <c r="R8" s="601" t="s">
        <v>147</v>
      </c>
      <c r="S8" s="601" t="s">
        <v>148</v>
      </c>
      <c r="T8" s="255"/>
      <c r="U8" s="255" t="s">
        <v>239</v>
      </c>
      <c r="V8" s="255" t="s">
        <v>242</v>
      </c>
      <c r="W8" s="601" t="s">
        <v>149</v>
      </c>
      <c r="X8" s="256"/>
      <c r="Y8" s="1217"/>
      <c r="Z8" s="1217"/>
      <c r="AA8" s="1217"/>
      <c r="AB8" s="1285"/>
      <c r="AC8" s="1224"/>
      <c r="AD8" s="1285"/>
      <c r="AE8" s="1287"/>
      <c r="AF8" s="1287"/>
      <c r="AG8" s="256"/>
      <c r="AH8" s="553" t="s">
        <v>642</v>
      </c>
      <c r="AI8" s="553" t="s">
        <v>264</v>
      </c>
      <c r="AJ8" s="601" t="s">
        <v>147</v>
      </c>
      <c r="AK8" s="554" t="s">
        <v>265</v>
      </c>
      <c r="AL8" s="601" t="s">
        <v>148</v>
      </c>
      <c r="AM8" s="255" t="s">
        <v>150</v>
      </c>
      <c r="AN8" s="601" t="s">
        <v>150</v>
      </c>
      <c r="AO8" s="1288"/>
      <c r="AP8" s="1431"/>
      <c r="AQ8" s="1432"/>
      <c r="AR8" s="1432"/>
      <c r="AS8" s="1432"/>
      <c r="AT8" s="1432"/>
      <c r="AU8" s="1432"/>
      <c r="AV8" s="1432"/>
      <c r="AW8" s="1432"/>
      <c r="AX8" s="1432"/>
      <c r="AY8" s="1432"/>
      <c r="AZ8" s="245"/>
      <c r="BA8" s="551"/>
      <c r="BB8" s="551"/>
      <c r="BC8" s="551"/>
      <c r="BD8" s="551"/>
      <c r="BE8" s="551"/>
      <c r="BF8" s="551"/>
      <c r="BG8" s="551"/>
      <c r="BH8" s="551"/>
      <c r="BI8" s="551"/>
      <c r="BJ8" s="551"/>
      <c r="BK8" s="551"/>
      <c r="BL8" s="551"/>
      <c r="BM8" s="551"/>
      <c r="BN8" s="551"/>
      <c r="BO8" s="551"/>
      <c r="BP8" s="551"/>
      <c r="BQ8" s="551"/>
      <c r="BR8" s="551"/>
      <c r="BS8" s="551"/>
      <c r="BT8" s="551"/>
      <c r="BU8" s="551"/>
      <c r="BV8" s="551"/>
      <c r="BW8" s="551"/>
      <c r="BX8" s="551"/>
      <c r="BY8" s="551"/>
      <c r="BZ8" s="551"/>
      <c r="CA8" s="551"/>
      <c r="CB8" s="551"/>
      <c r="CC8" s="551"/>
      <c r="CD8" s="551"/>
      <c r="CE8" s="551"/>
      <c r="CF8" s="551"/>
      <c r="CG8" s="551"/>
      <c r="CH8" s="551"/>
      <c r="CI8" s="551"/>
      <c r="CJ8" s="551"/>
      <c r="CK8" s="551"/>
      <c r="CL8" s="551"/>
      <c r="CM8" s="551"/>
      <c r="CN8" s="551"/>
      <c r="CO8" s="551"/>
      <c r="CP8" s="551"/>
      <c r="CQ8" s="551"/>
      <c r="CR8" s="551"/>
      <c r="CS8" s="551"/>
      <c r="CT8" s="551"/>
      <c r="CU8" s="551"/>
      <c r="CV8" s="551"/>
      <c r="CW8" s="551"/>
      <c r="CX8" s="551"/>
      <c r="CY8" s="551"/>
      <c r="CZ8" s="551"/>
      <c r="DA8" s="551"/>
      <c r="DB8" s="551"/>
      <c r="DC8" s="551"/>
      <c r="DD8" s="551"/>
      <c r="DE8" s="551"/>
      <c r="DF8" s="551"/>
      <c r="DG8" s="551"/>
      <c r="DH8" s="551"/>
      <c r="DI8" s="551"/>
      <c r="DJ8" s="551"/>
      <c r="DK8" s="551"/>
      <c r="DL8" s="551"/>
      <c r="DM8" s="551"/>
      <c r="DN8" s="551"/>
      <c r="DO8" s="551"/>
      <c r="DP8" s="551"/>
      <c r="DQ8" s="551"/>
      <c r="DR8" s="551"/>
      <c r="DS8" s="551"/>
      <c r="DT8" s="551"/>
      <c r="DU8" s="551"/>
      <c r="DV8" s="551"/>
      <c r="DW8" s="551"/>
      <c r="DX8" s="551"/>
      <c r="DY8" s="551"/>
      <c r="DZ8" s="551"/>
      <c r="EA8" s="551"/>
      <c r="EB8" s="551"/>
      <c r="EC8" s="551"/>
      <c r="ED8" s="551"/>
      <c r="EE8" s="551"/>
      <c r="EF8" s="551"/>
      <c r="EG8" s="551"/>
      <c r="EH8" s="551"/>
      <c r="EI8" s="551"/>
      <c r="EJ8" s="551"/>
      <c r="EK8" s="551"/>
      <c r="EL8" s="551"/>
      <c r="EM8" s="551"/>
      <c r="EN8" s="551"/>
      <c r="EO8" s="551"/>
      <c r="EP8" s="551"/>
      <c r="EQ8" s="551"/>
      <c r="ER8" s="551"/>
      <c r="ES8" s="551"/>
      <c r="ET8" s="551"/>
      <c r="EU8" s="551"/>
      <c r="EV8" s="551"/>
      <c r="EW8" s="551"/>
      <c r="EX8" s="551"/>
      <c r="EY8" s="551"/>
      <c r="EZ8" s="551"/>
      <c r="FA8" s="551"/>
      <c r="FB8" s="551"/>
      <c r="FC8" s="551"/>
      <c r="FD8" s="551"/>
      <c r="FE8" s="551"/>
      <c r="FF8" s="551"/>
      <c r="FG8" s="551"/>
      <c r="FH8" s="551"/>
      <c r="FI8" s="551"/>
      <c r="FJ8" s="551"/>
      <c r="FK8" s="551"/>
      <c r="FL8" s="551"/>
      <c r="FM8" s="551"/>
      <c r="FN8" s="551"/>
      <c r="FO8" s="551"/>
      <c r="FP8" s="551"/>
      <c r="FQ8" s="551"/>
      <c r="FR8" s="551"/>
      <c r="FS8" s="551"/>
      <c r="FT8" s="551"/>
      <c r="FU8" s="551"/>
      <c r="FV8" s="551"/>
      <c r="FW8" s="551"/>
      <c r="FX8" s="551"/>
      <c r="FY8" s="551"/>
      <c r="FZ8" s="551"/>
      <c r="GA8" s="551"/>
      <c r="GB8" s="551"/>
      <c r="GC8" s="551"/>
      <c r="GD8" s="551"/>
      <c r="GE8" s="551"/>
      <c r="GF8" s="551"/>
      <c r="GG8" s="551"/>
      <c r="GH8" s="551"/>
      <c r="GI8" s="551"/>
      <c r="GJ8" s="551"/>
      <c r="GK8" s="551"/>
      <c r="GL8" s="551"/>
      <c r="GM8" s="551"/>
      <c r="GN8" s="551"/>
      <c r="GO8" s="551"/>
      <c r="GP8" s="551"/>
      <c r="GQ8" s="551"/>
      <c r="GR8" s="551"/>
      <c r="GS8" s="551"/>
      <c r="GT8" s="551"/>
      <c r="GU8" s="551"/>
      <c r="GV8" s="551"/>
      <c r="GW8" s="551"/>
      <c r="GX8" s="551"/>
      <c r="GY8" s="551"/>
      <c r="GZ8" s="551"/>
      <c r="HA8" s="551"/>
      <c r="HB8" s="551"/>
      <c r="HC8" s="551"/>
      <c r="HD8" s="551"/>
      <c r="HE8" s="551"/>
      <c r="HF8" s="551"/>
      <c r="HG8" s="551"/>
      <c r="HH8" s="551"/>
      <c r="HI8" s="551"/>
      <c r="HJ8" s="551"/>
      <c r="HK8" s="551"/>
      <c r="HL8" s="551"/>
      <c r="HM8" s="551"/>
      <c r="HN8" s="551"/>
      <c r="HO8" s="551"/>
      <c r="HP8" s="551"/>
      <c r="HQ8" s="551"/>
      <c r="HR8" s="551"/>
      <c r="HS8" s="551"/>
      <c r="HT8" s="551"/>
      <c r="HU8" s="551"/>
      <c r="HV8" s="551"/>
      <c r="HW8" s="551"/>
      <c r="HX8" s="551"/>
      <c r="HY8" s="551"/>
      <c r="HZ8" s="551"/>
      <c r="IA8" s="551"/>
      <c r="IB8" s="551"/>
      <c r="IC8" s="551"/>
      <c r="ID8" s="551"/>
      <c r="IE8" s="551"/>
      <c r="IF8" s="551"/>
      <c r="IG8" s="551"/>
      <c r="IH8" s="551"/>
      <c r="II8" s="551"/>
      <c r="IJ8" s="551"/>
      <c r="IK8" s="551"/>
      <c r="IL8" s="551"/>
      <c r="IM8" s="551"/>
      <c r="IN8" s="551"/>
      <c r="IO8" s="551"/>
      <c r="IP8" s="551"/>
      <c r="IQ8" s="551"/>
      <c r="IR8" s="551"/>
      <c r="IS8" s="551"/>
      <c r="IT8" s="551"/>
      <c r="IU8" s="551"/>
      <c r="IV8" s="551"/>
      <c r="IW8" s="551"/>
      <c r="IX8" s="551"/>
      <c r="IY8" s="551"/>
      <c r="IZ8" s="551"/>
      <c r="JA8" s="551"/>
      <c r="JB8" s="551"/>
      <c r="JC8" s="551"/>
      <c r="JD8" s="551"/>
      <c r="JE8" s="551"/>
      <c r="JF8" s="551"/>
      <c r="JG8" s="551"/>
      <c r="JH8" s="551"/>
      <c r="JI8" s="551"/>
      <c r="JJ8" s="551"/>
      <c r="JK8" s="551"/>
      <c r="JL8" s="551"/>
      <c r="JM8" s="551"/>
      <c r="JN8" s="551"/>
      <c r="JO8" s="551"/>
      <c r="JP8" s="551"/>
      <c r="JQ8" s="551"/>
      <c r="JR8" s="551"/>
      <c r="JS8" s="551"/>
      <c r="JT8" s="551"/>
      <c r="JU8" s="551"/>
      <c r="JV8" s="551"/>
      <c r="JW8" s="551"/>
      <c r="JX8" s="551"/>
      <c r="JY8" s="551"/>
      <c r="JZ8" s="551"/>
      <c r="KA8" s="551"/>
      <c r="KB8" s="551"/>
      <c r="KC8" s="551"/>
      <c r="KD8" s="551"/>
      <c r="KE8" s="551"/>
      <c r="KF8" s="551"/>
      <c r="KG8" s="551"/>
      <c r="KH8" s="551"/>
      <c r="KI8" s="551"/>
      <c r="KJ8" s="551"/>
      <c r="KK8" s="551"/>
      <c r="KL8" s="551"/>
      <c r="KM8" s="551"/>
      <c r="KN8" s="551"/>
      <c r="KO8" s="551"/>
      <c r="KP8" s="551"/>
      <c r="KQ8" s="551"/>
      <c r="KR8" s="551"/>
      <c r="KS8" s="551"/>
      <c r="KT8" s="551"/>
      <c r="KU8" s="551"/>
      <c r="KV8" s="551"/>
      <c r="KW8" s="551"/>
      <c r="KX8" s="551"/>
      <c r="KY8" s="551"/>
      <c r="KZ8" s="551"/>
      <c r="LA8" s="551"/>
      <c r="LB8" s="551"/>
      <c r="LC8" s="551"/>
      <c r="LD8" s="551"/>
      <c r="LE8" s="551"/>
      <c r="LF8" s="551"/>
      <c r="LG8" s="551"/>
      <c r="LH8" s="551"/>
      <c r="LI8" s="551"/>
      <c r="LJ8" s="551"/>
      <c r="LK8" s="551"/>
      <c r="LL8" s="551"/>
      <c r="LM8" s="551"/>
      <c r="LN8" s="551"/>
      <c r="LO8" s="551"/>
      <c r="LP8" s="551"/>
      <c r="LQ8" s="551"/>
      <c r="LR8" s="551"/>
      <c r="LS8" s="551"/>
      <c r="LT8" s="551"/>
      <c r="LU8" s="551"/>
      <c r="LV8" s="551"/>
      <c r="LW8" s="551"/>
      <c r="LX8" s="551"/>
      <c r="LY8" s="551"/>
      <c r="LZ8" s="551"/>
      <c r="MA8" s="551"/>
      <c r="MB8" s="551"/>
      <c r="MC8" s="551"/>
      <c r="MD8" s="551"/>
      <c r="ME8" s="551"/>
      <c r="MF8" s="551"/>
      <c r="MG8" s="551"/>
      <c r="MH8" s="551"/>
      <c r="MI8" s="551"/>
      <c r="MJ8" s="551"/>
      <c r="MK8" s="551"/>
      <c r="ML8" s="551"/>
      <c r="MM8" s="551"/>
      <c r="MN8" s="551"/>
      <c r="MO8" s="551"/>
      <c r="MP8" s="551"/>
      <c r="MQ8" s="551"/>
      <c r="MR8" s="551"/>
      <c r="MS8" s="551"/>
      <c r="MT8" s="551"/>
      <c r="MU8" s="551"/>
      <c r="MV8" s="551"/>
      <c r="MW8" s="551"/>
      <c r="MX8" s="551"/>
      <c r="MY8" s="551"/>
      <c r="MZ8" s="551"/>
      <c r="NA8" s="551"/>
      <c r="NB8" s="551"/>
      <c r="NC8" s="551"/>
      <c r="ND8" s="551"/>
      <c r="NE8" s="551"/>
      <c r="NF8" s="551"/>
      <c r="NG8" s="551"/>
      <c r="NH8" s="551"/>
      <c r="NI8" s="551"/>
      <c r="NJ8" s="551"/>
      <c r="NK8" s="551"/>
      <c r="NL8" s="551"/>
      <c r="NM8" s="551"/>
      <c r="NN8" s="551"/>
      <c r="NO8" s="551"/>
      <c r="NP8" s="551"/>
      <c r="NQ8" s="551"/>
      <c r="NR8" s="551"/>
      <c r="NS8" s="551"/>
      <c r="NT8" s="551"/>
      <c r="NU8" s="551"/>
      <c r="NV8" s="551"/>
      <c r="NW8" s="551"/>
      <c r="NX8" s="551"/>
      <c r="NY8" s="551"/>
      <c r="NZ8" s="551"/>
      <c r="OA8" s="551"/>
      <c r="OB8" s="551"/>
      <c r="OC8" s="551"/>
      <c r="OD8" s="551"/>
      <c r="OE8" s="551"/>
      <c r="OF8" s="551"/>
      <c r="OG8" s="551"/>
      <c r="OH8" s="551"/>
      <c r="OI8" s="551"/>
      <c r="OJ8" s="551"/>
      <c r="OK8" s="551"/>
      <c r="OL8" s="551"/>
      <c r="OM8" s="551"/>
      <c r="ON8" s="551"/>
      <c r="OO8" s="551"/>
      <c r="OP8" s="551"/>
      <c r="OQ8" s="551"/>
      <c r="OR8" s="551"/>
      <c r="OS8" s="551"/>
      <c r="OT8" s="551"/>
      <c r="OU8" s="551"/>
      <c r="OV8" s="551"/>
      <c r="OW8" s="551"/>
      <c r="OX8" s="551"/>
      <c r="OY8" s="551"/>
      <c r="OZ8" s="551"/>
      <c r="PA8" s="551"/>
      <c r="PB8" s="551"/>
      <c r="PC8" s="551"/>
      <c r="PD8" s="551"/>
      <c r="PE8" s="551"/>
      <c r="PF8" s="551"/>
      <c r="PG8" s="551"/>
      <c r="PH8" s="551"/>
      <c r="PI8" s="551"/>
      <c r="PJ8" s="551"/>
      <c r="PK8" s="551"/>
      <c r="PL8" s="551"/>
      <c r="PM8" s="551"/>
      <c r="PN8" s="551"/>
      <c r="PO8" s="551"/>
      <c r="PP8" s="551"/>
      <c r="PQ8" s="551"/>
      <c r="PR8" s="551"/>
      <c r="PS8" s="551"/>
      <c r="PT8" s="551"/>
      <c r="PU8" s="551"/>
      <c r="PV8" s="551"/>
      <c r="PW8" s="551"/>
      <c r="PX8" s="551"/>
      <c r="PY8" s="551"/>
      <c r="PZ8" s="551"/>
      <c r="QA8" s="551"/>
      <c r="QB8" s="551"/>
      <c r="QC8" s="551"/>
      <c r="QD8" s="551"/>
      <c r="QE8" s="551"/>
      <c r="QF8" s="551"/>
      <c r="QG8" s="551"/>
      <c r="QH8" s="551"/>
      <c r="QI8" s="551"/>
      <c r="QJ8" s="551"/>
      <c r="QK8" s="551"/>
      <c r="QL8" s="551"/>
      <c r="QM8" s="551"/>
      <c r="QN8" s="551"/>
      <c r="QO8" s="551"/>
      <c r="QP8" s="551"/>
      <c r="QQ8" s="551"/>
      <c r="QR8" s="551"/>
      <c r="QS8" s="551"/>
      <c r="QT8" s="551"/>
      <c r="QU8" s="551"/>
      <c r="QV8" s="551"/>
      <c r="QW8" s="551"/>
      <c r="QX8" s="551"/>
      <c r="QY8" s="551"/>
      <c r="QZ8" s="551"/>
      <c r="RA8" s="551"/>
      <c r="RB8" s="551"/>
      <c r="RC8" s="551"/>
      <c r="RD8" s="551"/>
      <c r="RE8" s="551"/>
      <c r="RF8" s="551"/>
      <c r="RG8" s="551"/>
      <c r="RH8" s="551"/>
      <c r="RI8" s="551"/>
      <c r="RJ8" s="551"/>
      <c r="RK8" s="551"/>
      <c r="RL8" s="551"/>
      <c r="RM8" s="551"/>
      <c r="RN8" s="551"/>
      <c r="RO8" s="551"/>
      <c r="RP8" s="551"/>
      <c r="RQ8" s="551"/>
      <c r="RR8" s="551"/>
      <c r="RS8" s="551"/>
      <c r="RT8" s="551"/>
      <c r="RU8" s="551"/>
      <c r="RV8" s="551"/>
      <c r="RW8" s="551"/>
      <c r="RX8" s="551"/>
      <c r="RY8" s="551"/>
      <c r="RZ8" s="551"/>
      <c r="SA8" s="551"/>
      <c r="SB8" s="551"/>
      <c r="SC8" s="551"/>
      <c r="SD8" s="551"/>
      <c r="SE8" s="551"/>
      <c r="SF8" s="551"/>
      <c r="SG8" s="551"/>
      <c r="SH8" s="551"/>
      <c r="SI8" s="551"/>
      <c r="SJ8" s="551"/>
      <c r="SK8" s="551"/>
      <c r="SL8" s="551"/>
      <c r="SM8" s="551"/>
      <c r="SN8" s="551"/>
      <c r="SO8" s="551"/>
      <c r="SP8" s="551"/>
      <c r="SQ8" s="551"/>
      <c r="SR8" s="551"/>
      <c r="SS8" s="551"/>
      <c r="ST8" s="551"/>
      <c r="SU8" s="551"/>
      <c r="SV8" s="551"/>
      <c r="SW8" s="551"/>
      <c r="SX8" s="551"/>
      <c r="SY8" s="551"/>
      <c r="SZ8" s="551"/>
      <c r="TA8" s="551"/>
      <c r="TB8" s="551"/>
      <c r="TC8" s="551"/>
      <c r="TD8" s="551"/>
      <c r="TE8" s="551"/>
      <c r="TF8" s="551"/>
      <c r="TG8" s="551"/>
      <c r="TH8" s="551"/>
      <c r="TI8" s="551"/>
      <c r="TJ8" s="551"/>
      <c r="TK8" s="551"/>
      <c r="TL8" s="551"/>
      <c r="TM8" s="551"/>
      <c r="TN8" s="551"/>
      <c r="TO8" s="551"/>
      <c r="TP8" s="551"/>
      <c r="TQ8" s="551"/>
      <c r="TR8" s="551"/>
      <c r="TS8" s="551"/>
      <c r="TT8" s="551"/>
      <c r="TU8" s="551"/>
      <c r="TV8" s="551"/>
      <c r="TW8" s="551"/>
      <c r="TX8" s="551"/>
      <c r="TY8" s="551"/>
      <c r="TZ8" s="551"/>
      <c r="UA8" s="551"/>
      <c r="UB8" s="551"/>
      <c r="UC8" s="551"/>
      <c r="UD8" s="551"/>
      <c r="UE8" s="551"/>
      <c r="UF8" s="551"/>
      <c r="UG8" s="551"/>
      <c r="UH8" s="551"/>
      <c r="UI8" s="551"/>
      <c r="UJ8" s="551"/>
      <c r="UK8" s="551"/>
      <c r="UL8" s="551"/>
      <c r="UM8" s="551"/>
      <c r="UN8" s="551"/>
      <c r="UO8" s="551"/>
      <c r="UP8" s="551"/>
      <c r="UQ8" s="551"/>
      <c r="UR8" s="551"/>
      <c r="US8" s="551"/>
      <c r="UT8" s="551"/>
      <c r="UU8" s="551"/>
      <c r="UV8" s="551"/>
      <c r="UW8" s="551"/>
      <c r="UX8" s="551"/>
      <c r="UY8" s="551"/>
      <c r="UZ8" s="551"/>
      <c r="VA8" s="551"/>
      <c r="VB8" s="551"/>
      <c r="VC8" s="551"/>
      <c r="VD8" s="551"/>
      <c r="VE8" s="551"/>
      <c r="VF8" s="551"/>
      <c r="VG8" s="551"/>
      <c r="VH8" s="551"/>
      <c r="VI8" s="551"/>
      <c r="VJ8" s="551"/>
      <c r="VK8" s="551"/>
      <c r="VL8" s="551"/>
      <c r="VM8" s="551"/>
      <c r="VN8" s="551"/>
      <c r="VO8" s="551"/>
      <c r="VP8" s="551"/>
      <c r="VQ8" s="551"/>
      <c r="VR8" s="551"/>
      <c r="VS8" s="551"/>
      <c r="VT8" s="551"/>
      <c r="VU8" s="551"/>
      <c r="VV8" s="551"/>
      <c r="VW8" s="551"/>
      <c r="VX8" s="551"/>
      <c r="VY8" s="551"/>
      <c r="VZ8" s="551"/>
      <c r="WA8" s="551"/>
      <c r="WB8" s="551"/>
      <c r="WC8" s="551"/>
      <c r="WD8" s="551"/>
      <c r="WE8" s="551"/>
      <c r="WF8" s="551"/>
      <c r="WG8" s="551"/>
      <c r="WH8" s="551"/>
      <c r="WI8" s="551"/>
      <c r="WJ8" s="551"/>
      <c r="WK8" s="551"/>
      <c r="WL8" s="551"/>
      <c r="WM8" s="551"/>
      <c r="WN8" s="551"/>
      <c r="WO8" s="551"/>
      <c r="WP8" s="551"/>
      <c r="WQ8" s="551"/>
      <c r="WR8" s="551"/>
      <c r="WS8" s="551"/>
      <c r="WT8" s="551"/>
      <c r="WU8" s="551"/>
      <c r="WV8" s="551"/>
      <c r="WW8" s="551"/>
      <c r="WX8" s="551"/>
      <c r="WY8" s="551"/>
      <c r="WZ8" s="551"/>
      <c r="XA8" s="551"/>
      <c r="XB8" s="551"/>
      <c r="XC8" s="551"/>
      <c r="XD8" s="551"/>
      <c r="XE8" s="551"/>
      <c r="XF8" s="551"/>
      <c r="XG8" s="551"/>
      <c r="XH8" s="551"/>
      <c r="XI8" s="551"/>
      <c r="XJ8" s="551"/>
      <c r="XK8" s="551"/>
      <c r="XL8" s="551"/>
      <c r="XM8" s="551"/>
      <c r="XN8" s="551"/>
      <c r="XO8" s="551"/>
      <c r="XP8" s="551"/>
      <c r="XQ8" s="551"/>
      <c r="XR8" s="551"/>
      <c r="XS8" s="551"/>
      <c r="XT8" s="551"/>
      <c r="XU8" s="551"/>
      <c r="XV8" s="551"/>
      <c r="XW8" s="551"/>
      <c r="XX8" s="551"/>
      <c r="XY8" s="551"/>
      <c r="XZ8" s="551"/>
      <c r="YA8" s="551"/>
      <c r="YB8" s="551"/>
      <c r="YC8" s="551"/>
      <c r="YD8" s="551"/>
      <c r="YE8" s="551"/>
      <c r="YF8" s="551"/>
      <c r="YG8" s="551"/>
      <c r="YH8" s="551"/>
      <c r="YI8" s="551"/>
      <c r="YJ8" s="551"/>
      <c r="YK8" s="551"/>
      <c r="YL8" s="551"/>
      <c r="YM8" s="551"/>
      <c r="YN8" s="551"/>
      <c r="YO8" s="551"/>
      <c r="YP8" s="551"/>
      <c r="YQ8" s="551"/>
      <c r="YR8" s="551"/>
      <c r="YS8" s="551"/>
      <c r="YT8" s="551"/>
      <c r="YU8" s="551"/>
      <c r="YV8" s="551"/>
      <c r="YW8" s="551"/>
      <c r="YX8" s="551"/>
      <c r="YY8" s="551"/>
      <c r="YZ8" s="551"/>
      <c r="ZA8" s="551"/>
      <c r="ZB8" s="551"/>
      <c r="ZC8" s="551"/>
      <c r="ZD8" s="551"/>
      <c r="ZE8" s="551"/>
      <c r="ZF8" s="551"/>
      <c r="ZG8" s="551"/>
      <c r="ZH8" s="551"/>
      <c r="ZI8" s="551"/>
      <c r="ZJ8" s="551"/>
      <c r="ZK8" s="551"/>
      <c r="ZL8" s="551"/>
      <c r="ZM8" s="551"/>
      <c r="ZN8" s="551"/>
      <c r="ZO8" s="551"/>
      <c r="ZP8" s="551"/>
      <c r="ZQ8" s="551"/>
      <c r="ZR8" s="551"/>
      <c r="ZS8" s="551"/>
      <c r="ZT8" s="551"/>
      <c r="ZU8" s="551"/>
      <c r="ZV8" s="551"/>
      <c r="ZW8" s="551"/>
      <c r="ZX8" s="551"/>
      <c r="ZY8" s="551"/>
      <c r="ZZ8" s="551"/>
      <c r="AAA8" s="551"/>
      <c r="AAB8" s="551"/>
      <c r="AAC8" s="551"/>
      <c r="AAD8" s="551"/>
      <c r="AAE8" s="551"/>
      <c r="AAF8" s="551"/>
      <c r="AAG8" s="551"/>
      <c r="AAH8" s="551"/>
      <c r="AAI8" s="551"/>
      <c r="AAJ8" s="551"/>
      <c r="AAK8" s="551"/>
      <c r="AAL8" s="551"/>
      <c r="AAM8" s="551"/>
      <c r="AAN8" s="551"/>
      <c r="AAO8" s="551"/>
      <c r="AAP8" s="551"/>
      <c r="AAQ8" s="551"/>
      <c r="AAR8" s="551"/>
      <c r="AAS8" s="551"/>
      <c r="AAT8" s="551"/>
      <c r="AAU8" s="551"/>
      <c r="AAV8" s="551"/>
      <c r="AAW8" s="551"/>
      <c r="AAX8" s="551"/>
      <c r="AAY8" s="551"/>
      <c r="AAZ8" s="551"/>
      <c r="ABA8" s="551"/>
      <c r="ABB8" s="551"/>
      <c r="ABC8" s="551"/>
      <c r="ABD8" s="551"/>
      <c r="ABE8" s="551"/>
      <c r="ABF8" s="551"/>
      <c r="ABG8" s="551"/>
      <c r="ABH8" s="551"/>
      <c r="ABI8" s="551"/>
      <c r="ABJ8" s="551"/>
      <c r="ABK8" s="551"/>
      <c r="ABL8" s="551"/>
      <c r="ABM8" s="551"/>
      <c r="ABN8" s="551"/>
      <c r="ABO8" s="551"/>
      <c r="ABP8" s="551"/>
      <c r="ABQ8" s="551"/>
      <c r="ABR8" s="551"/>
      <c r="ABS8" s="551"/>
      <c r="ABT8" s="551"/>
      <c r="ABU8" s="551"/>
      <c r="ABV8" s="551"/>
      <c r="ABW8" s="551"/>
      <c r="ABX8" s="551"/>
      <c r="ABY8" s="551"/>
      <c r="ABZ8" s="551"/>
      <c r="ACA8" s="551"/>
      <c r="ACB8" s="551"/>
      <c r="ACC8" s="551"/>
      <c r="ACD8" s="551"/>
      <c r="ACE8" s="551"/>
      <c r="ACF8" s="551"/>
      <c r="ACG8" s="551"/>
      <c r="ACH8" s="551"/>
      <c r="ACI8" s="551"/>
      <c r="ACJ8" s="551"/>
      <c r="ACK8" s="551"/>
      <c r="ACL8" s="551"/>
      <c r="ACM8" s="551"/>
      <c r="ACN8" s="551"/>
      <c r="ACO8" s="551"/>
      <c r="ACP8" s="551"/>
      <c r="ACQ8" s="551"/>
      <c r="ACR8" s="551"/>
      <c r="ACS8" s="551"/>
      <c r="ACT8" s="551"/>
      <c r="ACU8" s="551"/>
      <c r="ACV8" s="551"/>
      <c r="ACW8" s="551"/>
      <c r="ACX8" s="551"/>
      <c r="ACY8" s="551"/>
      <c r="ACZ8" s="551"/>
      <c r="ADA8" s="551"/>
      <c r="ADB8" s="551"/>
      <c r="ADC8" s="551"/>
      <c r="ADD8" s="551"/>
      <c r="ADE8" s="551"/>
      <c r="ADF8" s="551"/>
      <c r="ADG8" s="551"/>
      <c r="ADH8" s="551"/>
      <c r="ADI8" s="551"/>
      <c r="ADJ8" s="551"/>
      <c r="ADK8" s="551"/>
      <c r="ADL8" s="551"/>
      <c r="ADM8" s="551"/>
      <c r="ADN8" s="551"/>
      <c r="ADO8" s="551"/>
      <c r="ADP8" s="551"/>
      <c r="ADQ8" s="551"/>
      <c r="ADR8" s="551"/>
      <c r="ADS8" s="551"/>
      <c r="ADT8" s="551"/>
      <c r="ADU8" s="551"/>
      <c r="ADV8" s="551"/>
      <c r="ADW8" s="551"/>
      <c r="ADX8" s="551"/>
      <c r="ADY8" s="551"/>
      <c r="ADZ8" s="551"/>
      <c r="AEA8" s="551"/>
      <c r="AEB8" s="551"/>
      <c r="AEC8" s="551"/>
      <c r="AED8" s="551"/>
      <c r="AEE8" s="551"/>
      <c r="AEF8" s="551"/>
      <c r="AEG8" s="551"/>
      <c r="AEH8" s="551"/>
      <c r="AEI8" s="551"/>
      <c r="AEJ8" s="551"/>
      <c r="AEK8" s="551"/>
      <c r="AEL8" s="551"/>
      <c r="AEM8" s="551"/>
      <c r="AEN8" s="551"/>
      <c r="AEO8" s="551"/>
      <c r="AEP8" s="551"/>
      <c r="AEQ8" s="551"/>
      <c r="AER8" s="551"/>
      <c r="AES8" s="551"/>
      <c r="AET8" s="551"/>
      <c r="AEU8" s="551"/>
      <c r="AEV8" s="551"/>
      <c r="AEW8" s="551"/>
      <c r="AEX8" s="551"/>
      <c r="AEY8" s="551"/>
      <c r="AEZ8" s="551"/>
      <c r="AFA8" s="551"/>
      <c r="AFB8" s="551"/>
      <c r="AFC8" s="551"/>
      <c r="AFD8" s="551"/>
      <c r="AFE8" s="551"/>
      <c r="AFF8" s="551"/>
      <c r="AFG8" s="551"/>
      <c r="AFH8" s="551"/>
      <c r="AFI8" s="551"/>
      <c r="AFJ8" s="551"/>
      <c r="AFK8" s="551"/>
      <c r="AFL8" s="551"/>
      <c r="AFM8" s="551"/>
      <c r="AFN8" s="551"/>
      <c r="AFO8" s="551"/>
      <c r="AFP8" s="551"/>
      <c r="AFQ8" s="551"/>
      <c r="AFR8" s="551"/>
      <c r="AFS8" s="551"/>
      <c r="AFT8" s="551"/>
      <c r="AFU8" s="551"/>
      <c r="AFV8" s="551"/>
      <c r="AFW8" s="551"/>
      <c r="AFX8" s="551"/>
      <c r="AFY8" s="551"/>
      <c r="AFZ8" s="551"/>
      <c r="AGA8" s="551"/>
      <c r="AGB8" s="551"/>
      <c r="AGC8" s="551"/>
      <c r="AGD8" s="551"/>
      <c r="AGE8" s="551"/>
      <c r="AGF8" s="551"/>
      <c r="AGG8" s="551"/>
      <c r="AGH8" s="551"/>
      <c r="AGI8" s="551"/>
      <c r="AGJ8" s="551"/>
      <c r="AGK8" s="551"/>
      <c r="AGL8" s="551"/>
      <c r="AGM8" s="551"/>
      <c r="AGN8" s="551"/>
      <c r="AGO8" s="551"/>
      <c r="AGP8" s="551"/>
      <c r="AGQ8" s="551"/>
      <c r="AGR8" s="551"/>
      <c r="AGS8" s="551"/>
      <c r="AGT8" s="551"/>
      <c r="AGU8" s="551"/>
      <c r="AGV8" s="551"/>
      <c r="AGW8" s="551"/>
      <c r="AGX8" s="551"/>
      <c r="AGY8" s="551"/>
      <c r="AGZ8" s="551"/>
      <c r="AHA8" s="551"/>
      <c r="AHB8" s="551"/>
      <c r="AHC8" s="551"/>
      <c r="AHD8" s="551"/>
      <c r="AHE8" s="551"/>
      <c r="AHF8" s="551"/>
      <c r="AHG8" s="551"/>
      <c r="AHH8" s="551"/>
      <c r="AHI8" s="551"/>
      <c r="AHJ8" s="551"/>
      <c r="AHK8" s="551"/>
      <c r="AHL8" s="551"/>
      <c r="AHM8" s="551"/>
      <c r="AHN8" s="551"/>
      <c r="AHO8" s="551"/>
      <c r="AHP8" s="551"/>
      <c r="AHQ8" s="551"/>
      <c r="AHR8" s="551"/>
      <c r="AHS8" s="551"/>
      <c r="AHT8" s="551"/>
      <c r="AHU8" s="551"/>
      <c r="AHV8" s="551"/>
      <c r="AHW8" s="551"/>
      <c r="AHX8" s="551"/>
      <c r="AHY8" s="551"/>
      <c r="AHZ8" s="551"/>
      <c r="AIA8" s="551"/>
      <c r="AIB8" s="551"/>
      <c r="AIC8" s="551"/>
      <c r="AID8" s="551"/>
      <c r="AIE8" s="551"/>
      <c r="AIF8" s="551"/>
      <c r="AIG8" s="551"/>
      <c r="AIH8" s="551"/>
      <c r="AII8" s="551"/>
      <c r="AIJ8" s="551"/>
      <c r="AIK8" s="551"/>
      <c r="AIL8" s="551"/>
      <c r="AIM8" s="551"/>
      <c r="AIN8" s="551"/>
      <c r="AIO8" s="551"/>
      <c r="AIP8" s="551"/>
      <c r="AIQ8" s="551"/>
      <c r="AIR8" s="551"/>
      <c r="AIS8" s="551"/>
      <c r="AIT8" s="551"/>
      <c r="AIU8" s="551"/>
      <c r="AIV8" s="551"/>
      <c r="AIW8" s="551"/>
      <c r="AIX8" s="551"/>
      <c r="AIY8" s="551"/>
      <c r="AIZ8" s="551"/>
      <c r="AJA8" s="551"/>
      <c r="AJB8" s="551"/>
      <c r="AJC8" s="551"/>
      <c r="AJD8" s="551"/>
      <c r="AJE8" s="551"/>
      <c r="AJF8" s="551"/>
      <c r="AJG8" s="551"/>
      <c r="AJH8" s="551"/>
      <c r="AJI8" s="551"/>
      <c r="AJJ8" s="551"/>
      <c r="AJK8" s="551"/>
      <c r="AJL8" s="551"/>
      <c r="AJM8" s="551"/>
      <c r="AJN8" s="551"/>
      <c r="AJO8" s="551"/>
      <c r="AJP8" s="551"/>
      <c r="AJQ8" s="551"/>
      <c r="AJR8" s="551"/>
      <c r="AJS8" s="551"/>
      <c r="AJT8" s="551"/>
      <c r="AJU8" s="551"/>
      <c r="AJV8" s="551"/>
      <c r="AJW8" s="551"/>
      <c r="AJX8" s="551"/>
      <c r="AJY8" s="551"/>
      <c r="AJZ8" s="551"/>
      <c r="AKA8" s="551"/>
      <c r="AKB8" s="551"/>
      <c r="AKC8" s="551"/>
      <c r="AKD8" s="551"/>
      <c r="AKE8" s="551"/>
      <c r="AKF8" s="551"/>
      <c r="AKG8" s="551"/>
      <c r="AKH8" s="551"/>
      <c r="AKI8" s="551"/>
      <c r="AKJ8" s="551"/>
      <c r="AKK8" s="551"/>
      <c r="AKL8" s="551"/>
      <c r="AKM8" s="551"/>
      <c r="AKN8" s="551"/>
      <c r="AKO8" s="551"/>
      <c r="AKP8" s="551"/>
      <c r="AKQ8" s="551"/>
      <c r="AKR8" s="551"/>
      <c r="AKS8" s="551"/>
      <c r="AKT8" s="551"/>
      <c r="AKU8" s="551"/>
      <c r="AKV8" s="551"/>
      <c r="AKW8" s="551"/>
      <c r="AKX8" s="551"/>
      <c r="AKY8" s="551"/>
      <c r="AKZ8" s="551"/>
      <c r="ALA8" s="551"/>
      <c r="ALB8" s="551"/>
      <c r="ALC8" s="551"/>
      <c r="ALD8" s="551"/>
      <c r="ALE8" s="551"/>
      <c r="ALF8" s="551"/>
      <c r="ALG8" s="551"/>
      <c r="ALH8" s="551"/>
      <c r="ALI8" s="551"/>
      <c r="ALJ8" s="551"/>
      <c r="ALK8" s="551"/>
      <c r="ALL8" s="551"/>
      <c r="ALM8" s="551"/>
      <c r="ALN8" s="551"/>
      <c r="ALO8" s="551"/>
      <c r="ALP8" s="551"/>
      <c r="ALQ8" s="551"/>
      <c r="ALR8" s="551"/>
      <c r="ALS8" s="551"/>
      <c r="ALT8" s="551"/>
      <c r="ALU8" s="551"/>
      <c r="ALV8" s="551"/>
      <c r="ALW8" s="551"/>
      <c r="ALX8" s="551"/>
      <c r="ALY8" s="551"/>
      <c r="ALZ8" s="551"/>
      <c r="AMA8" s="551"/>
      <c r="AMB8" s="551"/>
      <c r="AMC8" s="551"/>
      <c r="AMD8" s="551"/>
      <c r="AME8" s="551"/>
      <c r="AMF8" s="551"/>
      <c r="AMG8" s="551"/>
      <c r="AMH8" s="551"/>
      <c r="AMI8" s="551"/>
      <c r="AMJ8" s="551"/>
      <c r="AMK8" s="551"/>
      <c r="AML8" s="551"/>
      <c r="AMM8" s="551"/>
      <c r="AMN8" s="551"/>
    </row>
    <row r="9" spans="1:1028" s="557" customFormat="1" ht="103.5" customHeight="1">
      <c r="A9" s="2152"/>
      <c r="B9" s="1296" t="s">
        <v>100</v>
      </c>
      <c r="C9" s="2258" t="s">
        <v>1955</v>
      </c>
      <c r="D9" s="1275" t="s">
        <v>2736</v>
      </c>
      <c r="E9" s="1276"/>
      <c r="F9" s="1277"/>
      <c r="G9" s="1175" t="s">
        <v>671</v>
      </c>
      <c r="H9" s="1320" t="s">
        <v>2737</v>
      </c>
      <c r="I9" s="1320"/>
      <c r="J9" s="1320"/>
      <c r="K9" s="1345" t="s">
        <v>2738</v>
      </c>
      <c r="L9" s="1346"/>
      <c r="M9" s="1347"/>
      <c r="N9" s="1296"/>
      <c r="O9" s="1296">
        <v>6</v>
      </c>
      <c r="P9" s="1296"/>
      <c r="Q9" s="1296"/>
      <c r="R9" s="1175" t="s">
        <v>655</v>
      </c>
      <c r="S9" s="1175" t="s">
        <v>274</v>
      </c>
      <c r="T9" s="301"/>
      <c r="U9" s="638">
        <f>VLOOKUP(R9,[88]Listas!$D$6:$E$10,2,0)</f>
        <v>2</v>
      </c>
      <c r="V9" s="638">
        <f>HLOOKUP(S9,[88]Listas!$F$4:$J$5,2,0)</f>
        <v>3</v>
      </c>
      <c r="W9" s="2094" t="str">
        <f>INDEX([88]Listas!$F$6:$J$10,MATCH(R9,[88]Listas!$D$6:$D$10,0),MATCH(S9,[88]Listas!$F$4:$J$4,0))</f>
        <v>6
MODERADO</v>
      </c>
      <c r="X9" s="301"/>
      <c r="Y9" s="2261" t="s">
        <v>434</v>
      </c>
      <c r="Z9" s="2262"/>
      <c r="AA9" s="2263"/>
      <c r="AB9" s="2278" t="s">
        <v>4013</v>
      </c>
      <c r="AC9" s="1321" t="s">
        <v>671</v>
      </c>
      <c r="AD9" s="617" t="s">
        <v>1306</v>
      </c>
      <c r="AE9" s="1296">
        <v>87</v>
      </c>
      <c r="AF9" s="1321" t="s">
        <v>152</v>
      </c>
      <c r="AG9" s="301"/>
      <c r="AH9" s="638">
        <f>IF(AE9&lt;=33,0,IF(AE9&gt;81,2,1))</f>
        <v>2</v>
      </c>
      <c r="AI9" s="555">
        <f>IF(OR(AF9="Probabilidad",AF9="Ambos"),U9-AH9,U9)</f>
        <v>0</v>
      </c>
      <c r="AJ9" s="2094" t="str">
        <f>IF(AI9&lt;=1,"Remota",VLOOKUP(AI9,[88]Listas!$C$6:$D$10,2,0))</f>
        <v>Remota</v>
      </c>
      <c r="AK9" s="555">
        <f>IF(OR(AF9="Impacto",AF9="Ambos"),V9-AH9,V9)</f>
        <v>1</v>
      </c>
      <c r="AL9" s="2094" t="str">
        <f>IF(AK9&lt;=1,"Insignificante",HLOOKUP(AK9,[88]Listas!$F$3:$J$4,2,0))</f>
        <v>Insignificante</v>
      </c>
      <c r="AM9" s="640">
        <f>AI9*AK9</f>
        <v>0</v>
      </c>
      <c r="AN9" s="2094" t="str">
        <f>INDEX([88]Listas!$F$6:$J$10,MATCH(AJ9,[88]Listas!$D$6:$D$10,0),MATCH(AL9,[88]Listas!$F$4:$J$4,0))</f>
        <v>1
INFERIOR</v>
      </c>
      <c r="AO9" s="1325" t="s">
        <v>2739</v>
      </c>
      <c r="AP9" s="1325" t="s">
        <v>3721</v>
      </c>
      <c r="AQ9" s="1353">
        <v>0</v>
      </c>
      <c r="AR9" s="1325" t="s">
        <v>3722</v>
      </c>
      <c r="AS9" s="1329" t="s">
        <v>3723</v>
      </c>
      <c r="AT9" s="1325" t="s">
        <v>36</v>
      </c>
      <c r="AU9" s="2264"/>
      <c r="AV9" s="1325"/>
      <c r="AW9" s="2245"/>
      <c r="AX9" s="2245"/>
      <c r="AY9" s="1325"/>
      <c r="AZ9" s="556"/>
    </row>
    <row r="10" spans="1:1028" s="557" customFormat="1" ht="51" customHeight="1">
      <c r="A10" s="2153"/>
      <c r="B10" s="1297"/>
      <c r="C10" s="2259"/>
      <c r="D10" s="2125"/>
      <c r="E10" s="2126"/>
      <c r="F10" s="2127"/>
      <c r="G10" s="1176"/>
      <c r="H10" s="1320" t="s">
        <v>672</v>
      </c>
      <c r="I10" s="1320"/>
      <c r="J10" s="1320"/>
      <c r="K10" s="1348"/>
      <c r="L10" s="1349"/>
      <c r="M10" s="1350"/>
      <c r="N10" s="1297"/>
      <c r="O10" s="1297"/>
      <c r="P10" s="1297"/>
      <c r="Q10" s="1297"/>
      <c r="R10" s="1176"/>
      <c r="S10" s="1176"/>
      <c r="T10" s="301"/>
      <c r="U10" s="638" t="e">
        <f>VLOOKUP(R10,[88]Listas!$D$6:$E$10,2,0)</f>
        <v>#N/A</v>
      </c>
      <c r="V10" s="638" t="e">
        <f>HLOOKUP(S10,[88]Listas!$F$4:$J$5,2,0)</f>
        <v>#N/A</v>
      </c>
      <c r="W10" s="2095"/>
      <c r="X10" s="301"/>
      <c r="Y10" s="2261" t="s">
        <v>2740</v>
      </c>
      <c r="Z10" s="2262"/>
      <c r="AA10" s="2263"/>
      <c r="AB10" s="2279"/>
      <c r="AC10" s="1322"/>
      <c r="AD10" s="617" t="s">
        <v>435</v>
      </c>
      <c r="AE10" s="1297"/>
      <c r="AF10" s="1322"/>
      <c r="AG10" s="301"/>
      <c r="AH10" s="638">
        <f t="shared" ref="AH10:AH20" si="0">IF(AE10&lt;=33,0,IF(AE10&gt;81,2,1))</f>
        <v>0</v>
      </c>
      <c r="AI10" s="555" t="e">
        <f t="shared" ref="AI10:AI20" si="1">IF(OR(AF10="Probabilidad",AF10="Ambos"),U10-AH10,U10)</f>
        <v>#N/A</v>
      </c>
      <c r="AJ10" s="2095"/>
      <c r="AK10" s="555" t="e">
        <f t="shared" ref="AK10:AK20" si="2">IF(OR(AF10="Impacto",AF10="Ambos"),V10-AH10,V10)</f>
        <v>#N/A</v>
      </c>
      <c r="AL10" s="2095"/>
      <c r="AM10" s="640" t="e">
        <f t="shared" ref="AM10:AM20" si="3">AI10*AK10</f>
        <v>#N/A</v>
      </c>
      <c r="AN10" s="2095"/>
      <c r="AO10" s="1326"/>
      <c r="AP10" s="1326"/>
      <c r="AQ10" s="2267"/>
      <c r="AR10" s="1326"/>
      <c r="AS10" s="1330"/>
      <c r="AT10" s="1326"/>
      <c r="AU10" s="2265"/>
      <c r="AV10" s="1326"/>
      <c r="AW10" s="2246"/>
      <c r="AX10" s="2246"/>
      <c r="AY10" s="1326"/>
      <c r="AZ10" s="556"/>
    </row>
    <row r="11" spans="1:1028" s="557" customFormat="1" ht="70.5" customHeight="1">
      <c r="A11" s="2153"/>
      <c r="B11" s="1297"/>
      <c r="C11" s="2259"/>
      <c r="D11" s="2125"/>
      <c r="E11" s="2126"/>
      <c r="F11" s="2127"/>
      <c r="G11" s="1176"/>
      <c r="H11" s="1342" t="s">
        <v>194</v>
      </c>
      <c r="I11" s="1343"/>
      <c r="J11" s="1344"/>
      <c r="K11" s="1348"/>
      <c r="L11" s="1349"/>
      <c r="M11" s="1350"/>
      <c r="N11" s="1297"/>
      <c r="O11" s="1297"/>
      <c r="P11" s="1297"/>
      <c r="Q11" s="1297"/>
      <c r="R11" s="1176"/>
      <c r="S11" s="1176"/>
      <c r="T11" s="301"/>
      <c r="U11" s="638"/>
      <c r="V11" s="638"/>
      <c r="W11" s="2095"/>
      <c r="X11" s="301"/>
      <c r="Y11" s="2261" t="s">
        <v>2741</v>
      </c>
      <c r="Z11" s="2262"/>
      <c r="AA11" s="2263"/>
      <c r="AB11" s="2280"/>
      <c r="AC11" s="1322"/>
      <c r="AD11" s="617" t="s">
        <v>2742</v>
      </c>
      <c r="AE11" s="1297"/>
      <c r="AF11" s="1322"/>
      <c r="AG11" s="301"/>
      <c r="AH11" s="638"/>
      <c r="AI11" s="555"/>
      <c r="AJ11" s="2095"/>
      <c r="AK11" s="555"/>
      <c r="AL11" s="2095"/>
      <c r="AM11" s="640"/>
      <c r="AN11" s="2095"/>
      <c r="AO11" s="1326"/>
      <c r="AP11" s="1326"/>
      <c r="AQ11" s="2268"/>
      <c r="AR11" s="1327"/>
      <c r="AS11" s="1331"/>
      <c r="AT11" s="1327"/>
      <c r="AU11" s="2266"/>
      <c r="AV11" s="1327"/>
      <c r="AW11" s="2247"/>
      <c r="AX11" s="2247"/>
      <c r="AY11" s="1327"/>
      <c r="AZ11" s="556"/>
    </row>
    <row r="12" spans="1:1028" s="557" customFormat="1" ht="103.5" customHeight="1">
      <c r="A12" s="2152"/>
      <c r="B12" s="2152" t="s">
        <v>100</v>
      </c>
      <c r="C12" s="2258" t="s">
        <v>1957</v>
      </c>
      <c r="D12" s="2158" t="s">
        <v>673</v>
      </c>
      <c r="E12" s="2159"/>
      <c r="F12" s="2160"/>
      <c r="G12" s="2155" t="s">
        <v>671</v>
      </c>
      <c r="H12" s="2167" t="s">
        <v>436</v>
      </c>
      <c r="I12" s="2168"/>
      <c r="J12" s="2169"/>
      <c r="K12" s="2170" t="s">
        <v>1307</v>
      </c>
      <c r="L12" s="2171"/>
      <c r="M12" s="2172"/>
      <c r="N12" s="2152"/>
      <c r="O12" s="2152"/>
      <c r="P12" s="2152"/>
      <c r="Q12" s="2152"/>
      <c r="R12" s="2258" t="s">
        <v>655</v>
      </c>
      <c r="S12" s="2258" t="s">
        <v>274</v>
      </c>
      <c r="T12" s="358"/>
      <c r="U12" s="359">
        <f>VLOOKUP(R12,[88]Listas!$D$6:$E$10,2,0)</f>
        <v>2</v>
      </c>
      <c r="V12" s="359">
        <f>HLOOKUP(S12,[88]Listas!$F$4:$J$5,2,0)</f>
        <v>3</v>
      </c>
      <c r="W12" s="2094" t="str">
        <f>INDEX([88]Listas!$F$6:$J$10,MATCH(R12,[88]Listas!$D$6:$D$10,0),MATCH(S12,[88]Listas!$F$4:$J$4,0))</f>
        <v>6
MODERADO</v>
      </c>
      <c r="X12" s="358"/>
      <c r="Y12" s="2254" t="s">
        <v>3488</v>
      </c>
      <c r="Z12" s="2254"/>
      <c r="AA12" s="2254"/>
      <c r="AB12" s="2278" t="s">
        <v>4013</v>
      </c>
      <c r="AC12" s="2155" t="s">
        <v>671</v>
      </c>
      <c r="AD12" s="348" t="s">
        <v>674</v>
      </c>
      <c r="AE12" s="2152">
        <v>79</v>
      </c>
      <c r="AF12" s="2155" t="s">
        <v>152</v>
      </c>
      <c r="AG12" s="301"/>
      <c r="AH12" s="638">
        <f t="shared" si="0"/>
        <v>1</v>
      </c>
      <c r="AI12" s="555">
        <f t="shared" si="1"/>
        <v>1</v>
      </c>
      <c r="AJ12" s="2094" t="str">
        <f>IF(AI12&lt;=1,"Remota",VLOOKUP(AI12,[88]Listas!$C$6:$D$10,2,0))</f>
        <v>Remota</v>
      </c>
      <c r="AK12" s="555">
        <f t="shared" si="2"/>
        <v>2</v>
      </c>
      <c r="AL12" s="2094" t="str">
        <f>IF(AK12&lt;=1,"Insignificante",HLOOKUP(AK12,[88]Listas!$F$3:$J$4,2,0))</f>
        <v>Menor</v>
      </c>
      <c r="AM12" s="640">
        <f t="shared" si="3"/>
        <v>2</v>
      </c>
      <c r="AN12" s="2094" t="str">
        <f>INDEX([88]Listas!$F$6:$J$10,MATCH(AJ12,[88]Listas!$D$6:$D$10,0),MATCH(AL12,[88]Listas!$F$4:$J$4,0))</f>
        <v>2
INFERIOR</v>
      </c>
      <c r="AO12" s="1325" t="s">
        <v>2743</v>
      </c>
      <c r="AP12" s="1325" t="s">
        <v>3489</v>
      </c>
      <c r="AQ12" s="2255">
        <v>1</v>
      </c>
      <c r="AR12" s="1325" t="s">
        <v>3724</v>
      </c>
      <c r="AS12" s="1329" t="s">
        <v>3725</v>
      </c>
      <c r="AT12" s="1325" t="s">
        <v>65</v>
      </c>
      <c r="AU12" s="1325" t="s">
        <v>3726</v>
      </c>
      <c r="AV12" s="1325" t="s">
        <v>3727</v>
      </c>
      <c r="AW12" s="2245">
        <v>43586</v>
      </c>
      <c r="AX12" s="2245">
        <v>43617</v>
      </c>
      <c r="AY12" s="1325" t="s">
        <v>3728</v>
      </c>
      <c r="AZ12" s="556"/>
    </row>
    <row r="13" spans="1:1028" s="557" customFormat="1" ht="71.25" customHeight="1">
      <c r="A13" s="2153"/>
      <c r="B13" s="2153"/>
      <c r="C13" s="2259"/>
      <c r="D13" s="2161"/>
      <c r="E13" s="2162"/>
      <c r="F13" s="2163"/>
      <c r="G13" s="2156"/>
      <c r="H13" s="2167" t="s">
        <v>675</v>
      </c>
      <c r="I13" s="2168"/>
      <c r="J13" s="2169"/>
      <c r="K13" s="2173"/>
      <c r="L13" s="2174"/>
      <c r="M13" s="2175"/>
      <c r="N13" s="2153"/>
      <c r="O13" s="2153"/>
      <c r="P13" s="2153"/>
      <c r="Q13" s="2153"/>
      <c r="R13" s="2259"/>
      <c r="S13" s="2259"/>
      <c r="T13" s="358"/>
      <c r="U13" s="359" t="e">
        <f>VLOOKUP(R13,[88]Listas!$D$6:$E$10,2,0)</f>
        <v>#N/A</v>
      </c>
      <c r="V13" s="359" t="e">
        <f>HLOOKUP(S13,[88]Listas!$F$4:$J$5,2,0)</f>
        <v>#N/A</v>
      </c>
      <c r="W13" s="2095"/>
      <c r="X13" s="358"/>
      <c r="Y13" s="2254" t="s">
        <v>3491</v>
      </c>
      <c r="Z13" s="2254"/>
      <c r="AA13" s="2254"/>
      <c r="AB13" s="2279"/>
      <c r="AC13" s="2156"/>
      <c r="AD13" s="348" t="s">
        <v>676</v>
      </c>
      <c r="AE13" s="2153"/>
      <c r="AF13" s="2156"/>
      <c r="AG13" s="301"/>
      <c r="AH13" s="638">
        <f t="shared" si="0"/>
        <v>0</v>
      </c>
      <c r="AI13" s="555" t="e">
        <f t="shared" si="1"/>
        <v>#N/A</v>
      </c>
      <c r="AJ13" s="2095"/>
      <c r="AK13" s="555" t="e">
        <f t="shared" si="2"/>
        <v>#N/A</v>
      </c>
      <c r="AL13" s="2095"/>
      <c r="AM13" s="640" t="e">
        <f t="shared" si="3"/>
        <v>#N/A</v>
      </c>
      <c r="AN13" s="2095"/>
      <c r="AO13" s="1326"/>
      <c r="AP13" s="1326"/>
      <c r="AQ13" s="2256"/>
      <c r="AR13" s="1326"/>
      <c r="AS13" s="1330"/>
      <c r="AT13" s="1326"/>
      <c r="AU13" s="1326"/>
      <c r="AV13" s="1326"/>
      <c r="AW13" s="2246"/>
      <c r="AX13" s="2246"/>
      <c r="AY13" s="1326"/>
      <c r="AZ13" s="556"/>
    </row>
    <row r="14" spans="1:1028" s="557" customFormat="1" ht="103.5" customHeight="1">
      <c r="A14" s="2153"/>
      <c r="B14" s="2153"/>
      <c r="C14" s="2259"/>
      <c r="D14" s="2161"/>
      <c r="E14" s="2162"/>
      <c r="F14" s="2163"/>
      <c r="G14" s="2156"/>
      <c r="H14" s="2167" t="s">
        <v>437</v>
      </c>
      <c r="I14" s="2168"/>
      <c r="J14" s="2169"/>
      <c r="K14" s="2173"/>
      <c r="L14" s="2174"/>
      <c r="M14" s="2175"/>
      <c r="N14" s="2153"/>
      <c r="O14" s="2153"/>
      <c r="P14" s="2153"/>
      <c r="Q14" s="2153"/>
      <c r="R14" s="2259"/>
      <c r="S14" s="2259"/>
      <c r="T14" s="358"/>
      <c r="U14" s="359" t="e">
        <f>VLOOKUP(R14,[88]Listas!$D$6:$E$10,2,0)</f>
        <v>#N/A</v>
      </c>
      <c r="V14" s="359" t="e">
        <f>HLOOKUP(S14,[88]Listas!$F$4:$J$5,2,0)</f>
        <v>#N/A</v>
      </c>
      <c r="W14" s="2095"/>
      <c r="X14" s="358"/>
      <c r="Y14" s="2254" t="s">
        <v>3492</v>
      </c>
      <c r="Z14" s="2254"/>
      <c r="AA14" s="2254"/>
      <c r="AB14" s="2279"/>
      <c r="AC14" s="2156"/>
      <c r="AD14" s="502" t="s">
        <v>677</v>
      </c>
      <c r="AE14" s="2153"/>
      <c r="AF14" s="2156"/>
      <c r="AG14" s="301"/>
      <c r="AH14" s="638">
        <f t="shared" si="0"/>
        <v>0</v>
      </c>
      <c r="AI14" s="555" t="e">
        <f t="shared" si="1"/>
        <v>#N/A</v>
      </c>
      <c r="AJ14" s="2095"/>
      <c r="AK14" s="555" t="e">
        <f t="shared" si="2"/>
        <v>#N/A</v>
      </c>
      <c r="AL14" s="2095"/>
      <c r="AM14" s="640" t="e">
        <f t="shared" si="3"/>
        <v>#N/A</v>
      </c>
      <c r="AN14" s="2095"/>
      <c r="AO14" s="1326"/>
      <c r="AP14" s="1326"/>
      <c r="AQ14" s="2256"/>
      <c r="AR14" s="1326"/>
      <c r="AS14" s="1330"/>
      <c r="AT14" s="1326"/>
      <c r="AU14" s="1326"/>
      <c r="AV14" s="1326"/>
      <c r="AW14" s="2246"/>
      <c r="AX14" s="2246"/>
      <c r="AY14" s="1326"/>
      <c r="AZ14" s="556"/>
    </row>
    <row r="15" spans="1:1028" s="557" customFormat="1" ht="39.75" customHeight="1">
      <c r="A15" s="2153"/>
      <c r="B15" s="2153"/>
      <c r="C15" s="2259"/>
      <c r="D15" s="2161"/>
      <c r="E15" s="2162"/>
      <c r="F15" s="2163"/>
      <c r="G15" s="2156"/>
      <c r="H15" s="2167" t="s">
        <v>678</v>
      </c>
      <c r="I15" s="2168"/>
      <c r="J15" s="2169"/>
      <c r="K15" s="2173"/>
      <c r="L15" s="2174"/>
      <c r="M15" s="2175"/>
      <c r="N15" s="2153"/>
      <c r="O15" s="2153"/>
      <c r="P15" s="2153"/>
      <c r="Q15" s="2153"/>
      <c r="R15" s="2259"/>
      <c r="S15" s="2259"/>
      <c r="T15" s="358"/>
      <c r="U15" s="359" t="e">
        <f>VLOOKUP(R15,[88]Listas!$D$6:$E$10,2,0)</f>
        <v>#N/A</v>
      </c>
      <c r="V15" s="359" t="e">
        <f>HLOOKUP(S15,[88]Listas!$F$4:$J$5,2,0)</f>
        <v>#N/A</v>
      </c>
      <c r="W15" s="2095"/>
      <c r="X15" s="358"/>
      <c r="Y15" s="2254" t="s">
        <v>679</v>
      </c>
      <c r="Z15" s="2254"/>
      <c r="AA15" s="2254"/>
      <c r="AB15" s="2279"/>
      <c r="AC15" s="2156"/>
      <c r="AD15" s="348" t="s">
        <v>3493</v>
      </c>
      <c r="AE15" s="2153"/>
      <c r="AF15" s="2156"/>
      <c r="AG15" s="301"/>
      <c r="AH15" s="638">
        <f t="shared" si="0"/>
        <v>0</v>
      </c>
      <c r="AI15" s="555" t="e">
        <f t="shared" si="1"/>
        <v>#N/A</v>
      </c>
      <c r="AJ15" s="2095"/>
      <c r="AK15" s="555" t="e">
        <f t="shared" si="2"/>
        <v>#N/A</v>
      </c>
      <c r="AL15" s="2095"/>
      <c r="AM15" s="640" t="e">
        <f t="shared" si="3"/>
        <v>#N/A</v>
      </c>
      <c r="AN15" s="2095"/>
      <c r="AO15" s="1326"/>
      <c r="AP15" s="1326"/>
      <c r="AQ15" s="2256"/>
      <c r="AR15" s="1326"/>
      <c r="AS15" s="1330"/>
      <c r="AT15" s="1326"/>
      <c r="AU15" s="1326"/>
      <c r="AV15" s="1326"/>
      <c r="AW15" s="2246"/>
      <c r="AX15" s="2246"/>
      <c r="AY15" s="1326"/>
      <c r="AZ15" s="556"/>
    </row>
    <row r="16" spans="1:1028" s="557" customFormat="1" ht="63" customHeight="1">
      <c r="A16" s="2154"/>
      <c r="B16" s="2154"/>
      <c r="C16" s="2260"/>
      <c r="D16" s="2164"/>
      <c r="E16" s="2165"/>
      <c r="F16" s="2166"/>
      <c r="G16" s="2157"/>
      <c r="H16" s="2167" t="s">
        <v>680</v>
      </c>
      <c r="I16" s="2168"/>
      <c r="J16" s="2169"/>
      <c r="K16" s="2176"/>
      <c r="L16" s="2177"/>
      <c r="M16" s="2178"/>
      <c r="N16" s="2154"/>
      <c r="O16" s="2154"/>
      <c r="P16" s="2154"/>
      <c r="Q16" s="2154"/>
      <c r="R16" s="2260"/>
      <c r="S16" s="2260"/>
      <c r="T16" s="358"/>
      <c r="U16" s="359" t="e">
        <f>VLOOKUP(R16,[88]Listas!$D$6:$E$10,2,0)</f>
        <v>#N/A</v>
      </c>
      <c r="V16" s="359" t="e">
        <f>HLOOKUP(S16,[88]Listas!$F$4:$J$5,2,0)</f>
        <v>#N/A</v>
      </c>
      <c r="W16" s="2096"/>
      <c r="X16" s="358"/>
      <c r="Y16" s="2254" t="s">
        <v>681</v>
      </c>
      <c r="Z16" s="2254"/>
      <c r="AA16" s="2254"/>
      <c r="AB16" s="2280"/>
      <c r="AC16" s="2157"/>
      <c r="AD16" s="502" t="s">
        <v>682</v>
      </c>
      <c r="AE16" s="2154"/>
      <c r="AF16" s="2157"/>
      <c r="AG16" s="301"/>
      <c r="AH16" s="638">
        <f t="shared" si="0"/>
        <v>0</v>
      </c>
      <c r="AI16" s="555" t="e">
        <f t="shared" si="1"/>
        <v>#N/A</v>
      </c>
      <c r="AJ16" s="2096"/>
      <c r="AK16" s="555" t="e">
        <f t="shared" si="2"/>
        <v>#N/A</v>
      </c>
      <c r="AL16" s="2096"/>
      <c r="AM16" s="640" t="e">
        <f t="shared" si="3"/>
        <v>#N/A</v>
      </c>
      <c r="AN16" s="2096"/>
      <c r="AO16" s="1327"/>
      <c r="AP16" s="1327"/>
      <c r="AQ16" s="2257"/>
      <c r="AR16" s="1327"/>
      <c r="AS16" s="1331"/>
      <c r="AT16" s="1327"/>
      <c r="AU16" s="1327"/>
      <c r="AV16" s="1327"/>
      <c r="AW16" s="2247"/>
      <c r="AX16" s="2247"/>
      <c r="AY16" s="1327"/>
      <c r="AZ16" s="556"/>
    </row>
    <row r="17" spans="1:52" s="557" customFormat="1" ht="103.5" customHeight="1">
      <c r="A17" s="2152"/>
      <c r="B17" s="1296" t="s">
        <v>340</v>
      </c>
      <c r="C17" s="1334" t="s">
        <v>4270</v>
      </c>
      <c r="D17" s="1275" t="s">
        <v>2744</v>
      </c>
      <c r="E17" s="1276"/>
      <c r="F17" s="1277"/>
      <c r="G17" s="1321" t="s">
        <v>671</v>
      </c>
      <c r="H17" s="2091" t="s">
        <v>2745</v>
      </c>
      <c r="I17" s="2092"/>
      <c r="J17" s="2093"/>
      <c r="K17" s="1345" t="s">
        <v>2746</v>
      </c>
      <c r="L17" s="1346"/>
      <c r="M17" s="1347"/>
      <c r="N17" s="1296"/>
      <c r="O17" s="1296"/>
      <c r="P17" s="1296" t="s">
        <v>8</v>
      </c>
      <c r="Q17" s="1296"/>
      <c r="R17" s="1175" t="s">
        <v>655</v>
      </c>
      <c r="S17" s="1175" t="s">
        <v>643</v>
      </c>
      <c r="T17" s="301"/>
      <c r="U17" s="638">
        <f>VLOOKUP(R17,[88]Listas!$D$6:$E$10,2,0)</f>
        <v>2</v>
      </c>
      <c r="V17" s="638">
        <f>HLOOKUP(S17,[88]Listas!$F$4:$J$5,2,0)</f>
        <v>2</v>
      </c>
      <c r="W17" s="2094" t="str">
        <f>INDEX([88]Listas!$F$6:$J$10,MATCH(R17,[88]Listas!$D$6:$D$10,0),MATCH(S17,[88]Listas!$F$4:$J$4,0))</f>
        <v>4
INFERIOR</v>
      </c>
      <c r="X17" s="301"/>
      <c r="Y17" s="1896" t="s">
        <v>1309</v>
      </c>
      <c r="Z17" s="1896"/>
      <c r="AA17" s="1896"/>
      <c r="AB17" s="1892" t="s">
        <v>4209</v>
      </c>
      <c r="AC17" s="2155" t="s">
        <v>671</v>
      </c>
      <c r="AD17" s="2251" t="s">
        <v>1310</v>
      </c>
      <c r="AE17" s="1296">
        <v>79</v>
      </c>
      <c r="AF17" s="1321" t="s">
        <v>152</v>
      </c>
      <c r="AG17" s="301"/>
      <c r="AH17" s="638">
        <f t="shared" si="0"/>
        <v>1</v>
      </c>
      <c r="AI17" s="555">
        <f t="shared" si="1"/>
        <v>1</v>
      </c>
      <c r="AJ17" s="2094" t="str">
        <f>IF(AI17&lt;=1,"Remota",VLOOKUP(AI17,[88]Listas!$C$6:$D$10,2,0))</f>
        <v>Remota</v>
      </c>
      <c r="AK17" s="555">
        <f t="shared" si="2"/>
        <v>1</v>
      </c>
      <c r="AL17" s="2094" t="str">
        <f>IF(AK17&lt;=1,"Insignificante",HLOOKUP(AK17,[88]Listas!$F$3:$J$4,2,0))</f>
        <v>Insignificante</v>
      </c>
      <c r="AM17" s="640">
        <f t="shared" si="3"/>
        <v>1</v>
      </c>
      <c r="AN17" s="2094" t="str">
        <f>INDEX([88]Listas!$F$6:$J$10,MATCH(AJ17,[88]Listas!$D$6:$D$10,0),MATCH(AL17,[88]Listas!$F$4:$J$4,0))</f>
        <v>1
INFERIOR</v>
      </c>
      <c r="AO17" s="1886" t="s">
        <v>2747</v>
      </c>
      <c r="AP17" s="1325" t="s">
        <v>2748</v>
      </c>
      <c r="AQ17" s="1353">
        <v>0</v>
      </c>
      <c r="AR17" s="1325" t="s">
        <v>3494</v>
      </c>
      <c r="AS17" s="1329" t="s">
        <v>3490</v>
      </c>
      <c r="AT17" s="1325" t="s">
        <v>36</v>
      </c>
      <c r="AU17" s="1325"/>
      <c r="AV17" s="1325"/>
      <c r="AW17" s="2245"/>
      <c r="AX17" s="2245"/>
      <c r="AY17" s="1325"/>
      <c r="AZ17" s="556"/>
    </row>
    <row r="18" spans="1:52" s="557" customFormat="1" ht="49.5" customHeight="1">
      <c r="A18" s="2153"/>
      <c r="B18" s="1297"/>
      <c r="C18" s="1335"/>
      <c r="D18" s="2125"/>
      <c r="E18" s="2126"/>
      <c r="F18" s="2127"/>
      <c r="G18" s="1322"/>
      <c r="H18" s="2091" t="s">
        <v>985</v>
      </c>
      <c r="I18" s="2092"/>
      <c r="J18" s="2093"/>
      <c r="K18" s="1348"/>
      <c r="L18" s="1349"/>
      <c r="M18" s="1350"/>
      <c r="N18" s="1297"/>
      <c r="O18" s="1297"/>
      <c r="P18" s="1297"/>
      <c r="Q18" s="1297"/>
      <c r="R18" s="1176"/>
      <c r="S18" s="1176"/>
      <c r="T18" s="301"/>
      <c r="U18" s="638"/>
      <c r="V18" s="638"/>
      <c r="W18" s="2095"/>
      <c r="X18" s="301"/>
      <c r="Y18" s="2091" t="s">
        <v>2749</v>
      </c>
      <c r="Z18" s="2092"/>
      <c r="AA18" s="2093"/>
      <c r="AB18" s="1893"/>
      <c r="AC18" s="2156"/>
      <c r="AD18" s="2252"/>
      <c r="AE18" s="1297"/>
      <c r="AF18" s="1322"/>
      <c r="AG18" s="301"/>
      <c r="AH18" s="638"/>
      <c r="AI18" s="555"/>
      <c r="AJ18" s="2095"/>
      <c r="AK18" s="555"/>
      <c r="AL18" s="2095"/>
      <c r="AM18" s="640"/>
      <c r="AN18" s="2095"/>
      <c r="AO18" s="1887"/>
      <c r="AP18" s="1326"/>
      <c r="AQ18" s="1354"/>
      <c r="AR18" s="1326"/>
      <c r="AS18" s="1330"/>
      <c r="AT18" s="1326"/>
      <c r="AU18" s="1326"/>
      <c r="AV18" s="1326"/>
      <c r="AW18" s="2246"/>
      <c r="AX18" s="2246"/>
      <c r="AY18" s="1326"/>
      <c r="AZ18" s="556"/>
    </row>
    <row r="19" spans="1:52" s="557" customFormat="1" ht="48.75" customHeight="1">
      <c r="A19" s="2154"/>
      <c r="B19" s="1328"/>
      <c r="C19" s="2186"/>
      <c r="D19" s="2128"/>
      <c r="E19" s="2129"/>
      <c r="F19" s="2130"/>
      <c r="G19" s="1515"/>
      <c r="H19" s="2091" t="s">
        <v>2750</v>
      </c>
      <c r="I19" s="2092"/>
      <c r="J19" s="2093"/>
      <c r="K19" s="1883"/>
      <c r="L19" s="1884"/>
      <c r="M19" s="1885"/>
      <c r="N19" s="1328"/>
      <c r="O19" s="1328"/>
      <c r="P19" s="1328"/>
      <c r="Q19" s="1328"/>
      <c r="R19" s="1520"/>
      <c r="S19" s="1520"/>
      <c r="T19" s="301"/>
      <c r="U19" s="638" t="e">
        <f>VLOOKUP(R19,[88]Listas!$D$6:$E$10,2,0)</f>
        <v>#N/A</v>
      </c>
      <c r="V19" s="638" t="e">
        <f>HLOOKUP(S19,[88]Listas!$F$4:$J$5,2,0)</f>
        <v>#N/A</v>
      </c>
      <c r="W19" s="2096"/>
      <c r="X19" s="301"/>
      <c r="Y19" s="2248" t="s">
        <v>2751</v>
      </c>
      <c r="Z19" s="2249"/>
      <c r="AA19" s="2250"/>
      <c r="AB19" s="1894"/>
      <c r="AC19" s="2157"/>
      <c r="AD19" s="2253"/>
      <c r="AE19" s="1328"/>
      <c r="AF19" s="1515"/>
      <c r="AG19" s="301"/>
      <c r="AH19" s="638">
        <f t="shared" si="0"/>
        <v>0</v>
      </c>
      <c r="AI19" s="555" t="e">
        <f t="shared" si="1"/>
        <v>#N/A</v>
      </c>
      <c r="AJ19" s="2096"/>
      <c r="AK19" s="555" t="e">
        <f t="shared" si="2"/>
        <v>#N/A</v>
      </c>
      <c r="AL19" s="2096"/>
      <c r="AM19" s="640" t="e">
        <f t="shared" si="3"/>
        <v>#N/A</v>
      </c>
      <c r="AN19" s="2096"/>
      <c r="AO19" s="1888"/>
      <c r="AP19" s="1327"/>
      <c r="AQ19" s="1355"/>
      <c r="AR19" s="1327"/>
      <c r="AS19" s="1331"/>
      <c r="AT19" s="1327"/>
      <c r="AU19" s="1327"/>
      <c r="AV19" s="1327"/>
      <c r="AW19" s="2247"/>
      <c r="AX19" s="2247"/>
      <c r="AY19" s="1327"/>
      <c r="AZ19" s="556"/>
    </row>
    <row r="20" spans="1:52" s="557" customFormat="1" ht="103.5" hidden="1" customHeight="1">
      <c r="B20" s="608"/>
      <c r="C20" s="266"/>
      <c r="D20" s="1399"/>
      <c r="E20" s="1408"/>
      <c r="F20" s="1400"/>
      <c r="G20" s="267"/>
      <c r="H20" s="1399"/>
      <c r="I20" s="1408"/>
      <c r="J20" s="1400"/>
      <c r="K20" s="1380"/>
      <c r="L20" s="1380"/>
      <c r="M20" s="1380"/>
      <c r="N20" s="608"/>
      <c r="O20" s="608"/>
      <c r="P20" s="608"/>
      <c r="Q20" s="608"/>
      <c r="R20" s="266"/>
      <c r="S20" s="266"/>
      <c r="T20" s="268"/>
      <c r="U20" s="269" t="e">
        <f>VLOOKUP(R20,[71]Listas!$D$6:$E$10,2,0)</f>
        <v>#N/A</v>
      </c>
      <c r="V20" s="269" t="e">
        <f>HLOOKUP(S20,[71]Listas!$F$4:$J$5,2,0)</f>
        <v>#N/A</v>
      </c>
      <c r="W20" s="270" t="e">
        <f>INDEX([71]Listas!$F$6:$J$10,MATCH(R20,[71]Listas!$D$6:$D$10,0),MATCH(S20,[71]Listas!$F$4:$J$4,0))</f>
        <v>#N/A</v>
      </c>
      <c r="X20" s="268"/>
      <c r="Y20" s="1399"/>
      <c r="Z20" s="1408"/>
      <c r="AA20" s="1400"/>
      <c r="AB20" s="1063"/>
      <c r="AC20" s="267"/>
      <c r="AD20" s="259"/>
      <c r="AE20" s="608"/>
      <c r="AF20" s="267"/>
      <c r="AG20" s="268"/>
      <c r="AH20" s="269">
        <f t="shared" si="0"/>
        <v>0</v>
      </c>
      <c r="AI20" s="558" t="e">
        <f t="shared" si="1"/>
        <v>#N/A</v>
      </c>
      <c r="AJ20" s="270" t="e">
        <f>IF(AI20&lt;=1,"Remota",VLOOKUP(AI20,[71]Listas!$C$6:$D$10,2,0))</f>
        <v>#N/A</v>
      </c>
      <c r="AK20" s="558" t="e">
        <f t="shared" si="2"/>
        <v>#N/A</v>
      </c>
      <c r="AL20" s="270" t="e">
        <f>IF(AK20&lt;=1,"Insignificante",HLOOKUP(AK20,[71]Listas!$F$3:$J$4,2,0))</f>
        <v>#N/A</v>
      </c>
      <c r="AM20" s="273" t="e">
        <f t="shared" si="3"/>
        <v>#N/A</v>
      </c>
      <c r="AN20" s="270" t="e">
        <f>INDEX([71]Listas!$F$6:$J$10,MATCH(AJ20,[71]Listas!$D$6:$D$10,0),MATCH(AL20,[71]Listas!$F$4:$J$4,0))</f>
        <v>#N/A</v>
      </c>
      <c r="AO20" s="259"/>
      <c r="AP20" s="259"/>
      <c r="AQ20" s="610"/>
      <c r="AR20" s="259"/>
      <c r="AS20" s="259" t="s">
        <v>2343</v>
      </c>
      <c r="AT20" s="608"/>
      <c r="AU20" s="259"/>
      <c r="AV20" s="259"/>
      <c r="AW20" s="559"/>
      <c r="AX20" s="559"/>
      <c r="AY20" s="608"/>
      <c r="AZ20" s="556"/>
    </row>
    <row r="21" spans="1:52" s="557" customFormat="1" ht="103.5" hidden="1" customHeight="1">
      <c r="B21" s="608"/>
      <c r="C21" s="266"/>
      <c r="D21" s="1399"/>
      <c r="E21" s="1408"/>
      <c r="F21" s="1400"/>
      <c r="G21" s="266"/>
      <c r="H21" s="1399"/>
      <c r="I21" s="1408"/>
      <c r="J21" s="1400"/>
      <c r="K21" s="1380"/>
      <c r="L21" s="1380"/>
      <c r="M21" s="1380"/>
      <c r="N21" s="608"/>
      <c r="O21" s="608"/>
      <c r="P21" s="608"/>
      <c r="Q21" s="608"/>
      <c r="R21" s="266"/>
      <c r="S21" s="266"/>
      <c r="T21" s="268"/>
      <c r="U21" s="269" t="e">
        <f>VLOOKUP(R21,[71]Listas!$D$6:$E$10,2,0)</f>
        <v>#N/A</v>
      </c>
      <c r="V21" s="269" t="e">
        <f>HLOOKUP(S21,[71]Listas!$F$4:$J$5,2,0)</f>
        <v>#N/A</v>
      </c>
      <c r="W21" s="270" t="e">
        <f>INDEX([71]Listas!$F$6:$J$10,MATCH(R21,[71]Listas!$D$6:$D$10,0),MATCH(S21,[71]Listas!$F$4:$J$4,0))</f>
        <v>#N/A</v>
      </c>
      <c r="X21" s="268"/>
      <c r="Y21" s="1399"/>
      <c r="Z21" s="1408"/>
      <c r="AA21" s="1400"/>
      <c r="AB21" s="1063"/>
      <c r="AC21" s="267"/>
      <c r="AD21" s="259"/>
      <c r="AE21" s="608"/>
      <c r="AF21" s="267"/>
      <c r="AG21" s="268"/>
      <c r="AH21" s="269">
        <f>IF(AE21&lt;=33,0,IF(AE21&gt;81,2,1))</f>
        <v>0</v>
      </c>
      <c r="AI21" s="558" t="e">
        <f>IF(OR(AF21="Probabilidad",AF21="Ambos"),U21-AH21,U21)</f>
        <v>#N/A</v>
      </c>
      <c r="AJ21" s="270" t="e">
        <f>IF(AI21&lt;=1,"Remota",VLOOKUP(AI21,[71]Listas!$C$6:$D$10,2,0))</f>
        <v>#N/A</v>
      </c>
      <c r="AK21" s="558" t="e">
        <f>IF(OR(AF21="Impacto",AF21="Ambos"),V21-AH21,V21)</f>
        <v>#N/A</v>
      </c>
      <c r="AL21" s="270" t="e">
        <f>IF(AK21&lt;=1,"Insignificante",HLOOKUP(AK21,[71]Listas!$F$3:$J$4,2,0))</f>
        <v>#N/A</v>
      </c>
      <c r="AM21" s="273" t="e">
        <f>AI21*AK21</f>
        <v>#N/A</v>
      </c>
      <c r="AN21" s="270" t="e">
        <f>INDEX([71]Listas!$F$6:$J$10,MATCH(AJ21,[71]Listas!$D$6:$D$10,0),MATCH(AL21,[71]Listas!$F$4:$J$4,0))</f>
        <v>#N/A</v>
      </c>
      <c r="AO21" s="259"/>
      <c r="AP21" s="259"/>
      <c r="AQ21" s="610"/>
      <c r="AR21" s="259"/>
      <c r="AS21" s="259" t="s">
        <v>2343</v>
      </c>
      <c r="AT21" s="608"/>
      <c r="AV21" s="259"/>
      <c r="AW21" s="559"/>
      <c r="AX21" s="559"/>
      <c r="AY21" s="608"/>
      <c r="AZ21" s="556"/>
    </row>
    <row r="22" spans="1:52" s="557" customFormat="1" ht="103.5" hidden="1" customHeight="1">
      <c r="B22" s="608"/>
      <c r="C22" s="266"/>
      <c r="D22" s="1399"/>
      <c r="E22" s="1408"/>
      <c r="F22" s="1400"/>
      <c r="G22" s="267"/>
      <c r="H22" s="1399"/>
      <c r="I22" s="1408"/>
      <c r="J22" s="1400"/>
      <c r="K22" s="1380"/>
      <c r="L22" s="1380"/>
      <c r="M22" s="1380"/>
      <c r="N22" s="608"/>
      <c r="O22" s="608"/>
      <c r="P22" s="608"/>
      <c r="Q22" s="608"/>
      <c r="R22" s="266"/>
      <c r="S22" s="266"/>
      <c r="T22" s="268"/>
      <c r="U22" s="269" t="e">
        <f>VLOOKUP(R22,[71]Listas!$D$6:$E$10,2,0)</f>
        <v>#N/A</v>
      </c>
      <c r="V22" s="269" t="e">
        <f>HLOOKUP(S22,[71]Listas!$F$4:$J$5,2,0)</f>
        <v>#N/A</v>
      </c>
      <c r="W22" s="270" t="e">
        <f>INDEX([71]Listas!$F$6:$J$10,MATCH(R22,[71]Listas!$D$6:$D$10,0),MATCH(S22,[71]Listas!$F$4:$J$4,0))</f>
        <v>#N/A</v>
      </c>
      <c r="X22" s="268"/>
      <c r="Y22" s="1399"/>
      <c r="Z22" s="1408"/>
      <c r="AA22" s="1400"/>
      <c r="AB22" s="1063"/>
      <c r="AC22" s="267"/>
      <c r="AD22" s="259"/>
      <c r="AE22" s="608"/>
      <c r="AF22" s="267"/>
      <c r="AG22" s="268"/>
      <c r="AH22" s="269">
        <f t="shared" ref="AH22:AH42" si="4">IF(AE22&lt;=33,0,IF(AE22&gt;81,2,1))</f>
        <v>0</v>
      </c>
      <c r="AI22" s="558" t="e">
        <f t="shared" ref="AI22:AI42" si="5">IF(OR(AF22="Probabilidad",AF22="Ambos"),U22-AH22,U22)</f>
        <v>#N/A</v>
      </c>
      <c r="AJ22" s="270" t="e">
        <f>IF(AI22&lt;=1,"Remota",VLOOKUP(AI22,[71]Listas!$C$6:$D$10,2,0))</f>
        <v>#N/A</v>
      </c>
      <c r="AK22" s="558" t="e">
        <f t="shared" ref="AK22:AK42" si="6">IF(OR(AF22="Impacto",AF22="Ambos"),V22-AH22,V22)</f>
        <v>#N/A</v>
      </c>
      <c r="AL22" s="270" t="e">
        <f>IF(AK22&lt;=1,"Insignificante",HLOOKUP(AK22,[71]Listas!$F$3:$J$4,2,0))</f>
        <v>#N/A</v>
      </c>
      <c r="AM22" s="273" t="e">
        <f t="shared" ref="AM22:AM42" si="7">AI22*AK22</f>
        <v>#N/A</v>
      </c>
      <c r="AN22" s="270" t="e">
        <f>INDEX([71]Listas!$F$6:$J$10,MATCH(AJ22,[71]Listas!$D$6:$D$10,0),MATCH(AL22,[71]Listas!$F$4:$J$4,0))</f>
        <v>#N/A</v>
      </c>
      <c r="AO22" s="259"/>
      <c r="AP22" s="259"/>
      <c r="AQ22" s="610"/>
      <c r="AR22" s="259"/>
      <c r="AS22" s="259" t="s">
        <v>2343</v>
      </c>
      <c r="AT22" s="608"/>
      <c r="AU22" s="259"/>
      <c r="AV22" s="259"/>
      <c r="AW22" s="559"/>
      <c r="AX22" s="559"/>
      <c r="AY22" s="608"/>
      <c r="AZ22" s="556"/>
    </row>
    <row r="23" spans="1:52" s="557" customFormat="1" ht="103.5" hidden="1" customHeight="1">
      <c r="B23" s="608"/>
      <c r="C23" s="266"/>
      <c r="D23" s="1399"/>
      <c r="E23" s="1408"/>
      <c r="F23" s="1400"/>
      <c r="G23" s="267"/>
      <c r="H23" s="1399"/>
      <c r="I23" s="1408"/>
      <c r="J23" s="1400"/>
      <c r="K23" s="1380"/>
      <c r="L23" s="1380"/>
      <c r="M23" s="1380"/>
      <c r="N23" s="608"/>
      <c r="O23" s="608"/>
      <c r="P23" s="608"/>
      <c r="Q23" s="608"/>
      <c r="R23" s="266"/>
      <c r="S23" s="266"/>
      <c r="T23" s="268"/>
      <c r="U23" s="269" t="e">
        <f>VLOOKUP(R23,[71]Listas!$D$6:$E$10,2,0)</f>
        <v>#N/A</v>
      </c>
      <c r="V23" s="269" t="e">
        <f>HLOOKUP(S23,[71]Listas!$F$4:$J$5,2,0)</f>
        <v>#N/A</v>
      </c>
      <c r="W23" s="270" t="e">
        <f>INDEX([71]Listas!$F$6:$J$10,MATCH(R23,[71]Listas!$D$6:$D$10,0),MATCH(S23,[71]Listas!$F$4:$J$4,0))</f>
        <v>#N/A</v>
      </c>
      <c r="X23" s="268"/>
      <c r="Y23" s="1399"/>
      <c r="Z23" s="1408"/>
      <c r="AA23" s="1400"/>
      <c r="AB23" s="1063"/>
      <c r="AC23" s="267"/>
      <c r="AD23" s="259"/>
      <c r="AE23" s="608"/>
      <c r="AF23" s="267"/>
      <c r="AG23" s="268"/>
      <c r="AH23" s="269">
        <f t="shared" si="4"/>
        <v>0</v>
      </c>
      <c r="AI23" s="558" t="e">
        <f t="shared" si="5"/>
        <v>#N/A</v>
      </c>
      <c r="AJ23" s="270" t="e">
        <f>IF(AI23&lt;=1,"Remota",VLOOKUP(AI23,[71]Listas!$C$6:$D$10,2,0))</f>
        <v>#N/A</v>
      </c>
      <c r="AK23" s="558" t="e">
        <f t="shared" si="6"/>
        <v>#N/A</v>
      </c>
      <c r="AL23" s="270" t="e">
        <f>IF(AK23&lt;=1,"Insignificante",HLOOKUP(AK23,[71]Listas!$F$3:$J$4,2,0))</f>
        <v>#N/A</v>
      </c>
      <c r="AM23" s="273" t="e">
        <f t="shared" si="7"/>
        <v>#N/A</v>
      </c>
      <c r="AN23" s="270" t="e">
        <f>INDEX([71]Listas!$F$6:$J$10,MATCH(AJ23,[71]Listas!$D$6:$D$10,0),MATCH(AL23,[71]Listas!$F$4:$J$4,0))</f>
        <v>#N/A</v>
      </c>
      <c r="AO23" s="259"/>
      <c r="AP23" s="259"/>
      <c r="AQ23" s="610"/>
      <c r="AR23" s="259"/>
      <c r="AS23" s="259" t="s">
        <v>2343</v>
      </c>
      <c r="AT23" s="608"/>
      <c r="AU23" s="259"/>
      <c r="AV23" s="259"/>
      <c r="AW23" s="559"/>
      <c r="AX23" s="559"/>
      <c r="AY23" s="608"/>
      <c r="AZ23" s="556"/>
    </row>
    <row r="24" spans="1:52" s="557" customFormat="1" ht="103.5" hidden="1" customHeight="1">
      <c r="B24" s="608"/>
      <c r="C24" s="266"/>
      <c r="D24" s="1399"/>
      <c r="E24" s="1408"/>
      <c r="F24" s="1400"/>
      <c r="G24" s="267"/>
      <c r="H24" s="1399"/>
      <c r="I24" s="1408"/>
      <c r="J24" s="1400"/>
      <c r="K24" s="1380"/>
      <c r="L24" s="1380"/>
      <c r="M24" s="1380"/>
      <c r="N24" s="608"/>
      <c r="O24" s="608"/>
      <c r="P24" s="608"/>
      <c r="Q24" s="608"/>
      <c r="R24" s="266"/>
      <c r="S24" s="266"/>
      <c r="T24" s="268"/>
      <c r="U24" s="269" t="e">
        <f>VLOOKUP(R24,[71]Listas!$D$6:$E$10,2,0)</f>
        <v>#N/A</v>
      </c>
      <c r="V24" s="269" t="e">
        <f>HLOOKUP(S24,[71]Listas!$F$4:$J$5,2,0)</f>
        <v>#N/A</v>
      </c>
      <c r="W24" s="270" t="e">
        <f>INDEX([71]Listas!$F$6:$J$10,MATCH(R24,[71]Listas!$D$6:$D$10,0),MATCH(S24,[71]Listas!$F$4:$J$4,0))</f>
        <v>#N/A</v>
      </c>
      <c r="X24" s="268"/>
      <c r="Y24" s="1399"/>
      <c r="Z24" s="1408"/>
      <c r="AA24" s="1400"/>
      <c r="AB24" s="1063"/>
      <c r="AC24" s="267"/>
      <c r="AD24" s="259"/>
      <c r="AE24" s="608"/>
      <c r="AF24" s="267"/>
      <c r="AG24" s="268"/>
      <c r="AH24" s="269">
        <f t="shared" si="4"/>
        <v>0</v>
      </c>
      <c r="AI24" s="558" t="e">
        <f t="shared" si="5"/>
        <v>#N/A</v>
      </c>
      <c r="AJ24" s="270" t="e">
        <f>IF(AI24&lt;=1,"Remota",VLOOKUP(AI24,[71]Listas!$C$6:$D$10,2,0))</f>
        <v>#N/A</v>
      </c>
      <c r="AK24" s="558" t="e">
        <f t="shared" si="6"/>
        <v>#N/A</v>
      </c>
      <c r="AL24" s="270" t="e">
        <f>IF(AK24&lt;=1,"Insignificante",HLOOKUP(AK24,[71]Listas!$F$3:$J$4,2,0))</f>
        <v>#N/A</v>
      </c>
      <c r="AM24" s="273" t="e">
        <f t="shared" si="7"/>
        <v>#N/A</v>
      </c>
      <c r="AN24" s="270" t="e">
        <f>INDEX([71]Listas!$F$6:$J$10,MATCH(AJ24,[71]Listas!$D$6:$D$10,0),MATCH(AL24,[71]Listas!$F$4:$J$4,0))</f>
        <v>#N/A</v>
      </c>
      <c r="AO24" s="259"/>
      <c r="AP24" s="259"/>
      <c r="AQ24" s="610"/>
      <c r="AR24" s="259"/>
      <c r="AS24" s="259" t="s">
        <v>2343</v>
      </c>
      <c r="AT24" s="608"/>
      <c r="AU24" s="259"/>
      <c r="AV24" s="259"/>
      <c r="AW24" s="559"/>
      <c r="AX24" s="559"/>
      <c r="AY24" s="608"/>
      <c r="AZ24" s="556"/>
    </row>
    <row r="25" spans="1:52" s="557" customFormat="1" ht="103.5" hidden="1" customHeight="1">
      <c r="B25" s="608"/>
      <c r="C25" s="266"/>
      <c r="D25" s="1399"/>
      <c r="E25" s="1408"/>
      <c r="F25" s="1400"/>
      <c r="G25" s="267"/>
      <c r="H25" s="1399"/>
      <c r="I25" s="1408"/>
      <c r="J25" s="1400"/>
      <c r="K25" s="1380"/>
      <c r="L25" s="1380"/>
      <c r="M25" s="1380"/>
      <c r="N25" s="608"/>
      <c r="O25" s="608"/>
      <c r="P25" s="608"/>
      <c r="Q25" s="608"/>
      <c r="R25" s="266"/>
      <c r="S25" s="266"/>
      <c r="T25" s="268"/>
      <c r="U25" s="269" t="e">
        <f>VLOOKUP(R25,[71]Listas!$D$6:$E$10,2,0)</f>
        <v>#N/A</v>
      </c>
      <c r="V25" s="269" t="e">
        <f>HLOOKUP(S25,[71]Listas!$F$4:$J$5,2,0)</f>
        <v>#N/A</v>
      </c>
      <c r="W25" s="270" t="e">
        <f>INDEX([71]Listas!$F$6:$J$10,MATCH(R25,[71]Listas!$D$6:$D$10,0),MATCH(S25,[71]Listas!$F$4:$J$4,0))</f>
        <v>#N/A</v>
      </c>
      <c r="X25" s="268"/>
      <c r="Y25" s="1399"/>
      <c r="Z25" s="1408"/>
      <c r="AA25" s="1400"/>
      <c r="AB25" s="1063"/>
      <c r="AC25" s="267"/>
      <c r="AD25" s="259"/>
      <c r="AE25" s="608"/>
      <c r="AF25" s="267"/>
      <c r="AG25" s="268"/>
      <c r="AH25" s="269">
        <f t="shared" si="4"/>
        <v>0</v>
      </c>
      <c r="AI25" s="558" t="e">
        <f t="shared" si="5"/>
        <v>#N/A</v>
      </c>
      <c r="AJ25" s="270" t="e">
        <f>IF(AI25&lt;=1,"Remota",VLOOKUP(AI25,[71]Listas!$C$6:$D$10,2,0))</f>
        <v>#N/A</v>
      </c>
      <c r="AK25" s="558" t="e">
        <f t="shared" si="6"/>
        <v>#N/A</v>
      </c>
      <c r="AL25" s="270" t="e">
        <f>IF(AK25&lt;=1,"Insignificante",HLOOKUP(AK25,[71]Listas!$F$3:$J$4,2,0))</f>
        <v>#N/A</v>
      </c>
      <c r="AM25" s="273" t="e">
        <f t="shared" si="7"/>
        <v>#N/A</v>
      </c>
      <c r="AN25" s="270" t="e">
        <f>INDEX([71]Listas!$F$6:$J$10,MATCH(AJ25,[71]Listas!$D$6:$D$10,0),MATCH(AL25,[71]Listas!$F$4:$J$4,0))</f>
        <v>#N/A</v>
      </c>
      <c r="AO25" s="259"/>
      <c r="AP25" s="259"/>
      <c r="AQ25" s="610"/>
      <c r="AR25" s="259"/>
      <c r="AS25" s="259" t="s">
        <v>2343</v>
      </c>
      <c r="AT25" s="608"/>
      <c r="AU25" s="259"/>
      <c r="AV25" s="259"/>
      <c r="AW25" s="559"/>
      <c r="AX25" s="559"/>
      <c r="AY25" s="608"/>
      <c r="AZ25" s="556"/>
    </row>
    <row r="26" spans="1:52" s="557" customFormat="1" ht="103.5" hidden="1" customHeight="1">
      <c r="B26" s="608"/>
      <c r="C26" s="266"/>
      <c r="D26" s="1399"/>
      <c r="E26" s="1408"/>
      <c r="F26" s="1400"/>
      <c r="G26" s="267"/>
      <c r="H26" s="1399"/>
      <c r="I26" s="1408"/>
      <c r="J26" s="1400"/>
      <c r="K26" s="1380"/>
      <c r="L26" s="1380"/>
      <c r="M26" s="1380"/>
      <c r="N26" s="608"/>
      <c r="O26" s="608"/>
      <c r="P26" s="608"/>
      <c r="Q26" s="608"/>
      <c r="R26" s="266"/>
      <c r="S26" s="266"/>
      <c r="T26" s="268"/>
      <c r="U26" s="269" t="e">
        <f>VLOOKUP(R26,[71]Listas!$D$6:$E$10,2,0)</f>
        <v>#N/A</v>
      </c>
      <c r="V26" s="269" t="e">
        <f>HLOOKUP(S26,[71]Listas!$F$4:$J$5,2,0)</f>
        <v>#N/A</v>
      </c>
      <c r="W26" s="270" t="e">
        <f>INDEX([71]Listas!$F$6:$J$10,MATCH(R26,[71]Listas!$D$6:$D$10,0),MATCH(S26,[71]Listas!$F$4:$J$4,0))</f>
        <v>#N/A</v>
      </c>
      <c r="X26" s="268"/>
      <c r="Y26" s="1399"/>
      <c r="Z26" s="1408"/>
      <c r="AA26" s="1400"/>
      <c r="AB26" s="1063"/>
      <c r="AC26" s="267"/>
      <c r="AD26" s="259"/>
      <c r="AE26" s="608"/>
      <c r="AF26" s="267"/>
      <c r="AG26" s="268"/>
      <c r="AH26" s="269">
        <f t="shared" si="4"/>
        <v>0</v>
      </c>
      <c r="AI26" s="558" t="e">
        <f t="shared" si="5"/>
        <v>#N/A</v>
      </c>
      <c r="AJ26" s="270" t="e">
        <f>IF(AI26&lt;=1,"Remota",VLOOKUP(AI26,[71]Listas!$C$6:$D$10,2,0))</f>
        <v>#N/A</v>
      </c>
      <c r="AK26" s="558" t="e">
        <f t="shared" si="6"/>
        <v>#N/A</v>
      </c>
      <c r="AL26" s="270" t="e">
        <f>IF(AK26&lt;=1,"Insignificante",HLOOKUP(AK26,[71]Listas!$F$3:$J$4,2,0))</f>
        <v>#N/A</v>
      </c>
      <c r="AM26" s="273" t="e">
        <f t="shared" si="7"/>
        <v>#N/A</v>
      </c>
      <c r="AN26" s="270" t="e">
        <f>INDEX([71]Listas!$F$6:$J$10,MATCH(AJ26,[71]Listas!$D$6:$D$10,0),MATCH(AL26,[71]Listas!$F$4:$J$4,0))</f>
        <v>#N/A</v>
      </c>
      <c r="AO26" s="259"/>
      <c r="AP26" s="259"/>
      <c r="AQ26" s="610"/>
      <c r="AR26" s="259"/>
      <c r="AS26" s="259" t="s">
        <v>2343</v>
      </c>
      <c r="AT26" s="608"/>
      <c r="AU26" s="259"/>
      <c r="AV26" s="259"/>
      <c r="AW26" s="559"/>
      <c r="AX26" s="559"/>
      <c r="AY26" s="608"/>
      <c r="AZ26" s="556"/>
    </row>
    <row r="27" spans="1:52" s="557" customFormat="1" ht="103.5" hidden="1" customHeight="1">
      <c r="B27" s="608"/>
      <c r="C27" s="266"/>
      <c r="D27" s="1399"/>
      <c r="E27" s="1408"/>
      <c r="F27" s="1400"/>
      <c r="G27" s="267"/>
      <c r="H27" s="1399"/>
      <c r="I27" s="1408"/>
      <c r="J27" s="1400"/>
      <c r="K27" s="1380"/>
      <c r="L27" s="1380"/>
      <c r="M27" s="1380"/>
      <c r="N27" s="608"/>
      <c r="O27" s="608"/>
      <c r="P27" s="608"/>
      <c r="Q27" s="608"/>
      <c r="R27" s="266"/>
      <c r="S27" s="266"/>
      <c r="T27" s="268"/>
      <c r="U27" s="269" t="e">
        <f>VLOOKUP(R27,[71]Listas!$D$6:$E$10,2,0)</f>
        <v>#N/A</v>
      </c>
      <c r="V27" s="269" t="e">
        <f>HLOOKUP(S27,[71]Listas!$F$4:$J$5,2,0)</f>
        <v>#N/A</v>
      </c>
      <c r="W27" s="270" t="e">
        <f>INDEX([71]Listas!$F$6:$J$10,MATCH(R27,[71]Listas!$D$6:$D$10,0),MATCH(S27,[71]Listas!$F$4:$J$4,0))</f>
        <v>#N/A</v>
      </c>
      <c r="X27" s="268"/>
      <c r="Y27" s="1399"/>
      <c r="Z27" s="1408"/>
      <c r="AA27" s="1400"/>
      <c r="AB27" s="1063"/>
      <c r="AC27" s="267"/>
      <c r="AD27" s="259"/>
      <c r="AE27" s="608"/>
      <c r="AF27" s="267"/>
      <c r="AG27" s="268"/>
      <c r="AH27" s="269">
        <f t="shared" si="4"/>
        <v>0</v>
      </c>
      <c r="AI27" s="558" t="e">
        <f t="shared" si="5"/>
        <v>#N/A</v>
      </c>
      <c r="AJ27" s="270" t="e">
        <f>IF(AI27&lt;=1,"Remota",VLOOKUP(AI27,[71]Listas!$C$6:$D$10,2,0))</f>
        <v>#N/A</v>
      </c>
      <c r="AK27" s="558" t="e">
        <f t="shared" si="6"/>
        <v>#N/A</v>
      </c>
      <c r="AL27" s="270" t="e">
        <f>IF(AK27&lt;=1,"Insignificante",HLOOKUP(AK27,[71]Listas!$F$3:$J$4,2,0))</f>
        <v>#N/A</v>
      </c>
      <c r="AM27" s="273" t="e">
        <f t="shared" si="7"/>
        <v>#N/A</v>
      </c>
      <c r="AN27" s="270" t="e">
        <f>INDEX([71]Listas!$F$6:$J$10,MATCH(AJ27,[71]Listas!$D$6:$D$10,0),MATCH(AL27,[71]Listas!$F$4:$J$4,0))</f>
        <v>#N/A</v>
      </c>
      <c r="AO27" s="259"/>
      <c r="AP27" s="259"/>
      <c r="AQ27" s="610"/>
      <c r="AR27" s="259"/>
      <c r="AS27" s="259" t="s">
        <v>2343</v>
      </c>
      <c r="AT27" s="608"/>
      <c r="AU27" s="259"/>
      <c r="AV27" s="259"/>
      <c r="AW27" s="559"/>
      <c r="AX27" s="559"/>
      <c r="AY27" s="608"/>
      <c r="AZ27" s="556"/>
    </row>
    <row r="28" spans="1:52" s="557" customFormat="1" ht="103.5" hidden="1" customHeight="1">
      <c r="B28" s="608"/>
      <c r="C28" s="266"/>
      <c r="D28" s="1399"/>
      <c r="E28" s="1408"/>
      <c r="F28" s="1400"/>
      <c r="G28" s="267"/>
      <c r="H28" s="1399"/>
      <c r="I28" s="1408"/>
      <c r="J28" s="1400"/>
      <c r="K28" s="1380"/>
      <c r="L28" s="1380"/>
      <c r="M28" s="1380"/>
      <c r="N28" s="608"/>
      <c r="O28" s="608"/>
      <c r="P28" s="608"/>
      <c r="Q28" s="608"/>
      <c r="R28" s="266"/>
      <c r="S28" s="266"/>
      <c r="T28" s="268"/>
      <c r="U28" s="269" t="e">
        <f>VLOOKUP(R28,[71]Listas!$D$6:$E$10,2,0)</f>
        <v>#N/A</v>
      </c>
      <c r="V28" s="269" t="e">
        <f>HLOOKUP(S28,[71]Listas!$F$4:$J$5,2,0)</f>
        <v>#N/A</v>
      </c>
      <c r="W28" s="270" t="e">
        <f>INDEX([71]Listas!$F$6:$J$10,MATCH(R28,[71]Listas!$D$6:$D$10,0),MATCH(S28,[71]Listas!$F$4:$J$4,0))</f>
        <v>#N/A</v>
      </c>
      <c r="X28" s="268"/>
      <c r="Y28" s="1399"/>
      <c r="Z28" s="1408"/>
      <c r="AA28" s="1400"/>
      <c r="AB28" s="1063"/>
      <c r="AC28" s="267"/>
      <c r="AD28" s="259"/>
      <c r="AE28" s="608"/>
      <c r="AF28" s="267"/>
      <c r="AG28" s="268"/>
      <c r="AH28" s="269">
        <f t="shared" si="4"/>
        <v>0</v>
      </c>
      <c r="AI28" s="558" t="e">
        <f t="shared" si="5"/>
        <v>#N/A</v>
      </c>
      <c r="AJ28" s="270" t="e">
        <f>IF(AI28&lt;=1,"Remota",VLOOKUP(AI28,[71]Listas!$C$6:$D$10,2,0))</f>
        <v>#N/A</v>
      </c>
      <c r="AK28" s="558" t="e">
        <f t="shared" si="6"/>
        <v>#N/A</v>
      </c>
      <c r="AL28" s="270" t="e">
        <f>IF(AK28&lt;=1,"Insignificante",HLOOKUP(AK28,[71]Listas!$F$3:$J$4,2,0))</f>
        <v>#N/A</v>
      </c>
      <c r="AM28" s="273" t="e">
        <f t="shared" si="7"/>
        <v>#N/A</v>
      </c>
      <c r="AN28" s="270" t="e">
        <f>INDEX([71]Listas!$F$6:$J$10,MATCH(AJ28,[71]Listas!$D$6:$D$10,0),MATCH(AL28,[71]Listas!$F$4:$J$4,0))</f>
        <v>#N/A</v>
      </c>
      <c r="AO28" s="259"/>
      <c r="AP28" s="259"/>
      <c r="AQ28" s="610"/>
      <c r="AR28" s="259"/>
      <c r="AS28" s="259" t="s">
        <v>2343</v>
      </c>
      <c r="AT28" s="608"/>
      <c r="AU28" s="259"/>
      <c r="AV28" s="259"/>
      <c r="AW28" s="559"/>
      <c r="AX28" s="559"/>
      <c r="AY28" s="608"/>
      <c r="AZ28" s="556"/>
    </row>
    <row r="29" spans="1:52" s="557" customFormat="1" ht="103.5" hidden="1" customHeight="1">
      <c r="B29" s="608"/>
      <c r="C29" s="266"/>
      <c r="D29" s="1399"/>
      <c r="E29" s="1408"/>
      <c r="F29" s="1400"/>
      <c r="G29" s="267"/>
      <c r="H29" s="1399"/>
      <c r="I29" s="1408"/>
      <c r="J29" s="1400"/>
      <c r="K29" s="1380"/>
      <c r="L29" s="1380"/>
      <c r="M29" s="1380"/>
      <c r="N29" s="608"/>
      <c r="O29" s="608"/>
      <c r="P29" s="608"/>
      <c r="Q29" s="608"/>
      <c r="R29" s="266"/>
      <c r="S29" s="266"/>
      <c r="T29" s="268"/>
      <c r="U29" s="269" t="e">
        <f>VLOOKUP(R29,[71]Listas!$D$6:$E$10,2,0)</f>
        <v>#N/A</v>
      </c>
      <c r="V29" s="269" t="e">
        <f>HLOOKUP(S29,[71]Listas!$F$4:$J$5,2,0)</f>
        <v>#N/A</v>
      </c>
      <c r="W29" s="270" t="e">
        <f>INDEX([71]Listas!$F$6:$J$10,MATCH(R29,[71]Listas!$D$6:$D$10,0),MATCH(S29,[71]Listas!$F$4:$J$4,0))</f>
        <v>#N/A</v>
      </c>
      <c r="X29" s="268"/>
      <c r="Y29" s="1399"/>
      <c r="Z29" s="1408"/>
      <c r="AA29" s="1400"/>
      <c r="AB29" s="1063"/>
      <c r="AC29" s="267"/>
      <c r="AD29" s="259"/>
      <c r="AE29" s="608"/>
      <c r="AF29" s="267"/>
      <c r="AG29" s="268"/>
      <c r="AH29" s="269">
        <f t="shared" si="4"/>
        <v>0</v>
      </c>
      <c r="AI29" s="558" t="e">
        <f t="shared" si="5"/>
        <v>#N/A</v>
      </c>
      <c r="AJ29" s="270" t="e">
        <f>IF(AI29&lt;=1,"Remota",VLOOKUP(AI29,[71]Listas!$C$6:$D$10,2,0))</f>
        <v>#N/A</v>
      </c>
      <c r="AK29" s="558" t="e">
        <f t="shared" si="6"/>
        <v>#N/A</v>
      </c>
      <c r="AL29" s="270" t="e">
        <f>IF(AK29&lt;=1,"Insignificante",HLOOKUP(AK29,[71]Listas!$F$3:$J$4,2,0))</f>
        <v>#N/A</v>
      </c>
      <c r="AM29" s="273" t="e">
        <f t="shared" si="7"/>
        <v>#N/A</v>
      </c>
      <c r="AN29" s="270" t="e">
        <f>INDEX([71]Listas!$F$6:$J$10,MATCH(AJ29,[71]Listas!$D$6:$D$10,0),MATCH(AL29,[71]Listas!$F$4:$J$4,0))</f>
        <v>#N/A</v>
      </c>
      <c r="AO29" s="259"/>
      <c r="AP29" s="259"/>
      <c r="AQ29" s="610"/>
      <c r="AR29" s="259"/>
      <c r="AS29" s="259" t="s">
        <v>2343</v>
      </c>
      <c r="AT29" s="608"/>
      <c r="AU29" s="259"/>
      <c r="AV29" s="259"/>
      <c r="AW29" s="559"/>
      <c r="AX29" s="559"/>
      <c r="AY29" s="608"/>
      <c r="AZ29" s="556"/>
    </row>
    <row r="30" spans="1:52" s="557" customFormat="1" ht="103.5" hidden="1" customHeight="1">
      <c r="B30" s="608"/>
      <c r="C30" s="266"/>
      <c r="D30" s="1399"/>
      <c r="E30" s="1408"/>
      <c r="F30" s="1400"/>
      <c r="G30" s="267"/>
      <c r="H30" s="1399"/>
      <c r="I30" s="1408"/>
      <c r="J30" s="1400"/>
      <c r="K30" s="1380"/>
      <c r="L30" s="1380"/>
      <c r="M30" s="1380"/>
      <c r="N30" s="608"/>
      <c r="O30" s="608"/>
      <c r="P30" s="608"/>
      <c r="Q30" s="608"/>
      <c r="R30" s="266"/>
      <c r="S30" s="266"/>
      <c r="T30" s="268"/>
      <c r="U30" s="269" t="e">
        <f>VLOOKUP(R30,[71]Listas!$D$6:$E$10,2,0)</f>
        <v>#N/A</v>
      </c>
      <c r="V30" s="269" t="e">
        <f>HLOOKUP(S30,[71]Listas!$F$4:$J$5,2,0)</f>
        <v>#N/A</v>
      </c>
      <c r="W30" s="270" t="e">
        <f>INDEX([71]Listas!$F$6:$J$10,MATCH(R30,[71]Listas!$D$6:$D$10,0),MATCH(S30,[71]Listas!$F$4:$J$4,0))</f>
        <v>#N/A</v>
      </c>
      <c r="X30" s="268"/>
      <c r="Y30" s="1399"/>
      <c r="Z30" s="1408"/>
      <c r="AA30" s="1400"/>
      <c r="AB30" s="1063"/>
      <c r="AC30" s="267"/>
      <c r="AD30" s="259"/>
      <c r="AE30" s="608"/>
      <c r="AF30" s="267"/>
      <c r="AG30" s="268"/>
      <c r="AH30" s="269">
        <f t="shared" si="4"/>
        <v>0</v>
      </c>
      <c r="AI30" s="558" t="e">
        <f t="shared" si="5"/>
        <v>#N/A</v>
      </c>
      <c r="AJ30" s="270" t="e">
        <f>IF(AI30&lt;=1,"Remota",VLOOKUP(AI30,[71]Listas!$C$6:$D$10,2,0))</f>
        <v>#N/A</v>
      </c>
      <c r="AK30" s="558" t="e">
        <f t="shared" si="6"/>
        <v>#N/A</v>
      </c>
      <c r="AL30" s="270" t="e">
        <f>IF(AK30&lt;=1,"Insignificante",HLOOKUP(AK30,[71]Listas!$F$3:$J$4,2,0))</f>
        <v>#N/A</v>
      </c>
      <c r="AM30" s="273" t="e">
        <f t="shared" si="7"/>
        <v>#N/A</v>
      </c>
      <c r="AN30" s="270" t="e">
        <f>INDEX([71]Listas!$F$6:$J$10,MATCH(AJ30,[71]Listas!$D$6:$D$10,0),MATCH(AL30,[71]Listas!$F$4:$J$4,0))</f>
        <v>#N/A</v>
      </c>
      <c r="AO30" s="259"/>
      <c r="AP30" s="259"/>
      <c r="AQ30" s="610"/>
      <c r="AR30" s="259"/>
      <c r="AS30" s="259" t="s">
        <v>2343</v>
      </c>
      <c r="AT30" s="608"/>
      <c r="AU30" s="259"/>
      <c r="AV30" s="259"/>
      <c r="AW30" s="559"/>
      <c r="AX30" s="559"/>
      <c r="AY30" s="608"/>
      <c r="AZ30" s="556"/>
    </row>
    <row r="31" spans="1:52" s="557" customFormat="1" ht="103.5" hidden="1" customHeight="1">
      <c r="B31" s="608"/>
      <c r="C31" s="266"/>
      <c r="D31" s="1399"/>
      <c r="E31" s="1408"/>
      <c r="F31" s="1400"/>
      <c r="G31" s="267"/>
      <c r="H31" s="1399"/>
      <c r="I31" s="1408"/>
      <c r="J31" s="1400"/>
      <c r="K31" s="1380"/>
      <c r="L31" s="1380"/>
      <c r="M31" s="1380"/>
      <c r="N31" s="608"/>
      <c r="O31" s="608"/>
      <c r="P31" s="608"/>
      <c r="Q31" s="608"/>
      <c r="R31" s="266"/>
      <c r="S31" s="266"/>
      <c r="T31" s="268"/>
      <c r="U31" s="269" t="e">
        <f>VLOOKUP(R31,[71]Listas!$D$6:$E$10,2,0)</f>
        <v>#N/A</v>
      </c>
      <c r="V31" s="269" t="e">
        <f>HLOOKUP(S31,[71]Listas!$F$4:$J$5,2,0)</f>
        <v>#N/A</v>
      </c>
      <c r="W31" s="270" t="e">
        <f>INDEX([71]Listas!$F$6:$J$10,MATCH(R31,[71]Listas!$D$6:$D$10,0),MATCH(S31,[71]Listas!$F$4:$J$4,0))</f>
        <v>#N/A</v>
      </c>
      <c r="X31" s="268"/>
      <c r="Y31" s="1399"/>
      <c r="Z31" s="1408"/>
      <c r="AA31" s="1400"/>
      <c r="AB31" s="1063"/>
      <c r="AC31" s="267"/>
      <c r="AD31" s="259"/>
      <c r="AE31" s="608"/>
      <c r="AF31" s="267"/>
      <c r="AG31" s="268"/>
      <c r="AH31" s="269">
        <f t="shared" si="4"/>
        <v>0</v>
      </c>
      <c r="AI31" s="558" t="e">
        <f t="shared" si="5"/>
        <v>#N/A</v>
      </c>
      <c r="AJ31" s="270" t="e">
        <f>IF(AI31&lt;=1,"Remota",VLOOKUP(AI31,[71]Listas!$C$6:$D$10,2,0))</f>
        <v>#N/A</v>
      </c>
      <c r="AK31" s="558" t="e">
        <f t="shared" si="6"/>
        <v>#N/A</v>
      </c>
      <c r="AL31" s="270" t="e">
        <f>IF(AK31&lt;=1,"Insignificante",HLOOKUP(AK31,[71]Listas!$F$3:$J$4,2,0))</f>
        <v>#N/A</v>
      </c>
      <c r="AM31" s="273" t="e">
        <f t="shared" si="7"/>
        <v>#N/A</v>
      </c>
      <c r="AN31" s="270" t="e">
        <f>INDEX([71]Listas!$F$6:$J$10,MATCH(AJ31,[71]Listas!$D$6:$D$10,0),MATCH(AL31,[71]Listas!$F$4:$J$4,0))</f>
        <v>#N/A</v>
      </c>
      <c r="AO31" s="259"/>
      <c r="AP31" s="259"/>
      <c r="AQ31" s="610"/>
      <c r="AR31" s="259"/>
      <c r="AS31" s="259" t="s">
        <v>2343</v>
      </c>
      <c r="AT31" s="608"/>
      <c r="AU31" s="259"/>
      <c r="AV31" s="259"/>
      <c r="AW31" s="559"/>
      <c r="AX31" s="559"/>
      <c r="AY31" s="608"/>
      <c r="AZ31" s="556"/>
    </row>
    <row r="32" spans="1:52" s="557" customFormat="1" ht="103.5" hidden="1" customHeight="1">
      <c r="B32" s="608"/>
      <c r="C32" s="266"/>
      <c r="D32" s="1399"/>
      <c r="E32" s="1408"/>
      <c r="F32" s="1400"/>
      <c r="G32" s="267"/>
      <c r="H32" s="1399"/>
      <c r="I32" s="1408"/>
      <c r="J32" s="1400"/>
      <c r="K32" s="1380"/>
      <c r="L32" s="1380"/>
      <c r="M32" s="1380"/>
      <c r="N32" s="608"/>
      <c r="O32" s="608"/>
      <c r="P32" s="608"/>
      <c r="Q32" s="608"/>
      <c r="R32" s="266"/>
      <c r="S32" s="266"/>
      <c r="T32" s="268"/>
      <c r="U32" s="269" t="e">
        <f>VLOOKUP(R32,[71]Listas!$D$6:$E$10,2,0)</f>
        <v>#N/A</v>
      </c>
      <c r="V32" s="269" t="e">
        <f>HLOOKUP(S32,[71]Listas!$F$4:$J$5,2,0)</f>
        <v>#N/A</v>
      </c>
      <c r="W32" s="270" t="e">
        <f>INDEX([71]Listas!$F$6:$J$10,MATCH(R32,[71]Listas!$D$6:$D$10,0),MATCH(S32,[71]Listas!$F$4:$J$4,0))</f>
        <v>#N/A</v>
      </c>
      <c r="X32" s="268"/>
      <c r="Y32" s="1399"/>
      <c r="Z32" s="1408"/>
      <c r="AA32" s="1400"/>
      <c r="AB32" s="1063"/>
      <c r="AC32" s="267"/>
      <c r="AD32" s="259"/>
      <c r="AE32" s="608"/>
      <c r="AF32" s="267"/>
      <c r="AG32" s="268"/>
      <c r="AH32" s="269">
        <f t="shared" si="4"/>
        <v>0</v>
      </c>
      <c r="AI32" s="558" t="e">
        <f t="shared" si="5"/>
        <v>#N/A</v>
      </c>
      <c r="AJ32" s="270" t="e">
        <f>IF(AI32&lt;=1,"Remota",VLOOKUP(AI32,[71]Listas!$C$6:$D$10,2,0))</f>
        <v>#N/A</v>
      </c>
      <c r="AK32" s="558" t="e">
        <f t="shared" si="6"/>
        <v>#N/A</v>
      </c>
      <c r="AL32" s="270" t="e">
        <f>IF(AK32&lt;=1,"Insignificante",HLOOKUP(AK32,[71]Listas!$F$3:$J$4,2,0))</f>
        <v>#N/A</v>
      </c>
      <c r="AM32" s="273" t="e">
        <f t="shared" si="7"/>
        <v>#N/A</v>
      </c>
      <c r="AN32" s="270" t="e">
        <f>INDEX([71]Listas!$F$6:$J$10,MATCH(AJ32,[71]Listas!$D$6:$D$10,0),MATCH(AL32,[71]Listas!$F$4:$J$4,0))</f>
        <v>#N/A</v>
      </c>
      <c r="AO32" s="259"/>
      <c r="AP32" s="259"/>
      <c r="AQ32" s="610"/>
      <c r="AR32" s="259"/>
      <c r="AS32" s="259" t="s">
        <v>2343</v>
      </c>
      <c r="AT32" s="608"/>
      <c r="AU32" s="259"/>
      <c r="AV32" s="259"/>
      <c r="AW32" s="559"/>
      <c r="AX32" s="559"/>
      <c r="AY32" s="608"/>
      <c r="AZ32" s="556"/>
    </row>
    <row r="33" spans="2:52" s="557" customFormat="1" ht="103.5" hidden="1" customHeight="1">
      <c r="B33" s="608"/>
      <c r="C33" s="266"/>
      <c r="D33" s="1399"/>
      <c r="E33" s="1408"/>
      <c r="F33" s="1400"/>
      <c r="G33" s="267"/>
      <c r="H33" s="1399"/>
      <c r="I33" s="1408"/>
      <c r="J33" s="1400"/>
      <c r="K33" s="1380"/>
      <c r="L33" s="1380"/>
      <c r="M33" s="1380"/>
      <c r="N33" s="608"/>
      <c r="O33" s="608"/>
      <c r="P33" s="608"/>
      <c r="Q33" s="608"/>
      <c r="R33" s="266"/>
      <c r="S33" s="266"/>
      <c r="T33" s="268"/>
      <c r="U33" s="269" t="e">
        <f>VLOOKUP(R33,[71]Listas!$D$6:$E$10,2,0)</f>
        <v>#N/A</v>
      </c>
      <c r="V33" s="269" t="e">
        <f>HLOOKUP(S33,[71]Listas!$F$4:$J$5,2,0)</f>
        <v>#N/A</v>
      </c>
      <c r="W33" s="270" t="e">
        <f>INDEX([71]Listas!$F$6:$J$10,MATCH(R33,[71]Listas!$D$6:$D$10,0),MATCH(S33,[71]Listas!$F$4:$J$4,0))</f>
        <v>#N/A</v>
      </c>
      <c r="X33" s="268"/>
      <c r="Y33" s="1399"/>
      <c r="Z33" s="1408"/>
      <c r="AA33" s="1400"/>
      <c r="AB33" s="1063"/>
      <c r="AC33" s="267"/>
      <c r="AD33" s="259"/>
      <c r="AE33" s="608"/>
      <c r="AF33" s="267"/>
      <c r="AG33" s="268"/>
      <c r="AH33" s="269">
        <f t="shared" si="4"/>
        <v>0</v>
      </c>
      <c r="AI33" s="558" t="e">
        <f t="shared" si="5"/>
        <v>#N/A</v>
      </c>
      <c r="AJ33" s="270" t="e">
        <f>IF(AI33&lt;=1,"Remota",VLOOKUP(AI33,[71]Listas!$C$6:$D$10,2,0))</f>
        <v>#N/A</v>
      </c>
      <c r="AK33" s="558" t="e">
        <f t="shared" si="6"/>
        <v>#N/A</v>
      </c>
      <c r="AL33" s="270" t="e">
        <f>IF(AK33&lt;=1,"Insignificante",HLOOKUP(AK33,[71]Listas!$F$3:$J$4,2,0))</f>
        <v>#N/A</v>
      </c>
      <c r="AM33" s="273" t="e">
        <f t="shared" si="7"/>
        <v>#N/A</v>
      </c>
      <c r="AN33" s="270" t="e">
        <f>INDEX([71]Listas!$F$6:$J$10,MATCH(AJ33,[71]Listas!$D$6:$D$10,0),MATCH(AL33,[71]Listas!$F$4:$J$4,0))</f>
        <v>#N/A</v>
      </c>
      <c r="AO33" s="259"/>
      <c r="AP33" s="259"/>
      <c r="AQ33" s="610"/>
      <c r="AR33" s="259"/>
      <c r="AS33" s="259" t="s">
        <v>2343</v>
      </c>
      <c r="AT33" s="608"/>
      <c r="AU33" s="259"/>
      <c r="AV33" s="259"/>
      <c r="AW33" s="559"/>
      <c r="AX33" s="559"/>
      <c r="AY33" s="608"/>
      <c r="AZ33" s="556"/>
    </row>
    <row r="34" spans="2:52" s="557" customFormat="1" ht="103.5" hidden="1" customHeight="1">
      <c r="B34" s="608"/>
      <c r="C34" s="266"/>
      <c r="D34" s="1399"/>
      <c r="E34" s="1408"/>
      <c r="F34" s="1400"/>
      <c r="G34" s="267"/>
      <c r="H34" s="1399"/>
      <c r="I34" s="1408"/>
      <c r="J34" s="1400"/>
      <c r="K34" s="1380"/>
      <c r="L34" s="1380"/>
      <c r="M34" s="1380"/>
      <c r="N34" s="608"/>
      <c r="O34" s="608"/>
      <c r="P34" s="608"/>
      <c r="Q34" s="608"/>
      <c r="R34" s="266"/>
      <c r="S34" s="266"/>
      <c r="T34" s="268"/>
      <c r="U34" s="269" t="e">
        <f>VLOOKUP(R34,[71]Listas!$D$6:$E$10,2,0)</f>
        <v>#N/A</v>
      </c>
      <c r="V34" s="269" t="e">
        <f>HLOOKUP(S34,[71]Listas!$F$4:$J$5,2,0)</f>
        <v>#N/A</v>
      </c>
      <c r="W34" s="270" t="e">
        <f>INDEX([71]Listas!$F$6:$J$10,MATCH(R34,[71]Listas!$D$6:$D$10,0),MATCH(S34,[71]Listas!$F$4:$J$4,0))</f>
        <v>#N/A</v>
      </c>
      <c r="X34" s="268"/>
      <c r="Y34" s="1399"/>
      <c r="Z34" s="1408"/>
      <c r="AA34" s="1400"/>
      <c r="AB34" s="1063"/>
      <c r="AC34" s="267"/>
      <c r="AD34" s="259"/>
      <c r="AE34" s="608"/>
      <c r="AF34" s="267"/>
      <c r="AG34" s="268"/>
      <c r="AH34" s="269">
        <f t="shared" si="4"/>
        <v>0</v>
      </c>
      <c r="AI34" s="558" t="e">
        <f t="shared" si="5"/>
        <v>#N/A</v>
      </c>
      <c r="AJ34" s="270" t="e">
        <f>IF(AI34&lt;=1,"Remota",VLOOKUP(AI34,[71]Listas!$C$6:$D$10,2,0))</f>
        <v>#N/A</v>
      </c>
      <c r="AK34" s="558" t="e">
        <f t="shared" si="6"/>
        <v>#N/A</v>
      </c>
      <c r="AL34" s="270" t="e">
        <f>IF(AK34&lt;=1,"Insignificante",HLOOKUP(AK34,[71]Listas!$F$3:$J$4,2,0))</f>
        <v>#N/A</v>
      </c>
      <c r="AM34" s="273" t="e">
        <f t="shared" si="7"/>
        <v>#N/A</v>
      </c>
      <c r="AN34" s="270" t="e">
        <f>INDEX([71]Listas!$F$6:$J$10,MATCH(AJ34,[71]Listas!$D$6:$D$10,0),MATCH(AL34,[71]Listas!$F$4:$J$4,0))</f>
        <v>#N/A</v>
      </c>
      <c r="AO34" s="259"/>
      <c r="AP34" s="259"/>
      <c r="AQ34" s="610"/>
      <c r="AR34" s="259"/>
      <c r="AS34" s="259" t="s">
        <v>2343</v>
      </c>
      <c r="AT34" s="608"/>
      <c r="AU34" s="259"/>
      <c r="AV34" s="259"/>
      <c r="AW34" s="559"/>
      <c r="AX34" s="559"/>
      <c r="AY34" s="608"/>
      <c r="AZ34" s="556"/>
    </row>
    <row r="35" spans="2:52" s="557" customFormat="1" ht="103.5" hidden="1" customHeight="1">
      <c r="B35" s="608"/>
      <c r="C35" s="266"/>
      <c r="D35" s="1399"/>
      <c r="E35" s="1408"/>
      <c r="F35" s="1400"/>
      <c r="G35" s="267"/>
      <c r="H35" s="1399"/>
      <c r="I35" s="1408"/>
      <c r="J35" s="1400"/>
      <c r="K35" s="1380"/>
      <c r="L35" s="1380"/>
      <c r="M35" s="1380"/>
      <c r="N35" s="608"/>
      <c r="O35" s="608"/>
      <c r="P35" s="608"/>
      <c r="Q35" s="608"/>
      <c r="R35" s="266"/>
      <c r="S35" s="266"/>
      <c r="T35" s="268"/>
      <c r="U35" s="269" t="e">
        <f>VLOOKUP(R35,[71]Listas!$D$6:$E$10,2,0)</f>
        <v>#N/A</v>
      </c>
      <c r="V35" s="269" t="e">
        <f>HLOOKUP(S35,[71]Listas!$F$4:$J$5,2,0)</f>
        <v>#N/A</v>
      </c>
      <c r="W35" s="270" t="e">
        <f>INDEX([71]Listas!$F$6:$J$10,MATCH(R35,[71]Listas!$D$6:$D$10,0),MATCH(S35,[71]Listas!$F$4:$J$4,0))</f>
        <v>#N/A</v>
      </c>
      <c r="X35" s="268"/>
      <c r="Y35" s="1399"/>
      <c r="Z35" s="1408"/>
      <c r="AA35" s="1400"/>
      <c r="AB35" s="1063"/>
      <c r="AC35" s="267"/>
      <c r="AD35" s="259"/>
      <c r="AE35" s="608"/>
      <c r="AF35" s="267"/>
      <c r="AG35" s="268"/>
      <c r="AH35" s="269">
        <f t="shared" si="4"/>
        <v>0</v>
      </c>
      <c r="AI35" s="558" t="e">
        <f t="shared" si="5"/>
        <v>#N/A</v>
      </c>
      <c r="AJ35" s="270" t="e">
        <f>IF(AI35&lt;=1,"Remota",VLOOKUP(AI35,[71]Listas!$C$6:$D$10,2,0))</f>
        <v>#N/A</v>
      </c>
      <c r="AK35" s="558" t="e">
        <f t="shared" si="6"/>
        <v>#N/A</v>
      </c>
      <c r="AL35" s="270" t="e">
        <f>IF(AK35&lt;=1,"Insignificante",HLOOKUP(AK35,[71]Listas!$F$3:$J$4,2,0))</f>
        <v>#N/A</v>
      </c>
      <c r="AM35" s="273" t="e">
        <f t="shared" si="7"/>
        <v>#N/A</v>
      </c>
      <c r="AN35" s="270" t="e">
        <f>INDEX([71]Listas!$F$6:$J$10,MATCH(AJ35,[71]Listas!$D$6:$D$10,0),MATCH(AL35,[71]Listas!$F$4:$J$4,0))</f>
        <v>#N/A</v>
      </c>
      <c r="AO35" s="259"/>
      <c r="AP35" s="259"/>
      <c r="AQ35" s="610"/>
      <c r="AR35" s="259"/>
      <c r="AS35" s="259" t="s">
        <v>2343</v>
      </c>
      <c r="AT35" s="608"/>
      <c r="AU35" s="259"/>
      <c r="AV35" s="259"/>
      <c r="AW35" s="559"/>
      <c r="AX35" s="559"/>
      <c r="AY35" s="608"/>
      <c r="AZ35" s="556"/>
    </row>
    <row r="36" spans="2:52" s="557" customFormat="1" ht="103.5" hidden="1" customHeight="1">
      <c r="B36" s="608"/>
      <c r="C36" s="266"/>
      <c r="D36" s="1399"/>
      <c r="E36" s="1408"/>
      <c r="F36" s="1400"/>
      <c r="G36" s="267"/>
      <c r="H36" s="1399"/>
      <c r="I36" s="1408"/>
      <c r="J36" s="1400"/>
      <c r="K36" s="1380"/>
      <c r="L36" s="1380"/>
      <c r="M36" s="1380"/>
      <c r="N36" s="608"/>
      <c r="O36" s="608"/>
      <c r="P36" s="608"/>
      <c r="Q36" s="608"/>
      <c r="R36" s="266"/>
      <c r="S36" s="266"/>
      <c r="T36" s="268"/>
      <c r="U36" s="269" t="e">
        <f>VLOOKUP(R36,[71]Listas!$D$6:$E$10,2,0)</f>
        <v>#N/A</v>
      </c>
      <c r="V36" s="269" t="e">
        <f>HLOOKUP(S36,[71]Listas!$F$4:$J$5,2,0)</f>
        <v>#N/A</v>
      </c>
      <c r="W36" s="270" t="e">
        <f>INDEX([71]Listas!$F$6:$J$10,MATCH(R36,[71]Listas!$D$6:$D$10,0),MATCH(S36,[71]Listas!$F$4:$J$4,0))</f>
        <v>#N/A</v>
      </c>
      <c r="X36" s="268"/>
      <c r="Y36" s="1399"/>
      <c r="Z36" s="1408"/>
      <c r="AA36" s="1400"/>
      <c r="AB36" s="1063"/>
      <c r="AC36" s="267"/>
      <c r="AD36" s="259"/>
      <c r="AE36" s="608"/>
      <c r="AF36" s="267"/>
      <c r="AG36" s="268"/>
      <c r="AH36" s="269">
        <f t="shared" si="4"/>
        <v>0</v>
      </c>
      <c r="AI36" s="558" t="e">
        <f t="shared" si="5"/>
        <v>#N/A</v>
      </c>
      <c r="AJ36" s="270" t="e">
        <f>IF(AI36&lt;=1,"Remota",VLOOKUP(AI36,[71]Listas!$C$6:$D$10,2,0))</f>
        <v>#N/A</v>
      </c>
      <c r="AK36" s="558" t="e">
        <f t="shared" si="6"/>
        <v>#N/A</v>
      </c>
      <c r="AL36" s="270" t="e">
        <f>IF(AK36&lt;=1,"Insignificante",HLOOKUP(AK36,[71]Listas!$F$3:$J$4,2,0))</f>
        <v>#N/A</v>
      </c>
      <c r="AM36" s="273" t="e">
        <f t="shared" si="7"/>
        <v>#N/A</v>
      </c>
      <c r="AN36" s="270" t="e">
        <f>INDEX([71]Listas!$F$6:$J$10,MATCH(AJ36,[71]Listas!$D$6:$D$10,0),MATCH(AL36,[71]Listas!$F$4:$J$4,0))</f>
        <v>#N/A</v>
      </c>
      <c r="AO36" s="259"/>
      <c r="AP36" s="259"/>
      <c r="AQ36" s="610"/>
      <c r="AR36" s="259"/>
      <c r="AS36" s="259" t="s">
        <v>2343</v>
      </c>
      <c r="AT36" s="608"/>
      <c r="AU36" s="259"/>
      <c r="AV36" s="259"/>
      <c r="AW36" s="559"/>
      <c r="AX36" s="559"/>
      <c r="AY36" s="608"/>
      <c r="AZ36" s="556"/>
    </row>
    <row r="37" spans="2:52" s="557" customFormat="1" ht="103.5" hidden="1" customHeight="1">
      <c r="B37" s="608"/>
      <c r="C37" s="266"/>
      <c r="D37" s="1399"/>
      <c r="E37" s="1408"/>
      <c r="F37" s="1400"/>
      <c r="G37" s="267"/>
      <c r="H37" s="1399"/>
      <c r="I37" s="1408"/>
      <c r="J37" s="1400"/>
      <c r="K37" s="1380"/>
      <c r="L37" s="1380"/>
      <c r="M37" s="1380"/>
      <c r="N37" s="608"/>
      <c r="O37" s="608"/>
      <c r="P37" s="608"/>
      <c r="Q37" s="608"/>
      <c r="R37" s="266"/>
      <c r="S37" s="266"/>
      <c r="T37" s="268"/>
      <c r="U37" s="269" t="e">
        <f>VLOOKUP(R37,[71]Listas!$D$6:$E$10,2,0)</f>
        <v>#N/A</v>
      </c>
      <c r="V37" s="269" t="e">
        <f>HLOOKUP(S37,[71]Listas!$F$4:$J$5,2,0)</f>
        <v>#N/A</v>
      </c>
      <c r="W37" s="270" t="e">
        <f>INDEX([71]Listas!$F$6:$J$10,MATCH(R37,[71]Listas!$D$6:$D$10,0),MATCH(S37,[71]Listas!$F$4:$J$4,0))</f>
        <v>#N/A</v>
      </c>
      <c r="X37" s="268"/>
      <c r="Y37" s="1399"/>
      <c r="Z37" s="1408"/>
      <c r="AA37" s="1400"/>
      <c r="AB37" s="1063"/>
      <c r="AC37" s="267"/>
      <c r="AD37" s="259"/>
      <c r="AE37" s="608"/>
      <c r="AF37" s="267"/>
      <c r="AG37" s="268"/>
      <c r="AH37" s="269">
        <f t="shared" si="4"/>
        <v>0</v>
      </c>
      <c r="AI37" s="558" t="e">
        <f t="shared" si="5"/>
        <v>#N/A</v>
      </c>
      <c r="AJ37" s="270" t="e">
        <f>IF(AI37&lt;=1,"Remota",VLOOKUP(AI37,[71]Listas!$C$6:$D$10,2,0))</f>
        <v>#N/A</v>
      </c>
      <c r="AK37" s="558" t="e">
        <f t="shared" si="6"/>
        <v>#N/A</v>
      </c>
      <c r="AL37" s="270" t="e">
        <f>IF(AK37&lt;=1,"Insignificante",HLOOKUP(AK37,[71]Listas!$F$3:$J$4,2,0))</f>
        <v>#N/A</v>
      </c>
      <c r="AM37" s="273" t="e">
        <f t="shared" si="7"/>
        <v>#N/A</v>
      </c>
      <c r="AN37" s="270" t="e">
        <f>INDEX([71]Listas!$F$6:$J$10,MATCH(AJ37,[71]Listas!$D$6:$D$10,0),MATCH(AL37,[71]Listas!$F$4:$J$4,0))</f>
        <v>#N/A</v>
      </c>
      <c r="AO37" s="259"/>
      <c r="AP37" s="259"/>
      <c r="AQ37" s="610"/>
      <c r="AR37" s="259"/>
      <c r="AS37" s="259" t="s">
        <v>2343</v>
      </c>
      <c r="AT37" s="608"/>
      <c r="AU37" s="259"/>
      <c r="AV37" s="259"/>
      <c r="AW37" s="559"/>
      <c r="AX37" s="559"/>
      <c r="AY37" s="608"/>
      <c r="AZ37" s="556"/>
    </row>
    <row r="38" spans="2:52" s="557" customFormat="1" ht="103.5" hidden="1" customHeight="1">
      <c r="B38" s="608"/>
      <c r="C38" s="266"/>
      <c r="D38" s="1399"/>
      <c r="E38" s="1408"/>
      <c r="F38" s="1400"/>
      <c r="G38" s="267"/>
      <c r="H38" s="1399"/>
      <c r="I38" s="1408"/>
      <c r="J38" s="1400"/>
      <c r="K38" s="1380"/>
      <c r="L38" s="1380"/>
      <c r="M38" s="1380"/>
      <c r="N38" s="608"/>
      <c r="O38" s="608"/>
      <c r="P38" s="608"/>
      <c r="Q38" s="608"/>
      <c r="R38" s="266"/>
      <c r="S38" s="266"/>
      <c r="T38" s="268"/>
      <c r="U38" s="269" t="e">
        <f>VLOOKUP(R38,[71]Listas!$D$6:$E$10,2,0)</f>
        <v>#N/A</v>
      </c>
      <c r="V38" s="269" t="e">
        <f>HLOOKUP(S38,[71]Listas!$F$4:$J$5,2,0)</f>
        <v>#N/A</v>
      </c>
      <c r="W38" s="270" t="e">
        <f>INDEX([71]Listas!$F$6:$J$10,MATCH(R38,[71]Listas!$D$6:$D$10,0),MATCH(S38,[71]Listas!$F$4:$J$4,0))</f>
        <v>#N/A</v>
      </c>
      <c r="X38" s="268"/>
      <c r="Y38" s="1399"/>
      <c r="Z38" s="1408"/>
      <c r="AA38" s="1400"/>
      <c r="AB38" s="1063"/>
      <c r="AC38" s="267"/>
      <c r="AD38" s="259"/>
      <c r="AE38" s="608"/>
      <c r="AF38" s="267"/>
      <c r="AG38" s="268"/>
      <c r="AH38" s="269">
        <f t="shared" si="4"/>
        <v>0</v>
      </c>
      <c r="AI38" s="558" t="e">
        <f t="shared" si="5"/>
        <v>#N/A</v>
      </c>
      <c r="AJ38" s="270" t="e">
        <f>IF(AI38&lt;=1,"Remota",VLOOKUP(AI38,[71]Listas!$C$6:$D$10,2,0))</f>
        <v>#N/A</v>
      </c>
      <c r="AK38" s="558" t="e">
        <f t="shared" si="6"/>
        <v>#N/A</v>
      </c>
      <c r="AL38" s="270" t="e">
        <f>IF(AK38&lt;=1,"Insignificante",HLOOKUP(AK38,[71]Listas!$F$3:$J$4,2,0))</f>
        <v>#N/A</v>
      </c>
      <c r="AM38" s="273" t="e">
        <f t="shared" si="7"/>
        <v>#N/A</v>
      </c>
      <c r="AN38" s="270" t="e">
        <f>INDEX([71]Listas!$F$6:$J$10,MATCH(AJ38,[71]Listas!$D$6:$D$10,0),MATCH(AL38,[71]Listas!$F$4:$J$4,0))</f>
        <v>#N/A</v>
      </c>
      <c r="AO38" s="259"/>
      <c r="AP38" s="259"/>
      <c r="AQ38" s="610"/>
      <c r="AR38" s="259"/>
      <c r="AS38" s="259" t="s">
        <v>2343</v>
      </c>
      <c r="AT38" s="608"/>
      <c r="AU38" s="259"/>
      <c r="AV38" s="259"/>
      <c r="AW38" s="559"/>
      <c r="AX38" s="559"/>
      <c r="AY38" s="608"/>
      <c r="AZ38" s="556"/>
    </row>
    <row r="39" spans="2:52" s="557" customFormat="1" ht="103.5" hidden="1" customHeight="1">
      <c r="B39" s="608"/>
      <c r="C39" s="266"/>
      <c r="D39" s="1399"/>
      <c r="E39" s="1408"/>
      <c r="F39" s="1400"/>
      <c r="G39" s="267"/>
      <c r="H39" s="1399"/>
      <c r="I39" s="1408"/>
      <c r="J39" s="1400"/>
      <c r="K39" s="1380"/>
      <c r="L39" s="1380"/>
      <c r="M39" s="1380"/>
      <c r="N39" s="608"/>
      <c r="O39" s="608"/>
      <c r="P39" s="608"/>
      <c r="Q39" s="608"/>
      <c r="R39" s="266"/>
      <c r="S39" s="266"/>
      <c r="T39" s="268"/>
      <c r="U39" s="269" t="e">
        <f>VLOOKUP(R39,[71]Listas!$D$6:$E$10,2,0)</f>
        <v>#N/A</v>
      </c>
      <c r="V39" s="269" t="e">
        <f>HLOOKUP(S39,[71]Listas!$F$4:$J$5,2,0)</f>
        <v>#N/A</v>
      </c>
      <c r="W39" s="270" t="e">
        <f>INDEX([71]Listas!$F$6:$J$10,MATCH(R39,[71]Listas!$D$6:$D$10,0),MATCH(S39,[71]Listas!$F$4:$J$4,0))</f>
        <v>#N/A</v>
      </c>
      <c r="X39" s="268"/>
      <c r="Y39" s="1399"/>
      <c r="Z39" s="1408"/>
      <c r="AA39" s="1400"/>
      <c r="AB39" s="1063"/>
      <c r="AC39" s="267"/>
      <c r="AD39" s="259"/>
      <c r="AE39" s="608"/>
      <c r="AF39" s="267"/>
      <c r="AG39" s="268"/>
      <c r="AH39" s="269">
        <f t="shared" si="4"/>
        <v>0</v>
      </c>
      <c r="AI39" s="558" t="e">
        <f t="shared" si="5"/>
        <v>#N/A</v>
      </c>
      <c r="AJ39" s="270" t="e">
        <f>IF(AI39&lt;=1,"Remota",VLOOKUP(AI39,[71]Listas!$C$6:$D$10,2,0))</f>
        <v>#N/A</v>
      </c>
      <c r="AK39" s="558" t="e">
        <f t="shared" si="6"/>
        <v>#N/A</v>
      </c>
      <c r="AL39" s="270" t="e">
        <f>IF(AK39&lt;=1,"Insignificante",HLOOKUP(AK39,[71]Listas!$F$3:$J$4,2,0))</f>
        <v>#N/A</v>
      </c>
      <c r="AM39" s="273" t="e">
        <f t="shared" si="7"/>
        <v>#N/A</v>
      </c>
      <c r="AN39" s="270" t="e">
        <f>INDEX([71]Listas!$F$6:$J$10,MATCH(AJ39,[71]Listas!$D$6:$D$10,0),MATCH(AL39,[71]Listas!$F$4:$J$4,0))</f>
        <v>#N/A</v>
      </c>
      <c r="AO39" s="259"/>
      <c r="AP39" s="259"/>
      <c r="AQ39" s="610"/>
      <c r="AR39" s="259"/>
      <c r="AS39" s="259" t="s">
        <v>2343</v>
      </c>
      <c r="AT39" s="608"/>
      <c r="AU39" s="259"/>
      <c r="AV39" s="259"/>
      <c r="AW39" s="559"/>
      <c r="AX39" s="559"/>
      <c r="AY39" s="608"/>
      <c r="AZ39" s="556"/>
    </row>
    <row r="40" spans="2:52" s="557" customFormat="1" ht="103.5" hidden="1" customHeight="1">
      <c r="B40" s="608"/>
      <c r="C40" s="266"/>
      <c r="D40" s="1399"/>
      <c r="E40" s="1408"/>
      <c r="F40" s="1400"/>
      <c r="G40" s="267"/>
      <c r="H40" s="1399"/>
      <c r="I40" s="1408"/>
      <c r="J40" s="1400"/>
      <c r="K40" s="1380"/>
      <c r="L40" s="1380"/>
      <c r="M40" s="1380"/>
      <c r="N40" s="608"/>
      <c r="O40" s="608"/>
      <c r="P40" s="608"/>
      <c r="Q40" s="608"/>
      <c r="R40" s="266"/>
      <c r="S40" s="266"/>
      <c r="T40" s="268"/>
      <c r="U40" s="269" t="e">
        <f>VLOOKUP(R40,[71]Listas!$D$6:$E$10,2,0)</f>
        <v>#N/A</v>
      </c>
      <c r="V40" s="269" t="e">
        <f>HLOOKUP(S40,[71]Listas!$F$4:$J$5,2,0)</f>
        <v>#N/A</v>
      </c>
      <c r="W40" s="270" t="e">
        <f>INDEX([71]Listas!$F$6:$J$10,MATCH(R40,[71]Listas!$D$6:$D$10,0),MATCH(S40,[71]Listas!$F$4:$J$4,0))</f>
        <v>#N/A</v>
      </c>
      <c r="X40" s="268"/>
      <c r="Y40" s="1399"/>
      <c r="Z40" s="1408"/>
      <c r="AA40" s="1400"/>
      <c r="AB40" s="1063"/>
      <c r="AC40" s="267"/>
      <c r="AD40" s="259"/>
      <c r="AE40" s="608"/>
      <c r="AF40" s="267"/>
      <c r="AG40" s="268"/>
      <c r="AH40" s="269">
        <f t="shared" si="4"/>
        <v>0</v>
      </c>
      <c r="AI40" s="558" t="e">
        <f t="shared" si="5"/>
        <v>#N/A</v>
      </c>
      <c r="AJ40" s="270" t="e">
        <f>IF(AI40&lt;=1,"Remota",VLOOKUP(AI40,[71]Listas!$C$6:$D$10,2,0))</f>
        <v>#N/A</v>
      </c>
      <c r="AK40" s="558" t="e">
        <f t="shared" si="6"/>
        <v>#N/A</v>
      </c>
      <c r="AL40" s="270" t="e">
        <f>IF(AK40&lt;=1,"Insignificante",HLOOKUP(AK40,[71]Listas!$F$3:$J$4,2,0))</f>
        <v>#N/A</v>
      </c>
      <c r="AM40" s="273" t="e">
        <f t="shared" si="7"/>
        <v>#N/A</v>
      </c>
      <c r="AN40" s="270" t="e">
        <f>INDEX([71]Listas!$F$6:$J$10,MATCH(AJ40,[71]Listas!$D$6:$D$10,0),MATCH(AL40,[71]Listas!$F$4:$J$4,0))</f>
        <v>#N/A</v>
      </c>
      <c r="AO40" s="259"/>
      <c r="AP40" s="259"/>
      <c r="AQ40" s="610"/>
      <c r="AR40" s="259"/>
      <c r="AS40" s="259" t="s">
        <v>2343</v>
      </c>
      <c r="AT40" s="608"/>
      <c r="AU40" s="259"/>
      <c r="AV40" s="259"/>
      <c r="AW40" s="559"/>
      <c r="AX40" s="559"/>
      <c r="AY40" s="608"/>
      <c r="AZ40" s="556"/>
    </row>
    <row r="41" spans="2:52" s="557" customFormat="1" ht="103.5" hidden="1" customHeight="1">
      <c r="B41" s="608"/>
      <c r="C41" s="266"/>
      <c r="D41" s="1399"/>
      <c r="E41" s="1408"/>
      <c r="F41" s="1400"/>
      <c r="G41" s="267"/>
      <c r="H41" s="1399"/>
      <c r="I41" s="1408"/>
      <c r="J41" s="1400"/>
      <c r="K41" s="1380"/>
      <c r="L41" s="1380"/>
      <c r="M41" s="1380"/>
      <c r="N41" s="608"/>
      <c r="O41" s="608"/>
      <c r="P41" s="608"/>
      <c r="Q41" s="608"/>
      <c r="R41" s="266"/>
      <c r="S41" s="266"/>
      <c r="T41" s="268"/>
      <c r="U41" s="269" t="e">
        <f>VLOOKUP(R41,[71]Listas!$D$6:$E$10,2,0)</f>
        <v>#N/A</v>
      </c>
      <c r="V41" s="269" t="e">
        <f>HLOOKUP(S41,[71]Listas!$F$4:$J$5,2,0)</f>
        <v>#N/A</v>
      </c>
      <c r="W41" s="270" t="e">
        <f>INDEX([71]Listas!$F$6:$J$10,MATCH(R41,[71]Listas!$D$6:$D$10,0),MATCH(S41,[71]Listas!$F$4:$J$4,0))</f>
        <v>#N/A</v>
      </c>
      <c r="X41" s="268"/>
      <c r="Y41" s="1399"/>
      <c r="Z41" s="1408"/>
      <c r="AA41" s="1400"/>
      <c r="AB41" s="1063"/>
      <c r="AC41" s="267"/>
      <c r="AD41" s="259"/>
      <c r="AE41" s="608"/>
      <c r="AF41" s="267"/>
      <c r="AG41" s="268"/>
      <c r="AH41" s="269">
        <f t="shared" si="4"/>
        <v>0</v>
      </c>
      <c r="AI41" s="558" t="e">
        <f t="shared" si="5"/>
        <v>#N/A</v>
      </c>
      <c r="AJ41" s="270" t="e">
        <f>IF(AI41&lt;=1,"Remota",VLOOKUP(AI41,[71]Listas!$C$6:$D$10,2,0))</f>
        <v>#N/A</v>
      </c>
      <c r="AK41" s="558" t="e">
        <f t="shared" si="6"/>
        <v>#N/A</v>
      </c>
      <c r="AL41" s="270" t="e">
        <f>IF(AK41&lt;=1,"Insignificante",HLOOKUP(AK41,[71]Listas!$F$3:$J$4,2,0))</f>
        <v>#N/A</v>
      </c>
      <c r="AM41" s="273" t="e">
        <f t="shared" si="7"/>
        <v>#N/A</v>
      </c>
      <c r="AN41" s="270" t="e">
        <f>INDEX([71]Listas!$F$6:$J$10,MATCH(AJ41,[71]Listas!$D$6:$D$10,0),MATCH(AL41,[71]Listas!$F$4:$J$4,0))</f>
        <v>#N/A</v>
      </c>
      <c r="AO41" s="259"/>
      <c r="AP41" s="259"/>
      <c r="AQ41" s="610"/>
      <c r="AR41" s="259"/>
      <c r="AS41" s="259" t="s">
        <v>2343</v>
      </c>
      <c r="AT41" s="608"/>
      <c r="AU41" s="259"/>
      <c r="AV41" s="259"/>
      <c r="AW41" s="559"/>
      <c r="AX41" s="559"/>
      <c r="AY41" s="608"/>
      <c r="AZ41" s="556"/>
    </row>
    <row r="42" spans="2:52" s="557" customFormat="1" ht="103.5" hidden="1" customHeight="1">
      <c r="B42" s="608"/>
      <c r="C42" s="266"/>
      <c r="D42" s="1399"/>
      <c r="E42" s="1408"/>
      <c r="F42" s="1400"/>
      <c r="G42" s="267"/>
      <c r="H42" s="1399"/>
      <c r="I42" s="1408"/>
      <c r="J42" s="1400"/>
      <c r="K42" s="1380"/>
      <c r="L42" s="1380"/>
      <c r="M42" s="1380"/>
      <c r="N42" s="608"/>
      <c r="O42" s="608"/>
      <c r="P42" s="608"/>
      <c r="Q42" s="608"/>
      <c r="R42" s="266"/>
      <c r="S42" s="266"/>
      <c r="T42" s="268"/>
      <c r="U42" s="269" t="e">
        <f>VLOOKUP(R42,[71]Listas!$D$6:$E$10,2,0)</f>
        <v>#N/A</v>
      </c>
      <c r="V42" s="269" t="e">
        <f>HLOOKUP(S42,[71]Listas!$F$4:$J$5,2,0)</f>
        <v>#N/A</v>
      </c>
      <c r="W42" s="270" t="e">
        <f>INDEX([71]Listas!$F$6:$J$10,MATCH(R42,[71]Listas!$D$6:$D$10,0),MATCH(S42,[71]Listas!$F$4:$J$4,0))</f>
        <v>#N/A</v>
      </c>
      <c r="X42" s="268"/>
      <c r="Y42" s="1399"/>
      <c r="Z42" s="1408"/>
      <c r="AA42" s="1400"/>
      <c r="AB42" s="1063"/>
      <c r="AC42" s="267"/>
      <c r="AD42" s="259"/>
      <c r="AE42" s="608"/>
      <c r="AF42" s="267"/>
      <c r="AG42" s="268"/>
      <c r="AH42" s="269">
        <f t="shared" si="4"/>
        <v>0</v>
      </c>
      <c r="AI42" s="558" t="e">
        <f t="shared" si="5"/>
        <v>#N/A</v>
      </c>
      <c r="AJ42" s="270" t="e">
        <f>IF(AI42&lt;=1,"Remota",VLOOKUP(AI42,[71]Listas!$C$6:$D$10,2,0))</f>
        <v>#N/A</v>
      </c>
      <c r="AK42" s="558" t="e">
        <f t="shared" si="6"/>
        <v>#N/A</v>
      </c>
      <c r="AL42" s="270" t="e">
        <f>IF(AK42&lt;=1,"Insignificante",HLOOKUP(AK42,[71]Listas!$F$3:$J$4,2,0))</f>
        <v>#N/A</v>
      </c>
      <c r="AM42" s="273" t="e">
        <f t="shared" si="7"/>
        <v>#N/A</v>
      </c>
      <c r="AN42" s="270" t="e">
        <f>INDEX([71]Listas!$F$6:$J$10,MATCH(AJ42,[71]Listas!$D$6:$D$10,0),MATCH(AL42,[71]Listas!$F$4:$J$4,0))</f>
        <v>#N/A</v>
      </c>
      <c r="AO42" s="259"/>
      <c r="AP42" s="259"/>
      <c r="AQ42" s="610"/>
      <c r="AR42" s="259"/>
      <c r="AS42" s="259" t="s">
        <v>2343</v>
      </c>
      <c r="AT42" s="608"/>
      <c r="AU42" s="259"/>
      <c r="AV42" s="259"/>
      <c r="AW42" s="559"/>
      <c r="AX42" s="559"/>
      <c r="AY42" s="608"/>
      <c r="AZ42" s="556"/>
    </row>
    <row r="43" spans="2:52" s="557" customFormat="1" ht="103.5" hidden="1" customHeight="1">
      <c r="B43" s="608"/>
      <c r="C43" s="266"/>
      <c r="D43" s="1399"/>
      <c r="E43" s="1408"/>
      <c r="F43" s="1400"/>
      <c r="G43" s="266"/>
      <c r="H43" s="1399"/>
      <c r="I43" s="1408"/>
      <c r="J43" s="1400"/>
      <c r="K43" s="1380"/>
      <c r="L43" s="1380"/>
      <c r="M43" s="1380"/>
      <c r="N43" s="608"/>
      <c r="O43" s="608"/>
      <c r="P43" s="608"/>
      <c r="Q43" s="608"/>
      <c r="R43" s="266"/>
      <c r="S43" s="266"/>
      <c r="T43" s="268"/>
      <c r="U43" s="269" t="e">
        <f>VLOOKUP(R43,[71]Listas!$D$6:$E$10,2,0)</f>
        <v>#N/A</v>
      </c>
      <c r="V43" s="269" t="e">
        <f>HLOOKUP(S43,[71]Listas!$F$4:$J$5,2,0)</f>
        <v>#N/A</v>
      </c>
      <c r="W43" s="270" t="e">
        <f>INDEX([71]Listas!$F$6:$J$10,MATCH(R43,[71]Listas!$D$6:$D$10,0),MATCH(S43,[71]Listas!$F$4:$J$4,0))</f>
        <v>#N/A</v>
      </c>
      <c r="X43" s="268"/>
      <c r="Y43" s="1399"/>
      <c r="Z43" s="1408"/>
      <c r="AA43" s="1400"/>
      <c r="AB43" s="1063"/>
      <c r="AC43" s="267"/>
      <c r="AD43" s="259"/>
      <c r="AE43" s="608"/>
      <c r="AF43" s="267"/>
      <c r="AG43" s="268"/>
      <c r="AH43" s="269">
        <f>IF(AE43&lt;=33,0,IF(AE43&gt;81,2,1))</f>
        <v>0</v>
      </c>
      <c r="AI43" s="558" t="e">
        <f>IF(OR(AF43="Probabilidad",AF43="Ambos"),U43-AH43,U43)</f>
        <v>#N/A</v>
      </c>
      <c r="AJ43" s="270" t="e">
        <f>IF(AI43&lt;=1,"Remota",VLOOKUP(AI43,[71]Listas!$C$6:$D$10,2,0))</f>
        <v>#N/A</v>
      </c>
      <c r="AK43" s="558" t="e">
        <f>IF(OR(AF43="Impacto",AF43="Ambos"),V43-AH43,V43)</f>
        <v>#N/A</v>
      </c>
      <c r="AL43" s="270" t="e">
        <f>IF(AK43&lt;=1,"Insignificante",HLOOKUP(AK43,[71]Listas!$F$3:$J$4,2,0))</f>
        <v>#N/A</v>
      </c>
      <c r="AM43" s="273" t="e">
        <f>AI43*AK43</f>
        <v>#N/A</v>
      </c>
      <c r="AN43" s="270" t="e">
        <f>INDEX([71]Listas!$F$6:$J$10,MATCH(AJ43,[71]Listas!$D$6:$D$10,0),MATCH(AL43,[71]Listas!$F$4:$J$4,0))</f>
        <v>#N/A</v>
      </c>
      <c r="AO43" s="259"/>
      <c r="AP43" s="259"/>
      <c r="AQ43" s="610"/>
      <c r="AR43" s="259"/>
      <c r="AS43" s="259" t="s">
        <v>2343</v>
      </c>
      <c r="AT43" s="608"/>
      <c r="AV43" s="259"/>
      <c r="AW43" s="559"/>
      <c r="AX43" s="559"/>
      <c r="AY43" s="608"/>
      <c r="AZ43" s="556"/>
    </row>
    <row r="44" spans="2:52" s="557" customFormat="1" ht="103.5" hidden="1" customHeight="1">
      <c r="B44" s="608"/>
      <c r="C44" s="266"/>
      <c r="D44" s="1399"/>
      <c r="E44" s="1408"/>
      <c r="F44" s="1400"/>
      <c r="G44" s="267"/>
      <c r="H44" s="1399"/>
      <c r="I44" s="1408"/>
      <c r="J44" s="1400"/>
      <c r="K44" s="1380"/>
      <c r="L44" s="1380"/>
      <c r="M44" s="1380"/>
      <c r="N44" s="608"/>
      <c r="O44" s="608"/>
      <c r="P44" s="608"/>
      <c r="Q44" s="608"/>
      <c r="R44" s="266"/>
      <c r="S44" s="266"/>
      <c r="T44" s="268"/>
      <c r="U44" s="269" t="e">
        <f>VLOOKUP(R44,[71]Listas!$D$6:$E$10,2,0)</f>
        <v>#N/A</v>
      </c>
      <c r="V44" s="269" t="e">
        <f>HLOOKUP(S44,[71]Listas!$F$4:$J$5,2,0)</f>
        <v>#N/A</v>
      </c>
      <c r="W44" s="270" t="e">
        <f>INDEX([71]Listas!$F$6:$J$10,MATCH(R44,[71]Listas!$D$6:$D$10,0),MATCH(S44,[71]Listas!$F$4:$J$4,0))</f>
        <v>#N/A</v>
      </c>
      <c r="X44" s="268"/>
      <c r="Y44" s="1399"/>
      <c r="Z44" s="1408"/>
      <c r="AA44" s="1400"/>
      <c r="AB44" s="1063"/>
      <c r="AC44" s="267"/>
      <c r="AD44" s="259"/>
      <c r="AE44" s="608"/>
      <c r="AF44" s="267"/>
      <c r="AG44" s="268"/>
      <c r="AH44" s="269">
        <f t="shared" ref="AH44:AH64" si="8">IF(AE44&lt;=33,0,IF(AE44&gt;81,2,1))</f>
        <v>0</v>
      </c>
      <c r="AI44" s="558" t="e">
        <f t="shared" ref="AI44:AI64" si="9">IF(OR(AF44="Probabilidad",AF44="Ambos"),U44-AH44,U44)</f>
        <v>#N/A</v>
      </c>
      <c r="AJ44" s="270" t="e">
        <f>IF(AI44&lt;=1,"Remota",VLOOKUP(AI44,[71]Listas!$C$6:$D$10,2,0))</f>
        <v>#N/A</v>
      </c>
      <c r="AK44" s="558" t="e">
        <f t="shared" ref="AK44:AK64" si="10">IF(OR(AF44="Impacto",AF44="Ambos"),V44-AH44,V44)</f>
        <v>#N/A</v>
      </c>
      <c r="AL44" s="270" t="e">
        <f>IF(AK44&lt;=1,"Insignificante",HLOOKUP(AK44,[71]Listas!$F$3:$J$4,2,0))</f>
        <v>#N/A</v>
      </c>
      <c r="AM44" s="273" t="e">
        <f t="shared" ref="AM44:AM64" si="11">AI44*AK44</f>
        <v>#N/A</v>
      </c>
      <c r="AN44" s="270" t="e">
        <f>INDEX([71]Listas!$F$6:$J$10,MATCH(AJ44,[71]Listas!$D$6:$D$10,0),MATCH(AL44,[71]Listas!$F$4:$J$4,0))</f>
        <v>#N/A</v>
      </c>
      <c r="AO44" s="259"/>
      <c r="AP44" s="259"/>
      <c r="AQ44" s="610"/>
      <c r="AR44" s="259"/>
      <c r="AS44" s="259" t="s">
        <v>2343</v>
      </c>
      <c r="AT44" s="608"/>
      <c r="AU44" s="259"/>
      <c r="AV44" s="259"/>
      <c r="AW44" s="559"/>
      <c r="AX44" s="559"/>
      <c r="AY44" s="608"/>
      <c r="AZ44" s="556"/>
    </row>
    <row r="45" spans="2:52" s="557" customFormat="1" ht="103.5" hidden="1" customHeight="1">
      <c r="B45" s="608"/>
      <c r="C45" s="266"/>
      <c r="D45" s="1399"/>
      <c r="E45" s="1408"/>
      <c r="F45" s="1400"/>
      <c r="G45" s="267"/>
      <c r="H45" s="1399"/>
      <c r="I45" s="1408"/>
      <c r="J45" s="1400"/>
      <c r="K45" s="1380"/>
      <c r="L45" s="1380"/>
      <c r="M45" s="1380"/>
      <c r="N45" s="608"/>
      <c r="O45" s="608"/>
      <c r="P45" s="608"/>
      <c r="Q45" s="608"/>
      <c r="R45" s="266"/>
      <c r="S45" s="266"/>
      <c r="T45" s="268"/>
      <c r="U45" s="269" t="e">
        <f>VLOOKUP(R45,[71]Listas!$D$6:$E$10,2,0)</f>
        <v>#N/A</v>
      </c>
      <c r="V45" s="269" t="e">
        <f>HLOOKUP(S45,[71]Listas!$F$4:$J$5,2,0)</f>
        <v>#N/A</v>
      </c>
      <c r="W45" s="270" t="e">
        <f>INDEX([71]Listas!$F$6:$J$10,MATCH(R45,[71]Listas!$D$6:$D$10,0),MATCH(S45,[71]Listas!$F$4:$J$4,0))</f>
        <v>#N/A</v>
      </c>
      <c r="X45" s="268"/>
      <c r="Y45" s="1399"/>
      <c r="Z45" s="1408"/>
      <c r="AA45" s="1400"/>
      <c r="AB45" s="1063"/>
      <c r="AC45" s="267"/>
      <c r="AD45" s="259"/>
      <c r="AE45" s="608"/>
      <c r="AF45" s="267"/>
      <c r="AG45" s="268"/>
      <c r="AH45" s="269">
        <f t="shared" si="8"/>
        <v>0</v>
      </c>
      <c r="AI45" s="558" t="e">
        <f t="shared" si="9"/>
        <v>#N/A</v>
      </c>
      <c r="AJ45" s="270" t="e">
        <f>IF(AI45&lt;=1,"Remota",VLOOKUP(AI45,[71]Listas!$C$6:$D$10,2,0))</f>
        <v>#N/A</v>
      </c>
      <c r="AK45" s="558" t="e">
        <f t="shared" si="10"/>
        <v>#N/A</v>
      </c>
      <c r="AL45" s="270" t="e">
        <f>IF(AK45&lt;=1,"Insignificante",HLOOKUP(AK45,[71]Listas!$F$3:$J$4,2,0))</f>
        <v>#N/A</v>
      </c>
      <c r="AM45" s="273" t="e">
        <f t="shared" si="11"/>
        <v>#N/A</v>
      </c>
      <c r="AN45" s="270" t="e">
        <f>INDEX([71]Listas!$F$6:$J$10,MATCH(AJ45,[71]Listas!$D$6:$D$10,0),MATCH(AL45,[71]Listas!$F$4:$J$4,0))</f>
        <v>#N/A</v>
      </c>
      <c r="AO45" s="259"/>
      <c r="AP45" s="259"/>
      <c r="AQ45" s="610"/>
      <c r="AR45" s="259"/>
      <c r="AS45" s="259" t="s">
        <v>2343</v>
      </c>
      <c r="AT45" s="608"/>
      <c r="AU45" s="259"/>
      <c r="AV45" s="259"/>
      <c r="AW45" s="559"/>
      <c r="AX45" s="559"/>
      <c r="AY45" s="608"/>
      <c r="AZ45" s="556"/>
    </row>
    <row r="46" spans="2:52" s="557" customFormat="1" ht="103.5" hidden="1" customHeight="1">
      <c r="B46" s="608"/>
      <c r="C46" s="266"/>
      <c r="D46" s="1399"/>
      <c r="E46" s="1408"/>
      <c r="F46" s="1400"/>
      <c r="G46" s="267"/>
      <c r="H46" s="1399"/>
      <c r="I46" s="1408"/>
      <c r="J46" s="1400"/>
      <c r="K46" s="1380"/>
      <c r="L46" s="1380"/>
      <c r="M46" s="1380"/>
      <c r="N46" s="608"/>
      <c r="O46" s="608"/>
      <c r="P46" s="608"/>
      <c r="Q46" s="608"/>
      <c r="R46" s="266"/>
      <c r="S46" s="266"/>
      <c r="T46" s="268"/>
      <c r="U46" s="269" t="e">
        <f>VLOOKUP(R46,[71]Listas!$D$6:$E$10,2,0)</f>
        <v>#N/A</v>
      </c>
      <c r="V46" s="269" t="e">
        <f>HLOOKUP(S46,[71]Listas!$F$4:$J$5,2,0)</f>
        <v>#N/A</v>
      </c>
      <c r="W46" s="270" t="e">
        <f>INDEX([71]Listas!$F$6:$J$10,MATCH(R46,[71]Listas!$D$6:$D$10,0),MATCH(S46,[71]Listas!$F$4:$J$4,0))</f>
        <v>#N/A</v>
      </c>
      <c r="X46" s="268"/>
      <c r="Y46" s="1399"/>
      <c r="Z46" s="1408"/>
      <c r="AA46" s="1400"/>
      <c r="AB46" s="1063"/>
      <c r="AC46" s="267"/>
      <c r="AD46" s="259"/>
      <c r="AE46" s="608"/>
      <c r="AF46" s="267"/>
      <c r="AG46" s="268"/>
      <c r="AH46" s="269">
        <f t="shared" si="8"/>
        <v>0</v>
      </c>
      <c r="AI46" s="558" t="e">
        <f t="shared" si="9"/>
        <v>#N/A</v>
      </c>
      <c r="AJ46" s="270" t="e">
        <f>IF(AI46&lt;=1,"Remota",VLOOKUP(AI46,[71]Listas!$C$6:$D$10,2,0))</f>
        <v>#N/A</v>
      </c>
      <c r="AK46" s="558" t="e">
        <f t="shared" si="10"/>
        <v>#N/A</v>
      </c>
      <c r="AL46" s="270" t="e">
        <f>IF(AK46&lt;=1,"Insignificante",HLOOKUP(AK46,[71]Listas!$F$3:$J$4,2,0))</f>
        <v>#N/A</v>
      </c>
      <c r="AM46" s="273" t="e">
        <f t="shared" si="11"/>
        <v>#N/A</v>
      </c>
      <c r="AN46" s="270" t="e">
        <f>INDEX([71]Listas!$F$6:$J$10,MATCH(AJ46,[71]Listas!$D$6:$D$10,0),MATCH(AL46,[71]Listas!$F$4:$J$4,0))</f>
        <v>#N/A</v>
      </c>
      <c r="AO46" s="259"/>
      <c r="AP46" s="259"/>
      <c r="AQ46" s="610"/>
      <c r="AR46" s="259"/>
      <c r="AS46" s="259" t="s">
        <v>2343</v>
      </c>
      <c r="AT46" s="608"/>
      <c r="AU46" s="259"/>
      <c r="AV46" s="259"/>
      <c r="AW46" s="559"/>
      <c r="AX46" s="559"/>
      <c r="AY46" s="608"/>
      <c r="AZ46" s="556"/>
    </row>
    <row r="47" spans="2:52" s="557" customFormat="1" ht="103.5" hidden="1" customHeight="1">
      <c r="B47" s="608"/>
      <c r="C47" s="266"/>
      <c r="D47" s="1399"/>
      <c r="E47" s="1408"/>
      <c r="F47" s="1400"/>
      <c r="G47" s="267"/>
      <c r="H47" s="1399"/>
      <c r="I47" s="1408"/>
      <c r="J47" s="1400"/>
      <c r="K47" s="1380"/>
      <c r="L47" s="1380"/>
      <c r="M47" s="1380"/>
      <c r="N47" s="608"/>
      <c r="O47" s="608"/>
      <c r="P47" s="608"/>
      <c r="Q47" s="608"/>
      <c r="R47" s="266"/>
      <c r="S47" s="266"/>
      <c r="T47" s="268"/>
      <c r="U47" s="269" t="e">
        <f>VLOOKUP(R47,[71]Listas!$D$6:$E$10,2,0)</f>
        <v>#N/A</v>
      </c>
      <c r="V47" s="269" t="e">
        <f>HLOOKUP(S47,[71]Listas!$F$4:$J$5,2,0)</f>
        <v>#N/A</v>
      </c>
      <c r="W47" s="270" t="e">
        <f>INDEX([71]Listas!$F$6:$J$10,MATCH(R47,[71]Listas!$D$6:$D$10,0),MATCH(S47,[71]Listas!$F$4:$J$4,0))</f>
        <v>#N/A</v>
      </c>
      <c r="X47" s="268"/>
      <c r="Y47" s="1399"/>
      <c r="Z47" s="1408"/>
      <c r="AA47" s="1400"/>
      <c r="AB47" s="1063"/>
      <c r="AC47" s="267"/>
      <c r="AD47" s="259"/>
      <c r="AE47" s="608"/>
      <c r="AF47" s="267"/>
      <c r="AG47" s="268"/>
      <c r="AH47" s="269">
        <f t="shared" si="8"/>
        <v>0</v>
      </c>
      <c r="AI47" s="558" t="e">
        <f t="shared" si="9"/>
        <v>#N/A</v>
      </c>
      <c r="AJ47" s="270" t="e">
        <f>IF(AI47&lt;=1,"Remota",VLOOKUP(AI47,[71]Listas!$C$6:$D$10,2,0))</f>
        <v>#N/A</v>
      </c>
      <c r="AK47" s="558" t="e">
        <f t="shared" si="10"/>
        <v>#N/A</v>
      </c>
      <c r="AL47" s="270" t="e">
        <f>IF(AK47&lt;=1,"Insignificante",HLOOKUP(AK47,[71]Listas!$F$3:$J$4,2,0))</f>
        <v>#N/A</v>
      </c>
      <c r="AM47" s="273" t="e">
        <f t="shared" si="11"/>
        <v>#N/A</v>
      </c>
      <c r="AN47" s="270" t="e">
        <f>INDEX([71]Listas!$F$6:$J$10,MATCH(AJ47,[71]Listas!$D$6:$D$10,0),MATCH(AL47,[71]Listas!$F$4:$J$4,0))</f>
        <v>#N/A</v>
      </c>
      <c r="AO47" s="259"/>
      <c r="AP47" s="259"/>
      <c r="AQ47" s="610"/>
      <c r="AR47" s="259"/>
      <c r="AS47" s="259" t="s">
        <v>2343</v>
      </c>
      <c r="AT47" s="608"/>
      <c r="AU47" s="259"/>
      <c r="AV47" s="259"/>
      <c r="AW47" s="559"/>
      <c r="AX47" s="559"/>
      <c r="AY47" s="608"/>
      <c r="AZ47" s="556"/>
    </row>
    <row r="48" spans="2:52" s="557" customFormat="1" ht="103.5" hidden="1" customHeight="1">
      <c r="B48" s="608"/>
      <c r="C48" s="266"/>
      <c r="D48" s="1399"/>
      <c r="E48" s="1408"/>
      <c r="F48" s="1400"/>
      <c r="G48" s="267"/>
      <c r="H48" s="1399"/>
      <c r="I48" s="1408"/>
      <c r="J48" s="1400"/>
      <c r="K48" s="1380"/>
      <c r="L48" s="1380"/>
      <c r="M48" s="1380"/>
      <c r="N48" s="608"/>
      <c r="O48" s="608"/>
      <c r="P48" s="608"/>
      <c r="Q48" s="608"/>
      <c r="R48" s="266"/>
      <c r="S48" s="266"/>
      <c r="T48" s="268"/>
      <c r="U48" s="269" t="e">
        <f>VLOOKUP(R48,[71]Listas!$D$6:$E$10,2,0)</f>
        <v>#N/A</v>
      </c>
      <c r="V48" s="269" t="e">
        <f>HLOOKUP(S48,[71]Listas!$F$4:$J$5,2,0)</f>
        <v>#N/A</v>
      </c>
      <c r="W48" s="270" t="e">
        <f>INDEX([71]Listas!$F$6:$J$10,MATCH(R48,[71]Listas!$D$6:$D$10,0),MATCH(S48,[71]Listas!$F$4:$J$4,0))</f>
        <v>#N/A</v>
      </c>
      <c r="X48" s="268"/>
      <c r="Y48" s="1399"/>
      <c r="Z48" s="1408"/>
      <c r="AA48" s="1400"/>
      <c r="AB48" s="1063"/>
      <c r="AC48" s="267"/>
      <c r="AD48" s="259"/>
      <c r="AE48" s="608"/>
      <c r="AF48" s="267"/>
      <c r="AG48" s="268"/>
      <c r="AH48" s="269">
        <f t="shared" si="8"/>
        <v>0</v>
      </c>
      <c r="AI48" s="558" t="e">
        <f t="shared" si="9"/>
        <v>#N/A</v>
      </c>
      <c r="AJ48" s="270" t="e">
        <f>IF(AI48&lt;=1,"Remota",VLOOKUP(AI48,[71]Listas!$C$6:$D$10,2,0))</f>
        <v>#N/A</v>
      </c>
      <c r="AK48" s="558" t="e">
        <f t="shared" si="10"/>
        <v>#N/A</v>
      </c>
      <c r="AL48" s="270" t="e">
        <f>IF(AK48&lt;=1,"Insignificante",HLOOKUP(AK48,[71]Listas!$F$3:$J$4,2,0))</f>
        <v>#N/A</v>
      </c>
      <c r="AM48" s="273" t="e">
        <f t="shared" si="11"/>
        <v>#N/A</v>
      </c>
      <c r="AN48" s="270" t="e">
        <f>INDEX([71]Listas!$F$6:$J$10,MATCH(AJ48,[71]Listas!$D$6:$D$10,0),MATCH(AL48,[71]Listas!$F$4:$J$4,0))</f>
        <v>#N/A</v>
      </c>
      <c r="AO48" s="259"/>
      <c r="AP48" s="259"/>
      <c r="AQ48" s="610"/>
      <c r="AR48" s="259"/>
      <c r="AS48" s="259" t="s">
        <v>2343</v>
      </c>
      <c r="AT48" s="608"/>
      <c r="AU48" s="259"/>
      <c r="AV48" s="259"/>
      <c r="AW48" s="559"/>
      <c r="AX48" s="559"/>
      <c r="AY48" s="608"/>
      <c r="AZ48" s="556"/>
    </row>
    <row r="49" spans="2:52" s="557" customFormat="1" ht="103.5" hidden="1" customHeight="1">
      <c r="B49" s="608"/>
      <c r="C49" s="266"/>
      <c r="D49" s="1399"/>
      <c r="E49" s="1408"/>
      <c r="F49" s="1400"/>
      <c r="G49" s="267"/>
      <c r="H49" s="1399"/>
      <c r="I49" s="1408"/>
      <c r="J49" s="1400"/>
      <c r="K49" s="1380"/>
      <c r="L49" s="1380"/>
      <c r="M49" s="1380"/>
      <c r="N49" s="608"/>
      <c r="O49" s="608"/>
      <c r="P49" s="608"/>
      <c r="Q49" s="608"/>
      <c r="R49" s="266"/>
      <c r="S49" s="266"/>
      <c r="T49" s="268"/>
      <c r="U49" s="269" t="e">
        <f>VLOOKUP(R49,[71]Listas!$D$6:$E$10,2,0)</f>
        <v>#N/A</v>
      </c>
      <c r="V49" s="269" t="e">
        <f>HLOOKUP(S49,[71]Listas!$F$4:$J$5,2,0)</f>
        <v>#N/A</v>
      </c>
      <c r="W49" s="270" t="e">
        <f>INDEX([71]Listas!$F$6:$J$10,MATCH(R49,[71]Listas!$D$6:$D$10,0),MATCH(S49,[71]Listas!$F$4:$J$4,0))</f>
        <v>#N/A</v>
      </c>
      <c r="X49" s="268"/>
      <c r="Y49" s="1399"/>
      <c r="Z49" s="1408"/>
      <c r="AA49" s="1400"/>
      <c r="AB49" s="1063"/>
      <c r="AC49" s="267"/>
      <c r="AD49" s="259"/>
      <c r="AE49" s="608"/>
      <c r="AF49" s="267"/>
      <c r="AG49" s="268"/>
      <c r="AH49" s="269">
        <f t="shared" si="8"/>
        <v>0</v>
      </c>
      <c r="AI49" s="558" t="e">
        <f t="shared" si="9"/>
        <v>#N/A</v>
      </c>
      <c r="AJ49" s="270" t="e">
        <f>IF(AI49&lt;=1,"Remota",VLOOKUP(AI49,[71]Listas!$C$6:$D$10,2,0))</f>
        <v>#N/A</v>
      </c>
      <c r="AK49" s="558" t="e">
        <f t="shared" si="10"/>
        <v>#N/A</v>
      </c>
      <c r="AL49" s="270" t="e">
        <f>IF(AK49&lt;=1,"Insignificante",HLOOKUP(AK49,[71]Listas!$F$3:$J$4,2,0))</f>
        <v>#N/A</v>
      </c>
      <c r="AM49" s="273" t="e">
        <f t="shared" si="11"/>
        <v>#N/A</v>
      </c>
      <c r="AN49" s="270" t="e">
        <f>INDEX([71]Listas!$F$6:$J$10,MATCH(AJ49,[71]Listas!$D$6:$D$10,0),MATCH(AL49,[71]Listas!$F$4:$J$4,0))</f>
        <v>#N/A</v>
      </c>
      <c r="AO49" s="259"/>
      <c r="AP49" s="259"/>
      <c r="AQ49" s="610"/>
      <c r="AR49" s="259"/>
      <c r="AS49" s="259" t="s">
        <v>2343</v>
      </c>
      <c r="AT49" s="608"/>
      <c r="AU49" s="259"/>
      <c r="AV49" s="259"/>
      <c r="AW49" s="559"/>
      <c r="AX49" s="559"/>
      <c r="AY49" s="608"/>
      <c r="AZ49" s="556"/>
    </row>
    <row r="50" spans="2:52" s="557" customFormat="1" ht="103.5" hidden="1" customHeight="1">
      <c r="B50" s="608"/>
      <c r="C50" s="266"/>
      <c r="D50" s="1399"/>
      <c r="E50" s="1408"/>
      <c r="F50" s="1400"/>
      <c r="G50" s="267"/>
      <c r="H50" s="1399"/>
      <c r="I50" s="1408"/>
      <c r="J50" s="1400"/>
      <c r="K50" s="1380"/>
      <c r="L50" s="1380"/>
      <c r="M50" s="1380"/>
      <c r="N50" s="608"/>
      <c r="O50" s="608"/>
      <c r="P50" s="608"/>
      <c r="Q50" s="608"/>
      <c r="R50" s="266"/>
      <c r="S50" s="266"/>
      <c r="T50" s="268"/>
      <c r="U50" s="269" t="e">
        <f>VLOOKUP(R50,[71]Listas!$D$6:$E$10,2,0)</f>
        <v>#N/A</v>
      </c>
      <c r="V50" s="269" t="e">
        <f>HLOOKUP(S50,[71]Listas!$F$4:$J$5,2,0)</f>
        <v>#N/A</v>
      </c>
      <c r="W50" s="270" t="e">
        <f>INDEX([71]Listas!$F$6:$J$10,MATCH(R50,[71]Listas!$D$6:$D$10,0),MATCH(S50,[71]Listas!$F$4:$J$4,0))</f>
        <v>#N/A</v>
      </c>
      <c r="X50" s="268"/>
      <c r="Y50" s="1399"/>
      <c r="Z50" s="1408"/>
      <c r="AA50" s="1400"/>
      <c r="AB50" s="1063"/>
      <c r="AC50" s="267"/>
      <c r="AD50" s="259"/>
      <c r="AE50" s="608"/>
      <c r="AF50" s="267"/>
      <c r="AG50" s="268"/>
      <c r="AH50" s="269">
        <f t="shared" si="8"/>
        <v>0</v>
      </c>
      <c r="AI50" s="558" t="e">
        <f t="shared" si="9"/>
        <v>#N/A</v>
      </c>
      <c r="AJ50" s="270" t="e">
        <f>IF(AI50&lt;=1,"Remota",VLOOKUP(AI50,[71]Listas!$C$6:$D$10,2,0))</f>
        <v>#N/A</v>
      </c>
      <c r="AK50" s="558" t="e">
        <f t="shared" si="10"/>
        <v>#N/A</v>
      </c>
      <c r="AL50" s="270" t="e">
        <f>IF(AK50&lt;=1,"Insignificante",HLOOKUP(AK50,[71]Listas!$F$3:$J$4,2,0))</f>
        <v>#N/A</v>
      </c>
      <c r="AM50" s="273" t="e">
        <f t="shared" si="11"/>
        <v>#N/A</v>
      </c>
      <c r="AN50" s="270" t="e">
        <f>INDEX([71]Listas!$F$6:$J$10,MATCH(AJ50,[71]Listas!$D$6:$D$10,0),MATCH(AL50,[71]Listas!$F$4:$J$4,0))</f>
        <v>#N/A</v>
      </c>
      <c r="AO50" s="259"/>
      <c r="AP50" s="259"/>
      <c r="AQ50" s="610"/>
      <c r="AR50" s="259"/>
      <c r="AS50" s="259" t="s">
        <v>2343</v>
      </c>
      <c r="AT50" s="608"/>
      <c r="AU50" s="259"/>
      <c r="AV50" s="259"/>
      <c r="AW50" s="559"/>
      <c r="AX50" s="559"/>
      <c r="AY50" s="608"/>
      <c r="AZ50" s="556"/>
    </row>
    <row r="51" spans="2:52" s="557" customFormat="1" ht="103.5" hidden="1" customHeight="1">
      <c r="B51" s="608"/>
      <c r="C51" s="266"/>
      <c r="D51" s="1399"/>
      <c r="E51" s="1408"/>
      <c r="F51" s="1400"/>
      <c r="G51" s="267"/>
      <c r="H51" s="1399"/>
      <c r="I51" s="1408"/>
      <c r="J51" s="1400"/>
      <c r="K51" s="1380"/>
      <c r="L51" s="1380"/>
      <c r="M51" s="1380"/>
      <c r="N51" s="608"/>
      <c r="O51" s="608"/>
      <c r="P51" s="608"/>
      <c r="Q51" s="608"/>
      <c r="R51" s="266"/>
      <c r="S51" s="266"/>
      <c r="T51" s="268"/>
      <c r="U51" s="269" t="e">
        <f>VLOOKUP(R51,[71]Listas!$D$6:$E$10,2,0)</f>
        <v>#N/A</v>
      </c>
      <c r="V51" s="269" t="e">
        <f>HLOOKUP(S51,[71]Listas!$F$4:$J$5,2,0)</f>
        <v>#N/A</v>
      </c>
      <c r="W51" s="270" t="e">
        <f>INDEX([71]Listas!$F$6:$J$10,MATCH(R51,[71]Listas!$D$6:$D$10,0),MATCH(S51,[71]Listas!$F$4:$J$4,0))</f>
        <v>#N/A</v>
      </c>
      <c r="X51" s="268"/>
      <c r="Y51" s="1399"/>
      <c r="Z51" s="1408"/>
      <c r="AA51" s="1400"/>
      <c r="AB51" s="1063"/>
      <c r="AC51" s="267"/>
      <c r="AD51" s="259"/>
      <c r="AE51" s="608"/>
      <c r="AF51" s="267"/>
      <c r="AG51" s="268"/>
      <c r="AH51" s="269">
        <f t="shared" si="8"/>
        <v>0</v>
      </c>
      <c r="AI51" s="558" t="e">
        <f t="shared" si="9"/>
        <v>#N/A</v>
      </c>
      <c r="AJ51" s="270" t="e">
        <f>IF(AI51&lt;=1,"Remota",VLOOKUP(AI51,[71]Listas!$C$6:$D$10,2,0))</f>
        <v>#N/A</v>
      </c>
      <c r="AK51" s="558" t="e">
        <f t="shared" si="10"/>
        <v>#N/A</v>
      </c>
      <c r="AL51" s="270" t="e">
        <f>IF(AK51&lt;=1,"Insignificante",HLOOKUP(AK51,[71]Listas!$F$3:$J$4,2,0))</f>
        <v>#N/A</v>
      </c>
      <c r="AM51" s="273" t="e">
        <f t="shared" si="11"/>
        <v>#N/A</v>
      </c>
      <c r="AN51" s="270" t="e">
        <f>INDEX([71]Listas!$F$6:$J$10,MATCH(AJ51,[71]Listas!$D$6:$D$10,0),MATCH(AL51,[71]Listas!$F$4:$J$4,0))</f>
        <v>#N/A</v>
      </c>
      <c r="AO51" s="259"/>
      <c r="AP51" s="259"/>
      <c r="AQ51" s="610"/>
      <c r="AR51" s="259"/>
      <c r="AS51" s="259" t="s">
        <v>2343</v>
      </c>
      <c r="AT51" s="608"/>
      <c r="AU51" s="259"/>
      <c r="AV51" s="259"/>
      <c r="AW51" s="559"/>
      <c r="AX51" s="559"/>
      <c r="AY51" s="608"/>
      <c r="AZ51" s="556"/>
    </row>
    <row r="52" spans="2:52" s="557" customFormat="1" ht="103.5" hidden="1" customHeight="1">
      <c r="B52" s="608"/>
      <c r="C52" s="266"/>
      <c r="D52" s="1399"/>
      <c r="E52" s="1408"/>
      <c r="F52" s="1400"/>
      <c r="G52" s="267"/>
      <c r="H52" s="1399"/>
      <c r="I52" s="1408"/>
      <c r="J52" s="1400"/>
      <c r="K52" s="1380"/>
      <c r="L52" s="1380"/>
      <c r="M52" s="1380"/>
      <c r="N52" s="608"/>
      <c r="O52" s="608"/>
      <c r="P52" s="608"/>
      <c r="Q52" s="608"/>
      <c r="R52" s="266"/>
      <c r="S52" s="266"/>
      <c r="T52" s="268"/>
      <c r="U52" s="269" t="e">
        <f>VLOOKUP(R52,[71]Listas!$D$6:$E$10,2,0)</f>
        <v>#N/A</v>
      </c>
      <c r="V52" s="269" t="e">
        <f>HLOOKUP(S52,[71]Listas!$F$4:$J$5,2,0)</f>
        <v>#N/A</v>
      </c>
      <c r="W52" s="270" t="e">
        <f>INDEX([71]Listas!$F$6:$J$10,MATCH(R52,[71]Listas!$D$6:$D$10,0),MATCH(S52,[71]Listas!$F$4:$J$4,0))</f>
        <v>#N/A</v>
      </c>
      <c r="X52" s="268"/>
      <c r="Y52" s="1399"/>
      <c r="Z52" s="1408"/>
      <c r="AA52" s="1400"/>
      <c r="AB52" s="1063"/>
      <c r="AC52" s="267"/>
      <c r="AD52" s="259"/>
      <c r="AE52" s="608"/>
      <c r="AF52" s="267"/>
      <c r="AG52" s="268"/>
      <c r="AH52" s="269">
        <f t="shared" si="8"/>
        <v>0</v>
      </c>
      <c r="AI52" s="558" t="e">
        <f t="shared" si="9"/>
        <v>#N/A</v>
      </c>
      <c r="AJ52" s="270" t="e">
        <f>IF(AI52&lt;=1,"Remota",VLOOKUP(AI52,[71]Listas!$C$6:$D$10,2,0))</f>
        <v>#N/A</v>
      </c>
      <c r="AK52" s="558" t="e">
        <f t="shared" si="10"/>
        <v>#N/A</v>
      </c>
      <c r="AL52" s="270" t="e">
        <f>IF(AK52&lt;=1,"Insignificante",HLOOKUP(AK52,[71]Listas!$F$3:$J$4,2,0))</f>
        <v>#N/A</v>
      </c>
      <c r="AM52" s="273" t="e">
        <f t="shared" si="11"/>
        <v>#N/A</v>
      </c>
      <c r="AN52" s="270" t="e">
        <f>INDEX([71]Listas!$F$6:$J$10,MATCH(AJ52,[71]Listas!$D$6:$D$10,0),MATCH(AL52,[71]Listas!$F$4:$J$4,0))</f>
        <v>#N/A</v>
      </c>
      <c r="AO52" s="259"/>
      <c r="AP52" s="259"/>
      <c r="AQ52" s="610"/>
      <c r="AR52" s="259"/>
      <c r="AS52" s="259" t="s">
        <v>2343</v>
      </c>
      <c r="AT52" s="608"/>
      <c r="AU52" s="259"/>
      <c r="AV52" s="259"/>
      <c r="AW52" s="559"/>
      <c r="AX52" s="559"/>
      <c r="AY52" s="608"/>
      <c r="AZ52" s="556"/>
    </row>
    <row r="53" spans="2:52" s="557" customFormat="1" ht="103.5" hidden="1" customHeight="1">
      <c r="B53" s="608"/>
      <c r="C53" s="266"/>
      <c r="D53" s="1399"/>
      <c r="E53" s="1408"/>
      <c r="F53" s="1400"/>
      <c r="G53" s="267"/>
      <c r="H53" s="1399"/>
      <c r="I53" s="1408"/>
      <c r="J53" s="1400"/>
      <c r="K53" s="1380"/>
      <c r="L53" s="1380"/>
      <c r="M53" s="1380"/>
      <c r="N53" s="608"/>
      <c r="O53" s="608"/>
      <c r="P53" s="608"/>
      <c r="Q53" s="608"/>
      <c r="R53" s="266"/>
      <c r="S53" s="266"/>
      <c r="T53" s="268"/>
      <c r="U53" s="269" t="e">
        <f>VLOOKUP(R53,[71]Listas!$D$6:$E$10,2,0)</f>
        <v>#N/A</v>
      </c>
      <c r="V53" s="269" t="e">
        <f>HLOOKUP(S53,[71]Listas!$F$4:$J$5,2,0)</f>
        <v>#N/A</v>
      </c>
      <c r="W53" s="270" t="e">
        <f>INDEX([71]Listas!$F$6:$J$10,MATCH(R53,[71]Listas!$D$6:$D$10,0),MATCH(S53,[71]Listas!$F$4:$J$4,0))</f>
        <v>#N/A</v>
      </c>
      <c r="X53" s="268"/>
      <c r="Y53" s="1399"/>
      <c r="Z53" s="1408"/>
      <c r="AA53" s="1400"/>
      <c r="AB53" s="1063"/>
      <c r="AC53" s="267"/>
      <c r="AD53" s="259"/>
      <c r="AE53" s="608"/>
      <c r="AF53" s="267"/>
      <c r="AG53" s="268"/>
      <c r="AH53" s="269">
        <f t="shared" si="8"/>
        <v>0</v>
      </c>
      <c r="AI53" s="558" t="e">
        <f t="shared" si="9"/>
        <v>#N/A</v>
      </c>
      <c r="AJ53" s="270" t="e">
        <f>IF(AI53&lt;=1,"Remota",VLOOKUP(AI53,[71]Listas!$C$6:$D$10,2,0))</f>
        <v>#N/A</v>
      </c>
      <c r="AK53" s="558" t="e">
        <f t="shared" si="10"/>
        <v>#N/A</v>
      </c>
      <c r="AL53" s="270" t="e">
        <f>IF(AK53&lt;=1,"Insignificante",HLOOKUP(AK53,[71]Listas!$F$3:$J$4,2,0))</f>
        <v>#N/A</v>
      </c>
      <c r="AM53" s="273" t="e">
        <f t="shared" si="11"/>
        <v>#N/A</v>
      </c>
      <c r="AN53" s="270" t="e">
        <f>INDEX([71]Listas!$F$6:$J$10,MATCH(AJ53,[71]Listas!$D$6:$D$10,0),MATCH(AL53,[71]Listas!$F$4:$J$4,0))</f>
        <v>#N/A</v>
      </c>
      <c r="AO53" s="259"/>
      <c r="AP53" s="259"/>
      <c r="AQ53" s="610"/>
      <c r="AR53" s="259"/>
      <c r="AS53" s="259" t="s">
        <v>2343</v>
      </c>
      <c r="AT53" s="608"/>
      <c r="AU53" s="259"/>
      <c r="AV53" s="259"/>
      <c r="AW53" s="559"/>
      <c r="AX53" s="559"/>
      <c r="AY53" s="608"/>
      <c r="AZ53" s="556"/>
    </row>
    <row r="54" spans="2:52" s="557" customFormat="1" ht="103.5" hidden="1" customHeight="1">
      <c r="B54" s="608"/>
      <c r="C54" s="266"/>
      <c r="D54" s="1399"/>
      <c r="E54" s="1408"/>
      <c r="F54" s="1400"/>
      <c r="G54" s="267"/>
      <c r="H54" s="1399"/>
      <c r="I54" s="1408"/>
      <c r="J54" s="1400"/>
      <c r="K54" s="1380"/>
      <c r="L54" s="1380"/>
      <c r="M54" s="1380"/>
      <c r="N54" s="608"/>
      <c r="O54" s="608"/>
      <c r="P54" s="608"/>
      <c r="Q54" s="608"/>
      <c r="R54" s="266"/>
      <c r="S54" s="266"/>
      <c r="T54" s="268"/>
      <c r="U54" s="269" t="e">
        <f>VLOOKUP(R54,[71]Listas!$D$6:$E$10,2,0)</f>
        <v>#N/A</v>
      </c>
      <c r="V54" s="269" t="e">
        <f>HLOOKUP(S54,[71]Listas!$F$4:$J$5,2,0)</f>
        <v>#N/A</v>
      </c>
      <c r="W54" s="270" t="e">
        <f>INDEX([71]Listas!$F$6:$J$10,MATCH(R54,[71]Listas!$D$6:$D$10,0),MATCH(S54,[71]Listas!$F$4:$J$4,0))</f>
        <v>#N/A</v>
      </c>
      <c r="X54" s="268"/>
      <c r="Y54" s="1399"/>
      <c r="Z54" s="1408"/>
      <c r="AA54" s="1400"/>
      <c r="AB54" s="1063"/>
      <c r="AC54" s="267"/>
      <c r="AD54" s="259"/>
      <c r="AE54" s="608"/>
      <c r="AF54" s="267"/>
      <c r="AG54" s="268"/>
      <c r="AH54" s="269">
        <f t="shared" si="8"/>
        <v>0</v>
      </c>
      <c r="AI54" s="558" t="e">
        <f t="shared" si="9"/>
        <v>#N/A</v>
      </c>
      <c r="AJ54" s="270" t="e">
        <f>IF(AI54&lt;=1,"Remota",VLOOKUP(AI54,[71]Listas!$C$6:$D$10,2,0))</f>
        <v>#N/A</v>
      </c>
      <c r="AK54" s="558" t="e">
        <f t="shared" si="10"/>
        <v>#N/A</v>
      </c>
      <c r="AL54" s="270" t="e">
        <f>IF(AK54&lt;=1,"Insignificante",HLOOKUP(AK54,[71]Listas!$F$3:$J$4,2,0))</f>
        <v>#N/A</v>
      </c>
      <c r="AM54" s="273" t="e">
        <f t="shared" si="11"/>
        <v>#N/A</v>
      </c>
      <c r="AN54" s="270" t="e">
        <f>INDEX([71]Listas!$F$6:$J$10,MATCH(AJ54,[71]Listas!$D$6:$D$10,0),MATCH(AL54,[71]Listas!$F$4:$J$4,0))</f>
        <v>#N/A</v>
      </c>
      <c r="AO54" s="259"/>
      <c r="AP54" s="259"/>
      <c r="AQ54" s="610"/>
      <c r="AR54" s="259"/>
      <c r="AS54" s="259" t="s">
        <v>2343</v>
      </c>
      <c r="AT54" s="608"/>
      <c r="AU54" s="259"/>
      <c r="AV54" s="259"/>
      <c r="AW54" s="559"/>
      <c r="AX54" s="559"/>
      <c r="AY54" s="608"/>
      <c r="AZ54" s="556"/>
    </row>
    <row r="55" spans="2:52" s="557" customFormat="1" ht="103.5" hidden="1" customHeight="1">
      <c r="B55" s="608"/>
      <c r="C55" s="266"/>
      <c r="D55" s="1399"/>
      <c r="E55" s="1408"/>
      <c r="F55" s="1400"/>
      <c r="G55" s="267"/>
      <c r="H55" s="1399"/>
      <c r="I55" s="1408"/>
      <c r="J55" s="1400"/>
      <c r="K55" s="1380"/>
      <c r="L55" s="1380"/>
      <c r="M55" s="1380"/>
      <c r="N55" s="608"/>
      <c r="O55" s="608"/>
      <c r="P55" s="608"/>
      <c r="Q55" s="608"/>
      <c r="R55" s="266"/>
      <c r="S55" s="266"/>
      <c r="T55" s="268"/>
      <c r="U55" s="269" t="e">
        <f>VLOOKUP(R55,[71]Listas!$D$6:$E$10,2,0)</f>
        <v>#N/A</v>
      </c>
      <c r="V55" s="269" t="e">
        <f>HLOOKUP(S55,[71]Listas!$F$4:$J$5,2,0)</f>
        <v>#N/A</v>
      </c>
      <c r="W55" s="270" t="e">
        <f>INDEX([71]Listas!$F$6:$J$10,MATCH(R55,[71]Listas!$D$6:$D$10,0),MATCH(S55,[71]Listas!$F$4:$J$4,0))</f>
        <v>#N/A</v>
      </c>
      <c r="X55" s="268"/>
      <c r="Y55" s="1399"/>
      <c r="Z55" s="1408"/>
      <c r="AA55" s="1400"/>
      <c r="AB55" s="1063"/>
      <c r="AC55" s="267"/>
      <c r="AD55" s="259"/>
      <c r="AE55" s="608"/>
      <c r="AF55" s="267"/>
      <c r="AG55" s="268"/>
      <c r="AH55" s="269">
        <f t="shared" si="8"/>
        <v>0</v>
      </c>
      <c r="AI55" s="558" t="e">
        <f t="shared" si="9"/>
        <v>#N/A</v>
      </c>
      <c r="AJ55" s="270" t="e">
        <f>IF(AI55&lt;=1,"Remota",VLOOKUP(AI55,[71]Listas!$C$6:$D$10,2,0))</f>
        <v>#N/A</v>
      </c>
      <c r="AK55" s="558" t="e">
        <f t="shared" si="10"/>
        <v>#N/A</v>
      </c>
      <c r="AL55" s="270" t="e">
        <f>IF(AK55&lt;=1,"Insignificante",HLOOKUP(AK55,[71]Listas!$F$3:$J$4,2,0))</f>
        <v>#N/A</v>
      </c>
      <c r="AM55" s="273" t="e">
        <f t="shared" si="11"/>
        <v>#N/A</v>
      </c>
      <c r="AN55" s="270" t="e">
        <f>INDEX([71]Listas!$F$6:$J$10,MATCH(AJ55,[71]Listas!$D$6:$D$10,0),MATCH(AL55,[71]Listas!$F$4:$J$4,0))</f>
        <v>#N/A</v>
      </c>
      <c r="AO55" s="259"/>
      <c r="AP55" s="259"/>
      <c r="AQ55" s="610"/>
      <c r="AR55" s="259"/>
      <c r="AS55" s="259" t="s">
        <v>2343</v>
      </c>
      <c r="AT55" s="608"/>
      <c r="AU55" s="259"/>
      <c r="AV55" s="259"/>
      <c r="AW55" s="559"/>
      <c r="AX55" s="559"/>
      <c r="AY55" s="608"/>
      <c r="AZ55" s="556"/>
    </row>
    <row r="56" spans="2:52" s="557" customFormat="1" ht="103.5" hidden="1" customHeight="1">
      <c r="B56" s="608"/>
      <c r="C56" s="266"/>
      <c r="D56" s="1399"/>
      <c r="E56" s="1408"/>
      <c r="F56" s="1400"/>
      <c r="G56" s="267"/>
      <c r="H56" s="1399"/>
      <c r="I56" s="1408"/>
      <c r="J56" s="1400"/>
      <c r="K56" s="1380"/>
      <c r="L56" s="1380"/>
      <c r="M56" s="1380"/>
      <c r="N56" s="608"/>
      <c r="O56" s="608"/>
      <c r="P56" s="608"/>
      <c r="Q56" s="608"/>
      <c r="R56" s="266"/>
      <c r="S56" s="266"/>
      <c r="T56" s="268"/>
      <c r="U56" s="269" t="e">
        <f>VLOOKUP(R56,[71]Listas!$D$6:$E$10,2,0)</f>
        <v>#N/A</v>
      </c>
      <c r="V56" s="269" t="e">
        <f>HLOOKUP(S56,[71]Listas!$F$4:$J$5,2,0)</f>
        <v>#N/A</v>
      </c>
      <c r="W56" s="270" t="e">
        <f>INDEX([71]Listas!$F$6:$J$10,MATCH(R56,[71]Listas!$D$6:$D$10,0),MATCH(S56,[71]Listas!$F$4:$J$4,0))</f>
        <v>#N/A</v>
      </c>
      <c r="X56" s="268"/>
      <c r="Y56" s="1399"/>
      <c r="Z56" s="1408"/>
      <c r="AA56" s="1400"/>
      <c r="AB56" s="1063"/>
      <c r="AC56" s="267"/>
      <c r="AD56" s="259"/>
      <c r="AE56" s="608"/>
      <c r="AF56" s="267"/>
      <c r="AG56" s="268"/>
      <c r="AH56" s="269">
        <f t="shared" si="8"/>
        <v>0</v>
      </c>
      <c r="AI56" s="558" t="e">
        <f t="shared" si="9"/>
        <v>#N/A</v>
      </c>
      <c r="AJ56" s="270" t="e">
        <f>IF(AI56&lt;=1,"Remota",VLOOKUP(AI56,[71]Listas!$C$6:$D$10,2,0))</f>
        <v>#N/A</v>
      </c>
      <c r="AK56" s="558" t="e">
        <f t="shared" si="10"/>
        <v>#N/A</v>
      </c>
      <c r="AL56" s="270" t="e">
        <f>IF(AK56&lt;=1,"Insignificante",HLOOKUP(AK56,[71]Listas!$F$3:$J$4,2,0))</f>
        <v>#N/A</v>
      </c>
      <c r="AM56" s="273" t="e">
        <f t="shared" si="11"/>
        <v>#N/A</v>
      </c>
      <c r="AN56" s="270" t="e">
        <f>INDEX([71]Listas!$F$6:$J$10,MATCH(AJ56,[71]Listas!$D$6:$D$10,0),MATCH(AL56,[71]Listas!$F$4:$J$4,0))</f>
        <v>#N/A</v>
      </c>
      <c r="AO56" s="259"/>
      <c r="AP56" s="259"/>
      <c r="AQ56" s="610"/>
      <c r="AR56" s="259"/>
      <c r="AS56" s="259" t="s">
        <v>2343</v>
      </c>
      <c r="AT56" s="608"/>
      <c r="AU56" s="259"/>
      <c r="AV56" s="259"/>
      <c r="AW56" s="559"/>
      <c r="AX56" s="559"/>
      <c r="AY56" s="608"/>
      <c r="AZ56" s="556"/>
    </row>
    <row r="57" spans="2:52" s="557" customFormat="1" ht="103.5" hidden="1" customHeight="1">
      <c r="B57" s="608"/>
      <c r="C57" s="266"/>
      <c r="D57" s="1399"/>
      <c r="E57" s="1408"/>
      <c r="F57" s="1400"/>
      <c r="G57" s="267"/>
      <c r="H57" s="1399"/>
      <c r="I57" s="1408"/>
      <c r="J57" s="1400"/>
      <c r="K57" s="1380"/>
      <c r="L57" s="1380"/>
      <c r="M57" s="1380"/>
      <c r="N57" s="608"/>
      <c r="O57" s="608"/>
      <c r="P57" s="608"/>
      <c r="Q57" s="608"/>
      <c r="R57" s="266"/>
      <c r="S57" s="266"/>
      <c r="T57" s="268"/>
      <c r="U57" s="269" t="e">
        <f>VLOOKUP(R57,[71]Listas!$D$6:$E$10,2,0)</f>
        <v>#N/A</v>
      </c>
      <c r="V57" s="269" t="e">
        <f>HLOOKUP(S57,[71]Listas!$F$4:$J$5,2,0)</f>
        <v>#N/A</v>
      </c>
      <c r="W57" s="270" t="e">
        <f>INDEX([71]Listas!$F$6:$J$10,MATCH(R57,[71]Listas!$D$6:$D$10,0),MATCH(S57,[71]Listas!$F$4:$J$4,0))</f>
        <v>#N/A</v>
      </c>
      <c r="X57" s="268"/>
      <c r="Y57" s="1399"/>
      <c r="Z57" s="1408"/>
      <c r="AA57" s="1400"/>
      <c r="AB57" s="1063"/>
      <c r="AC57" s="267"/>
      <c r="AD57" s="259"/>
      <c r="AE57" s="608"/>
      <c r="AF57" s="267"/>
      <c r="AG57" s="268"/>
      <c r="AH57" s="269">
        <f t="shared" si="8"/>
        <v>0</v>
      </c>
      <c r="AI57" s="558" t="e">
        <f t="shared" si="9"/>
        <v>#N/A</v>
      </c>
      <c r="AJ57" s="270" t="e">
        <f>IF(AI57&lt;=1,"Remota",VLOOKUP(AI57,[71]Listas!$C$6:$D$10,2,0))</f>
        <v>#N/A</v>
      </c>
      <c r="AK57" s="558" t="e">
        <f t="shared" si="10"/>
        <v>#N/A</v>
      </c>
      <c r="AL57" s="270" t="e">
        <f>IF(AK57&lt;=1,"Insignificante",HLOOKUP(AK57,[71]Listas!$F$3:$J$4,2,0))</f>
        <v>#N/A</v>
      </c>
      <c r="AM57" s="273" t="e">
        <f t="shared" si="11"/>
        <v>#N/A</v>
      </c>
      <c r="AN57" s="270" t="e">
        <f>INDEX([71]Listas!$F$6:$J$10,MATCH(AJ57,[71]Listas!$D$6:$D$10,0),MATCH(AL57,[71]Listas!$F$4:$J$4,0))</f>
        <v>#N/A</v>
      </c>
      <c r="AO57" s="259"/>
      <c r="AP57" s="259"/>
      <c r="AQ57" s="610"/>
      <c r="AR57" s="259"/>
      <c r="AS57" s="259" t="s">
        <v>2343</v>
      </c>
      <c r="AT57" s="608"/>
      <c r="AU57" s="259"/>
      <c r="AV57" s="259"/>
      <c r="AW57" s="559"/>
      <c r="AX57" s="559"/>
      <c r="AY57" s="608"/>
      <c r="AZ57" s="556"/>
    </row>
    <row r="58" spans="2:52" s="557" customFormat="1" ht="103.5" hidden="1" customHeight="1">
      <c r="B58" s="608"/>
      <c r="C58" s="266"/>
      <c r="D58" s="1399"/>
      <c r="E58" s="1408"/>
      <c r="F58" s="1400"/>
      <c r="G58" s="267"/>
      <c r="H58" s="1399"/>
      <c r="I58" s="1408"/>
      <c r="J58" s="1400"/>
      <c r="K58" s="1380"/>
      <c r="L58" s="1380"/>
      <c r="M58" s="1380"/>
      <c r="N58" s="608"/>
      <c r="O58" s="608"/>
      <c r="P58" s="608"/>
      <c r="Q58" s="608"/>
      <c r="R58" s="266"/>
      <c r="S58" s="266"/>
      <c r="T58" s="268"/>
      <c r="U58" s="269" t="e">
        <f>VLOOKUP(R58,[71]Listas!$D$6:$E$10,2,0)</f>
        <v>#N/A</v>
      </c>
      <c r="V58" s="269" t="e">
        <f>HLOOKUP(S58,[71]Listas!$F$4:$J$5,2,0)</f>
        <v>#N/A</v>
      </c>
      <c r="W58" s="270" t="e">
        <f>INDEX([71]Listas!$F$6:$J$10,MATCH(R58,[71]Listas!$D$6:$D$10,0),MATCH(S58,[71]Listas!$F$4:$J$4,0))</f>
        <v>#N/A</v>
      </c>
      <c r="X58" s="268"/>
      <c r="Y58" s="1399"/>
      <c r="Z58" s="1408"/>
      <c r="AA58" s="1400"/>
      <c r="AB58" s="1063"/>
      <c r="AC58" s="267"/>
      <c r="AD58" s="259"/>
      <c r="AE58" s="608"/>
      <c r="AF58" s="267"/>
      <c r="AG58" s="268"/>
      <c r="AH58" s="269">
        <f t="shared" si="8"/>
        <v>0</v>
      </c>
      <c r="AI58" s="558" t="e">
        <f t="shared" si="9"/>
        <v>#N/A</v>
      </c>
      <c r="AJ58" s="270" t="e">
        <f>IF(AI58&lt;=1,"Remota",VLOOKUP(AI58,[71]Listas!$C$6:$D$10,2,0))</f>
        <v>#N/A</v>
      </c>
      <c r="AK58" s="558" t="e">
        <f t="shared" si="10"/>
        <v>#N/A</v>
      </c>
      <c r="AL58" s="270" t="e">
        <f>IF(AK58&lt;=1,"Insignificante",HLOOKUP(AK58,[71]Listas!$F$3:$J$4,2,0))</f>
        <v>#N/A</v>
      </c>
      <c r="AM58" s="273" t="e">
        <f t="shared" si="11"/>
        <v>#N/A</v>
      </c>
      <c r="AN58" s="270" t="e">
        <f>INDEX([71]Listas!$F$6:$J$10,MATCH(AJ58,[71]Listas!$D$6:$D$10,0),MATCH(AL58,[71]Listas!$F$4:$J$4,0))</f>
        <v>#N/A</v>
      </c>
      <c r="AO58" s="259"/>
      <c r="AP58" s="259"/>
      <c r="AQ58" s="610"/>
      <c r="AR58" s="259"/>
      <c r="AS58" s="259" t="s">
        <v>2343</v>
      </c>
      <c r="AT58" s="608"/>
      <c r="AU58" s="259"/>
      <c r="AV58" s="259"/>
      <c r="AW58" s="559"/>
      <c r="AX58" s="559"/>
      <c r="AY58" s="608"/>
      <c r="AZ58" s="556"/>
    </row>
    <row r="59" spans="2:52" s="557" customFormat="1" ht="103.5" hidden="1" customHeight="1">
      <c r="B59" s="608"/>
      <c r="C59" s="266"/>
      <c r="D59" s="1399"/>
      <c r="E59" s="1408"/>
      <c r="F59" s="1400"/>
      <c r="G59" s="267"/>
      <c r="H59" s="1399"/>
      <c r="I59" s="1408"/>
      <c r="J59" s="1400"/>
      <c r="K59" s="1380"/>
      <c r="L59" s="1380"/>
      <c r="M59" s="1380"/>
      <c r="N59" s="608"/>
      <c r="O59" s="608"/>
      <c r="P59" s="608"/>
      <c r="Q59" s="608"/>
      <c r="R59" s="266"/>
      <c r="S59" s="266"/>
      <c r="T59" s="268"/>
      <c r="U59" s="269" t="e">
        <f>VLOOKUP(R59,[71]Listas!$D$6:$E$10,2,0)</f>
        <v>#N/A</v>
      </c>
      <c r="V59" s="269" t="e">
        <f>HLOOKUP(S59,[71]Listas!$F$4:$J$5,2,0)</f>
        <v>#N/A</v>
      </c>
      <c r="W59" s="270" t="e">
        <f>INDEX([71]Listas!$F$6:$J$10,MATCH(R59,[71]Listas!$D$6:$D$10,0),MATCH(S59,[71]Listas!$F$4:$J$4,0))</f>
        <v>#N/A</v>
      </c>
      <c r="X59" s="268"/>
      <c r="Y59" s="1399"/>
      <c r="Z59" s="1408"/>
      <c r="AA59" s="1400"/>
      <c r="AB59" s="1063"/>
      <c r="AC59" s="267"/>
      <c r="AD59" s="259"/>
      <c r="AE59" s="608"/>
      <c r="AF59" s="267"/>
      <c r="AG59" s="268"/>
      <c r="AH59" s="269">
        <f t="shared" si="8"/>
        <v>0</v>
      </c>
      <c r="AI59" s="558" t="e">
        <f t="shared" si="9"/>
        <v>#N/A</v>
      </c>
      <c r="AJ59" s="270" t="e">
        <f>IF(AI59&lt;=1,"Remota",VLOOKUP(AI59,[71]Listas!$C$6:$D$10,2,0))</f>
        <v>#N/A</v>
      </c>
      <c r="AK59" s="558" t="e">
        <f t="shared" si="10"/>
        <v>#N/A</v>
      </c>
      <c r="AL59" s="270" t="e">
        <f>IF(AK59&lt;=1,"Insignificante",HLOOKUP(AK59,[71]Listas!$F$3:$J$4,2,0))</f>
        <v>#N/A</v>
      </c>
      <c r="AM59" s="273" t="e">
        <f t="shared" si="11"/>
        <v>#N/A</v>
      </c>
      <c r="AN59" s="270" t="e">
        <f>INDEX([71]Listas!$F$6:$J$10,MATCH(AJ59,[71]Listas!$D$6:$D$10,0),MATCH(AL59,[71]Listas!$F$4:$J$4,0))</f>
        <v>#N/A</v>
      </c>
      <c r="AO59" s="259"/>
      <c r="AP59" s="259"/>
      <c r="AQ59" s="610"/>
      <c r="AR59" s="259"/>
      <c r="AS59" s="259" t="s">
        <v>2343</v>
      </c>
      <c r="AT59" s="608"/>
      <c r="AU59" s="259"/>
      <c r="AV59" s="259"/>
      <c r="AW59" s="559"/>
      <c r="AX59" s="559"/>
      <c r="AY59" s="608"/>
      <c r="AZ59" s="556"/>
    </row>
    <row r="60" spans="2:52" s="557" customFormat="1" ht="103.5" hidden="1" customHeight="1">
      <c r="B60" s="608"/>
      <c r="C60" s="266"/>
      <c r="D60" s="1399"/>
      <c r="E60" s="1408"/>
      <c r="F60" s="1400"/>
      <c r="G60" s="267"/>
      <c r="H60" s="1399"/>
      <c r="I60" s="1408"/>
      <c r="J60" s="1400"/>
      <c r="K60" s="1380"/>
      <c r="L60" s="1380"/>
      <c r="M60" s="1380"/>
      <c r="N60" s="608"/>
      <c r="O60" s="608"/>
      <c r="P60" s="608"/>
      <c r="Q60" s="608"/>
      <c r="R60" s="266"/>
      <c r="S60" s="266"/>
      <c r="T60" s="268"/>
      <c r="U60" s="269" t="e">
        <f>VLOOKUP(R60,[71]Listas!$D$6:$E$10,2,0)</f>
        <v>#N/A</v>
      </c>
      <c r="V60" s="269" t="e">
        <f>HLOOKUP(S60,[71]Listas!$F$4:$J$5,2,0)</f>
        <v>#N/A</v>
      </c>
      <c r="W60" s="270" t="e">
        <f>INDEX([71]Listas!$F$6:$J$10,MATCH(R60,[71]Listas!$D$6:$D$10,0),MATCH(S60,[71]Listas!$F$4:$J$4,0))</f>
        <v>#N/A</v>
      </c>
      <c r="X60" s="268"/>
      <c r="Y60" s="1399"/>
      <c r="Z60" s="1408"/>
      <c r="AA60" s="1400"/>
      <c r="AB60" s="1063"/>
      <c r="AC60" s="267"/>
      <c r="AD60" s="259"/>
      <c r="AE60" s="608"/>
      <c r="AF60" s="267"/>
      <c r="AG60" s="268"/>
      <c r="AH60" s="269">
        <f t="shared" si="8"/>
        <v>0</v>
      </c>
      <c r="AI60" s="558" t="e">
        <f t="shared" si="9"/>
        <v>#N/A</v>
      </c>
      <c r="AJ60" s="270" t="e">
        <f>IF(AI60&lt;=1,"Remota",VLOOKUP(AI60,[71]Listas!$C$6:$D$10,2,0))</f>
        <v>#N/A</v>
      </c>
      <c r="AK60" s="558" t="e">
        <f t="shared" si="10"/>
        <v>#N/A</v>
      </c>
      <c r="AL60" s="270" t="e">
        <f>IF(AK60&lt;=1,"Insignificante",HLOOKUP(AK60,[71]Listas!$F$3:$J$4,2,0))</f>
        <v>#N/A</v>
      </c>
      <c r="AM60" s="273" t="e">
        <f t="shared" si="11"/>
        <v>#N/A</v>
      </c>
      <c r="AN60" s="270" t="e">
        <f>INDEX([71]Listas!$F$6:$J$10,MATCH(AJ60,[71]Listas!$D$6:$D$10,0),MATCH(AL60,[71]Listas!$F$4:$J$4,0))</f>
        <v>#N/A</v>
      </c>
      <c r="AO60" s="259"/>
      <c r="AP60" s="259"/>
      <c r="AQ60" s="610"/>
      <c r="AR60" s="259"/>
      <c r="AS60" s="259" t="s">
        <v>2343</v>
      </c>
      <c r="AT60" s="608"/>
      <c r="AU60" s="259"/>
      <c r="AV60" s="259"/>
      <c r="AW60" s="559"/>
      <c r="AX60" s="559"/>
      <c r="AY60" s="608"/>
      <c r="AZ60" s="556"/>
    </row>
    <row r="61" spans="2:52" s="557" customFormat="1" ht="103.5" hidden="1" customHeight="1">
      <c r="B61" s="608"/>
      <c r="C61" s="266"/>
      <c r="D61" s="1399"/>
      <c r="E61" s="1408"/>
      <c r="F61" s="1400"/>
      <c r="G61" s="267"/>
      <c r="H61" s="1399"/>
      <c r="I61" s="1408"/>
      <c r="J61" s="1400"/>
      <c r="K61" s="1380"/>
      <c r="L61" s="1380"/>
      <c r="M61" s="1380"/>
      <c r="N61" s="608"/>
      <c r="O61" s="608"/>
      <c r="P61" s="608"/>
      <c r="Q61" s="608"/>
      <c r="R61" s="266"/>
      <c r="S61" s="266"/>
      <c r="T61" s="268"/>
      <c r="U61" s="269" t="e">
        <f>VLOOKUP(R61,[71]Listas!$D$6:$E$10,2,0)</f>
        <v>#N/A</v>
      </c>
      <c r="V61" s="269" t="e">
        <f>HLOOKUP(S61,[71]Listas!$F$4:$J$5,2,0)</f>
        <v>#N/A</v>
      </c>
      <c r="W61" s="270" t="e">
        <f>INDEX([71]Listas!$F$6:$J$10,MATCH(R61,[71]Listas!$D$6:$D$10,0),MATCH(S61,[71]Listas!$F$4:$J$4,0))</f>
        <v>#N/A</v>
      </c>
      <c r="X61" s="268"/>
      <c r="Y61" s="1399"/>
      <c r="Z61" s="1408"/>
      <c r="AA61" s="1400"/>
      <c r="AB61" s="1063"/>
      <c r="AC61" s="267"/>
      <c r="AD61" s="259"/>
      <c r="AE61" s="608"/>
      <c r="AF61" s="267"/>
      <c r="AG61" s="268"/>
      <c r="AH61" s="269">
        <f t="shared" si="8"/>
        <v>0</v>
      </c>
      <c r="AI61" s="558" t="e">
        <f t="shared" si="9"/>
        <v>#N/A</v>
      </c>
      <c r="AJ61" s="270" t="e">
        <f>IF(AI61&lt;=1,"Remota",VLOOKUP(AI61,[71]Listas!$C$6:$D$10,2,0))</f>
        <v>#N/A</v>
      </c>
      <c r="AK61" s="558" t="e">
        <f t="shared" si="10"/>
        <v>#N/A</v>
      </c>
      <c r="AL61" s="270" t="e">
        <f>IF(AK61&lt;=1,"Insignificante",HLOOKUP(AK61,[71]Listas!$F$3:$J$4,2,0))</f>
        <v>#N/A</v>
      </c>
      <c r="AM61" s="273" t="e">
        <f t="shared" si="11"/>
        <v>#N/A</v>
      </c>
      <c r="AN61" s="270" t="e">
        <f>INDEX([71]Listas!$F$6:$J$10,MATCH(AJ61,[71]Listas!$D$6:$D$10,0),MATCH(AL61,[71]Listas!$F$4:$J$4,0))</f>
        <v>#N/A</v>
      </c>
      <c r="AO61" s="259"/>
      <c r="AP61" s="259"/>
      <c r="AQ61" s="610"/>
      <c r="AR61" s="259"/>
      <c r="AS61" s="259" t="s">
        <v>2343</v>
      </c>
      <c r="AT61" s="608"/>
      <c r="AU61" s="259"/>
      <c r="AV61" s="259"/>
      <c r="AW61" s="559"/>
      <c r="AX61" s="559"/>
      <c r="AY61" s="608"/>
      <c r="AZ61" s="556"/>
    </row>
    <row r="62" spans="2:52" s="557" customFormat="1" ht="103.5" hidden="1" customHeight="1">
      <c r="B62" s="608"/>
      <c r="C62" s="266"/>
      <c r="D62" s="1399"/>
      <c r="E62" s="1408"/>
      <c r="F62" s="1400"/>
      <c r="G62" s="267"/>
      <c r="H62" s="1399"/>
      <c r="I62" s="1408"/>
      <c r="J62" s="1400"/>
      <c r="K62" s="1380"/>
      <c r="L62" s="1380"/>
      <c r="M62" s="1380"/>
      <c r="N62" s="608"/>
      <c r="O62" s="608"/>
      <c r="P62" s="608"/>
      <c r="Q62" s="608"/>
      <c r="R62" s="266"/>
      <c r="S62" s="266"/>
      <c r="T62" s="268"/>
      <c r="U62" s="269" t="e">
        <f>VLOOKUP(R62,[71]Listas!$D$6:$E$10,2,0)</f>
        <v>#N/A</v>
      </c>
      <c r="V62" s="269" t="e">
        <f>HLOOKUP(S62,[71]Listas!$F$4:$J$5,2,0)</f>
        <v>#N/A</v>
      </c>
      <c r="W62" s="270" t="e">
        <f>INDEX([71]Listas!$F$6:$J$10,MATCH(R62,[71]Listas!$D$6:$D$10,0),MATCH(S62,[71]Listas!$F$4:$J$4,0))</f>
        <v>#N/A</v>
      </c>
      <c r="X62" s="268"/>
      <c r="Y62" s="1399"/>
      <c r="Z62" s="1408"/>
      <c r="AA62" s="1400"/>
      <c r="AB62" s="1063"/>
      <c r="AC62" s="267"/>
      <c r="AD62" s="259"/>
      <c r="AE62" s="608"/>
      <c r="AF62" s="267"/>
      <c r="AG62" s="268"/>
      <c r="AH62" s="269">
        <f t="shared" si="8"/>
        <v>0</v>
      </c>
      <c r="AI62" s="558" t="e">
        <f t="shared" si="9"/>
        <v>#N/A</v>
      </c>
      <c r="AJ62" s="270" t="e">
        <f>IF(AI62&lt;=1,"Remota",VLOOKUP(AI62,[71]Listas!$C$6:$D$10,2,0))</f>
        <v>#N/A</v>
      </c>
      <c r="AK62" s="558" t="e">
        <f t="shared" si="10"/>
        <v>#N/A</v>
      </c>
      <c r="AL62" s="270" t="e">
        <f>IF(AK62&lt;=1,"Insignificante",HLOOKUP(AK62,[71]Listas!$F$3:$J$4,2,0))</f>
        <v>#N/A</v>
      </c>
      <c r="AM62" s="273" t="e">
        <f t="shared" si="11"/>
        <v>#N/A</v>
      </c>
      <c r="AN62" s="270" t="e">
        <f>INDEX([71]Listas!$F$6:$J$10,MATCH(AJ62,[71]Listas!$D$6:$D$10,0),MATCH(AL62,[71]Listas!$F$4:$J$4,0))</f>
        <v>#N/A</v>
      </c>
      <c r="AO62" s="259"/>
      <c r="AP62" s="259"/>
      <c r="AQ62" s="610"/>
      <c r="AR62" s="259"/>
      <c r="AS62" s="259" t="s">
        <v>2343</v>
      </c>
      <c r="AT62" s="608"/>
      <c r="AU62" s="259"/>
      <c r="AV62" s="259"/>
      <c r="AW62" s="559"/>
      <c r="AX62" s="559"/>
      <c r="AY62" s="608"/>
      <c r="AZ62" s="556"/>
    </row>
    <row r="63" spans="2:52" s="557" customFormat="1" ht="103.5" hidden="1" customHeight="1">
      <c r="B63" s="608"/>
      <c r="C63" s="266"/>
      <c r="D63" s="1399"/>
      <c r="E63" s="1408"/>
      <c r="F63" s="1400"/>
      <c r="G63" s="267"/>
      <c r="H63" s="1399"/>
      <c r="I63" s="1408"/>
      <c r="J63" s="1400"/>
      <c r="K63" s="1380"/>
      <c r="L63" s="1380"/>
      <c r="M63" s="1380"/>
      <c r="N63" s="608"/>
      <c r="O63" s="608"/>
      <c r="P63" s="608"/>
      <c r="Q63" s="608"/>
      <c r="R63" s="266"/>
      <c r="S63" s="266"/>
      <c r="T63" s="268"/>
      <c r="U63" s="269" t="e">
        <f>VLOOKUP(R63,[71]Listas!$D$6:$E$10,2,0)</f>
        <v>#N/A</v>
      </c>
      <c r="V63" s="269" t="e">
        <f>HLOOKUP(S63,[71]Listas!$F$4:$J$5,2,0)</f>
        <v>#N/A</v>
      </c>
      <c r="W63" s="270" t="e">
        <f>INDEX([71]Listas!$F$6:$J$10,MATCH(R63,[71]Listas!$D$6:$D$10,0),MATCH(S63,[71]Listas!$F$4:$J$4,0))</f>
        <v>#N/A</v>
      </c>
      <c r="X63" s="268"/>
      <c r="Y63" s="1399"/>
      <c r="Z63" s="1408"/>
      <c r="AA63" s="1400"/>
      <c r="AB63" s="1063"/>
      <c r="AC63" s="267"/>
      <c r="AD63" s="259"/>
      <c r="AE63" s="608"/>
      <c r="AF63" s="267"/>
      <c r="AG63" s="268"/>
      <c r="AH63" s="269">
        <f t="shared" si="8"/>
        <v>0</v>
      </c>
      <c r="AI63" s="558" t="e">
        <f t="shared" si="9"/>
        <v>#N/A</v>
      </c>
      <c r="AJ63" s="270" t="e">
        <f>IF(AI63&lt;=1,"Remota",VLOOKUP(AI63,[71]Listas!$C$6:$D$10,2,0))</f>
        <v>#N/A</v>
      </c>
      <c r="AK63" s="558" t="e">
        <f t="shared" si="10"/>
        <v>#N/A</v>
      </c>
      <c r="AL63" s="270" t="e">
        <f>IF(AK63&lt;=1,"Insignificante",HLOOKUP(AK63,[71]Listas!$F$3:$J$4,2,0))</f>
        <v>#N/A</v>
      </c>
      <c r="AM63" s="273" t="e">
        <f t="shared" si="11"/>
        <v>#N/A</v>
      </c>
      <c r="AN63" s="270" t="e">
        <f>INDEX([71]Listas!$F$6:$J$10,MATCH(AJ63,[71]Listas!$D$6:$D$10,0),MATCH(AL63,[71]Listas!$F$4:$J$4,0))</f>
        <v>#N/A</v>
      </c>
      <c r="AO63" s="259"/>
      <c r="AP63" s="259"/>
      <c r="AQ63" s="610"/>
      <c r="AR63" s="259"/>
      <c r="AS63" s="259" t="s">
        <v>2343</v>
      </c>
      <c r="AT63" s="608"/>
      <c r="AU63" s="259"/>
      <c r="AV63" s="259"/>
      <c r="AW63" s="559"/>
      <c r="AX63" s="559"/>
      <c r="AY63" s="608"/>
      <c r="AZ63" s="556"/>
    </row>
    <row r="64" spans="2:52" s="557" customFormat="1" ht="103.5" hidden="1" customHeight="1">
      <c r="B64" s="608"/>
      <c r="C64" s="266"/>
      <c r="D64" s="1399"/>
      <c r="E64" s="1408"/>
      <c r="F64" s="1400"/>
      <c r="G64" s="267"/>
      <c r="H64" s="1399"/>
      <c r="I64" s="1408"/>
      <c r="J64" s="1400"/>
      <c r="K64" s="1380"/>
      <c r="L64" s="1380"/>
      <c r="M64" s="1380"/>
      <c r="N64" s="608"/>
      <c r="O64" s="608"/>
      <c r="P64" s="608"/>
      <c r="Q64" s="608"/>
      <c r="R64" s="266"/>
      <c r="S64" s="266"/>
      <c r="T64" s="268"/>
      <c r="U64" s="269" t="e">
        <f>VLOOKUP(R64,[71]Listas!$D$6:$E$10,2,0)</f>
        <v>#N/A</v>
      </c>
      <c r="V64" s="269" t="e">
        <f>HLOOKUP(S64,[71]Listas!$F$4:$J$5,2,0)</f>
        <v>#N/A</v>
      </c>
      <c r="W64" s="270" t="e">
        <f>INDEX([71]Listas!$F$6:$J$10,MATCH(R64,[71]Listas!$D$6:$D$10,0),MATCH(S64,[71]Listas!$F$4:$J$4,0))</f>
        <v>#N/A</v>
      </c>
      <c r="X64" s="268"/>
      <c r="Y64" s="1399"/>
      <c r="Z64" s="1408"/>
      <c r="AA64" s="1400"/>
      <c r="AB64" s="1063"/>
      <c r="AC64" s="267"/>
      <c r="AD64" s="259"/>
      <c r="AE64" s="608"/>
      <c r="AF64" s="267"/>
      <c r="AG64" s="268"/>
      <c r="AH64" s="269">
        <f t="shared" si="8"/>
        <v>0</v>
      </c>
      <c r="AI64" s="558" t="e">
        <f t="shared" si="9"/>
        <v>#N/A</v>
      </c>
      <c r="AJ64" s="270" t="e">
        <f>IF(AI64&lt;=1,"Remota",VLOOKUP(AI64,[71]Listas!$C$6:$D$10,2,0))</f>
        <v>#N/A</v>
      </c>
      <c r="AK64" s="558" t="e">
        <f t="shared" si="10"/>
        <v>#N/A</v>
      </c>
      <c r="AL64" s="270" t="e">
        <f>IF(AK64&lt;=1,"Insignificante",HLOOKUP(AK64,[71]Listas!$F$3:$J$4,2,0))</f>
        <v>#N/A</v>
      </c>
      <c r="AM64" s="273" t="e">
        <f t="shared" si="11"/>
        <v>#N/A</v>
      </c>
      <c r="AN64" s="270" t="e">
        <f>INDEX([71]Listas!$F$6:$J$10,MATCH(AJ64,[71]Listas!$D$6:$D$10,0),MATCH(AL64,[71]Listas!$F$4:$J$4,0))</f>
        <v>#N/A</v>
      </c>
      <c r="AO64" s="259"/>
      <c r="AP64" s="259"/>
      <c r="AQ64" s="610"/>
      <c r="AR64" s="259"/>
      <c r="AS64" s="259" t="s">
        <v>2343</v>
      </c>
      <c r="AT64" s="608"/>
      <c r="AU64" s="259"/>
      <c r="AV64" s="259"/>
      <c r="AW64" s="559"/>
      <c r="AX64" s="559"/>
      <c r="AY64" s="608"/>
      <c r="AZ64" s="556"/>
    </row>
    <row r="65" spans="2:52" s="557" customFormat="1" ht="103.5" hidden="1" customHeight="1">
      <c r="B65" s="608"/>
      <c r="C65" s="266"/>
      <c r="D65" s="1399"/>
      <c r="E65" s="1408"/>
      <c r="F65" s="1400"/>
      <c r="G65" s="266"/>
      <c r="H65" s="1399"/>
      <c r="I65" s="1408"/>
      <c r="J65" s="1400"/>
      <c r="K65" s="1380"/>
      <c r="L65" s="1380"/>
      <c r="M65" s="1380"/>
      <c r="N65" s="608"/>
      <c r="O65" s="608"/>
      <c r="P65" s="608"/>
      <c r="Q65" s="608"/>
      <c r="R65" s="266"/>
      <c r="S65" s="266"/>
      <c r="T65" s="268"/>
      <c r="U65" s="269" t="e">
        <f>VLOOKUP(R65,[71]Listas!$D$6:$E$10,2,0)</f>
        <v>#N/A</v>
      </c>
      <c r="V65" s="269" t="e">
        <f>HLOOKUP(S65,[71]Listas!$F$4:$J$5,2,0)</f>
        <v>#N/A</v>
      </c>
      <c r="W65" s="270" t="e">
        <f>INDEX([71]Listas!$F$6:$J$10,MATCH(R65,[71]Listas!$D$6:$D$10,0),MATCH(S65,[71]Listas!$F$4:$J$4,0))</f>
        <v>#N/A</v>
      </c>
      <c r="X65" s="268"/>
      <c r="Y65" s="1399"/>
      <c r="Z65" s="1408"/>
      <c r="AA65" s="1400"/>
      <c r="AB65" s="1063"/>
      <c r="AC65" s="267"/>
      <c r="AD65" s="259"/>
      <c r="AE65" s="608"/>
      <c r="AF65" s="267"/>
      <c r="AG65" s="268"/>
      <c r="AH65" s="269">
        <f>IF(AE65&lt;=33,0,IF(AE65&gt;81,2,1))</f>
        <v>0</v>
      </c>
      <c r="AI65" s="558" t="e">
        <f>IF(OR(AF65="Probabilidad",AF65="Ambos"),U65-AH65,U65)</f>
        <v>#N/A</v>
      </c>
      <c r="AJ65" s="270" t="e">
        <f>IF(AI65&lt;=1,"Remota",VLOOKUP(AI65,[71]Listas!$C$6:$D$10,2,0))</f>
        <v>#N/A</v>
      </c>
      <c r="AK65" s="558" t="e">
        <f>IF(OR(AF65="Impacto",AF65="Ambos"),V65-AH65,V65)</f>
        <v>#N/A</v>
      </c>
      <c r="AL65" s="270" t="e">
        <f>IF(AK65&lt;=1,"Insignificante",HLOOKUP(AK65,[71]Listas!$F$3:$J$4,2,0))</f>
        <v>#N/A</v>
      </c>
      <c r="AM65" s="273" t="e">
        <f>AI65*AK65</f>
        <v>#N/A</v>
      </c>
      <c r="AN65" s="270" t="e">
        <f>INDEX([71]Listas!$F$6:$J$10,MATCH(AJ65,[71]Listas!$D$6:$D$10,0),MATCH(AL65,[71]Listas!$F$4:$J$4,0))</f>
        <v>#N/A</v>
      </c>
      <c r="AO65" s="259"/>
      <c r="AP65" s="259"/>
      <c r="AQ65" s="610"/>
      <c r="AR65" s="259"/>
      <c r="AS65" s="259" t="s">
        <v>2343</v>
      </c>
      <c r="AT65" s="608"/>
      <c r="AV65" s="259"/>
      <c r="AW65" s="559"/>
      <c r="AX65" s="559"/>
      <c r="AY65" s="608"/>
      <c r="AZ65" s="556"/>
    </row>
    <row r="66" spans="2:52" s="557" customFormat="1" ht="103.5" hidden="1" customHeight="1">
      <c r="B66" s="608"/>
      <c r="C66" s="266"/>
      <c r="D66" s="1399"/>
      <c r="E66" s="1408"/>
      <c r="F66" s="1400"/>
      <c r="G66" s="267"/>
      <c r="H66" s="1399"/>
      <c r="I66" s="1408"/>
      <c r="J66" s="1400"/>
      <c r="K66" s="1380"/>
      <c r="L66" s="1380"/>
      <c r="M66" s="1380"/>
      <c r="N66" s="608"/>
      <c r="O66" s="608"/>
      <c r="P66" s="608"/>
      <c r="Q66" s="608"/>
      <c r="R66" s="266"/>
      <c r="S66" s="266"/>
      <c r="T66" s="268"/>
      <c r="U66" s="269" t="e">
        <f>VLOOKUP(R66,[71]Listas!$D$6:$E$10,2,0)</f>
        <v>#N/A</v>
      </c>
      <c r="V66" s="269" t="e">
        <f>HLOOKUP(S66,[71]Listas!$F$4:$J$5,2,0)</f>
        <v>#N/A</v>
      </c>
      <c r="W66" s="270" t="e">
        <f>INDEX([71]Listas!$F$6:$J$10,MATCH(R66,[71]Listas!$D$6:$D$10,0),MATCH(S66,[71]Listas!$F$4:$J$4,0))</f>
        <v>#N/A</v>
      </c>
      <c r="X66" s="268"/>
      <c r="Y66" s="1399"/>
      <c r="Z66" s="1408"/>
      <c r="AA66" s="1400"/>
      <c r="AB66" s="1063"/>
      <c r="AC66" s="267"/>
      <c r="AD66" s="259"/>
      <c r="AE66" s="608"/>
      <c r="AF66" s="267"/>
      <c r="AG66" s="268"/>
      <c r="AH66" s="269">
        <f t="shared" ref="AH66:AH129" si="12">IF(AE66&lt;=33,0,IF(AE66&gt;81,2,1))</f>
        <v>0</v>
      </c>
      <c r="AI66" s="558" t="e">
        <f t="shared" ref="AI66:AI129" si="13">IF(OR(AF66="Probabilidad",AF66="Ambos"),U66-AH66,U66)</f>
        <v>#N/A</v>
      </c>
      <c r="AJ66" s="270" t="e">
        <f>IF(AI66&lt;=1,"Remota",VLOOKUP(AI66,[71]Listas!$C$6:$D$10,2,0))</f>
        <v>#N/A</v>
      </c>
      <c r="AK66" s="558" t="e">
        <f t="shared" ref="AK66:AK129" si="14">IF(OR(AF66="Impacto",AF66="Ambos"),V66-AH66,V66)</f>
        <v>#N/A</v>
      </c>
      <c r="AL66" s="270" t="e">
        <f>IF(AK66&lt;=1,"Insignificante",HLOOKUP(AK66,[71]Listas!$F$3:$J$4,2,0))</f>
        <v>#N/A</v>
      </c>
      <c r="AM66" s="273" t="e">
        <f t="shared" ref="AM66:AM129" si="15">AI66*AK66</f>
        <v>#N/A</v>
      </c>
      <c r="AN66" s="270" t="e">
        <f>INDEX([71]Listas!$F$6:$J$10,MATCH(AJ66,[71]Listas!$D$6:$D$10,0),MATCH(AL66,[71]Listas!$F$4:$J$4,0))</f>
        <v>#N/A</v>
      </c>
      <c r="AO66" s="259"/>
      <c r="AP66" s="259"/>
      <c r="AQ66" s="610"/>
      <c r="AR66" s="259"/>
      <c r="AS66" s="259" t="s">
        <v>2343</v>
      </c>
      <c r="AT66" s="608"/>
      <c r="AU66" s="259"/>
      <c r="AV66" s="259"/>
      <c r="AW66" s="559"/>
      <c r="AX66" s="559"/>
      <c r="AY66" s="608"/>
      <c r="AZ66" s="556"/>
    </row>
    <row r="67" spans="2:52" s="557" customFormat="1" ht="103.5" hidden="1" customHeight="1">
      <c r="B67" s="608"/>
      <c r="C67" s="266"/>
      <c r="D67" s="1399"/>
      <c r="E67" s="1408"/>
      <c r="F67" s="1400"/>
      <c r="G67" s="267"/>
      <c r="H67" s="1399"/>
      <c r="I67" s="1408"/>
      <c r="J67" s="1400"/>
      <c r="K67" s="1380"/>
      <c r="L67" s="1380"/>
      <c r="M67" s="1380"/>
      <c r="N67" s="608"/>
      <c r="O67" s="608"/>
      <c r="P67" s="608"/>
      <c r="Q67" s="608"/>
      <c r="R67" s="266"/>
      <c r="S67" s="266"/>
      <c r="T67" s="268"/>
      <c r="U67" s="269" t="e">
        <f>VLOOKUP(R67,[71]Listas!$D$6:$E$10,2,0)</f>
        <v>#N/A</v>
      </c>
      <c r="V67" s="269" t="e">
        <f>HLOOKUP(S67,[71]Listas!$F$4:$J$5,2,0)</f>
        <v>#N/A</v>
      </c>
      <c r="W67" s="270" t="e">
        <f>INDEX([71]Listas!$F$6:$J$10,MATCH(R67,[71]Listas!$D$6:$D$10,0),MATCH(S67,[71]Listas!$F$4:$J$4,0))</f>
        <v>#N/A</v>
      </c>
      <c r="X67" s="268"/>
      <c r="Y67" s="1399"/>
      <c r="Z67" s="1408"/>
      <c r="AA67" s="1400"/>
      <c r="AB67" s="1063"/>
      <c r="AC67" s="267"/>
      <c r="AD67" s="259"/>
      <c r="AE67" s="608"/>
      <c r="AF67" s="267"/>
      <c r="AG67" s="268"/>
      <c r="AH67" s="269">
        <f t="shared" si="12"/>
        <v>0</v>
      </c>
      <c r="AI67" s="558" t="e">
        <f t="shared" si="13"/>
        <v>#N/A</v>
      </c>
      <c r="AJ67" s="270" t="e">
        <f>IF(AI67&lt;=1,"Remota",VLOOKUP(AI67,[71]Listas!$C$6:$D$10,2,0))</f>
        <v>#N/A</v>
      </c>
      <c r="AK67" s="558" t="e">
        <f t="shared" si="14"/>
        <v>#N/A</v>
      </c>
      <c r="AL67" s="270" t="e">
        <f>IF(AK67&lt;=1,"Insignificante",HLOOKUP(AK67,[71]Listas!$F$3:$J$4,2,0))</f>
        <v>#N/A</v>
      </c>
      <c r="AM67" s="273" t="e">
        <f t="shared" si="15"/>
        <v>#N/A</v>
      </c>
      <c r="AN67" s="270" t="e">
        <f>INDEX([71]Listas!$F$6:$J$10,MATCH(AJ67,[71]Listas!$D$6:$D$10,0),MATCH(AL67,[71]Listas!$F$4:$J$4,0))</f>
        <v>#N/A</v>
      </c>
      <c r="AO67" s="259"/>
      <c r="AP67" s="259"/>
      <c r="AQ67" s="610"/>
      <c r="AR67" s="259"/>
      <c r="AS67" s="259" t="s">
        <v>2343</v>
      </c>
      <c r="AT67" s="608"/>
      <c r="AU67" s="259"/>
      <c r="AV67" s="259"/>
      <c r="AW67" s="559"/>
      <c r="AX67" s="559"/>
      <c r="AY67" s="608"/>
      <c r="AZ67" s="556"/>
    </row>
    <row r="68" spans="2:52" s="557" customFormat="1" ht="103.5" hidden="1" customHeight="1">
      <c r="B68" s="608"/>
      <c r="C68" s="266"/>
      <c r="D68" s="1399"/>
      <c r="E68" s="1408"/>
      <c r="F68" s="1400"/>
      <c r="G68" s="267"/>
      <c r="H68" s="1399"/>
      <c r="I68" s="1408"/>
      <c r="J68" s="1400"/>
      <c r="K68" s="1380"/>
      <c r="L68" s="1380"/>
      <c r="M68" s="1380"/>
      <c r="N68" s="608"/>
      <c r="O68" s="608"/>
      <c r="P68" s="608"/>
      <c r="Q68" s="608"/>
      <c r="R68" s="266"/>
      <c r="S68" s="266"/>
      <c r="T68" s="268"/>
      <c r="U68" s="269" t="e">
        <f>VLOOKUP(R68,[71]Listas!$D$6:$E$10,2,0)</f>
        <v>#N/A</v>
      </c>
      <c r="V68" s="269" t="e">
        <f>HLOOKUP(S68,[71]Listas!$F$4:$J$5,2,0)</f>
        <v>#N/A</v>
      </c>
      <c r="W68" s="270" t="e">
        <f>INDEX([71]Listas!$F$6:$J$10,MATCH(R68,[71]Listas!$D$6:$D$10,0),MATCH(S68,[71]Listas!$F$4:$J$4,0))</f>
        <v>#N/A</v>
      </c>
      <c r="X68" s="268"/>
      <c r="Y68" s="1399"/>
      <c r="Z68" s="1408"/>
      <c r="AA68" s="1400"/>
      <c r="AB68" s="1063"/>
      <c r="AC68" s="267"/>
      <c r="AD68" s="259"/>
      <c r="AE68" s="608"/>
      <c r="AF68" s="267"/>
      <c r="AG68" s="268"/>
      <c r="AH68" s="269">
        <f t="shared" si="12"/>
        <v>0</v>
      </c>
      <c r="AI68" s="558" t="e">
        <f t="shared" si="13"/>
        <v>#N/A</v>
      </c>
      <c r="AJ68" s="270" t="e">
        <f>IF(AI68&lt;=1,"Remota",VLOOKUP(AI68,[71]Listas!$C$6:$D$10,2,0))</f>
        <v>#N/A</v>
      </c>
      <c r="AK68" s="558" t="e">
        <f t="shared" si="14"/>
        <v>#N/A</v>
      </c>
      <c r="AL68" s="270" t="e">
        <f>IF(AK68&lt;=1,"Insignificante",HLOOKUP(AK68,[71]Listas!$F$3:$J$4,2,0))</f>
        <v>#N/A</v>
      </c>
      <c r="AM68" s="273" t="e">
        <f t="shared" si="15"/>
        <v>#N/A</v>
      </c>
      <c r="AN68" s="270" t="e">
        <f>INDEX([71]Listas!$F$6:$J$10,MATCH(AJ68,[71]Listas!$D$6:$D$10,0),MATCH(AL68,[71]Listas!$F$4:$J$4,0))</f>
        <v>#N/A</v>
      </c>
      <c r="AO68" s="259"/>
      <c r="AP68" s="259"/>
      <c r="AQ68" s="610"/>
      <c r="AR68" s="259"/>
      <c r="AS68" s="259" t="s">
        <v>2343</v>
      </c>
      <c r="AT68" s="608"/>
      <c r="AU68" s="259"/>
      <c r="AV68" s="259"/>
      <c r="AW68" s="559"/>
      <c r="AX68" s="559"/>
      <c r="AY68" s="608"/>
      <c r="AZ68" s="556"/>
    </row>
    <row r="69" spans="2:52" s="557" customFormat="1" ht="103.5" hidden="1" customHeight="1">
      <c r="B69" s="608"/>
      <c r="C69" s="266"/>
      <c r="D69" s="1399"/>
      <c r="E69" s="1408"/>
      <c r="F69" s="1400"/>
      <c r="G69" s="267"/>
      <c r="H69" s="1399"/>
      <c r="I69" s="1408"/>
      <c r="J69" s="1400"/>
      <c r="K69" s="1380"/>
      <c r="L69" s="1380"/>
      <c r="M69" s="1380"/>
      <c r="N69" s="608"/>
      <c r="O69" s="608"/>
      <c r="P69" s="608"/>
      <c r="Q69" s="608"/>
      <c r="R69" s="266"/>
      <c r="S69" s="266"/>
      <c r="T69" s="268"/>
      <c r="U69" s="269" t="e">
        <f>VLOOKUP(R69,[71]Listas!$D$6:$E$10,2,0)</f>
        <v>#N/A</v>
      </c>
      <c r="V69" s="269" t="e">
        <f>HLOOKUP(S69,[71]Listas!$F$4:$J$5,2,0)</f>
        <v>#N/A</v>
      </c>
      <c r="W69" s="270" t="e">
        <f>INDEX([71]Listas!$F$6:$J$10,MATCH(R69,[71]Listas!$D$6:$D$10,0),MATCH(S69,[71]Listas!$F$4:$J$4,0))</f>
        <v>#N/A</v>
      </c>
      <c r="X69" s="268"/>
      <c r="Y69" s="1399"/>
      <c r="Z69" s="1408"/>
      <c r="AA69" s="1400"/>
      <c r="AB69" s="1063"/>
      <c r="AC69" s="267"/>
      <c r="AD69" s="259"/>
      <c r="AE69" s="608"/>
      <c r="AF69" s="267"/>
      <c r="AG69" s="268"/>
      <c r="AH69" s="269">
        <f t="shared" si="12"/>
        <v>0</v>
      </c>
      <c r="AI69" s="558" t="e">
        <f t="shared" si="13"/>
        <v>#N/A</v>
      </c>
      <c r="AJ69" s="270" t="e">
        <f>IF(AI69&lt;=1,"Remota",VLOOKUP(AI69,[71]Listas!$C$6:$D$10,2,0))</f>
        <v>#N/A</v>
      </c>
      <c r="AK69" s="558" t="e">
        <f t="shared" si="14"/>
        <v>#N/A</v>
      </c>
      <c r="AL69" s="270" t="e">
        <f>IF(AK69&lt;=1,"Insignificante",HLOOKUP(AK69,[71]Listas!$F$3:$J$4,2,0))</f>
        <v>#N/A</v>
      </c>
      <c r="AM69" s="273" t="e">
        <f t="shared" si="15"/>
        <v>#N/A</v>
      </c>
      <c r="AN69" s="270" t="e">
        <f>INDEX([71]Listas!$F$6:$J$10,MATCH(AJ69,[71]Listas!$D$6:$D$10,0),MATCH(AL69,[71]Listas!$F$4:$J$4,0))</f>
        <v>#N/A</v>
      </c>
      <c r="AO69" s="259"/>
      <c r="AP69" s="259"/>
      <c r="AQ69" s="610"/>
      <c r="AR69" s="259"/>
      <c r="AS69" s="259" t="s">
        <v>2343</v>
      </c>
      <c r="AT69" s="608"/>
      <c r="AU69" s="259"/>
      <c r="AV69" s="259"/>
      <c r="AW69" s="559"/>
      <c r="AX69" s="559"/>
      <c r="AY69" s="608"/>
      <c r="AZ69" s="556"/>
    </row>
    <row r="70" spans="2:52" s="557" customFormat="1" ht="103.5" hidden="1" customHeight="1">
      <c r="B70" s="608"/>
      <c r="C70" s="266"/>
      <c r="D70" s="1399"/>
      <c r="E70" s="1408"/>
      <c r="F70" s="1400"/>
      <c r="G70" s="267"/>
      <c r="H70" s="1399"/>
      <c r="I70" s="1408"/>
      <c r="J70" s="1400"/>
      <c r="K70" s="1380"/>
      <c r="L70" s="1380"/>
      <c r="M70" s="1380"/>
      <c r="N70" s="608"/>
      <c r="O70" s="608"/>
      <c r="P70" s="608"/>
      <c r="Q70" s="608"/>
      <c r="R70" s="266"/>
      <c r="S70" s="266"/>
      <c r="T70" s="268"/>
      <c r="U70" s="269" t="e">
        <f>VLOOKUP(R70,[71]Listas!$D$6:$E$10,2,0)</f>
        <v>#N/A</v>
      </c>
      <c r="V70" s="269" t="e">
        <f>HLOOKUP(S70,[71]Listas!$F$4:$J$5,2,0)</f>
        <v>#N/A</v>
      </c>
      <c r="W70" s="270" t="e">
        <f>INDEX([71]Listas!$F$6:$J$10,MATCH(R70,[71]Listas!$D$6:$D$10,0),MATCH(S70,[71]Listas!$F$4:$J$4,0))</f>
        <v>#N/A</v>
      </c>
      <c r="X70" s="268"/>
      <c r="Y70" s="1399"/>
      <c r="Z70" s="1408"/>
      <c r="AA70" s="1400"/>
      <c r="AB70" s="1063"/>
      <c r="AC70" s="267"/>
      <c r="AD70" s="259"/>
      <c r="AE70" s="608"/>
      <c r="AF70" s="267"/>
      <c r="AG70" s="268"/>
      <c r="AH70" s="269">
        <f t="shared" si="12"/>
        <v>0</v>
      </c>
      <c r="AI70" s="558" t="e">
        <f t="shared" si="13"/>
        <v>#N/A</v>
      </c>
      <c r="AJ70" s="270" t="e">
        <f>IF(AI70&lt;=1,"Remota",VLOOKUP(AI70,[71]Listas!$C$6:$D$10,2,0))</f>
        <v>#N/A</v>
      </c>
      <c r="AK70" s="558" t="e">
        <f t="shared" si="14"/>
        <v>#N/A</v>
      </c>
      <c r="AL70" s="270" t="e">
        <f>IF(AK70&lt;=1,"Insignificante",HLOOKUP(AK70,[71]Listas!$F$3:$J$4,2,0))</f>
        <v>#N/A</v>
      </c>
      <c r="AM70" s="273" t="e">
        <f t="shared" si="15"/>
        <v>#N/A</v>
      </c>
      <c r="AN70" s="270" t="e">
        <f>INDEX([71]Listas!$F$6:$J$10,MATCH(AJ70,[71]Listas!$D$6:$D$10,0),MATCH(AL70,[71]Listas!$F$4:$J$4,0))</f>
        <v>#N/A</v>
      </c>
      <c r="AO70" s="259"/>
      <c r="AP70" s="259"/>
      <c r="AQ70" s="610"/>
      <c r="AR70" s="259"/>
      <c r="AS70" s="259" t="s">
        <v>2343</v>
      </c>
      <c r="AT70" s="608"/>
      <c r="AU70" s="259"/>
      <c r="AV70" s="259"/>
      <c r="AW70" s="559"/>
      <c r="AX70" s="559"/>
      <c r="AY70" s="608"/>
      <c r="AZ70" s="556"/>
    </row>
    <row r="71" spans="2:52" s="557" customFormat="1" ht="103.5" hidden="1" customHeight="1">
      <c r="B71" s="608"/>
      <c r="C71" s="266"/>
      <c r="D71" s="1399"/>
      <c r="E71" s="1408"/>
      <c r="F71" s="1400"/>
      <c r="G71" s="267"/>
      <c r="H71" s="1399"/>
      <c r="I71" s="1408"/>
      <c r="J71" s="1400"/>
      <c r="K71" s="1380"/>
      <c r="L71" s="1380"/>
      <c r="M71" s="1380"/>
      <c r="N71" s="608"/>
      <c r="O71" s="608"/>
      <c r="P71" s="608"/>
      <c r="Q71" s="608"/>
      <c r="R71" s="266"/>
      <c r="S71" s="266"/>
      <c r="T71" s="268"/>
      <c r="U71" s="269" t="e">
        <f>VLOOKUP(R71,[71]Listas!$D$6:$E$10,2,0)</f>
        <v>#N/A</v>
      </c>
      <c r="V71" s="269" t="e">
        <f>HLOOKUP(S71,[71]Listas!$F$4:$J$5,2,0)</f>
        <v>#N/A</v>
      </c>
      <c r="W71" s="270" t="e">
        <f>INDEX([71]Listas!$F$6:$J$10,MATCH(R71,[71]Listas!$D$6:$D$10,0),MATCH(S71,[71]Listas!$F$4:$J$4,0))</f>
        <v>#N/A</v>
      </c>
      <c r="X71" s="268"/>
      <c r="Y71" s="1399"/>
      <c r="Z71" s="1408"/>
      <c r="AA71" s="1400"/>
      <c r="AB71" s="1063"/>
      <c r="AC71" s="267"/>
      <c r="AD71" s="259"/>
      <c r="AE71" s="608"/>
      <c r="AF71" s="267"/>
      <c r="AG71" s="268"/>
      <c r="AH71" s="269">
        <f t="shared" si="12"/>
        <v>0</v>
      </c>
      <c r="AI71" s="558" t="e">
        <f t="shared" si="13"/>
        <v>#N/A</v>
      </c>
      <c r="AJ71" s="270" t="e">
        <f>IF(AI71&lt;=1,"Remota",VLOOKUP(AI71,[71]Listas!$C$6:$D$10,2,0))</f>
        <v>#N/A</v>
      </c>
      <c r="AK71" s="558" t="e">
        <f t="shared" si="14"/>
        <v>#N/A</v>
      </c>
      <c r="AL71" s="270" t="e">
        <f>IF(AK71&lt;=1,"Insignificante",HLOOKUP(AK71,[71]Listas!$F$3:$J$4,2,0))</f>
        <v>#N/A</v>
      </c>
      <c r="AM71" s="273" t="e">
        <f t="shared" si="15"/>
        <v>#N/A</v>
      </c>
      <c r="AN71" s="270" t="e">
        <f>INDEX([71]Listas!$F$6:$J$10,MATCH(AJ71,[71]Listas!$D$6:$D$10,0),MATCH(AL71,[71]Listas!$F$4:$J$4,0))</f>
        <v>#N/A</v>
      </c>
      <c r="AO71" s="259"/>
      <c r="AP71" s="259"/>
      <c r="AQ71" s="610"/>
      <c r="AR71" s="259"/>
      <c r="AS71" s="259" t="s">
        <v>2343</v>
      </c>
      <c r="AT71" s="608"/>
      <c r="AU71" s="259"/>
      <c r="AV71" s="259"/>
      <c r="AW71" s="559"/>
      <c r="AX71" s="559"/>
      <c r="AY71" s="608"/>
      <c r="AZ71" s="556"/>
    </row>
    <row r="72" spans="2:52" s="557" customFormat="1" ht="103.5" hidden="1" customHeight="1">
      <c r="B72" s="608"/>
      <c r="C72" s="266"/>
      <c r="D72" s="1399"/>
      <c r="E72" s="1408"/>
      <c r="F72" s="1400"/>
      <c r="G72" s="267"/>
      <c r="H72" s="1399"/>
      <c r="I72" s="1408"/>
      <c r="J72" s="1400"/>
      <c r="K72" s="1380"/>
      <c r="L72" s="1380"/>
      <c r="M72" s="1380"/>
      <c r="N72" s="608"/>
      <c r="O72" s="608"/>
      <c r="P72" s="608"/>
      <c r="Q72" s="608"/>
      <c r="R72" s="266"/>
      <c r="S72" s="266"/>
      <c r="T72" s="268"/>
      <c r="U72" s="269" t="e">
        <f>VLOOKUP(R72,[71]Listas!$D$6:$E$10,2,0)</f>
        <v>#N/A</v>
      </c>
      <c r="V72" s="269" t="e">
        <f>HLOOKUP(S72,[71]Listas!$F$4:$J$5,2,0)</f>
        <v>#N/A</v>
      </c>
      <c r="W72" s="270" t="e">
        <f>INDEX([71]Listas!$F$6:$J$10,MATCH(R72,[71]Listas!$D$6:$D$10,0),MATCH(S72,[71]Listas!$F$4:$J$4,0))</f>
        <v>#N/A</v>
      </c>
      <c r="X72" s="268"/>
      <c r="Y72" s="1399"/>
      <c r="Z72" s="1408"/>
      <c r="AA72" s="1400"/>
      <c r="AB72" s="1063"/>
      <c r="AC72" s="267"/>
      <c r="AD72" s="259"/>
      <c r="AE72" s="608"/>
      <c r="AF72" s="267"/>
      <c r="AG72" s="268"/>
      <c r="AH72" s="269">
        <f t="shared" si="12"/>
        <v>0</v>
      </c>
      <c r="AI72" s="558" t="e">
        <f t="shared" si="13"/>
        <v>#N/A</v>
      </c>
      <c r="AJ72" s="270" t="e">
        <f>IF(AI72&lt;=1,"Remota",VLOOKUP(AI72,[71]Listas!$C$6:$D$10,2,0))</f>
        <v>#N/A</v>
      </c>
      <c r="AK72" s="558" t="e">
        <f t="shared" si="14"/>
        <v>#N/A</v>
      </c>
      <c r="AL72" s="270" t="e">
        <f>IF(AK72&lt;=1,"Insignificante",HLOOKUP(AK72,[71]Listas!$F$3:$J$4,2,0))</f>
        <v>#N/A</v>
      </c>
      <c r="AM72" s="273" t="e">
        <f t="shared" si="15"/>
        <v>#N/A</v>
      </c>
      <c r="AN72" s="270" t="e">
        <f>INDEX([71]Listas!$F$6:$J$10,MATCH(AJ72,[71]Listas!$D$6:$D$10,0),MATCH(AL72,[71]Listas!$F$4:$J$4,0))</f>
        <v>#N/A</v>
      </c>
      <c r="AO72" s="259"/>
      <c r="AP72" s="259"/>
      <c r="AQ72" s="610"/>
      <c r="AR72" s="259"/>
      <c r="AS72" s="259" t="s">
        <v>2343</v>
      </c>
      <c r="AT72" s="608"/>
      <c r="AU72" s="259"/>
      <c r="AV72" s="259"/>
      <c r="AW72" s="559"/>
      <c r="AX72" s="559"/>
      <c r="AY72" s="608"/>
      <c r="AZ72" s="556"/>
    </row>
    <row r="73" spans="2:52" s="557" customFormat="1" ht="103.5" hidden="1" customHeight="1">
      <c r="B73" s="608"/>
      <c r="C73" s="266"/>
      <c r="D73" s="1399"/>
      <c r="E73" s="1408"/>
      <c r="F73" s="1400"/>
      <c r="G73" s="267"/>
      <c r="H73" s="1399"/>
      <c r="I73" s="1408"/>
      <c r="J73" s="1400"/>
      <c r="K73" s="1380"/>
      <c r="L73" s="1380"/>
      <c r="M73" s="1380"/>
      <c r="N73" s="608"/>
      <c r="O73" s="608"/>
      <c r="P73" s="608"/>
      <c r="Q73" s="608"/>
      <c r="R73" s="266"/>
      <c r="S73" s="266"/>
      <c r="T73" s="268"/>
      <c r="U73" s="269" t="e">
        <f>VLOOKUP(R73,[71]Listas!$D$6:$E$10,2,0)</f>
        <v>#N/A</v>
      </c>
      <c r="V73" s="269" t="e">
        <f>HLOOKUP(S73,[71]Listas!$F$4:$J$5,2,0)</f>
        <v>#N/A</v>
      </c>
      <c r="W73" s="270" t="e">
        <f>INDEX([71]Listas!$F$6:$J$10,MATCH(R73,[71]Listas!$D$6:$D$10,0),MATCH(S73,[71]Listas!$F$4:$J$4,0))</f>
        <v>#N/A</v>
      </c>
      <c r="X73" s="268"/>
      <c r="Y73" s="1399"/>
      <c r="Z73" s="1408"/>
      <c r="AA73" s="1400"/>
      <c r="AB73" s="1063"/>
      <c r="AC73" s="267"/>
      <c r="AD73" s="259"/>
      <c r="AE73" s="608"/>
      <c r="AF73" s="267"/>
      <c r="AG73" s="268"/>
      <c r="AH73" s="269">
        <f t="shared" si="12"/>
        <v>0</v>
      </c>
      <c r="AI73" s="558" t="e">
        <f t="shared" si="13"/>
        <v>#N/A</v>
      </c>
      <c r="AJ73" s="270" t="e">
        <f>IF(AI73&lt;=1,"Remota",VLOOKUP(AI73,[71]Listas!$C$6:$D$10,2,0))</f>
        <v>#N/A</v>
      </c>
      <c r="AK73" s="558" t="e">
        <f t="shared" si="14"/>
        <v>#N/A</v>
      </c>
      <c r="AL73" s="270" t="e">
        <f>IF(AK73&lt;=1,"Insignificante",HLOOKUP(AK73,[71]Listas!$F$3:$J$4,2,0))</f>
        <v>#N/A</v>
      </c>
      <c r="AM73" s="273" t="e">
        <f t="shared" si="15"/>
        <v>#N/A</v>
      </c>
      <c r="AN73" s="270" t="e">
        <f>INDEX([71]Listas!$F$6:$J$10,MATCH(AJ73,[71]Listas!$D$6:$D$10,0),MATCH(AL73,[71]Listas!$F$4:$J$4,0))</f>
        <v>#N/A</v>
      </c>
      <c r="AO73" s="259"/>
      <c r="AP73" s="259"/>
      <c r="AQ73" s="610"/>
      <c r="AR73" s="259"/>
      <c r="AS73" s="259" t="s">
        <v>2343</v>
      </c>
      <c r="AT73" s="608"/>
      <c r="AU73" s="259"/>
      <c r="AV73" s="259"/>
      <c r="AW73" s="559"/>
      <c r="AX73" s="559"/>
      <c r="AY73" s="608"/>
      <c r="AZ73" s="556"/>
    </row>
    <row r="74" spans="2:52" s="557" customFormat="1" ht="103.5" hidden="1" customHeight="1">
      <c r="B74" s="608"/>
      <c r="C74" s="266"/>
      <c r="D74" s="1399"/>
      <c r="E74" s="1408"/>
      <c r="F74" s="1400"/>
      <c r="G74" s="267"/>
      <c r="H74" s="1399"/>
      <c r="I74" s="1408"/>
      <c r="J74" s="1400"/>
      <c r="K74" s="1380"/>
      <c r="L74" s="1380"/>
      <c r="M74" s="1380"/>
      <c r="N74" s="608"/>
      <c r="O74" s="608"/>
      <c r="P74" s="608"/>
      <c r="Q74" s="608"/>
      <c r="R74" s="266"/>
      <c r="S74" s="266"/>
      <c r="T74" s="268"/>
      <c r="U74" s="269" t="e">
        <f>VLOOKUP(R74,[71]Listas!$D$6:$E$10,2,0)</f>
        <v>#N/A</v>
      </c>
      <c r="V74" s="269" t="e">
        <f>HLOOKUP(S74,[71]Listas!$F$4:$J$5,2,0)</f>
        <v>#N/A</v>
      </c>
      <c r="W74" s="270" t="e">
        <f>INDEX([71]Listas!$F$6:$J$10,MATCH(R74,[71]Listas!$D$6:$D$10,0),MATCH(S74,[71]Listas!$F$4:$J$4,0))</f>
        <v>#N/A</v>
      </c>
      <c r="X74" s="268"/>
      <c r="Y74" s="1399"/>
      <c r="Z74" s="1408"/>
      <c r="AA74" s="1400"/>
      <c r="AB74" s="1063"/>
      <c r="AC74" s="267"/>
      <c r="AD74" s="259"/>
      <c r="AE74" s="608"/>
      <c r="AF74" s="267"/>
      <c r="AG74" s="268"/>
      <c r="AH74" s="269">
        <f t="shared" si="12"/>
        <v>0</v>
      </c>
      <c r="AI74" s="558" t="e">
        <f t="shared" si="13"/>
        <v>#N/A</v>
      </c>
      <c r="AJ74" s="270" t="e">
        <f>IF(AI74&lt;=1,"Remota",VLOOKUP(AI74,[71]Listas!$C$6:$D$10,2,0))</f>
        <v>#N/A</v>
      </c>
      <c r="AK74" s="558" t="e">
        <f t="shared" si="14"/>
        <v>#N/A</v>
      </c>
      <c r="AL74" s="270" t="e">
        <f>IF(AK74&lt;=1,"Insignificante",HLOOKUP(AK74,[71]Listas!$F$3:$J$4,2,0))</f>
        <v>#N/A</v>
      </c>
      <c r="AM74" s="273" t="e">
        <f t="shared" si="15"/>
        <v>#N/A</v>
      </c>
      <c r="AN74" s="270" t="e">
        <f>INDEX([71]Listas!$F$6:$J$10,MATCH(AJ74,[71]Listas!$D$6:$D$10,0),MATCH(AL74,[71]Listas!$F$4:$J$4,0))</f>
        <v>#N/A</v>
      </c>
      <c r="AO74" s="259"/>
      <c r="AP74" s="259"/>
      <c r="AQ74" s="610"/>
      <c r="AR74" s="259"/>
      <c r="AS74" s="259" t="s">
        <v>2343</v>
      </c>
      <c r="AT74" s="608"/>
      <c r="AU74" s="259"/>
      <c r="AV74" s="259"/>
      <c r="AW74" s="559"/>
      <c r="AX74" s="559"/>
      <c r="AY74" s="608"/>
      <c r="AZ74" s="556"/>
    </row>
    <row r="75" spans="2:52" s="557" customFormat="1" ht="103.5" hidden="1" customHeight="1">
      <c r="B75" s="608"/>
      <c r="C75" s="266"/>
      <c r="D75" s="1399"/>
      <c r="E75" s="1408"/>
      <c r="F75" s="1400"/>
      <c r="G75" s="267"/>
      <c r="H75" s="1399"/>
      <c r="I75" s="1408"/>
      <c r="J75" s="1400"/>
      <c r="K75" s="1380"/>
      <c r="L75" s="1380"/>
      <c r="M75" s="1380"/>
      <c r="N75" s="608"/>
      <c r="O75" s="608"/>
      <c r="P75" s="608"/>
      <c r="Q75" s="608"/>
      <c r="R75" s="266"/>
      <c r="S75" s="266"/>
      <c r="T75" s="268"/>
      <c r="U75" s="269" t="e">
        <f>VLOOKUP(R75,[71]Listas!$D$6:$E$10,2,0)</f>
        <v>#N/A</v>
      </c>
      <c r="V75" s="269" t="e">
        <f>HLOOKUP(S75,[71]Listas!$F$4:$J$5,2,0)</f>
        <v>#N/A</v>
      </c>
      <c r="W75" s="270" t="e">
        <f>INDEX([71]Listas!$F$6:$J$10,MATCH(R75,[71]Listas!$D$6:$D$10,0),MATCH(S75,[71]Listas!$F$4:$J$4,0))</f>
        <v>#N/A</v>
      </c>
      <c r="X75" s="268"/>
      <c r="Y75" s="1399"/>
      <c r="Z75" s="1408"/>
      <c r="AA75" s="1400"/>
      <c r="AB75" s="1063"/>
      <c r="AC75" s="267"/>
      <c r="AD75" s="259"/>
      <c r="AE75" s="608"/>
      <c r="AF75" s="267"/>
      <c r="AG75" s="268"/>
      <c r="AH75" s="269">
        <f t="shared" si="12"/>
        <v>0</v>
      </c>
      <c r="AI75" s="558" t="e">
        <f t="shared" si="13"/>
        <v>#N/A</v>
      </c>
      <c r="AJ75" s="270" t="e">
        <f>IF(AI75&lt;=1,"Remota",VLOOKUP(AI75,[71]Listas!$C$6:$D$10,2,0))</f>
        <v>#N/A</v>
      </c>
      <c r="AK75" s="558" t="e">
        <f t="shared" si="14"/>
        <v>#N/A</v>
      </c>
      <c r="AL75" s="270" t="e">
        <f>IF(AK75&lt;=1,"Insignificante",HLOOKUP(AK75,[71]Listas!$F$3:$J$4,2,0))</f>
        <v>#N/A</v>
      </c>
      <c r="AM75" s="273" t="e">
        <f t="shared" si="15"/>
        <v>#N/A</v>
      </c>
      <c r="AN75" s="270" t="e">
        <f>INDEX([71]Listas!$F$6:$J$10,MATCH(AJ75,[71]Listas!$D$6:$D$10,0),MATCH(AL75,[71]Listas!$F$4:$J$4,0))</f>
        <v>#N/A</v>
      </c>
      <c r="AO75" s="259"/>
      <c r="AP75" s="259"/>
      <c r="AQ75" s="610"/>
      <c r="AR75" s="259"/>
      <c r="AS75" s="259" t="s">
        <v>2343</v>
      </c>
      <c r="AT75" s="608"/>
      <c r="AU75" s="259"/>
      <c r="AV75" s="259"/>
      <c r="AW75" s="559"/>
      <c r="AX75" s="559"/>
      <c r="AY75" s="608"/>
      <c r="AZ75" s="556"/>
    </row>
    <row r="76" spans="2:52" s="557" customFormat="1" ht="103.5" hidden="1" customHeight="1">
      <c r="B76" s="608"/>
      <c r="C76" s="266"/>
      <c r="D76" s="1399"/>
      <c r="E76" s="1408"/>
      <c r="F76" s="1400"/>
      <c r="G76" s="267"/>
      <c r="H76" s="1399"/>
      <c r="I76" s="1408"/>
      <c r="J76" s="1400"/>
      <c r="K76" s="1380"/>
      <c r="L76" s="1380"/>
      <c r="M76" s="1380"/>
      <c r="N76" s="608"/>
      <c r="O76" s="608"/>
      <c r="P76" s="608"/>
      <c r="Q76" s="608"/>
      <c r="R76" s="266"/>
      <c r="S76" s="266"/>
      <c r="T76" s="268"/>
      <c r="U76" s="269" t="e">
        <f>VLOOKUP(R76,[71]Listas!$D$6:$E$10,2,0)</f>
        <v>#N/A</v>
      </c>
      <c r="V76" s="269" t="e">
        <f>HLOOKUP(S76,[71]Listas!$F$4:$J$5,2,0)</f>
        <v>#N/A</v>
      </c>
      <c r="W76" s="270" t="e">
        <f>INDEX([71]Listas!$F$6:$J$10,MATCH(R76,[71]Listas!$D$6:$D$10,0),MATCH(S76,[71]Listas!$F$4:$J$4,0))</f>
        <v>#N/A</v>
      </c>
      <c r="X76" s="268"/>
      <c r="Y76" s="1399"/>
      <c r="Z76" s="1408"/>
      <c r="AA76" s="1400"/>
      <c r="AB76" s="1063"/>
      <c r="AC76" s="267"/>
      <c r="AD76" s="259"/>
      <c r="AE76" s="608"/>
      <c r="AF76" s="267"/>
      <c r="AG76" s="268"/>
      <c r="AH76" s="269">
        <f t="shared" si="12"/>
        <v>0</v>
      </c>
      <c r="AI76" s="558" t="e">
        <f t="shared" si="13"/>
        <v>#N/A</v>
      </c>
      <c r="AJ76" s="270" t="e">
        <f>IF(AI76&lt;=1,"Remota",VLOOKUP(AI76,[71]Listas!$C$6:$D$10,2,0))</f>
        <v>#N/A</v>
      </c>
      <c r="AK76" s="558" t="e">
        <f t="shared" si="14"/>
        <v>#N/A</v>
      </c>
      <c r="AL76" s="270" t="e">
        <f>IF(AK76&lt;=1,"Insignificante",HLOOKUP(AK76,[71]Listas!$F$3:$J$4,2,0))</f>
        <v>#N/A</v>
      </c>
      <c r="AM76" s="273" t="e">
        <f t="shared" si="15"/>
        <v>#N/A</v>
      </c>
      <c r="AN76" s="270" t="e">
        <f>INDEX([71]Listas!$F$6:$J$10,MATCH(AJ76,[71]Listas!$D$6:$D$10,0),MATCH(AL76,[71]Listas!$F$4:$J$4,0))</f>
        <v>#N/A</v>
      </c>
      <c r="AO76" s="259"/>
      <c r="AP76" s="259"/>
      <c r="AQ76" s="610"/>
      <c r="AR76" s="259"/>
      <c r="AS76" s="259" t="s">
        <v>2343</v>
      </c>
      <c r="AT76" s="608"/>
      <c r="AU76" s="259"/>
      <c r="AV76" s="259"/>
      <c r="AW76" s="559"/>
      <c r="AX76" s="559"/>
      <c r="AY76" s="608"/>
      <c r="AZ76" s="556"/>
    </row>
    <row r="77" spans="2:52" s="557" customFormat="1" ht="103.5" hidden="1" customHeight="1">
      <c r="B77" s="608"/>
      <c r="C77" s="266"/>
      <c r="D77" s="1399"/>
      <c r="E77" s="1408"/>
      <c r="F77" s="1400"/>
      <c r="G77" s="267"/>
      <c r="H77" s="1399"/>
      <c r="I77" s="1408"/>
      <c r="J77" s="1400"/>
      <c r="K77" s="1380"/>
      <c r="L77" s="1380"/>
      <c r="M77" s="1380"/>
      <c r="N77" s="608"/>
      <c r="O77" s="608"/>
      <c r="P77" s="608"/>
      <c r="Q77" s="608"/>
      <c r="R77" s="266"/>
      <c r="S77" s="266"/>
      <c r="T77" s="268"/>
      <c r="U77" s="269" t="e">
        <f>VLOOKUP(R77,[71]Listas!$D$6:$E$10,2,0)</f>
        <v>#N/A</v>
      </c>
      <c r="V77" s="269" t="e">
        <f>HLOOKUP(S77,[71]Listas!$F$4:$J$5,2,0)</f>
        <v>#N/A</v>
      </c>
      <c r="W77" s="270" t="e">
        <f>INDEX([71]Listas!$F$6:$J$10,MATCH(R77,[71]Listas!$D$6:$D$10,0),MATCH(S77,[71]Listas!$F$4:$J$4,0))</f>
        <v>#N/A</v>
      </c>
      <c r="X77" s="268"/>
      <c r="Y77" s="1399"/>
      <c r="Z77" s="1408"/>
      <c r="AA77" s="1400"/>
      <c r="AB77" s="1063"/>
      <c r="AC77" s="267"/>
      <c r="AD77" s="259"/>
      <c r="AE77" s="608"/>
      <c r="AF77" s="267"/>
      <c r="AG77" s="268"/>
      <c r="AH77" s="269">
        <f t="shared" si="12"/>
        <v>0</v>
      </c>
      <c r="AI77" s="558" t="e">
        <f t="shared" si="13"/>
        <v>#N/A</v>
      </c>
      <c r="AJ77" s="270" t="e">
        <f>IF(AI77&lt;=1,"Remota",VLOOKUP(AI77,[71]Listas!$C$6:$D$10,2,0))</f>
        <v>#N/A</v>
      </c>
      <c r="AK77" s="558" t="e">
        <f t="shared" si="14"/>
        <v>#N/A</v>
      </c>
      <c r="AL77" s="270" t="e">
        <f>IF(AK77&lt;=1,"Insignificante",HLOOKUP(AK77,[71]Listas!$F$3:$J$4,2,0))</f>
        <v>#N/A</v>
      </c>
      <c r="AM77" s="273" t="e">
        <f t="shared" si="15"/>
        <v>#N/A</v>
      </c>
      <c r="AN77" s="270" t="e">
        <f>INDEX([71]Listas!$F$6:$J$10,MATCH(AJ77,[71]Listas!$D$6:$D$10,0),MATCH(AL77,[71]Listas!$F$4:$J$4,0))</f>
        <v>#N/A</v>
      </c>
      <c r="AO77" s="259"/>
      <c r="AP77" s="259"/>
      <c r="AQ77" s="610"/>
      <c r="AR77" s="259"/>
      <c r="AS77" s="259" t="s">
        <v>2343</v>
      </c>
      <c r="AT77" s="608"/>
      <c r="AU77" s="259"/>
      <c r="AV77" s="259"/>
      <c r="AW77" s="559"/>
      <c r="AX77" s="559"/>
      <c r="AY77" s="608"/>
      <c r="AZ77" s="556"/>
    </row>
    <row r="78" spans="2:52" s="557" customFormat="1" ht="103.5" hidden="1" customHeight="1">
      <c r="B78" s="608"/>
      <c r="C78" s="266"/>
      <c r="D78" s="1399"/>
      <c r="E78" s="1408"/>
      <c r="F78" s="1400"/>
      <c r="G78" s="267"/>
      <c r="H78" s="1399"/>
      <c r="I78" s="1408"/>
      <c r="J78" s="1400"/>
      <c r="K78" s="1380"/>
      <c r="L78" s="1380"/>
      <c r="M78" s="1380"/>
      <c r="N78" s="608"/>
      <c r="O78" s="608"/>
      <c r="P78" s="608"/>
      <c r="Q78" s="608"/>
      <c r="R78" s="266"/>
      <c r="S78" s="266"/>
      <c r="T78" s="268"/>
      <c r="U78" s="269" t="e">
        <f>VLOOKUP(R78,[71]Listas!$D$6:$E$10,2,0)</f>
        <v>#N/A</v>
      </c>
      <c r="V78" s="269" t="e">
        <f>HLOOKUP(S78,[71]Listas!$F$4:$J$5,2,0)</f>
        <v>#N/A</v>
      </c>
      <c r="W78" s="270" t="e">
        <f>INDEX([71]Listas!$F$6:$J$10,MATCH(R78,[71]Listas!$D$6:$D$10,0),MATCH(S78,[71]Listas!$F$4:$J$4,0))</f>
        <v>#N/A</v>
      </c>
      <c r="X78" s="268"/>
      <c r="Y78" s="1399"/>
      <c r="Z78" s="1408"/>
      <c r="AA78" s="1400"/>
      <c r="AB78" s="1063"/>
      <c r="AC78" s="267"/>
      <c r="AD78" s="259"/>
      <c r="AE78" s="608"/>
      <c r="AF78" s="267"/>
      <c r="AG78" s="268"/>
      <c r="AH78" s="269">
        <f t="shared" si="12"/>
        <v>0</v>
      </c>
      <c r="AI78" s="558" t="e">
        <f t="shared" si="13"/>
        <v>#N/A</v>
      </c>
      <c r="AJ78" s="270" t="e">
        <f>IF(AI78&lt;=1,"Remota",VLOOKUP(AI78,[71]Listas!$C$6:$D$10,2,0))</f>
        <v>#N/A</v>
      </c>
      <c r="AK78" s="558" t="e">
        <f t="shared" si="14"/>
        <v>#N/A</v>
      </c>
      <c r="AL78" s="270" t="e">
        <f>IF(AK78&lt;=1,"Insignificante",HLOOKUP(AK78,[71]Listas!$F$3:$J$4,2,0))</f>
        <v>#N/A</v>
      </c>
      <c r="AM78" s="273" t="e">
        <f t="shared" si="15"/>
        <v>#N/A</v>
      </c>
      <c r="AN78" s="270" t="e">
        <f>INDEX([71]Listas!$F$6:$J$10,MATCH(AJ78,[71]Listas!$D$6:$D$10,0),MATCH(AL78,[71]Listas!$F$4:$J$4,0))</f>
        <v>#N/A</v>
      </c>
      <c r="AO78" s="259"/>
      <c r="AP78" s="259"/>
      <c r="AQ78" s="610"/>
      <c r="AR78" s="259"/>
      <c r="AS78" s="259" t="s">
        <v>2343</v>
      </c>
      <c r="AT78" s="608"/>
      <c r="AU78" s="259"/>
      <c r="AV78" s="259"/>
      <c r="AW78" s="559"/>
      <c r="AX78" s="559"/>
      <c r="AY78" s="608"/>
      <c r="AZ78" s="556"/>
    </row>
    <row r="79" spans="2:52" s="557" customFormat="1" ht="103.5" hidden="1" customHeight="1">
      <c r="B79" s="620"/>
      <c r="C79" s="274"/>
      <c r="D79" s="1399"/>
      <c r="E79" s="1408"/>
      <c r="F79" s="1400"/>
      <c r="G79" s="267"/>
      <c r="H79" s="1399"/>
      <c r="I79" s="1408"/>
      <c r="J79" s="1400"/>
      <c r="K79" s="1380"/>
      <c r="L79" s="1380"/>
      <c r="M79" s="1380"/>
      <c r="N79" s="608"/>
      <c r="O79" s="608"/>
      <c r="P79" s="608"/>
      <c r="Q79" s="608"/>
      <c r="R79" s="266"/>
      <c r="S79" s="266"/>
      <c r="T79" s="268"/>
      <c r="U79" s="269" t="e">
        <f>VLOOKUP(R79,[71]Listas!$D$6:$E$10,2,0)</f>
        <v>#N/A</v>
      </c>
      <c r="V79" s="269" t="e">
        <f>HLOOKUP(S79,[71]Listas!$F$4:$J$5,2,0)</f>
        <v>#N/A</v>
      </c>
      <c r="W79" s="270" t="e">
        <f>INDEX([71]Listas!$F$6:$J$10,MATCH(R79,[71]Listas!$D$6:$D$10,0),MATCH(S79,[71]Listas!$F$4:$J$4,0))</f>
        <v>#N/A</v>
      </c>
      <c r="X79" s="268"/>
      <c r="Y79" s="1399"/>
      <c r="Z79" s="1408"/>
      <c r="AA79" s="1400"/>
      <c r="AB79" s="1063"/>
      <c r="AC79" s="267"/>
      <c r="AD79" s="259"/>
      <c r="AE79" s="608"/>
      <c r="AF79" s="267"/>
      <c r="AG79" s="268"/>
      <c r="AH79" s="269">
        <f t="shared" si="12"/>
        <v>0</v>
      </c>
      <c r="AI79" s="558" t="e">
        <f t="shared" si="13"/>
        <v>#N/A</v>
      </c>
      <c r="AJ79" s="270" t="e">
        <f>IF(AI79&lt;=1,"Remota",VLOOKUP(AI79,[71]Listas!$C$6:$D$10,2,0))</f>
        <v>#N/A</v>
      </c>
      <c r="AK79" s="558" t="e">
        <f t="shared" si="14"/>
        <v>#N/A</v>
      </c>
      <c r="AL79" s="270" t="e">
        <f>IF(AK79&lt;=1,"Insignificante",HLOOKUP(AK79,[71]Listas!$F$3:$J$4,2,0))</f>
        <v>#N/A</v>
      </c>
      <c r="AM79" s="273" t="e">
        <f t="shared" si="15"/>
        <v>#N/A</v>
      </c>
      <c r="AN79" s="270" t="e">
        <f>INDEX([71]Listas!$F$6:$J$10,MATCH(AJ79,[71]Listas!$D$6:$D$10,0),MATCH(AL79,[71]Listas!$F$4:$J$4,0))</f>
        <v>#N/A</v>
      </c>
      <c r="AO79" s="259"/>
      <c r="AP79" s="259"/>
      <c r="AQ79" s="610"/>
      <c r="AR79" s="259"/>
      <c r="AS79" s="259" t="s">
        <v>2343</v>
      </c>
      <c r="AT79" s="608"/>
      <c r="AU79" s="259"/>
      <c r="AV79" s="259"/>
      <c r="AW79" s="559"/>
      <c r="AX79" s="559"/>
      <c r="AY79" s="608"/>
      <c r="AZ79" s="556"/>
    </row>
    <row r="80" spans="2:52" s="557" customFormat="1" ht="103.5" hidden="1" customHeight="1">
      <c r="B80" s="608"/>
      <c r="C80" s="266"/>
      <c r="D80" s="1399"/>
      <c r="E80" s="1408"/>
      <c r="F80" s="1400"/>
      <c r="G80" s="267"/>
      <c r="H80" s="1399"/>
      <c r="I80" s="1408"/>
      <c r="J80" s="1400"/>
      <c r="K80" s="1380"/>
      <c r="L80" s="1380"/>
      <c r="M80" s="1380"/>
      <c r="N80" s="608"/>
      <c r="O80" s="608"/>
      <c r="P80" s="608"/>
      <c r="Q80" s="608"/>
      <c r="R80" s="266"/>
      <c r="S80" s="266"/>
      <c r="T80" s="268"/>
      <c r="U80" s="269" t="e">
        <f>VLOOKUP(R80,[71]Listas!$D$6:$E$10,2,0)</f>
        <v>#N/A</v>
      </c>
      <c r="V80" s="269" t="e">
        <f>HLOOKUP(S80,[71]Listas!$F$4:$J$5,2,0)</f>
        <v>#N/A</v>
      </c>
      <c r="W80" s="270" t="e">
        <f>INDEX([71]Listas!$F$6:$J$10,MATCH(R80,[71]Listas!$D$6:$D$10,0),MATCH(S80,[71]Listas!$F$4:$J$4,0))</f>
        <v>#N/A</v>
      </c>
      <c r="X80" s="268"/>
      <c r="Y80" s="1399"/>
      <c r="Z80" s="1408"/>
      <c r="AA80" s="1400"/>
      <c r="AB80" s="1063"/>
      <c r="AC80" s="267"/>
      <c r="AD80" s="259"/>
      <c r="AE80" s="608"/>
      <c r="AF80" s="267"/>
      <c r="AG80" s="268"/>
      <c r="AH80" s="269">
        <f t="shared" si="12"/>
        <v>0</v>
      </c>
      <c r="AI80" s="558" t="e">
        <f t="shared" si="13"/>
        <v>#N/A</v>
      </c>
      <c r="AJ80" s="270" t="e">
        <f>IF(AI80&lt;=1,"Remota",VLOOKUP(AI80,[71]Listas!$C$6:$D$10,2,0))</f>
        <v>#N/A</v>
      </c>
      <c r="AK80" s="558" t="e">
        <f t="shared" si="14"/>
        <v>#N/A</v>
      </c>
      <c r="AL80" s="270" t="e">
        <f>IF(AK80&lt;=1,"Insignificante",HLOOKUP(AK80,[71]Listas!$F$3:$J$4,2,0))</f>
        <v>#N/A</v>
      </c>
      <c r="AM80" s="273" t="e">
        <f t="shared" si="15"/>
        <v>#N/A</v>
      </c>
      <c r="AN80" s="270" t="e">
        <f>INDEX([71]Listas!$F$6:$J$10,MATCH(AJ80,[71]Listas!$D$6:$D$10,0),MATCH(AL80,[71]Listas!$F$4:$J$4,0))</f>
        <v>#N/A</v>
      </c>
      <c r="AO80" s="259"/>
      <c r="AP80" s="259"/>
      <c r="AQ80" s="610"/>
      <c r="AR80" s="259"/>
      <c r="AS80" s="259" t="s">
        <v>2343</v>
      </c>
      <c r="AT80" s="608"/>
      <c r="AU80" s="259"/>
      <c r="AV80" s="259"/>
      <c r="AW80" s="559"/>
      <c r="AX80" s="559"/>
      <c r="AY80" s="608"/>
      <c r="AZ80" s="556"/>
    </row>
    <row r="81" spans="2:52" s="557" customFormat="1" ht="103.5" hidden="1" customHeight="1">
      <c r="B81" s="608"/>
      <c r="C81" s="266"/>
      <c r="D81" s="1399"/>
      <c r="E81" s="1408"/>
      <c r="F81" s="1400"/>
      <c r="G81" s="267"/>
      <c r="H81" s="1399"/>
      <c r="I81" s="1408"/>
      <c r="J81" s="1400"/>
      <c r="K81" s="1380"/>
      <c r="L81" s="1380"/>
      <c r="M81" s="1380"/>
      <c r="N81" s="608"/>
      <c r="O81" s="608"/>
      <c r="P81" s="608"/>
      <c r="Q81" s="608"/>
      <c r="R81" s="266"/>
      <c r="S81" s="266"/>
      <c r="T81" s="268"/>
      <c r="U81" s="269" t="e">
        <f>VLOOKUP(R81,[71]Listas!$D$6:$E$10,2,0)</f>
        <v>#N/A</v>
      </c>
      <c r="V81" s="269" t="e">
        <f>HLOOKUP(S81,[71]Listas!$F$4:$J$5,2,0)</f>
        <v>#N/A</v>
      </c>
      <c r="W81" s="270" t="e">
        <f>INDEX([71]Listas!$F$6:$J$10,MATCH(R81,[71]Listas!$D$6:$D$10,0),MATCH(S81,[71]Listas!$F$4:$J$4,0))</f>
        <v>#N/A</v>
      </c>
      <c r="X81" s="268"/>
      <c r="Y81" s="1399"/>
      <c r="Z81" s="1408"/>
      <c r="AA81" s="1400"/>
      <c r="AB81" s="1063"/>
      <c r="AC81" s="267"/>
      <c r="AD81" s="259"/>
      <c r="AE81" s="608"/>
      <c r="AF81" s="267"/>
      <c r="AG81" s="268"/>
      <c r="AH81" s="269">
        <f t="shared" si="12"/>
        <v>0</v>
      </c>
      <c r="AI81" s="558" t="e">
        <f t="shared" si="13"/>
        <v>#N/A</v>
      </c>
      <c r="AJ81" s="270" t="e">
        <f>IF(AI81&lt;=1,"Remota",VLOOKUP(AI81,[71]Listas!$C$6:$D$10,2,0))</f>
        <v>#N/A</v>
      </c>
      <c r="AK81" s="558" t="e">
        <f t="shared" si="14"/>
        <v>#N/A</v>
      </c>
      <c r="AL81" s="270" t="e">
        <f>IF(AK81&lt;=1,"Insignificante",HLOOKUP(AK81,[71]Listas!$F$3:$J$4,2,0))</f>
        <v>#N/A</v>
      </c>
      <c r="AM81" s="273" t="e">
        <f t="shared" si="15"/>
        <v>#N/A</v>
      </c>
      <c r="AN81" s="270" t="e">
        <f>INDEX([71]Listas!$F$6:$J$10,MATCH(AJ81,[71]Listas!$D$6:$D$10,0),MATCH(AL81,[71]Listas!$F$4:$J$4,0))</f>
        <v>#N/A</v>
      </c>
      <c r="AO81" s="259"/>
      <c r="AP81" s="259"/>
      <c r="AQ81" s="610"/>
      <c r="AR81" s="259"/>
      <c r="AS81" s="259" t="s">
        <v>2343</v>
      </c>
      <c r="AT81" s="608"/>
      <c r="AU81" s="259"/>
      <c r="AV81" s="259"/>
      <c r="AW81" s="559"/>
      <c r="AX81" s="559"/>
      <c r="AY81" s="608"/>
      <c r="AZ81" s="556"/>
    </row>
    <row r="82" spans="2:52" s="557" customFormat="1" ht="103.5" hidden="1" customHeight="1">
      <c r="B82" s="608"/>
      <c r="C82" s="266"/>
      <c r="D82" s="1399"/>
      <c r="E82" s="1408"/>
      <c r="F82" s="1400"/>
      <c r="G82" s="267"/>
      <c r="H82" s="1399"/>
      <c r="I82" s="1408"/>
      <c r="J82" s="1400"/>
      <c r="K82" s="1380"/>
      <c r="L82" s="1380"/>
      <c r="M82" s="1380"/>
      <c r="N82" s="608"/>
      <c r="O82" s="608"/>
      <c r="P82" s="608"/>
      <c r="Q82" s="608"/>
      <c r="R82" s="266"/>
      <c r="S82" s="266"/>
      <c r="T82" s="268"/>
      <c r="U82" s="269" t="e">
        <f>VLOOKUP(R82,[71]Listas!$D$6:$E$10,2,0)</f>
        <v>#N/A</v>
      </c>
      <c r="V82" s="269" t="e">
        <f>HLOOKUP(S82,[71]Listas!$F$4:$J$5,2,0)</f>
        <v>#N/A</v>
      </c>
      <c r="W82" s="270" t="e">
        <f>INDEX([71]Listas!$F$6:$J$10,MATCH(R82,[71]Listas!$D$6:$D$10,0),MATCH(S82,[71]Listas!$F$4:$J$4,0))</f>
        <v>#N/A</v>
      </c>
      <c r="X82" s="268"/>
      <c r="Y82" s="1399"/>
      <c r="Z82" s="1408"/>
      <c r="AA82" s="1400"/>
      <c r="AB82" s="1063"/>
      <c r="AC82" s="267"/>
      <c r="AD82" s="259"/>
      <c r="AE82" s="608"/>
      <c r="AF82" s="267"/>
      <c r="AG82" s="268"/>
      <c r="AH82" s="269">
        <f t="shared" si="12"/>
        <v>0</v>
      </c>
      <c r="AI82" s="558" t="e">
        <f t="shared" si="13"/>
        <v>#N/A</v>
      </c>
      <c r="AJ82" s="270" t="e">
        <f>IF(AI82&lt;=1,"Remota",VLOOKUP(AI82,[71]Listas!$C$6:$D$10,2,0))</f>
        <v>#N/A</v>
      </c>
      <c r="AK82" s="558" t="e">
        <f t="shared" si="14"/>
        <v>#N/A</v>
      </c>
      <c r="AL82" s="270" t="e">
        <f>IF(AK82&lt;=1,"Insignificante",HLOOKUP(AK82,[71]Listas!$F$3:$J$4,2,0))</f>
        <v>#N/A</v>
      </c>
      <c r="AM82" s="273" t="e">
        <f t="shared" si="15"/>
        <v>#N/A</v>
      </c>
      <c r="AN82" s="270" t="e">
        <f>INDEX([71]Listas!$F$6:$J$10,MATCH(AJ82,[71]Listas!$D$6:$D$10,0),MATCH(AL82,[71]Listas!$F$4:$J$4,0))</f>
        <v>#N/A</v>
      </c>
      <c r="AO82" s="259"/>
      <c r="AP82" s="259"/>
      <c r="AQ82" s="610"/>
      <c r="AR82" s="259"/>
      <c r="AS82" s="259" t="s">
        <v>2343</v>
      </c>
      <c r="AT82" s="608"/>
      <c r="AU82" s="259"/>
      <c r="AV82" s="259"/>
      <c r="AW82" s="559"/>
      <c r="AX82" s="559"/>
      <c r="AY82" s="608"/>
      <c r="AZ82" s="556"/>
    </row>
    <row r="83" spans="2:52" s="557" customFormat="1" ht="103.5" hidden="1" customHeight="1">
      <c r="B83" s="608"/>
      <c r="C83" s="266"/>
      <c r="D83" s="1399"/>
      <c r="E83" s="1408"/>
      <c r="F83" s="1400"/>
      <c r="G83" s="267"/>
      <c r="H83" s="1399"/>
      <c r="I83" s="1408"/>
      <c r="J83" s="1400"/>
      <c r="K83" s="1380"/>
      <c r="L83" s="1380"/>
      <c r="M83" s="1380"/>
      <c r="N83" s="608"/>
      <c r="O83" s="608"/>
      <c r="P83" s="608"/>
      <c r="Q83" s="608"/>
      <c r="R83" s="266"/>
      <c r="S83" s="266"/>
      <c r="T83" s="268"/>
      <c r="U83" s="269" t="e">
        <f>VLOOKUP(R83,[71]Listas!$D$6:$E$10,2,0)</f>
        <v>#N/A</v>
      </c>
      <c r="V83" s="269" t="e">
        <f>HLOOKUP(S83,[71]Listas!$F$4:$J$5,2,0)</f>
        <v>#N/A</v>
      </c>
      <c r="W83" s="270" t="e">
        <f>INDEX([71]Listas!$F$6:$J$10,MATCH(R83,[71]Listas!$D$6:$D$10,0),MATCH(S83,[71]Listas!$F$4:$J$4,0))</f>
        <v>#N/A</v>
      </c>
      <c r="X83" s="268"/>
      <c r="Y83" s="1399"/>
      <c r="Z83" s="1408"/>
      <c r="AA83" s="1400"/>
      <c r="AB83" s="1063"/>
      <c r="AC83" s="267"/>
      <c r="AD83" s="259"/>
      <c r="AE83" s="608"/>
      <c r="AF83" s="267"/>
      <c r="AG83" s="268"/>
      <c r="AH83" s="269">
        <f t="shared" si="12"/>
        <v>0</v>
      </c>
      <c r="AI83" s="558" t="e">
        <f t="shared" si="13"/>
        <v>#N/A</v>
      </c>
      <c r="AJ83" s="270" t="e">
        <f>IF(AI83&lt;=1,"Remota",VLOOKUP(AI83,[71]Listas!$C$6:$D$10,2,0))</f>
        <v>#N/A</v>
      </c>
      <c r="AK83" s="558" t="e">
        <f t="shared" si="14"/>
        <v>#N/A</v>
      </c>
      <c r="AL83" s="270" t="e">
        <f>IF(AK83&lt;=1,"Insignificante",HLOOKUP(AK83,[71]Listas!$F$3:$J$4,2,0))</f>
        <v>#N/A</v>
      </c>
      <c r="AM83" s="273" t="e">
        <f t="shared" si="15"/>
        <v>#N/A</v>
      </c>
      <c r="AN83" s="270" t="e">
        <f>INDEX([71]Listas!$F$6:$J$10,MATCH(AJ83,[71]Listas!$D$6:$D$10,0),MATCH(AL83,[71]Listas!$F$4:$J$4,0))</f>
        <v>#N/A</v>
      </c>
      <c r="AO83" s="259"/>
      <c r="AP83" s="259"/>
      <c r="AQ83" s="610"/>
      <c r="AR83" s="259"/>
      <c r="AS83" s="259" t="s">
        <v>2343</v>
      </c>
      <c r="AT83" s="608"/>
      <c r="AU83" s="259"/>
      <c r="AV83" s="259"/>
      <c r="AW83" s="559"/>
      <c r="AX83" s="559"/>
      <c r="AY83" s="608"/>
      <c r="AZ83" s="556"/>
    </row>
    <row r="84" spans="2:52" s="557" customFormat="1" ht="103.5" hidden="1" customHeight="1">
      <c r="B84" s="608"/>
      <c r="C84" s="266"/>
      <c r="D84" s="1399"/>
      <c r="E84" s="1408"/>
      <c r="F84" s="1400"/>
      <c r="G84" s="267"/>
      <c r="H84" s="1399"/>
      <c r="I84" s="1408"/>
      <c r="J84" s="1400"/>
      <c r="K84" s="1380"/>
      <c r="L84" s="1380"/>
      <c r="M84" s="1380"/>
      <c r="N84" s="608"/>
      <c r="O84" s="608"/>
      <c r="P84" s="608"/>
      <c r="Q84" s="608"/>
      <c r="R84" s="266"/>
      <c r="S84" s="266"/>
      <c r="T84" s="268"/>
      <c r="U84" s="269" t="e">
        <f>VLOOKUP(R84,[71]Listas!$D$6:$E$10,2,0)</f>
        <v>#N/A</v>
      </c>
      <c r="V84" s="269" t="e">
        <f>HLOOKUP(S84,[71]Listas!$F$4:$J$5,2,0)</f>
        <v>#N/A</v>
      </c>
      <c r="W84" s="270" t="e">
        <f>INDEX([71]Listas!$F$6:$J$10,MATCH(R84,[71]Listas!$D$6:$D$10,0),MATCH(S84,[71]Listas!$F$4:$J$4,0))</f>
        <v>#N/A</v>
      </c>
      <c r="X84" s="268"/>
      <c r="Y84" s="1399"/>
      <c r="Z84" s="1408"/>
      <c r="AA84" s="1400"/>
      <c r="AB84" s="1063"/>
      <c r="AC84" s="267"/>
      <c r="AD84" s="259"/>
      <c r="AE84" s="608"/>
      <c r="AF84" s="267"/>
      <c r="AG84" s="268"/>
      <c r="AH84" s="269">
        <f t="shared" si="12"/>
        <v>0</v>
      </c>
      <c r="AI84" s="558" t="e">
        <f t="shared" si="13"/>
        <v>#N/A</v>
      </c>
      <c r="AJ84" s="270" t="e">
        <f>IF(AI84&lt;=1,"Remota",VLOOKUP(AI84,[71]Listas!$C$6:$D$10,2,0))</f>
        <v>#N/A</v>
      </c>
      <c r="AK84" s="558" t="e">
        <f t="shared" si="14"/>
        <v>#N/A</v>
      </c>
      <c r="AL84" s="270" t="e">
        <f>IF(AK84&lt;=1,"Insignificante",HLOOKUP(AK84,[71]Listas!$F$3:$J$4,2,0))</f>
        <v>#N/A</v>
      </c>
      <c r="AM84" s="273" t="e">
        <f t="shared" si="15"/>
        <v>#N/A</v>
      </c>
      <c r="AN84" s="270" t="e">
        <f>INDEX([71]Listas!$F$6:$J$10,MATCH(AJ84,[71]Listas!$D$6:$D$10,0),MATCH(AL84,[71]Listas!$F$4:$J$4,0))</f>
        <v>#N/A</v>
      </c>
      <c r="AO84" s="259"/>
      <c r="AP84" s="259"/>
      <c r="AQ84" s="610"/>
      <c r="AR84" s="259"/>
      <c r="AS84" s="259" t="s">
        <v>2343</v>
      </c>
      <c r="AT84" s="608"/>
      <c r="AU84" s="259"/>
      <c r="AV84" s="259"/>
      <c r="AW84" s="559"/>
      <c r="AX84" s="559"/>
      <c r="AY84" s="608"/>
      <c r="AZ84" s="556"/>
    </row>
    <row r="85" spans="2:52" s="557" customFormat="1" ht="103.5" hidden="1" customHeight="1">
      <c r="B85" s="608"/>
      <c r="C85" s="266"/>
      <c r="D85" s="1399"/>
      <c r="E85" s="1408"/>
      <c r="F85" s="1400"/>
      <c r="G85" s="267"/>
      <c r="H85" s="1399"/>
      <c r="I85" s="1408"/>
      <c r="J85" s="1400"/>
      <c r="K85" s="1380"/>
      <c r="L85" s="1380"/>
      <c r="M85" s="1380"/>
      <c r="N85" s="608"/>
      <c r="O85" s="608"/>
      <c r="P85" s="608"/>
      <c r="Q85" s="608"/>
      <c r="R85" s="266"/>
      <c r="S85" s="266"/>
      <c r="T85" s="268"/>
      <c r="U85" s="269" t="e">
        <f>VLOOKUP(R85,[71]Listas!$D$6:$E$10,2,0)</f>
        <v>#N/A</v>
      </c>
      <c r="V85" s="269" t="e">
        <f>HLOOKUP(S85,[71]Listas!$F$4:$J$5,2,0)</f>
        <v>#N/A</v>
      </c>
      <c r="W85" s="270" t="e">
        <f>INDEX([71]Listas!$F$6:$J$10,MATCH(R85,[71]Listas!$D$6:$D$10,0),MATCH(S85,[71]Listas!$F$4:$J$4,0))</f>
        <v>#N/A</v>
      </c>
      <c r="X85" s="268"/>
      <c r="Y85" s="1399"/>
      <c r="Z85" s="1408"/>
      <c r="AA85" s="1400"/>
      <c r="AB85" s="1063"/>
      <c r="AC85" s="267"/>
      <c r="AD85" s="259"/>
      <c r="AE85" s="608"/>
      <c r="AF85" s="267"/>
      <c r="AG85" s="268"/>
      <c r="AH85" s="269">
        <f t="shared" si="12"/>
        <v>0</v>
      </c>
      <c r="AI85" s="558" t="e">
        <f t="shared" si="13"/>
        <v>#N/A</v>
      </c>
      <c r="AJ85" s="270" t="e">
        <f>IF(AI85&lt;=1,"Remota",VLOOKUP(AI85,[71]Listas!$C$6:$D$10,2,0))</f>
        <v>#N/A</v>
      </c>
      <c r="AK85" s="558" t="e">
        <f t="shared" si="14"/>
        <v>#N/A</v>
      </c>
      <c r="AL85" s="270" t="e">
        <f>IF(AK85&lt;=1,"Insignificante",HLOOKUP(AK85,[71]Listas!$F$3:$J$4,2,0))</f>
        <v>#N/A</v>
      </c>
      <c r="AM85" s="273" t="e">
        <f t="shared" si="15"/>
        <v>#N/A</v>
      </c>
      <c r="AN85" s="270" t="e">
        <f>INDEX([71]Listas!$F$6:$J$10,MATCH(AJ85,[71]Listas!$D$6:$D$10,0),MATCH(AL85,[71]Listas!$F$4:$J$4,0))</f>
        <v>#N/A</v>
      </c>
      <c r="AO85" s="259"/>
      <c r="AP85" s="259"/>
      <c r="AQ85" s="610"/>
      <c r="AR85" s="259"/>
      <c r="AS85" s="259" t="s">
        <v>2343</v>
      </c>
      <c r="AT85" s="608"/>
      <c r="AU85" s="259"/>
      <c r="AV85" s="259"/>
      <c r="AW85" s="559"/>
      <c r="AX85" s="559"/>
      <c r="AY85" s="608"/>
      <c r="AZ85" s="556"/>
    </row>
    <row r="86" spans="2:52" s="557" customFormat="1" ht="103.5" hidden="1" customHeight="1">
      <c r="B86" s="608"/>
      <c r="C86" s="266"/>
      <c r="D86" s="1399"/>
      <c r="E86" s="1408"/>
      <c r="F86" s="1400"/>
      <c r="G86" s="267"/>
      <c r="H86" s="1399"/>
      <c r="I86" s="1408"/>
      <c r="J86" s="1400"/>
      <c r="K86" s="1380"/>
      <c r="L86" s="1380"/>
      <c r="M86" s="1380"/>
      <c r="N86" s="608"/>
      <c r="O86" s="608"/>
      <c r="P86" s="608"/>
      <c r="Q86" s="608"/>
      <c r="R86" s="266"/>
      <c r="S86" s="266"/>
      <c r="T86" s="268"/>
      <c r="U86" s="269" t="e">
        <f>VLOOKUP(R86,[71]Listas!$D$6:$E$10,2,0)</f>
        <v>#N/A</v>
      </c>
      <c r="V86" s="269" t="e">
        <f>HLOOKUP(S86,[71]Listas!$F$4:$J$5,2,0)</f>
        <v>#N/A</v>
      </c>
      <c r="W86" s="270" t="e">
        <f>INDEX([71]Listas!$F$6:$J$10,MATCH(R86,[71]Listas!$D$6:$D$10,0),MATCH(S86,[71]Listas!$F$4:$J$4,0))</f>
        <v>#N/A</v>
      </c>
      <c r="X86" s="268"/>
      <c r="Y86" s="1399"/>
      <c r="Z86" s="1408"/>
      <c r="AA86" s="1400"/>
      <c r="AB86" s="1063"/>
      <c r="AC86" s="267"/>
      <c r="AD86" s="259"/>
      <c r="AE86" s="608"/>
      <c r="AF86" s="267"/>
      <c r="AG86" s="268"/>
      <c r="AH86" s="269">
        <f t="shared" si="12"/>
        <v>0</v>
      </c>
      <c r="AI86" s="558" t="e">
        <f t="shared" si="13"/>
        <v>#N/A</v>
      </c>
      <c r="AJ86" s="270" t="e">
        <f>IF(AI86&lt;=1,"Remota",VLOOKUP(AI86,[71]Listas!$C$6:$D$10,2,0))</f>
        <v>#N/A</v>
      </c>
      <c r="AK86" s="558" t="e">
        <f t="shared" si="14"/>
        <v>#N/A</v>
      </c>
      <c r="AL86" s="270" t="e">
        <f>IF(AK86&lt;=1,"Insignificante",HLOOKUP(AK86,[71]Listas!$F$3:$J$4,2,0))</f>
        <v>#N/A</v>
      </c>
      <c r="AM86" s="273" t="e">
        <f t="shared" si="15"/>
        <v>#N/A</v>
      </c>
      <c r="AN86" s="270" t="e">
        <f>INDEX([71]Listas!$F$6:$J$10,MATCH(AJ86,[71]Listas!$D$6:$D$10,0),MATCH(AL86,[71]Listas!$F$4:$J$4,0))</f>
        <v>#N/A</v>
      </c>
      <c r="AO86" s="259"/>
      <c r="AP86" s="259"/>
      <c r="AQ86" s="610"/>
      <c r="AR86" s="259"/>
      <c r="AS86" s="259" t="s">
        <v>2343</v>
      </c>
      <c r="AT86" s="608"/>
      <c r="AU86" s="259"/>
      <c r="AV86" s="259"/>
      <c r="AW86" s="559"/>
      <c r="AX86" s="559"/>
      <c r="AY86" s="608"/>
      <c r="AZ86" s="556"/>
    </row>
    <row r="87" spans="2:52" s="557" customFormat="1" ht="103.5" hidden="1" customHeight="1">
      <c r="B87" s="608"/>
      <c r="C87" s="266"/>
      <c r="D87" s="1399"/>
      <c r="E87" s="1408"/>
      <c r="F87" s="1400"/>
      <c r="G87" s="267"/>
      <c r="H87" s="1399"/>
      <c r="I87" s="1408"/>
      <c r="J87" s="1400"/>
      <c r="K87" s="1380"/>
      <c r="L87" s="1380"/>
      <c r="M87" s="1380"/>
      <c r="N87" s="608"/>
      <c r="O87" s="608"/>
      <c r="P87" s="608"/>
      <c r="Q87" s="608"/>
      <c r="R87" s="266"/>
      <c r="S87" s="266"/>
      <c r="T87" s="268"/>
      <c r="U87" s="269" t="e">
        <f>VLOOKUP(R87,[71]Listas!$D$6:$E$10,2,0)</f>
        <v>#N/A</v>
      </c>
      <c r="V87" s="269" t="e">
        <f>HLOOKUP(S87,[71]Listas!$F$4:$J$5,2,0)</f>
        <v>#N/A</v>
      </c>
      <c r="W87" s="270" t="e">
        <f>INDEX([71]Listas!$F$6:$J$10,MATCH(R87,[71]Listas!$D$6:$D$10,0),MATCH(S87,[71]Listas!$F$4:$J$4,0))</f>
        <v>#N/A</v>
      </c>
      <c r="X87" s="268"/>
      <c r="Y87" s="1399"/>
      <c r="Z87" s="1408"/>
      <c r="AA87" s="1400"/>
      <c r="AB87" s="1063"/>
      <c r="AC87" s="267"/>
      <c r="AD87" s="259"/>
      <c r="AE87" s="608"/>
      <c r="AF87" s="267"/>
      <c r="AG87" s="268"/>
      <c r="AH87" s="269">
        <f t="shared" si="12"/>
        <v>0</v>
      </c>
      <c r="AI87" s="558" t="e">
        <f t="shared" si="13"/>
        <v>#N/A</v>
      </c>
      <c r="AJ87" s="270" t="e">
        <f>IF(AI87&lt;=1,"Remota",VLOOKUP(AI87,[71]Listas!$C$6:$D$10,2,0))</f>
        <v>#N/A</v>
      </c>
      <c r="AK87" s="558" t="e">
        <f t="shared" si="14"/>
        <v>#N/A</v>
      </c>
      <c r="AL87" s="270" t="e">
        <f>IF(AK87&lt;=1,"Insignificante",HLOOKUP(AK87,[71]Listas!$F$3:$J$4,2,0))</f>
        <v>#N/A</v>
      </c>
      <c r="AM87" s="273" t="e">
        <f t="shared" si="15"/>
        <v>#N/A</v>
      </c>
      <c r="AN87" s="270" t="e">
        <f>INDEX([71]Listas!$F$6:$J$10,MATCH(AJ87,[71]Listas!$D$6:$D$10,0),MATCH(AL87,[71]Listas!$F$4:$J$4,0))</f>
        <v>#N/A</v>
      </c>
      <c r="AO87" s="259"/>
      <c r="AP87" s="259"/>
      <c r="AQ87" s="610"/>
      <c r="AR87" s="259"/>
      <c r="AS87" s="259" t="s">
        <v>2343</v>
      </c>
      <c r="AT87" s="608"/>
      <c r="AU87" s="259"/>
      <c r="AV87" s="259"/>
      <c r="AW87" s="559"/>
      <c r="AX87" s="559"/>
      <c r="AY87" s="608"/>
      <c r="AZ87" s="556"/>
    </row>
    <row r="88" spans="2:52" s="557" customFormat="1" ht="103.5" hidden="1" customHeight="1">
      <c r="B88" s="608"/>
      <c r="C88" s="266"/>
      <c r="D88" s="1399"/>
      <c r="E88" s="1408"/>
      <c r="F88" s="1400"/>
      <c r="G88" s="267"/>
      <c r="H88" s="1399"/>
      <c r="I88" s="1408"/>
      <c r="J88" s="1400"/>
      <c r="K88" s="1380"/>
      <c r="L88" s="1380"/>
      <c r="M88" s="1380"/>
      <c r="N88" s="608"/>
      <c r="O88" s="608"/>
      <c r="P88" s="608"/>
      <c r="Q88" s="608"/>
      <c r="R88" s="266"/>
      <c r="S88" s="266"/>
      <c r="T88" s="268"/>
      <c r="U88" s="269" t="e">
        <f>VLOOKUP(R88,[71]Listas!$D$6:$E$10,2,0)</f>
        <v>#N/A</v>
      </c>
      <c r="V88" s="269" t="e">
        <f>HLOOKUP(S88,[71]Listas!$F$4:$J$5,2,0)</f>
        <v>#N/A</v>
      </c>
      <c r="W88" s="270" t="e">
        <f>INDEX([71]Listas!$F$6:$J$10,MATCH(R88,[71]Listas!$D$6:$D$10,0),MATCH(S88,[71]Listas!$F$4:$J$4,0))</f>
        <v>#N/A</v>
      </c>
      <c r="X88" s="268"/>
      <c r="Y88" s="1399"/>
      <c r="Z88" s="1408"/>
      <c r="AA88" s="1400"/>
      <c r="AB88" s="1063"/>
      <c r="AC88" s="267"/>
      <c r="AD88" s="259"/>
      <c r="AE88" s="608"/>
      <c r="AF88" s="267"/>
      <c r="AG88" s="268"/>
      <c r="AH88" s="269">
        <f t="shared" si="12"/>
        <v>0</v>
      </c>
      <c r="AI88" s="558" t="e">
        <f t="shared" si="13"/>
        <v>#N/A</v>
      </c>
      <c r="AJ88" s="270" t="e">
        <f>IF(AI88&lt;=1,"Remota",VLOOKUP(AI88,[71]Listas!$C$6:$D$10,2,0))</f>
        <v>#N/A</v>
      </c>
      <c r="AK88" s="558" t="e">
        <f t="shared" si="14"/>
        <v>#N/A</v>
      </c>
      <c r="AL88" s="270" t="e">
        <f>IF(AK88&lt;=1,"Insignificante",HLOOKUP(AK88,[71]Listas!$F$3:$J$4,2,0))</f>
        <v>#N/A</v>
      </c>
      <c r="AM88" s="273" t="e">
        <f t="shared" si="15"/>
        <v>#N/A</v>
      </c>
      <c r="AN88" s="270" t="e">
        <f>INDEX([71]Listas!$F$6:$J$10,MATCH(AJ88,[71]Listas!$D$6:$D$10,0),MATCH(AL88,[71]Listas!$F$4:$J$4,0))</f>
        <v>#N/A</v>
      </c>
      <c r="AO88" s="259"/>
      <c r="AP88" s="259"/>
      <c r="AQ88" s="610"/>
      <c r="AR88" s="259"/>
      <c r="AS88" s="259" t="s">
        <v>2343</v>
      </c>
      <c r="AT88" s="608"/>
      <c r="AU88" s="259"/>
      <c r="AV88" s="259"/>
      <c r="AW88" s="559"/>
      <c r="AX88" s="559"/>
      <c r="AY88" s="608"/>
      <c r="AZ88" s="556"/>
    </row>
    <row r="89" spans="2:52" s="557" customFormat="1" ht="103.5" hidden="1" customHeight="1">
      <c r="B89" s="608"/>
      <c r="C89" s="266"/>
      <c r="D89" s="1399"/>
      <c r="E89" s="1408"/>
      <c r="F89" s="1400"/>
      <c r="G89" s="267"/>
      <c r="H89" s="1399"/>
      <c r="I89" s="1408"/>
      <c r="J89" s="1400"/>
      <c r="K89" s="1380"/>
      <c r="L89" s="1380"/>
      <c r="M89" s="1380"/>
      <c r="N89" s="608"/>
      <c r="O89" s="608"/>
      <c r="P89" s="608"/>
      <c r="Q89" s="608"/>
      <c r="R89" s="266"/>
      <c r="S89" s="266"/>
      <c r="T89" s="268"/>
      <c r="U89" s="269" t="e">
        <f>VLOOKUP(R89,[71]Listas!$D$6:$E$10,2,0)</f>
        <v>#N/A</v>
      </c>
      <c r="V89" s="269" t="e">
        <f>HLOOKUP(S89,[71]Listas!$F$4:$J$5,2,0)</f>
        <v>#N/A</v>
      </c>
      <c r="W89" s="270" t="e">
        <f>INDEX([71]Listas!$F$6:$J$10,MATCH(R89,[71]Listas!$D$6:$D$10,0),MATCH(S89,[71]Listas!$F$4:$J$4,0))</f>
        <v>#N/A</v>
      </c>
      <c r="X89" s="268"/>
      <c r="Y89" s="1399"/>
      <c r="Z89" s="1408"/>
      <c r="AA89" s="1400"/>
      <c r="AB89" s="1063"/>
      <c r="AC89" s="267"/>
      <c r="AD89" s="259"/>
      <c r="AE89" s="608"/>
      <c r="AF89" s="267"/>
      <c r="AG89" s="268"/>
      <c r="AH89" s="269">
        <f t="shared" si="12"/>
        <v>0</v>
      </c>
      <c r="AI89" s="558" t="e">
        <f t="shared" si="13"/>
        <v>#N/A</v>
      </c>
      <c r="AJ89" s="270" t="e">
        <f>IF(AI89&lt;=1,"Remota",VLOOKUP(AI89,[71]Listas!$C$6:$D$10,2,0))</f>
        <v>#N/A</v>
      </c>
      <c r="AK89" s="558" t="e">
        <f t="shared" si="14"/>
        <v>#N/A</v>
      </c>
      <c r="AL89" s="270" t="e">
        <f>IF(AK89&lt;=1,"Insignificante",HLOOKUP(AK89,[71]Listas!$F$3:$J$4,2,0))</f>
        <v>#N/A</v>
      </c>
      <c r="AM89" s="273" t="e">
        <f t="shared" si="15"/>
        <v>#N/A</v>
      </c>
      <c r="AN89" s="270" t="e">
        <f>INDEX([71]Listas!$F$6:$J$10,MATCH(AJ89,[71]Listas!$D$6:$D$10,0),MATCH(AL89,[71]Listas!$F$4:$J$4,0))</f>
        <v>#N/A</v>
      </c>
      <c r="AO89" s="259"/>
      <c r="AP89" s="259"/>
      <c r="AQ89" s="610"/>
      <c r="AR89" s="259"/>
      <c r="AS89" s="259" t="s">
        <v>2343</v>
      </c>
      <c r="AT89" s="608"/>
      <c r="AU89" s="259"/>
      <c r="AV89" s="259"/>
      <c r="AW89" s="559"/>
      <c r="AX89" s="559"/>
      <c r="AY89" s="608"/>
      <c r="AZ89" s="556"/>
    </row>
    <row r="90" spans="2:52" s="557" customFormat="1" ht="103.5" hidden="1" customHeight="1">
      <c r="B90" s="608"/>
      <c r="C90" s="266"/>
      <c r="D90" s="1399"/>
      <c r="E90" s="1408"/>
      <c r="F90" s="1400"/>
      <c r="G90" s="267"/>
      <c r="H90" s="1399"/>
      <c r="I90" s="1408"/>
      <c r="J90" s="1400"/>
      <c r="K90" s="1380"/>
      <c r="L90" s="1380"/>
      <c r="M90" s="1380"/>
      <c r="N90" s="608"/>
      <c r="O90" s="608"/>
      <c r="P90" s="608"/>
      <c r="Q90" s="608"/>
      <c r="R90" s="266"/>
      <c r="S90" s="266"/>
      <c r="T90" s="268"/>
      <c r="U90" s="269" t="e">
        <f>VLOOKUP(R90,[71]Listas!$D$6:$E$10,2,0)</f>
        <v>#N/A</v>
      </c>
      <c r="V90" s="269" t="e">
        <f>HLOOKUP(S90,[71]Listas!$F$4:$J$5,2,0)</f>
        <v>#N/A</v>
      </c>
      <c r="W90" s="270" t="e">
        <f>INDEX([71]Listas!$F$6:$J$10,MATCH(R90,[71]Listas!$D$6:$D$10,0),MATCH(S90,[71]Listas!$F$4:$J$4,0))</f>
        <v>#N/A</v>
      </c>
      <c r="X90" s="268"/>
      <c r="Y90" s="1399"/>
      <c r="Z90" s="1408"/>
      <c r="AA90" s="1400"/>
      <c r="AB90" s="1063"/>
      <c r="AC90" s="267"/>
      <c r="AD90" s="259"/>
      <c r="AE90" s="608"/>
      <c r="AF90" s="267"/>
      <c r="AG90" s="268"/>
      <c r="AH90" s="269">
        <f t="shared" si="12"/>
        <v>0</v>
      </c>
      <c r="AI90" s="558" t="e">
        <f t="shared" si="13"/>
        <v>#N/A</v>
      </c>
      <c r="AJ90" s="270" t="e">
        <f>IF(AI90&lt;=1,"Remota",VLOOKUP(AI90,[71]Listas!$C$6:$D$10,2,0))</f>
        <v>#N/A</v>
      </c>
      <c r="AK90" s="558" t="e">
        <f t="shared" si="14"/>
        <v>#N/A</v>
      </c>
      <c r="AL90" s="270" t="e">
        <f>IF(AK90&lt;=1,"Insignificante",HLOOKUP(AK90,[71]Listas!$F$3:$J$4,2,0))</f>
        <v>#N/A</v>
      </c>
      <c r="AM90" s="273" t="e">
        <f t="shared" si="15"/>
        <v>#N/A</v>
      </c>
      <c r="AN90" s="270" t="e">
        <f>INDEX([71]Listas!$F$6:$J$10,MATCH(AJ90,[71]Listas!$D$6:$D$10,0),MATCH(AL90,[71]Listas!$F$4:$J$4,0))</f>
        <v>#N/A</v>
      </c>
      <c r="AO90" s="259"/>
      <c r="AP90" s="259"/>
      <c r="AQ90" s="610"/>
      <c r="AR90" s="259"/>
      <c r="AS90" s="259" t="s">
        <v>2343</v>
      </c>
      <c r="AT90" s="608"/>
      <c r="AU90" s="259"/>
      <c r="AV90" s="259"/>
      <c r="AW90" s="559"/>
      <c r="AX90" s="559"/>
      <c r="AY90" s="608"/>
      <c r="AZ90" s="556"/>
    </row>
    <row r="91" spans="2:52" s="557" customFormat="1" ht="103.5" hidden="1" customHeight="1">
      <c r="B91" s="608"/>
      <c r="C91" s="266"/>
      <c r="D91" s="1399"/>
      <c r="E91" s="1408"/>
      <c r="F91" s="1400"/>
      <c r="G91" s="267"/>
      <c r="H91" s="1399"/>
      <c r="I91" s="1408"/>
      <c r="J91" s="1400"/>
      <c r="K91" s="1380"/>
      <c r="L91" s="1380"/>
      <c r="M91" s="1380"/>
      <c r="N91" s="608"/>
      <c r="O91" s="608"/>
      <c r="P91" s="608"/>
      <c r="Q91" s="608"/>
      <c r="R91" s="266"/>
      <c r="S91" s="266"/>
      <c r="T91" s="268"/>
      <c r="U91" s="269" t="e">
        <f>VLOOKUP(R91,[71]Listas!$D$6:$E$10,2,0)</f>
        <v>#N/A</v>
      </c>
      <c r="V91" s="269" t="e">
        <f>HLOOKUP(S91,[71]Listas!$F$4:$J$5,2,0)</f>
        <v>#N/A</v>
      </c>
      <c r="W91" s="270" t="e">
        <f>INDEX([71]Listas!$F$6:$J$10,MATCH(R91,[71]Listas!$D$6:$D$10,0),MATCH(S91,[71]Listas!$F$4:$J$4,0))</f>
        <v>#N/A</v>
      </c>
      <c r="X91" s="268"/>
      <c r="Y91" s="1399"/>
      <c r="Z91" s="1408"/>
      <c r="AA91" s="1400"/>
      <c r="AB91" s="1063"/>
      <c r="AC91" s="267"/>
      <c r="AD91" s="259"/>
      <c r="AE91" s="608"/>
      <c r="AF91" s="267"/>
      <c r="AG91" s="268"/>
      <c r="AH91" s="269">
        <f t="shared" si="12"/>
        <v>0</v>
      </c>
      <c r="AI91" s="558" t="e">
        <f t="shared" si="13"/>
        <v>#N/A</v>
      </c>
      <c r="AJ91" s="270" t="e">
        <f>IF(AI91&lt;=1,"Remota",VLOOKUP(AI91,[71]Listas!$C$6:$D$10,2,0))</f>
        <v>#N/A</v>
      </c>
      <c r="AK91" s="558" t="e">
        <f t="shared" si="14"/>
        <v>#N/A</v>
      </c>
      <c r="AL91" s="270" t="e">
        <f>IF(AK91&lt;=1,"Insignificante",HLOOKUP(AK91,[71]Listas!$F$3:$J$4,2,0))</f>
        <v>#N/A</v>
      </c>
      <c r="AM91" s="273" t="e">
        <f t="shared" si="15"/>
        <v>#N/A</v>
      </c>
      <c r="AN91" s="270" t="e">
        <f>INDEX([71]Listas!$F$6:$J$10,MATCH(AJ91,[71]Listas!$D$6:$D$10,0),MATCH(AL91,[71]Listas!$F$4:$J$4,0))</f>
        <v>#N/A</v>
      </c>
      <c r="AO91" s="259"/>
      <c r="AP91" s="259"/>
      <c r="AQ91" s="610"/>
      <c r="AR91" s="259"/>
      <c r="AS91" s="259" t="s">
        <v>2343</v>
      </c>
      <c r="AT91" s="608"/>
      <c r="AU91" s="259"/>
      <c r="AV91" s="259"/>
      <c r="AW91" s="559"/>
      <c r="AX91" s="559"/>
      <c r="AY91" s="608"/>
      <c r="AZ91" s="556"/>
    </row>
    <row r="92" spans="2:52" s="557" customFormat="1" ht="103.5" hidden="1" customHeight="1">
      <c r="B92" s="608"/>
      <c r="C92" s="266"/>
      <c r="D92" s="1399"/>
      <c r="E92" s="1408"/>
      <c r="F92" s="1400"/>
      <c r="G92" s="267"/>
      <c r="H92" s="1399"/>
      <c r="I92" s="1408"/>
      <c r="J92" s="1400"/>
      <c r="K92" s="1380"/>
      <c r="L92" s="1380"/>
      <c r="M92" s="1380"/>
      <c r="N92" s="608"/>
      <c r="O92" s="608"/>
      <c r="P92" s="608"/>
      <c r="Q92" s="608"/>
      <c r="R92" s="266"/>
      <c r="S92" s="266"/>
      <c r="T92" s="268"/>
      <c r="U92" s="269" t="e">
        <f>VLOOKUP(R92,[71]Listas!$D$6:$E$10,2,0)</f>
        <v>#N/A</v>
      </c>
      <c r="V92" s="269" t="e">
        <f>HLOOKUP(S92,[71]Listas!$F$4:$J$5,2,0)</f>
        <v>#N/A</v>
      </c>
      <c r="W92" s="270" t="e">
        <f>INDEX([71]Listas!$F$6:$J$10,MATCH(R92,[71]Listas!$D$6:$D$10,0),MATCH(S92,[71]Listas!$F$4:$J$4,0))</f>
        <v>#N/A</v>
      </c>
      <c r="X92" s="268"/>
      <c r="Y92" s="1399"/>
      <c r="Z92" s="1408"/>
      <c r="AA92" s="1400"/>
      <c r="AB92" s="1063"/>
      <c r="AC92" s="267"/>
      <c r="AD92" s="259"/>
      <c r="AE92" s="608"/>
      <c r="AF92" s="267"/>
      <c r="AG92" s="268"/>
      <c r="AH92" s="269">
        <f t="shared" si="12"/>
        <v>0</v>
      </c>
      <c r="AI92" s="558" t="e">
        <f t="shared" si="13"/>
        <v>#N/A</v>
      </c>
      <c r="AJ92" s="270" t="e">
        <f>IF(AI92&lt;=1,"Remota",VLOOKUP(AI92,[71]Listas!$C$6:$D$10,2,0))</f>
        <v>#N/A</v>
      </c>
      <c r="AK92" s="558" t="e">
        <f t="shared" si="14"/>
        <v>#N/A</v>
      </c>
      <c r="AL92" s="270" t="e">
        <f>IF(AK92&lt;=1,"Insignificante",HLOOKUP(AK92,[71]Listas!$F$3:$J$4,2,0))</f>
        <v>#N/A</v>
      </c>
      <c r="AM92" s="273" t="e">
        <f t="shared" si="15"/>
        <v>#N/A</v>
      </c>
      <c r="AN92" s="270" t="e">
        <f>INDEX([71]Listas!$F$6:$J$10,MATCH(AJ92,[71]Listas!$D$6:$D$10,0),MATCH(AL92,[71]Listas!$F$4:$J$4,0))</f>
        <v>#N/A</v>
      </c>
      <c r="AO92" s="259"/>
      <c r="AP92" s="259"/>
      <c r="AQ92" s="610"/>
      <c r="AR92" s="259"/>
      <c r="AS92" s="259" t="s">
        <v>2343</v>
      </c>
      <c r="AT92" s="608"/>
      <c r="AU92" s="259"/>
      <c r="AV92" s="259"/>
      <c r="AW92" s="559"/>
      <c r="AX92" s="559"/>
      <c r="AY92" s="608"/>
      <c r="AZ92" s="556"/>
    </row>
    <row r="93" spans="2:52" s="557" customFormat="1" ht="103.5" hidden="1" customHeight="1">
      <c r="B93" s="608"/>
      <c r="C93" s="266"/>
      <c r="D93" s="1399"/>
      <c r="E93" s="1408"/>
      <c r="F93" s="1400"/>
      <c r="G93" s="267"/>
      <c r="H93" s="1399"/>
      <c r="I93" s="1408"/>
      <c r="J93" s="1400"/>
      <c r="K93" s="1380"/>
      <c r="L93" s="1380"/>
      <c r="M93" s="1380"/>
      <c r="N93" s="608"/>
      <c r="O93" s="608"/>
      <c r="P93" s="608"/>
      <c r="Q93" s="608"/>
      <c r="R93" s="266"/>
      <c r="S93" s="266"/>
      <c r="T93" s="268"/>
      <c r="U93" s="269" t="e">
        <f>VLOOKUP(R93,[71]Listas!$D$6:$E$10,2,0)</f>
        <v>#N/A</v>
      </c>
      <c r="V93" s="269" t="e">
        <f>HLOOKUP(S93,[71]Listas!$F$4:$J$5,2,0)</f>
        <v>#N/A</v>
      </c>
      <c r="W93" s="270" t="e">
        <f>INDEX([71]Listas!$F$6:$J$10,MATCH(R93,[71]Listas!$D$6:$D$10,0),MATCH(S93,[71]Listas!$F$4:$J$4,0))</f>
        <v>#N/A</v>
      </c>
      <c r="X93" s="268"/>
      <c r="Y93" s="1399"/>
      <c r="Z93" s="1408"/>
      <c r="AA93" s="1400"/>
      <c r="AB93" s="1063"/>
      <c r="AC93" s="267"/>
      <c r="AD93" s="259"/>
      <c r="AE93" s="608"/>
      <c r="AF93" s="267"/>
      <c r="AG93" s="268"/>
      <c r="AH93" s="269">
        <f t="shared" si="12"/>
        <v>0</v>
      </c>
      <c r="AI93" s="558" t="e">
        <f t="shared" si="13"/>
        <v>#N/A</v>
      </c>
      <c r="AJ93" s="270" t="e">
        <f>IF(AI93&lt;=1,"Remota",VLOOKUP(AI93,[71]Listas!$C$6:$D$10,2,0))</f>
        <v>#N/A</v>
      </c>
      <c r="AK93" s="558" t="e">
        <f t="shared" si="14"/>
        <v>#N/A</v>
      </c>
      <c r="AL93" s="270" t="e">
        <f>IF(AK93&lt;=1,"Insignificante",HLOOKUP(AK93,[71]Listas!$F$3:$J$4,2,0))</f>
        <v>#N/A</v>
      </c>
      <c r="AM93" s="273" t="e">
        <f t="shared" si="15"/>
        <v>#N/A</v>
      </c>
      <c r="AN93" s="270" t="e">
        <f>INDEX([71]Listas!$F$6:$J$10,MATCH(AJ93,[71]Listas!$D$6:$D$10,0),MATCH(AL93,[71]Listas!$F$4:$J$4,0))</f>
        <v>#N/A</v>
      </c>
      <c r="AO93" s="259"/>
      <c r="AP93" s="259"/>
      <c r="AQ93" s="610"/>
      <c r="AR93" s="259"/>
      <c r="AS93" s="259" t="s">
        <v>2343</v>
      </c>
      <c r="AT93" s="608"/>
      <c r="AU93" s="259"/>
      <c r="AV93" s="259"/>
      <c r="AW93" s="559"/>
      <c r="AX93" s="559"/>
      <c r="AY93" s="608"/>
      <c r="AZ93" s="556"/>
    </row>
    <row r="94" spans="2:52" s="557" customFormat="1" ht="103.5" hidden="1" customHeight="1">
      <c r="B94" s="608"/>
      <c r="C94" s="266"/>
      <c r="D94" s="1399"/>
      <c r="E94" s="1408"/>
      <c r="F94" s="1400"/>
      <c r="G94" s="267"/>
      <c r="H94" s="1399"/>
      <c r="I94" s="1408"/>
      <c r="J94" s="1400"/>
      <c r="K94" s="1380"/>
      <c r="L94" s="1380"/>
      <c r="M94" s="1380"/>
      <c r="N94" s="608"/>
      <c r="O94" s="608"/>
      <c r="P94" s="608"/>
      <c r="Q94" s="608"/>
      <c r="R94" s="266"/>
      <c r="S94" s="266"/>
      <c r="T94" s="268"/>
      <c r="U94" s="269" t="e">
        <f>VLOOKUP(R94,[71]Listas!$D$6:$E$10,2,0)</f>
        <v>#N/A</v>
      </c>
      <c r="V94" s="269" t="e">
        <f>HLOOKUP(S94,[71]Listas!$F$4:$J$5,2,0)</f>
        <v>#N/A</v>
      </c>
      <c r="W94" s="270" t="e">
        <f>INDEX([71]Listas!$F$6:$J$10,MATCH(R94,[71]Listas!$D$6:$D$10,0),MATCH(S94,[71]Listas!$F$4:$J$4,0))</f>
        <v>#N/A</v>
      </c>
      <c r="X94" s="268"/>
      <c r="Y94" s="1399"/>
      <c r="Z94" s="1408"/>
      <c r="AA94" s="1400"/>
      <c r="AB94" s="1063"/>
      <c r="AC94" s="267"/>
      <c r="AD94" s="259"/>
      <c r="AE94" s="608"/>
      <c r="AF94" s="267"/>
      <c r="AG94" s="268"/>
      <c r="AH94" s="269">
        <f t="shared" si="12"/>
        <v>0</v>
      </c>
      <c r="AI94" s="558" t="e">
        <f t="shared" si="13"/>
        <v>#N/A</v>
      </c>
      <c r="AJ94" s="270" t="e">
        <f>IF(AI94&lt;=1,"Remota",VLOOKUP(AI94,[71]Listas!$C$6:$D$10,2,0))</f>
        <v>#N/A</v>
      </c>
      <c r="AK94" s="558" t="e">
        <f t="shared" si="14"/>
        <v>#N/A</v>
      </c>
      <c r="AL94" s="270" t="e">
        <f>IF(AK94&lt;=1,"Insignificante",HLOOKUP(AK94,[71]Listas!$F$3:$J$4,2,0))</f>
        <v>#N/A</v>
      </c>
      <c r="AM94" s="273" t="e">
        <f t="shared" si="15"/>
        <v>#N/A</v>
      </c>
      <c r="AN94" s="270" t="e">
        <f>INDEX([71]Listas!$F$6:$J$10,MATCH(AJ94,[71]Listas!$D$6:$D$10,0),MATCH(AL94,[71]Listas!$F$4:$J$4,0))</f>
        <v>#N/A</v>
      </c>
      <c r="AO94" s="259"/>
      <c r="AP94" s="259"/>
      <c r="AQ94" s="610"/>
      <c r="AR94" s="259"/>
      <c r="AS94" s="259" t="s">
        <v>2343</v>
      </c>
      <c r="AT94" s="608"/>
      <c r="AU94" s="259"/>
      <c r="AV94" s="259"/>
      <c r="AW94" s="559"/>
      <c r="AX94" s="559"/>
      <c r="AY94" s="608"/>
      <c r="AZ94" s="556"/>
    </row>
    <row r="95" spans="2:52" s="557" customFormat="1" ht="103.5" hidden="1" customHeight="1">
      <c r="B95" s="608"/>
      <c r="C95" s="266"/>
      <c r="D95" s="1399"/>
      <c r="E95" s="1408"/>
      <c r="F95" s="1400"/>
      <c r="G95" s="267"/>
      <c r="H95" s="1399"/>
      <c r="I95" s="1408"/>
      <c r="J95" s="1400"/>
      <c r="K95" s="1380"/>
      <c r="L95" s="1380"/>
      <c r="M95" s="1380"/>
      <c r="N95" s="608"/>
      <c r="O95" s="608"/>
      <c r="P95" s="608"/>
      <c r="Q95" s="608"/>
      <c r="R95" s="266"/>
      <c r="S95" s="266"/>
      <c r="T95" s="268"/>
      <c r="U95" s="269" t="e">
        <f>VLOOKUP(R95,[71]Listas!$D$6:$E$10,2,0)</f>
        <v>#N/A</v>
      </c>
      <c r="V95" s="269" t="e">
        <f>HLOOKUP(S95,[71]Listas!$F$4:$J$5,2,0)</f>
        <v>#N/A</v>
      </c>
      <c r="W95" s="270" t="e">
        <f>INDEX([71]Listas!$F$6:$J$10,MATCH(R95,[71]Listas!$D$6:$D$10,0),MATCH(S95,[71]Listas!$F$4:$J$4,0))</f>
        <v>#N/A</v>
      </c>
      <c r="X95" s="268"/>
      <c r="Y95" s="1399"/>
      <c r="Z95" s="1408"/>
      <c r="AA95" s="1400"/>
      <c r="AB95" s="1063"/>
      <c r="AC95" s="267"/>
      <c r="AD95" s="259"/>
      <c r="AE95" s="608"/>
      <c r="AF95" s="267"/>
      <c r="AG95" s="268"/>
      <c r="AH95" s="269">
        <f t="shared" si="12"/>
        <v>0</v>
      </c>
      <c r="AI95" s="558" t="e">
        <f t="shared" si="13"/>
        <v>#N/A</v>
      </c>
      <c r="AJ95" s="270" t="e">
        <f>IF(AI95&lt;=1,"Remota",VLOOKUP(AI95,[71]Listas!$C$6:$D$10,2,0))</f>
        <v>#N/A</v>
      </c>
      <c r="AK95" s="558" t="e">
        <f t="shared" si="14"/>
        <v>#N/A</v>
      </c>
      <c r="AL95" s="270" t="e">
        <f>IF(AK95&lt;=1,"Insignificante",HLOOKUP(AK95,[71]Listas!$F$3:$J$4,2,0))</f>
        <v>#N/A</v>
      </c>
      <c r="AM95" s="273" t="e">
        <f t="shared" si="15"/>
        <v>#N/A</v>
      </c>
      <c r="AN95" s="270" t="e">
        <f>INDEX([71]Listas!$F$6:$J$10,MATCH(AJ95,[71]Listas!$D$6:$D$10,0),MATCH(AL95,[71]Listas!$F$4:$J$4,0))</f>
        <v>#N/A</v>
      </c>
      <c r="AO95" s="259"/>
      <c r="AP95" s="259"/>
      <c r="AQ95" s="610"/>
      <c r="AR95" s="259"/>
      <c r="AS95" s="259" t="s">
        <v>2343</v>
      </c>
      <c r="AT95" s="608"/>
      <c r="AU95" s="259"/>
      <c r="AV95" s="259"/>
      <c r="AW95" s="559"/>
      <c r="AX95" s="559"/>
      <c r="AY95" s="608"/>
      <c r="AZ95" s="556"/>
    </row>
    <row r="96" spans="2:52" s="557" customFormat="1" ht="103.5" hidden="1" customHeight="1">
      <c r="B96" s="608"/>
      <c r="C96" s="266"/>
      <c r="D96" s="1399"/>
      <c r="E96" s="1408"/>
      <c r="F96" s="1400"/>
      <c r="G96" s="267"/>
      <c r="H96" s="1399"/>
      <c r="I96" s="1408"/>
      <c r="J96" s="1400"/>
      <c r="K96" s="1380"/>
      <c r="L96" s="1380"/>
      <c r="M96" s="1380"/>
      <c r="N96" s="608"/>
      <c r="O96" s="608"/>
      <c r="P96" s="608"/>
      <c r="Q96" s="608"/>
      <c r="R96" s="266"/>
      <c r="S96" s="266"/>
      <c r="T96" s="268"/>
      <c r="U96" s="269" t="e">
        <f>VLOOKUP(R96,[71]Listas!$D$6:$E$10,2,0)</f>
        <v>#N/A</v>
      </c>
      <c r="V96" s="269" t="e">
        <f>HLOOKUP(S96,[71]Listas!$F$4:$J$5,2,0)</f>
        <v>#N/A</v>
      </c>
      <c r="W96" s="270" t="e">
        <f>INDEX([71]Listas!$F$6:$J$10,MATCH(R96,[71]Listas!$D$6:$D$10,0),MATCH(S96,[71]Listas!$F$4:$J$4,0))</f>
        <v>#N/A</v>
      </c>
      <c r="X96" s="268"/>
      <c r="Y96" s="1399"/>
      <c r="Z96" s="1408"/>
      <c r="AA96" s="1400"/>
      <c r="AB96" s="1063"/>
      <c r="AC96" s="267"/>
      <c r="AD96" s="259"/>
      <c r="AE96" s="608"/>
      <c r="AF96" s="267"/>
      <c r="AG96" s="268"/>
      <c r="AH96" s="269">
        <f t="shared" si="12"/>
        <v>0</v>
      </c>
      <c r="AI96" s="558" t="e">
        <f t="shared" si="13"/>
        <v>#N/A</v>
      </c>
      <c r="AJ96" s="270" t="e">
        <f>IF(AI96&lt;=1,"Remota",VLOOKUP(AI96,[71]Listas!$C$6:$D$10,2,0))</f>
        <v>#N/A</v>
      </c>
      <c r="AK96" s="558" t="e">
        <f t="shared" si="14"/>
        <v>#N/A</v>
      </c>
      <c r="AL96" s="270" t="e">
        <f>IF(AK96&lt;=1,"Insignificante",HLOOKUP(AK96,[71]Listas!$F$3:$J$4,2,0))</f>
        <v>#N/A</v>
      </c>
      <c r="AM96" s="273" t="e">
        <f t="shared" si="15"/>
        <v>#N/A</v>
      </c>
      <c r="AN96" s="270" t="e">
        <f>INDEX([71]Listas!$F$6:$J$10,MATCH(AJ96,[71]Listas!$D$6:$D$10,0),MATCH(AL96,[71]Listas!$F$4:$J$4,0))</f>
        <v>#N/A</v>
      </c>
      <c r="AO96" s="259"/>
      <c r="AP96" s="259"/>
      <c r="AQ96" s="610"/>
      <c r="AR96" s="259"/>
      <c r="AS96" s="259" t="s">
        <v>2343</v>
      </c>
      <c r="AT96" s="608"/>
      <c r="AU96" s="259"/>
      <c r="AV96" s="259"/>
      <c r="AW96" s="559"/>
      <c r="AX96" s="559"/>
      <c r="AY96" s="608"/>
      <c r="AZ96" s="556"/>
    </row>
    <row r="97" spans="2:52" s="557" customFormat="1" ht="103.5" hidden="1" customHeight="1">
      <c r="B97" s="608"/>
      <c r="C97" s="266"/>
      <c r="D97" s="1399"/>
      <c r="E97" s="1408"/>
      <c r="F97" s="1400"/>
      <c r="G97" s="267"/>
      <c r="H97" s="1399"/>
      <c r="I97" s="1408"/>
      <c r="J97" s="1400"/>
      <c r="K97" s="1380"/>
      <c r="L97" s="1380"/>
      <c r="M97" s="1380"/>
      <c r="N97" s="608"/>
      <c r="O97" s="608"/>
      <c r="P97" s="608"/>
      <c r="Q97" s="608"/>
      <c r="R97" s="266"/>
      <c r="S97" s="266"/>
      <c r="T97" s="268"/>
      <c r="U97" s="269" t="e">
        <f>VLOOKUP(R97,[71]Listas!$D$6:$E$10,2,0)</f>
        <v>#N/A</v>
      </c>
      <c r="V97" s="269" t="e">
        <f>HLOOKUP(S97,[71]Listas!$F$4:$J$5,2,0)</f>
        <v>#N/A</v>
      </c>
      <c r="W97" s="270" t="e">
        <f>INDEX([71]Listas!$F$6:$J$10,MATCH(R97,[71]Listas!$D$6:$D$10,0),MATCH(S97,[71]Listas!$F$4:$J$4,0))</f>
        <v>#N/A</v>
      </c>
      <c r="X97" s="268"/>
      <c r="Y97" s="1399"/>
      <c r="Z97" s="1408"/>
      <c r="AA97" s="1400"/>
      <c r="AB97" s="1063"/>
      <c r="AC97" s="267"/>
      <c r="AD97" s="259"/>
      <c r="AE97" s="608"/>
      <c r="AF97" s="267"/>
      <c r="AG97" s="268"/>
      <c r="AH97" s="269">
        <f t="shared" si="12"/>
        <v>0</v>
      </c>
      <c r="AI97" s="558" t="e">
        <f t="shared" si="13"/>
        <v>#N/A</v>
      </c>
      <c r="AJ97" s="270" t="e">
        <f>IF(AI97&lt;=1,"Remota",VLOOKUP(AI97,[71]Listas!$C$6:$D$10,2,0))</f>
        <v>#N/A</v>
      </c>
      <c r="AK97" s="558" t="e">
        <f t="shared" si="14"/>
        <v>#N/A</v>
      </c>
      <c r="AL97" s="270" t="e">
        <f>IF(AK97&lt;=1,"Insignificante",HLOOKUP(AK97,[71]Listas!$F$3:$J$4,2,0))</f>
        <v>#N/A</v>
      </c>
      <c r="AM97" s="273" t="e">
        <f t="shared" si="15"/>
        <v>#N/A</v>
      </c>
      <c r="AN97" s="270" t="e">
        <f>INDEX([71]Listas!$F$6:$J$10,MATCH(AJ97,[71]Listas!$D$6:$D$10,0),MATCH(AL97,[71]Listas!$F$4:$J$4,0))</f>
        <v>#N/A</v>
      </c>
      <c r="AO97" s="259"/>
      <c r="AP97" s="259"/>
      <c r="AQ97" s="610"/>
      <c r="AR97" s="259"/>
      <c r="AS97" s="259" t="s">
        <v>2343</v>
      </c>
      <c r="AT97" s="608"/>
      <c r="AU97" s="259"/>
      <c r="AV97" s="259"/>
      <c r="AW97" s="559"/>
      <c r="AX97" s="559"/>
      <c r="AY97" s="608"/>
      <c r="AZ97" s="556"/>
    </row>
    <row r="98" spans="2:52" s="557" customFormat="1" ht="103.5" hidden="1" customHeight="1">
      <c r="B98" s="608"/>
      <c r="C98" s="266"/>
      <c r="D98" s="1399"/>
      <c r="E98" s="1408"/>
      <c r="F98" s="1400"/>
      <c r="G98" s="267"/>
      <c r="H98" s="1399"/>
      <c r="I98" s="1408"/>
      <c r="J98" s="1400"/>
      <c r="K98" s="1380"/>
      <c r="L98" s="1380"/>
      <c r="M98" s="1380"/>
      <c r="N98" s="608"/>
      <c r="O98" s="608"/>
      <c r="P98" s="608"/>
      <c r="Q98" s="608"/>
      <c r="R98" s="266"/>
      <c r="S98" s="266"/>
      <c r="T98" s="268"/>
      <c r="U98" s="269" t="e">
        <f>VLOOKUP(R98,[71]Listas!$D$6:$E$10,2,0)</f>
        <v>#N/A</v>
      </c>
      <c r="V98" s="269" t="e">
        <f>HLOOKUP(S98,[71]Listas!$F$4:$J$5,2,0)</f>
        <v>#N/A</v>
      </c>
      <c r="W98" s="270" t="e">
        <f>INDEX([71]Listas!$F$6:$J$10,MATCH(R98,[71]Listas!$D$6:$D$10,0),MATCH(S98,[71]Listas!$F$4:$J$4,0))</f>
        <v>#N/A</v>
      </c>
      <c r="X98" s="268"/>
      <c r="Y98" s="1399"/>
      <c r="Z98" s="1408"/>
      <c r="AA98" s="1400"/>
      <c r="AB98" s="1063"/>
      <c r="AC98" s="267"/>
      <c r="AD98" s="259"/>
      <c r="AE98" s="608"/>
      <c r="AF98" s="267"/>
      <c r="AG98" s="268"/>
      <c r="AH98" s="269">
        <f t="shared" si="12"/>
        <v>0</v>
      </c>
      <c r="AI98" s="558" t="e">
        <f t="shared" si="13"/>
        <v>#N/A</v>
      </c>
      <c r="AJ98" s="270" t="e">
        <f>IF(AI98&lt;=1,"Remota",VLOOKUP(AI98,[71]Listas!$C$6:$D$10,2,0))</f>
        <v>#N/A</v>
      </c>
      <c r="AK98" s="558" t="e">
        <f t="shared" si="14"/>
        <v>#N/A</v>
      </c>
      <c r="AL98" s="270" t="e">
        <f>IF(AK98&lt;=1,"Insignificante",HLOOKUP(AK98,[71]Listas!$F$3:$J$4,2,0))</f>
        <v>#N/A</v>
      </c>
      <c r="AM98" s="273" t="e">
        <f t="shared" si="15"/>
        <v>#N/A</v>
      </c>
      <c r="AN98" s="270" t="e">
        <f>INDEX([71]Listas!$F$6:$J$10,MATCH(AJ98,[71]Listas!$D$6:$D$10,0),MATCH(AL98,[71]Listas!$F$4:$J$4,0))</f>
        <v>#N/A</v>
      </c>
      <c r="AO98" s="259"/>
      <c r="AP98" s="259"/>
      <c r="AQ98" s="610"/>
      <c r="AR98" s="259"/>
      <c r="AS98" s="259" t="s">
        <v>2343</v>
      </c>
      <c r="AT98" s="608"/>
      <c r="AU98" s="259"/>
      <c r="AV98" s="259"/>
      <c r="AW98" s="559"/>
      <c r="AX98" s="559"/>
      <c r="AY98" s="608"/>
      <c r="AZ98" s="556"/>
    </row>
    <row r="99" spans="2:52" s="557" customFormat="1" ht="103.5" hidden="1" customHeight="1">
      <c r="B99" s="608"/>
      <c r="C99" s="266"/>
      <c r="D99" s="1399"/>
      <c r="E99" s="1408"/>
      <c r="F99" s="1400"/>
      <c r="G99" s="267"/>
      <c r="H99" s="1399"/>
      <c r="I99" s="1408"/>
      <c r="J99" s="1400"/>
      <c r="K99" s="1380"/>
      <c r="L99" s="1380"/>
      <c r="M99" s="1380"/>
      <c r="N99" s="608"/>
      <c r="O99" s="608"/>
      <c r="P99" s="608"/>
      <c r="Q99" s="608"/>
      <c r="R99" s="266"/>
      <c r="S99" s="266"/>
      <c r="T99" s="268"/>
      <c r="U99" s="269" t="e">
        <f>VLOOKUP(R99,[71]Listas!$D$6:$E$10,2,0)</f>
        <v>#N/A</v>
      </c>
      <c r="V99" s="269" t="e">
        <f>HLOOKUP(S99,[71]Listas!$F$4:$J$5,2,0)</f>
        <v>#N/A</v>
      </c>
      <c r="W99" s="270" t="e">
        <f>INDEX([71]Listas!$F$6:$J$10,MATCH(R99,[71]Listas!$D$6:$D$10,0),MATCH(S99,[71]Listas!$F$4:$J$4,0))</f>
        <v>#N/A</v>
      </c>
      <c r="X99" s="268"/>
      <c r="Y99" s="1399"/>
      <c r="Z99" s="1408"/>
      <c r="AA99" s="1400"/>
      <c r="AB99" s="1063"/>
      <c r="AC99" s="267"/>
      <c r="AD99" s="259"/>
      <c r="AE99" s="608"/>
      <c r="AF99" s="267"/>
      <c r="AG99" s="268"/>
      <c r="AH99" s="269">
        <f t="shared" si="12"/>
        <v>0</v>
      </c>
      <c r="AI99" s="558" t="e">
        <f t="shared" si="13"/>
        <v>#N/A</v>
      </c>
      <c r="AJ99" s="270" t="e">
        <f>IF(AI99&lt;=1,"Remota",VLOOKUP(AI99,[71]Listas!$C$6:$D$10,2,0))</f>
        <v>#N/A</v>
      </c>
      <c r="AK99" s="558" t="e">
        <f t="shared" si="14"/>
        <v>#N/A</v>
      </c>
      <c r="AL99" s="270" t="e">
        <f>IF(AK99&lt;=1,"Insignificante",HLOOKUP(AK99,[71]Listas!$F$3:$J$4,2,0))</f>
        <v>#N/A</v>
      </c>
      <c r="AM99" s="273" t="e">
        <f t="shared" si="15"/>
        <v>#N/A</v>
      </c>
      <c r="AN99" s="270" t="e">
        <f>INDEX([71]Listas!$F$6:$J$10,MATCH(AJ99,[71]Listas!$D$6:$D$10,0),MATCH(AL99,[71]Listas!$F$4:$J$4,0))</f>
        <v>#N/A</v>
      </c>
      <c r="AO99" s="259"/>
      <c r="AP99" s="259"/>
      <c r="AQ99" s="610"/>
      <c r="AR99" s="259"/>
      <c r="AS99" s="259" t="s">
        <v>2343</v>
      </c>
      <c r="AT99" s="608"/>
      <c r="AU99" s="259"/>
      <c r="AV99" s="259"/>
      <c r="AW99" s="559"/>
      <c r="AX99" s="559"/>
      <c r="AY99" s="608"/>
      <c r="AZ99" s="556"/>
    </row>
    <row r="100" spans="2:52" s="557" customFormat="1" ht="103.5" hidden="1" customHeight="1">
      <c r="B100" s="608"/>
      <c r="C100" s="266"/>
      <c r="D100" s="1399"/>
      <c r="E100" s="1408"/>
      <c r="F100" s="1400"/>
      <c r="G100" s="267"/>
      <c r="H100" s="1399"/>
      <c r="I100" s="1408"/>
      <c r="J100" s="1400"/>
      <c r="K100" s="1380"/>
      <c r="L100" s="1380"/>
      <c r="M100" s="1380"/>
      <c r="N100" s="608"/>
      <c r="O100" s="608"/>
      <c r="P100" s="608"/>
      <c r="Q100" s="608"/>
      <c r="R100" s="266"/>
      <c r="S100" s="266"/>
      <c r="T100" s="268"/>
      <c r="U100" s="269" t="e">
        <f>VLOOKUP(R100,[71]Listas!$D$6:$E$10,2,0)</f>
        <v>#N/A</v>
      </c>
      <c r="V100" s="269" t="e">
        <f>HLOOKUP(S100,[71]Listas!$F$4:$J$5,2,0)</f>
        <v>#N/A</v>
      </c>
      <c r="W100" s="270" t="e">
        <f>INDEX([71]Listas!$F$6:$J$10,MATCH(R100,[71]Listas!$D$6:$D$10,0),MATCH(S100,[71]Listas!$F$4:$J$4,0))</f>
        <v>#N/A</v>
      </c>
      <c r="X100" s="268"/>
      <c r="Y100" s="1399"/>
      <c r="Z100" s="1408"/>
      <c r="AA100" s="1400"/>
      <c r="AB100" s="1063"/>
      <c r="AC100" s="267"/>
      <c r="AD100" s="259"/>
      <c r="AE100" s="608"/>
      <c r="AF100" s="267"/>
      <c r="AG100" s="268"/>
      <c r="AH100" s="269">
        <f t="shared" si="12"/>
        <v>0</v>
      </c>
      <c r="AI100" s="558" t="e">
        <f t="shared" si="13"/>
        <v>#N/A</v>
      </c>
      <c r="AJ100" s="270" t="e">
        <f>IF(AI100&lt;=1,"Remota",VLOOKUP(AI100,[71]Listas!$C$6:$D$10,2,0))</f>
        <v>#N/A</v>
      </c>
      <c r="AK100" s="558" t="e">
        <f t="shared" si="14"/>
        <v>#N/A</v>
      </c>
      <c r="AL100" s="270" t="e">
        <f>IF(AK100&lt;=1,"Insignificante",HLOOKUP(AK100,[71]Listas!$F$3:$J$4,2,0))</f>
        <v>#N/A</v>
      </c>
      <c r="AM100" s="273" t="e">
        <f t="shared" si="15"/>
        <v>#N/A</v>
      </c>
      <c r="AN100" s="270" t="e">
        <f>INDEX([71]Listas!$F$6:$J$10,MATCH(AJ100,[71]Listas!$D$6:$D$10,0),MATCH(AL100,[71]Listas!$F$4:$J$4,0))</f>
        <v>#N/A</v>
      </c>
      <c r="AO100" s="259"/>
      <c r="AP100" s="259"/>
      <c r="AQ100" s="610"/>
      <c r="AR100" s="259"/>
      <c r="AS100" s="259" t="s">
        <v>2343</v>
      </c>
      <c r="AT100" s="608"/>
      <c r="AU100" s="259"/>
      <c r="AV100" s="259"/>
      <c r="AW100" s="559"/>
      <c r="AX100" s="559"/>
      <c r="AY100" s="608"/>
      <c r="AZ100" s="556"/>
    </row>
    <row r="101" spans="2:52" s="557" customFormat="1" ht="103.5" hidden="1" customHeight="1">
      <c r="B101" s="608"/>
      <c r="C101" s="266"/>
      <c r="D101" s="1399"/>
      <c r="E101" s="1408"/>
      <c r="F101" s="1400"/>
      <c r="G101" s="267"/>
      <c r="H101" s="1399"/>
      <c r="I101" s="1408"/>
      <c r="J101" s="1400"/>
      <c r="K101" s="1380"/>
      <c r="L101" s="1380"/>
      <c r="M101" s="1380"/>
      <c r="N101" s="608"/>
      <c r="O101" s="608"/>
      <c r="P101" s="608"/>
      <c r="Q101" s="608"/>
      <c r="R101" s="266"/>
      <c r="S101" s="266"/>
      <c r="T101" s="268"/>
      <c r="U101" s="269" t="e">
        <f>VLOOKUP(R101,[71]Listas!$D$6:$E$10,2,0)</f>
        <v>#N/A</v>
      </c>
      <c r="V101" s="269" t="e">
        <f>HLOOKUP(S101,[71]Listas!$F$4:$J$5,2,0)</f>
        <v>#N/A</v>
      </c>
      <c r="W101" s="270" t="e">
        <f>INDEX([71]Listas!$F$6:$J$10,MATCH(R101,[71]Listas!$D$6:$D$10,0),MATCH(S101,[71]Listas!$F$4:$J$4,0))</f>
        <v>#N/A</v>
      </c>
      <c r="X101" s="268"/>
      <c r="Y101" s="1399"/>
      <c r="Z101" s="1408"/>
      <c r="AA101" s="1400"/>
      <c r="AB101" s="1063"/>
      <c r="AC101" s="267"/>
      <c r="AD101" s="259"/>
      <c r="AE101" s="608"/>
      <c r="AF101" s="267"/>
      <c r="AG101" s="268"/>
      <c r="AH101" s="269">
        <f t="shared" si="12"/>
        <v>0</v>
      </c>
      <c r="AI101" s="558" t="e">
        <f t="shared" si="13"/>
        <v>#N/A</v>
      </c>
      <c r="AJ101" s="270" t="e">
        <f>IF(AI101&lt;=1,"Remota",VLOOKUP(AI101,[71]Listas!$C$6:$D$10,2,0))</f>
        <v>#N/A</v>
      </c>
      <c r="AK101" s="558" t="e">
        <f t="shared" si="14"/>
        <v>#N/A</v>
      </c>
      <c r="AL101" s="270" t="e">
        <f>IF(AK101&lt;=1,"Insignificante",HLOOKUP(AK101,[71]Listas!$F$3:$J$4,2,0))</f>
        <v>#N/A</v>
      </c>
      <c r="AM101" s="273" t="e">
        <f t="shared" si="15"/>
        <v>#N/A</v>
      </c>
      <c r="AN101" s="270" t="e">
        <f>INDEX([71]Listas!$F$6:$J$10,MATCH(AJ101,[71]Listas!$D$6:$D$10,0),MATCH(AL101,[71]Listas!$F$4:$J$4,0))</f>
        <v>#N/A</v>
      </c>
      <c r="AO101" s="259"/>
      <c r="AP101" s="259"/>
      <c r="AQ101" s="610"/>
      <c r="AR101" s="259"/>
      <c r="AS101" s="259" t="s">
        <v>2343</v>
      </c>
      <c r="AT101" s="608"/>
      <c r="AU101" s="259"/>
      <c r="AV101" s="259"/>
      <c r="AW101" s="559"/>
      <c r="AX101" s="559"/>
      <c r="AY101" s="608"/>
      <c r="AZ101" s="556"/>
    </row>
    <row r="102" spans="2:52" s="557" customFormat="1" ht="103.5" hidden="1" customHeight="1">
      <c r="B102" s="608"/>
      <c r="C102" s="266"/>
      <c r="D102" s="1399"/>
      <c r="E102" s="1408"/>
      <c r="F102" s="1400"/>
      <c r="G102" s="267"/>
      <c r="H102" s="1399"/>
      <c r="I102" s="1408"/>
      <c r="J102" s="1400"/>
      <c r="K102" s="1380"/>
      <c r="L102" s="1380"/>
      <c r="M102" s="1380"/>
      <c r="N102" s="608"/>
      <c r="O102" s="608"/>
      <c r="P102" s="608"/>
      <c r="Q102" s="608"/>
      <c r="R102" s="266"/>
      <c r="S102" s="266"/>
      <c r="T102" s="268"/>
      <c r="U102" s="269" t="e">
        <f>VLOOKUP(R102,[71]Listas!$D$6:$E$10,2,0)</f>
        <v>#N/A</v>
      </c>
      <c r="V102" s="269" t="e">
        <f>HLOOKUP(S102,[71]Listas!$F$4:$J$5,2,0)</f>
        <v>#N/A</v>
      </c>
      <c r="W102" s="270" t="e">
        <f>INDEX([71]Listas!$F$6:$J$10,MATCH(R102,[71]Listas!$D$6:$D$10,0),MATCH(S102,[71]Listas!$F$4:$J$4,0))</f>
        <v>#N/A</v>
      </c>
      <c r="X102" s="268"/>
      <c r="Y102" s="1399"/>
      <c r="Z102" s="1408"/>
      <c r="AA102" s="1400"/>
      <c r="AB102" s="1063"/>
      <c r="AC102" s="267"/>
      <c r="AD102" s="259"/>
      <c r="AE102" s="608"/>
      <c r="AF102" s="267"/>
      <c r="AG102" s="268"/>
      <c r="AH102" s="269">
        <f t="shared" si="12"/>
        <v>0</v>
      </c>
      <c r="AI102" s="558" t="e">
        <f t="shared" si="13"/>
        <v>#N/A</v>
      </c>
      <c r="AJ102" s="270" t="e">
        <f>IF(AI102&lt;=1,"Remota",VLOOKUP(AI102,[71]Listas!$C$6:$D$10,2,0))</f>
        <v>#N/A</v>
      </c>
      <c r="AK102" s="558" t="e">
        <f t="shared" si="14"/>
        <v>#N/A</v>
      </c>
      <c r="AL102" s="270" t="e">
        <f>IF(AK102&lt;=1,"Insignificante",HLOOKUP(AK102,[71]Listas!$F$3:$J$4,2,0))</f>
        <v>#N/A</v>
      </c>
      <c r="AM102" s="273" t="e">
        <f t="shared" si="15"/>
        <v>#N/A</v>
      </c>
      <c r="AN102" s="270" t="e">
        <f>INDEX([71]Listas!$F$6:$J$10,MATCH(AJ102,[71]Listas!$D$6:$D$10,0),MATCH(AL102,[71]Listas!$F$4:$J$4,0))</f>
        <v>#N/A</v>
      </c>
      <c r="AO102" s="259"/>
      <c r="AP102" s="259"/>
      <c r="AQ102" s="610"/>
      <c r="AR102" s="259"/>
      <c r="AS102" s="259" t="s">
        <v>2343</v>
      </c>
      <c r="AT102" s="608"/>
      <c r="AU102" s="259"/>
      <c r="AV102" s="259"/>
      <c r="AW102" s="559"/>
      <c r="AX102" s="559"/>
      <c r="AY102" s="608"/>
      <c r="AZ102" s="556"/>
    </row>
    <row r="103" spans="2:52" s="557" customFormat="1" ht="103.5" hidden="1" customHeight="1">
      <c r="B103" s="608"/>
      <c r="C103" s="266"/>
      <c r="D103" s="1399"/>
      <c r="E103" s="1408"/>
      <c r="F103" s="1400"/>
      <c r="G103" s="267"/>
      <c r="H103" s="1399"/>
      <c r="I103" s="1408"/>
      <c r="J103" s="1400"/>
      <c r="K103" s="1380"/>
      <c r="L103" s="1380"/>
      <c r="M103" s="1380"/>
      <c r="N103" s="608"/>
      <c r="O103" s="608"/>
      <c r="P103" s="608"/>
      <c r="Q103" s="608"/>
      <c r="R103" s="266"/>
      <c r="S103" s="266"/>
      <c r="T103" s="268"/>
      <c r="U103" s="269" t="e">
        <f>VLOOKUP(R103,[71]Listas!$D$6:$E$10,2,0)</f>
        <v>#N/A</v>
      </c>
      <c r="V103" s="269" t="e">
        <f>HLOOKUP(S103,[71]Listas!$F$4:$J$5,2,0)</f>
        <v>#N/A</v>
      </c>
      <c r="W103" s="270" t="e">
        <f>INDEX([71]Listas!$F$6:$J$10,MATCH(R103,[71]Listas!$D$6:$D$10,0),MATCH(S103,[71]Listas!$F$4:$J$4,0))</f>
        <v>#N/A</v>
      </c>
      <c r="X103" s="268"/>
      <c r="Y103" s="1399"/>
      <c r="Z103" s="1408"/>
      <c r="AA103" s="1400"/>
      <c r="AB103" s="1063"/>
      <c r="AC103" s="267"/>
      <c r="AD103" s="259"/>
      <c r="AE103" s="608"/>
      <c r="AF103" s="267"/>
      <c r="AG103" s="268"/>
      <c r="AH103" s="269">
        <f t="shared" si="12"/>
        <v>0</v>
      </c>
      <c r="AI103" s="558" t="e">
        <f t="shared" si="13"/>
        <v>#N/A</v>
      </c>
      <c r="AJ103" s="270" t="e">
        <f>IF(AI103&lt;=1,"Remota",VLOOKUP(AI103,[71]Listas!$C$6:$D$10,2,0))</f>
        <v>#N/A</v>
      </c>
      <c r="AK103" s="558" t="e">
        <f t="shared" si="14"/>
        <v>#N/A</v>
      </c>
      <c r="AL103" s="270" t="e">
        <f>IF(AK103&lt;=1,"Insignificante",HLOOKUP(AK103,[71]Listas!$F$3:$J$4,2,0))</f>
        <v>#N/A</v>
      </c>
      <c r="AM103" s="273" t="e">
        <f t="shared" si="15"/>
        <v>#N/A</v>
      </c>
      <c r="AN103" s="270" t="e">
        <f>INDEX([71]Listas!$F$6:$J$10,MATCH(AJ103,[71]Listas!$D$6:$D$10,0),MATCH(AL103,[71]Listas!$F$4:$J$4,0))</f>
        <v>#N/A</v>
      </c>
      <c r="AO103" s="259"/>
      <c r="AP103" s="259"/>
      <c r="AQ103" s="610"/>
      <c r="AR103" s="259"/>
      <c r="AS103" s="259" t="s">
        <v>2343</v>
      </c>
      <c r="AT103" s="608"/>
      <c r="AU103" s="259"/>
      <c r="AV103" s="259"/>
      <c r="AW103" s="559"/>
      <c r="AX103" s="559"/>
      <c r="AY103" s="608"/>
      <c r="AZ103" s="556"/>
    </row>
    <row r="104" spans="2:52" s="557" customFormat="1" ht="103.5" hidden="1" customHeight="1">
      <c r="B104" s="608"/>
      <c r="C104" s="266"/>
      <c r="D104" s="1399"/>
      <c r="E104" s="1408"/>
      <c r="F104" s="1400"/>
      <c r="G104" s="267"/>
      <c r="H104" s="1399"/>
      <c r="I104" s="1408"/>
      <c r="J104" s="1400"/>
      <c r="K104" s="1380"/>
      <c r="L104" s="1380"/>
      <c r="M104" s="1380"/>
      <c r="N104" s="608"/>
      <c r="O104" s="608"/>
      <c r="P104" s="608"/>
      <c r="Q104" s="608"/>
      <c r="R104" s="266"/>
      <c r="S104" s="266"/>
      <c r="T104" s="268"/>
      <c r="U104" s="269" t="e">
        <f>VLOOKUP(R104,[71]Listas!$D$6:$E$10,2,0)</f>
        <v>#N/A</v>
      </c>
      <c r="V104" s="269" t="e">
        <f>HLOOKUP(S104,[71]Listas!$F$4:$J$5,2,0)</f>
        <v>#N/A</v>
      </c>
      <c r="W104" s="270" t="e">
        <f>INDEX([71]Listas!$F$6:$J$10,MATCH(R104,[71]Listas!$D$6:$D$10,0),MATCH(S104,[71]Listas!$F$4:$J$4,0))</f>
        <v>#N/A</v>
      </c>
      <c r="X104" s="268"/>
      <c r="Y104" s="1399"/>
      <c r="Z104" s="1408"/>
      <c r="AA104" s="1400"/>
      <c r="AB104" s="1063"/>
      <c r="AC104" s="267"/>
      <c r="AD104" s="259"/>
      <c r="AE104" s="608"/>
      <c r="AF104" s="267"/>
      <c r="AG104" s="268"/>
      <c r="AH104" s="269">
        <f t="shared" si="12"/>
        <v>0</v>
      </c>
      <c r="AI104" s="558" t="e">
        <f t="shared" si="13"/>
        <v>#N/A</v>
      </c>
      <c r="AJ104" s="270" t="e">
        <f>IF(AI104&lt;=1,"Remota",VLOOKUP(AI104,[71]Listas!$C$6:$D$10,2,0))</f>
        <v>#N/A</v>
      </c>
      <c r="AK104" s="558" t="e">
        <f t="shared" si="14"/>
        <v>#N/A</v>
      </c>
      <c r="AL104" s="270" t="e">
        <f>IF(AK104&lt;=1,"Insignificante",HLOOKUP(AK104,[71]Listas!$F$3:$J$4,2,0))</f>
        <v>#N/A</v>
      </c>
      <c r="AM104" s="273" t="e">
        <f t="shared" si="15"/>
        <v>#N/A</v>
      </c>
      <c r="AN104" s="270" t="e">
        <f>INDEX([71]Listas!$F$6:$J$10,MATCH(AJ104,[71]Listas!$D$6:$D$10,0),MATCH(AL104,[71]Listas!$F$4:$J$4,0))</f>
        <v>#N/A</v>
      </c>
      <c r="AO104" s="259"/>
      <c r="AP104" s="259"/>
      <c r="AQ104" s="610"/>
      <c r="AR104" s="259"/>
      <c r="AS104" s="259" t="s">
        <v>2343</v>
      </c>
      <c r="AT104" s="608"/>
      <c r="AU104" s="259"/>
      <c r="AV104" s="259"/>
      <c r="AW104" s="559"/>
      <c r="AX104" s="559"/>
      <c r="AY104" s="608"/>
      <c r="AZ104" s="556"/>
    </row>
    <row r="105" spans="2:52" s="557" customFormat="1" ht="103.5" hidden="1" customHeight="1">
      <c r="B105" s="608"/>
      <c r="C105" s="266"/>
      <c r="D105" s="1399"/>
      <c r="E105" s="1408"/>
      <c r="F105" s="1400"/>
      <c r="G105" s="267"/>
      <c r="H105" s="1399"/>
      <c r="I105" s="1408"/>
      <c r="J105" s="1400"/>
      <c r="K105" s="1380"/>
      <c r="L105" s="1380"/>
      <c r="M105" s="1380"/>
      <c r="N105" s="608"/>
      <c r="O105" s="608"/>
      <c r="P105" s="608"/>
      <c r="Q105" s="608"/>
      <c r="R105" s="266"/>
      <c r="S105" s="266"/>
      <c r="T105" s="268"/>
      <c r="U105" s="269" t="e">
        <f>VLOOKUP(R105,[71]Listas!$D$6:$E$10,2,0)</f>
        <v>#N/A</v>
      </c>
      <c r="V105" s="269" t="e">
        <f>HLOOKUP(S105,[71]Listas!$F$4:$J$5,2,0)</f>
        <v>#N/A</v>
      </c>
      <c r="W105" s="270" t="e">
        <f>INDEX([71]Listas!$F$6:$J$10,MATCH(R105,[71]Listas!$D$6:$D$10,0),MATCH(S105,[71]Listas!$F$4:$J$4,0))</f>
        <v>#N/A</v>
      </c>
      <c r="X105" s="268"/>
      <c r="Y105" s="1399"/>
      <c r="Z105" s="1408"/>
      <c r="AA105" s="1400"/>
      <c r="AB105" s="1063"/>
      <c r="AC105" s="267"/>
      <c r="AD105" s="259"/>
      <c r="AE105" s="608"/>
      <c r="AF105" s="267"/>
      <c r="AG105" s="268"/>
      <c r="AH105" s="269">
        <f t="shared" si="12"/>
        <v>0</v>
      </c>
      <c r="AI105" s="558" t="e">
        <f t="shared" si="13"/>
        <v>#N/A</v>
      </c>
      <c r="AJ105" s="270" t="e">
        <f>IF(AI105&lt;=1,"Remota",VLOOKUP(AI105,[71]Listas!$C$6:$D$10,2,0))</f>
        <v>#N/A</v>
      </c>
      <c r="AK105" s="558" t="e">
        <f t="shared" si="14"/>
        <v>#N/A</v>
      </c>
      <c r="AL105" s="270" t="e">
        <f>IF(AK105&lt;=1,"Insignificante",HLOOKUP(AK105,[71]Listas!$F$3:$J$4,2,0))</f>
        <v>#N/A</v>
      </c>
      <c r="AM105" s="273" t="e">
        <f t="shared" si="15"/>
        <v>#N/A</v>
      </c>
      <c r="AN105" s="270" t="e">
        <f>INDEX([71]Listas!$F$6:$J$10,MATCH(AJ105,[71]Listas!$D$6:$D$10,0),MATCH(AL105,[71]Listas!$F$4:$J$4,0))</f>
        <v>#N/A</v>
      </c>
      <c r="AO105" s="259"/>
      <c r="AP105" s="259"/>
      <c r="AQ105" s="610"/>
      <c r="AR105" s="259"/>
      <c r="AS105" s="259" t="s">
        <v>2343</v>
      </c>
      <c r="AT105" s="608"/>
      <c r="AU105" s="259"/>
      <c r="AV105" s="259"/>
      <c r="AW105" s="559"/>
      <c r="AX105" s="559"/>
      <c r="AY105" s="608"/>
      <c r="AZ105" s="556"/>
    </row>
    <row r="106" spans="2:52" s="557" customFormat="1" ht="103.5" hidden="1" customHeight="1">
      <c r="B106" s="608"/>
      <c r="C106" s="266"/>
      <c r="D106" s="1399"/>
      <c r="E106" s="1408"/>
      <c r="F106" s="1400"/>
      <c r="G106" s="267"/>
      <c r="H106" s="1399"/>
      <c r="I106" s="1408"/>
      <c r="J106" s="1400"/>
      <c r="K106" s="1380"/>
      <c r="L106" s="1380"/>
      <c r="M106" s="1380"/>
      <c r="N106" s="608"/>
      <c r="O106" s="608"/>
      <c r="P106" s="608"/>
      <c r="Q106" s="608"/>
      <c r="R106" s="266"/>
      <c r="S106" s="266"/>
      <c r="T106" s="268"/>
      <c r="U106" s="269" t="e">
        <f>VLOOKUP(R106,[71]Listas!$D$6:$E$10,2,0)</f>
        <v>#N/A</v>
      </c>
      <c r="V106" s="269" t="e">
        <f>HLOOKUP(S106,[71]Listas!$F$4:$J$5,2,0)</f>
        <v>#N/A</v>
      </c>
      <c r="W106" s="270" t="e">
        <f>INDEX([71]Listas!$F$6:$J$10,MATCH(R106,[71]Listas!$D$6:$D$10,0),MATCH(S106,[71]Listas!$F$4:$J$4,0))</f>
        <v>#N/A</v>
      </c>
      <c r="X106" s="268"/>
      <c r="Y106" s="1399"/>
      <c r="Z106" s="1408"/>
      <c r="AA106" s="1400"/>
      <c r="AB106" s="1063"/>
      <c r="AC106" s="267"/>
      <c r="AD106" s="259"/>
      <c r="AE106" s="608"/>
      <c r="AF106" s="267"/>
      <c r="AG106" s="268"/>
      <c r="AH106" s="269">
        <f t="shared" si="12"/>
        <v>0</v>
      </c>
      <c r="AI106" s="558" t="e">
        <f t="shared" si="13"/>
        <v>#N/A</v>
      </c>
      <c r="AJ106" s="270" t="e">
        <f>IF(AI106&lt;=1,"Remota",VLOOKUP(AI106,[71]Listas!$C$6:$D$10,2,0))</f>
        <v>#N/A</v>
      </c>
      <c r="AK106" s="558" t="e">
        <f t="shared" si="14"/>
        <v>#N/A</v>
      </c>
      <c r="AL106" s="270" t="e">
        <f>IF(AK106&lt;=1,"Insignificante",HLOOKUP(AK106,[71]Listas!$F$3:$J$4,2,0))</f>
        <v>#N/A</v>
      </c>
      <c r="AM106" s="273" t="e">
        <f t="shared" si="15"/>
        <v>#N/A</v>
      </c>
      <c r="AN106" s="270" t="e">
        <f>INDEX([71]Listas!$F$6:$J$10,MATCH(AJ106,[71]Listas!$D$6:$D$10,0),MATCH(AL106,[71]Listas!$F$4:$J$4,0))</f>
        <v>#N/A</v>
      </c>
      <c r="AO106" s="259"/>
      <c r="AP106" s="259"/>
      <c r="AQ106" s="610"/>
      <c r="AR106" s="259"/>
      <c r="AS106" s="259" t="s">
        <v>2343</v>
      </c>
      <c r="AT106" s="608"/>
      <c r="AU106" s="259"/>
      <c r="AV106" s="259"/>
      <c r="AW106" s="559"/>
      <c r="AX106" s="559"/>
      <c r="AY106" s="608"/>
      <c r="AZ106" s="556"/>
    </row>
    <row r="107" spans="2:52" s="557" customFormat="1" ht="103.5" hidden="1" customHeight="1">
      <c r="B107" s="608"/>
      <c r="C107" s="266"/>
      <c r="D107" s="1399"/>
      <c r="E107" s="1408"/>
      <c r="F107" s="1400"/>
      <c r="G107" s="267"/>
      <c r="H107" s="1399"/>
      <c r="I107" s="1408"/>
      <c r="J107" s="1400"/>
      <c r="K107" s="1380"/>
      <c r="L107" s="1380"/>
      <c r="M107" s="1380"/>
      <c r="N107" s="608"/>
      <c r="O107" s="608"/>
      <c r="P107" s="608"/>
      <c r="Q107" s="608"/>
      <c r="R107" s="266"/>
      <c r="S107" s="266"/>
      <c r="T107" s="268"/>
      <c r="U107" s="269" t="e">
        <f>VLOOKUP(R107,[71]Listas!$D$6:$E$10,2,0)</f>
        <v>#N/A</v>
      </c>
      <c r="V107" s="269" t="e">
        <f>HLOOKUP(S107,[71]Listas!$F$4:$J$5,2,0)</f>
        <v>#N/A</v>
      </c>
      <c r="W107" s="270" t="e">
        <f>INDEX([71]Listas!$F$6:$J$10,MATCH(R107,[71]Listas!$D$6:$D$10,0),MATCH(S107,[71]Listas!$F$4:$J$4,0))</f>
        <v>#N/A</v>
      </c>
      <c r="X107" s="268"/>
      <c r="Y107" s="1399"/>
      <c r="Z107" s="1408"/>
      <c r="AA107" s="1400"/>
      <c r="AB107" s="1063"/>
      <c r="AC107" s="267"/>
      <c r="AD107" s="259"/>
      <c r="AE107" s="608"/>
      <c r="AF107" s="267"/>
      <c r="AG107" s="268"/>
      <c r="AH107" s="269">
        <f t="shared" si="12"/>
        <v>0</v>
      </c>
      <c r="AI107" s="558" t="e">
        <f t="shared" si="13"/>
        <v>#N/A</v>
      </c>
      <c r="AJ107" s="270" t="e">
        <f>IF(AI107&lt;=1,"Remota",VLOOKUP(AI107,[71]Listas!$C$6:$D$10,2,0))</f>
        <v>#N/A</v>
      </c>
      <c r="AK107" s="558" t="e">
        <f t="shared" si="14"/>
        <v>#N/A</v>
      </c>
      <c r="AL107" s="270" t="e">
        <f>IF(AK107&lt;=1,"Insignificante",HLOOKUP(AK107,[71]Listas!$F$3:$J$4,2,0))</f>
        <v>#N/A</v>
      </c>
      <c r="AM107" s="273" t="e">
        <f t="shared" si="15"/>
        <v>#N/A</v>
      </c>
      <c r="AN107" s="270" t="e">
        <f>INDEX([71]Listas!$F$6:$J$10,MATCH(AJ107,[71]Listas!$D$6:$D$10,0),MATCH(AL107,[71]Listas!$F$4:$J$4,0))</f>
        <v>#N/A</v>
      </c>
      <c r="AO107" s="259"/>
      <c r="AP107" s="259"/>
      <c r="AQ107" s="610"/>
      <c r="AR107" s="259"/>
      <c r="AS107" s="259" t="s">
        <v>2343</v>
      </c>
      <c r="AT107" s="608"/>
      <c r="AU107" s="259"/>
      <c r="AV107" s="259"/>
      <c r="AW107" s="559"/>
      <c r="AX107" s="559"/>
      <c r="AY107" s="608"/>
      <c r="AZ107" s="556"/>
    </row>
    <row r="108" spans="2:52" s="557" customFormat="1" ht="103.5" hidden="1" customHeight="1">
      <c r="B108" s="608"/>
      <c r="C108" s="266"/>
      <c r="D108" s="1399"/>
      <c r="E108" s="1408"/>
      <c r="F108" s="1400"/>
      <c r="G108" s="267"/>
      <c r="H108" s="1399"/>
      <c r="I108" s="1408"/>
      <c r="J108" s="1400"/>
      <c r="K108" s="1380"/>
      <c r="L108" s="1380"/>
      <c r="M108" s="1380"/>
      <c r="N108" s="608"/>
      <c r="O108" s="608"/>
      <c r="P108" s="608"/>
      <c r="Q108" s="608"/>
      <c r="R108" s="266"/>
      <c r="S108" s="266"/>
      <c r="T108" s="268"/>
      <c r="U108" s="269" t="e">
        <f>VLOOKUP(R108,[71]Listas!$D$6:$E$10,2,0)</f>
        <v>#N/A</v>
      </c>
      <c r="V108" s="269" t="e">
        <f>HLOOKUP(S108,[71]Listas!$F$4:$J$5,2,0)</f>
        <v>#N/A</v>
      </c>
      <c r="W108" s="270" t="e">
        <f>INDEX([71]Listas!$F$6:$J$10,MATCH(R108,[71]Listas!$D$6:$D$10,0),MATCH(S108,[71]Listas!$F$4:$J$4,0))</f>
        <v>#N/A</v>
      </c>
      <c r="X108" s="268"/>
      <c r="Y108" s="1399"/>
      <c r="Z108" s="1408"/>
      <c r="AA108" s="1400"/>
      <c r="AB108" s="1063"/>
      <c r="AC108" s="267"/>
      <c r="AD108" s="259"/>
      <c r="AE108" s="608"/>
      <c r="AF108" s="267"/>
      <c r="AG108" s="268"/>
      <c r="AH108" s="269">
        <f t="shared" si="12"/>
        <v>0</v>
      </c>
      <c r="AI108" s="558" t="e">
        <f t="shared" si="13"/>
        <v>#N/A</v>
      </c>
      <c r="AJ108" s="270" t="e">
        <f>IF(AI108&lt;=1,"Remota",VLOOKUP(AI108,[71]Listas!$C$6:$D$10,2,0))</f>
        <v>#N/A</v>
      </c>
      <c r="AK108" s="558" t="e">
        <f t="shared" si="14"/>
        <v>#N/A</v>
      </c>
      <c r="AL108" s="270" t="e">
        <f>IF(AK108&lt;=1,"Insignificante",HLOOKUP(AK108,[71]Listas!$F$3:$J$4,2,0))</f>
        <v>#N/A</v>
      </c>
      <c r="AM108" s="273" t="e">
        <f t="shared" si="15"/>
        <v>#N/A</v>
      </c>
      <c r="AN108" s="270" t="e">
        <f>INDEX([71]Listas!$F$6:$J$10,MATCH(AJ108,[71]Listas!$D$6:$D$10,0),MATCH(AL108,[71]Listas!$F$4:$J$4,0))</f>
        <v>#N/A</v>
      </c>
      <c r="AO108" s="259"/>
      <c r="AP108" s="259"/>
      <c r="AQ108" s="610"/>
      <c r="AR108" s="259"/>
      <c r="AS108" s="259" t="s">
        <v>2343</v>
      </c>
      <c r="AT108" s="608"/>
      <c r="AU108" s="259"/>
      <c r="AV108" s="259"/>
      <c r="AW108" s="559"/>
      <c r="AX108" s="559"/>
      <c r="AY108" s="608"/>
      <c r="AZ108" s="556"/>
    </row>
    <row r="109" spans="2:52" s="557" customFormat="1" ht="103.5" hidden="1" customHeight="1">
      <c r="B109" s="608"/>
      <c r="C109" s="266"/>
      <c r="D109" s="1399"/>
      <c r="E109" s="1408"/>
      <c r="F109" s="1400"/>
      <c r="G109" s="267"/>
      <c r="H109" s="1399"/>
      <c r="I109" s="1408"/>
      <c r="J109" s="1400"/>
      <c r="K109" s="1380"/>
      <c r="L109" s="1380"/>
      <c r="M109" s="1380"/>
      <c r="N109" s="608"/>
      <c r="O109" s="608"/>
      <c r="P109" s="608"/>
      <c r="Q109" s="608"/>
      <c r="R109" s="266"/>
      <c r="S109" s="266"/>
      <c r="T109" s="268"/>
      <c r="U109" s="269" t="e">
        <f>VLOOKUP(R109,[71]Listas!$D$6:$E$10,2,0)</f>
        <v>#N/A</v>
      </c>
      <c r="V109" s="269" t="e">
        <f>HLOOKUP(S109,[71]Listas!$F$4:$J$5,2,0)</f>
        <v>#N/A</v>
      </c>
      <c r="W109" s="270" t="e">
        <f>INDEX([71]Listas!$F$6:$J$10,MATCH(R109,[71]Listas!$D$6:$D$10,0),MATCH(S109,[71]Listas!$F$4:$J$4,0))</f>
        <v>#N/A</v>
      </c>
      <c r="X109" s="268"/>
      <c r="Y109" s="1399"/>
      <c r="Z109" s="1408"/>
      <c r="AA109" s="1400"/>
      <c r="AB109" s="1063"/>
      <c r="AC109" s="267"/>
      <c r="AD109" s="259"/>
      <c r="AE109" s="608"/>
      <c r="AF109" s="267"/>
      <c r="AG109" s="268"/>
      <c r="AH109" s="269">
        <f t="shared" si="12"/>
        <v>0</v>
      </c>
      <c r="AI109" s="558" t="e">
        <f t="shared" si="13"/>
        <v>#N/A</v>
      </c>
      <c r="AJ109" s="270" t="e">
        <f>IF(AI109&lt;=1,"Remota",VLOOKUP(AI109,[71]Listas!$C$6:$D$10,2,0))</f>
        <v>#N/A</v>
      </c>
      <c r="AK109" s="558" t="e">
        <f t="shared" si="14"/>
        <v>#N/A</v>
      </c>
      <c r="AL109" s="270" t="e">
        <f>IF(AK109&lt;=1,"Insignificante",HLOOKUP(AK109,[71]Listas!$F$3:$J$4,2,0))</f>
        <v>#N/A</v>
      </c>
      <c r="AM109" s="273" t="e">
        <f t="shared" si="15"/>
        <v>#N/A</v>
      </c>
      <c r="AN109" s="270" t="e">
        <f>INDEX([71]Listas!$F$6:$J$10,MATCH(AJ109,[71]Listas!$D$6:$D$10,0),MATCH(AL109,[71]Listas!$F$4:$J$4,0))</f>
        <v>#N/A</v>
      </c>
      <c r="AO109" s="259"/>
      <c r="AP109" s="259"/>
      <c r="AQ109" s="610"/>
      <c r="AR109" s="259"/>
      <c r="AS109" s="259" t="s">
        <v>2343</v>
      </c>
      <c r="AT109" s="608"/>
      <c r="AU109" s="259"/>
      <c r="AV109" s="259"/>
      <c r="AW109" s="559"/>
      <c r="AX109" s="559"/>
      <c r="AY109" s="608"/>
      <c r="AZ109" s="556"/>
    </row>
    <row r="110" spans="2:52" s="557" customFormat="1" ht="103.5" hidden="1" customHeight="1">
      <c r="B110" s="608"/>
      <c r="C110" s="266"/>
      <c r="D110" s="1399"/>
      <c r="E110" s="1408"/>
      <c r="F110" s="1400"/>
      <c r="G110" s="267"/>
      <c r="H110" s="1399"/>
      <c r="I110" s="1408"/>
      <c r="J110" s="1400"/>
      <c r="K110" s="1380"/>
      <c r="L110" s="1380"/>
      <c r="M110" s="1380"/>
      <c r="N110" s="608"/>
      <c r="O110" s="608"/>
      <c r="P110" s="608"/>
      <c r="Q110" s="608"/>
      <c r="R110" s="266"/>
      <c r="S110" s="266"/>
      <c r="T110" s="268"/>
      <c r="U110" s="269" t="e">
        <f>VLOOKUP(R110,[71]Listas!$D$6:$E$10,2,0)</f>
        <v>#N/A</v>
      </c>
      <c r="V110" s="269" t="e">
        <f>HLOOKUP(S110,[71]Listas!$F$4:$J$5,2,0)</f>
        <v>#N/A</v>
      </c>
      <c r="W110" s="270" t="e">
        <f>INDEX([71]Listas!$F$6:$J$10,MATCH(R110,[71]Listas!$D$6:$D$10,0),MATCH(S110,[71]Listas!$F$4:$J$4,0))</f>
        <v>#N/A</v>
      </c>
      <c r="X110" s="268"/>
      <c r="Y110" s="1399"/>
      <c r="Z110" s="1408"/>
      <c r="AA110" s="1400"/>
      <c r="AB110" s="1063"/>
      <c r="AC110" s="267"/>
      <c r="AD110" s="259"/>
      <c r="AE110" s="608"/>
      <c r="AF110" s="267"/>
      <c r="AG110" s="268"/>
      <c r="AH110" s="269">
        <f t="shared" si="12"/>
        <v>0</v>
      </c>
      <c r="AI110" s="558" t="e">
        <f t="shared" si="13"/>
        <v>#N/A</v>
      </c>
      <c r="AJ110" s="270" t="e">
        <f>IF(AI110&lt;=1,"Remota",VLOOKUP(AI110,[71]Listas!$C$6:$D$10,2,0))</f>
        <v>#N/A</v>
      </c>
      <c r="AK110" s="558" t="e">
        <f t="shared" si="14"/>
        <v>#N/A</v>
      </c>
      <c r="AL110" s="270" t="e">
        <f>IF(AK110&lt;=1,"Insignificante",HLOOKUP(AK110,[71]Listas!$F$3:$J$4,2,0))</f>
        <v>#N/A</v>
      </c>
      <c r="AM110" s="273" t="e">
        <f t="shared" si="15"/>
        <v>#N/A</v>
      </c>
      <c r="AN110" s="270" t="e">
        <f>INDEX([71]Listas!$F$6:$J$10,MATCH(AJ110,[71]Listas!$D$6:$D$10,0),MATCH(AL110,[71]Listas!$F$4:$J$4,0))</f>
        <v>#N/A</v>
      </c>
      <c r="AO110" s="259"/>
      <c r="AP110" s="259"/>
      <c r="AQ110" s="610"/>
      <c r="AR110" s="259"/>
      <c r="AS110" s="259" t="s">
        <v>2343</v>
      </c>
      <c r="AT110" s="608"/>
      <c r="AU110" s="259"/>
      <c r="AV110" s="259"/>
      <c r="AW110" s="559"/>
      <c r="AX110" s="559"/>
      <c r="AY110" s="608"/>
      <c r="AZ110" s="556"/>
    </row>
    <row r="111" spans="2:52" s="557" customFormat="1" ht="103.5" hidden="1" customHeight="1">
      <c r="B111" s="608"/>
      <c r="C111" s="266"/>
      <c r="D111" s="1399"/>
      <c r="E111" s="1408"/>
      <c r="F111" s="1400"/>
      <c r="G111" s="267"/>
      <c r="H111" s="1399"/>
      <c r="I111" s="1408"/>
      <c r="J111" s="1400"/>
      <c r="K111" s="1380"/>
      <c r="L111" s="1380"/>
      <c r="M111" s="1380"/>
      <c r="N111" s="608"/>
      <c r="O111" s="608"/>
      <c r="P111" s="608"/>
      <c r="Q111" s="608"/>
      <c r="R111" s="266"/>
      <c r="S111" s="266"/>
      <c r="T111" s="268"/>
      <c r="U111" s="269" t="e">
        <f>VLOOKUP(R111,[71]Listas!$D$6:$E$10,2,0)</f>
        <v>#N/A</v>
      </c>
      <c r="V111" s="269" t="e">
        <f>HLOOKUP(S111,[71]Listas!$F$4:$J$5,2,0)</f>
        <v>#N/A</v>
      </c>
      <c r="W111" s="270" t="e">
        <f>INDEX([71]Listas!$F$6:$J$10,MATCH(R111,[71]Listas!$D$6:$D$10,0),MATCH(S111,[71]Listas!$F$4:$J$4,0))</f>
        <v>#N/A</v>
      </c>
      <c r="X111" s="268"/>
      <c r="Y111" s="1399"/>
      <c r="Z111" s="1408"/>
      <c r="AA111" s="1400"/>
      <c r="AB111" s="1063"/>
      <c r="AC111" s="267"/>
      <c r="AD111" s="259"/>
      <c r="AE111" s="608"/>
      <c r="AF111" s="267"/>
      <c r="AG111" s="268"/>
      <c r="AH111" s="269">
        <f t="shared" si="12"/>
        <v>0</v>
      </c>
      <c r="AI111" s="558" t="e">
        <f t="shared" si="13"/>
        <v>#N/A</v>
      </c>
      <c r="AJ111" s="270" t="e">
        <f>IF(AI111&lt;=1,"Remota",VLOOKUP(AI111,[71]Listas!$C$6:$D$10,2,0))</f>
        <v>#N/A</v>
      </c>
      <c r="AK111" s="558" t="e">
        <f t="shared" si="14"/>
        <v>#N/A</v>
      </c>
      <c r="AL111" s="270" t="e">
        <f>IF(AK111&lt;=1,"Insignificante",HLOOKUP(AK111,[71]Listas!$F$3:$J$4,2,0))</f>
        <v>#N/A</v>
      </c>
      <c r="AM111" s="273" t="e">
        <f t="shared" si="15"/>
        <v>#N/A</v>
      </c>
      <c r="AN111" s="270" t="e">
        <f>INDEX([71]Listas!$F$6:$J$10,MATCH(AJ111,[71]Listas!$D$6:$D$10,0),MATCH(AL111,[71]Listas!$F$4:$J$4,0))</f>
        <v>#N/A</v>
      </c>
      <c r="AO111" s="259"/>
      <c r="AP111" s="259"/>
      <c r="AQ111" s="610"/>
      <c r="AR111" s="259"/>
      <c r="AS111" s="259" t="s">
        <v>2343</v>
      </c>
      <c r="AT111" s="608"/>
      <c r="AU111" s="259"/>
      <c r="AV111" s="259"/>
      <c r="AW111" s="559"/>
      <c r="AX111" s="559"/>
      <c r="AY111" s="608"/>
      <c r="AZ111" s="556"/>
    </row>
    <row r="112" spans="2:52" s="557" customFormat="1" ht="103.5" hidden="1" customHeight="1">
      <c r="B112" s="608"/>
      <c r="C112" s="266"/>
      <c r="D112" s="1399"/>
      <c r="E112" s="1408"/>
      <c r="F112" s="1400"/>
      <c r="G112" s="267"/>
      <c r="H112" s="1399"/>
      <c r="I112" s="1408"/>
      <c r="J112" s="1400"/>
      <c r="K112" s="1380"/>
      <c r="L112" s="1380"/>
      <c r="M112" s="1380"/>
      <c r="N112" s="608"/>
      <c r="O112" s="608"/>
      <c r="P112" s="608"/>
      <c r="Q112" s="608"/>
      <c r="R112" s="266"/>
      <c r="S112" s="266"/>
      <c r="T112" s="268"/>
      <c r="U112" s="269" t="e">
        <f>VLOOKUP(R112,[71]Listas!$D$6:$E$10,2,0)</f>
        <v>#N/A</v>
      </c>
      <c r="V112" s="269" t="e">
        <f>HLOOKUP(S112,[71]Listas!$F$4:$J$5,2,0)</f>
        <v>#N/A</v>
      </c>
      <c r="W112" s="270" t="e">
        <f>INDEX([71]Listas!$F$6:$J$10,MATCH(R112,[71]Listas!$D$6:$D$10,0),MATCH(S112,[71]Listas!$F$4:$J$4,0))</f>
        <v>#N/A</v>
      </c>
      <c r="X112" s="268"/>
      <c r="Y112" s="1399"/>
      <c r="Z112" s="1408"/>
      <c r="AA112" s="1400"/>
      <c r="AB112" s="1063"/>
      <c r="AC112" s="267"/>
      <c r="AD112" s="259"/>
      <c r="AE112" s="608"/>
      <c r="AF112" s="267"/>
      <c r="AG112" s="268"/>
      <c r="AH112" s="269">
        <f t="shared" si="12"/>
        <v>0</v>
      </c>
      <c r="AI112" s="558" t="e">
        <f t="shared" si="13"/>
        <v>#N/A</v>
      </c>
      <c r="AJ112" s="270" t="e">
        <f>IF(AI112&lt;=1,"Remota",VLOOKUP(AI112,[71]Listas!$C$6:$D$10,2,0))</f>
        <v>#N/A</v>
      </c>
      <c r="AK112" s="558" t="e">
        <f t="shared" si="14"/>
        <v>#N/A</v>
      </c>
      <c r="AL112" s="270" t="e">
        <f>IF(AK112&lt;=1,"Insignificante",HLOOKUP(AK112,[71]Listas!$F$3:$J$4,2,0))</f>
        <v>#N/A</v>
      </c>
      <c r="AM112" s="273" t="e">
        <f t="shared" si="15"/>
        <v>#N/A</v>
      </c>
      <c r="AN112" s="270" t="e">
        <f>INDEX([71]Listas!$F$6:$J$10,MATCH(AJ112,[71]Listas!$D$6:$D$10,0),MATCH(AL112,[71]Listas!$F$4:$J$4,0))</f>
        <v>#N/A</v>
      </c>
      <c r="AO112" s="259"/>
      <c r="AP112" s="259"/>
      <c r="AQ112" s="610"/>
      <c r="AR112" s="259"/>
      <c r="AS112" s="259" t="s">
        <v>2343</v>
      </c>
      <c r="AT112" s="608"/>
      <c r="AU112" s="259"/>
      <c r="AV112" s="259"/>
      <c r="AW112" s="559"/>
      <c r="AX112" s="559"/>
      <c r="AY112" s="608"/>
      <c r="AZ112" s="556"/>
    </row>
    <row r="113" spans="2:52" s="557" customFormat="1" ht="103.5" hidden="1" customHeight="1">
      <c r="B113" s="608"/>
      <c r="C113" s="266"/>
      <c r="D113" s="1399"/>
      <c r="E113" s="1408"/>
      <c r="F113" s="1400"/>
      <c r="G113" s="267"/>
      <c r="H113" s="1399"/>
      <c r="I113" s="1408"/>
      <c r="J113" s="1400"/>
      <c r="K113" s="1380"/>
      <c r="L113" s="1380"/>
      <c r="M113" s="1380"/>
      <c r="N113" s="608"/>
      <c r="O113" s="608"/>
      <c r="P113" s="608"/>
      <c r="Q113" s="608"/>
      <c r="R113" s="266"/>
      <c r="S113" s="266"/>
      <c r="T113" s="268"/>
      <c r="U113" s="269" t="e">
        <f>VLOOKUP(R113,[71]Listas!$D$6:$E$10,2,0)</f>
        <v>#N/A</v>
      </c>
      <c r="V113" s="269" t="e">
        <f>HLOOKUP(S113,[71]Listas!$F$4:$J$5,2,0)</f>
        <v>#N/A</v>
      </c>
      <c r="W113" s="270" t="e">
        <f>INDEX([71]Listas!$F$6:$J$10,MATCH(R113,[71]Listas!$D$6:$D$10,0),MATCH(S113,[71]Listas!$F$4:$J$4,0))</f>
        <v>#N/A</v>
      </c>
      <c r="X113" s="268"/>
      <c r="Y113" s="1399"/>
      <c r="Z113" s="1408"/>
      <c r="AA113" s="1400"/>
      <c r="AB113" s="1063"/>
      <c r="AC113" s="267"/>
      <c r="AD113" s="259"/>
      <c r="AE113" s="608"/>
      <c r="AF113" s="267"/>
      <c r="AG113" s="268"/>
      <c r="AH113" s="269">
        <f t="shared" si="12"/>
        <v>0</v>
      </c>
      <c r="AI113" s="558" t="e">
        <f t="shared" si="13"/>
        <v>#N/A</v>
      </c>
      <c r="AJ113" s="270" t="e">
        <f>IF(AI113&lt;=1,"Remota",VLOOKUP(AI113,[71]Listas!$C$6:$D$10,2,0))</f>
        <v>#N/A</v>
      </c>
      <c r="AK113" s="558" t="e">
        <f t="shared" si="14"/>
        <v>#N/A</v>
      </c>
      <c r="AL113" s="270" t="e">
        <f>IF(AK113&lt;=1,"Insignificante",HLOOKUP(AK113,[71]Listas!$F$3:$J$4,2,0))</f>
        <v>#N/A</v>
      </c>
      <c r="AM113" s="273" t="e">
        <f t="shared" si="15"/>
        <v>#N/A</v>
      </c>
      <c r="AN113" s="270" t="e">
        <f>INDEX([71]Listas!$F$6:$J$10,MATCH(AJ113,[71]Listas!$D$6:$D$10,0),MATCH(AL113,[71]Listas!$F$4:$J$4,0))</f>
        <v>#N/A</v>
      </c>
      <c r="AO113" s="259"/>
      <c r="AP113" s="259"/>
      <c r="AQ113" s="610"/>
      <c r="AR113" s="259"/>
      <c r="AS113" s="259" t="s">
        <v>2343</v>
      </c>
      <c r="AT113" s="608"/>
      <c r="AU113" s="259"/>
      <c r="AV113" s="259"/>
      <c r="AW113" s="559"/>
      <c r="AX113" s="559"/>
      <c r="AY113" s="608"/>
      <c r="AZ113" s="556"/>
    </row>
    <row r="114" spans="2:52" s="557" customFormat="1" ht="103.5" hidden="1" customHeight="1">
      <c r="B114" s="608"/>
      <c r="C114" s="266"/>
      <c r="D114" s="1399"/>
      <c r="E114" s="1408"/>
      <c r="F114" s="1400"/>
      <c r="G114" s="267"/>
      <c r="H114" s="1399"/>
      <c r="I114" s="1408"/>
      <c r="J114" s="1400"/>
      <c r="K114" s="1380"/>
      <c r="L114" s="1380"/>
      <c r="M114" s="1380"/>
      <c r="N114" s="608"/>
      <c r="O114" s="608"/>
      <c r="P114" s="608"/>
      <c r="Q114" s="608"/>
      <c r="R114" s="266"/>
      <c r="S114" s="266"/>
      <c r="T114" s="268"/>
      <c r="U114" s="269" t="e">
        <f>VLOOKUP(R114,[71]Listas!$D$6:$E$10,2,0)</f>
        <v>#N/A</v>
      </c>
      <c r="V114" s="269" t="e">
        <f>HLOOKUP(S114,[71]Listas!$F$4:$J$5,2,0)</f>
        <v>#N/A</v>
      </c>
      <c r="W114" s="270" t="e">
        <f>INDEX([71]Listas!$F$6:$J$10,MATCH(R114,[71]Listas!$D$6:$D$10,0),MATCH(S114,[71]Listas!$F$4:$J$4,0))</f>
        <v>#N/A</v>
      </c>
      <c r="X114" s="268"/>
      <c r="Y114" s="1399"/>
      <c r="Z114" s="1408"/>
      <c r="AA114" s="1400"/>
      <c r="AB114" s="1063"/>
      <c r="AC114" s="267"/>
      <c r="AD114" s="259"/>
      <c r="AE114" s="608"/>
      <c r="AF114" s="267"/>
      <c r="AG114" s="268"/>
      <c r="AH114" s="269">
        <f t="shared" si="12"/>
        <v>0</v>
      </c>
      <c r="AI114" s="558" t="e">
        <f t="shared" si="13"/>
        <v>#N/A</v>
      </c>
      <c r="AJ114" s="270" t="e">
        <f>IF(AI114&lt;=1,"Remota",VLOOKUP(AI114,[71]Listas!$C$6:$D$10,2,0))</f>
        <v>#N/A</v>
      </c>
      <c r="AK114" s="558" t="e">
        <f t="shared" si="14"/>
        <v>#N/A</v>
      </c>
      <c r="AL114" s="270" t="e">
        <f>IF(AK114&lt;=1,"Insignificante",HLOOKUP(AK114,[71]Listas!$F$3:$J$4,2,0))</f>
        <v>#N/A</v>
      </c>
      <c r="AM114" s="273" t="e">
        <f t="shared" si="15"/>
        <v>#N/A</v>
      </c>
      <c r="AN114" s="270" t="e">
        <f>INDEX([71]Listas!$F$6:$J$10,MATCH(AJ114,[71]Listas!$D$6:$D$10,0),MATCH(AL114,[71]Listas!$F$4:$J$4,0))</f>
        <v>#N/A</v>
      </c>
      <c r="AO114" s="259"/>
      <c r="AP114" s="259"/>
      <c r="AQ114" s="610"/>
      <c r="AR114" s="259"/>
      <c r="AS114" s="259" t="s">
        <v>2343</v>
      </c>
      <c r="AT114" s="608"/>
      <c r="AU114" s="259"/>
      <c r="AV114" s="259"/>
      <c r="AW114" s="559"/>
      <c r="AX114" s="559"/>
      <c r="AY114" s="608"/>
      <c r="AZ114" s="556"/>
    </row>
    <row r="115" spans="2:52" s="557" customFormat="1" ht="103.5" hidden="1" customHeight="1">
      <c r="B115" s="608"/>
      <c r="C115" s="266"/>
      <c r="D115" s="1399"/>
      <c r="E115" s="1408"/>
      <c r="F115" s="1400"/>
      <c r="G115" s="267"/>
      <c r="H115" s="1399"/>
      <c r="I115" s="1408"/>
      <c r="J115" s="1400"/>
      <c r="K115" s="1380"/>
      <c r="L115" s="1380"/>
      <c r="M115" s="1380"/>
      <c r="N115" s="608"/>
      <c r="O115" s="608"/>
      <c r="P115" s="608"/>
      <c r="Q115" s="608"/>
      <c r="R115" s="266"/>
      <c r="S115" s="266"/>
      <c r="T115" s="268"/>
      <c r="U115" s="269" t="e">
        <f>VLOOKUP(R115,[71]Listas!$D$6:$E$10,2,0)</f>
        <v>#N/A</v>
      </c>
      <c r="V115" s="269" t="e">
        <f>HLOOKUP(S115,[71]Listas!$F$4:$J$5,2,0)</f>
        <v>#N/A</v>
      </c>
      <c r="W115" s="270" t="e">
        <f>INDEX([71]Listas!$F$6:$J$10,MATCH(R115,[71]Listas!$D$6:$D$10,0),MATCH(S115,[71]Listas!$F$4:$J$4,0))</f>
        <v>#N/A</v>
      </c>
      <c r="X115" s="268"/>
      <c r="Y115" s="1399"/>
      <c r="Z115" s="1408"/>
      <c r="AA115" s="1400"/>
      <c r="AB115" s="1063"/>
      <c r="AC115" s="267"/>
      <c r="AD115" s="259"/>
      <c r="AE115" s="608"/>
      <c r="AF115" s="267"/>
      <c r="AG115" s="268"/>
      <c r="AH115" s="269">
        <f t="shared" si="12"/>
        <v>0</v>
      </c>
      <c r="AI115" s="558" t="e">
        <f t="shared" si="13"/>
        <v>#N/A</v>
      </c>
      <c r="AJ115" s="270" t="e">
        <f>IF(AI115&lt;=1,"Remota",VLOOKUP(AI115,[71]Listas!$C$6:$D$10,2,0))</f>
        <v>#N/A</v>
      </c>
      <c r="AK115" s="558" t="e">
        <f t="shared" si="14"/>
        <v>#N/A</v>
      </c>
      <c r="AL115" s="270" t="e">
        <f>IF(AK115&lt;=1,"Insignificante",HLOOKUP(AK115,[71]Listas!$F$3:$J$4,2,0))</f>
        <v>#N/A</v>
      </c>
      <c r="AM115" s="273" t="e">
        <f t="shared" si="15"/>
        <v>#N/A</v>
      </c>
      <c r="AN115" s="270" t="e">
        <f>INDEX([71]Listas!$F$6:$J$10,MATCH(AJ115,[71]Listas!$D$6:$D$10,0),MATCH(AL115,[71]Listas!$F$4:$J$4,0))</f>
        <v>#N/A</v>
      </c>
      <c r="AO115" s="259"/>
      <c r="AP115" s="259"/>
      <c r="AQ115" s="610"/>
      <c r="AR115" s="259"/>
      <c r="AS115" s="259" t="s">
        <v>2343</v>
      </c>
      <c r="AT115" s="608"/>
      <c r="AU115" s="259"/>
      <c r="AV115" s="259"/>
      <c r="AW115" s="559"/>
      <c r="AX115" s="559"/>
      <c r="AY115" s="608"/>
      <c r="AZ115" s="556"/>
    </row>
    <row r="116" spans="2:52" s="557" customFormat="1" ht="103.5" hidden="1" customHeight="1">
      <c r="B116" s="608"/>
      <c r="C116" s="266"/>
      <c r="D116" s="1399"/>
      <c r="E116" s="1408"/>
      <c r="F116" s="1400"/>
      <c r="G116" s="267"/>
      <c r="H116" s="1399"/>
      <c r="I116" s="1408"/>
      <c r="J116" s="1400"/>
      <c r="K116" s="1380"/>
      <c r="L116" s="1380"/>
      <c r="M116" s="1380"/>
      <c r="N116" s="608"/>
      <c r="O116" s="608"/>
      <c r="P116" s="608"/>
      <c r="Q116" s="608"/>
      <c r="R116" s="266"/>
      <c r="S116" s="266"/>
      <c r="T116" s="268"/>
      <c r="U116" s="269" t="e">
        <f>VLOOKUP(R116,[71]Listas!$D$6:$E$10,2,0)</f>
        <v>#N/A</v>
      </c>
      <c r="V116" s="269" t="e">
        <f>HLOOKUP(S116,[71]Listas!$F$4:$J$5,2,0)</f>
        <v>#N/A</v>
      </c>
      <c r="W116" s="270" t="e">
        <f>INDEX([71]Listas!$F$6:$J$10,MATCH(R116,[71]Listas!$D$6:$D$10,0),MATCH(S116,[71]Listas!$F$4:$J$4,0))</f>
        <v>#N/A</v>
      </c>
      <c r="X116" s="268"/>
      <c r="Y116" s="1399"/>
      <c r="Z116" s="1408"/>
      <c r="AA116" s="1400"/>
      <c r="AB116" s="1063"/>
      <c r="AC116" s="267"/>
      <c r="AD116" s="259"/>
      <c r="AE116" s="608"/>
      <c r="AF116" s="267"/>
      <c r="AG116" s="268"/>
      <c r="AH116" s="269">
        <f t="shared" si="12"/>
        <v>0</v>
      </c>
      <c r="AI116" s="558" t="e">
        <f t="shared" si="13"/>
        <v>#N/A</v>
      </c>
      <c r="AJ116" s="270" t="e">
        <f>IF(AI116&lt;=1,"Remota",VLOOKUP(AI116,[71]Listas!$C$6:$D$10,2,0))</f>
        <v>#N/A</v>
      </c>
      <c r="AK116" s="558" t="e">
        <f t="shared" si="14"/>
        <v>#N/A</v>
      </c>
      <c r="AL116" s="270" t="e">
        <f>IF(AK116&lt;=1,"Insignificante",HLOOKUP(AK116,[71]Listas!$F$3:$J$4,2,0))</f>
        <v>#N/A</v>
      </c>
      <c r="AM116" s="273" t="e">
        <f t="shared" si="15"/>
        <v>#N/A</v>
      </c>
      <c r="AN116" s="270" t="e">
        <f>INDEX([71]Listas!$F$6:$J$10,MATCH(AJ116,[71]Listas!$D$6:$D$10,0),MATCH(AL116,[71]Listas!$F$4:$J$4,0))</f>
        <v>#N/A</v>
      </c>
      <c r="AO116" s="259"/>
      <c r="AP116" s="259"/>
      <c r="AQ116" s="610"/>
      <c r="AR116" s="259"/>
      <c r="AS116" s="259" t="s">
        <v>2343</v>
      </c>
      <c r="AT116" s="608"/>
      <c r="AU116" s="259"/>
      <c r="AV116" s="259"/>
      <c r="AW116" s="559"/>
      <c r="AX116" s="559"/>
      <c r="AY116" s="608"/>
      <c r="AZ116" s="556"/>
    </row>
    <row r="117" spans="2:52" s="557" customFormat="1" ht="103.5" hidden="1" customHeight="1">
      <c r="B117" s="608"/>
      <c r="C117" s="266"/>
      <c r="D117" s="1399"/>
      <c r="E117" s="1408"/>
      <c r="F117" s="1400"/>
      <c r="G117" s="267"/>
      <c r="H117" s="1399"/>
      <c r="I117" s="1408"/>
      <c r="J117" s="1400"/>
      <c r="K117" s="1380"/>
      <c r="L117" s="1380"/>
      <c r="M117" s="1380"/>
      <c r="N117" s="608"/>
      <c r="O117" s="608"/>
      <c r="P117" s="608"/>
      <c r="Q117" s="608"/>
      <c r="R117" s="266"/>
      <c r="S117" s="266"/>
      <c r="T117" s="268"/>
      <c r="U117" s="269" t="e">
        <f>VLOOKUP(R117,[71]Listas!$D$6:$E$10,2,0)</f>
        <v>#N/A</v>
      </c>
      <c r="V117" s="269" t="e">
        <f>HLOOKUP(S117,[71]Listas!$F$4:$J$5,2,0)</f>
        <v>#N/A</v>
      </c>
      <c r="W117" s="270" t="e">
        <f>INDEX([71]Listas!$F$6:$J$10,MATCH(R117,[71]Listas!$D$6:$D$10,0),MATCH(S117,[71]Listas!$F$4:$J$4,0))</f>
        <v>#N/A</v>
      </c>
      <c r="X117" s="268"/>
      <c r="Y117" s="1399"/>
      <c r="Z117" s="1408"/>
      <c r="AA117" s="1400"/>
      <c r="AB117" s="1063"/>
      <c r="AC117" s="267"/>
      <c r="AD117" s="259"/>
      <c r="AE117" s="608"/>
      <c r="AF117" s="267"/>
      <c r="AG117" s="268"/>
      <c r="AH117" s="269">
        <f t="shared" si="12"/>
        <v>0</v>
      </c>
      <c r="AI117" s="558" t="e">
        <f t="shared" si="13"/>
        <v>#N/A</v>
      </c>
      <c r="AJ117" s="270" t="e">
        <f>IF(AI117&lt;=1,"Remota",VLOOKUP(AI117,[71]Listas!$C$6:$D$10,2,0))</f>
        <v>#N/A</v>
      </c>
      <c r="AK117" s="558" t="e">
        <f t="shared" si="14"/>
        <v>#N/A</v>
      </c>
      <c r="AL117" s="270" t="e">
        <f>IF(AK117&lt;=1,"Insignificante",HLOOKUP(AK117,[71]Listas!$F$3:$J$4,2,0))</f>
        <v>#N/A</v>
      </c>
      <c r="AM117" s="273" t="e">
        <f t="shared" si="15"/>
        <v>#N/A</v>
      </c>
      <c r="AN117" s="270" t="e">
        <f>INDEX([71]Listas!$F$6:$J$10,MATCH(AJ117,[71]Listas!$D$6:$D$10,0),MATCH(AL117,[71]Listas!$F$4:$J$4,0))</f>
        <v>#N/A</v>
      </c>
      <c r="AO117" s="259"/>
      <c r="AP117" s="259"/>
      <c r="AQ117" s="610"/>
      <c r="AR117" s="259"/>
      <c r="AS117" s="259" t="s">
        <v>2343</v>
      </c>
      <c r="AT117" s="608"/>
      <c r="AU117" s="259"/>
      <c r="AV117" s="259"/>
      <c r="AW117" s="559"/>
      <c r="AX117" s="559"/>
      <c r="AY117" s="608"/>
      <c r="AZ117" s="556"/>
    </row>
    <row r="118" spans="2:52" s="557" customFormat="1" ht="103.5" hidden="1" customHeight="1">
      <c r="B118" s="608"/>
      <c r="C118" s="266"/>
      <c r="D118" s="1399"/>
      <c r="E118" s="1408"/>
      <c r="F118" s="1400"/>
      <c r="G118" s="267"/>
      <c r="H118" s="1399"/>
      <c r="I118" s="1408"/>
      <c r="J118" s="1400"/>
      <c r="K118" s="1380"/>
      <c r="L118" s="1380"/>
      <c r="M118" s="1380"/>
      <c r="N118" s="608"/>
      <c r="O118" s="608"/>
      <c r="P118" s="608"/>
      <c r="Q118" s="608"/>
      <c r="R118" s="266"/>
      <c r="S118" s="266"/>
      <c r="T118" s="268"/>
      <c r="U118" s="269" t="e">
        <f>VLOOKUP(R118,[71]Listas!$D$6:$E$10,2,0)</f>
        <v>#N/A</v>
      </c>
      <c r="V118" s="269" t="e">
        <f>HLOOKUP(S118,[71]Listas!$F$4:$J$5,2,0)</f>
        <v>#N/A</v>
      </c>
      <c r="W118" s="270" t="e">
        <f>INDEX([71]Listas!$F$6:$J$10,MATCH(R118,[71]Listas!$D$6:$D$10,0),MATCH(S118,[71]Listas!$F$4:$J$4,0))</f>
        <v>#N/A</v>
      </c>
      <c r="X118" s="268"/>
      <c r="Y118" s="1399"/>
      <c r="Z118" s="1408"/>
      <c r="AA118" s="1400"/>
      <c r="AB118" s="1063"/>
      <c r="AC118" s="267"/>
      <c r="AD118" s="259"/>
      <c r="AE118" s="608"/>
      <c r="AF118" s="267"/>
      <c r="AG118" s="268"/>
      <c r="AH118" s="269">
        <f t="shared" si="12"/>
        <v>0</v>
      </c>
      <c r="AI118" s="558" t="e">
        <f t="shared" si="13"/>
        <v>#N/A</v>
      </c>
      <c r="AJ118" s="270" t="e">
        <f>IF(AI118&lt;=1,"Remota",VLOOKUP(AI118,[71]Listas!$C$6:$D$10,2,0))</f>
        <v>#N/A</v>
      </c>
      <c r="AK118" s="558" t="e">
        <f t="shared" si="14"/>
        <v>#N/A</v>
      </c>
      <c r="AL118" s="270" t="e">
        <f>IF(AK118&lt;=1,"Insignificante",HLOOKUP(AK118,[71]Listas!$F$3:$J$4,2,0))</f>
        <v>#N/A</v>
      </c>
      <c r="AM118" s="273" t="e">
        <f t="shared" si="15"/>
        <v>#N/A</v>
      </c>
      <c r="AN118" s="270" t="e">
        <f>INDEX([71]Listas!$F$6:$J$10,MATCH(AJ118,[71]Listas!$D$6:$D$10,0),MATCH(AL118,[71]Listas!$F$4:$J$4,0))</f>
        <v>#N/A</v>
      </c>
      <c r="AO118" s="259"/>
      <c r="AP118" s="259"/>
      <c r="AQ118" s="610"/>
      <c r="AR118" s="259"/>
      <c r="AS118" s="259" t="s">
        <v>2343</v>
      </c>
      <c r="AT118" s="608"/>
      <c r="AU118" s="259"/>
      <c r="AV118" s="259"/>
      <c r="AW118" s="559"/>
      <c r="AX118" s="559"/>
      <c r="AY118" s="608"/>
      <c r="AZ118" s="556"/>
    </row>
    <row r="119" spans="2:52" s="557" customFormat="1" ht="103.5" hidden="1" customHeight="1">
      <c r="B119" s="608"/>
      <c r="C119" s="266"/>
      <c r="D119" s="1399"/>
      <c r="E119" s="1408"/>
      <c r="F119" s="1400"/>
      <c r="G119" s="267"/>
      <c r="H119" s="1399"/>
      <c r="I119" s="1408"/>
      <c r="J119" s="1400"/>
      <c r="K119" s="1380"/>
      <c r="L119" s="1380"/>
      <c r="M119" s="1380"/>
      <c r="N119" s="608"/>
      <c r="O119" s="608"/>
      <c r="P119" s="608"/>
      <c r="Q119" s="608"/>
      <c r="R119" s="266"/>
      <c r="S119" s="266"/>
      <c r="T119" s="268"/>
      <c r="U119" s="269" t="e">
        <f>VLOOKUP(R119,[71]Listas!$D$6:$E$10,2,0)</f>
        <v>#N/A</v>
      </c>
      <c r="V119" s="269" t="e">
        <f>HLOOKUP(S119,[71]Listas!$F$4:$J$5,2,0)</f>
        <v>#N/A</v>
      </c>
      <c r="W119" s="270" t="e">
        <f>INDEX([71]Listas!$F$6:$J$10,MATCH(R119,[71]Listas!$D$6:$D$10,0),MATCH(S119,[71]Listas!$F$4:$J$4,0))</f>
        <v>#N/A</v>
      </c>
      <c r="X119" s="268"/>
      <c r="Y119" s="1399"/>
      <c r="Z119" s="1408"/>
      <c r="AA119" s="1400"/>
      <c r="AB119" s="1063"/>
      <c r="AC119" s="267"/>
      <c r="AD119" s="259"/>
      <c r="AE119" s="608"/>
      <c r="AF119" s="267"/>
      <c r="AG119" s="268"/>
      <c r="AH119" s="269">
        <f t="shared" si="12"/>
        <v>0</v>
      </c>
      <c r="AI119" s="558" t="e">
        <f t="shared" si="13"/>
        <v>#N/A</v>
      </c>
      <c r="AJ119" s="270" t="e">
        <f>IF(AI119&lt;=1,"Remota",VLOOKUP(AI119,[71]Listas!$C$6:$D$10,2,0))</f>
        <v>#N/A</v>
      </c>
      <c r="AK119" s="558" t="e">
        <f t="shared" si="14"/>
        <v>#N/A</v>
      </c>
      <c r="AL119" s="270" t="e">
        <f>IF(AK119&lt;=1,"Insignificante",HLOOKUP(AK119,[71]Listas!$F$3:$J$4,2,0))</f>
        <v>#N/A</v>
      </c>
      <c r="AM119" s="273" t="e">
        <f t="shared" si="15"/>
        <v>#N/A</v>
      </c>
      <c r="AN119" s="270" t="e">
        <f>INDEX([71]Listas!$F$6:$J$10,MATCH(AJ119,[71]Listas!$D$6:$D$10,0),MATCH(AL119,[71]Listas!$F$4:$J$4,0))</f>
        <v>#N/A</v>
      </c>
      <c r="AO119" s="259"/>
      <c r="AP119" s="259"/>
      <c r="AQ119" s="610"/>
      <c r="AR119" s="259"/>
      <c r="AS119" s="259" t="s">
        <v>2343</v>
      </c>
      <c r="AT119" s="608"/>
      <c r="AU119" s="259"/>
      <c r="AV119" s="259"/>
      <c r="AW119" s="559"/>
      <c r="AX119" s="559"/>
      <c r="AY119" s="608"/>
      <c r="AZ119" s="556"/>
    </row>
    <row r="120" spans="2:52" s="557" customFormat="1" ht="103.5" hidden="1" customHeight="1">
      <c r="B120" s="608"/>
      <c r="C120" s="266"/>
      <c r="D120" s="1399"/>
      <c r="E120" s="1408"/>
      <c r="F120" s="1400"/>
      <c r="G120" s="267"/>
      <c r="H120" s="1399"/>
      <c r="I120" s="1408"/>
      <c r="J120" s="1400"/>
      <c r="K120" s="1380"/>
      <c r="L120" s="1380"/>
      <c r="M120" s="1380"/>
      <c r="N120" s="608"/>
      <c r="O120" s="608"/>
      <c r="P120" s="608"/>
      <c r="Q120" s="608"/>
      <c r="R120" s="266"/>
      <c r="S120" s="266"/>
      <c r="T120" s="268"/>
      <c r="U120" s="269" t="e">
        <f>VLOOKUP(R120,[71]Listas!$D$6:$E$10,2,0)</f>
        <v>#N/A</v>
      </c>
      <c r="V120" s="269" t="e">
        <f>HLOOKUP(S120,[71]Listas!$F$4:$J$5,2,0)</f>
        <v>#N/A</v>
      </c>
      <c r="W120" s="270" t="e">
        <f>INDEX([71]Listas!$F$6:$J$10,MATCH(R120,[71]Listas!$D$6:$D$10,0),MATCH(S120,[71]Listas!$F$4:$J$4,0))</f>
        <v>#N/A</v>
      </c>
      <c r="X120" s="268"/>
      <c r="Y120" s="1399"/>
      <c r="Z120" s="1408"/>
      <c r="AA120" s="1400"/>
      <c r="AB120" s="1063"/>
      <c r="AC120" s="267"/>
      <c r="AD120" s="259"/>
      <c r="AE120" s="608"/>
      <c r="AF120" s="267"/>
      <c r="AG120" s="268"/>
      <c r="AH120" s="269">
        <f t="shared" si="12"/>
        <v>0</v>
      </c>
      <c r="AI120" s="558" t="e">
        <f t="shared" si="13"/>
        <v>#N/A</v>
      </c>
      <c r="AJ120" s="270" t="e">
        <f>IF(AI120&lt;=1,"Remota",VLOOKUP(AI120,[71]Listas!$C$6:$D$10,2,0))</f>
        <v>#N/A</v>
      </c>
      <c r="AK120" s="558" t="e">
        <f t="shared" si="14"/>
        <v>#N/A</v>
      </c>
      <c r="AL120" s="270" t="e">
        <f>IF(AK120&lt;=1,"Insignificante",HLOOKUP(AK120,[71]Listas!$F$3:$J$4,2,0))</f>
        <v>#N/A</v>
      </c>
      <c r="AM120" s="273" t="e">
        <f t="shared" si="15"/>
        <v>#N/A</v>
      </c>
      <c r="AN120" s="270" t="e">
        <f>INDEX([71]Listas!$F$6:$J$10,MATCH(AJ120,[71]Listas!$D$6:$D$10,0),MATCH(AL120,[71]Listas!$F$4:$J$4,0))</f>
        <v>#N/A</v>
      </c>
      <c r="AO120" s="259"/>
      <c r="AP120" s="259"/>
      <c r="AQ120" s="610"/>
      <c r="AR120" s="259"/>
      <c r="AS120" s="259" t="s">
        <v>2343</v>
      </c>
      <c r="AT120" s="608"/>
      <c r="AU120" s="259"/>
      <c r="AV120" s="259"/>
      <c r="AW120" s="559"/>
      <c r="AX120" s="559"/>
      <c r="AY120" s="608"/>
      <c r="AZ120" s="556"/>
    </row>
    <row r="121" spans="2:52" s="557" customFormat="1" ht="103.5" hidden="1" customHeight="1">
      <c r="B121" s="608"/>
      <c r="C121" s="266"/>
      <c r="D121" s="1399"/>
      <c r="E121" s="1408"/>
      <c r="F121" s="1400"/>
      <c r="G121" s="267"/>
      <c r="H121" s="1399"/>
      <c r="I121" s="1408"/>
      <c r="J121" s="1400"/>
      <c r="K121" s="1380"/>
      <c r="L121" s="1380"/>
      <c r="M121" s="1380"/>
      <c r="N121" s="608"/>
      <c r="O121" s="608"/>
      <c r="P121" s="608"/>
      <c r="Q121" s="608"/>
      <c r="R121" s="266"/>
      <c r="S121" s="266"/>
      <c r="T121" s="268"/>
      <c r="U121" s="269" t="e">
        <f>VLOOKUP(R121,[71]Listas!$D$6:$E$10,2,0)</f>
        <v>#N/A</v>
      </c>
      <c r="V121" s="269" t="e">
        <f>HLOOKUP(S121,[71]Listas!$F$4:$J$5,2,0)</f>
        <v>#N/A</v>
      </c>
      <c r="W121" s="270" t="e">
        <f>INDEX([71]Listas!$F$6:$J$10,MATCH(R121,[71]Listas!$D$6:$D$10,0),MATCH(S121,[71]Listas!$F$4:$J$4,0))</f>
        <v>#N/A</v>
      </c>
      <c r="X121" s="268"/>
      <c r="Y121" s="1399"/>
      <c r="Z121" s="1408"/>
      <c r="AA121" s="1400"/>
      <c r="AB121" s="1063"/>
      <c r="AC121" s="267"/>
      <c r="AD121" s="259"/>
      <c r="AE121" s="608"/>
      <c r="AF121" s="267"/>
      <c r="AG121" s="268"/>
      <c r="AH121" s="269">
        <f t="shared" si="12"/>
        <v>0</v>
      </c>
      <c r="AI121" s="558" t="e">
        <f t="shared" si="13"/>
        <v>#N/A</v>
      </c>
      <c r="AJ121" s="270" t="e">
        <f>IF(AI121&lt;=1,"Remota",VLOOKUP(AI121,[71]Listas!$C$6:$D$10,2,0))</f>
        <v>#N/A</v>
      </c>
      <c r="AK121" s="558" t="e">
        <f t="shared" si="14"/>
        <v>#N/A</v>
      </c>
      <c r="AL121" s="270" t="e">
        <f>IF(AK121&lt;=1,"Insignificante",HLOOKUP(AK121,[71]Listas!$F$3:$J$4,2,0))</f>
        <v>#N/A</v>
      </c>
      <c r="AM121" s="273" t="e">
        <f t="shared" si="15"/>
        <v>#N/A</v>
      </c>
      <c r="AN121" s="270" t="e">
        <f>INDEX([71]Listas!$F$6:$J$10,MATCH(AJ121,[71]Listas!$D$6:$D$10,0),MATCH(AL121,[71]Listas!$F$4:$J$4,0))</f>
        <v>#N/A</v>
      </c>
      <c r="AO121" s="259"/>
      <c r="AP121" s="259"/>
      <c r="AQ121" s="610"/>
      <c r="AR121" s="259"/>
      <c r="AS121" s="259" t="s">
        <v>2343</v>
      </c>
      <c r="AT121" s="608"/>
      <c r="AU121" s="259"/>
      <c r="AV121" s="259"/>
      <c r="AW121" s="559"/>
      <c r="AX121" s="559"/>
      <c r="AY121" s="608"/>
      <c r="AZ121" s="556"/>
    </row>
    <row r="122" spans="2:52" s="557" customFormat="1" ht="103.5" hidden="1" customHeight="1">
      <c r="B122" s="608"/>
      <c r="C122" s="266"/>
      <c r="D122" s="1399"/>
      <c r="E122" s="1408"/>
      <c r="F122" s="1400"/>
      <c r="G122" s="267"/>
      <c r="H122" s="1399"/>
      <c r="I122" s="1408"/>
      <c r="J122" s="1400"/>
      <c r="K122" s="1380"/>
      <c r="L122" s="1380"/>
      <c r="M122" s="1380"/>
      <c r="N122" s="608"/>
      <c r="O122" s="608"/>
      <c r="P122" s="608"/>
      <c r="Q122" s="608"/>
      <c r="R122" s="266"/>
      <c r="S122" s="266"/>
      <c r="T122" s="268"/>
      <c r="U122" s="269" t="e">
        <f>VLOOKUP(R122,[71]Listas!$D$6:$E$10,2,0)</f>
        <v>#N/A</v>
      </c>
      <c r="V122" s="269" t="e">
        <f>HLOOKUP(S122,[71]Listas!$F$4:$J$5,2,0)</f>
        <v>#N/A</v>
      </c>
      <c r="W122" s="270" t="e">
        <f>INDEX([71]Listas!$F$6:$J$10,MATCH(R122,[71]Listas!$D$6:$D$10,0),MATCH(S122,[71]Listas!$F$4:$J$4,0))</f>
        <v>#N/A</v>
      </c>
      <c r="X122" s="268"/>
      <c r="Y122" s="1399"/>
      <c r="Z122" s="1408"/>
      <c r="AA122" s="1400"/>
      <c r="AB122" s="1063"/>
      <c r="AC122" s="267"/>
      <c r="AD122" s="259"/>
      <c r="AE122" s="608"/>
      <c r="AF122" s="267"/>
      <c r="AG122" s="268"/>
      <c r="AH122" s="269">
        <f t="shared" si="12"/>
        <v>0</v>
      </c>
      <c r="AI122" s="558" t="e">
        <f t="shared" si="13"/>
        <v>#N/A</v>
      </c>
      <c r="AJ122" s="270" t="e">
        <f>IF(AI122&lt;=1,"Remota",VLOOKUP(AI122,[71]Listas!$C$6:$D$10,2,0))</f>
        <v>#N/A</v>
      </c>
      <c r="AK122" s="558" t="e">
        <f t="shared" si="14"/>
        <v>#N/A</v>
      </c>
      <c r="AL122" s="270" t="e">
        <f>IF(AK122&lt;=1,"Insignificante",HLOOKUP(AK122,[71]Listas!$F$3:$J$4,2,0))</f>
        <v>#N/A</v>
      </c>
      <c r="AM122" s="273" t="e">
        <f t="shared" si="15"/>
        <v>#N/A</v>
      </c>
      <c r="AN122" s="270" t="e">
        <f>INDEX([71]Listas!$F$6:$J$10,MATCH(AJ122,[71]Listas!$D$6:$D$10,0),MATCH(AL122,[71]Listas!$F$4:$J$4,0))</f>
        <v>#N/A</v>
      </c>
      <c r="AO122" s="259"/>
      <c r="AP122" s="259"/>
      <c r="AQ122" s="610"/>
      <c r="AR122" s="259"/>
      <c r="AS122" s="259" t="s">
        <v>2343</v>
      </c>
      <c r="AT122" s="608"/>
      <c r="AU122" s="259"/>
      <c r="AV122" s="259"/>
      <c r="AW122" s="559"/>
      <c r="AX122" s="559"/>
      <c r="AY122" s="608"/>
      <c r="AZ122" s="556"/>
    </row>
    <row r="123" spans="2:52" s="557" customFormat="1" ht="103.5" hidden="1" customHeight="1">
      <c r="B123" s="608"/>
      <c r="C123" s="266"/>
      <c r="D123" s="1399"/>
      <c r="E123" s="1408"/>
      <c r="F123" s="1400"/>
      <c r="G123" s="267"/>
      <c r="H123" s="1399"/>
      <c r="I123" s="1408"/>
      <c r="J123" s="1400"/>
      <c r="K123" s="1380"/>
      <c r="L123" s="1380"/>
      <c r="M123" s="1380"/>
      <c r="N123" s="608"/>
      <c r="O123" s="608"/>
      <c r="P123" s="608"/>
      <c r="Q123" s="608"/>
      <c r="R123" s="266"/>
      <c r="S123" s="266"/>
      <c r="T123" s="268"/>
      <c r="U123" s="269" t="e">
        <f>VLOOKUP(R123,[71]Listas!$D$6:$E$10,2,0)</f>
        <v>#N/A</v>
      </c>
      <c r="V123" s="269" t="e">
        <f>HLOOKUP(S123,[71]Listas!$F$4:$J$5,2,0)</f>
        <v>#N/A</v>
      </c>
      <c r="W123" s="270" t="e">
        <f>INDEX([71]Listas!$F$6:$J$10,MATCH(R123,[71]Listas!$D$6:$D$10,0),MATCH(S123,[71]Listas!$F$4:$J$4,0))</f>
        <v>#N/A</v>
      </c>
      <c r="X123" s="268"/>
      <c r="Y123" s="1399"/>
      <c r="Z123" s="1408"/>
      <c r="AA123" s="1400"/>
      <c r="AB123" s="1063"/>
      <c r="AC123" s="267"/>
      <c r="AD123" s="259"/>
      <c r="AE123" s="608"/>
      <c r="AF123" s="267"/>
      <c r="AG123" s="268"/>
      <c r="AH123" s="269">
        <f t="shared" si="12"/>
        <v>0</v>
      </c>
      <c r="AI123" s="558" t="e">
        <f t="shared" si="13"/>
        <v>#N/A</v>
      </c>
      <c r="AJ123" s="270" t="e">
        <f>IF(AI123&lt;=1,"Remota",VLOOKUP(AI123,[71]Listas!$C$6:$D$10,2,0))</f>
        <v>#N/A</v>
      </c>
      <c r="AK123" s="558" t="e">
        <f t="shared" si="14"/>
        <v>#N/A</v>
      </c>
      <c r="AL123" s="270" t="e">
        <f>IF(AK123&lt;=1,"Insignificante",HLOOKUP(AK123,[71]Listas!$F$3:$J$4,2,0))</f>
        <v>#N/A</v>
      </c>
      <c r="AM123" s="273" t="e">
        <f t="shared" si="15"/>
        <v>#N/A</v>
      </c>
      <c r="AN123" s="270" t="e">
        <f>INDEX([71]Listas!$F$6:$J$10,MATCH(AJ123,[71]Listas!$D$6:$D$10,0),MATCH(AL123,[71]Listas!$F$4:$J$4,0))</f>
        <v>#N/A</v>
      </c>
      <c r="AO123" s="259"/>
      <c r="AP123" s="259"/>
      <c r="AQ123" s="610"/>
      <c r="AR123" s="259"/>
      <c r="AS123" s="259" t="s">
        <v>2343</v>
      </c>
      <c r="AT123" s="608"/>
      <c r="AU123" s="259"/>
      <c r="AV123" s="259"/>
      <c r="AW123" s="559"/>
      <c r="AX123" s="559"/>
      <c r="AY123" s="608"/>
      <c r="AZ123" s="556"/>
    </row>
    <row r="124" spans="2:52" s="557" customFormat="1" ht="103.5" hidden="1" customHeight="1">
      <c r="B124" s="608"/>
      <c r="C124" s="266"/>
      <c r="D124" s="1399"/>
      <c r="E124" s="1408"/>
      <c r="F124" s="1400"/>
      <c r="G124" s="267"/>
      <c r="H124" s="1399"/>
      <c r="I124" s="1408"/>
      <c r="J124" s="1400"/>
      <c r="K124" s="1380"/>
      <c r="L124" s="1380"/>
      <c r="M124" s="1380"/>
      <c r="N124" s="608"/>
      <c r="O124" s="608"/>
      <c r="P124" s="608"/>
      <c r="Q124" s="608"/>
      <c r="R124" s="266"/>
      <c r="S124" s="266"/>
      <c r="T124" s="268"/>
      <c r="U124" s="269" t="e">
        <f>VLOOKUP(R124,[71]Listas!$D$6:$E$10,2,0)</f>
        <v>#N/A</v>
      </c>
      <c r="V124" s="269" t="e">
        <f>HLOOKUP(S124,[71]Listas!$F$4:$J$5,2,0)</f>
        <v>#N/A</v>
      </c>
      <c r="W124" s="270" t="e">
        <f>INDEX([71]Listas!$F$6:$J$10,MATCH(R124,[71]Listas!$D$6:$D$10,0),MATCH(S124,[71]Listas!$F$4:$J$4,0))</f>
        <v>#N/A</v>
      </c>
      <c r="X124" s="268"/>
      <c r="Y124" s="1399"/>
      <c r="Z124" s="1408"/>
      <c r="AA124" s="1400"/>
      <c r="AB124" s="1063"/>
      <c r="AC124" s="267"/>
      <c r="AD124" s="259"/>
      <c r="AE124" s="608"/>
      <c r="AF124" s="267"/>
      <c r="AG124" s="268"/>
      <c r="AH124" s="269">
        <f t="shared" si="12"/>
        <v>0</v>
      </c>
      <c r="AI124" s="558" t="e">
        <f t="shared" si="13"/>
        <v>#N/A</v>
      </c>
      <c r="AJ124" s="270" t="e">
        <f>IF(AI124&lt;=1,"Remota",VLOOKUP(AI124,[71]Listas!$C$6:$D$10,2,0))</f>
        <v>#N/A</v>
      </c>
      <c r="AK124" s="558" t="e">
        <f t="shared" si="14"/>
        <v>#N/A</v>
      </c>
      <c r="AL124" s="270" t="e">
        <f>IF(AK124&lt;=1,"Insignificante",HLOOKUP(AK124,[71]Listas!$F$3:$J$4,2,0))</f>
        <v>#N/A</v>
      </c>
      <c r="AM124" s="273" t="e">
        <f t="shared" si="15"/>
        <v>#N/A</v>
      </c>
      <c r="AN124" s="270" t="e">
        <f>INDEX([71]Listas!$F$6:$J$10,MATCH(AJ124,[71]Listas!$D$6:$D$10,0),MATCH(AL124,[71]Listas!$F$4:$J$4,0))</f>
        <v>#N/A</v>
      </c>
      <c r="AO124" s="259"/>
      <c r="AP124" s="259"/>
      <c r="AQ124" s="610"/>
      <c r="AR124" s="259"/>
      <c r="AS124" s="259" t="s">
        <v>2343</v>
      </c>
      <c r="AT124" s="608"/>
      <c r="AU124" s="259"/>
      <c r="AV124" s="259"/>
      <c r="AW124" s="559"/>
      <c r="AX124" s="559"/>
      <c r="AY124" s="608"/>
      <c r="AZ124" s="556"/>
    </row>
    <row r="125" spans="2:52" s="557" customFormat="1" ht="103.5" hidden="1" customHeight="1">
      <c r="B125" s="608"/>
      <c r="C125" s="266"/>
      <c r="D125" s="1399"/>
      <c r="E125" s="1408"/>
      <c r="F125" s="1400"/>
      <c r="G125" s="267"/>
      <c r="H125" s="1399"/>
      <c r="I125" s="1408"/>
      <c r="J125" s="1400"/>
      <c r="K125" s="1380"/>
      <c r="L125" s="1380"/>
      <c r="M125" s="1380"/>
      <c r="N125" s="608"/>
      <c r="O125" s="608"/>
      <c r="P125" s="608"/>
      <c r="Q125" s="608"/>
      <c r="R125" s="266"/>
      <c r="S125" s="266"/>
      <c r="T125" s="268"/>
      <c r="U125" s="269" t="e">
        <f>VLOOKUP(R125,[71]Listas!$D$6:$E$10,2,0)</f>
        <v>#N/A</v>
      </c>
      <c r="V125" s="269" t="e">
        <f>HLOOKUP(S125,[71]Listas!$F$4:$J$5,2,0)</f>
        <v>#N/A</v>
      </c>
      <c r="W125" s="270" t="e">
        <f>INDEX([71]Listas!$F$6:$J$10,MATCH(R125,[71]Listas!$D$6:$D$10,0),MATCH(S125,[71]Listas!$F$4:$J$4,0))</f>
        <v>#N/A</v>
      </c>
      <c r="X125" s="268"/>
      <c r="Y125" s="1399"/>
      <c r="Z125" s="1408"/>
      <c r="AA125" s="1400"/>
      <c r="AB125" s="1063"/>
      <c r="AC125" s="267"/>
      <c r="AD125" s="259"/>
      <c r="AE125" s="608"/>
      <c r="AF125" s="267"/>
      <c r="AG125" s="268"/>
      <c r="AH125" s="269">
        <f t="shared" si="12"/>
        <v>0</v>
      </c>
      <c r="AI125" s="558" t="e">
        <f t="shared" si="13"/>
        <v>#N/A</v>
      </c>
      <c r="AJ125" s="270" t="e">
        <f>IF(AI125&lt;=1,"Remota",VLOOKUP(AI125,[71]Listas!$C$6:$D$10,2,0))</f>
        <v>#N/A</v>
      </c>
      <c r="AK125" s="558" t="e">
        <f t="shared" si="14"/>
        <v>#N/A</v>
      </c>
      <c r="AL125" s="270" t="e">
        <f>IF(AK125&lt;=1,"Insignificante",HLOOKUP(AK125,[71]Listas!$F$3:$J$4,2,0))</f>
        <v>#N/A</v>
      </c>
      <c r="AM125" s="273" t="e">
        <f t="shared" si="15"/>
        <v>#N/A</v>
      </c>
      <c r="AN125" s="270" t="e">
        <f>INDEX([71]Listas!$F$6:$J$10,MATCH(AJ125,[71]Listas!$D$6:$D$10,0),MATCH(AL125,[71]Listas!$F$4:$J$4,0))</f>
        <v>#N/A</v>
      </c>
      <c r="AO125" s="259"/>
      <c r="AP125" s="259"/>
      <c r="AQ125" s="610"/>
      <c r="AR125" s="259"/>
      <c r="AS125" s="259" t="s">
        <v>2343</v>
      </c>
      <c r="AT125" s="608"/>
      <c r="AU125" s="259"/>
      <c r="AV125" s="259"/>
      <c r="AW125" s="559"/>
      <c r="AX125" s="559"/>
      <c r="AY125" s="608"/>
      <c r="AZ125" s="556"/>
    </row>
    <row r="126" spans="2:52" s="557" customFormat="1" ht="103.5" hidden="1" customHeight="1">
      <c r="B126" s="608"/>
      <c r="C126" s="266"/>
      <c r="D126" s="1399"/>
      <c r="E126" s="1408"/>
      <c r="F126" s="1400"/>
      <c r="G126" s="267"/>
      <c r="H126" s="1399"/>
      <c r="I126" s="1408"/>
      <c r="J126" s="1400"/>
      <c r="K126" s="1380"/>
      <c r="L126" s="1380"/>
      <c r="M126" s="1380"/>
      <c r="N126" s="608"/>
      <c r="O126" s="608"/>
      <c r="P126" s="608"/>
      <c r="Q126" s="608"/>
      <c r="R126" s="266"/>
      <c r="S126" s="266"/>
      <c r="T126" s="268"/>
      <c r="U126" s="269" t="e">
        <f>VLOOKUP(R126,[71]Listas!$D$6:$E$10,2,0)</f>
        <v>#N/A</v>
      </c>
      <c r="V126" s="269" t="e">
        <f>HLOOKUP(S126,[71]Listas!$F$4:$J$5,2,0)</f>
        <v>#N/A</v>
      </c>
      <c r="W126" s="270" t="e">
        <f>INDEX([71]Listas!$F$6:$J$10,MATCH(R126,[71]Listas!$D$6:$D$10,0),MATCH(S126,[71]Listas!$F$4:$J$4,0))</f>
        <v>#N/A</v>
      </c>
      <c r="X126" s="268"/>
      <c r="Y126" s="1399"/>
      <c r="Z126" s="1408"/>
      <c r="AA126" s="1400"/>
      <c r="AB126" s="1063"/>
      <c r="AC126" s="267"/>
      <c r="AD126" s="259"/>
      <c r="AE126" s="608"/>
      <c r="AF126" s="267"/>
      <c r="AG126" s="268"/>
      <c r="AH126" s="269">
        <f t="shared" si="12"/>
        <v>0</v>
      </c>
      <c r="AI126" s="558" t="e">
        <f t="shared" si="13"/>
        <v>#N/A</v>
      </c>
      <c r="AJ126" s="270" t="e">
        <f>IF(AI126&lt;=1,"Remota",VLOOKUP(AI126,[71]Listas!$C$6:$D$10,2,0))</f>
        <v>#N/A</v>
      </c>
      <c r="AK126" s="558" t="e">
        <f t="shared" si="14"/>
        <v>#N/A</v>
      </c>
      <c r="AL126" s="270" t="e">
        <f>IF(AK126&lt;=1,"Insignificante",HLOOKUP(AK126,[71]Listas!$F$3:$J$4,2,0))</f>
        <v>#N/A</v>
      </c>
      <c r="AM126" s="273" t="e">
        <f t="shared" si="15"/>
        <v>#N/A</v>
      </c>
      <c r="AN126" s="270" t="e">
        <f>INDEX([71]Listas!$F$6:$J$10,MATCH(AJ126,[71]Listas!$D$6:$D$10,0),MATCH(AL126,[71]Listas!$F$4:$J$4,0))</f>
        <v>#N/A</v>
      </c>
      <c r="AO126" s="259"/>
      <c r="AP126" s="259"/>
      <c r="AQ126" s="610"/>
      <c r="AR126" s="259"/>
      <c r="AS126" s="259" t="s">
        <v>2343</v>
      </c>
      <c r="AT126" s="608"/>
      <c r="AU126" s="259"/>
      <c r="AV126" s="259"/>
      <c r="AW126" s="559"/>
      <c r="AX126" s="559"/>
      <c r="AY126" s="608"/>
      <c r="AZ126" s="556"/>
    </row>
    <row r="127" spans="2:52" s="557" customFormat="1" ht="103.5" hidden="1" customHeight="1">
      <c r="B127" s="608"/>
      <c r="C127" s="266"/>
      <c r="D127" s="1399"/>
      <c r="E127" s="1408"/>
      <c r="F127" s="1400"/>
      <c r="G127" s="267"/>
      <c r="H127" s="1399"/>
      <c r="I127" s="1408"/>
      <c r="J127" s="1400"/>
      <c r="K127" s="1380"/>
      <c r="L127" s="1380"/>
      <c r="M127" s="1380"/>
      <c r="N127" s="608"/>
      <c r="O127" s="608"/>
      <c r="P127" s="608"/>
      <c r="Q127" s="608"/>
      <c r="R127" s="266"/>
      <c r="S127" s="266"/>
      <c r="T127" s="268"/>
      <c r="U127" s="269" t="e">
        <f>VLOOKUP(R127,[71]Listas!$D$6:$E$10,2,0)</f>
        <v>#N/A</v>
      </c>
      <c r="V127" s="269" t="e">
        <f>HLOOKUP(S127,[71]Listas!$F$4:$J$5,2,0)</f>
        <v>#N/A</v>
      </c>
      <c r="W127" s="270" t="e">
        <f>INDEX([71]Listas!$F$6:$J$10,MATCH(R127,[71]Listas!$D$6:$D$10,0),MATCH(S127,[71]Listas!$F$4:$J$4,0))</f>
        <v>#N/A</v>
      </c>
      <c r="X127" s="268"/>
      <c r="Y127" s="1399"/>
      <c r="Z127" s="1408"/>
      <c r="AA127" s="1400"/>
      <c r="AB127" s="1063"/>
      <c r="AC127" s="267"/>
      <c r="AD127" s="259"/>
      <c r="AE127" s="608"/>
      <c r="AF127" s="267"/>
      <c r="AG127" s="268"/>
      <c r="AH127" s="269">
        <f t="shared" si="12"/>
        <v>0</v>
      </c>
      <c r="AI127" s="558" t="e">
        <f t="shared" si="13"/>
        <v>#N/A</v>
      </c>
      <c r="AJ127" s="270" t="e">
        <f>IF(AI127&lt;=1,"Remota",VLOOKUP(AI127,[71]Listas!$C$6:$D$10,2,0))</f>
        <v>#N/A</v>
      </c>
      <c r="AK127" s="558" t="e">
        <f t="shared" si="14"/>
        <v>#N/A</v>
      </c>
      <c r="AL127" s="270" t="e">
        <f>IF(AK127&lt;=1,"Insignificante",HLOOKUP(AK127,[71]Listas!$F$3:$J$4,2,0))</f>
        <v>#N/A</v>
      </c>
      <c r="AM127" s="273" t="e">
        <f t="shared" si="15"/>
        <v>#N/A</v>
      </c>
      <c r="AN127" s="270" t="e">
        <f>INDEX([71]Listas!$F$6:$J$10,MATCH(AJ127,[71]Listas!$D$6:$D$10,0),MATCH(AL127,[71]Listas!$F$4:$J$4,0))</f>
        <v>#N/A</v>
      </c>
      <c r="AO127" s="259"/>
      <c r="AP127" s="259"/>
      <c r="AQ127" s="610"/>
      <c r="AR127" s="259"/>
      <c r="AS127" s="259" t="s">
        <v>2343</v>
      </c>
      <c r="AT127" s="608"/>
      <c r="AU127" s="259"/>
      <c r="AV127" s="259"/>
      <c r="AW127" s="559"/>
      <c r="AX127" s="559"/>
      <c r="AY127" s="608"/>
      <c r="AZ127" s="556"/>
    </row>
    <row r="128" spans="2:52" s="557" customFormat="1" ht="103.5" hidden="1" customHeight="1">
      <c r="B128" s="608"/>
      <c r="C128" s="266"/>
      <c r="D128" s="1399"/>
      <c r="E128" s="1408"/>
      <c r="F128" s="1400"/>
      <c r="G128" s="267"/>
      <c r="H128" s="1399"/>
      <c r="I128" s="1408"/>
      <c r="J128" s="1400"/>
      <c r="K128" s="1380"/>
      <c r="L128" s="1380"/>
      <c r="M128" s="1380"/>
      <c r="N128" s="608"/>
      <c r="O128" s="608"/>
      <c r="P128" s="608"/>
      <c r="Q128" s="608"/>
      <c r="R128" s="266"/>
      <c r="S128" s="266"/>
      <c r="T128" s="268"/>
      <c r="U128" s="269" t="e">
        <f>VLOOKUP(R128,[71]Listas!$D$6:$E$10,2,0)</f>
        <v>#N/A</v>
      </c>
      <c r="V128" s="269" t="e">
        <f>HLOOKUP(S128,[71]Listas!$F$4:$J$5,2,0)</f>
        <v>#N/A</v>
      </c>
      <c r="W128" s="270" t="e">
        <f>INDEX([71]Listas!$F$6:$J$10,MATCH(R128,[71]Listas!$D$6:$D$10,0),MATCH(S128,[71]Listas!$F$4:$J$4,0))</f>
        <v>#N/A</v>
      </c>
      <c r="X128" s="268"/>
      <c r="Y128" s="1399"/>
      <c r="Z128" s="1408"/>
      <c r="AA128" s="1400"/>
      <c r="AB128" s="1063"/>
      <c r="AC128" s="267"/>
      <c r="AD128" s="259"/>
      <c r="AE128" s="608"/>
      <c r="AF128" s="267"/>
      <c r="AG128" s="268"/>
      <c r="AH128" s="269">
        <f t="shared" si="12"/>
        <v>0</v>
      </c>
      <c r="AI128" s="558" t="e">
        <f t="shared" si="13"/>
        <v>#N/A</v>
      </c>
      <c r="AJ128" s="270" t="e">
        <f>IF(AI128&lt;=1,"Remota",VLOOKUP(AI128,[71]Listas!$C$6:$D$10,2,0))</f>
        <v>#N/A</v>
      </c>
      <c r="AK128" s="558" t="e">
        <f t="shared" si="14"/>
        <v>#N/A</v>
      </c>
      <c r="AL128" s="270" t="e">
        <f>IF(AK128&lt;=1,"Insignificante",HLOOKUP(AK128,[71]Listas!$F$3:$J$4,2,0))</f>
        <v>#N/A</v>
      </c>
      <c r="AM128" s="273" t="e">
        <f t="shared" si="15"/>
        <v>#N/A</v>
      </c>
      <c r="AN128" s="270" t="e">
        <f>INDEX([71]Listas!$F$6:$J$10,MATCH(AJ128,[71]Listas!$D$6:$D$10,0),MATCH(AL128,[71]Listas!$F$4:$J$4,0))</f>
        <v>#N/A</v>
      </c>
      <c r="AO128" s="259"/>
      <c r="AP128" s="259"/>
      <c r="AQ128" s="610"/>
      <c r="AR128" s="259"/>
      <c r="AS128" s="259" t="s">
        <v>2343</v>
      </c>
      <c r="AT128" s="608"/>
      <c r="AU128" s="259"/>
      <c r="AV128" s="259"/>
      <c r="AW128" s="559"/>
      <c r="AX128" s="559"/>
      <c r="AY128" s="608"/>
      <c r="AZ128" s="556"/>
    </row>
    <row r="129" spans="2:52" s="557" customFormat="1" ht="103.5" hidden="1" customHeight="1">
      <c r="B129" s="608"/>
      <c r="C129" s="266"/>
      <c r="D129" s="1399"/>
      <c r="E129" s="1408"/>
      <c r="F129" s="1400"/>
      <c r="G129" s="267"/>
      <c r="H129" s="1399"/>
      <c r="I129" s="1408"/>
      <c r="J129" s="1400"/>
      <c r="K129" s="1380"/>
      <c r="L129" s="1380"/>
      <c r="M129" s="1380"/>
      <c r="N129" s="608"/>
      <c r="O129" s="608"/>
      <c r="P129" s="608"/>
      <c r="Q129" s="608"/>
      <c r="R129" s="266"/>
      <c r="S129" s="266"/>
      <c r="T129" s="268"/>
      <c r="U129" s="269" t="e">
        <f>VLOOKUP(R129,[71]Listas!$D$6:$E$10,2,0)</f>
        <v>#N/A</v>
      </c>
      <c r="V129" s="269" t="e">
        <f>HLOOKUP(S129,[71]Listas!$F$4:$J$5,2,0)</f>
        <v>#N/A</v>
      </c>
      <c r="W129" s="270" t="e">
        <f>INDEX([71]Listas!$F$6:$J$10,MATCH(R129,[71]Listas!$D$6:$D$10,0),MATCH(S129,[71]Listas!$F$4:$J$4,0))</f>
        <v>#N/A</v>
      </c>
      <c r="X129" s="268"/>
      <c r="Y129" s="1399"/>
      <c r="Z129" s="1408"/>
      <c r="AA129" s="1400"/>
      <c r="AB129" s="1063"/>
      <c r="AC129" s="267"/>
      <c r="AD129" s="259"/>
      <c r="AE129" s="608"/>
      <c r="AF129" s="267"/>
      <c r="AG129" s="268"/>
      <c r="AH129" s="269">
        <f t="shared" si="12"/>
        <v>0</v>
      </c>
      <c r="AI129" s="558" t="e">
        <f t="shared" si="13"/>
        <v>#N/A</v>
      </c>
      <c r="AJ129" s="270" t="e">
        <f>IF(AI129&lt;=1,"Remota",VLOOKUP(AI129,[71]Listas!$C$6:$D$10,2,0))</f>
        <v>#N/A</v>
      </c>
      <c r="AK129" s="558" t="e">
        <f t="shared" si="14"/>
        <v>#N/A</v>
      </c>
      <c r="AL129" s="270" t="e">
        <f>IF(AK129&lt;=1,"Insignificante",HLOOKUP(AK129,[71]Listas!$F$3:$J$4,2,0))</f>
        <v>#N/A</v>
      </c>
      <c r="AM129" s="273" t="e">
        <f t="shared" si="15"/>
        <v>#N/A</v>
      </c>
      <c r="AN129" s="270" t="e">
        <f>INDEX([71]Listas!$F$6:$J$10,MATCH(AJ129,[71]Listas!$D$6:$D$10,0),MATCH(AL129,[71]Listas!$F$4:$J$4,0))</f>
        <v>#N/A</v>
      </c>
      <c r="AO129" s="259"/>
      <c r="AP129" s="259"/>
      <c r="AQ129" s="610"/>
      <c r="AR129" s="259"/>
      <c r="AS129" s="259" t="s">
        <v>2343</v>
      </c>
      <c r="AT129" s="608"/>
      <c r="AU129" s="259"/>
      <c r="AV129" s="259"/>
      <c r="AW129" s="559"/>
      <c r="AX129" s="559"/>
      <c r="AY129" s="608"/>
      <c r="AZ129" s="556"/>
    </row>
    <row r="130" spans="2:52" s="557" customFormat="1" ht="103.5" hidden="1" customHeight="1">
      <c r="B130" s="608"/>
      <c r="C130" s="266"/>
      <c r="D130" s="1399"/>
      <c r="E130" s="1408"/>
      <c r="F130" s="1400"/>
      <c r="G130" s="267"/>
      <c r="H130" s="1399"/>
      <c r="I130" s="1408"/>
      <c r="J130" s="1400"/>
      <c r="K130" s="1380"/>
      <c r="L130" s="1380"/>
      <c r="M130" s="1380"/>
      <c r="N130" s="608"/>
      <c r="O130" s="608"/>
      <c r="P130" s="608"/>
      <c r="Q130" s="608"/>
      <c r="R130" s="266"/>
      <c r="S130" s="266"/>
      <c r="T130" s="268"/>
      <c r="U130" s="269" t="e">
        <f>VLOOKUP(R130,[71]Listas!$D$6:$E$10,2,0)</f>
        <v>#N/A</v>
      </c>
      <c r="V130" s="269" t="e">
        <f>HLOOKUP(S130,[71]Listas!$F$4:$J$5,2,0)</f>
        <v>#N/A</v>
      </c>
      <c r="W130" s="270" t="e">
        <f>INDEX([71]Listas!$F$6:$J$10,MATCH(R130,[71]Listas!$D$6:$D$10,0),MATCH(S130,[71]Listas!$F$4:$J$4,0))</f>
        <v>#N/A</v>
      </c>
      <c r="X130" s="268"/>
      <c r="Y130" s="1399"/>
      <c r="Z130" s="1408"/>
      <c r="AA130" s="1400"/>
      <c r="AB130" s="1063"/>
      <c r="AC130" s="267"/>
      <c r="AD130" s="259"/>
      <c r="AE130" s="608"/>
      <c r="AF130" s="267"/>
      <c r="AG130" s="268"/>
      <c r="AH130" s="269">
        <f t="shared" ref="AH130:AH147" si="16">IF(AE130&lt;=33,0,IF(AE130&gt;81,2,1))</f>
        <v>0</v>
      </c>
      <c r="AI130" s="558" t="e">
        <f t="shared" ref="AI130:AI147" si="17">IF(OR(AF130="Probabilidad",AF130="Ambos"),U130-AH130,U130)</f>
        <v>#N/A</v>
      </c>
      <c r="AJ130" s="270" t="e">
        <f>IF(AI130&lt;=1,"Remota",VLOOKUP(AI130,[71]Listas!$C$6:$D$10,2,0))</f>
        <v>#N/A</v>
      </c>
      <c r="AK130" s="558" t="e">
        <f t="shared" ref="AK130:AK147" si="18">IF(OR(AF130="Impacto",AF130="Ambos"),V130-AH130,V130)</f>
        <v>#N/A</v>
      </c>
      <c r="AL130" s="270" t="e">
        <f>IF(AK130&lt;=1,"Insignificante",HLOOKUP(AK130,[71]Listas!$F$3:$J$4,2,0))</f>
        <v>#N/A</v>
      </c>
      <c r="AM130" s="273" t="e">
        <f t="shared" ref="AM130:AM147" si="19">AI130*AK130</f>
        <v>#N/A</v>
      </c>
      <c r="AN130" s="270" t="e">
        <f>INDEX([71]Listas!$F$6:$J$10,MATCH(AJ130,[71]Listas!$D$6:$D$10,0),MATCH(AL130,[71]Listas!$F$4:$J$4,0))</f>
        <v>#N/A</v>
      </c>
      <c r="AO130" s="259"/>
      <c r="AP130" s="259"/>
      <c r="AQ130" s="610"/>
      <c r="AR130" s="259"/>
      <c r="AS130" s="259" t="s">
        <v>2343</v>
      </c>
      <c r="AT130" s="608"/>
      <c r="AU130" s="259"/>
      <c r="AV130" s="259"/>
      <c r="AW130" s="559"/>
      <c r="AX130" s="559"/>
      <c r="AY130" s="608"/>
      <c r="AZ130" s="556"/>
    </row>
    <row r="131" spans="2:52" s="557" customFormat="1" ht="103.5" hidden="1" customHeight="1">
      <c r="B131" s="608"/>
      <c r="C131" s="266"/>
      <c r="D131" s="1399"/>
      <c r="E131" s="1408"/>
      <c r="F131" s="1400"/>
      <c r="G131" s="267"/>
      <c r="H131" s="1399"/>
      <c r="I131" s="1408"/>
      <c r="J131" s="1400"/>
      <c r="K131" s="1380"/>
      <c r="L131" s="1380"/>
      <c r="M131" s="1380"/>
      <c r="N131" s="608"/>
      <c r="O131" s="608"/>
      <c r="P131" s="608"/>
      <c r="Q131" s="608"/>
      <c r="R131" s="266"/>
      <c r="S131" s="266"/>
      <c r="T131" s="268"/>
      <c r="U131" s="269" t="e">
        <f>VLOOKUP(R131,[71]Listas!$D$6:$E$10,2,0)</f>
        <v>#N/A</v>
      </c>
      <c r="V131" s="269" t="e">
        <f>HLOOKUP(S131,[71]Listas!$F$4:$J$5,2,0)</f>
        <v>#N/A</v>
      </c>
      <c r="W131" s="270" t="e">
        <f>INDEX([71]Listas!$F$6:$J$10,MATCH(R131,[71]Listas!$D$6:$D$10,0),MATCH(S131,[71]Listas!$F$4:$J$4,0))</f>
        <v>#N/A</v>
      </c>
      <c r="X131" s="268"/>
      <c r="Y131" s="1399"/>
      <c r="Z131" s="1408"/>
      <c r="AA131" s="1400"/>
      <c r="AB131" s="1063"/>
      <c r="AC131" s="267"/>
      <c r="AD131" s="259"/>
      <c r="AE131" s="608"/>
      <c r="AF131" s="267"/>
      <c r="AG131" s="268"/>
      <c r="AH131" s="269">
        <f t="shared" si="16"/>
        <v>0</v>
      </c>
      <c r="AI131" s="558" t="e">
        <f t="shared" si="17"/>
        <v>#N/A</v>
      </c>
      <c r="AJ131" s="270" t="e">
        <f>IF(AI131&lt;=1,"Remota",VLOOKUP(AI131,[71]Listas!$C$6:$D$10,2,0))</f>
        <v>#N/A</v>
      </c>
      <c r="AK131" s="558" t="e">
        <f t="shared" si="18"/>
        <v>#N/A</v>
      </c>
      <c r="AL131" s="270" t="e">
        <f>IF(AK131&lt;=1,"Insignificante",HLOOKUP(AK131,[71]Listas!$F$3:$J$4,2,0))</f>
        <v>#N/A</v>
      </c>
      <c r="AM131" s="273" t="e">
        <f t="shared" si="19"/>
        <v>#N/A</v>
      </c>
      <c r="AN131" s="270" t="e">
        <f>INDEX([71]Listas!$F$6:$J$10,MATCH(AJ131,[71]Listas!$D$6:$D$10,0),MATCH(AL131,[71]Listas!$F$4:$J$4,0))</f>
        <v>#N/A</v>
      </c>
      <c r="AO131" s="259"/>
      <c r="AP131" s="259"/>
      <c r="AQ131" s="610"/>
      <c r="AR131" s="259"/>
      <c r="AS131" s="259" t="s">
        <v>2343</v>
      </c>
      <c r="AT131" s="608"/>
      <c r="AU131" s="259"/>
      <c r="AV131" s="259"/>
      <c r="AW131" s="559"/>
      <c r="AX131" s="559"/>
      <c r="AY131" s="608"/>
      <c r="AZ131" s="556"/>
    </row>
    <row r="132" spans="2:52" s="557" customFormat="1" ht="103.5" hidden="1" customHeight="1">
      <c r="B132" s="608"/>
      <c r="C132" s="266"/>
      <c r="D132" s="1399"/>
      <c r="E132" s="1408"/>
      <c r="F132" s="1400"/>
      <c r="G132" s="267"/>
      <c r="H132" s="1399"/>
      <c r="I132" s="1408"/>
      <c r="J132" s="1400"/>
      <c r="K132" s="1380"/>
      <c r="L132" s="1380"/>
      <c r="M132" s="1380"/>
      <c r="N132" s="608"/>
      <c r="O132" s="608"/>
      <c r="P132" s="608"/>
      <c r="Q132" s="608"/>
      <c r="R132" s="266"/>
      <c r="S132" s="266"/>
      <c r="T132" s="268"/>
      <c r="U132" s="269" t="e">
        <f>VLOOKUP(R132,[71]Listas!$D$6:$E$10,2,0)</f>
        <v>#N/A</v>
      </c>
      <c r="V132" s="269" t="e">
        <f>HLOOKUP(S132,[71]Listas!$F$4:$J$5,2,0)</f>
        <v>#N/A</v>
      </c>
      <c r="W132" s="270" t="e">
        <f>INDEX([71]Listas!$F$6:$J$10,MATCH(R132,[71]Listas!$D$6:$D$10,0),MATCH(S132,[71]Listas!$F$4:$J$4,0))</f>
        <v>#N/A</v>
      </c>
      <c r="X132" s="268"/>
      <c r="Y132" s="1399"/>
      <c r="Z132" s="1408"/>
      <c r="AA132" s="1400"/>
      <c r="AB132" s="1063"/>
      <c r="AC132" s="267"/>
      <c r="AD132" s="259"/>
      <c r="AE132" s="608"/>
      <c r="AF132" s="267"/>
      <c r="AG132" s="268"/>
      <c r="AH132" s="269">
        <f t="shared" si="16"/>
        <v>0</v>
      </c>
      <c r="AI132" s="558" t="e">
        <f t="shared" si="17"/>
        <v>#N/A</v>
      </c>
      <c r="AJ132" s="270" t="e">
        <f>IF(AI132&lt;=1,"Remota",VLOOKUP(AI132,[71]Listas!$C$6:$D$10,2,0))</f>
        <v>#N/A</v>
      </c>
      <c r="AK132" s="558" t="e">
        <f t="shared" si="18"/>
        <v>#N/A</v>
      </c>
      <c r="AL132" s="270" t="e">
        <f>IF(AK132&lt;=1,"Insignificante",HLOOKUP(AK132,[71]Listas!$F$3:$J$4,2,0))</f>
        <v>#N/A</v>
      </c>
      <c r="AM132" s="273" t="e">
        <f t="shared" si="19"/>
        <v>#N/A</v>
      </c>
      <c r="AN132" s="270" t="e">
        <f>INDEX([71]Listas!$F$6:$J$10,MATCH(AJ132,[71]Listas!$D$6:$D$10,0),MATCH(AL132,[71]Listas!$F$4:$J$4,0))</f>
        <v>#N/A</v>
      </c>
      <c r="AO132" s="259"/>
      <c r="AP132" s="259"/>
      <c r="AQ132" s="610"/>
      <c r="AR132" s="259"/>
      <c r="AS132" s="259" t="s">
        <v>2343</v>
      </c>
      <c r="AT132" s="608"/>
      <c r="AU132" s="259"/>
      <c r="AV132" s="259"/>
      <c r="AW132" s="559"/>
      <c r="AX132" s="559"/>
      <c r="AY132" s="608"/>
      <c r="AZ132" s="556"/>
    </row>
    <row r="133" spans="2:52" s="557" customFormat="1" ht="103.5" hidden="1" customHeight="1">
      <c r="B133" s="608"/>
      <c r="C133" s="266"/>
      <c r="D133" s="1399"/>
      <c r="E133" s="1408"/>
      <c r="F133" s="1400"/>
      <c r="G133" s="267"/>
      <c r="H133" s="1399"/>
      <c r="I133" s="1408"/>
      <c r="J133" s="1400"/>
      <c r="K133" s="1380"/>
      <c r="L133" s="1380"/>
      <c r="M133" s="1380"/>
      <c r="N133" s="608"/>
      <c r="O133" s="608"/>
      <c r="P133" s="608"/>
      <c r="Q133" s="608"/>
      <c r="R133" s="266"/>
      <c r="S133" s="266"/>
      <c r="T133" s="268"/>
      <c r="U133" s="269" t="e">
        <f>VLOOKUP(R133,[71]Listas!$D$6:$E$10,2,0)</f>
        <v>#N/A</v>
      </c>
      <c r="V133" s="269" t="e">
        <f>HLOOKUP(S133,[71]Listas!$F$4:$J$5,2,0)</f>
        <v>#N/A</v>
      </c>
      <c r="W133" s="270" t="e">
        <f>INDEX([71]Listas!$F$6:$J$10,MATCH(R133,[71]Listas!$D$6:$D$10,0),MATCH(S133,[71]Listas!$F$4:$J$4,0))</f>
        <v>#N/A</v>
      </c>
      <c r="X133" s="268"/>
      <c r="Y133" s="1399"/>
      <c r="Z133" s="1408"/>
      <c r="AA133" s="1400"/>
      <c r="AB133" s="1063"/>
      <c r="AC133" s="267"/>
      <c r="AD133" s="259"/>
      <c r="AE133" s="608"/>
      <c r="AF133" s="267"/>
      <c r="AG133" s="268"/>
      <c r="AH133" s="269">
        <f t="shared" si="16"/>
        <v>0</v>
      </c>
      <c r="AI133" s="558" t="e">
        <f t="shared" si="17"/>
        <v>#N/A</v>
      </c>
      <c r="AJ133" s="270" t="e">
        <f>IF(AI133&lt;=1,"Remota",VLOOKUP(AI133,[71]Listas!$C$6:$D$10,2,0))</f>
        <v>#N/A</v>
      </c>
      <c r="AK133" s="558" t="e">
        <f t="shared" si="18"/>
        <v>#N/A</v>
      </c>
      <c r="AL133" s="270" t="e">
        <f>IF(AK133&lt;=1,"Insignificante",HLOOKUP(AK133,[71]Listas!$F$3:$J$4,2,0))</f>
        <v>#N/A</v>
      </c>
      <c r="AM133" s="273" t="e">
        <f t="shared" si="19"/>
        <v>#N/A</v>
      </c>
      <c r="AN133" s="270" t="e">
        <f>INDEX([71]Listas!$F$6:$J$10,MATCH(AJ133,[71]Listas!$D$6:$D$10,0),MATCH(AL133,[71]Listas!$F$4:$J$4,0))</f>
        <v>#N/A</v>
      </c>
      <c r="AO133" s="259"/>
      <c r="AP133" s="259"/>
      <c r="AQ133" s="610"/>
      <c r="AR133" s="259"/>
      <c r="AS133" s="259" t="s">
        <v>2343</v>
      </c>
      <c r="AT133" s="608"/>
      <c r="AU133" s="259"/>
      <c r="AV133" s="259"/>
      <c r="AW133" s="559"/>
      <c r="AX133" s="559"/>
      <c r="AY133" s="608"/>
      <c r="AZ133" s="556"/>
    </row>
    <row r="134" spans="2:52" s="557" customFormat="1" ht="103.5" hidden="1" customHeight="1">
      <c r="B134" s="608"/>
      <c r="C134" s="266"/>
      <c r="D134" s="1399"/>
      <c r="E134" s="1408"/>
      <c r="F134" s="1400"/>
      <c r="G134" s="267"/>
      <c r="H134" s="1399"/>
      <c r="I134" s="1408"/>
      <c r="J134" s="1400"/>
      <c r="K134" s="1380"/>
      <c r="L134" s="1380"/>
      <c r="M134" s="1380"/>
      <c r="N134" s="608"/>
      <c r="O134" s="608"/>
      <c r="P134" s="608"/>
      <c r="Q134" s="608"/>
      <c r="R134" s="266"/>
      <c r="S134" s="266"/>
      <c r="T134" s="268"/>
      <c r="U134" s="269" t="e">
        <f>VLOOKUP(R134,[71]Listas!$D$6:$E$10,2,0)</f>
        <v>#N/A</v>
      </c>
      <c r="V134" s="269" t="e">
        <f>HLOOKUP(S134,[71]Listas!$F$4:$J$5,2,0)</f>
        <v>#N/A</v>
      </c>
      <c r="W134" s="270" t="e">
        <f>INDEX([71]Listas!$F$6:$J$10,MATCH(R134,[71]Listas!$D$6:$D$10,0),MATCH(S134,[71]Listas!$F$4:$J$4,0))</f>
        <v>#N/A</v>
      </c>
      <c r="X134" s="268"/>
      <c r="Y134" s="1399"/>
      <c r="Z134" s="1408"/>
      <c r="AA134" s="1400"/>
      <c r="AB134" s="1063"/>
      <c r="AC134" s="267"/>
      <c r="AD134" s="259"/>
      <c r="AE134" s="608"/>
      <c r="AF134" s="267"/>
      <c r="AG134" s="268"/>
      <c r="AH134" s="269">
        <f t="shared" si="16"/>
        <v>0</v>
      </c>
      <c r="AI134" s="558" t="e">
        <f t="shared" si="17"/>
        <v>#N/A</v>
      </c>
      <c r="AJ134" s="270" t="e">
        <f>IF(AI134&lt;=1,"Remota",VLOOKUP(AI134,[71]Listas!$C$6:$D$10,2,0))</f>
        <v>#N/A</v>
      </c>
      <c r="AK134" s="558" t="e">
        <f t="shared" si="18"/>
        <v>#N/A</v>
      </c>
      <c r="AL134" s="270" t="e">
        <f>IF(AK134&lt;=1,"Insignificante",HLOOKUP(AK134,[71]Listas!$F$3:$J$4,2,0))</f>
        <v>#N/A</v>
      </c>
      <c r="AM134" s="273" t="e">
        <f t="shared" si="19"/>
        <v>#N/A</v>
      </c>
      <c r="AN134" s="270" t="e">
        <f>INDEX([71]Listas!$F$6:$J$10,MATCH(AJ134,[71]Listas!$D$6:$D$10,0),MATCH(AL134,[71]Listas!$F$4:$J$4,0))</f>
        <v>#N/A</v>
      </c>
      <c r="AO134" s="259"/>
      <c r="AP134" s="259"/>
      <c r="AQ134" s="610"/>
      <c r="AR134" s="259"/>
      <c r="AS134" s="259" t="s">
        <v>2343</v>
      </c>
      <c r="AT134" s="608"/>
      <c r="AU134" s="259"/>
      <c r="AV134" s="259"/>
      <c r="AW134" s="559"/>
      <c r="AX134" s="559"/>
      <c r="AY134" s="608"/>
      <c r="AZ134" s="556"/>
    </row>
    <row r="135" spans="2:52" s="557" customFormat="1" ht="103.5" hidden="1" customHeight="1">
      <c r="B135" s="608"/>
      <c r="C135" s="266"/>
      <c r="D135" s="1399"/>
      <c r="E135" s="1408"/>
      <c r="F135" s="1400"/>
      <c r="G135" s="267"/>
      <c r="H135" s="1399"/>
      <c r="I135" s="1408"/>
      <c r="J135" s="1400"/>
      <c r="K135" s="1380"/>
      <c r="L135" s="1380"/>
      <c r="M135" s="1380"/>
      <c r="N135" s="608"/>
      <c r="O135" s="608"/>
      <c r="P135" s="608"/>
      <c r="Q135" s="608"/>
      <c r="R135" s="266"/>
      <c r="S135" s="266"/>
      <c r="T135" s="268"/>
      <c r="U135" s="269" t="e">
        <f>VLOOKUP(R135,[71]Listas!$D$6:$E$10,2,0)</f>
        <v>#N/A</v>
      </c>
      <c r="V135" s="269" t="e">
        <f>HLOOKUP(S135,[71]Listas!$F$4:$J$5,2,0)</f>
        <v>#N/A</v>
      </c>
      <c r="W135" s="270" t="e">
        <f>INDEX([71]Listas!$F$6:$J$10,MATCH(R135,[71]Listas!$D$6:$D$10,0),MATCH(S135,[71]Listas!$F$4:$J$4,0))</f>
        <v>#N/A</v>
      </c>
      <c r="X135" s="268"/>
      <c r="Y135" s="1399"/>
      <c r="Z135" s="1408"/>
      <c r="AA135" s="1400"/>
      <c r="AB135" s="1063"/>
      <c r="AC135" s="267"/>
      <c r="AD135" s="259"/>
      <c r="AE135" s="608"/>
      <c r="AF135" s="267"/>
      <c r="AG135" s="268"/>
      <c r="AH135" s="269">
        <f t="shared" si="16"/>
        <v>0</v>
      </c>
      <c r="AI135" s="558" t="e">
        <f t="shared" si="17"/>
        <v>#N/A</v>
      </c>
      <c r="AJ135" s="270" t="e">
        <f>IF(AI135&lt;=1,"Remota",VLOOKUP(AI135,[71]Listas!$C$6:$D$10,2,0))</f>
        <v>#N/A</v>
      </c>
      <c r="AK135" s="558" t="e">
        <f t="shared" si="18"/>
        <v>#N/A</v>
      </c>
      <c r="AL135" s="270" t="e">
        <f>IF(AK135&lt;=1,"Insignificante",HLOOKUP(AK135,[71]Listas!$F$3:$J$4,2,0))</f>
        <v>#N/A</v>
      </c>
      <c r="AM135" s="273" t="e">
        <f t="shared" si="19"/>
        <v>#N/A</v>
      </c>
      <c r="AN135" s="270" t="e">
        <f>INDEX([71]Listas!$F$6:$J$10,MATCH(AJ135,[71]Listas!$D$6:$D$10,0),MATCH(AL135,[71]Listas!$F$4:$J$4,0))</f>
        <v>#N/A</v>
      </c>
      <c r="AO135" s="259"/>
      <c r="AP135" s="259"/>
      <c r="AQ135" s="610"/>
      <c r="AR135" s="259"/>
      <c r="AS135" s="259" t="s">
        <v>2343</v>
      </c>
      <c r="AT135" s="608"/>
      <c r="AU135" s="259"/>
      <c r="AV135" s="259"/>
      <c r="AW135" s="559"/>
      <c r="AX135" s="559"/>
      <c r="AY135" s="608"/>
      <c r="AZ135" s="556"/>
    </row>
    <row r="136" spans="2:52" s="557" customFormat="1" ht="103.5" hidden="1" customHeight="1">
      <c r="B136" s="608"/>
      <c r="C136" s="266"/>
      <c r="D136" s="1399"/>
      <c r="E136" s="1408"/>
      <c r="F136" s="1400"/>
      <c r="G136" s="267"/>
      <c r="H136" s="1399"/>
      <c r="I136" s="1408"/>
      <c r="J136" s="1400"/>
      <c r="K136" s="1380"/>
      <c r="L136" s="1380"/>
      <c r="M136" s="1380"/>
      <c r="N136" s="608"/>
      <c r="O136" s="608"/>
      <c r="P136" s="608"/>
      <c r="Q136" s="608"/>
      <c r="R136" s="266"/>
      <c r="S136" s="266"/>
      <c r="T136" s="268"/>
      <c r="U136" s="269" t="e">
        <f>VLOOKUP(R136,[71]Listas!$D$6:$E$10,2,0)</f>
        <v>#N/A</v>
      </c>
      <c r="V136" s="269" t="e">
        <f>HLOOKUP(S136,[71]Listas!$F$4:$J$5,2,0)</f>
        <v>#N/A</v>
      </c>
      <c r="W136" s="270" t="e">
        <f>INDEX([71]Listas!$F$6:$J$10,MATCH(R136,[71]Listas!$D$6:$D$10,0),MATCH(S136,[71]Listas!$F$4:$J$4,0))</f>
        <v>#N/A</v>
      </c>
      <c r="X136" s="268"/>
      <c r="Y136" s="1399"/>
      <c r="Z136" s="1408"/>
      <c r="AA136" s="1400"/>
      <c r="AB136" s="1063"/>
      <c r="AC136" s="267"/>
      <c r="AD136" s="259"/>
      <c r="AE136" s="608"/>
      <c r="AF136" s="267"/>
      <c r="AG136" s="268"/>
      <c r="AH136" s="269">
        <f t="shared" si="16"/>
        <v>0</v>
      </c>
      <c r="AI136" s="558" t="e">
        <f t="shared" si="17"/>
        <v>#N/A</v>
      </c>
      <c r="AJ136" s="270" t="e">
        <f>IF(AI136&lt;=1,"Remota",VLOOKUP(AI136,[71]Listas!$C$6:$D$10,2,0))</f>
        <v>#N/A</v>
      </c>
      <c r="AK136" s="558" t="e">
        <f t="shared" si="18"/>
        <v>#N/A</v>
      </c>
      <c r="AL136" s="270" t="e">
        <f>IF(AK136&lt;=1,"Insignificante",HLOOKUP(AK136,[71]Listas!$F$3:$J$4,2,0))</f>
        <v>#N/A</v>
      </c>
      <c r="AM136" s="273" t="e">
        <f t="shared" si="19"/>
        <v>#N/A</v>
      </c>
      <c r="AN136" s="270" t="e">
        <f>INDEX([71]Listas!$F$6:$J$10,MATCH(AJ136,[71]Listas!$D$6:$D$10,0),MATCH(AL136,[71]Listas!$F$4:$J$4,0))</f>
        <v>#N/A</v>
      </c>
      <c r="AO136" s="259"/>
      <c r="AP136" s="259"/>
      <c r="AQ136" s="610"/>
      <c r="AR136" s="259"/>
      <c r="AS136" s="259" t="s">
        <v>2343</v>
      </c>
      <c r="AT136" s="608"/>
      <c r="AU136" s="259"/>
      <c r="AV136" s="259"/>
      <c r="AW136" s="559"/>
      <c r="AX136" s="559"/>
      <c r="AY136" s="608"/>
      <c r="AZ136" s="556"/>
    </row>
    <row r="137" spans="2:52" s="557" customFormat="1" ht="103.5" hidden="1" customHeight="1">
      <c r="B137" s="608"/>
      <c r="C137" s="266"/>
      <c r="D137" s="1399"/>
      <c r="E137" s="1408"/>
      <c r="F137" s="1400"/>
      <c r="G137" s="267"/>
      <c r="H137" s="1399"/>
      <c r="I137" s="1408"/>
      <c r="J137" s="1400"/>
      <c r="K137" s="1380"/>
      <c r="L137" s="1380"/>
      <c r="M137" s="1380"/>
      <c r="N137" s="608"/>
      <c r="O137" s="608"/>
      <c r="P137" s="608"/>
      <c r="Q137" s="608"/>
      <c r="R137" s="266"/>
      <c r="S137" s="266"/>
      <c r="T137" s="268"/>
      <c r="U137" s="269" t="e">
        <f>VLOOKUP(R137,[71]Listas!$D$6:$E$10,2,0)</f>
        <v>#N/A</v>
      </c>
      <c r="V137" s="269" t="e">
        <f>HLOOKUP(S137,[71]Listas!$F$4:$J$5,2,0)</f>
        <v>#N/A</v>
      </c>
      <c r="W137" s="270" t="e">
        <f>INDEX([71]Listas!$F$6:$J$10,MATCH(R137,[71]Listas!$D$6:$D$10,0),MATCH(S137,[71]Listas!$F$4:$J$4,0))</f>
        <v>#N/A</v>
      </c>
      <c r="X137" s="268"/>
      <c r="Y137" s="1399"/>
      <c r="Z137" s="1408"/>
      <c r="AA137" s="1400"/>
      <c r="AB137" s="1063"/>
      <c r="AC137" s="267"/>
      <c r="AD137" s="259"/>
      <c r="AE137" s="608"/>
      <c r="AF137" s="267"/>
      <c r="AG137" s="268"/>
      <c r="AH137" s="269">
        <f t="shared" si="16"/>
        <v>0</v>
      </c>
      <c r="AI137" s="558" t="e">
        <f t="shared" si="17"/>
        <v>#N/A</v>
      </c>
      <c r="AJ137" s="270" t="e">
        <f>IF(AI137&lt;=1,"Remota",VLOOKUP(AI137,[71]Listas!$C$6:$D$10,2,0))</f>
        <v>#N/A</v>
      </c>
      <c r="AK137" s="558" t="e">
        <f t="shared" si="18"/>
        <v>#N/A</v>
      </c>
      <c r="AL137" s="270" t="e">
        <f>IF(AK137&lt;=1,"Insignificante",HLOOKUP(AK137,[71]Listas!$F$3:$J$4,2,0))</f>
        <v>#N/A</v>
      </c>
      <c r="AM137" s="273" t="e">
        <f t="shared" si="19"/>
        <v>#N/A</v>
      </c>
      <c r="AN137" s="270" t="e">
        <f>INDEX([71]Listas!$F$6:$J$10,MATCH(AJ137,[71]Listas!$D$6:$D$10,0),MATCH(AL137,[71]Listas!$F$4:$J$4,0))</f>
        <v>#N/A</v>
      </c>
      <c r="AO137" s="259"/>
      <c r="AP137" s="259"/>
      <c r="AQ137" s="610"/>
      <c r="AR137" s="259"/>
      <c r="AS137" s="259" t="s">
        <v>2343</v>
      </c>
      <c r="AT137" s="608"/>
      <c r="AU137" s="259"/>
      <c r="AV137" s="259"/>
      <c r="AW137" s="559"/>
      <c r="AX137" s="559"/>
      <c r="AY137" s="608"/>
      <c r="AZ137" s="556"/>
    </row>
    <row r="138" spans="2:52" s="557" customFormat="1" ht="103.5" hidden="1" customHeight="1">
      <c r="B138" s="608"/>
      <c r="C138" s="266"/>
      <c r="D138" s="1399"/>
      <c r="E138" s="1408"/>
      <c r="F138" s="1400"/>
      <c r="G138" s="267"/>
      <c r="H138" s="1399"/>
      <c r="I138" s="1408"/>
      <c r="J138" s="1400"/>
      <c r="K138" s="1380"/>
      <c r="L138" s="1380"/>
      <c r="M138" s="1380"/>
      <c r="N138" s="608"/>
      <c r="O138" s="608"/>
      <c r="P138" s="608"/>
      <c r="Q138" s="608"/>
      <c r="R138" s="266"/>
      <c r="S138" s="266"/>
      <c r="T138" s="268"/>
      <c r="U138" s="269" t="e">
        <f>VLOOKUP(R138,[71]Listas!$D$6:$E$10,2,0)</f>
        <v>#N/A</v>
      </c>
      <c r="V138" s="269" t="e">
        <f>HLOOKUP(S138,[71]Listas!$F$4:$J$5,2,0)</f>
        <v>#N/A</v>
      </c>
      <c r="W138" s="270" t="e">
        <f>INDEX([71]Listas!$F$6:$J$10,MATCH(R138,[71]Listas!$D$6:$D$10,0),MATCH(S138,[71]Listas!$F$4:$J$4,0))</f>
        <v>#N/A</v>
      </c>
      <c r="X138" s="268"/>
      <c r="Y138" s="1399"/>
      <c r="Z138" s="1408"/>
      <c r="AA138" s="1400"/>
      <c r="AB138" s="1063"/>
      <c r="AC138" s="267"/>
      <c r="AD138" s="259"/>
      <c r="AE138" s="608"/>
      <c r="AF138" s="267"/>
      <c r="AG138" s="268"/>
      <c r="AH138" s="269">
        <f t="shared" si="16"/>
        <v>0</v>
      </c>
      <c r="AI138" s="558" t="e">
        <f t="shared" si="17"/>
        <v>#N/A</v>
      </c>
      <c r="AJ138" s="270" t="e">
        <f>IF(AI138&lt;=1,"Remota",VLOOKUP(AI138,[71]Listas!$C$6:$D$10,2,0))</f>
        <v>#N/A</v>
      </c>
      <c r="AK138" s="558" t="e">
        <f t="shared" si="18"/>
        <v>#N/A</v>
      </c>
      <c r="AL138" s="270" t="e">
        <f>IF(AK138&lt;=1,"Insignificante",HLOOKUP(AK138,[71]Listas!$F$3:$J$4,2,0))</f>
        <v>#N/A</v>
      </c>
      <c r="AM138" s="273" t="e">
        <f t="shared" si="19"/>
        <v>#N/A</v>
      </c>
      <c r="AN138" s="270" t="e">
        <f>INDEX([71]Listas!$F$6:$J$10,MATCH(AJ138,[71]Listas!$D$6:$D$10,0),MATCH(AL138,[71]Listas!$F$4:$J$4,0))</f>
        <v>#N/A</v>
      </c>
      <c r="AO138" s="259"/>
      <c r="AP138" s="259"/>
      <c r="AQ138" s="610"/>
      <c r="AR138" s="259"/>
      <c r="AS138" s="259" t="s">
        <v>2343</v>
      </c>
      <c r="AT138" s="608"/>
      <c r="AU138" s="259"/>
      <c r="AV138" s="259"/>
      <c r="AW138" s="559"/>
      <c r="AX138" s="559"/>
      <c r="AY138" s="608"/>
      <c r="AZ138" s="556"/>
    </row>
    <row r="139" spans="2:52" s="557" customFormat="1" ht="103.5" hidden="1" customHeight="1">
      <c r="B139" s="608"/>
      <c r="C139" s="266"/>
      <c r="D139" s="1399"/>
      <c r="E139" s="1408"/>
      <c r="F139" s="1400"/>
      <c r="G139" s="267"/>
      <c r="H139" s="1399"/>
      <c r="I139" s="1408"/>
      <c r="J139" s="1400"/>
      <c r="K139" s="1380"/>
      <c r="L139" s="1380"/>
      <c r="M139" s="1380"/>
      <c r="N139" s="608"/>
      <c r="O139" s="608"/>
      <c r="P139" s="608"/>
      <c r="Q139" s="608"/>
      <c r="R139" s="266"/>
      <c r="S139" s="266"/>
      <c r="T139" s="268"/>
      <c r="U139" s="269" t="e">
        <f>VLOOKUP(R139,[71]Listas!$D$6:$E$10,2,0)</f>
        <v>#N/A</v>
      </c>
      <c r="V139" s="269" t="e">
        <f>HLOOKUP(S139,[71]Listas!$F$4:$J$5,2,0)</f>
        <v>#N/A</v>
      </c>
      <c r="W139" s="270" t="e">
        <f>INDEX([71]Listas!$F$6:$J$10,MATCH(R139,[71]Listas!$D$6:$D$10,0),MATCH(S139,[71]Listas!$F$4:$J$4,0))</f>
        <v>#N/A</v>
      </c>
      <c r="X139" s="268"/>
      <c r="Y139" s="1399"/>
      <c r="Z139" s="1408"/>
      <c r="AA139" s="1400"/>
      <c r="AB139" s="1063"/>
      <c r="AC139" s="267"/>
      <c r="AD139" s="259"/>
      <c r="AE139" s="608"/>
      <c r="AF139" s="267"/>
      <c r="AG139" s="268"/>
      <c r="AH139" s="269">
        <f t="shared" si="16"/>
        <v>0</v>
      </c>
      <c r="AI139" s="558" t="e">
        <f t="shared" si="17"/>
        <v>#N/A</v>
      </c>
      <c r="AJ139" s="270" t="e">
        <f>IF(AI139&lt;=1,"Remota",VLOOKUP(AI139,[71]Listas!$C$6:$D$10,2,0))</f>
        <v>#N/A</v>
      </c>
      <c r="AK139" s="558" t="e">
        <f t="shared" si="18"/>
        <v>#N/A</v>
      </c>
      <c r="AL139" s="270" t="e">
        <f>IF(AK139&lt;=1,"Insignificante",HLOOKUP(AK139,[71]Listas!$F$3:$J$4,2,0))</f>
        <v>#N/A</v>
      </c>
      <c r="AM139" s="273" t="e">
        <f t="shared" si="19"/>
        <v>#N/A</v>
      </c>
      <c r="AN139" s="270" t="e">
        <f>INDEX([71]Listas!$F$6:$J$10,MATCH(AJ139,[71]Listas!$D$6:$D$10,0),MATCH(AL139,[71]Listas!$F$4:$J$4,0))</f>
        <v>#N/A</v>
      </c>
      <c r="AO139" s="259"/>
      <c r="AP139" s="259"/>
      <c r="AQ139" s="610"/>
      <c r="AR139" s="259"/>
      <c r="AS139" s="259" t="s">
        <v>2343</v>
      </c>
      <c r="AT139" s="608"/>
      <c r="AU139" s="259"/>
      <c r="AV139" s="259"/>
      <c r="AW139" s="559"/>
      <c r="AX139" s="559"/>
      <c r="AY139" s="608"/>
      <c r="AZ139" s="556"/>
    </row>
    <row r="140" spans="2:52" s="557" customFormat="1" ht="103.5" hidden="1" customHeight="1">
      <c r="B140" s="608"/>
      <c r="C140" s="266"/>
      <c r="D140" s="1399"/>
      <c r="E140" s="1408"/>
      <c r="F140" s="1400"/>
      <c r="G140" s="267"/>
      <c r="H140" s="1399"/>
      <c r="I140" s="1408"/>
      <c r="J140" s="1400"/>
      <c r="K140" s="1380"/>
      <c r="L140" s="1380"/>
      <c r="M140" s="1380"/>
      <c r="N140" s="608"/>
      <c r="O140" s="608"/>
      <c r="P140" s="608"/>
      <c r="Q140" s="608"/>
      <c r="R140" s="266"/>
      <c r="S140" s="266"/>
      <c r="T140" s="268"/>
      <c r="U140" s="269" t="e">
        <f>VLOOKUP(R140,[71]Listas!$D$6:$E$10,2,0)</f>
        <v>#N/A</v>
      </c>
      <c r="V140" s="269" t="e">
        <f>HLOOKUP(S140,[71]Listas!$F$4:$J$5,2,0)</f>
        <v>#N/A</v>
      </c>
      <c r="W140" s="270" t="e">
        <f>INDEX([71]Listas!$F$6:$J$10,MATCH(R140,[71]Listas!$D$6:$D$10,0),MATCH(S140,[71]Listas!$F$4:$J$4,0))</f>
        <v>#N/A</v>
      </c>
      <c r="X140" s="268"/>
      <c r="Y140" s="1399"/>
      <c r="Z140" s="1408"/>
      <c r="AA140" s="1400"/>
      <c r="AB140" s="1063"/>
      <c r="AC140" s="267"/>
      <c r="AD140" s="259"/>
      <c r="AE140" s="608"/>
      <c r="AF140" s="267"/>
      <c r="AG140" s="268"/>
      <c r="AH140" s="269">
        <f t="shared" si="16"/>
        <v>0</v>
      </c>
      <c r="AI140" s="558" t="e">
        <f t="shared" si="17"/>
        <v>#N/A</v>
      </c>
      <c r="AJ140" s="270" t="e">
        <f>IF(AI140&lt;=1,"Remota",VLOOKUP(AI140,[71]Listas!$C$6:$D$10,2,0))</f>
        <v>#N/A</v>
      </c>
      <c r="AK140" s="558" t="e">
        <f t="shared" si="18"/>
        <v>#N/A</v>
      </c>
      <c r="AL140" s="270" t="e">
        <f>IF(AK140&lt;=1,"Insignificante",HLOOKUP(AK140,[71]Listas!$F$3:$J$4,2,0))</f>
        <v>#N/A</v>
      </c>
      <c r="AM140" s="273" t="e">
        <f t="shared" si="19"/>
        <v>#N/A</v>
      </c>
      <c r="AN140" s="270" t="e">
        <f>INDEX([71]Listas!$F$6:$J$10,MATCH(AJ140,[71]Listas!$D$6:$D$10,0),MATCH(AL140,[71]Listas!$F$4:$J$4,0))</f>
        <v>#N/A</v>
      </c>
      <c r="AO140" s="259"/>
      <c r="AP140" s="259"/>
      <c r="AQ140" s="610"/>
      <c r="AR140" s="259"/>
      <c r="AS140" s="259" t="s">
        <v>2343</v>
      </c>
      <c r="AT140" s="608"/>
      <c r="AU140" s="259"/>
      <c r="AV140" s="259"/>
      <c r="AW140" s="559"/>
      <c r="AX140" s="559"/>
      <c r="AY140" s="608"/>
      <c r="AZ140" s="556"/>
    </row>
    <row r="141" spans="2:52" s="557" customFormat="1" ht="103.5" hidden="1" customHeight="1">
      <c r="B141" s="608"/>
      <c r="C141" s="266"/>
      <c r="D141" s="1399"/>
      <c r="E141" s="1408"/>
      <c r="F141" s="1400"/>
      <c r="G141" s="267"/>
      <c r="H141" s="1399"/>
      <c r="I141" s="1408"/>
      <c r="J141" s="1400"/>
      <c r="K141" s="1380"/>
      <c r="L141" s="1380"/>
      <c r="M141" s="1380"/>
      <c r="N141" s="608"/>
      <c r="O141" s="608"/>
      <c r="P141" s="608"/>
      <c r="Q141" s="608"/>
      <c r="R141" s="266"/>
      <c r="S141" s="266"/>
      <c r="T141" s="268"/>
      <c r="U141" s="269" t="e">
        <f>VLOOKUP(R141,[71]Listas!$D$6:$E$10,2,0)</f>
        <v>#N/A</v>
      </c>
      <c r="V141" s="269" t="e">
        <f>HLOOKUP(S141,[71]Listas!$F$4:$J$5,2,0)</f>
        <v>#N/A</v>
      </c>
      <c r="W141" s="270" t="e">
        <f>INDEX([71]Listas!$F$6:$J$10,MATCH(R141,[71]Listas!$D$6:$D$10,0),MATCH(S141,[71]Listas!$F$4:$J$4,0))</f>
        <v>#N/A</v>
      </c>
      <c r="X141" s="268"/>
      <c r="Y141" s="1399"/>
      <c r="Z141" s="1408"/>
      <c r="AA141" s="1400"/>
      <c r="AB141" s="1063"/>
      <c r="AC141" s="267"/>
      <c r="AD141" s="259"/>
      <c r="AE141" s="608"/>
      <c r="AF141" s="267"/>
      <c r="AG141" s="268"/>
      <c r="AH141" s="269">
        <f t="shared" si="16"/>
        <v>0</v>
      </c>
      <c r="AI141" s="558" t="e">
        <f t="shared" si="17"/>
        <v>#N/A</v>
      </c>
      <c r="AJ141" s="270" t="e">
        <f>IF(AI141&lt;=1,"Remota",VLOOKUP(AI141,[71]Listas!$C$6:$D$10,2,0))</f>
        <v>#N/A</v>
      </c>
      <c r="AK141" s="558" t="e">
        <f t="shared" si="18"/>
        <v>#N/A</v>
      </c>
      <c r="AL141" s="270" t="e">
        <f>IF(AK141&lt;=1,"Insignificante",HLOOKUP(AK141,[71]Listas!$F$3:$J$4,2,0))</f>
        <v>#N/A</v>
      </c>
      <c r="AM141" s="273" t="e">
        <f t="shared" si="19"/>
        <v>#N/A</v>
      </c>
      <c r="AN141" s="270" t="e">
        <f>INDEX([71]Listas!$F$6:$J$10,MATCH(AJ141,[71]Listas!$D$6:$D$10,0),MATCH(AL141,[71]Listas!$F$4:$J$4,0))</f>
        <v>#N/A</v>
      </c>
      <c r="AO141" s="259"/>
      <c r="AP141" s="259"/>
      <c r="AQ141" s="610"/>
      <c r="AR141" s="259"/>
      <c r="AS141" s="259" t="s">
        <v>2343</v>
      </c>
      <c r="AT141" s="608"/>
      <c r="AU141" s="259"/>
      <c r="AV141" s="259"/>
      <c r="AW141" s="559"/>
      <c r="AX141" s="559"/>
      <c r="AY141" s="608"/>
      <c r="AZ141" s="556"/>
    </row>
    <row r="142" spans="2:52" s="557" customFormat="1" ht="103.5" hidden="1" customHeight="1">
      <c r="B142" s="608"/>
      <c r="C142" s="266"/>
      <c r="D142" s="1399"/>
      <c r="E142" s="1408"/>
      <c r="F142" s="1400"/>
      <c r="G142" s="267"/>
      <c r="H142" s="1399"/>
      <c r="I142" s="1408"/>
      <c r="J142" s="1400"/>
      <c r="K142" s="1380"/>
      <c r="L142" s="1380"/>
      <c r="M142" s="1380"/>
      <c r="N142" s="608"/>
      <c r="O142" s="608"/>
      <c r="P142" s="608"/>
      <c r="Q142" s="608"/>
      <c r="R142" s="266"/>
      <c r="S142" s="266"/>
      <c r="T142" s="268"/>
      <c r="U142" s="269" t="e">
        <f>VLOOKUP(R142,[71]Listas!$D$6:$E$10,2,0)</f>
        <v>#N/A</v>
      </c>
      <c r="V142" s="269" t="e">
        <f>HLOOKUP(S142,[71]Listas!$F$4:$J$5,2,0)</f>
        <v>#N/A</v>
      </c>
      <c r="W142" s="270" t="e">
        <f>INDEX([71]Listas!$F$6:$J$10,MATCH(R142,[71]Listas!$D$6:$D$10,0),MATCH(S142,[71]Listas!$F$4:$J$4,0))</f>
        <v>#N/A</v>
      </c>
      <c r="X142" s="268"/>
      <c r="Y142" s="1399"/>
      <c r="Z142" s="1408"/>
      <c r="AA142" s="1400"/>
      <c r="AB142" s="1063"/>
      <c r="AC142" s="267"/>
      <c r="AD142" s="259"/>
      <c r="AE142" s="608"/>
      <c r="AF142" s="267"/>
      <c r="AG142" s="268"/>
      <c r="AH142" s="269">
        <f t="shared" si="16"/>
        <v>0</v>
      </c>
      <c r="AI142" s="558" t="e">
        <f t="shared" si="17"/>
        <v>#N/A</v>
      </c>
      <c r="AJ142" s="270" t="e">
        <f>IF(AI142&lt;=1,"Remota",VLOOKUP(AI142,[71]Listas!$C$6:$D$10,2,0))</f>
        <v>#N/A</v>
      </c>
      <c r="AK142" s="558" t="e">
        <f t="shared" si="18"/>
        <v>#N/A</v>
      </c>
      <c r="AL142" s="270" t="e">
        <f>IF(AK142&lt;=1,"Insignificante",HLOOKUP(AK142,[71]Listas!$F$3:$J$4,2,0))</f>
        <v>#N/A</v>
      </c>
      <c r="AM142" s="273" t="e">
        <f t="shared" si="19"/>
        <v>#N/A</v>
      </c>
      <c r="AN142" s="270" t="e">
        <f>INDEX([71]Listas!$F$6:$J$10,MATCH(AJ142,[71]Listas!$D$6:$D$10,0),MATCH(AL142,[71]Listas!$F$4:$J$4,0))</f>
        <v>#N/A</v>
      </c>
      <c r="AO142" s="259"/>
      <c r="AP142" s="259"/>
      <c r="AQ142" s="610"/>
      <c r="AR142" s="259"/>
      <c r="AS142" s="259" t="s">
        <v>2343</v>
      </c>
      <c r="AT142" s="608"/>
      <c r="AU142" s="259"/>
      <c r="AV142" s="259"/>
      <c r="AW142" s="559"/>
      <c r="AX142" s="559"/>
      <c r="AY142" s="608"/>
      <c r="AZ142" s="556"/>
    </row>
    <row r="143" spans="2:52" s="557" customFormat="1" ht="103.5" hidden="1" customHeight="1">
      <c r="B143" s="608"/>
      <c r="C143" s="266"/>
      <c r="D143" s="1399"/>
      <c r="E143" s="1408"/>
      <c r="F143" s="1400"/>
      <c r="G143" s="267"/>
      <c r="H143" s="1399"/>
      <c r="I143" s="1408"/>
      <c r="J143" s="1400"/>
      <c r="K143" s="1380"/>
      <c r="L143" s="1380"/>
      <c r="M143" s="1380"/>
      <c r="N143" s="608"/>
      <c r="O143" s="608"/>
      <c r="P143" s="608"/>
      <c r="Q143" s="608"/>
      <c r="R143" s="266"/>
      <c r="S143" s="266"/>
      <c r="T143" s="268"/>
      <c r="U143" s="269" t="e">
        <f>VLOOKUP(R143,[71]Listas!$D$6:$E$10,2,0)</f>
        <v>#N/A</v>
      </c>
      <c r="V143" s="269" t="e">
        <f>HLOOKUP(S143,[71]Listas!$F$4:$J$5,2,0)</f>
        <v>#N/A</v>
      </c>
      <c r="W143" s="270" t="e">
        <f>INDEX([71]Listas!$F$6:$J$10,MATCH(R143,[71]Listas!$D$6:$D$10,0),MATCH(S143,[71]Listas!$F$4:$J$4,0))</f>
        <v>#N/A</v>
      </c>
      <c r="X143" s="268"/>
      <c r="Y143" s="1399"/>
      <c r="Z143" s="1408"/>
      <c r="AA143" s="1400"/>
      <c r="AB143" s="1063"/>
      <c r="AC143" s="267"/>
      <c r="AD143" s="259"/>
      <c r="AE143" s="608"/>
      <c r="AF143" s="267"/>
      <c r="AG143" s="268"/>
      <c r="AH143" s="269">
        <f t="shared" si="16"/>
        <v>0</v>
      </c>
      <c r="AI143" s="558" t="e">
        <f t="shared" si="17"/>
        <v>#N/A</v>
      </c>
      <c r="AJ143" s="270" t="e">
        <f>IF(AI143&lt;=1,"Remota",VLOOKUP(AI143,[71]Listas!$C$6:$D$10,2,0))</f>
        <v>#N/A</v>
      </c>
      <c r="AK143" s="558" t="e">
        <f t="shared" si="18"/>
        <v>#N/A</v>
      </c>
      <c r="AL143" s="270" t="e">
        <f>IF(AK143&lt;=1,"Insignificante",HLOOKUP(AK143,[71]Listas!$F$3:$J$4,2,0))</f>
        <v>#N/A</v>
      </c>
      <c r="AM143" s="273" t="e">
        <f t="shared" si="19"/>
        <v>#N/A</v>
      </c>
      <c r="AN143" s="270" t="e">
        <f>INDEX([71]Listas!$F$6:$J$10,MATCH(AJ143,[71]Listas!$D$6:$D$10,0),MATCH(AL143,[71]Listas!$F$4:$J$4,0))</f>
        <v>#N/A</v>
      </c>
      <c r="AO143" s="259"/>
      <c r="AP143" s="259"/>
      <c r="AQ143" s="610"/>
      <c r="AR143" s="259"/>
      <c r="AS143" s="259" t="s">
        <v>2343</v>
      </c>
      <c r="AT143" s="608"/>
      <c r="AU143" s="259"/>
      <c r="AV143" s="259"/>
      <c r="AW143" s="559"/>
      <c r="AX143" s="559"/>
      <c r="AY143" s="608"/>
      <c r="AZ143" s="556"/>
    </row>
    <row r="144" spans="2:52" s="557" customFormat="1" ht="103.5" hidden="1" customHeight="1">
      <c r="B144" s="608"/>
      <c r="C144" s="266"/>
      <c r="D144" s="1399"/>
      <c r="E144" s="1408"/>
      <c r="F144" s="1400"/>
      <c r="G144" s="267"/>
      <c r="H144" s="1399"/>
      <c r="I144" s="1408"/>
      <c r="J144" s="1400"/>
      <c r="K144" s="1380"/>
      <c r="L144" s="1380"/>
      <c r="M144" s="1380"/>
      <c r="N144" s="608"/>
      <c r="O144" s="608"/>
      <c r="P144" s="608"/>
      <c r="Q144" s="608"/>
      <c r="R144" s="266"/>
      <c r="S144" s="266"/>
      <c r="T144" s="268"/>
      <c r="U144" s="269" t="e">
        <f>VLOOKUP(R144,[71]Listas!$D$6:$E$10,2,0)</f>
        <v>#N/A</v>
      </c>
      <c r="V144" s="269" t="e">
        <f>HLOOKUP(S144,[71]Listas!$F$4:$J$5,2,0)</f>
        <v>#N/A</v>
      </c>
      <c r="W144" s="270" t="e">
        <f>INDEX([71]Listas!$F$6:$J$10,MATCH(R144,[71]Listas!$D$6:$D$10,0),MATCH(S144,[71]Listas!$F$4:$J$4,0))</f>
        <v>#N/A</v>
      </c>
      <c r="X144" s="268"/>
      <c r="Y144" s="1399"/>
      <c r="Z144" s="1408"/>
      <c r="AA144" s="1400"/>
      <c r="AB144" s="1063"/>
      <c r="AC144" s="267"/>
      <c r="AD144" s="259"/>
      <c r="AE144" s="608"/>
      <c r="AF144" s="267"/>
      <c r="AG144" s="268"/>
      <c r="AH144" s="269">
        <f t="shared" si="16"/>
        <v>0</v>
      </c>
      <c r="AI144" s="558" t="e">
        <f t="shared" si="17"/>
        <v>#N/A</v>
      </c>
      <c r="AJ144" s="270" t="e">
        <f>IF(AI144&lt;=1,"Remota",VLOOKUP(AI144,[71]Listas!$C$6:$D$10,2,0))</f>
        <v>#N/A</v>
      </c>
      <c r="AK144" s="558" t="e">
        <f t="shared" si="18"/>
        <v>#N/A</v>
      </c>
      <c r="AL144" s="270" t="e">
        <f>IF(AK144&lt;=1,"Insignificante",HLOOKUP(AK144,[71]Listas!$F$3:$J$4,2,0))</f>
        <v>#N/A</v>
      </c>
      <c r="AM144" s="273" t="e">
        <f t="shared" si="19"/>
        <v>#N/A</v>
      </c>
      <c r="AN144" s="270" t="e">
        <f>INDEX([71]Listas!$F$6:$J$10,MATCH(AJ144,[71]Listas!$D$6:$D$10,0),MATCH(AL144,[71]Listas!$F$4:$J$4,0))</f>
        <v>#N/A</v>
      </c>
      <c r="AO144" s="259"/>
      <c r="AP144" s="259"/>
      <c r="AQ144" s="610"/>
      <c r="AR144" s="259"/>
      <c r="AS144" s="259" t="s">
        <v>2343</v>
      </c>
      <c r="AT144" s="608"/>
      <c r="AU144" s="259"/>
      <c r="AV144" s="259"/>
      <c r="AW144" s="559"/>
      <c r="AX144" s="559"/>
      <c r="AY144" s="608"/>
      <c r="AZ144" s="556"/>
    </row>
    <row r="145" spans="2:1028" s="557" customFormat="1" ht="103.5" hidden="1" customHeight="1">
      <c r="B145" s="608"/>
      <c r="C145" s="266"/>
      <c r="D145" s="1399"/>
      <c r="E145" s="1408"/>
      <c r="F145" s="1400"/>
      <c r="G145" s="267"/>
      <c r="H145" s="1399"/>
      <c r="I145" s="1408"/>
      <c r="J145" s="1400"/>
      <c r="K145" s="1380"/>
      <c r="L145" s="1380"/>
      <c r="M145" s="1380"/>
      <c r="N145" s="608"/>
      <c r="O145" s="608"/>
      <c r="P145" s="608"/>
      <c r="Q145" s="608"/>
      <c r="R145" s="266"/>
      <c r="S145" s="266"/>
      <c r="T145" s="268"/>
      <c r="U145" s="269" t="e">
        <f>VLOOKUP(R145,[71]Listas!$D$6:$E$10,2,0)</f>
        <v>#N/A</v>
      </c>
      <c r="V145" s="269" t="e">
        <f>HLOOKUP(S145,[71]Listas!$F$4:$J$5,2,0)</f>
        <v>#N/A</v>
      </c>
      <c r="W145" s="270" t="e">
        <f>INDEX([71]Listas!$F$6:$J$10,MATCH(R145,[71]Listas!$D$6:$D$10,0),MATCH(S145,[71]Listas!$F$4:$J$4,0))</f>
        <v>#N/A</v>
      </c>
      <c r="X145" s="268"/>
      <c r="Y145" s="1399"/>
      <c r="Z145" s="1408"/>
      <c r="AA145" s="1400"/>
      <c r="AB145" s="1063"/>
      <c r="AC145" s="267"/>
      <c r="AD145" s="259"/>
      <c r="AE145" s="608"/>
      <c r="AF145" s="267"/>
      <c r="AG145" s="268"/>
      <c r="AH145" s="269">
        <f t="shared" si="16"/>
        <v>0</v>
      </c>
      <c r="AI145" s="558" t="e">
        <f t="shared" si="17"/>
        <v>#N/A</v>
      </c>
      <c r="AJ145" s="270" t="e">
        <f>IF(AI145&lt;=1,"Remota",VLOOKUP(AI145,[71]Listas!$C$6:$D$10,2,0))</f>
        <v>#N/A</v>
      </c>
      <c r="AK145" s="558" t="e">
        <f t="shared" si="18"/>
        <v>#N/A</v>
      </c>
      <c r="AL145" s="270" t="e">
        <f>IF(AK145&lt;=1,"Insignificante",HLOOKUP(AK145,[71]Listas!$F$3:$J$4,2,0))</f>
        <v>#N/A</v>
      </c>
      <c r="AM145" s="273" t="e">
        <f t="shared" si="19"/>
        <v>#N/A</v>
      </c>
      <c r="AN145" s="270" t="e">
        <f>INDEX([71]Listas!$F$6:$J$10,MATCH(AJ145,[71]Listas!$D$6:$D$10,0),MATCH(AL145,[71]Listas!$F$4:$J$4,0))</f>
        <v>#N/A</v>
      </c>
      <c r="AO145" s="259"/>
      <c r="AP145" s="259"/>
      <c r="AQ145" s="610"/>
      <c r="AR145" s="259"/>
      <c r="AS145" s="259" t="s">
        <v>2343</v>
      </c>
      <c r="AT145" s="608"/>
      <c r="AU145" s="259"/>
      <c r="AV145" s="259"/>
      <c r="AW145" s="559"/>
      <c r="AX145" s="559"/>
      <c r="AY145" s="608"/>
      <c r="AZ145" s="556"/>
    </row>
    <row r="146" spans="2:1028" s="557" customFormat="1" ht="103.5" hidden="1" customHeight="1">
      <c r="B146" s="608"/>
      <c r="C146" s="266"/>
      <c r="D146" s="1399"/>
      <c r="E146" s="1408"/>
      <c r="F146" s="1400"/>
      <c r="G146" s="267"/>
      <c r="H146" s="1399"/>
      <c r="I146" s="1408"/>
      <c r="J146" s="1400"/>
      <c r="K146" s="1380"/>
      <c r="L146" s="1380"/>
      <c r="M146" s="1380"/>
      <c r="N146" s="608"/>
      <c r="O146" s="608"/>
      <c r="P146" s="608"/>
      <c r="Q146" s="608"/>
      <c r="R146" s="266"/>
      <c r="S146" s="266"/>
      <c r="T146" s="268"/>
      <c r="U146" s="269" t="e">
        <f>VLOOKUP(R146,[71]Listas!$D$6:$E$10,2,0)</f>
        <v>#N/A</v>
      </c>
      <c r="V146" s="269" t="e">
        <f>HLOOKUP(S146,[71]Listas!$F$4:$J$5,2,0)</f>
        <v>#N/A</v>
      </c>
      <c r="W146" s="270" t="e">
        <f>INDEX([71]Listas!$F$6:$J$10,MATCH(R146,[71]Listas!$D$6:$D$10,0),MATCH(S146,[71]Listas!$F$4:$J$4,0))</f>
        <v>#N/A</v>
      </c>
      <c r="X146" s="268"/>
      <c r="Y146" s="1399"/>
      <c r="Z146" s="1408"/>
      <c r="AA146" s="1400"/>
      <c r="AB146" s="1063"/>
      <c r="AC146" s="267"/>
      <c r="AD146" s="259"/>
      <c r="AE146" s="608"/>
      <c r="AF146" s="267"/>
      <c r="AG146" s="268"/>
      <c r="AH146" s="269">
        <f t="shared" si="16"/>
        <v>0</v>
      </c>
      <c r="AI146" s="558" t="e">
        <f t="shared" si="17"/>
        <v>#N/A</v>
      </c>
      <c r="AJ146" s="270" t="e">
        <f>IF(AI146&lt;=1,"Remota",VLOOKUP(AI146,[71]Listas!$C$6:$D$10,2,0))</f>
        <v>#N/A</v>
      </c>
      <c r="AK146" s="558" t="e">
        <f t="shared" si="18"/>
        <v>#N/A</v>
      </c>
      <c r="AL146" s="270" t="e">
        <f>IF(AK146&lt;=1,"Insignificante",HLOOKUP(AK146,[71]Listas!$F$3:$J$4,2,0))</f>
        <v>#N/A</v>
      </c>
      <c r="AM146" s="273" t="e">
        <f t="shared" si="19"/>
        <v>#N/A</v>
      </c>
      <c r="AN146" s="270" t="e">
        <f>INDEX([71]Listas!$F$6:$J$10,MATCH(AJ146,[71]Listas!$D$6:$D$10,0),MATCH(AL146,[71]Listas!$F$4:$J$4,0))</f>
        <v>#N/A</v>
      </c>
      <c r="AO146" s="259"/>
      <c r="AP146" s="259"/>
      <c r="AQ146" s="610"/>
      <c r="AR146" s="259"/>
      <c r="AS146" s="259" t="s">
        <v>2343</v>
      </c>
      <c r="AT146" s="608"/>
      <c r="AU146" s="259"/>
      <c r="AV146" s="259"/>
      <c r="AW146" s="559"/>
      <c r="AX146" s="559"/>
      <c r="AY146" s="608"/>
      <c r="AZ146" s="556"/>
    </row>
    <row r="147" spans="2:1028" s="557" customFormat="1" ht="103.5" hidden="1" customHeight="1">
      <c r="B147" s="608"/>
      <c r="C147" s="266"/>
      <c r="D147" s="1399"/>
      <c r="E147" s="1408"/>
      <c r="F147" s="1400"/>
      <c r="G147" s="267"/>
      <c r="H147" s="1399"/>
      <c r="I147" s="1408"/>
      <c r="J147" s="1400"/>
      <c r="K147" s="1380"/>
      <c r="L147" s="1380"/>
      <c r="M147" s="1380"/>
      <c r="N147" s="608"/>
      <c r="O147" s="608"/>
      <c r="P147" s="608"/>
      <c r="Q147" s="608"/>
      <c r="R147" s="266"/>
      <c r="S147" s="266"/>
      <c r="T147" s="268"/>
      <c r="U147" s="269" t="e">
        <f>VLOOKUP(R147,[71]Listas!$D$6:$E$10,2,0)</f>
        <v>#N/A</v>
      </c>
      <c r="V147" s="269" t="e">
        <f>HLOOKUP(S147,[71]Listas!$F$4:$J$5,2,0)</f>
        <v>#N/A</v>
      </c>
      <c r="W147" s="270" t="e">
        <f>INDEX([71]Listas!$F$6:$J$10,MATCH(R147,[71]Listas!$D$6:$D$10,0),MATCH(S147,[71]Listas!$F$4:$J$4,0))</f>
        <v>#N/A</v>
      </c>
      <c r="X147" s="268"/>
      <c r="Y147" s="1399"/>
      <c r="Z147" s="1408"/>
      <c r="AA147" s="1400"/>
      <c r="AB147" s="1063"/>
      <c r="AC147" s="267"/>
      <c r="AD147" s="259"/>
      <c r="AE147" s="608"/>
      <c r="AF147" s="267"/>
      <c r="AG147" s="268"/>
      <c r="AH147" s="269">
        <f t="shared" si="16"/>
        <v>0</v>
      </c>
      <c r="AI147" s="558" t="e">
        <f t="shared" si="17"/>
        <v>#N/A</v>
      </c>
      <c r="AJ147" s="270" t="e">
        <f>IF(AI147&lt;=1,"Remota",VLOOKUP(AI147,[71]Listas!$C$6:$D$10,2,0))</f>
        <v>#N/A</v>
      </c>
      <c r="AK147" s="558" t="e">
        <f t="shared" si="18"/>
        <v>#N/A</v>
      </c>
      <c r="AL147" s="270" t="e">
        <f>IF(AK147&lt;=1,"Insignificante",HLOOKUP(AK147,[71]Listas!$F$3:$J$4,2,0))</f>
        <v>#N/A</v>
      </c>
      <c r="AM147" s="273" t="e">
        <f t="shared" si="19"/>
        <v>#N/A</v>
      </c>
      <c r="AN147" s="270" t="e">
        <f>INDEX([71]Listas!$F$6:$J$10,MATCH(AJ147,[71]Listas!$D$6:$D$10,0),MATCH(AL147,[71]Listas!$F$4:$J$4,0))</f>
        <v>#N/A</v>
      </c>
      <c r="AO147" s="259"/>
      <c r="AP147" s="259"/>
      <c r="AQ147" s="610"/>
      <c r="AR147" s="259"/>
      <c r="AS147" s="259" t="s">
        <v>2343</v>
      </c>
      <c r="AT147" s="608"/>
      <c r="AU147" s="259"/>
      <c r="AV147" s="259"/>
      <c r="AW147" s="559"/>
      <c r="AX147" s="559"/>
      <c r="AY147" s="608"/>
      <c r="AZ147" s="556"/>
    </row>
    <row r="148" spans="2:1028" ht="5.25" customHeight="1">
      <c r="B148" s="560"/>
      <c r="C148" s="276"/>
      <c r="D148" s="276"/>
      <c r="E148" s="276"/>
      <c r="F148" s="560"/>
      <c r="G148" s="560"/>
      <c r="H148" s="561"/>
      <c r="I148" s="561"/>
      <c r="J148" s="561"/>
      <c r="K148" s="560"/>
      <c r="L148" s="560"/>
      <c r="M148" s="278"/>
      <c r="N148" s="278"/>
      <c r="O148" s="278"/>
      <c r="P148" s="278"/>
      <c r="Q148" s="278"/>
      <c r="R148" s="278"/>
      <c r="S148" s="278"/>
      <c r="T148" s="278"/>
      <c r="U148" s="278"/>
      <c r="V148" s="278"/>
      <c r="W148" s="560"/>
      <c r="X148" s="560"/>
      <c r="Y148" s="561"/>
      <c r="Z148" s="561"/>
      <c r="AA148" s="561"/>
      <c r="AB148" s="561"/>
      <c r="AC148" s="561"/>
      <c r="AD148" s="561"/>
      <c r="AE148" s="560"/>
      <c r="AF148" s="560"/>
      <c r="AG148" s="560"/>
      <c r="AH148" s="560"/>
      <c r="AI148" s="560"/>
      <c r="AJ148" s="560"/>
      <c r="AK148" s="560"/>
      <c r="AL148" s="560"/>
      <c r="AM148" s="560"/>
      <c r="AN148" s="279"/>
      <c r="AO148" s="556" t="s">
        <v>2752</v>
      </c>
      <c r="AP148" s="556"/>
      <c r="AQ148" s="556"/>
      <c r="AR148" s="556"/>
      <c r="AS148" s="556"/>
      <c r="AT148" s="556"/>
      <c r="AU148" s="556"/>
      <c r="AV148" s="556"/>
      <c r="AW148" s="556"/>
      <c r="AX148" s="556"/>
      <c r="AY148" s="556"/>
      <c r="AZ148" s="556"/>
      <c r="BA148" s="551"/>
      <c r="BB148" s="551"/>
      <c r="BC148" s="551"/>
      <c r="BD148" s="551"/>
      <c r="BE148" s="551"/>
      <c r="BF148" s="551"/>
      <c r="BG148" s="551"/>
      <c r="BH148" s="551"/>
      <c r="BI148" s="551"/>
      <c r="BJ148" s="551"/>
      <c r="BK148" s="551"/>
      <c r="BL148" s="551"/>
      <c r="BM148" s="551"/>
      <c r="BN148" s="551"/>
      <c r="BO148" s="551"/>
      <c r="BP148" s="551"/>
      <c r="BQ148" s="551"/>
      <c r="BR148" s="551"/>
      <c r="BS148" s="551"/>
      <c r="BT148" s="551"/>
      <c r="BU148" s="551"/>
      <c r="BV148" s="551"/>
      <c r="BW148" s="551"/>
      <c r="BX148" s="551"/>
      <c r="BY148" s="551"/>
      <c r="BZ148" s="551"/>
      <c r="CA148" s="551"/>
      <c r="CB148" s="551"/>
      <c r="CC148" s="551"/>
      <c r="CD148" s="551"/>
      <c r="CE148" s="551"/>
      <c r="CF148" s="551"/>
      <c r="CG148" s="551"/>
      <c r="CH148" s="551"/>
      <c r="CI148" s="551"/>
      <c r="CJ148" s="551"/>
      <c r="CK148" s="551"/>
      <c r="CL148" s="551"/>
      <c r="CM148" s="551"/>
      <c r="CN148" s="551"/>
      <c r="CO148" s="551"/>
      <c r="CP148" s="551"/>
      <c r="CQ148" s="551"/>
      <c r="CR148" s="551"/>
      <c r="CS148" s="551"/>
      <c r="CT148" s="551"/>
      <c r="CU148" s="551"/>
      <c r="CV148" s="551"/>
      <c r="CW148" s="551"/>
      <c r="CX148" s="551"/>
      <c r="CY148" s="551"/>
      <c r="CZ148" s="551"/>
      <c r="DA148" s="551"/>
      <c r="DB148" s="551"/>
      <c r="DC148" s="551"/>
      <c r="DD148" s="551"/>
      <c r="DE148" s="551"/>
      <c r="DF148" s="551"/>
      <c r="DG148" s="551"/>
      <c r="DH148" s="551"/>
      <c r="DI148" s="551"/>
      <c r="DJ148" s="551"/>
      <c r="DK148" s="551"/>
      <c r="DL148" s="551"/>
      <c r="DM148" s="551"/>
      <c r="DN148" s="551"/>
      <c r="DO148" s="551"/>
      <c r="DP148" s="551"/>
      <c r="DQ148" s="551"/>
      <c r="DR148" s="551"/>
      <c r="DS148" s="551"/>
      <c r="DT148" s="551"/>
      <c r="DU148" s="551"/>
      <c r="DV148" s="551"/>
      <c r="DW148" s="551"/>
      <c r="DX148" s="551"/>
      <c r="DY148" s="551"/>
      <c r="DZ148" s="551"/>
      <c r="EA148" s="551"/>
      <c r="EB148" s="551"/>
      <c r="EC148" s="551"/>
      <c r="ED148" s="551"/>
      <c r="EE148" s="551"/>
      <c r="EF148" s="551"/>
      <c r="EG148" s="551"/>
      <c r="EH148" s="551"/>
      <c r="EI148" s="551"/>
      <c r="EJ148" s="551"/>
      <c r="EK148" s="551"/>
      <c r="EL148" s="551"/>
      <c r="EM148" s="551"/>
      <c r="EN148" s="551"/>
      <c r="EO148" s="551"/>
      <c r="EP148" s="551"/>
      <c r="EQ148" s="551"/>
      <c r="ER148" s="551"/>
      <c r="ES148" s="551"/>
      <c r="ET148" s="551"/>
      <c r="EU148" s="551"/>
      <c r="EV148" s="551"/>
      <c r="EW148" s="551"/>
      <c r="EX148" s="551"/>
      <c r="EY148" s="551"/>
      <c r="EZ148" s="551"/>
      <c r="FA148" s="551"/>
      <c r="FB148" s="551"/>
      <c r="FC148" s="551"/>
      <c r="FD148" s="551"/>
      <c r="FE148" s="551"/>
      <c r="FF148" s="551"/>
      <c r="FG148" s="551"/>
      <c r="FH148" s="551"/>
      <c r="FI148" s="551"/>
      <c r="FJ148" s="551"/>
      <c r="FK148" s="551"/>
      <c r="FL148" s="551"/>
      <c r="FM148" s="551"/>
      <c r="FN148" s="551"/>
      <c r="FO148" s="551"/>
      <c r="FP148" s="551"/>
      <c r="FQ148" s="551"/>
      <c r="FR148" s="551"/>
      <c r="FS148" s="551"/>
      <c r="FT148" s="551"/>
      <c r="FU148" s="551"/>
      <c r="FV148" s="551"/>
      <c r="FW148" s="551"/>
      <c r="FX148" s="551"/>
      <c r="FY148" s="551"/>
      <c r="FZ148" s="551"/>
      <c r="GA148" s="551"/>
      <c r="GB148" s="551"/>
      <c r="GC148" s="551"/>
      <c r="GD148" s="551"/>
      <c r="GE148" s="551"/>
      <c r="GF148" s="551"/>
      <c r="GG148" s="551"/>
      <c r="GH148" s="551"/>
      <c r="GI148" s="551"/>
      <c r="GJ148" s="551"/>
      <c r="GK148" s="551"/>
      <c r="GL148" s="551"/>
      <c r="GM148" s="551"/>
      <c r="GN148" s="551"/>
      <c r="GO148" s="551"/>
      <c r="GP148" s="551"/>
      <c r="GQ148" s="551"/>
      <c r="GR148" s="551"/>
      <c r="GS148" s="551"/>
      <c r="GT148" s="551"/>
      <c r="GU148" s="551"/>
      <c r="GV148" s="551"/>
      <c r="GW148" s="551"/>
      <c r="GX148" s="551"/>
      <c r="GY148" s="551"/>
      <c r="GZ148" s="551"/>
      <c r="HA148" s="551"/>
      <c r="HB148" s="551"/>
      <c r="HC148" s="551"/>
      <c r="HD148" s="551"/>
      <c r="HE148" s="551"/>
      <c r="HF148" s="551"/>
      <c r="HG148" s="551"/>
      <c r="HH148" s="551"/>
      <c r="HI148" s="551"/>
      <c r="HJ148" s="551"/>
      <c r="HK148" s="551"/>
      <c r="HL148" s="551"/>
      <c r="HM148" s="551"/>
      <c r="HN148" s="551"/>
      <c r="HO148" s="551"/>
      <c r="HP148" s="551"/>
      <c r="HQ148" s="551"/>
      <c r="HR148" s="551"/>
      <c r="HS148" s="551"/>
      <c r="HT148" s="551"/>
      <c r="HU148" s="551"/>
      <c r="HV148" s="551"/>
      <c r="HW148" s="551"/>
      <c r="HX148" s="551"/>
      <c r="HY148" s="551"/>
      <c r="HZ148" s="551"/>
      <c r="IA148" s="551"/>
      <c r="IB148" s="551"/>
      <c r="IC148" s="551"/>
      <c r="ID148" s="551"/>
      <c r="IE148" s="551"/>
      <c r="IF148" s="551"/>
      <c r="IG148" s="551"/>
      <c r="IH148" s="551"/>
      <c r="II148" s="551"/>
      <c r="IJ148" s="551"/>
      <c r="IK148" s="551"/>
      <c r="IL148" s="551"/>
      <c r="IM148" s="551"/>
      <c r="IN148" s="551"/>
      <c r="IO148" s="551"/>
      <c r="IP148" s="551"/>
      <c r="IQ148" s="551"/>
      <c r="IR148" s="551"/>
      <c r="IS148" s="551"/>
      <c r="IT148" s="551"/>
      <c r="IU148" s="551"/>
      <c r="IV148" s="551"/>
      <c r="IW148" s="551"/>
      <c r="IX148" s="551"/>
      <c r="IY148" s="551"/>
      <c r="IZ148" s="551"/>
      <c r="JA148" s="551"/>
      <c r="JB148" s="551"/>
      <c r="JC148" s="551"/>
      <c r="JD148" s="551"/>
      <c r="JE148" s="551"/>
      <c r="JF148" s="551"/>
      <c r="JG148" s="551"/>
      <c r="JH148" s="551"/>
      <c r="JI148" s="551"/>
      <c r="JJ148" s="551"/>
      <c r="JK148" s="551"/>
      <c r="JL148" s="551"/>
      <c r="JM148" s="551"/>
      <c r="JN148" s="551"/>
      <c r="JO148" s="551"/>
      <c r="JP148" s="551"/>
      <c r="JQ148" s="551"/>
      <c r="JR148" s="551"/>
      <c r="JS148" s="551"/>
      <c r="JT148" s="551"/>
      <c r="JU148" s="551"/>
      <c r="JV148" s="551"/>
      <c r="JW148" s="551"/>
      <c r="JX148" s="551"/>
      <c r="JY148" s="551"/>
      <c r="JZ148" s="551"/>
      <c r="KA148" s="551"/>
      <c r="KB148" s="551"/>
      <c r="KC148" s="551"/>
      <c r="KD148" s="551"/>
      <c r="KE148" s="551"/>
      <c r="KF148" s="551"/>
      <c r="KG148" s="551"/>
      <c r="KH148" s="551"/>
      <c r="KI148" s="551"/>
      <c r="KJ148" s="551"/>
      <c r="KK148" s="551"/>
      <c r="KL148" s="551"/>
      <c r="KM148" s="551"/>
      <c r="KN148" s="551"/>
      <c r="KO148" s="551"/>
      <c r="KP148" s="551"/>
      <c r="KQ148" s="551"/>
      <c r="KR148" s="551"/>
      <c r="KS148" s="551"/>
      <c r="KT148" s="551"/>
      <c r="KU148" s="551"/>
      <c r="KV148" s="551"/>
      <c r="KW148" s="551"/>
      <c r="KX148" s="551"/>
      <c r="KY148" s="551"/>
      <c r="KZ148" s="551"/>
      <c r="LA148" s="551"/>
      <c r="LB148" s="551"/>
      <c r="LC148" s="551"/>
      <c r="LD148" s="551"/>
      <c r="LE148" s="551"/>
      <c r="LF148" s="551"/>
      <c r="LG148" s="551"/>
      <c r="LH148" s="551"/>
      <c r="LI148" s="551"/>
      <c r="LJ148" s="551"/>
      <c r="LK148" s="551"/>
      <c r="LL148" s="551"/>
      <c r="LM148" s="551"/>
      <c r="LN148" s="551"/>
      <c r="LO148" s="551"/>
      <c r="LP148" s="551"/>
      <c r="LQ148" s="551"/>
      <c r="LR148" s="551"/>
      <c r="LS148" s="551"/>
      <c r="LT148" s="551"/>
      <c r="LU148" s="551"/>
      <c r="LV148" s="551"/>
      <c r="LW148" s="551"/>
      <c r="LX148" s="551"/>
      <c r="LY148" s="551"/>
      <c r="LZ148" s="551"/>
      <c r="MA148" s="551"/>
      <c r="MB148" s="551"/>
      <c r="MC148" s="551"/>
      <c r="MD148" s="551"/>
      <c r="ME148" s="551"/>
      <c r="MF148" s="551"/>
      <c r="MG148" s="551"/>
      <c r="MH148" s="551"/>
      <c r="MI148" s="551"/>
      <c r="MJ148" s="551"/>
      <c r="MK148" s="551"/>
      <c r="ML148" s="551"/>
      <c r="MM148" s="551"/>
      <c r="MN148" s="551"/>
      <c r="MO148" s="551"/>
      <c r="MP148" s="551"/>
      <c r="MQ148" s="551"/>
      <c r="MR148" s="551"/>
      <c r="MS148" s="551"/>
      <c r="MT148" s="551"/>
      <c r="MU148" s="551"/>
      <c r="MV148" s="551"/>
      <c r="MW148" s="551"/>
      <c r="MX148" s="551"/>
      <c r="MY148" s="551"/>
      <c r="MZ148" s="551"/>
      <c r="NA148" s="551"/>
      <c r="NB148" s="551"/>
      <c r="NC148" s="551"/>
      <c r="ND148" s="551"/>
      <c r="NE148" s="551"/>
      <c r="NF148" s="551"/>
      <c r="NG148" s="551"/>
      <c r="NH148" s="551"/>
      <c r="NI148" s="551"/>
      <c r="NJ148" s="551"/>
      <c r="NK148" s="551"/>
      <c r="NL148" s="551"/>
      <c r="NM148" s="551"/>
      <c r="NN148" s="551"/>
      <c r="NO148" s="551"/>
      <c r="NP148" s="551"/>
      <c r="NQ148" s="551"/>
      <c r="NR148" s="551"/>
      <c r="NS148" s="551"/>
      <c r="NT148" s="551"/>
      <c r="NU148" s="551"/>
      <c r="NV148" s="551"/>
      <c r="NW148" s="551"/>
      <c r="NX148" s="551"/>
      <c r="NY148" s="551"/>
      <c r="NZ148" s="551"/>
      <c r="OA148" s="551"/>
      <c r="OB148" s="551"/>
      <c r="OC148" s="551"/>
      <c r="OD148" s="551"/>
      <c r="OE148" s="551"/>
      <c r="OF148" s="551"/>
      <c r="OG148" s="551"/>
      <c r="OH148" s="551"/>
      <c r="OI148" s="551"/>
      <c r="OJ148" s="551"/>
      <c r="OK148" s="551"/>
      <c r="OL148" s="551"/>
      <c r="OM148" s="551"/>
      <c r="ON148" s="551"/>
      <c r="OO148" s="551"/>
      <c r="OP148" s="551"/>
      <c r="OQ148" s="551"/>
      <c r="OR148" s="551"/>
      <c r="OS148" s="551"/>
      <c r="OT148" s="551"/>
      <c r="OU148" s="551"/>
      <c r="OV148" s="551"/>
      <c r="OW148" s="551"/>
      <c r="OX148" s="551"/>
      <c r="OY148" s="551"/>
      <c r="OZ148" s="551"/>
      <c r="PA148" s="551"/>
      <c r="PB148" s="551"/>
      <c r="PC148" s="551"/>
      <c r="PD148" s="551"/>
      <c r="PE148" s="551"/>
      <c r="PF148" s="551"/>
      <c r="PG148" s="551"/>
      <c r="PH148" s="551"/>
      <c r="PI148" s="551"/>
      <c r="PJ148" s="551"/>
      <c r="PK148" s="551"/>
      <c r="PL148" s="551"/>
      <c r="PM148" s="551"/>
      <c r="PN148" s="551"/>
      <c r="PO148" s="551"/>
      <c r="PP148" s="551"/>
      <c r="PQ148" s="551"/>
      <c r="PR148" s="551"/>
      <c r="PS148" s="551"/>
      <c r="PT148" s="551"/>
      <c r="PU148" s="551"/>
      <c r="PV148" s="551"/>
      <c r="PW148" s="551"/>
      <c r="PX148" s="551"/>
      <c r="PY148" s="551"/>
      <c r="PZ148" s="551"/>
      <c r="QA148" s="551"/>
      <c r="QB148" s="551"/>
      <c r="QC148" s="551"/>
      <c r="QD148" s="551"/>
      <c r="QE148" s="551"/>
      <c r="QF148" s="551"/>
      <c r="QG148" s="551"/>
      <c r="QH148" s="551"/>
      <c r="QI148" s="551"/>
      <c r="QJ148" s="551"/>
      <c r="QK148" s="551"/>
      <c r="QL148" s="551"/>
      <c r="QM148" s="551"/>
      <c r="QN148" s="551"/>
      <c r="QO148" s="551"/>
      <c r="QP148" s="551"/>
      <c r="QQ148" s="551"/>
      <c r="QR148" s="551"/>
      <c r="QS148" s="551"/>
      <c r="QT148" s="551"/>
      <c r="QU148" s="551"/>
      <c r="QV148" s="551"/>
      <c r="QW148" s="551"/>
      <c r="QX148" s="551"/>
      <c r="QY148" s="551"/>
      <c r="QZ148" s="551"/>
      <c r="RA148" s="551"/>
      <c r="RB148" s="551"/>
      <c r="RC148" s="551"/>
      <c r="RD148" s="551"/>
      <c r="RE148" s="551"/>
      <c r="RF148" s="551"/>
      <c r="RG148" s="551"/>
      <c r="RH148" s="551"/>
      <c r="RI148" s="551"/>
      <c r="RJ148" s="551"/>
      <c r="RK148" s="551"/>
      <c r="RL148" s="551"/>
      <c r="RM148" s="551"/>
      <c r="RN148" s="551"/>
      <c r="RO148" s="551"/>
      <c r="RP148" s="551"/>
      <c r="RQ148" s="551"/>
      <c r="RR148" s="551"/>
      <c r="RS148" s="551"/>
      <c r="RT148" s="551"/>
      <c r="RU148" s="551"/>
      <c r="RV148" s="551"/>
      <c r="RW148" s="551"/>
      <c r="RX148" s="551"/>
      <c r="RY148" s="551"/>
      <c r="RZ148" s="551"/>
      <c r="SA148" s="551"/>
      <c r="SB148" s="551"/>
      <c r="SC148" s="551"/>
      <c r="SD148" s="551"/>
      <c r="SE148" s="551"/>
      <c r="SF148" s="551"/>
      <c r="SG148" s="551"/>
      <c r="SH148" s="551"/>
      <c r="SI148" s="551"/>
      <c r="SJ148" s="551"/>
      <c r="SK148" s="551"/>
      <c r="SL148" s="551"/>
      <c r="SM148" s="551"/>
      <c r="SN148" s="551"/>
      <c r="SO148" s="551"/>
      <c r="SP148" s="551"/>
      <c r="SQ148" s="551"/>
      <c r="SR148" s="551"/>
      <c r="SS148" s="551"/>
      <c r="ST148" s="551"/>
      <c r="SU148" s="551"/>
      <c r="SV148" s="551"/>
      <c r="SW148" s="551"/>
      <c r="SX148" s="551"/>
      <c r="SY148" s="551"/>
      <c r="SZ148" s="551"/>
      <c r="TA148" s="551"/>
      <c r="TB148" s="551"/>
      <c r="TC148" s="551"/>
      <c r="TD148" s="551"/>
      <c r="TE148" s="551"/>
      <c r="TF148" s="551"/>
      <c r="TG148" s="551"/>
      <c r="TH148" s="551"/>
      <c r="TI148" s="551"/>
      <c r="TJ148" s="551"/>
      <c r="TK148" s="551"/>
      <c r="TL148" s="551"/>
      <c r="TM148" s="551"/>
      <c r="TN148" s="551"/>
      <c r="TO148" s="551"/>
      <c r="TP148" s="551"/>
      <c r="TQ148" s="551"/>
      <c r="TR148" s="551"/>
      <c r="TS148" s="551"/>
      <c r="TT148" s="551"/>
      <c r="TU148" s="551"/>
      <c r="TV148" s="551"/>
      <c r="TW148" s="551"/>
      <c r="TX148" s="551"/>
      <c r="TY148" s="551"/>
      <c r="TZ148" s="551"/>
      <c r="UA148" s="551"/>
      <c r="UB148" s="551"/>
      <c r="UC148" s="551"/>
      <c r="UD148" s="551"/>
      <c r="UE148" s="551"/>
      <c r="UF148" s="551"/>
      <c r="UG148" s="551"/>
      <c r="UH148" s="551"/>
      <c r="UI148" s="551"/>
      <c r="UJ148" s="551"/>
      <c r="UK148" s="551"/>
      <c r="UL148" s="551"/>
      <c r="UM148" s="551"/>
      <c r="UN148" s="551"/>
      <c r="UO148" s="551"/>
      <c r="UP148" s="551"/>
      <c r="UQ148" s="551"/>
      <c r="UR148" s="551"/>
      <c r="US148" s="551"/>
      <c r="UT148" s="551"/>
      <c r="UU148" s="551"/>
      <c r="UV148" s="551"/>
      <c r="UW148" s="551"/>
      <c r="UX148" s="551"/>
      <c r="UY148" s="551"/>
      <c r="UZ148" s="551"/>
      <c r="VA148" s="551"/>
      <c r="VB148" s="551"/>
      <c r="VC148" s="551"/>
      <c r="VD148" s="551"/>
      <c r="VE148" s="551"/>
      <c r="VF148" s="551"/>
      <c r="VG148" s="551"/>
      <c r="VH148" s="551"/>
      <c r="VI148" s="551"/>
      <c r="VJ148" s="551"/>
      <c r="VK148" s="551"/>
      <c r="VL148" s="551"/>
      <c r="VM148" s="551"/>
      <c r="VN148" s="551"/>
      <c r="VO148" s="551"/>
      <c r="VP148" s="551"/>
      <c r="VQ148" s="551"/>
      <c r="VR148" s="551"/>
      <c r="VS148" s="551"/>
      <c r="VT148" s="551"/>
      <c r="VU148" s="551"/>
      <c r="VV148" s="551"/>
      <c r="VW148" s="551"/>
      <c r="VX148" s="551"/>
      <c r="VY148" s="551"/>
      <c r="VZ148" s="551"/>
      <c r="WA148" s="551"/>
      <c r="WB148" s="551"/>
      <c r="WC148" s="551"/>
      <c r="WD148" s="551"/>
      <c r="WE148" s="551"/>
      <c r="WF148" s="551"/>
      <c r="WG148" s="551"/>
      <c r="WH148" s="551"/>
      <c r="WI148" s="551"/>
      <c r="WJ148" s="551"/>
      <c r="WK148" s="551"/>
      <c r="WL148" s="551"/>
      <c r="WM148" s="551"/>
      <c r="WN148" s="551"/>
      <c r="WO148" s="551"/>
      <c r="WP148" s="551"/>
      <c r="WQ148" s="551"/>
      <c r="WR148" s="551"/>
      <c r="WS148" s="551"/>
      <c r="WT148" s="551"/>
      <c r="WU148" s="551"/>
      <c r="WV148" s="551"/>
      <c r="WW148" s="551"/>
      <c r="WX148" s="551"/>
      <c r="WY148" s="551"/>
      <c r="WZ148" s="551"/>
      <c r="XA148" s="551"/>
      <c r="XB148" s="551"/>
      <c r="XC148" s="551"/>
      <c r="XD148" s="551"/>
      <c r="XE148" s="551"/>
      <c r="XF148" s="551"/>
      <c r="XG148" s="551"/>
      <c r="XH148" s="551"/>
      <c r="XI148" s="551"/>
      <c r="XJ148" s="551"/>
      <c r="XK148" s="551"/>
      <c r="XL148" s="551"/>
      <c r="XM148" s="551"/>
      <c r="XN148" s="551"/>
      <c r="XO148" s="551"/>
      <c r="XP148" s="551"/>
      <c r="XQ148" s="551"/>
      <c r="XR148" s="551"/>
      <c r="XS148" s="551"/>
      <c r="XT148" s="551"/>
      <c r="XU148" s="551"/>
      <c r="XV148" s="551"/>
      <c r="XW148" s="551"/>
      <c r="XX148" s="551"/>
      <c r="XY148" s="551"/>
      <c r="XZ148" s="551"/>
      <c r="YA148" s="551"/>
      <c r="YB148" s="551"/>
      <c r="YC148" s="551"/>
      <c r="YD148" s="551"/>
      <c r="YE148" s="551"/>
      <c r="YF148" s="551"/>
      <c r="YG148" s="551"/>
      <c r="YH148" s="551"/>
      <c r="YI148" s="551"/>
      <c r="YJ148" s="551"/>
      <c r="YK148" s="551"/>
      <c r="YL148" s="551"/>
      <c r="YM148" s="551"/>
      <c r="YN148" s="551"/>
      <c r="YO148" s="551"/>
      <c r="YP148" s="551"/>
      <c r="YQ148" s="551"/>
      <c r="YR148" s="551"/>
      <c r="YS148" s="551"/>
      <c r="YT148" s="551"/>
      <c r="YU148" s="551"/>
      <c r="YV148" s="551"/>
      <c r="YW148" s="551"/>
      <c r="YX148" s="551"/>
      <c r="YY148" s="551"/>
      <c r="YZ148" s="551"/>
      <c r="ZA148" s="551"/>
      <c r="ZB148" s="551"/>
      <c r="ZC148" s="551"/>
      <c r="ZD148" s="551"/>
      <c r="ZE148" s="551"/>
      <c r="ZF148" s="551"/>
      <c r="ZG148" s="551"/>
      <c r="ZH148" s="551"/>
      <c r="ZI148" s="551"/>
      <c r="ZJ148" s="551"/>
      <c r="ZK148" s="551"/>
      <c r="ZL148" s="551"/>
      <c r="ZM148" s="551"/>
      <c r="ZN148" s="551"/>
      <c r="ZO148" s="551"/>
      <c r="ZP148" s="551"/>
      <c r="ZQ148" s="551"/>
      <c r="ZR148" s="551"/>
      <c r="ZS148" s="551"/>
      <c r="ZT148" s="551"/>
      <c r="ZU148" s="551"/>
      <c r="ZV148" s="551"/>
      <c r="ZW148" s="551"/>
      <c r="ZX148" s="551"/>
      <c r="ZY148" s="551"/>
      <c r="ZZ148" s="551"/>
      <c r="AAA148" s="551"/>
      <c r="AAB148" s="551"/>
      <c r="AAC148" s="551"/>
      <c r="AAD148" s="551"/>
      <c r="AAE148" s="551"/>
      <c r="AAF148" s="551"/>
      <c r="AAG148" s="551"/>
      <c r="AAH148" s="551"/>
      <c r="AAI148" s="551"/>
      <c r="AAJ148" s="551"/>
      <c r="AAK148" s="551"/>
      <c r="AAL148" s="551"/>
      <c r="AAM148" s="551"/>
      <c r="AAN148" s="551"/>
      <c r="AAO148" s="551"/>
      <c r="AAP148" s="551"/>
      <c r="AAQ148" s="551"/>
      <c r="AAR148" s="551"/>
      <c r="AAS148" s="551"/>
      <c r="AAT148" s="551"/>
      <c r="AAU148" s="551"/>
      <c r="AAV148" s="551"/>
      <c r="AAW148" s="551"/>
      <c r="AAX148" s="551"/>
      <c r="AAY148" s="551"/>
      <c r="AAZ148" s="551"/>
      <c r="ABA148" s="551"/>
      <c r="ABB148" s="551"/>
      <c r="ABC148" s="551"/>
      <c r="ABD148" s="551"/>
      <c r="ABE148" s="551"/>
      <c r="ABF148" s="551"/>
      <c r="ABG148" s="551"/>
      <c r="ABH148" s="551"/>
      <c r="ABI148" s="551"/>
      <c r="ABJ148" s="551"/>
      <c r="ABK148" s="551"/>
      <c r="ABL148" s="551"/>
      <c r="ABM148" s="551"/>
      <c r="ABN148" s="551"/>
      <c r="ABO148" s="551"/>
      <c r="ABP148" s="551"/>
      <c r="ABQ148" s="551"/>
      <c r="ABR148" s="551"/>
      <c r="ABS148" s="551"/>
      <c r="ABT148" s="551"/>
      <c r="ABU148" s="551"/>
      <c r="ABV148" s="551"/>
      <c r="ABW148" s="551"/>
      <c r="ABX148" s="551"/>
      <c r="ABY148" s="551"/>
      <c r="ABZ148" s="551"/>
      <c r="ACA148" s="551"/>
      <c r="ACB148" s="551"/>
      <c r="ACC148" s="551"/>
      <c r="ACD148" s="551"/>
      <c r="ACE148" s="551"/>
      <c r="ACF148" s="551"/>
      <c r="ACG148" s="551"/>
      <c r="ACH148" s="551"/>
      <c r="ACI148" s="551"/>
      <c r="ACJ148" s="551"/>
      <c r="ACK148" s="551"/>
      <c r="ACL148" s="551"/>
      <c r="ACM148" s="551"/>
      <c r="ACN148" s="551"/>
      <c r="ACO148" s="551"/>
      <c r="ACP148" s="551"/>
      <c r="ACQ148" s="551"/>
      <c r="ACR148" s="551"/>
      <c r="ACS148" s="551"/>
      <c r="ACT148" s="551"/>
      <c r="ACU148" s="551"/>
      <c r="ACV148" s="551"/>
      <c r="ACW148" s="551"/>
      <c r="ACX148" s="551"/>
      <c r="ACY148" s="551"/>
      <c r="ACZ148" s="551"/>
      <c r="ADA148" s="551"/>
      <c r="ADB148" s="551"/>
      <c r="ADC148" s="551"/>
      <c r="ADD148" s="551"/>
      <c r="ADE148" s="551"/>
      <c r="ADF148" s="551"/>
      <c r="ADG148" s="551"/>
      <c r="ADH148" s="551"/>
      <c r="ADI148" s="551"/>
      <c r="ADJ148" s="551"/>
      <c r="ADK148" s="551"/>
      <c r="ADL148" s="551"/>
      <c r="ADM148" s="551"/>
      <c r="ADN148" s="551"/>
      <c r="ADO148" s="551"/>
      <c r="ADP148" s="551"/>
      <c r="ADQ148" s="551"/>
      <c r="ADR148" s="551"/>
      <c r="ADS148" s="551"/>
      <c r="ADT148" s="551"/>
      <c r="ADU148" s="551"/>
      <c r="ADV148" s="551"/>
      <c r="ADW148" s="551"/>
      <c r="ADX148" s="551"/>
      <c r="ADY148" s="551"/>
      <c r="ADZ148" s="551"/>
      <c r="AEA148" s="551"/>
      <c r="AEB148" s="551"/>
      <c r="AEC148" s="551"/>
      <c r="AED148" s="551"/>
      <c r="AEE148" s="551"/>
      <c r="AEF148" s="551"/>
      <c r="AEG148" s="551"/>
      <c r="AEH148" s="551"/>
      <c r="AEI148" s="551"/>
      <c r="AEJ148" s="551"/>
      <c r="AEK148" s="551"/>
      <c r="AEL148" s="551"/>
      <c r="AEM148" s="551"/>
      <c r="AEN148" s="551"/>
      <c r="AEO148" s="551"/>
      <c r="AEP148" s="551"/>
      <c r="AEQ148" s="551"/>
      <c r="AER148" s="551"/>
      <c r="AES148" s="551"/>
      <c r="AET148" s="551"/>
      <c r="AEU148" s="551"/>
      <c r="AEV148" s="551"/>
      <c r="AEW148" s="551"/>
      <c r="AEX148" s="551"/>
      <c r="AEY148" s="551"/>
      <c r="AEZ148" s="551"/>
      <c r="AFA148" s="551"/>
      <c r="AFB148" s="551"/>
      <c r="AFC148" s="551"/>
      <c r="AFD148" s="551"/>
      <c r="AFE148" s="551"/>
      <c r="AFF148" s="551"/>
      <c r="AFG148" s="551"/>
      <c r="AFH148" s="551"/>
      <c r="AFI148" s="551"/>
      <c r="AFJ148" s="551"/>
      <c r="AFK148" s="551"/>
      <c r="AFL148" s="551"/>
      <c r="AFM148" s="551"/>
      <c r="AFN148" s="551"/>
      <c r="AFO148" s="551"/>
      <c r="AFP148" s="551"/>
      <c r="AFQ148" s="551"/>
      <c r="AFR148" s="551"/>
      <c r="AFS148" s="551"/>
      <c r="AFT148" s="551"/>
      <c r="AFU148" s="551"/>
      <c r="AFV148" s="551"/>
      <c r="AFW148" s="551"/>
      <c r="AFX148" s="551"/>
      <c r="AFY148" s="551"/>
      <c r="AFZ148" s="551"/>
      <c r="AGA148" s="551"/>
      <c r="AGB148" s="551"/>
      <c r="AGC148" s="551"/>
      <c r="AGD148" s="551"/>
      <c r="AGE148" s="551"/>
      <c r="AGF148" s="551"/>
      <c r="AGG148" s="551"/>
      <c r="AGH148" s="551"/>
      <c r="AGI148" s="551"/>
      <c r="AGJ148" s="551"/>
      <c r="AGK148" s="551"/>
      <c r="AGL148" s="551"/>
      <c r="AGM148" s="551"/>
      <c r="AGN148" s="551"/>
      <c r="AGO148" s="551"/>
      <c r="AGP148" s="551"/>
      <c r="AGQ148" s="551"/>
      <c r="AGR148" s="551"/>
      <c r="AGS148" s="551"/>
      <c r="AGT148" s="551"/>
      <c r="AGU148" s="551"/>
      <c r="AGV148" s="551"/>
      <c r="AGW148" s="551"/>
      <c r="AGX148" s="551"/>
      <c r="AGY148" s="551"/>
      <c r="AGZ148" s="551"/>
      <c r="AHA148" s="551"/>
      <c r="AHB148" s="551"/>
      <c r="AHC148" s="551"/>
      <c r="AHD148" s="551"/>
      <c r="AHE148" s="551"/>
      <c r="AHF148" s="551"/>
      <c r="AHG148" s="551"/>
      <c r="AHH148" s="551"/>
      <c r="AHI148" s="551"/>
      <c r="AHJ148" s="551"/>
      <c r="AHK148" s="551"/>
      <c r="AHL148" s="551"/>
      <c r="AHM148" s="551"/>
      <c r="AHN148" s="551"/>
      <c r="AHO148" s="551"/>
      <c r="AHP148" s="551"/>
      <c r="AHQ148" s="551"/>
      <c r="AHR148" s="551"/>
      <c r="AHS148" s="551"/>
      <c r="AHT148" s="551"/>
      <c r="AHU148" s="551"/>
      <c r="AHV148" s="551"/>
      <c r="AHW148" s="551"/>
      <c r="AHX148" s="551"/>
      <c r="AHY148" s="551"/>
      <c r="AHZ148" s="551"/>
      <c r="AIA148" s="551"/>
      <c r="AIB148" s="551"/>
      <c r="AIC148" s="551"/>
      <c r="AID148" s="551"/>
      <c r="AIE148" s="551"/>
      <c r="AIF148" s="551"/>
      <c r="AIG148" s="551"/>
      <c r="AIH148" s="551"/>
      <c r="AII148" s="551"/>
      <c r="AIJ148" s="551"/>
      <c r="AIK148" s="551"/>
      <c r="AIL148" s="551"/>
      <c r="AIM148" s="551"/>
      <c r="AIN148" s="551"/>
      <c r="AIO148" s="551"/>
      <c r="AIP148" s="551"/>
      <c r="AIQ148" s="551"/>
      <c r="AIR148" s="551"/>
      <c r="AIS148" s="551"/>
      <c r="AIT148" s="551"/>
      <c r="AIU148" s="551"/>
      <c r="AIV148" s="551"/>
      <c r="AIW148" s="551"/>
      <c r="AIX148" s="551"/>
      <c r="AIY148" s="551"/>
      <c r="AIZ148" s="551"/>
      <c r="AJA148" s="551"/>
      <c r="AJB148" s="551"/>
      <c r="AJC148" s="551"/>
      <c r="AJD148" s="551"/>
      <c r="AJE148" s="551"/>
      <c r="AJF148" s="551"/>
      <c r="AJG148" s="551"/>
      <c r="AJH148" s="551"/>
      <c r="AJI148" s="551"/>
      <c r="AJJ148" s="551"/>
      <c r="AJK148" s="551"/>
      <c r="AJL148" s="551"/>
      <c r="AJM148" s="551"/>
      <c r="AJN148" s="551"/>
      <c r="AJO148" s="551"/>
      <c r="AJP148" s="551"/>
      <c r="AJQ148" s="551"/>
      <c r="AJR148" s="551"/>
      <c r="AJS148" s="551"/>
      <c r="AJT148" s="551"/>
      <c r="AJU148" s="551"/>
      <c r="AJV148" s="551"/>
      <c r="AJW148" s="551"/>
      <c r="AJX148" s="551"/>
      <c r="AJY148" s="551"/>
      <c r="AJZ148" s="551"/>
      <c r="AKA148" s="551"/>
      <c r="AKB148" s="551"/>
      <c r="AKC148" s="551"/>
      <c r="AKD148" s="551"/>
      <c r="AKE148" s="551"/>
      <c r="AKF148" s="551"/>
      <c r="AKG148" s="551"/>
      <c r="AKH148" s="551"/>
      <c r="AKI148" s="551"/>
      <c r="AKJ148" s="551"/>
      <c r="AKK148" s="551"/>
      <c r="AKL148" s="551"/>
      <c r="AKM148" s="551"/>
      <c r="AKN148" s="551"/>
      <c r="AKO148" s="551"/>
      <c r="AKP148" s="551"/>
      <c r="AKQ148" s="551"/>
      <c r="AKR148" s="551"/>
      <c r="AKS148" s="551"/>
      <c r="AKT148" s="551"/>
      <c r="AKU148" s="551"/>
      <c r="AKV148" s="551"/>
      <c r="AKW148" s="551"/>
      <c r="AKX148" s="551"/>
      <c r="AKY148" s="551"/>
      <c r="AKZ148" s="551"/>
      <c r="ALA148" s="551"/>
      <c r="ALB148" s="551"/>
      <c r="ALC148" s="551"/>
      <c r="ALD148" s="551"/>
      <c r="ALE148" s="551"/>
      <c r="ALF148" s="551"/>
      <c r="ALG148" s="551"/>
      <c r="ALH148" s="551"/>
      <c r="ALI148" s="551"/>
      <c r="ALJ148" s="551"/>
      <c r="ALK148" s="551"/>
      <c r="ALL148" s="551"/>
      <c r="ALM148" s="551"/>
      <c r="ALN148" s="551"/>
      <c r="ALO148" s="551"/>
      <c r="ALP148" s="551"/>
      <c r="ALQ148" s="551"/>
      <c r="ALR148" s="551"/>
      <c r="ALS148" s="551"/>
      <c r="ALT148" s="551"/>
      <c r="ALU148" s="551"/>
      <c r="ALV148" s="551"/>
      <c r="ALW148" s="551"/>
      <c r="ALX148" s="551"/>
      <c r="ALY148" s="551"/>
      <c r="ALZ148" s="551"/>
      <c r="AMA148" s="551"/>
      <c r="AMB148" s="551"/>
      <c r="AMC148" s="551"/>
      <c r="AMD148" s="551"/>
      <c r="AME148" s="551"/>
      <c r="AMF148" s="551"/>
      <c r="AMG148" s="551"/>
      <c r="AMH148" s="551"/>
      <c r="AMI148" s="551"/>
      <c r="AMJ148" s="551"/>
      <c r="AMK148" s="551"/>
      <c r="AML148" s="551"/>
      <c r="AMM148" s="551"/>
      <c r="AMN148" s="551"/>
    </row>
    <row r="149" spans="2:1028" ht="11.25" customHeight="1">
      <c r="B149" s="1386" t="s">
        <v>649</v>
      </c>
      <c r="C149" s="1387"/>
      <c r="D149" s="1387"/>
      <c r="E149" s="1387"/>
      <c r="F149" s="1387"/>
      <c r="G149" s="1387"/>
      <c r="H149" s="1387"/>
      <c r="I149" s="1387"/>
      <c r="J149" s="1387"/>
      <c r="K149" s="1387"/>
      <c r="L149" s="1387"/>
      <c r="M149" s="1388"/>
      <c r="N149" s="560"/>
      <c r="O149" s="280" t="s">
        <v>650</v>
      </c>
      <c r="P149" s="280"/>
      <c r="Q149" s="562"/>
      <c r="R149" s="562"/>
      <c r="S149" s="562"/>
      <c r="T149" s="562"/>
      <c r="U149" s="562"/>
      <c r="V149" s="562"/>
      <c r="W149" s="562"/>
      <c r="X149" s="562"/>
      <c r="Y149" s="563"/>
      <c r="Z149" s="563"/>
      <c r="AA149" s="563"/>
      <c r="AB149" s="563"/>
      <c r="AC149" s="563"/>
      <c r="AD149" s="563"/>
      <c r="AE149" s="562"/>
      <c r="AF149" s="562"/>
      <c r="AG149" s="562"/>
      <c r="AH149" s="562"/>
      <c r="AI149" s="562"/>
      <c r="AJ149" s="562"/>
      <c r="AK149" s="560"/>
      <c r="AL149" s="560"/>
      <c r="AM149" s="560"/>
      <c r="AN149" s="279"/>
      <c r="AO149" s="556"/>
      <c r="AP149" s="556"/>
      <c r="AQ149" s="556"/>
      <c r="AR149" s="556"/>
      <c r="AS149" s="556"/>
      <c r="AT149" s="556"/>
      <c r="AU149" s="556"/>
      <c r="AV149" s="556"/>
      <c r="AW149" s="556"/>
      <c r="AX149" s="556"/>
      <c r="AY149" s="556"/>
      <c r="AZ149" s="551"/>
      <c r="BA149" s="551"/>
      <c r="BB149" s="551"/>
      <c r="BC149" s="551"/>
      <c r="BD149" s="551"/>
      <c r="BE149" s="551"/>
      <c r="BF149" s="551"/>
      <c r="BG149" s="551"/>
      <c r="BH149" s="551"/>
      <c r="BI149" s="551"/>
      <c r="BJ149" s="551"/>
      <c r="BK149" s="551"/>
      <c r="BL149" s="551"/>
      <c r="BM149" s="551"/>
      <c r="BN149" s="551"/>
      <c r="BO149" s="551"/>
      <c r="BP149" s="551"/>
      <c r="BQ149" s="551"/>
      <c r="BR149" s="551"/>
      <c r="BS149" s="551"/>
      <c r="BT149" s="551"/>
      <c r="BU149" s="551"/>
      <c r="BV149" s="551"/>
      <c r="BW149" s="551"/>
      <c r="BX149" s="551"/>
      <c r="BY149" s="551"/>
      <c r="BZ149" s="551"/>
      <c r="CA149" s="551"/>
      <c r="CB149" s="551"/>
      <c r="CC149" s="551"/>
      <c r="CD149" s="551"/>
      <c r="CE149" s="551"/>
      <c r="CF149" s="551"/>
      <c r="CG149" s="551"/>
      <c r="CH149" s="551"/>
      <c r="CI149" s="551"/>
      <c r="CJ149" s="551"/>
      <c r="CK149" s="551"/>
      <c r="CL149" s="551"/>
      <c r="CM149" s="551"/>
      <c r="CN149" s="551"/>
      <c r="CO149" s="551"/>
      <c r="CP149" s="551"/>
      <c r="CQ149" s="551"/>
      <c r="CR149" s="551"/>
      <c r="CS149" s="551"/>
      <c r="CT149" s="551"/>
      <c r="CU149" s="551"/>
      <c r="CV149" s="551"/>
      <c r="CW149" s="551"/>
      <c r="CX149" s="551"/>
      <c r="CY149" s="551"/>
      <c r="CZ149" s="551"/>
      <c r="DA149" s="551"/>
      <c r="DB149" s="551"/>
      <c r="DC149" s="551"/>
      <c r="DD149" s="551"/>
      <c r="DE149" s="551"/>
      <c r="DF149" s="551"/>
      <c r="DG149" s="551"/>
      <c r="DH149" s="551"/>
      <c r="DI149" s="551"/>
      <c r="DJ149" s="551"/>
      <c r="DK149" s="551"/>
      <c r="DL149" s="551"/>
      <c r="DM149" s="551"/>
      <c r="DN149" s="551"/>
      <c r="DO149" s="551"/>
      <c r="DP149" s="551"/>
      <c r="DQ149" s="551"/>
      <c r="DR149" s="551"/>
      <c r="DS149" s="551"/>
      <c r="DT149" s="551"/>
      <c r="DU149" s="551"/>
      <c r="DV149" s="551"/>
      <c r="DW149" s="551"/>
      <c r="DX149" s="551"/>
      <c r="DY149" s="551"/>
      <c r="DZ149" s="551"/>
      <c r="EA149" s="551"/>
      <c r="EB149" s="551"/>
      <c r="EC149" s="551"/>
      <c r="ED149" s="551"/>
      <c r="EE149" s="551"/>
      <c r="EF149" s="551"/>
      <c r="EG149" s="551"/>
      <c r="EH149" s="551"/>
      <c r="EI149" s="551"/>
      <c r="EJ149" s="551"/>
      <c r="EK149" s="551"/>
      <c r="EL149" s="551"/>
      <c r="EM149" s="551"/>
      <c r="EN149" s="551"/>
      <c r="EO149" s="551"/>
      <c r="EP149" s="551"/>
      <c r="EQ149" s="551"/>
      <c r="ER149" s="551"/>
      <c r="ES149" s="551"/>
      <c r="ET149" s="551"/>
      <c r="EU149" s="551"/>
      <c r="EV149" s="551"/>
      <c r="EW149" s="551"/>
      <c r="EX149" s="551"/>
      <c r="EY149" s="551"/>
      <c r="EZ149" s="551"/>
      <c r="FA149" s="551"/>
      <c r="FB149" s="551"/>
      <c r="FC149" s="551"/>
      <c r="FD149" s="551"/>
      <c r="FE149" s="551"/>
      <c r="FF149" s="551"/>
      <c r="FG149" s="551"/>
      <c r="FH149" s="551"/>
      <c r="FI149" s="551"/>
      <c r="FJ149" s="551"/>
      <c r="FK149" s="551"/>
      <c r="FL149" s="551"/>
      <c r="FM149" s="551"/>
      <c r="FN149" s="551"/>
      <c r="FO149" s="551"/>
      <c r="FP149" s="551"/>
      <c r="FQ149" s="551"/>
      <c r="FR149" s="551"/>
      <c r="FS149" s="551"/>
      <c r="FT149" s="551"/>
      <c r="FU149" s="551"/>
      <c r="FV149" s="551"/>
      <c r="FW149" s="551"/>
      <c r="FX149" s="551"/>
      <c r="FY149" s="551"/>
      <c r="FZ149" s="551"/>
      <c r="GA149" s="551"/>
      <c r="GB149" s="551"/>
      <c r="GC149" s="551"/>
      <c r="GD149" s="551"/>
      <c r="GE149" s="551"/>
      <c r="GF149" s="551"/>
      <c r="GG149" s="551"/>
      <c r="GH149" s="551"/>
      <c r="GI149" s="551"/>
      <c r="GJ149" s="551"/>
      <c r="GK149" s="551"/>
      <c r="GL149" s="551"/>
      <c r="GM149" s="551"/>
      <c r="GN149" s="551"/>
      <c r="GO149" s="551"/>
      <c r="GP149" s="551"/>
      <c r="GQ149" s="551"/>
      <c r="GR149" s="551"/>
      <c r="GS149" s="551"/>
      <c r="GT149" s="551"/>
      <c r="GU149" s="551"/>
      <c r="GV149" s="551"/>
      <c r="GW149" s="551"/>
      <c r="GX149" s="551"/>
      <c r="GY149" s="551"/>
      <c r="GZ149" s="551"/>
      <c r="HA149" s="551"/>
      <c r="HB149" s="551"/>
      <c r="HC149" s="551"/>
      <c r="HD149" s="551"/>
      <c r="HE149" s="551"/>
      <c r="HF149" s="551"/>
      <c r="HG149" s="551"/>
      <c r="HH149" s="551"/>
      <c r="HI149" s="551"/>
      <c r="HJ149" s="551"/>
      <c r="HK149" s="551"/>
      <c r="HL149" s="551"/>
      <c r="HM149" s="551"/>
      <c r="HN149" s="551"/>
      <c r="HO149" s="551"/>
      <c r="HP149" s="551"/>
      <c r="HQ149" s="551"/>
      <c r="HR149" s="551"/>
      <c r="HS149" s="551"/>
      <c r="HT149" s="551"/>
      <c r="HU149" s="551"/>
      <c r="HV149" s="551"/>
      <c r="HW149" s="551"/>
      <c r="HX149" s="551"/>
      <c r="HY149" s="551"/>
      <c r="HZ149" s="551"/>
      <c r="IA149" s="551"/>
      <c r="IB149" s="551"/>
      <c r="IC149" s="551"/>
      <c r="ID149" s="551"/>
      <c r="IE149" s="551"/>
      <c r="IF149" s="551"/>
      <c r="IG149" s="551"/>
      <c r="IH149" s="551"/>
      <c r="II149" s="551"/>
      <c r="IJ149" s="551"/>
      <c r="IK149" s="551"/>
      <c r="IL149" s="551"/>
      <c r="IM149" s="551"/>
      <c r="IN149" s="551"/>
      <c r="IO149" s="551"/>
      <c r="IP149" s="551"/>
      <c r="IQ149" s="551"/>
      <c r="IR149" s="551"/>
      <c r="IS149" s="551"/>
      <c r="IT149" s="551"/>
      <c r="IU149" s="551"/>
      <c r="IV149" s="551"/>
      <c r="IW149" s="551"/>
      <c r="IX149" s="551"/>
      <c r="IY149" s="551"/>
      <c r="IZ149" s="551"/>
      <c r="JA149" s="551"/>
      <c r="JB149" s="551"/>
      <c r="JC149" s="551"/>
      <c r="JD149" s="551"/>
      <c r="JE149" s="551"/>
      <c r="JF149" s="551"/>
      <c r="JG149" s="551"/>
      <c r="JH149" s="551"/>
      <c r="JI149" s="551"/>
      <c r="JJ149" s="551"/>
      <c r="JK149" s="551"/>
      <c r="JL149" s="551"/>
      <c r="JM149" s="551"/>
      <c r="JN149" s="551"/>
      <c r="JO149" s="551"/>
      <c r="JP149" s="551"/>
      <c r="JQ149" s="551"/>
      <c r="JR149" s="551"/>
      <c r="JS149" s="551"/>
      <c r="JT149" s="551"/>
      <c r="JU149" s="551"/>
      <c r="JV149" s="551"/>
      <c r="JW149" s="551"/>
      <c r="JX149" s="551"/>
      <c r="JY149" s="551"/>
      <c r="JZ149" s="551"/>
      <c r="KA149" s="551"/>
      <c r="KB149" s="551"/>
      <c r="KC149" s="551"/>
      <c r="KD149" s="551"/>
      <c r="KE149" s="551"/>
      <c r="KF149" s="551"/>
      <c r="KG149" s="551"/>
      <c r="KH149" s="551"/>
      <c r="KI149" s="551"/>
      <c r="KJ149" s="551"/>
      <c r="KK149" s="551"/>
      <c r="KL149" s="551"/>
      <c r="KM149" s="551"/>
      <c r="KN149" s="551"/>
      <c r="KO149" s="551"/>
      <c r="KP149" s="551"/>
      <c r="KQ149" s="551"/>
      <c r="KR149" s="551"/>
      <c r="KS149" s="551"/>
      <c r="KT149" s="551"/>
      <c r="KU149" s="551"/>
      <c r="KV149" s="551"/>
      <c r="KW149" s="551"/>
      <c r="KX149" s="551"/>
      <c r="KY149" s="551"/>
      <c r="KZ149" s="551"/>
      <c r="LA149" s="551"/>
      <c r="LB149" s="551"/>
      <c r="LC149" s="551"/>
      <c r="LD149" s="551"/>
      <c r="LE149" s="551"/>
      <c r="LF149" s="551"/>
      <c r="LG149" s="551"/>
      <c r="LH149" s="551"/>
      <c r="LI149" s="551"/>
      <c r="LJ149" s="551"/>
      <c r="LK149" s="551"/>
      <c r="LL149" s="551"/>
      <c r="LM149" s="551"/>
      <c r="LN149" s="551"/>
      <c r="LO149" s="551"/>
      <c r="LP149" s="551"/>
      <c r="LQ149" s="551"/>
      <c r="LR149" s="551"/>
      <c r="LS149" s="551"/>
      <c r="LT149" s="551"/>
      <c r="LU149" s="551"/>
      <c r="LV149" s="551"/>
      <c r="LW149" s="551"/>
      <c r="LX149" s="551"/>
      <c r="LY149" s="551"/>
      <c r="LZ149" s="551"/>
      <c r="MA149" s="551"/>
      <c r="MB149" s="551"/>
      <c r="MC149" s="551"/>
      <c r="MD149" s="551"/>
      <c r="ME149" s="551"/>
      <c r="MF149" s="551"/>
      <c r="MG149" s="551"/>
      <c r="MH149" s="551"/>
      <c r="MI149" s="551"/>
      <c r="MJ149" s="551"/>
      <c r="MK149" s="551"/>
      <c r="ML149" s="551"/>
      <c r="MM149" s="551"/>
      <c r="MN149" s="551"/>
      <c r="MO149" s="551"/>
      <c r="MP149" s="551"/>
      <c r="MQ149" s="551"/>
      <c r="MR149" s="551"/>
      <c r="MS149" s="551"/>
      <c r="MT149" s="551"/>
      <c r="MU149" s="551"/>
      <c r="MV149" s="551"/>
      <c r="MW149" s="551"/>
      <c r="MX149" s="551"/>
      <c r="MY149" s="551"/>
      <c r="MZ149" s="551"/>
      <c r="NA149" s="551"/>
      <c r="NB149" s="551"/>
      <c r="NC149" s="551"/>
      <c r="ND149" s="551"/>
      <c r="NE149" s="551"/>
      <c r="NF149" s="551"/>
      <c r="NG149" s="551"/>
      <c r="NH149" s="551"/>
      <c r="NI149" s="551"/>
      <c r="NJ149" s="551"/>
      <c r="NK149" s="551"/>
      <c r="NL149" s="551"/>
      <c r="NM149" s="551"/>
      <c r="NN149" s="551"/>
      <c r="NO149" s="551"/>
      <c r="NP149" s="551"/>
      <c r="NQ149" s="551"/>
      <c r="NR149" s="551"/>
      <c r="NS149" s="551"/>
      <c r="NT149" s="551"/>
      <c r="NU149" s="551"/>
      <c r="NV149" s="551"/>
      <c r="NW149" s="551"/>
      <c r="NX149" s="551"/>
      <c r="NY149" s="551"/>
      <c r="NZ149" s="551"/>
      <c r="OA149" s="551"/>
      <c r="OB149" s="551"/>
      <c r="OC149" s="551"/>
      <c r="OD149" s="551"/>
      <c r="OE149" s="551"/>
      <c r="OF149" s="551"/>
      <c r="OG149" s="551"/>
      <c r="OH149" s="551"/>
      <c r="OI149" s="551"/>
      <c r="OJ149" s="551"/>
      <c r="OK149" s="551"/>
      <c r="OL149" s="551"/>
      <c r="OM149" s="551"/>
      <c r="ON149" s="551"/>
      <c r="OO149" s="551"/>
      <c r="OP149" s="551"/>
      <c r="OQ149" s="551"/>
      <c r="OR149" s="551"/>
      <c r="OS149" s="551"/>
      <c r="OT149" s="551"/>
      <c r="OU149" s="551"/>
      <c r="OV149" s="551"/>
      <c r="OW149" s="551"/>
      <c r="OX149" s="551"/>
      <c r="OY149" s="551"/>
      <c r="OZ149" s="551"/>
      <c r="PA149" s="551"/>
      <c r="PB149" s="551"/>
      <c r="PC149" s="551"/>
      <c r="PD149" s="551"/>
      <c r="PE149" s="551"/>
      <c r="PF149" s="551"/>
      <c r="PG149" s="551"/>
      <c r="PH149" s="551"/>
      <c r="PI149" s="551"/>
      <c r="PJ149" s="551"/>
      <c r="PK149" s="551"/>
      <c r="PL149" s="551"/>
      <c r="PM149" s="551"/>
      <c r="PN149" s="551"/>
      <c r="PO149" s="551"/>
      <c r="PP149" s="551"/>
      <c r="PQ149" s="551"/>
      <c r="PR149" s="551"/>
      <c r="PS149" s="551"/>
      <c r="PT149" s="551"/>
      <c r="PU149" s="551"/>
      <c r="PV149" s="551"/>
      <c r="PW149" s="551"/>
      <c r="PX149" s="551"/>
      <c r="PY149" s="551"/>
      <c r="PZ149" s="551"/>
      <c r="QA149" s="551"/>
      <c r="QB149" s="551"/>
      <c r="QC149" s="551"/>
      <c r="QD149" s="551"/>
      <c r="QE149" s="551"/>
      <c r="QF149" s="551"/>
      <c r="QG149" s="551"/>
      <c r="QH149" s="551"/>
      <c r="QI149" s="551"/>
      <c r="QJ149" s="551"/>
      <c r="QK149" s="551"/>
      <c r="QL149" s="551"/>
      <c r="QM149" s="551"/>
      <c r="QN149" s="551"/>
      <c r="QO149" s="551"/>
      <c r="QP149" s="551"/>
      <c r="QQ149" s="551"/>
      <c r="QR149" s="551"/>
      <c r="QS149" s="551"/>
      <c r="QT149" s="551"/>
      <c r="QU149" s="551"/>
      <c r="QV149" s="551"/>
      <c r="QW149" s="551"/>
      <c r="QX149" s="551"/>
      <c r="QY149" s="551"/>
      <c r="QZ149" s="551"/>
      <c r="RA149" s="551"/>
      <c r="RB149" s="551"/>
      <c r="RC149" s="551"/>
      <c r="RD149" s="551"/>
      <c r="RE149" s="551"/>
      <c r="RF149" s="551"/>
      <c r="RG149" s="551"/>
      <c r="RH149" s="551"/>
      <c r="RI149" s="551"/>
      <c r="RJ149" s="551"/>
      <c r="RK149" s="551"/>
      <c r="RL149" s="551"/>
      <c r="RM149" s="551"/>
      <c r="RN149" s="551"/>
      <c r="RO149" s="551"/>
      <c r="RP149" s="551"/>
      <c r="RQ149" s="551"/>
      <c r="RR149" s="551"/>
      <c r="RS149" s="551"/>
      <c r="RT149" s="551"/>
      <c r="RU149" s="551"/>
      <c r="RV149" s="551"/>
      <c r="RW149" s="551"/>
      <c r="RX149" s="551"/>
      <c r="RY149" s="551"/>
      <c r="RZ149" s="551"/>
      <c r="SA149" s="551"/>
      <c r="SB149" s="551"/>
      <c r="SC149" s="551"/>
      <c r="SD149" s="551"/>
      <c r="SE149" s="551"/>
      <c r="SF149" s="551"/>
      <c r="SG149" s="551"/>
      <c r="SH149" s="551"/>
      <c r="SI149" s="551"/>
      <c r="SJ149" s="551"/>
      <c r="SK149" s="551"/>
      <c r="SL149" s="551"/>
      <c r="SM149" s="551"/>
      <c r="SN149" s="551"/>
      <c r="SO149" s="551"/>
      <c r="SP149" s="551"/>
      <c r="SQ149" s="551"/>
      <c r="SR149" s="551"/>
      <c r="SS149" s="551"/>
      <c r="ST149" s="551"/>
      <c r="SU149" s="551"/>
      <c r="SV149" s="551"/>
      <c r="SW149" s="551"/>
      <c r="SX149" s="551"/>
      <c r="SY149" s="551"/>
      <c r="SZ149" s="551"/>
      <c r="TA149" s="551"/>
      <c r="TB149" s="551"/>
      <c r="TC149" s="551"/>
      <c r="TD149" s="551"/>
      <c r="TE149" s="551"/>
      <c r="TF149" s="551"/>
      <c r="TG149" s="551"/>
      <c r="TH149" s="551"/>
      <c r="TI149" s="551"/>
      <c r="TJ149" s="551"/>
      <c r="TK149" s="551"/>
      <c r="TL149" s="551"/>
      <c r="TM149" s="551"/>
      <c r="TN149" s="551"/>
      <c r="TO149" s="551"/>
      <c r="TP149" s="551"/>
      <c r="TQ149" s="551"/>
      <c r="TR149" s="551"/>
      <c r="TS149" s="551"/>
      <c r="TT149" s="551"/>
      <c r="TU149" s="551"/>
      <c r="TV149" s="551"/>
      <c r="TW149" s="551"/>
      <c r="TX149" s="551"/>
      <c r="TY149" s="551"/>
      <c r="TZ149" s="551"/>
      <c r="UA149" s="551"/>
      <c r="UB149" s="551"/>
      <c r="UC149" s="551"/>
      <c r="UD149" s="551"/>
      <c r="UE149" s="551"/>
      <c r="UF149" s="551"/>
      <c r="UG149" s="551"/>
      <c r="UH149" s="551"/>
      <c r="UI149" s="551"/>
      <c r="UJ149" s="551"/>
      <c r="UK149" s="551"/>
      <c r="UL149" s="551"/>
      <c r="UM149" s="551"/>
      <c r="UN149" s="551"/>
      <c r="UO149" s="551"/>
      <c r="UP149" s="551"/>
      <c r="UQ149" s="551"/>
      <c r="UR149" s="551"/>
      <c r="US149" s="551"/>
      <c r="UT149" s="551"/>
      <c r="UU149" s="551"/>
      <c r="UV149" s="551"/>
      <c r="UW149" s="551"/>
      <c r="UX149" s="551"/>
      <c r="UY149" s="551"/>
      <c r="UZ149" s="551"/>
      <c r="VA149" s="551"/>
      <c r="VB149" s="551"/>
      <c r="VC149" s="551"/>
      <c r="VD149" s="551"/>
      <c r="VE149" s="551"/>
      <c r="VF149" s="551"/>
      <c r="VG149" s="551"/>
      <c r="VH149" s="551"/>
      <c r="VI149" s="551"/>
      <c r="VJ149" s="551"/>
      <c r="VK149" s="551"/>
      <c r="VL149" s="551"/>
      <c r="VM149" s="551"/>
      <c r="VN149" s="551"/>
      <c r="VO149" s="551"/>
      <c r="VP149" s="551"/>
      <c r="VQ149" s="551"/>
      <c r="VR149" s="551"/>
      <c r="VS149" s="551"/>
      <c r="VT149" s="551"/>
      <c r="VU149" s="551"/>
      <c r="VV149" s="551"/>
      <c r="VW149" s="551"/>
      <c r="VX149" s="551"/>
      <c r="VY149" s="551"/>
      <c r="VZ149" s="551"/>
      <c r="WA149" s="551"/>
      <c r="WB149" s="551"/>
      <c r="WC149" s="551"/>
      <c r="WD149" s="551"/>
      <c r="WE149" s="551"/>
      <c r="WF149" s="551"/>
      <c r="WG149" s="551"/>
      <c r="WH149" s="551"/>
      <c r="WI149" s="551"/>
      <c r="WJ149" s="551"/>
      <c r="WK149" s="551"/>
      <c r="WL149" s="551"/>
      <c r="WM149" s="551"/>
      <c r="WN149" s="551"/>
      <c r="WO149" s="551"/>
      <c r="WP149" s="551"/>
      <c r="WQ149" s="551"/>
      <c r="WR149" s="551"/>
      <c r="WS149" s="551"/>
      <c r="WT149" s="551"/>
      <c r="WU149" s="551"/>
      <c r="WV149" s="551"/>
      <c r="WW149" s="551"/>
      <c r="WX149" s="551"/>
      <c r="WY149" s="551"/>
      <c r="WZ149" s="551"/>
      <c r="XA149" s="551"/>
      <c r="XB149" s="551"/>
      <c r="XC149" s="551"/>
      <c r="XD149" s="551"/>
      <c r="XE149" s="551"/>
      <c r="XF149" s="551"/>
      <c r="XG149" s="551"/>
      <c r="XH149" s="551"/>
      <c r="XI149" s="551"/>
      <c r="XJ149" s="551"/>
      <c r="XK149" s="551"/>
      <c r="XL149" s="551"/>
      <c r="XM149" s="551"/>
      <c r="XN149" s="551"/>
      <c r="XO149" s="551"/>
      <c r="XP149" s="551"/>
      <c r="XQ149" s="551"/>
      <c r="XR149" s="551"/>
      <c r="XS149" s="551"/>
      <c r="XT149" s="551"/>
      <c r="XU149" s="551"/>
      <c r="XV149" s="551"/>
      <c r="XW149" s="551"/>
      <c r="XX149" s="551"/>
      <c r="XY149" s="551"/>
      <c r="XZ149" s="551"/>
      <c r="YA149" s="551"/>
      <c r="YB149" s="551"/>
      <c r="YC149" s="551"/>
      <c r="YD149" s="551"/>
      <c r="YE149" s="551"/>
      <c r="YF149" s="551"/>
      <c r="YG149" s="551"/>
      <c r="YH149" s="551"/>
      <c r="YI149" s="551"/>
      <c r="YJ149" s="551"/>
      <c r="YK149" s="551"/>
      <c r="YL149" s="551"/>
      <c r="YM149" s="551"/>
      <c r="YN149" s="551"/>
      <c r="YO149" s="551"/>
      <c r="YP149" s="551"/>
      <c r="YQ149" s="551"/>
      <c r="YR149" s="551"/>
      <c r="YS149" s="551"/>
      <c r="YT149" s="551"/>
      <c r="YU149" s="551"/>
      <c r="YV149" s="551"/>
      <c r="YW149" s="551"/>
      <c r="YX149" s="551"/>
      <c r="YY149" s="551"/>
      <c r="YZ149" s="551"/>
      <c r="ZA149" s="551"/>
      <c r="ZB149" s="551"/>
      <c r="ZC149" s="551"/>
      <c r="ZD149" s="551"/>
      <c r="ZE149" s="551"/>
      <c r="ZF149" s="551"/>
      <c r="ZG149" s="551"/>
      <c r="ZH149" s="551"/>
      <c r="ZI149" s="551"/>
      <c r="ZJ149" s="551"/>
      <c r="ZK149" s="551"/>
      <c r="ZL149" s="551"/>
      <c r="ZM149" s="551"/>
      <c r="ZN149" s="551"/>
      <c r="ZO149" s="551"/>
      <c r="ZP149" s="551"/>
      <c r="ZQ149" s="551"/>
      <c r="ZR149" s="551"/>
      <c r="ZS149" s="551"/>
      <c r="ZT149" s="551"/>
      <c r="ZU149" s="551"/>
      <c r="ZV149" s="551"/>
      <c r="ZW149" s="551"/>
      <c r="ZX149" s="551"/>
      <c r="ZY149" s="551"/>
      <c r="ZZ149" s="551"/>
      <c r="AAA149" s="551"/>
      <c r="AAB149" s="551"/>
      <c r="AAC149" s="551"/>
      <c r="AAD149" s="551"/>
      <c r="AAE149" s="551"/>
      <c r="AAF149" s="551"/>
      <c r="AAG149" s="551"/>
      <c r="AAH149" s="551"/>
      <c r="AAI149" s="551"/>
      <c r="AAJ149" s="551"/>
      <c r="AAK149" s="551"/>
      <c r="AAL149" s="551"/>
      <c r="AAM149" s="551"/>
      <c r="AAN149" s="551"/>
      <c r="AAO149" s="551"/>
      <c r="AAP149" s="551"/>
      <c r="AAQ149" s="551"/>
      <c r="AAR149" s="551"/>
      <c r="AAS149" s="551"/>
      <c r="AAT149" s="551"/>
      <c r="AAU149" s="551"/>
      <c r="AAV149" s="551"/>
      <c r="AAW149" s="551"/>
      <c r="AAX149" s="551"/>
      <c r="AAY149" s="551"/>
      <c r="AAZ149" s="551"/>
      <c r="ABA149" s="551"/>
      <c r="ABB149" s="551"/>
      <c r="ABC149" s="551"/>
      <c r="ABD149" s="551"/>
      <c r="ABE149" s="551"/>
      <c r="ABF149" s="551"/>
      <c r="ABG149" s="551"/>
      <c r="ABH149" s="551"/>
      <c r="ABI149" s="551"/>
      <c r="ABJ149" s="551"/>
      <c r="ABK149" s="551"/>
      <c r="ABL149" s="551"/>
      <c r="ABM149" s="551"/>
      <c r="ABN149" s="551"/>
      <c r="ABO149" s="551"/>
      <c r="ABP149" s="551"/>
      <c r="ABQ149" s="551"/>
      <c r="ABR149" s="551"/>
      <c r="ABS149" s="551"/>
      <c r="ABT149" s="551"/>
      <c r="ABU149" s="551"/>
      <c r="ABV149" s="551"/>
      <c r="ABW149" s="551"/>
      <c r="ABX149" s="551"/>
      <c r="ABY149" s="551"/>
      <c r="ABZ149" s="551"/>
      <c r="ACA149" s="551"/>
      <c r="ACB149" s="551"/>
      <c r="ACC149" s="551"/>
      <c r="ACD149" s="551"/>
      <c r="ACE149" s="551"/>
      <c r="ACF149" s="551"/>
      <c r="ACG149" s="551"/>
      <c r="ACH149" s="551"/>
      <c r="ACI149" s="551"/>
      <c r="ACJ149" s="551"/>
      <c r="ACK149" s="551"/>
      <c r="ACL149" s="551"/>
      <c r="ACM149" s="551"/>
      <c r="ACN149" s="551"/>
      <c r="ACO149" s="551"/>
      <c r="ACP149" s="551"/>
      <c r="ACQ149" s="551"/>
      <c r="ACR149" s="551"/>
      <c r="ACS149" s="551"/>
      <c r="ACT149" s="551"/>
      <c r="ACU149" s="551"/>
      <c r="ACV149" s="551"/>
      <c r="ACW149" s="551"/>
      <c r="ACX149" s="551"/>
      <c r="ACY149" s="551"/>
      <c r="ACZ149" s="551"/>
      <c r="ADA149" s="551"/>
      <c r="ADB149" s="551"/>
      <c r="ADC149" s="551"/>
      <c r="ADD149" s="551"/>
      <c r="ADE149" s="551"/>
      <c r="ADF149" s="551"/>
      <c r="ADG149" s="551"/>
      <c r="ADH149" s="551"/>
      <c r="ADI149" s="551"/>
      <c r="ADJ149" s="551"/>
      <c r="ADK149" s="551"/>
      <c r="ADL149" s="551"/>
      <c r="ADM149" s="551"/>
      <c r="ADN149" s="551"/>
      <c r="ADO149" s="551"/>
      <c r="ADP149" s="551"/>
      <c r="ADQ149" s="551"/>
      <c r="ADR149" s="551"/>
      <c r="ADS149" s="551"/>
      <c r="ADT149" s="551"/>
      <c r="ADU149" s="551"/>
      <c r="ADV149" s="551"/>
      <c r="ADW149" s="551"/>
      <c r="ADX149" s="551"/>
      <c r="ADY149" s="551"/>
      <c r="ADZ149" s="551"/>
      <c r="AEA149" s="551"/>
      <c r="AEB149" s="551"/>
      <c r="AEC149" s="551"/>
      <c r="AED149" s="551"/>
      <c r="AEE149" s="551"/>
      <c r="AEF149" s="551"/>
      <c r="AEG149" s="551"/>
      <c r="AEH149" s="551"/>
      <c r="AEI149" s="551"/>
      <c r="AEJ149" s="551"/>
      <c r="AEK149" s="551"/>
      <c r="AEL149" s="551"/>
      <c r="AEM149" s="551"/>
      <c r="AEN149" s="551"/>
      <c r="AEO149" s="551"/>
      <c r="AEP149" s="551"/>
      <c r="AEQ149" s="551"/>
      <c r="AER149" s="551"/>
      <c r="AES149" s="551"/>
      <c r="AET149" s="551"/>
      <c r="AEU149" s="551"/>
      <c r="AEV149" s="551"/>
      <c r="AEW149" s="551"/>
      <c r="AEX149" s="551"/>
      <c r="AEY149" s="551"/>
      <c r="AEZ149" s="551"/>
      <c r="AFA149" s="551"/>
      <c r="AFB149" s="551"/>
      <c r="AFC149" s="551"/>
      <c r="AFD149" s="551"/>
      <c r="AFE149" s="551"/>
      <c r="AFF149" s="551"/>
      <c r="AFG149" s="551"/>
      <c r="AFH149" s="551"/>
      <c r="AFI149" s="551"/>
      <c r="AFJ149" s="551"/>
      <c r="AFK149" s="551"/>
      <c r="AFL149" s="551"/>
      <c r="AFM149" s="551"/>
      <c r="AFN149" s="551"/>
      <c r="AFO149" s="551"/>
      <c r="AFP149" s="551"/>
      <c r="AFQ149" s="551"/>
      <c r="AFR149" s="551"/>
      <c r="AFS149" s="551"/>
      <c r="AFT149" s="551"/>
      <c r="AFU149" s="551"/>
      <c r="AFV149" s="551"/>
      <c r="AFW149" s="551"/>
      <c r="AFX149" s="551"/>
      <c r="AFY149" s="551"/>
      <c r="AFZ149" s="551"/>
      <c r="AGA149" s="551"/>
      <c r="AGB149" s="551"/>
      <c r="AGC149" s="551"/>
      <c r="AGD149" s="551"/>
      <c r="AGE149" s="551"/>
      <c r="AGF149" s="551"/>
      <c r="AGG149" s="551"/>
      <c r="AGH149" s="551"/>
      <c r="AGI149" s="551"/>
      <c r="AGJ149" s="551"/>
      <c r="AGK149" s="551"/>
      <c r="AGL149" s="551"/>
      <c r="AGM149" s="551"/>
      <c r="AGN149" s="551"/>
      <c r="AGO149" s="551"/>
      <c r="AGP149" s="551"/>
      <c r="AGQ149" s="551"/>
      <c r="AGR149" s="551"/>
      <c r="AGS149" s="551"/>
      <c r="AGT149" s="551"/>
      <c r="AGU149" s="551"/>
      <c r="AGV149" s="551"/>
      <c r="AGW149" s="551"/>
      <c r="AGX149" s="551"/>
      <c r="AGY149" s="551"/>
      <c r="AGZ149" s="551"/>
      <c r="AHA149" s="551"/>
      <c r="AHB149" s="551"/>
      <c r="AHC149" s="551"/>
      <c r="AHD149" s="551"/>
      <c r="AHE149" s="551"/>
      <c r="AHF149" s="551"/>
      <c r="AHG149" s="551"/>
      <c r="AHH149" s="551"/>
      <c r="AHI149" s="551"/>
      <c r="AHJ149" s="551"/>
      <c r="AHK149" s="551"/>
      <c r="AHL149" s="551"/>
      <c r="AHM149" s="551"/>
      <c r="AHN149" s="551"/>
      <c r="AHO149" s="551"/>
      <c r="AHP149" s="551"/>
      <c r="AHQ149" s="551"/>
      <c r="AHR149" s="551"/>
      <c r="AHS149" s="551"/>
      <c r="AHT149" s="551"/>
      <c r="AHU149" s="551"/>
      <c r="AHV149" s="551"/>
      <c r="AHW149" s="551"/>
      <c r="AHX149" s="551"/>
      <c r="AHY149" s="551"/>
      <c r="AHZ149" s="551"/>
      <c r="AIA149" s="551"/>
      <c r="AIB149" s="551"/>
      <c r="AIC149" s="551"/>
      <c r="AID149" s="551"/>
      <c r="AIE149" s="551"/>
      <c r="AIF149" s="551"/>
      <c r="AIG149" s="551"/>
      <c r="AIH149" s="551"/>
      <c r="AII149" s="551"/>
      <c r="AIJ149" s="551"/>
      <c r="AIK149" s="551"/>
      <c r="AIL149" s="551"/>
      <c r="AIM149" s="551"/>
      <c r="AIN149" s="551"/>
      <c r="AIO149" s="551"/>
      <c r="AIP149" s="551"/>
      <c r="AIQ149" s="551"/>
      <c r="AIR149" s="551"/>
      <c r="AIS149" s="551"/>
      <c r="AIT149" s="551"/>
      <c r="AIU149" s="551"/>
      <c r="AIV149" s="551"/>
      <c r="AIW149" s="551"/>
      <c r="AIX149" s="551"/>
      <c r="AIY149" s="551"/>
      <c r="AIZ149" s="551"/>
      <c r="AJA149" s="551"/>
      <c r="AJB149" s="551"/>
      <c r="AJC149" s="551"/>
      <c r="AJD149" s="551"/>
      <c r="AJE149" s="551"/>
      <c r="AJF149" s="551"/>
      <c r="AJG149" s="551"/>
      <c r="AJH149" s="551"/>
      <c r="AJI149" s="551"/>
      <c r="AJJ149" s="551"/>
      <c r="AJK149" s="551"/>
      <c r="AJL149" s="551"/>
      <c r="AJM149" s="551"/>
      <c r="AJN149" s="551"/>
      <c r="AJO149" s="551"/>
      <c r="AJP149" s="551"/>
      <c r="AJQ149" s="551"/>
      <c r="AJR149" s="551"/>
      <c r="AJS149" s="551"/>
      <c r="AJT149" s="551"/>
      <c r="AJU149" s="551"/>
      <c r="AJV149" s="551"/>
      <c r="AJW149" s="551"/>
      <c r="AJX149" s="551"/>
      <c r="AJY149" s="551"/>
      <c r="AJZ149" s="551"/>
      <c r="AKA149" s="551"/>
      <c r="AKB149" s="551"/>
      <c r="AKC149" s="551"/>
      <c r="AKD149" s="551"/>
      <c r="AKE149" s="551"/>
      <c r="AKF149" s="551"/>
      <c r="AKG149" s="551"/>
      <c r="AKH149" s="551"/>
      <c r="AKI149" s="551"/>
      <c r="AKJ149" s="551"/>
      <c r="AKK149" s="551"/>
      <c r="AKL149" s="551"/>
      <c r="AKM149" s="551"/>
      <c r="AKN149" s="551"/>
      <c r="AKO149" s="551"/>
      <c r="AKP149" s="551"/>
      <c r="AKQ149" s="551"/>
      <c r="AKR149" s="551"/>
      <c r="AKS149" s="551"/>
      <c r="AKT149" s="551"/>
      <c r="AKU149" s="551"/>
      <c r="AKV149" s="551"/>
      <c r="AKW149" s="551"/>
      <c r="AKX149" s="551"/>
      <c r="AKY149" s="551"/>
      <c r="AKZ149" s="551"/>
      <c r="ALA149" s="551"/>
      <c r="ALB149" s="551"/>
      <c r="ALC149" s="551"/>
      <c r="ALD149" s="551"/>
      <c r="ALE149" s="551"/>
      <c r="ALF149" s="551"/>
      <c r="ALG149" s="551"/>
      <c r="ALH149" s="551"/>
      <c r="ALI149" s="551"/>
      <c r="ALJ149" s="551"/>
      <c r="ALK149" s="551"/>
      <c r="ALL149" s="551"/>
      <c r="ALM149" s="551"/>
      <c r="ALN149" s="551"/>
      <c r="ALO149" s="551"/>
      <c r="ALP149" s="551"/>
      <c r="ALQ149" s="551"/>
      <c r="ALR149" s="551"/>
      <c r="ALS149" s="551"/>
      <c r="ALT149" s="551"/>
      <c r="ALU149" s="551"/>
      <c r="ALV149" s="551"/>
      <c r="ALW149" s="551"/>
      <c r="ALX149" s="551"/>
      <c r="ALY149" s="551"/>
      <c r="ALZ149" s="551"/>
      <c r="AMA149" s="551"/>
      <c r="AMB149" s="551"/>
      <c r="AMC149" s="551"/>
      <c r="AMD149" s="551"/>
      <c r="AME149" s="551"/>
      <c r="AMF149" s="551"/>
      <c r="AMG149" s="551"/>
      <c r="AMH149" s="551"/>
      <c r="AMI149" s="551"/>
      <c r="AMJ149" s="551"/>
      <c r="AMK149" s="551"/>
      <c r="AML149" s="551"/>
      <c r="AMM149" s="551"/>
      <c r="AMN149" s="551"/>
    </row>
    <row r="150" spans="2:1028">
      <c r="B150" s="1418"/>
      <c r="C150" s="1419"/>
      <c r="D150" s="1419"/>
      <c r="E150" s="1419"/>
      <c r="F150" s="1419"/>
      <c r="G150" s="1419"/>
      <c r="H150" s="1419"/>
      <c r="I150" s="1419"/>
      <c r="J150" s="1419"/>
      <c r="K150" s="1419"/>
      <c r="L150" s="1419"/>
      <c r="M150" s="1420"/>
      <c r="N150" s="283"/>
      <c r="O150" s="1392" t="s">
        <v>278</v>
      </c>
      <c r="P150" s="1393"/>
      <c r="Q150" s="1393"/>
      <c r="R150" s="1393"/>
      <c r="S150" s="1394"/>
      <c r="T150" s="284"/>
      <c r="U150" s="284"/>
      <c r="V150" s="284"/>
      <c r="W150" s="1392" t="s">
        <v>170</v>
      </c>
      <c r="X150" s="1393"/>
      <c r="Y150" s="1393"/>
      <c r="Z150" s="1393"/>
      <c r="AA150" s="1394"/>
      <c r="AB150" s="1065"/>
      <c r="AC150" s="1392" t="s">
        <v>171</v>
      </c>
      <c r="AD150" s="1394"/>
      <c r="AE150" s="1395" t="s">
        <v>172</v>
      </c>
      <c r="AF150" s="1395"/>
      <c r="AG150" s="1395"/>
      <c r="AH150" s="1395"/>
      <c r="AI150" s="1395"/>
      <c r="AJ150" s="1395"/>
      <c r="AK150" s="1395"/>
      <c r="AL150" s="1395"/>
      <c r="AM150" s="1395"/>
      <c r="AN150" s="1395"/>
      <c r="AO150" s="1395"/>
      <c r="AP150" s="556"/>
      <c r="AQ150" s="556"/>
      <c r="AR150" s="556"/>
      <c r="AS150" s="556"/>
      <c r="AT150" s="556"/>
      <c r="AU150" s="556"/>
      <c r="AV150" s="556"/>
      <c r="AW150" s="556"/>
      <c r="AX150" s="556"/>
      <c r="AY150" s="556"/>
      <c r="AZ150" s="551"/>
      <c r="BA150" s="551"/>
      <c r="BB150" s="551"/>
      <c r="BC150" s="551"/>
      <c r="BD150" s="551"/>
      <c r="BE150" s="551"/>
      <c r="BF150" s="551"/>
      <c r="BG150" s="551"/>
      <c r="BH150" s="551"/>
      <c r="BI150" s="551"/>
      <c r="BJ150" s="551"/>
      <c r="BK150" s="551"/>
      <c r="BL150" s="551"/>
      <c r="BM150" s="551"/>
      <c r="BN150" s="551"/>
      <c r="BO150" s="551"/>
      <c r="BP150" s="551"/>
      <c r="BQ150" s="551"/>
      <c r="BR150" s="551"/>
      <c r="BS150" s="551"/>
      <c r="BT150" s="551"/>
      <c r="BU150" s="551"/>
      <c r="BV150" s="551"/>
      <c r="BW150" s="551"/>
      <c r="BX150" s="551"/>
      <c r="BY150" s="551"/>
      <c r="BZ150" s="551"/>
      <c r="CA150" s="551"/>
      <c r="CB150" s="551"/>
      <c r="CC150" s="551"/>
      <c r="CD150" s="551"/>
      <c r="CE150" s="551"/>
      <c r="CF150" s="551"/>
      <c r="CG150" s="551"/>
      <c r="CH150" s="551"/>
      <c r="CI150" s="551"/>
      <c r="CJ150" s="551"/>
      <c r="CK150" s="551"/>
      <c r="CL150" s="551"/>
      <c r="CM150" s="551"/>
      <c r="CN150" s="551"/>
      <c r="CO150" s="551"/>
      <c r="CP150" s="551"/>
      <c r="CQ150" s="551"/>
      <c r="CR150" s="551"/>
      <c r="CS150" s="551"/>
      <c r="CT150" s="551"/>
      <c r="CU150" s="551"/>
      <c r="CV150" s="551"/>
      <c r="CW150" s="551"/>
      <c r="CX150" s="551"/>
      <c r="CY150" s="551"/>
      <c r="CZ150" s="551"/>
      <c r="DA150" s="551"/>
      <c r="DB150" s="551"/>
      <c r="DC150" s="551"/>
      <c r="DD150" s="551"/>
      <c r="DE150" s="551"/>
      <c r="DF150" s="551"/>
      <c r="DG150" s="551"/>
      <c r="DH150" s="551"/>
      <c r="DI150" s="551"/>
      <c r="DJ150" s="551"/>
      <c r="DK150" s="551"/>
      <c r="DL150" s="551"/>
      <c r="DM150" s="551"/>
      <c r="DN150" s="551"/>
      <c r="DO150" s="551"/>
      <c r="DP150" s="551"/>
      <c r="DQ150" s="551"/>
      <c r="DR150" s="551"/>
      <c r="DS150" s="551"/>
      <c r="DT150" s="551"/>
      <c r="DU150" s="551"/>
      <c r="DV150" s="551"/>
      <c r="DW150" s="551"/>
      <c r="DX150" s="551"/>
      <c r="DY150" s="551"/>
      <c r="DZ150" s="551"/>
      <c r="EA150" s="551"/>
      <c r="EB150" s="551"/>
      <c r="EC150" s="551"/>
      <c r="ED150" s="551"/>
      <c r="EE150" s="551"/>
      <c r="EF150" s="551"/>
      <c r="EG150" s="551"/>
      <c r="EH150" s="551"/>
      <c r="EI150" s="551"/>
      <c r="EJ150" s="551"/>
      <c r="EK150" s="551"/>
      <c r="EL150" s="551"/>
      <c r="EM150" s="551"/>
      <c r="EN150" s="551"/>
      <c r="EO150" s="551"/>
      <c r="EP150" s="551"/>
      <c r="EQ150" s="551"/>
      <c r="ER150" s="551"/>
      <c r="ES150" s="551"/>
      <c r="ET150" s="551"/>
      <c r="EU150" s="551"/>
      <c r="EV150" s="551"/>
      <c r="EW150" s="551"/>
      <c r="EX150" s="551"/>
      <c r="EY150" s="551"/>
      <c r="EZ150" s="551"/>
      <c r="FA150" s="551"/>
      <c r="FB150" s="551"/>
      <c r="FC150" s="551"/>
      <c r="FD150" s="551"/>
      <c r="FE150" s="551"/>
      <c r="FF150" s="551"/>
      <c r="FG150" s="551"/>
      <c r="FH150" s="551"/>
      <c r="FI150" s="551"/>
      <c r="FJ150" s="551"/>
      <c r="FK150" s="551"/>
      <c r="FL150" s="551"/>
      <c r="FM150" s="551"/>
      <c r="FN150" s="551"/>
      <c r="FO150" s="551"/>
      <c r="FP150" s="551"/>
      <c r="FQ150" s="551"/>
      <c r="FR150" s="551"/>
      <c r="FS150" s="551"/>
      <c r="FT150" s="551"/>
      <c r="FU150" s="551"/>
      <c r="FV150" s="551"/>
      <c r="FW150" s="551"/>
      <c r="FX150" s="551"/>
      <c r="FY150" s="551"/>
      <c r="FZ150" s="551"/>
      <c r="GA150" s="551"/>
      <c r="GB150" s="551"/>
      <c r="GC150" s="551"/>
      <c r="GD150" s="551"/>
      <c r="GE150" s="551"/>
      <c r="GF150" s="551"/>
      <c r="GG150" s="551"/>
      <c r="GH150" s="551"/>
      <c r="GI150" s="551"/>
      <c r="GJ150" s="551"/>
      <c r="GK150" s="551"/>
      <c r="GL150" s="551"/>
      <c r="GM150" s="551"/>
      <c r="GN150" s="551"/>
      <c r="GO150" s="551"/>
      <c r="GP150" s="551"/>
      <c r="GQ150" s="551"/>
      <c r="GR150" s="551"/>
      <c r="GS150" s="551"/>
      <c r="GT150" s="551"/>
      <c r="GU150" s="551"/>
      <c r="GV150" s="551"/>
      <c r="GW150" s="551"/>
      <c r="GX150" s="551"/>
      <c r="GY150" s="551"/>
      <c r="GZ150" s="551"/>
      <c r="HA150" s="551"/>
      <c r="HB150" s="551"/>
      <c r="HC150" s="551"/>
      <c r="HD150" s="551"/>
      <c r="HE150" s="551"/>
      <c r="HF150" s="551"/>
      <c r="HG150" s="551"/>
      <c r="HH150" s="551"/>
      <c r="HI150" s="551"/>
      <c r="HJ150" s="551"/>
      <c r="HK150" s="551"/>
      <c r="HL150" s="551"/>
      <c r="HM150" s="551"/>
      <c r="HN150" s="551"/>
      <c r="HO150" s="551"/>
      <c r="HP150" s="551"/>
      <c r="HQ150" s="551"/>
      <c r="HR150" s="551"/>
      <c r="HS150" s="551"/>
      <c r="HT150" s="551"/>
      <c r="HU150" s="551"/>
      <c r="HV150" s="551"/>
      <c r="HW150" s="551"/>
      <c r="HX150" s="551"/>
      <c r="HY150" s="551"/>
      <c r="HZ150" s="551"/>
      <c r="IA150" s="551"/>
      <c r="IB150" s="551"/>
      <c r="IC150" s="551"/>
      <c r="ID150" s="551"/>
      <c r="IE150" s="551"/>
      <c r="IF150" s="551"/>
      <c r="IG150" s="551"/>
      <c r="IH150" s="551"/>
      <c r="II150" s="551"/>
      <c r="IJ150" s="551"/>
      <c r="IK150" s="551"/>
      <c r="IL150" s="551"/>
      <c r="IM150" s="551"/>
      <c r="IN150" s="551"/>
      <c r="IO150" s="551"/>
      <c r="IP150" s="551"/>
      <c r="IQ150" s="551"/>
      <c r="IR150" s="551"/>
      <c r="IS150" s="551"/>
      <c r="IT150" s="551"/>
      <c r="IU150" s="551"/>
      <c r="IV150" s="551"/>
      <c r="IW150" s="551"/>
      <c r="IX150" s="551"/>
      <c r="IY150" s="551"/>
      <c r="IZ150" s="551"/>
      <c r="JA150" s="551"/>
      <c r="JB150" s="551"/>
      <c r="JC150" s="551"/>
      <c r="JD150" s="551"/>
      <c r="JE150" s="551"/>
      <c r="JF150" s="551"/>
      <c r="JG150" s="551"/>
      <c r="JH150" s="551"/>
      <c r="JI150" s="551"/>
      <c r="JJ150" s="551"/>
      <c r="JK150" s="551"/>
      <c r="JL150" s="551"/>
      <c r="JM150" s="551"/>
      <c r="JN150" s="551"/>
      <c r="JO150" s="551"/>
      <c r="JP150" s="551"/>
      <c r="JQ150" s="551"/>
      <c r="JR150" s="551"/>
      <c r="JS150" s="551"/>
      <c r="JT150" s="551"/>
      <c r="JU150" s="551"/>
      <c r="JV150" s="551"/>
      <c r="JW150" s="551"/>
      <c r="JX150" s="551"/>
      <c r="JY150" s="551"/>
      <c r="JZ150" s="551"/>
      <c r="KA150" s="551"/>
      <c r="KB150" s="551"/>
      <c r="KC150" s="551"/>
      <c r="KD150" s="551"/>
      <c r="KE150" s="551"/>
      <c r="KF150" s="551"/>
      <c r="KG150" s="551"/>
      <c r="KH150" s="551"/>
      <c r="KI150" s="551"/>
      <c r="KJ150" s="551"/>
      <c r="KK150" s="551"/>
      <c r="KL150" s="551"/>
      <c r="KM150" s="551"/>
      <c r="KN150" s="551"/>
      <c r="KO150" s="551"/>
      <c r="KP150" s="551"/>
      <c r="KQ150" s="551"/>
      <c r="KR150" s="551"/>
      <c r="KS150" s="551"/>
      <c r="KT150" s="551"/>
      <c r="KU150" s="551"/>
      <c r="KV150" s="551"/>
      <c r="KW150" s="551"/>
      <c r="KX150" s="551"/>
      <c r="KY150" s="551"/>
      <c r="KZ150" s="551"/>
      <c r="LA150" s="551"/>
      <c r="LB150" s="551"/>
      <c r="LC150" s="551"/>
      <c r="LD150" s="551"/>
      <c r="LE150" s="551"/>
      <c r="LF150" s="551"/>
      <c r="LG150" s="551"/>
      <c r="LH150" s="551"/>
      <c r="LI150" s="551"/>
      <c r="LJ150" s="551"/>
      <c r="LK150" s="551"/>
      <c r="LL150" s="551"/>
      <c r="LM150" s="551"/>
      <c r="LN150" s="551"/>
      <c r="LO150" s="551"/>
      <c r="LP150" s="551"/>
      <c r="LQ150" s="551"/>
      <c r="LR150" s="551"/>
      <c r="LS150" s="551"/>
      <c r="LT150" s="551"/>
      <c r="LU150" s="551"/>
      <c r="LV150" s="551"/>
      <c r="LW150" s="551"/>
      <c r="LX150" s="551"/>
      <c r="LY150" s="551"/>
      <c r="LZ150" s="551"/>
      <c r="MA150" s="551"/>
      <c r="MB150" s="551"/>
      <c r="MC150" s="551"/>
      <c r="MD150" s="551"/>
      <c r="ME150" s="551"/>
      <c r="MF150" s="551"/>
      <c r="MG150" s="551"/>
      <c r="MH150" s="551"/>
      <c r="MI150" s="551"/>
      <c r="MJ150" s="551"/>
      <c r="MK150" s="551"/>
      <c r="ML150" s="551"/>
      <c r="MM150" s="551"/>
      <c r="MN150" s="551"/>
      <c r="MO150" s="551"/>
      <c r="MP150" s="551"/>
      <c r="MQ150" s="551"/>
      <c r="MR150" s="551"/>
      <c r="MS150" s="551"/>
      <c r="MT150" s="551"/>
      <c r="MU150" s="551"/>
      <c r="MV150" s="551"/>
      <c r="MW150" s="551"/>
      <c r="MX150" s="551"/>
      <c r="MY150" s="551"/>
      <c r="MZ150" s="551"/>
      <c r="NA150" s="551"/>
      <c r="NB150" s="551"/>
      <c r="NC150" s="551"/>
      <c r="ND150" s="551"/>
      <c r="NE150" s="551"/>
      <c r="NF150" s="551"/>
      <c r="NG150" s="551"/>
      <c r="NH150" s="551"/>
      <c r="NI150" s="551"/>
      <c r="NJ150" s="551"/>
      <c r="NK150" s="551"/>
      <c r="NL150" s="551"/>
      <c r="NM150" s="551"/>
      <c r="NN150" s="551"/>
      <c r="NO150" s="551"/>
      <c r="NP150" s="551"/>
      <c r="NQ150" s="551"/>
      <c r="NR150" s="551"/>
      <c r="NS150" s="551"/>
      <c r="NT150" s="551"/>
      <c r="NU150" s="551"/>
      <c r="NV150" s="551"/>
      <c r="NW150" s="551"/>
      <c r="NX150" s="551"/>
      <c r="NY150" s="551"/>
      <c r="NZ150" s="551"/>
      <c r="OA150" s="551"/>
      <c r="OB150" s="551"/>
      <c r="OC150" s="551"/>
      <c r="OD150" s="551"/>
      <c r="OE150" s="551"/>
      <c r="OF150" s="551"/>
      <c r="OG150" s="551"/>
      <c r="OH150" s="551"/>
      <c r="OI150" s="551"/>
      <c r="OJ150" s="551"/>
      <c r="OK150" s="551"/>
      <c r="OL150" s="551"/>
      <c r="OM150" s="551"/>
      <c r="ON150" s="551"/>
      <c r="OO150" s="551"/>
      <c r="OP150" s="551"/>
      <c r="OQ150" s="551"/>
      <c r="OR150" s="551"/>
      <c r="OS150" s="551"/>
      <c r="OT150" s="551"/>
      <c r="OU150" s="551"/>
      <c r="OV150" s="551"/>
      <c r="OW150" s="551"/>
      <c r="OX150" s="551"/>
      <c r="OY150" s="551"/>
      <c r="OZ150" s="551"/>
      <c r="PA150" s="551"/>
      <c r="PB150" s="551"/>
      <c r="PC150" s="551"/>
      <c r="PD150" s="551"/>
      <c r="PE150" s="551"/>
      <c r="PF150" s="551"/>
      <c r="PG150" s="551"/>
      <c r="PH150" s="551"/>
      <c r="PI150" s="551"/>
      <c r="PJ150" s="551"/>
      <c r="PK150" s="551"/>
      <c r="PL150" s="551"/>
      <c r="PM150" s="551"/>
      <c r="PN150" s="551"/>
      <c r="PO150" s="551"/>
      <c r="PP150" s="551"/>
      <c r="PQ150" s="551"/>
      <c r="PR150" s="551"/>
      <c r="PS150" s="551"/>
      <c r="PT150" s="551"/>
      <c r="PU150" s="551"/>
      <c r="PV150" s="551"/>
      <c r="PW150" s="551"/>
      <c r="PX150" s="551"/>
      <c r="PY150" s="551"/>
      <c r="PZ150" s="551"/>
      <c r="QA150" s="551"/>
      <c r="QB150" s="551"/>
      <c r="QC150" s="551"/>
      <c r="QD150" s="551"/>
      <c r="QE150" s="551"/>
      <c r="QF150" s="551"/>
      <c r="QG150" s="551"/>
      <c r="QH150" s="551"/>
      <c r="QI150" s="551"/>
      <c r="QJ150" s="551"/>
      <c r="QK150" s="551"/>
      <c r="QL150" s="551"/>
      <c r="QM150" s="551"/>
      <c r="QN150" s="551"/>
      <c r="QO150" s="551"/>
      <c r="QP150" s="551"/>
      <c r="QQ150" s="551"/>
      <c r="QR150" s="551"/>
      <c r="QS150" s="551"/>
      <c r="QT150" s="551"/>
      <c r="QU150" s="551"/>
      <c r="QV150" s="551"/>
      <c r="QW150" s="551"/>
      <c r="QX150" s="551"/>
      <c r="QY150" s="551"/>
      <c r="QZ150" s="551"/>
      <c r="RA150" s="551"/>
      <c r="RB150" s="551"/>
      <c r="RC150" s="551"/>
      <c r="RD150" s="551"/>
      <c r="RE150" s="551"/>
      <c r="RF150" s="551"/>
      <c r="RG150" s="551"/>
      <c r="RH150" s="551"/>
      <c r="RI150" s="551"/>
      <c r="RJ150" s="551"/>
      <c r="RK150" s="551"/>
      <c r="RL150" s="551"/>
      <c r="RM150" s="551"/>
      <c r="RN150" s="551"/>
      <c r="RO150" s="551"/>
      <c r="RP150" s="551"/>
      <c r="RQ150" s="551"/>
      <c r="RR150" s="551"/>
      <c r="RS150" s="551"/>
      <c r="RT150" s="551"/>
      <c r="RU150" s="551"/>
      <c r="RV150" s="551"/>
      <c r="RW150" s="551"/>
      <c r="RX150" s="551"/>
      <c r="RY150" s="551"/>
      <c r="RZ150" s="551"/>
      <c r="SA150" s="551"/>
      <c r="SB150" s="551"/>
      <c r="SC150" s="551"/>
      <c r="SD150" s="551"/>
      <c r="SE150" s="551"/>
      <c r="SF150" s="551"/>
      <c r="SG150" s="551"/>
      <c r="SH150" s="551"/>
      <c r="SI150" s="551"/>
      <c r="SJ150" s="551"/>
      <c r="SK150" s="551"/>
      <c r="SL150" s="551"/>
      <c r="SM150" s="551"/>
      <c r="SN150" s="551"/>
      <c r="SO150" s="551"/>
      <c r="SP150" s="551"/>
      <c r="SQ150" s="551"/>
      <c r="SR150" s="551"/>
      <c r="SS150" s="551"/>
      <c r="ST150" s="551"/>
      <c r="SU150" s="551"/>
      <c r="SV150" s="551"/>
      <c r="SW150" s="551"/>
      <c r="SX150" s="551"/>
      <c r="SY150" s="551"/>
      <c r="SZ150" s="551"/>
      <c r="TA150" s="551"/>
      <c r="TB150" s="551"/>
      <c r="TC150" s="551"/>
      <c r="TD150" s="551"/>
      <c r="TE150" s="551"/>
      <c r="TF150" s="551"/>
      <c r="TG150" s="551"/>
      <c r="TH150" s="551"/>
      <c r="TI150" s="551"/>
      <c r="TJ150" s="551"/>
      <c r="TK150" s="551"/>
      <c r="TL150" s="551"/>
      <c r="TM150" s="551"/>
      <c r="TN150" s="551"/>
      <c r="TO150" s="551"/>
      <c r="TP150" s="551"/>
      <c r="TQ150" s="551"/>
      <c r="TR150" s="551"/>
      <c r="TS150" s="551"/>
      <c r="TT150" s="551"/>
      <c r="TU150" s="551"/>
      <c r="TV150" s="551"/>
      <c r="TW150" s="551"/>
      <c r="TX150" s="551"/>
      <c r="TY150" s="551"/>
      <c r="TZ150" s="551"/>
      <c r="UA150" s="551"/>
      <c r="UB150" s="551"/>
      <c r="UC150" s="551"/>
      <c r="UD150" s="551"/>
      <c r="UE150" s="551"/>
      <c r="UF150" s="551"/>
      <c r="UG150" s="551"/>
      <c r="UH150" s="551"/>
      <c r="UI150" s="551"/>
      <c r="UJ150" s="551"/>
      <c r="UK150" s="551"/>
      <c r="UL150" s="551"/>
      <c r="UM150" s="551"/>
      <c r="UN150" s="551"/>
      <c r="UO150" s="551"/>
      <c r="UP150" s="551"/>
      <c r="UQ150" s="551"/>
      <c r="UR150" s="551"/>
      <c r="US150" s="551"/>
      <c r="UT150" s="551"/>
      <c r="UU150" s="551"/>
      <c r="UV150" s="551"/>
      <c r="UW150" s="551"/>
      <c r="UX150" s="551"/>
      <c r="UY150" s="551"/>
      <c r="UZ150" s="551"/>
      <c r="VA150" s="551"/>
      <c r="VB150" s="551"/>
      <c r="VC150" s="551"/>
      <c r="VD150" s="551"/>
      <c r="VE150" s="551"/>
      <c r="VF150" s="551"/>
      <c r="VG150" s="551"/>
      <c r="VH150" s="551"/>
      <c r="VI150" s="551"/>
      <c r="VJ150" s="551"/>
      <c r="VK150" s="551"/>
      <c r="VL150" s="551"/>
      <c r="VM150" s="551"/>
      <c r="VN150" s="551"/>
      <c r="VO150" s="551"/>
      <c r="VP150" s="551"/>
      <c r="VQ150" s="551"/>
      <c r="VR150" s="551"/>
      <c r="VS150" s="551"/>
      <c r="VT150" s="551"/>
      <c r="VU150" s="551"/>
      <c r="VV150" s="551"/>
      <c r="VW150" s="551"/>
      <c r="VX150" s="551"/>
      <c r="VY150" s="551"/>
      <c r="VZ150" s="551"/>
      <c r="WA150" s="551"/>
      <c r="WB150" s="551"/>
      <c r="WC150" s="551"/>
      <c r="WD150" s="551"/>
      <c r="WE150" s="551"/>
      <c r="WF150" s="551"/>
      <c r="WG150" s="551"/>
      <c r="WH150" s="551"/>
      <c r="WI150" s="551"/>
      <c r="WJ150" s="551"/>
      <c r="WK150" s="551"/>
      <c r="WL150" s="551"/>
      <c r="WM150" s="551"/>
      <c r="WN150" s="551"/>
      <c r="WO150" s="551"/>
      <c r="WP150" s="551"/>
      <c r="WQ150" s="551"/>
      <c r="WR150" s="551"/>
      <c r="WS150" s="551"/>
      <c r="WT150" s="551"/>
      <c r="WU150" s="551"/>
      <c r="WV150" s="551"/>
      <c r="WW150" s="551"/>
      <c r="WX150" s="551"/>
      <c r="WY150" s="551"/>
      <c r="WZ150" s="551"/>
      <c r="XA150" s="551"/>
      <c r="XB150" s="551"/>
      <c r="XC150" s="551"/>
      <c r="XD150" s="551"/>
      <c r="XE150" s="551"/>
      <c r="XF150" s="551"/>
      <c r="XG150" s="551"/>
      <c r="XH150" s="551"/>
      <c r="XI150" s="551"/>
      <c r="XJ150" s="551"/>
      <c r="XK150" s="551"/>
      <c r="XL150" s="551"/>
      <c r="XM150" s="551"/>
      <c r="XN150" s="551"/>
      <c r="XO150" s="551"/>
      <c r="XP150" s="551"/>
      <c r="XQ150" s="551"/>
      <c r="XR150" s="551"/>
      <c r="XS150" s="551"/>
      <c r="XT150" s="551"/>
      <c r="XU150" s="551"/>
      <c r="XV150" s="551"/>
      <c r="XW150" s="551"/>
      <c r="XX150" s="551"/>
      <c r="XY150" s="551"/>
      <c r="XZ150" s="551"/>
      <c r="YA150" s="551"/>
      <c r="YB150" s="551"/>
      <c r="YC150" s="551"/>
      <c r="YD150" s="551"/>
      <c r="YE150" s="551"/>
      <c r="YF150" s="551"/>
      <c r="YG150" s="551"/>
      <c r="YH150" s="551"/>
      <c r="YI150" s="551"/>
      <c r="YJ150" s="551"/>
      <c r="YK150" s="551"/>
      <c r="YL150" s="551"/>
      <c r="YM150" s="551"/>
      <c r="YN150" s="551"/>
      <c r="YO150" s="551"/>
      <c r="YP150" s="551"/>
      <c r="YQ150" s="551"/>
      <c r="YR150" s="551"/>
      <c r="YS150" s="551"/>
      <c r="YT150" s="551"/>
      <c r="YU150" s="551"/>
      <c r="YV150" s="551"/>
      <c r="YW150" s="551"/>
      <c r="YX150" s="551"/>
      <c r="YY150" s="551"/>
      <c r="YZ150" s="551"/>
      <c r="ZA150" s="551"/>
      <c r="ZB150" s="551"/>
      <c r="ZC150" s="551"/>
      <c r="ZD150" s="551"/>
      <c r="ZE150" s="551"/>
      <c r="ZF150" s="551"/>
      <c r="ZG150" s="551"/>
      <c r="ZH150" s="551"/>
      <c r="ZI150" s="551"/>
      <c r="ZJ150" s="551"/>
      <c r="ZK150" s="551"/>
      <c r="ZL150" s="551"/>
      <c r="ZM150" s="551"/>
      <c r="ZN150" s="551"/>
      <c r="ZO150" s="551"/>
      <c r="ZP150" s="551"/>
      <c r="ZQ150" s="551"/>
      <c r="ZR150" s="551"/>
      <c r="ZS150" s="551"/>
      <c r="ZT150" s="551"/>
      <c r="ZU150" s="551"/>
      <c r="ZV150" s="551"/>
      <c r="ZW150" s="551"/>
      <c r="ZX150" s="551"/>
      <c r="ZY150" s="551"/>
      <c r="ZZ150" s="551"/>
      <c r="AAA150" s="551"/>
      <c r="AAB150" s="551"/>
      <c r="AAC150" s="551"/>
      <c r="AAD150" s="551"/>
      <c r="AAE150" s="551"/>
      <c r="AAF150" s="551"/>
      <c r="AAG150" s="551"/>
      <c r="AAH150" s="551"/>
      <c r="AAI150" s="551"/>
      <c r="AAJ150" s="551"/>
      <c r="AAK150" s="551"/>
      <c r="AAL150" s="551"/>
      <c r="AAM150" s="551"/>
      <c r="AAN150" s="551"/>
      <c r="AAO150" s="551"/>
      <c r="AAP150" s="551"/>
      <c r="AAQ150" s="551"/>
      <c r="AAR150" s="551"/>
      <c r="AAS150" s="551"/>
      <c r="AAT150" s="551"/>
      <c r="AAU150" s="551"/>
      <c r="AAV150" s="551"/>
      <c r="AAW150" s="551"/>
      <c r="AAX150" s="551"/>
      <c r="AAY150" s="551"/>
      <c r="AAZ150" s="551"/>
      <c r="ABA150" s="551"/>
      <c r="ABB150" s="551"/>
      <c r="ABC150" s="551"/>
      <c r="ABD150" s="551"/>
      <c r="ABE150" s="551"/>
      <c r="ABF150" s="551"/>
      <c r="ABG150" s="551"/>
      <c r="ABH150" s="551"/>
      <c r="ABI150" s="551"/>
      <c r="ABJ150" s="551"/>
      <c r="ABK150" s="551"/>
      <c r="ABL150" s="551"/>
      <c r="ABM150" s="551"/>
      <c r="ABN150" s="551"/>
      <c r="ABO150" s="551"/>
      <c r="ABP150" s="551"/>
      <c r="ABQ150" s="551"/>
      <c r="ABR150" s="551"/>
      <c r="ABS150" s="551"/>
      <c r="ABT150" s="551"/>
      <c r="ABU150" s="551"/>
      <c r="ABV150" s="551"/>
      <c r="ABW150" s="551"/>
      <c r="ABX150" s="551"/>
      <c r="ABY150" s="551"/>
      <c r="ABZ150" s="551"/>
      <c r="ACA150" s="551"/>
      <c r="ACB150" s="551"/>
      <c r="ACC150" s="551"/>
      <c r="ACD150" s="551"/>
      <c r="ACE150" s="551"/>
      <c r="ACF150" s="551"/>
      <c r="ACG150" s="551"/>
      <c r="ACH150" s="551"/>
      <c r="ACI150" s="551"/>
      <c r="ACJ150" s="551"/>
      <c r="ACK150" s="551"/>
      <c r="ACL150" s="551"/>
      <c r="ACM150" s="551"/>
      <c r="ACN150" s="551"/>
      <c r="ACO150" s="551"/>
      <c r="ACP150" s="551"/>
      <c r="ACQ150" s="551"/>
      <c r="ACR150" s="551"/>
      <c r="ACS150" s="551"/>
      <c r="ACT150" s="551"/>
      <c r="ACU150" s="551"/>
      <c r="ACV150" s="551"/>
      <c r="ACW150" s="551"/>
      <c r="ACX150" s="551"/>
      <c r="ACY150" s="551"/>
      <c r="ACZ150" s="551"/>
      <c r="ADA150" s="551"/>
      <c r="ADB150" s="551"/>
      <c r="ADC150" s="551"/>
      <c r="ADD150" s="551"/>
      <c r="ADE150" s="551"/>
      <c r="ADF150" s="551"/>
      <c r="ADG150" s="551"/>
      <c r="ADH150" s="551"/>
      <c r="ADI150" s="551"/>
      <c r="ADJ150" s="551"/>
      <c r="ADK150" s="551"/>
      <c r="ADL150" s="551"/>
      <c r="ADM150" s="551"/>
      <c r="ADN150" s="551"/>
      <c r="ADO150" s="551"/>
      <c r="ADP150" s="551"/>
      <c r="ADQ150" s="551"/>
      <c r="ADR150" s="551"/>
      <c r="ADS150" s="551"/>
      <c r="ADT150" s="551"/>
      <c r="ADU150" s="551"/>
      <c r="ADV150" s="551"/>
      <c r="ADW150" s="551"/>
      <c r="ADX150" s="551"/>
      <c r="ADY150" s="551"/>
      <c r="ADZ150" s="551"/>
      <c r="AEA150" s="551"/>
      <c r="AEB150" s="551"/>
      <c r="AEC150" s="551"/>
      <c r="AED150" s="551"/>
      <c r="AEE150" s="551"/>
      <c r="AEF150" s="551"/>
      <c r="AEG150" s="551"/>
      <c r="AEH150" s="551"/>
      <c r="AEI150" s="551"/>
      <c r="AEJ150" s="551"/>
      <c r="AEK150" s="551"/>
      <c r="AEL150" s="551"/>
      <c r="AEM150" s="551"/>
      <c r="AEN150" s="551"/>
      <c r="AEO150" s="551"/>
      <c r="AEP150" s="551"/>
      <c r="AEQ150" s="551"/>
      <c r="AER150" s="551"/>
      <c r="AES150" s="551"/>
      <c r="AET150" s="551"/>
      <c r="AEU150" s="551"/>
      <c r="AEV150" s="551"/>
      <c r="AEW150" s="551"/>
      <c r="AEX150" s="551"/>
      <c r="AEY150" s="551"/>
      <c r="AEZ150" s="551"/>
      <c r="AFA150" s="551"/>
      <c r="AFB150" s="551"/>
      <c r="AFC150" s="551"/>
      <c r="AFD150" s="551"/>
      <c r="AFE150" s="551"/>
      <c r="AFF150" s="551"/>
      <c r="AFG150" s="551"/>
      <c r="AFH150" s="551"/>
      <c r="AFI150" s="551"/>
      <c r="AFJ150" s="551"/>
      <c r="AFK150" s="551"/>
      <c r="AFL150" s="551"/>
      <c r="AFM150" s="551"/>
      <c r="AFN150" s="551"/>
      <c r="AFO150" s="551"/>
      <c r="AFP150" s="551"/>
      <c r="AFQ150" s="551"/>
      <c r="AFR150" s="551"/>
      <c r="AFS150" s="551"/>
      <c r="AFT150" s="551"/>
      <c r="AFU150" s="551"/>
      <c r="AFV150" s="551"/>
      <c r="AFW150" s="551"/>
      <c r="AFX150" s="551"/>
      <c r="AFY150" s="551"/>
      <c r="AFZ150" s="551"/>
      <c r="AGA150" s="551"/>
      <c r="AGB150" s="551"/>
      <c r="AGC150" s="551"/>
      <c r="AGD150" s="551"/>
      <c r="AGE150" s="551"/>
      <c r="AGF150" s="551"/>
      <c r="AGG150" s="551"/>
      <c r="AGH150" s="551"/>
      <c r="AGI150" s="551"/>
      <c r="AGJ150" s="551"/>
      <c r="AGK150" s="551"/>
      <c r="AGL150" s="551"/>
      <c r="AGM150" s="551"/>
      <c r="AGN150" s="551"/>
      <c r="AGO150" s="551"/>
      <c r="AGP150" s="551"/>
      <c r="AGQ150" s="551"/>
      <c r="AGR150" s="551"/>
      <c r="AGS150" s="551"/>
      <c r="AGT150" s="551"/>
      <c r="AGU150" s="551"/>
      <c r="AGV150" s="551"/>
      <c r="AGW150" s="551"/>
      <c r="AGX150" s="551"/>
      <c r="AGY150" s="551"/>
      <c r="AGZ150" s="551"/>
      <c r="AHA150" s="551"/>
      <c r="AHB150" s="551"/>
      <c r="AHC150" s="551"/>
      <c r="AHD150" s="551"/>
      <c r="AHE150" s="551"/>
      <c r="AHF150" s="551"/>
      <c r="AHG150" s="551"/>
      <c r="AHH150" s="551"/>
      <c r="AHI150" s="551"/>
      <c r="AHJ150" s="551"/>
      <c r="AHK150" s="551"/>
      <c r="AHL150" s="551"/>
      <c r="AHM150" s="551"/>
      <c r="AHN150" s="551"/>
      <c r="AHO150" s="551"/>
      <c r="AHP150" s="551"/>
      <c r="AHQ150" s="551"/>
      <c r="AHR150" s="551"/>
      <c r="AHS150" s="551"/>
      <c r="AHT150" s="551"/>
      <c r="AHU150" s="551"/>
      <c r="AHV150" s="551"/>
      <c r="AHW150" s="551"/>
      <c r="AHX150" s="551"/>
      <c r="AHY150" s="551"/>
      <c r="AHZ150" s="551"/>
      <c r="AIA150" s="551"/>
      <c r="AIB150" s="551"/>
      <c r="AIC150" s="551"/>
      <c r="AID150" s="551"/>
      <c r="AIE150" s="551"/>
      <c r="AIF150" s="551"/>
      <c r="AIG150" s="551"/>
      <c r="AIH150" s="551"/>
      <c r="AII150" s="551"/>
      <c r="AIJ150" s="551"/>
      <c r="AIK150" s="551"/>
      <c r="AIL150" s="551"/>
      <c r="AIM150" s="551"/>
      <c r="AIN150" s="551"/>
      <c r="AIO150" s="551"/>
      <c r="AIP150" s="551"/>
      <c r="AIQ150" s="551"/>
      <c r="AIR150" s="551"/>
      <c r="AIS150" s="551"/>
      <c r="AIT150" s="551"/>
      <c r="AIU150" s="551"/>
      <c r="AIV150" s="551"/>
      <c r="AIW150" s="551"/>
      <c r="AIX150" s="551"/>
      <c r="AIY150" s="551"/>
      <c r="AIZ150" s="551"/>
      <c r="AJA150" s="551"/>
      <c r="AJB150" s="551"/>
      <c r="AJC150" s="551"/>
      <c r="AJD150" s="551"/>
      <c r="AJE150" s="551"/>
      <c r="AJF150" s="551"/>
      <c r="AJG150" s="551"/>
      <c r="AJH150" s="551"/>
      <c r="AJI150" s="551"/>
      <c r="AJJ150" s="551"/>
      <c r="AJK150" s="551"/>
      <c r="AJL150" s="551"/>
      <c r="AJM150" s="551"/>
      <c r="AJN150" s="551"/>
      <c r="AJO150" s="551"/>
      <c r="AJP150" s="551"/>
      <c r="AJQ150" s="551"/>
      <c r="AJR150" s="551"/>
      <c r="AJS150" s="551"/>
      <c r="AJT150" s="551"/>
      <c r="AJU150" s="551"/>
      <c r="AJV150" s="551"/>
      <c r="AJW150" s="551"/>
      <c r="AJX150" s="551"/>
      <c r="AJY150" s="551"/>
      <c r="AJZ150" s="551"/>
      <c r="AKA150" s="551"/>
      <c r="AKB150" s="551"/>
      <c r="AKC150" s="551"/>
      <c r="AKD150" s="551"/>
      <c r="AKE150" s="551"/>
      <c r="AKF150" s="551"/>
      <c r="AKG150" s="551"/>
      <c r="AKH150" s="551"/>
      <c r="AKI150" s="551"/>
      <c r="AKJ150" s="551"/>
      <c r="AKK150" s="551"/>
      <c r="AKL150" s="551"/>
      <c r="AKM150" s="551"/>
      <c r="AKN150" s="551"/>
      <c r="AKO150" s="551"/>
      <c r="AKP150" s="551"/>
      <c r="AKQ150" s="551"/>
      <c r="AKR150" s="551"/>
      <c r="AKS150" s="551"/>
      <c r="AKT150" s="551"/>
      <c r="AKU150" s="551"/>
      <c r="AKV150" s="551"/>
      <c r="AKW150" s="551"/>
      <c r="AKX150" s="551"/>
      <c r="AKY150" s="551"/>
      <c r="AKZ150" s="551"/>
      <c r="ALA150" s="551"/>
      <c r="ALB150" s="551"/>
      <c r="ALC150" s="551"/>
      <c r="ALD150" s="551"/>
      <c r="ALE150" s="551"/>
      <c r="ALF150" s="551"/>
      <c r="ALG150" s="551"/>
      <c r="ALH150" s="551"/>
      <c r="ALI150" s="551"/>
      <c r="ALJ150" s="551"/>
      <c r="ALK150" s="551"/>
      <c r="ALL150" s="551"/>
      <c r="ALM150" s="551"/>
      <c r="ALN150" s="551"/>
      <c r="ALO150" s="551"/>
      <c r="ALP150" s="551"/>
      <c r="ALQ150" s="551"/>
      <c r="ALR150" s="551"/>
      <c r="ALS150" s="551"/>
      <c r="ALT150" s="551"/>
      <c r="ALU150" s="551"/>
      <c r="ALV150" s="551"/>
      <c r="ALW150" s="551"/>
      <c r="ALX150" s="551"/>
      <c r="ALY150" s="551"/>
      <c r="ALZ150" s="551"/>
      <c r="AMA150" s="551"/>
      <c r="AMB150" s="551"/>
      <c r="AMC150" s="551"/>
      <c r="AMD150" s="551"/>
      <c r="AME150" s="551"/>
      <c r="AMF150" s="551"/>
      <c r="AMG150" s="551"/>
      <c r="AMH150" s="551"/>
      <c r="AMI150" s="551"/>
      <c r="AMJ150" s="551"/>
      <c r="AMK150" s="551"/>
      <c r="AML150" s="551"/>
      <c r="AMM150" s="551"/>
      <c r="AMN150" s="551"/>
    </row>
    <row r="151" spans="2:1028" s="243" customFormat="1" ht="30" customHeight="1">
      <c r="B151" s="1832"/>
      <c r="C151" s="1833"/>
      <c r="D151" s="1833"/>
      <c r="E151" s="1833"/>
      <c r="F151" s="1833"/>
      <c r="G151" s="1833"/>
      <c r="H151" s="1833"/>
      <c r="I151" s="1833"/>
      <c r="J151" s="1833"/>
      <c r="K151" s="1833"/>
      <c r="L151" s="1833"/>
      <c r="M151" s="1834"/>
      <c r="N151" s="285"/>
      <c r="O151" s="1409" t="s">
        <v>99</v>
      </c>
      <c r="P151" s="1410"/>
      <c r="Q151" s="1410"/>
      <c r="R151" s="1410"/>
      <c r="S151" s="1411"/>
      <c r="T151" s="341"/>
      <c r="U151" s="341"/>
      <c r="V151" s="341"/>
      <c r="W151" s="2241" t="s">
        <v>281</v>
      </c>
      <c r="X151" s="2242"/>
      <c r="Y151" s="2242"/>
      <c r="Z151" s="2242"/>
      <c r="AA151" s="2243"/>
      <c r="AB151" s="1101"/>
      <c r="AC151" s="2244" t="s">
        <v>2753</v>
      </c>
      <c r="AD151" s="2243"/>
      <c r="AE151" s="1401"/>
      <c r="AF151" s="1401"/>
      <c r="AG151" s="1401"/>
      <c r="AH151" s="1401"/>
      <c r="AI151" s="1401"/>
      <c r="AJ151" s="1401"/>
      <c r="AK151" s="1401"/>
      <c r="AL151" s="1401"/>
      <c r="AM151" s="1401"/>
      <c r="AN151" s="1401"/>
      <c r="AO151" s="1401"/>
      <c r="AP151" s="245"/>
      <c r="AQ151" s="245"/>
      <c r="AR151" s="245"/>
      <c r="AS151" s="245"/>
      <c r="AT151" s="245"/>
      <c r="AU151" s="245"/>
      <c r="AV151" s="245"/>
      <c r="AW151" s="245"/>
      <c r="AX151" s="245"/>
      <c r="AY151" s="245"/>
    </row>
    <row r="152" spans="2:1028" s="243" customFormat="1" ht="30" customHeight="1">
      <c r="B152" s="1832"/>
      <c r="C152" s="1833"/>
      <c r="D152" s="1833"/>
      <c r="E152" s="1833"/>
      <c r="F152" s="1833"/>
      <c r="G152" s="1833"/>
      <c r="H152" s="1833"/>
      <c r="I152" s="1833"/>
      <c r="J152" s="1833"/>
      <c r="K152" s="1833"/>
      <c r="L152" s="1833"/>
      <c r="M152" s="1834"/>
      <c r="N152" s="285"/>
      <c r="O152" s="1409" t="s">
        <v>198</v>
      </c>
      <c r="P152" s="1410"/>
      <c r="Q152" s="1410"/>
      <c r="R152" s="1410"/>
      <c r="S152" s="1411"/>
      <c r="T152" s="341"/>
      <c r="U152" s="341"/>
      <c r="V152" s="341"/>
      <c r="W152" s="2241" t="s">
        <v>3291</v>
      </c>
      <c r="X152" s="2242"/>
      <c r="Y152" s="2242"/>
      <c r="Z152" s="2242"/>
      <c r="AA152" s="2243"/>
      <c r="AB152" s="1101"/>
      <c r="AC152" s="2241" t="s">
        <v>3594</v>
      </c>
      <c r="AD152" s="2243"/>
      <c r="AE152" s="1401"/>
      <c r="AF152" s="1401"/>
      <c r="AG152" s="1401"/>
      <c r="AH152" s="1401"/>
      <c r="AI152" s="1401"/>
      <c r="AJ152" s="1401"/>
      <c r="AK152" s="1401"/>
      <c r="AL152" s="1401"/>
      <c r="AM152" s="1401"/>
      <c r="AN152" s="1401"/>
      <c r="AO152" s="1401"/>
      <c r="AP152" s="245"/>
      <c r="AQ152" s="245"/>
      <c r="AR152" s="245"/>
      <c r="AS152" s="245"/>
      <c r="AT152" s="245"/>
      <c r="AU152" s="245"/>
      <c r="AV152" s="245"/>
      <c r="AW152" s="245"/>
      <c r="AX152" s="245"/>
      <c r="AY152" s="245"/>
    </row>
    <row r="153" spans="2:1028" s="243" customFormat="1" ht="30" customHeight="1">
      <c r="B153" s="1832"/>
      <c r="C153" s="1833"/>
      <c r="D153" s="1833"/>
      <c r="E153" s="1833"/>
      <c r="F153" s="1833"/>
      <c r="G153" s="1833"/>
      <c r="H153" s="1833"/>
      <c r="I153" s="1833"/>
      <c r="J153" s="1833"/>
      <c r="K153" s="1833"/>
      <c r="L153" s="1833"/>
      <c r="M153" s="1834"/>
      <c r="N153" s="285"/>
      <c r="O153" s="1409" t="s">
        <v>173</v>
      </c>
      <c r="P153" s="1410"/>
      <c r="Q153" s="1410"/>
      <c r="R153" s="1410"/>
      <c r="S153" s="1411"/>
      <c r="T153" s="341"/>
      <c r="U153" s="341"/>
      <c r="V153" s="341"/>
      <c r="W153" s="2241" t="s">
        <v>2405</v>
      </c>
      <c r="X153" s="2242"/>
      <c r="Y153" s="2242"/>
      <c r="Z153" s="2242"/>
      <c r="AA153" s="2243"/>
      <c r="AB153" s="1101"/>
      <c r="AC153" s="2244" t="s">
        <v>2754</v>
      </c>
      <c r="AD153" s="2243"/>
      <c r="AE153" s="1401"/>
      <c r="AF153" s="1401"/>
      <c r="AG153" s="1401"/>
      <c r="AH153" s="1401"/>
      <c r="AI153" s="1401"/>
      <c r="AJ153" s="1401"/>
      <c r="AK153" s="1401"/>
      <c r="AL153" s="1401"/>
      <c r="AM153" s="1401"/>
      <c r="AN153" s="1401"/>
      <c r="AO153" s="1401"/>
      <c r="AP153" s="245"/>
      <c r="AQ153" s="245"/>
      <c r="AR153" s="245"/>
      <c r="AS153" s="245"/>
      <c r="AT153" s="245"/>
      <c r="AU153" s="245"/>
      <c r="AV153" s="245"/>
      <c r="AW153" s="245"/>
      <c r="AX153" s="245"/>
      <c r="AY153" s="245"/>
    </row>
    <row r="154" spans="2:1028" s="243" customFormat="1" ht="30" customHeight="1">
      <c r="B154" s="1835"/>
      <c r="C154" s="1836"/>
      <c r="D154" s="1836"/>
      <c r="E154" s="1836"/>
      <c r="F154" s="1836"/>
      <c r="G154" s="1836"/>
      <c r="H154" s="1836"/>
      <c r="I154" s="1836"/>
      <c r="J154" s="1836"/>
      <c r="K154" s="1836"/>
      <c r="L154" s="1836"/>
      <c r="M154" s="1837"/>
      <c r="N154" s="285"/>
      <c r="O154" s="1409" t="s">
        <v>195</v>
      </c>
      <c r="P154" s="1410"/>
      <c r="Q154" s="1410"/>
      <c r="R154" s="1410"/>
      <c r="S154" s="1411"/>
      <c r="T154" s="341"/>
      <c r="U154" s="341"/>
      <c r="V154" s="341"/>
      <c r="W154" s="2241" t="s">
        <v>1311</v>
      </c>
      <c r="X154" s="2242"/>
      <c r="Y154" s="2242"/>
      <c r="Z154" s="2242"/>
      <c r="AA154" s="2243"/>
      <c r="AB154" s="1101"/>
      <c r="AC154" s="2244" t="s">
        <v>1312</v>
      </c>
      <c r="AD154" s="2243"/>
      <c r="AE154" s="1401"/>
      <c r="AF154" s="1401"/>
      <c r="AG154" s="1401"/>
      <c r="AH154" s="1401"/>
      <c r="AI154" s="1401"/>
      <c r="AJ154" s="1401"/>
      <c r="AK154" s="1401"/>
      <c r="AL154" s="1401"/>
      <c r="AM154" s="1401"/>
      <c r="AN154" s="1401"/>
      <c r="AO154" s="1401"/>
      <c r="AP154" s="245"/>
      <c r="AQ154" s="245"/>
      <c r="AR154" s="245"/>
      <c r="AS154" s="245"/>
      <c r="AT154" s="245"/>
      <c r="AU154" s="245"/>
      <c r="AV154" s="245"/>
      <c r="AW154" s="245"/>
      <c r="AX154" s="245"/>
      <c r="AY154" s="245"/>
    </row>
    <row r="155" spans="2:1028" s="243" customFormat="1" ht="30" customHeight="1">
      <c r="B155" s="300"/>
      <c r="C155" s="300"/>
      <c r="D155" s="300"/>
      <c r="E155" s="300"/>
      <c r="F155" s="300"/>
      <c r="G155" s="300"/>
      <c r="H155" s="300"/>
      <c r="I155" s="300"/>
      <c r="J155" s="300"/>
      <c r="K155" s="300"/>
      <c r="L155" s="300"/>
      <c r="M155" s="300"/>
      <c r="N155" s="285"/>
      <c r="O155" s="1403"/>
      <c r="P155" s="1403"/>
      <c r="Q155" s="1403"/>
      <c r="R155" s="1403"/>
      <c r="S155" s="1403"/>
      <c r="T155" s="288"/>
      <c r="U155" s="288"/>
      <c r="V155" s="288"/>
      <c r="W155" s="1403"/>
      <c r="X155" s="1403"/>
      <c r="Y155" s="1403"/>
      <c r="Z155" s="1403"/>
      <c r="AA155" s="1403"/>
      <c r="AB155" s="1064"/>
      <c r="AC155" s="611"/>
      <c r="AD155" s="611"/>
      <c r="AE155" s="285"/>
      <c r="AF155" s="285"/>
      <c r="AG155" s="285"/>
      <c r="AH155" s="285"/>
      <c r="AI155" s="285"/>
      <c r="AJ155" s="285"/>
      <c r="AK155" s="285"/>
      <c r="AL155" s="285"/>
      <c r="AM155" s="285"/>
      <c r="AN155" s="285"/>
      <c r="AO155" s="245"/>
      <c r="AP155" s="245"/>
      <c r="AQ155" s="245"/>
      <c r="AR155" s="245"/>
      <c r="AS155" s="245"/>
      <c r="AT155" s="245"/>
      <c r="AU155" s="245"/>
      <c r="AV155" s="245"/>
      <c r="AW155" s="245"/>
      <c r="AX155" s="245"/>
      <c r="AY155" s="245"/>
    </row>
    <row r="156" spans="2:1028">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row>
    <row r="157" spans="2:1028">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row>
  </sheetData>
  <sheetProtection formatCells="0" formatColumns="0" formatRows="0" insertRows="0" deleteColumns="0" sort="0" autoFilter="0"/>
  <mergeCells count="706">
    <mergeCell ref="AB7:AB8"/>
    <mergeCell ref="AB9:AB11"/>
    <mergeCell ref="AB12:AB16"/>
    <mergeCell ref="AB17:AB19"/>
    <mergeCell ref="R6:W6"/>
    <mergeCell ref="Y6:AN6"/>
    <mergeCell ref="AX1:AY4"/>
    <mergeCell ref="H2:W2"/>
    <mergeCell ref="AQ2:AR2"/>
    <mergeCell ref="AS2:AT2"/>
    <mergeCell ref="AE1:AO2"/>
    <mergeCell ref="AQ1:AT1"/>
    <mergeCell ref="AE3:AO4"/>
    <mergeCell ref="AQ3:AR3"/>
    <mergeCell ref="AS3:AT3"/>
    <mergeCell ref="AQ4:AR4"/>
    <mergeCell ref="AS4:AT4"/>
    <mergeCell ref="AC9:AC11"/>
    <mergeCell ref="AE9:AE11"/>
    <mergeCell ref="AF9:AF11"/>
    <mergeCell ref="K9:M11"/>
    <mergeCell ref="N9:N11"/>
    <mergeCell ref="O9:O11"/>
    <mergeCell ref="AU6:AY6"/>
    <mergeCell ref="B3:B4"/>
    <mergeCell ref="H3:I3"/>
    <mergeCell ref="J3:O3"/>
    <mergeCell ref="P3:W3"/>
    <mergeCell ref="AA3:AC4"/>
    <mergeCell ref="AD3:AD4"/>
    <mergeCell ref="H1:W1"/>
    <mergeCell ref="Y1:Z4"/>
    <mergeCell ref="AA1:AC2"/>
    <mergeCell ref="AD1:AD2"/>
    <mergeCell ref="H4:I4"/>
    <mergeCell ref="J4:O4"/>
    <mergeCell ref="P4:W4"/>
    <mergeCell ref="AV7:AV8"/>
    <mergeCell ref="AW7:AW8"/>
    <mergeCell ref="AX7:AX8"/>
    <mergeCell ref="AY7:AY8"/>
    <mergeCell ref="AS7:AS8"/>
    <mergeCell ref="AT7:AT8"/>
    <mergeCell ref="AU7:AU8"/>
    <mergeCell ref="B6:Q6"/>
    <mergeCell ref="AP7:AP8"/>
    <mergeCell ref="AQ7:AQ8"/>
    <mergeCell ref="AR7:AR8"/>
    <mergeCell ref="AC7:AC8"/>
    <mergeCell ref="AD7:AD8"/>
    <mergeCell ref="AE7:AE8"/>
    <mergeCell ref="AF7:AF8"/>
    <mergeCell ref="B7:B8"/>
    <mergeCell ref="C7:C8"/>
    <mergeCell ref="D7:F8"/>
    <mergeCell ref="G7:G8"/>
    <mergeCell ref="H7:J8"/>
    <mergeCell ref="K7:M8"/>
    <mergeCell ref="N7:Q7"/>
    <mergeCell ref="R7:W7"/>
    <mergeCell ref="Y7:AA8"/>
    <mergeCell ref="AJ7:AN7"/>
    <mergeCell ref="AO7:AO8"/>
    <mergeCell ref="A12:A16"/>
    <mergeCell ref="B12:B16"/>
    <mergeCell ref="C12:C16"/>
    <mergeCell ref="D12:F16"/>
    <mergeCell ref="G12:G16"/>
    <mergeCell ref="H12:J12"/>
    <mergeCell ref="A9:A11"/>
    <mergeCell ref="B9:B11"/>
    <mergeCell ref="C9:C11"/>
    <mergeCell ref="D9:F11"/>
    <mergeCell ref="G9:G11"/>
    <mergeCell ref="H9:J9"/>
    <mergeCell ref="Y12:AA12"/>
    <mergeCell ref="AC12:AC16"/>
    <mergeCell ref="AE12:AE16"/>
    <mergeCell ref="AF12:AF16"/>
    <mergeCell ref="K12:M16"/>
    <mergeCell ref="N12:N16"/>
    <mergeCell ref="O12:O16"/>
    <mergeCell ref="P12:P16"/>
    <mergeCell ref="Q12:Q16"/>
    <mergeCell ref="R12:R16"/>
    <mergeCell ref="AX9:AX11"/>
    <mergeCell ref="AY9:AY11"/>
    <mergeCell ref="H10:J10"/>
    <mergeCell ref="Y10:AA10"/>
    <mergeCell ref="H11:J11"/>
    <mergeCell ref="Y11:AA11"/>
    <mergeCell ref="AR9:AR11"/>
    <mergeCell ref="AS9:AS11"/>
    <mergeCell ref="AT9:AT11"/>
    <mergeCell ref="AU9:AU11"/>
    <mergeCell ref="AV9:AV11"/>
    <mergeCell ref="AW9:AW11"/>
    <mergeCell ref="AJ9:AJ11"/>
    <mergeCell ref="AL9:AL11"/>
    <mergeCell ref="AN9:AN11"/>
    <mergeCell ref="AO9:AO11"/>
    <mergeCell ref="AP9:AP11"/>
    <mergeCell ref="AQ9:AQ11"/>
    <mergeCell ref="P9:P11"/>
    <mergeCell ref="Q9:Q11"/>
    <mergeCell ref="R9:R11"/>
    <mergeCell ref="S9:S11"/>
    <mergeCell ref="W9:W11"/>
    <mergeCell ref="Y9:AA9"/>
    <mergeCell ref="AX12:AX16"/>
    <mergeCell ref="AY12:AY16"/>
    <mergeCell ref="H13:J13"/>
    <mergeCell ref="Y13:AA13"/>
    <mergeCell ref="H14:J14"/>
    <mergeCell ref="Y14:AA14"/>
    <mergeCell ref="H15:J15"/>
    <mergeCell ref="Y15:AA15"/>
    <mergeCell ref="H16:J16"/>
    <mergeCell ref="Y16:AA16"/>
    <mergeCell ref="AR12:AR16"/>
    <mergeCell ref="AS12:AS16"/>
    <mergeCell ref="AT12:AT16"/>
    <mergeCell ref="AU12:AU16"/>
    <mergeCell ref="AV12:AV16"/>
    <mergeCell ref="AW12:AW16"/>
    <mergeCell ref="AJ12:AJ16"/>
    <mergeCell ref="AL12:AL16"/>
    <mergeCell ref="AN12:AN16"/>
    <mergeCell ref="AO12:AO16"/>
    <mergeCell ref="AP12:AP16"/>
    <mergeCell ref="AQ12:AQ16"/>
    <mergeCell ref="S12:S16"/>
    <mergeCell ref="W12:W16"/>
    <mergeCell ref="AE17:AE19"/>
    <mergeCell ref="K17:M19"/>
    <mergeCell ref="N17:N19"/>
    <mergeCell ref="O17:O19"/>
    <mergeCell ref="P17:P19"/>
    <mergeCell ref="Q17:Q19"/>
    <mergeCell ref="R17:R19"/>
    <mergeCell ref="A17:A19"/>
    <mergeCell ref="B17:B19"/>
    <mergeCell ref="C17:C19"/>
    <mergeCell ref="D17:F19"/>
    <mergeCell ref="G17:G19"/>
    <mergeCell ref="H17:J17"/>
    <mergeCell ref="AW17:AW19"/>
    <mergeCell ref="AX17:AX19"/>
    <mergeCell ref="AY17:AY19"/>
    <mergeCell ref="H18:J18"/>
    <mergeCell ref="Y18:AA18"/>
    <mergeCell ref="H19:J19"/>
    <mergeCell ref="Y19:AA19"/>
    <mergeCell ref="AQ17:AQ19"/>
    <mergeCell ref="AR17:AR19"/>
    <mergeCell ref="AS17:AS19"/>
    <mergeCell ref="AT17:AT19"/>
    <mergeCell ref="AU17:AU19"/>
    <mergeCell ref="AV17:AV19"/>
    <mergeCell ref="AF17:AF19"/>
    <mergeCell ref="AJ17:AJ19"/>
    <mergeCell ref="AL17:AL19"/>
    <mergeCell ref="AN17:AN19"/>
    <mergeCell ref="AO17:AO19"/>
    <mergeCell ref="AP17:AP19"/>
    <mergeCell ref="S17:S19"/>
    <mergeCell ref="W17:W19"/>
    <mergeCell ref="Y17:AA17"/>
    <mergeCell ref="AC17:AC19"/>
    <mergeCell ref="AD17:AD19"/>
    <mergeCell ref="D22:F22"/>
    <mergeCell ref="H22:J22"/>
    <mergeCell ref="K22:M22"/>
    <mergeCell ref="Y22:AA22"/>
    <mergeCell ref="D23:F23"/>
    <mergeCell ref="H23:J23"/>
    <mergeCell ref="K23:M23"/>
    <mergeCell ref="Y23:AA23"/>
    <mergeCell ref="D20:F20"/>
    <mergeCell ref="H20:J20"/>
    <mergeCell ref="K20:M20"/>
    <mergeCell ref="Y20:AA20"/>
    <mergeCell ref="D21:F21"/>
    <mergeCell ref="H21:J21"/>
    <mergeCell ref="K21:M21"/>
    <mergeCell ref="Y21:AA21"/>
    <mergeCell ref="D26:F26"/>
    <mergeCell ref="H26:J26"/>
    <mergeCell ref="K26:M26"/>
    <mergeCell ref="Y26:AA26"/>
    <mergeCell ref="D27:F27"/>
    <mergeCell ref="H27:J27"/>
    <mergeCell ref="K27:M27"/>
    <mergeCell ref="Y27:AA27"/>
    <mergeCell ref="D24:F24"/>
    <mergeCell ref="H24:J24"/>
    <mergeCell ref="K24:M24"/>
    <mergeCell ref="Y24:AA24"/>
    <mergeCell ref="D25:F25"/>
    <mergeCell ref="H25:J25"/>
    <mergeCell ref="K25:M25"/>
    <mergeCell ref="Y25:AA25"/>
    <mergeCell ref="D30:F30"/>
    <mergeCell ref="H30:J30"/>
    <mergeCell ref="K30:M30"/>
    <mergeCell ref="Y30:AA30"/>
    <mergeCell ref="D31:F31"/>
    <mergeCell ref="H31:J31"/>
    <mergeCell ref="K31:M31"/>
    <mergeCell ref="Y31:AA31"/>
    <mergeCell ref="D28:F28"/>
    <mergeCell ref="H28:J28"/>
    <mergeCell ref="K28:M28"/>
    <mergeCell ref="Y28:AA28"/>
    <mergeCell ref="D29:F29"/>
    <mergeCell ref="H29:J29"/>
    <mergeCell ref="K29:M29"/>
    <mergeCell ref="Y29:AA29"/>
    <mergeCell ref="D34:F34"/>
    <mergeCell ref="H34:J34"/>
    <mergeCell ref="K34:M34"/>
    <mergeCell ref="Y34:AA34"/>
    <mergeCell ref="D35:F35"/>
    <mergeCell ref="H35:J35"/>
    <mergeCell ref="K35:M35"/>
    <mergeCell ref="Y35:AA35"/>
    <mergeCell ref="D32:F32"/>
    <mergeCell ref="H32:J32"/>
    <mergeCell ref="K32:M32"/>
    <mergeCell ref="Y32:AA32"/>
    <mergeCell ref="D33:F33"/>
    <mergeCell ref="H33:J33"/>
    <mergeCell ref="K33:M33"/>
    <mergeCell ref="Y33:AA33"/>
    <mergeCell ref="D38:F38"/>
    <mergeCell ref="H38:J38"/>
    <mergeCell ref="K38:M38"/>
    <mergeCell ref="Y38:AA38"/>
    <mergeCell ref="D39:F39"/>
    <mergeCell ref="H39:J39"/>
    <mergeCell ref="K39:M39"/>
    <mergeCell ref="Y39:AA39"/>
    <mergeCell ref="D36:F36"/>
    <mergeCell ref="H36:J36"/>
    <mergeCell ref="K36:M36"/>
    <mergeCell ref="Y36:AA36"/>
    <mergeCell ref="D37:F37"/>
    <mergeCell ref="H37:J37"/>
    <mergeCell ref="K37:M37"/>
    <mergeCell ref="Y37:AA37"/>
    <mergeCell ref="D42:F42"/>
    <mergeCell ref="H42:J42"/>
    <mergeCell ref="K42:M42"/>
    <mergeCell ref="Y42:AA42"/>
    <mergeCell ref="D43:F43"/>
    <mergeCell ref="H43:J43"/>
    <mergeCell ref="K43:M43"/>
    <mergeCell ref="Y43:AA43"/>
    <mergeCell ref="D40:F40"/>
    <mergeCell ref="H40:J40"/>
    <mergeCell ref="K40:M40"/>
    <mergeCell ref="Y40:AA40"/>
    <mergeCell ref="D41:F41"/>
    <mergeCell ref="H41:J41"/>
    <mergeCell ref="K41:M41"/>
    <mergeCell ref="Y41:AA41"/>
    <mergeCell ref="D46:F46"/>
    <mergeCell ref="H46:J46"/>
    <mergeCell ref="K46:M46"/>
    <mergeCell ref="Y46:AA46"/>
    <mergeCell ref="D47:F47"/>
    <mergeCell ref="H47:J47"/>
    <mergeCell ref="K47:M47"/>
    <mergeCell ref="Y47:AA47"/>
    <mergeCell ref="D44:F44"/>
    <mergeCell ref="H44:J44"/>
    <mergeCell ref="K44:M44"/>
    <mergeCell ref="Y44:AA44"/>
    <mergeCell ref="D45:F45"/>
    <mergeCell ref="H45:J45"/>
    <mergeCell ref="K45:M45"/>
    <mergeCell ref="Y45:AA45"/>
    <mergeCell ref="D50:F50"/>
    <mergeCell ref="H50:J50"/>
    <mergeCell ref="K50:M50"/>
    <mergeCell ref="Y50:AA50"/>
    <mergeCell ref="D51:F51"/>
    <mergeCell ref="H51:J51"/>
    <mergeCell ref="K51:M51"/>
    <mergeCell ref="Y51:AA51"/>
    <mergeCell ref="D48:F48"/>
    <mergeCell ref="H48:J48"/>
    <mergeCell ref="K48:M48"/>
    <mergeCell ref="Y48:AA48"/>
    <mergeCell ref="D49:F49"/>
    <mergeCell ref="H49:J49"/>
    <mergeCell ref="K49:M49"/>
    <mergeCell ref="Y49:AA49"/>
    <mergeCell ref="D54:F54"/>
    <mergeCell ref="H54:J54"/>
    <mergeCell ref="K54:M54"/>
    <mergeCell ref="Y54:AA54"/>
    <mergeCell ref="D55:F55"/>
    <mergeCell ref="H55:J55"/>
    <mergeCell ref="K55:M55"/>
    <mergeCell ref="Y55:AA55"/>
    <mergeCell ref="D52:F52"/>
    <mergeCell ref="H52:J52"/>
    <mergeCell ref="K52:M52"/>
    <mergeCell ref="Y52:AA52"/>
    <mergeCell ref="D53:F53"/>
    <mergeCell ref="H53:J53"/>
    <mergeCell ref="K53:M53"/>
    <mergeCell ref="Y53:AA53"/>
    <mergeCell ref="D58:F58"/>
    <mergeCell ref="H58:J58"/>
    <mergeCell ref="K58:M58"/>
    <mergeCell ref="Y58:AA58"/>
    <mergeCell ref="D59:F59"/>
    <mergeCell ref="H59:J59"/>
    <mergeCell ref="K59:M59"/>
    <mergeCell ref="Y59:AA59"/>
    <mergeCell ref="D56:F56"/>
    <mergeCell ref="H56:J56"/>
    <mergeCell ref="K56:M56"/>
    <mergeCell ref="Y56:AA56"/>
    <mergeCell ref="D57:F57"/>
    <mergeCell ref="H57:J57"/>
    <mergeCell ref="K57:M57"/>
    <mergeCell ref="Y57:AA57"/>
    <mergeCell ref="D62:F62"/>
    <mergeCell ref="H62:J62"/>
    <mergeCell ref="K62:M62"/>
    <mergeCell ref="Y62:AA62"/>
    <mergeCell ref="D63:F63"/>
    <mergeCell ref="H63:J63"/>
    <mergeCell ref="K63:M63"/>
    <mergeCell ref="Y63:AA63"/>
    <mergeCell ref="D60:F60"/>
    <mergeCell ref="H60:J60"/>
    <mergeCell ref="K60:M60"/>
    <mergeCell ref="Y60:AA60"/>
    <mergeCell ref="D61:F61"/>
    <mergeCell ref="H61:J61"/>
    <mergeCell ref="K61:M61"/>
    <mergeCell ref="Y61:AA61"/>
    <mergeCell ref="D66:F66"/>
    <mergeCell ref="H66:J66"/>
    <mergeCell ref="K66:M66"/>
    <mergeCell ref="Y66:AA66"/>
    <mergeCell ref="D67:F67"/>
    <mergeCell ref="H67:J67"/>
    <mergeCell ref="K67:M67"/>
    <mergeCell ref="Y67:AA67"/>
    <mergeCell ref="D64:F64"/>
    <mergeCell ref="H64:J64"/>
    <mergeCell ref="K64:M64"/>
    <mergeCell ref="Y64:AA64"/>
    <mergeCell ref="D65:F65"/>
    <mergeCell ref="H65:J65"/>
    <mergeCell ref="K65:M65"/>
    <mergeCell ref="Y65:AA65"/>
    <mergeCell ref="D70:F70"/>
    <mergeCell ref="H70:J70"/>
    <mergeCell ref="K70:M70"/>
    <mergeCell ref="Y70:AA70"/>
    <mergeCell ref="D71:F71"/>
    <mergeCell ref="H71:J71"/>
    <mergeCell ref="K71:M71"/>
    <mergeCell ref="Y71:AA71"/>
    <mergeCell ref="D68:F68"/>
    <mergeCell ref="H68:J68"/>
    <mergeCell ref="K68:M68"/>
    <mergeCell ref="Y68:AA68"/>
    <mergeCell ref="D69:F69"/>
    <mergeCell ref="H69:J69"/>
    <mergeCell ref="K69:M69"/>
    <mergeCell ref="Y69:AA69"/>
    <mergeCell ref="D74:F74"/>
    <mergeCell ref="H74:J74"/>
    <mergeCell ref="K74:M74"/>
    <mergeCell ref="Y74:AA74"/>
    <mergeCell ref="D75:F75"/>
    <mergeCell ref="H75:J75"/>
    <mergeCell ref="K75:M75"/>
    <mergeCell ref="Y75:AA75"/>
    <mergeCell ref="D72:F72"/>
    <mergeCell ref="H72:J72"/>
    <mergeCell ref="K72:M72"/>
    <mergeCell ref="Y72:AA72"/>
    <mergeCell ref="D73:F73"/>
    <mergeCell ref="H73:J73"/>
    <mergeCell ref="K73:M73"/>
    <mergeCell ref="Y73:AA73"/>
    <mergeCell ref="D78:F78"/>
    <mergeCell ref="H78:J78"/>
    <mergeCell ref="K78:M78"/>
    <mergeCell ref="Y78:AA78"/>
    <mergeCell ref="D79:F79"/>
    <mergeCell ref="H79:J79"/>
    <mergeCell ref="K79:M79"/>
    <mergeCell ref="Y79:AA79"/>
    <mergeCell ref="D76:F76"/>
    <mergeCell ref="H76:J76"/>
    <mergeCell ref="K76:M76"/>
    <mergeCell ref="Y76:AA76"/>
    <mergeCell ref="D77:F77"/>
    <mergeCell ref="H77:J77"/>
    <mergeCell ref="K77:M77"/>
    <mergeCell ref="Y77:AA77"/>
    <mergeCell ref="D82:F82"/>
    <mergeCell ref="H82:J82"/>
    <mergeCell ref="K82:M82"/>
    <mergeCell ref="Y82:AA82"/>
    <mergeCell ref="D83:F83"/>
    <mergeCell ref="H83:J83"/>
    <mergeCell ref="K83:M83"/>
    <mergeCell ref="Y83:AA83"/>
    <mergeCell ref="D80:F80"/>
    <mergeCell ref="H80:J80"/>
    <mergeCell ref="K80:M80"/>
    <mergeCell ref="Y80:AA80"/>
    <mergeCell ref="D81:F81"/>
    <mergeCell ref="H81:J81"/>
    <mergeCell ref="K81:M81"/>
    <mergeCell ref="Y81:AA81"/>
    <mergeCell ref="D86:F86"/>
    <mergeCell ref="H86:J86"/>
    <mergeCell ref="K86:M86"/>
    <mergeCell ref="Y86:AA86"/>
    <mergeCell ref="D87:F87"/>
    <mergeCell ref="H87:J87"/>
    <mergeCell ref="K87:M87"/>
    <mergeCell ref="Y87:AA87"/>
    <mergeCell ref="D84:F84"/>
    <mergeCell ref="H84:J84"/>
    <mergeCell ref="K84:M84"/>
    <mergeCell ref="Y84:AA84"/>
    <mergeCell ref="D85:F85"/>
    <mergeCell ref="H85:J85"/>
    <mergeCell ref="K85:M85"/>
    <mergeCell ref="Y85:AA85"/>
    <mergeCell ref="D90:F90"/>
    <mergeCell ref="H90:J90"/>
    <mergeCell ref="K90:M90"/>
    <mergeCell ref="Y90:AA90"/>
    <mergeCell ref="D91:F91"/>
    <mergeCell ref="H91:J91"/>
    <mergeCell ref="K91:M91"/>
    <mergeCell ref="Y91:AA91"/>
    <mergeCell ref="D88:F88"/>
    <mergeCell ref="H88:J88"/>
    <mergeCell ref="K88:M88"/>
    <mergeCell ref="Y88:AA88"/>
    <mergeCell ref="D89:F89"/>
    <mergeCell ref="H89:J89"/>
    <mergeCell ref="K89:M89"/>
    <mergeCell ref="Y89:AA89"/>
    <mergeCell ref="D94:F94"/>
    <mergeCell ref="H94:J94"/>
    <mergeCell ref="K94:M94"/>
    <mergeCell ref="Y94:AA94"/>
    <mergeCell ref="D95:F95"/>
    <mergeCell ref="H95:J95"/>
    <mergeCell ref="K95:M95"/>
    <mergeCell ref="Y95:AA95"/>
    <mergeCell ref="D92:F92"/>
    <mergeCell ref="H92:J92"/>
    <mergeCell ref="K92:M92"/>
    <mergeCell ref="Y92:AA92"/>
    <mergeCell ref="D93:F93"/>
    <mergeCell ref="H93:J93"/>
    <mergeCell ref="K93:M93"/>
    <mergeCell ref="Y93:AA93"/>
    <mergeCell ref="D98:F98"/>
    <mergeCell ref="H98:J98"/>
    <mergeCell ref="K98:M98"/>
    <mergeCell ref="Y98:AA98"/>
    <mergeCell ref="D99:F99"/>
    <mergeCell ref="H99:J99"/>
    <mergeCell ref="K99:M99"/>
    <mergeCell ref="Y99:AA99"/>
    <mergeCell ref="D96:F96"/>
    <mergeCell ref="H96:J96"/>
    <mergeCell ref="K96:M96"/>
    <mergeCell ref="Y96:AA96"/>
    <mergeCell ref="D97:F97"/>
    <mergeCell ref="H97:J97"/>
    <mergeCell ref="K97:M97"/>
    <mergeCell ref="Y97:AA97"/>
    <mergeCell ref="D102:F102"/>
    <mergeCell ref="H102:J102"/>
    <mergeCell ref="K102:M102"/>
    <mergeCell ref="Y102:AA102"/>
    <mergeCell ref="D103:F103"/>
    <mergeCell ref="H103:J103"/>
    <mergeCell ref="K103:M103"/>
    <mergeCell ref="Y103:AA103"/>
    <mergeCell ref="D100:F100"/>
    <mergeCell ref="H100:J100"/>
    <mergeCell ref="K100:M100"/>
    <mergeCell ref="Y100:AA100"/>
    <mergeCell ref="D101:F101"/>
    <mergeCell ref="H101:J101"/>
    <mergeCell ref="K101:M101"/>
    <mergeCell ref="Y101:AA101"/>
    <mergeCell ref="D106:F106"/>
    <mergeCell ref="H106:J106"/>
    <mergeCell ref="K106:M106"/>
    <mergeCell ref="Y106:AA106"/>
    <mergeCell ref="D107:F107"/>
    <mergeCell ref="H107:J107"/>
    <mergeCell ref="K107:M107"/>
    <mergeCell ref="Y107:AA107"/>
    <mergeCell ref="D104:F104"/>
    <mergeCell ref="H104:J104"/>
    <mergeCell ref="K104:M104"/>
    <mergeCell ref="Y104:AA104"/>
    <mergeCell ref="D105:F105"/>
    <mergeCell ref="H105:J105"/>
    <mergeCell ref="K105:M105"/>
    <mergeCell ref="Y105:AA105"/>
    <mergeCell ref="D110:F110"/>
    <mergeCell ref="H110:J110"/>
    <mergeCell ref="K110:M110"/>
    <mergeCell ref="Y110:AA110"/>
    <mergeCell ref="D111:F111"/>
    <mergeCell ref="H111:J111"/>
    <mergeCell ref="K111:M111"/>
    <mergeCell ref="Y111:AA111"/>
    <mergeCell ref="D108:F108"/>
    <mergeCell ref="H108:J108"/>
    <mergeCell ref="K108:M108"/>
    <mergeCell ref="Y108:AA108"/>
    <mergeCell ref="D109:F109"/>
    <mergeCell ref="H109:J109"/>
    <mergeCell ref="K109:M109"/>
    <mergeCell ref="Y109:AA109"/>
    <mergeCell ref="D114:F114"/>
    <mergeCell ref="H114:J114"/>
    <mergeCell ref="K114:M114"/>
    <mergeCell ref="Y114:AA114"/>
    <mergeCell ref="D115:F115"/>
    <mergeCell ref="H115:J115"/>
    <mergeCell ref="K115:M115"/>
    <mergeCell ref="Y115:AA115"/>
    <mergeCell ref="D112:F112"/>
    <mergeCell ref="H112:J112"/>
    <mergeCell ref="K112:M112"/>
    <mergeCell ref="Y112:AA112"/>
    <mergeCell ref="D113:F113"/>
    <mergeCell ref="H113:J113"/>
    <mergeCell ref="K113:M113"/>
    <mergeCell ref="Y113:AA113"/>
    <mergeCell ref="D118:F118"/>
    <mergeCell ref="H118:J118"/>
    <mergeCell ref="K118:M118"/>
    <mergeCell ref="Y118:AA118"/>
    <mergeCell ref="D119:F119"/>
    <mergeCell ref="H119:J119"/>
    <mergeCell ref="K119:M119"/>
    <mergeCell ref="Y119:AA119"/>
    <mergeCell ref="D116:F116"/>
    <mergeCell ref="H116:J116"/>
    <mergeCell ref="K116:M116"/>
    <mergeCell ref="Y116:AA116"/>
    <mergeCell ref="D117:F117"/>
    <mergeCell ref="H117:J117"/>
    <mergeCell ref="K117:M117"/>
    <mergeCell ref="Y117:AA117"/>
    <mergeCell ref="D122:F122"/>
    <mergeCell ref="H122:J122"/>
    <mergeCell ref="K122:M122"/>
    <mergeCell ref="Y122:AA122"/>
    <mergeCell ref="D123:F123"/>
    <mergeCell ref="H123:J123"/>
    <mergeCell ref="K123:M123"/>
    <mergeCell ref="Y123:AA123"/>
    <mergeCell ref="D120:F120"/>
    <mergeCell ref="H120:J120"/>
    <mergeCell ref="K120:M120"/>
    <mergeCell ref="Y120:AA120"/>
    <mergeCell ref="D121:F121"/>
    <mergeCell ref="H121:J121"/>
    <mergeCell ref="K121:M121"/>
    <mergeCell ref="Y121:AA121"/>
    <mergeCell ref="D126:F126"/>
    <mergeCell ref="H126:J126"/>
    <mergeCell ref="K126:M126"/>
    <mergeCell ref="Y126:AA126"/>
    <mergeCell ref="D127:F127"/>
    <mergeCell ref="H127:J127"/>
    <mergeCell ref="K127:M127"/>
    <mergeCell ref="Y127:AA127"/>
    <mergeCell ref="D124:F124"/>
    <mergeCell ref="H124:J124"/>
    <mergeCell ref="K124:M124"/>
    <mergeCell ref="Y124:AA124"/>
    <mergeCell ref="D125:F125"/>
    <mergeCell ref="H125:J125"/>
    <mergeCell ref="K125:M125"/>
    <mergeCell ref="Y125:AA125"/>
    <mergeCell ref="D130:F130"/>
    <mergeCell ref="H130:J130"/>
    <mergeCell ref="K130:M130"/>
    <mergeCell ref="Y130:AA130"/>
    <mergeCell ref="D131:F131"/>
    <mergeCell ref="H131:J131"/>
    <mergeCell ref="K131:M131"/>
    <mergeCell ref="Y131:AA131"/>
    <mergeCell ref="D128:F128"/>
    <mergeCell ref="H128:J128"/>
    <mergeCell ref="K128:M128"/>
    <mergeCell ref="Y128:AA128"/>
    <mergeCell ref="D129:F129"/>
    <mergeCell ref="H129:J129"/>
    <mergeCell ref="K129:M129"/>
    <mergeCell ref="Y129:AA129"/>
    <mergeCell ref="D134:F134"/>
    <mergeCell ref="H134:J134"/>
    <mergeCell ref="K134:M134"/>
    <mergeCell ref="Y134:AA134"/>
    <mergeCell ref="D135:F135"/>
    <mergeCell ref="H135:J135"/>
    <mergeCell ref="K135:M135"/>
    <mergeCell ref="Y135:AA135"/>
    <mergeCell ref="D132:F132"/>
    <mergeCell ref="H132:J132"/>
    <mergeCell ref="K132:M132"/>
    <mergeCell ref="Y132:AA132"/>
    <mergeCell ref="D133:F133"/>
    <mergeCell ref="H133:J133"/>
    <mergeCell ref="K133:M133"/>
    <mergeCell ref="Y133:AA133"/>
    <mergeCell ref="D138:F138"/>
    <mergeCell ref="H138:J138"/>
    <mergeCell ref="K138:M138"/>
    <mergeCell ref="Y138:AA138"/>
    <mergeCell ref="D139:F139"/>
    <mergeCell ref="H139:J139"/>
    <mergeCell ref="K139:M139"/>
    <mergeCell ref="Y139:AA139"/>
    <mergeCell ref="D136:F136"/>
    <mergeCell ref="H136:J136"/>
    <mergeCell ref="K136:M136"/>
    <mergeCell ref="Y136:AA136"/>
    <mergeCell ref="D137:F137"/>
    <mergeCell ref="H137:J137"/>
    <mergeCell ref="K137:M137"/>
    <mergeCell ref="Y137:AA137"/>
    <mergeCell ref="D142:F142"/>
    <mergeCell ref="H142:J142"/>
    <mergeCell ref="K142:M142"/>
    <mergeCell ref="Y142:AA142"/>
    <mergeCell ref="D143:F143"/>
    <mergeCell ref="H143:J143"/>
    <mergeCell ref="K143:M143"/>
    <mergeCell ref="Y143:AA143"/>
    <mergeCell ref="D140:F140"/>
    <mergeCell ref="H140:J140"/>
    <mergeCell ref="K140:M140"/>
    <mergeCell ref="Y140:AA140"/>
    <mergeCell ref="D141:F141"/>
    <mergeCell ref="H141:J141"/>
    <mergeCell ref="K141:M141"/>
    <mergeCell ref="Y141:AA141"/>
    <mergeCell ref="D146:F146"/>
    <mergeCell ref="H146:J146"/>
    <mergeCell ref="K146:M146"/>
    <mergeCell ref="Y146:AA146"/>
    <mergeCell ref="D147:F147"/>
    <mergeCell ref="H147:J147"/>
    <mergeCell ref="K147:M147"/>
    <mergeCell ref="Y147:AA147"/>
    <mergeCell ref="D144:F144"/>
    <mergeCell ref="H144:J144"/>
    <mergeCell ref="K144:M144"/>
    <mergeCell ref="Y144:AA144"/>
    <mergeCell ref="D145:F145"/>
    <mergeCell ref="H145:J145"/>
    <mergeCell ref="K145:M145"/>
    <mergeCell ref="Y145:AA145"/>
    <mergeCell ref="B149:M150"/>
    <mergeCell ref="O150:S150"/>
    <mergeCell ref="W150:AA150"/>
    <mergeCell ref="AC150:AD150"/>
    <mergeCell ref="AE150:AO150"/>
    <mergeCell ref="B151:M154"/>
    <mergeCell ref="O151:S151"/>
    <mergeCell ref="W151:AA151"/>
    <mergeCell ref="AC151:AD151"/>
    <mergeCell ref="AE151:AO151"/>
    <mergeCell ref="O154:S154"/>
    <mergeCell ref="W154:AA154"/>
    <mergeCell ref="AC154:AD154"/>
    <mergeCell ref="AE154:AO154"/>
    <mergeCell ref="O155:S155"/>
    <mergeCell ref="W155:AA155"/>
    <mergeCell ref="O152:S152"/>
    <mergeCell ref="W152:AA152"/>
    <mergeCell ref="AC152:AD152"/>
    <mergeCell ref="AE152:AO152"/>
    <mergeCell ref="O153:S153"/>
    <mergeCell ref="W153:AA153"/>
    <mergeCell ref="AC153:AD153"/>
    <mergeCell ref="AE153:AO153"/>
  </mergeCells>
  <dataValidations count="7">
    <dataValidation type="list" sqref="AS4:AT4">
      <formula1>Monitoreo</formula1>
    </dataValidation>
    <dataValidation type="list" allowBlank="1" showInputMessage="1" showErrorMessage="1" sqref="R20:R147 R9 R12 R17:R18 WWA9:WWA147 WME9:WME147 JO9:JO147 TK9:TK147 ADG9:ADG147 ANC9:ANC147 AWY9:AWY147 BGU9:BGU147 BQQ9:BQQ147 CAM9:CAM147 CKI9:CKI147 CUE9:CUE147 DEA9:DEA147 DNW9:DNW147 DXS9:DXS147 EHO9:EHO147 ERK9:ERK147 FBG9:FBG147 FLC9:FLC147 FUY9:FUY147 GEU9:GEU147 GOQ9:GOQ147 GYM9:GYM147 HII9:HII147 HSE9:HSE147 ICA9:ICA147 ILW9:ILW147 IVS9:IVS147 JFO9:JFO147 JPK9:JPK147 JZG9:JZG147 KJC9:KJC147 KSY9:KSY147 LCU9:LCU147 LMQ9:LMQ147 LWM9:LWM147 MGI9:MGI147 MQE9:MQE147 NAA9:NAA147 NJW9:NJW147 NTS9:NTS147 ODO9:ODO147 ONK9:ONK147 OXG9:OXG147 PHC9:PHC147 PQY9:PQY147 QAU9:QAU147 QKQ9:QKQ147 QUM9:QUM147 REI9:REI147 ROE9:ROE147 RYA9:RYA147 SHW9:SHW147 SRS9:SRS147 TBO9:TBO147 TLK9:TLK147 TVG9:TVG147 UFC9:UFC147 UOY9:UOY147 UYU9:UYU147 VIQ9:VIQ147 VSM9:VSM147 WCI9:WCI147">
      <formula1>PROBAB</formula1>
    </dataValidation>
    <dataValidation type="list" allowBlank="1" showInputMessage="1" showErrorMessage="1" sqref="S20:S147 S9 S12 S17:S18 WWB9:WWB147 WMF9:WMF147 JP9:JP147 TL9:TL147 ADH9:ADH147 AND9:AND147 AWZ9:AWZ147 BGV9:BGV147 BQR9:BQR147 CAN9:CAN147 CKJ9:CKJ147 CUF9:CUF147 DEB9:DEB147 DNX9:DNX147 DXT9:DXT147 EHP9:EHP147 ERL9:ERL147 FBH9:FBH147 FLD9:FLD147 FUZ9:FUZ147 GEV9:GEV147 GOR9:GOR147 GYN9:GYN147 HIJ9:HIJ147 HSF9:HSF147 ICB9:ICB147 ILX9:ILX147 IVT9:IVT147 JFP9:JFP147 JPL9:JPL147 JZH9:JZH147 KJD9:KJD147 KSZ9:KSZ147 LCV9:LCV147 LMR9:LMR147 LWN9:LWN147 MGJ9:MGJ147 MQF9:MQF147 NAB9:NAB147 NJX9:NJX147 NTT9:NTT147 ODP9:ODP147 ONL9:ONL147 OXH9:OXH147 PHD9:PHD147 PQZ9:PQZ147 QAV9:QAV147 QKR9:QKR147 QUN9:QUN147 REJ9:REJ147 ROF9:ROF147 RYB9:RYB147 SHX9:SHX147 SRT9:SRT147 TBP9:TBP147 TLL9:TLL147 TVH9:TVH147 UFD9:UFD147 UOZ9:UOZ147 UYV9:UYV147 VIR9:VIR147 VSN9:VSN147 WCJ9:WCJ147">
      <formula1>IMPACTO</formula1>
    </dataValidation>
    <dataValidation type="list" showInputMessage="1" showErrorMessage="1" errorTitle="Rechazado" error="Solo son validadas las opciones de la lista" sqref="AF20:AF147 AF9 AF12 AF17:AF18 WWN9:WWN147 WMR9:WMR147 KB9:KB147 TX9:TX147 ADT9:ADT147 ANP9:ANP147 AXL9:AXL147 BHH9:BHH147 BRD9:BRD147 CAZ9:CAZ147 CKV9:CKV147 CUR9:CUR147 DEN9:DEN147 DOJ9:DOJ147 DYF9:DYF147 EIB9:EIB147 ERX9:ERX147 FBT9:FBT147 FLP9:FLP147 FVL9:FVL147 GFH9:GFH147 GPD9:GPD147 GYZ9:GYZ147 HIV9:HIV147 HSR9:HSR147 ICN9:ICN147 IMJ9:IMJ147 IWF9:IWF147 JGB9:JGB147 JPX9:JPX147 JZT9:JZT147 KJP9:KJP147 KTL9:KTL147 LDH9:LDH147 LND9:LND147 LWZ9:LWZ147 MGV9:MGV147 MQR9:MQR147 NAN9:NAN147 NKJ9:NKJ147 NUF9:NUF147 OEB9:OEB147 ONX9:ONX147 OXT9:OXT147 PHP9:PHP147 PRL9:PRL147 QBH9:QBH147 QLD9:QLD147 QUZ9:QUZ147 REV9:REV147 ROR9:ROR147 RYN9:RYN147 SIJ9:SIJ147 SSF9:SSF147 TCB9:TCB147 TLX9:TLX147 TVT9:TVT147 UFP9:UFP147 UPL9:UPL147 UZH9:UZH147 VJD9:VJD147 VSZ9:VSZ147 WCV9:WCV147">
      <formula1>Efecto</formula1>
    </dataValidation>
    <dataValidation showInputMessage="1" showErrorMessage="1" sqref="AH20:AL147 AJ9 AL9 AJ12 AL12 AJ17:AJ18 AL17:AL18 WWP9:WWT147 WMT9:WMX147 KD9:KH147 TZ9:UD147 ADV9:ADZ147 ANR9:ANV147 AXN9:AXR147 BHJ9:BHN147 BRF9:BRJ147 CBB9:CBF147 CKX9:CLB147 CUT9:CUX147 DEP9:DET147 DOL9:DOP147 DYH9:DYL147 EID9:EIH147 ERZ9:ESD147 FBV9:FBZ147 FLR9:FLV147 FVN9:FVR147 GFJ9:GFN147 GPF9:GPJ147 GZB9:GZF147 HIX9:HJB147 HST9:HSX147 ICP9:ICT147 IML9:IMP147 IWH9:IWL147 JGD9:JGH147 JPZ9:JQD147 JZV9:JZZ147 KJR9:KJV147 KTN9:KTR147 LDJ9:LDN147 LNF9:LNJ147 LXB9:LXF147 MGX9:MHB147 MQT9:MQX147 NAP9:NAT147 NKL9:NKP147 NUH9:NUL147 OED9:OEH147 ONZ9:OOD147 OXV9:OXZ147 PHR9:PHV147 PRN9:PRR147 QBJ9:QBN147 QLF9:QLJ147 QVB9:QVF147 REX9:RFB147 ROT9:ROX147 RYP9:RYT147 SIL9:SIP147 SSH9:SSL147 TCD9:TCH147 TLZ9:TMD147 TVV9:TVZ147 UFR9:UFV147 UPN9:UPR147 UZJ9:UZN147 VJF9:VJJ147 VTB9:VTF147 WCX9:WDB147 AH9:AI19 AK9:AK19"/>
    <dataValidation type="whole" allowBlank="1" showInputMessage="1" showErrorMessage="1" sqref="AE20:AE147 AE9 AE12 AE17:AE18 WWM9:WWM147 WMQ9:WMQ147 KA9:KA147 TW9:TW147 ADS9:ADS147 ANO9:ANO147 AXK9:AXK147 BHG9:BHG147 BRC9:BRC147 CAY9:CAY147 CKU9:CKU147 CUQ9:CUQ147 DEM9:DEM147 DOI9:DOI147 DYE9:DYE147 EIA9:EIA147 ERW9:ERW147 FBS9:FBS147 FLO9:FLO147 FVK9:FVK147 GFG9:GFG147 GPC9:GPC147 GYY9:GYY147 HIU9:HIU147 HSQ9:HSQ147 ICM9:ICM147 IMI9:IMI147 IWE9:IWE147 JGA9:JGA147 JPW9:JPW147 JZS9:JZS147 KJO9:KJO147 KTK9:KTK147 LDG9:LDG147 LNC9:LNC147 LWY9:LWY147 MGU9:MGU147 MQQ9:MQQ147 NAM9:NAM147 NKI9:NKI147 NUE9:NUE147 OEA9:OEA147 ONW9:ONW147 OXS9:OXS147 PHO9:PHO147 PRK9:PRK147 QBG9:QBG147 QLC9:QLC147 QUY9:QUY147 REU9:REU147 ROQ9:ROQ147 RYM9:RYM147 SII9:SII147 SSE9:SSE147 TCA9:TCA147 TLW9:TLW147 TVS9:TVS147 UFO9:UFO147 UPK9:UPK147 UZG9:UZG147 VJC9:VJC147 VSY9:VSY147 WCU9:WCU147">
      <formula1>0</formula1>
      <formula2>100</formula2>
    </dataValidation>
    <dataValidation type="list" allowBlank="1" showInputMessage="1" showErrorMessage="1" sqref="AT20:AT147 WNF9:WNF147 WXB9:WXB147 KP9:KP147 UL9:UL147 AEH9:AEH147 AOD9:AOD147 AXZ9:AXZ147 BHV9:BHV147 BRR9:BRR147 CBN9:CBN147 CLJ9:CLJ147 CVF9:CVF147 DFB9:DFB147 DOX9:DOX147 DYT9:DYT147 EIP9:EIP147 ESL9:ESL147 FCH9:FCH147 FMD9:FMD147 FVZ9:FVZ147 GFV9:GFV147 GPR9:GPR147 GZN9:GZN147 HJJ9:HJJ147 HTF9:HTF147 IDB9:IDB147 IMX9:IMX147 IWT9:IWT147 JGP9:JGP147 JQL9:JQL147 KAH9:KAH147 KKD9:KKD147 KTZ9:KTZ147 LDV9:LDV147 LNR9:LNR147 LXN9:LXN147 MHJ9:MHJ147 MRF9:MRF147 NBB9:NBB147 NKX9:NKX147 NUT9:NUT147 OEP9:OEP147 OOL9:OOL147 OYH9:OYH147 PID9:PID147 PRZ9:PRZ147 QBV9:QBV147 QLR9:QLR147 QVN9:QVN147 RFJ9:RFJ147 RPF9:RPF147 RZB9:RZB147 SIX9:SIX147 SST9:SST147 TCP9:TCP147 TML9:TML147 TWH9:TWH147 UGD9:UGD147 UPZ9:UPZ147 UZV9:UZV147 VJR9:VJR147 VTN9:VTN147 WDJ9:WDJ147 AT9 AT12 AT17:AT18">
      <formula1>SINO</formula1>
    </dataValidation>
  </dataValidations>
  <printOptions horizontalCentered="1" verticalCentered="1"/>
  <pageMargins left="0.19685039370078741" right="0.19685039370078741" top="0.19685039370078741" bottom="0.39370078740157483" header="0" footer="0"/>
  <pageSetup paperSize="190" scale="37" firstPageNumber="0" fitToHeight="0" orientation="landscape" r:id="rId1"/>
  <headerFooter>
    <oddFooter>&amp;L&amp;9Formato: FO-AC-07 Versión: 3&amp;C&amp;9Página &amp;P</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M178"/>
  <sheetViews>
    <sheetView zoomScale="85" zoomScaleNormal="85" zoomScaleSheetLayoutView="100" zoomScalePageLayoutView="95" workbookViewId="0">
      <pane xSplit="5" ySplit="8" topLeftCell="F9" activePane="bottomRight" state="frozen"/>
      <selection pane="topRight" activeCell="F1" sqref="F1"/>
      <selection pane="bottomLeft" activeCell="A9" sqref="A9"/>
      <selection pane="bottomRight"/>
    </sheetView>
  </sheetViews>
  <sheetFormatPr baseColWidth="10" defaultRowHeight="12.75"/>
  <cols>
    <col min="1" max="1" width="12.7109375" style="235" customWidth="1"/>
    <col min="2" max="2" width="2.7109375" style="235" customWidth="1"/>
    <col min="3" max="4" width="6.5703125" style="235" customWidth="1"/>
    <col min="5" max="5" width="5.85546875" style="235" customWidth="1"/>
    <col min="6" max="6" width="6.5703125" style="235" customWidth="1"/>
    <col min="7" max="8" width="8.42578125" style="235" customWidth="1"/>
    <col min="9" max="9" width="18.140625" style="235" customWidth="1"/>
    <col min="10" max="10" width="2.5703125" style="235" customWidth="1"/>
    <col min="11" max="12" width="9.5703125" style="235" customWidth="1"/>
    <col min="13" max="15" width="3.7109375" style="235" customWidth="1"/>
    <col min="16" max="16" width="3.5703125" style="235" customWidth="1"/>
    <col min="17" max="17" width="2.85546875" style="235" customWidth="1"/>
    <col min="18" max="18" width="3" style="235" customWidth="1"/>
    <col min="19" max="21" width="0" style="235" hidden="1" customWidth="1"/>
    <col min="22" max="22" width="4.42578125" style="235" customWidth="1"/>
    <col min="23" max="23" width="0" style="235" hidden="1" customWidth="1"/>
    <col min="24" max="27" width="14.28515625" style="235" customWidth="1"/>
    <col min="28" max="28" width="6.42578125" style="235" customWidth="1"/>
    <col min="29" max="29" width="15.140625" style="235" customWidth="1"/>
    <col min="30" max="30" width="4.140625" style="235" customWidth="1"/>
    <col min="31" max="31" width="3" style="235" customWidth="1"/>
    <col min="32" max="34" width="0" style="235" hidden="1" customWidth="1"/>
    <col min="35" max="35" width="3" style="235" customWidth="1"/>
    <col min="36" max="36" width="0" style="235" hidden="1" customWidth="1"/>
    <col min="37" max="37" width="3" style="235" customWidth="1"/>
    <col min="38" max="38" width="0" style="235" hidden="1" customWidth="1"/>
    <col min="39" max="39" width="4.42578125" style="235" customWidth="1"/>
    <col min="40" max="40" width="34.28515625" style="235" customWidth="1"/>
    <col min="41" max="41" width="23.42578125" style="235" customWidth="1"/>
    <col min="42" max="42" width="9.140625" style="235" customWidth="1"/>
    <col min="43" max="43" width="19.5703125" style="235" customWidth="1"/>
    <col min="44" max="44" width="42.7109375" style="235" customWidth="1"/>
    <col min="45" max="45" width="5.85546875" style="235" customWidth="1"/>
    <col min="46" max="46" width="31.5703125" style="235" customWidth="1"/>
    <col min="47" max="47" width="16.140625" style="235" customWidth="1"/>
    <col min="48" max="49" width="9.28515625" style="235" customWidth="1"/>
    <col min="50" max="50" width="11.140625" style="235" customWidth="1"/>
    <col min="51" max="51" width="2.140625" style="235" customWidth="1"/>
    <col min="52"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11.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2037" t="s">
        <v>101</v>
      </c>
      <c r="AE1" s="2037"/>
      <c r="AF1" s="2037"/>
      <c r="AG1" s="2037"/>
      <c r="AH1" s="2037"/>
      <c r="AI1" s="2037"/>
      <c r="AJ1" s="2037"/>
      <c r="AK1" s="2037"/>
      <c r="AL1" s="2037"/>
      <c r="AM1" s="2037"/>
      <c r="AN1" s="2037"/>
      <c r="AP1" s="1247" t="s">
        <v>2320</v>
      </c>
      <c r="AQ1" s="1247"/>
      <c r="AR1" s="1247"/>
      <c r="AS1" s="1247"/>
      <c r="AT1" s="233"/>
      <c r="AU1" s="233"/>
      <c r="AV1" s="233"/>
      <c r="AW1" s="1246"/>
      <c r="AX1" s="1246"/>
      <c r="AY1" s="233"/>
    </row>
    <row r="2" spans="1:1027" ht="14.25" customHeight="1">
      <c r="A2" s="237" t="s">
        <v>2348</v>
      </c>
      <c r="B2" s="233"/>
      <c r="C2" s="233"/>
      <c r="D2" s="233"/>
      <c r="E2" s="233"/>
      <c r="F2" s="233"/>
      <c r="G2" s="1214" t="str">
        <f>UPPER([36]Control!A2)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2037"/>
      <c r="AE2" s="2037"/>
      <c r="AF2" s="2037"/>
      <c r="AG2" s="2037"/>
      <c r="AH2" s="2037"/>
      <c r="AI2" s="2037"/>
      <c r="AJ2" s="2037"/>
      <c r="AK2" s="2037"/>
      <c r="AL2" s="2037"/>
      <c r="AM2" s="2037"/>
      <c r="AN2" s="2037"/>
      <c r="AP2" s="1268" t="s">
        <v>138</v>
      </c>
      <c r="AQ2" s="1269"/>
      <c r="AR2" s="1270" t="str">
        <f>AD1</f>
        <v>GESTIÓN DE RECURSOS FÍSICOS</v>
      </c>
      <c r="AS2" s="1271"/>
      <c r="AT2" s="233"/>
      <c r="AU2" s="233"/>
      <c r="AV2" s="233"/>
      <c r="AW2" s="1246"/>
      <c r="AX2" s="1246"/>
      <c r="AY2" s="233"/>
    </row>
    <row r="3" spans="1:1027" ht="11.25" customHeight="1">
      <c r="A3" s="2316">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2317">
        <v>43446</v>
      </c>
      <c r="AA3" s="2318"/>
      <c r="AB3" s="2319"/>
      <c r="AC3" s="1259" t="s">
        <v>2349</v>
      </c>
      <c r="AD3" s="2038" t="s">
        <v>200</v>
      </c>
      <c r="AE3" s="2038"/>
      <c r="AF3" s="2038"/>
      <c r="AG3" s="2038"/>
      <c r="AH3" s="2038"/>
      <c r="AI3" s="2038"/>
      <c r="AJ3" s="2038"/>
      <c r="AK3" s="2038"/>
      <c r="AL3" s="2038"/>
      <c r="AM3" s="2038"/>
      <c r="AN3" s="2038"/>
      <c r="AP3" s="1265" t="s">
        <v>2322</v>
      </c>
      <c r="AQ3" s="1266"/>
      <c r="AR3" s="1266" t="s">
        <v>2323</v>
      </c>
      <c r="AS3" s="1267"/>
      <c r="AT3" s="233"/>
      <c r="AU3" s="233"/>
      <c r="AV3" s="233"/>
      <c r="AW3" s="1246"/>
      <c r="AX3" s="1246"/>
      <c r="AY3" s="233"/>
    </row>
    <row r="4" spans="1:1027" ht="14.25" customHeight="1" thickBot="1">
      <c r="A4" s="2316"/>
      <c r="B4" s="233"/>
      <c r="C4" s="233"/>
      <c r="D4" s="233"/>
      <c r="E4" s="233"/>
      <c r="F4" s="233"/>
      <c r="G4" s="1236" t="str">
        <f>[36]Control!A4</f>
        <v>FO-PE-06</v>
      </c>
      <c r="H4" s="1237"/>
      <c r="I4" s="1238" t="str">
        <f>[36]Control!C4</f>
        <v>Planeación Estratégica</v>
      </c>
      <c r="J4" s="1237"/>
      <c r="K4" s="1237"/>
      <c r="L4" s="1237"/>
      <c r="M4" s="1237"/>
      <c r="N4" s="1239"/>
      <c r="O4" s="1238">
        <f>[36]Control!H4</f>
        <v>5</v>
      </c>
      <c r="P4" s="1237"/>
      <c r="Q4" s="1237"/>
      <c r="R4" s="1237"/>
      <c r="S4" s="1237"/>
      <c r="T4" s="1237"/>
      <c r="U4" s="1237"/>
      <c r="V4" s="1239"/>
      <c r="W4" s="239"/>
      <c r="X4" s="1255"/>
      <c r="Y4" s="1256"/>
      <c r="Z4" s="2320"/>
      <c r="AA4" s="2321"/>
      <c r="AB4" s="2322"/>
      <c r="AC4" s="1259"/>
      <c r="AD4" s="2038"/>
      <c r="AE4" s="2038"/>
      <c r="AF4" s="2038"/>
      <c r="AG4" s="2038"/>
      <c r="AH4" s="2038"/>
      <c r="AI4" s="2038"/>
      <c r="AJ4" s="2038"/>
      <c r="AK4" s="2038"/>
      <c r="AL4" s="2038"/>
      <c r="AM4" s="2038"/>
      <c r="AN4" s="2038"/>
      <c r="AP4" s="1240">
        <v>43713</v>
      </c>
      <c r="AQ4" s="1241"/>
      <c r="AR4" s="2315" t="s">
        <v>4083</v>
      </c>
      <c r="AS4" s="1243"/>
      <c r="AT4" s="233"/>
      <c r="AU4" s="233"/>
      <c r="AV4" s="233"/>
      <c r="AW4" s="1246"/>
      <c r="AX4" s="1246"/>
      <c r="AY4" s="233"/>
    </row>
    <row r="5" spans="1:1027"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2"/>
      <c r="AB5" s="242"/>
      <c r="AC5" s="242"/>
      <c r="AD5" s="241"/>
      <c r="AE5" s="241"/>
      <c r="AF5" s="241"/>
      <c r="AG5" s="241"/>
      <c r="AH5" s="241"/>
      <c r="AI5" s="241"/>
      <c r="AJ5" s="241"/>
      <c r="AK5" s="241"/>
      <c r="AL5" s="241"/>
      <c r="AM5" s="240"/>
      <c r="AN5" s="240"/>
      <c r="AO5" s="240"/>
      <c r="AQ5" s="244"/>
      <c r="AY5" s="245"/>
    </row>
    <row r="6" spans="1:1027" s="243" customFormat="1" ht="11.2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782" t="s">
        <v>268</v>
      </c>
      <c r="AO6" s="294"/>
      <c r="AP6" s="247" t="s">
        <v>2325</v>
      </c>
      <c r="AQ6" s="248"/>
      <c r="AR6" s="248"/>
      <c r="AS6" s="249"/>
      <c r="AT6" s="1244" t="s">
        <v>2326</v>
      </c>
      <c r="AU6" s="1244"/>
      <c r="AV6" s="1244"/>
      <c r="AW6" s="1244"/>
      <c r="AX6" s="1245"/>
      <c r="AY6" s="245"/>
    </row>
    <row r="7" spans="1:1027" s="243" customFormat="1" ht="25.5" customHeight="1">
      <c r="A7" s="1217" t="s">
        <v>1002</v>
      </c>
      <c r="B7" s="1218" t="s">
        <v>640</v>
      </c>
      <c r="C7" s="1219" t="s">
        <v>1001</v>
      </c>
      <c r="D7" s="1220"/>
      <c r="E7" s="1221"/>
      <c r="F7" s="1217" t="s">
        <v>1000</v>
      </c>
      <c r="G7" s="1219" t="s">
        <v>999</v>
      </c>
      <c r="H7" s="1220"/>
      <c r="I7" s="1221"/>
      <c r="J7" s="1217" t="s">
        <v>145</v>
      </c>
      <c r="K7" s="1217"/>
      <c r="L7" s="1217"/>
      <c r="M7" s="1225" t="s">
        <v>144</v>
      </c>
      <c r="N7" s="1226"/>
      <c r="O7" s="1226"/>
      <c r="P7" s="1226"/>
      <c r="Q7" s="1227" t="s">
        <v>637</v>
      </c>
      <c r="R7" s="1228"/>
      <c r="S7" s="1228"/>
      <c r="T7" s="1228"/>
      <c r="U7" s="1228"/>
      <c r="V7" s="1229"/>
      <c r="W7" s="250"/>
      <c r="X7" s="1217" t="s">
        <v>2351</v>
      </c>
      <c r="Y7" s="1217"/>
      <c r="Z7" s="1217"/>
      <c r="AA7" s="1284" t="s">
        <v>4175</v>
      </c>
      <c r="AB7" s="1221" t="s">
        <v>998</v>
      </c>
      <c r="AC7" s="1284" t="s">
        <v>641</v>
      </c>
      <c r="AD7" s="1286" t="s">
        <v>546</v>
      </c>
      <c r="AE7" s="1286" t="s">
        <v>638</v>
      </c>
      <c r="AF7" s="251"/>
      <c r="AG7" s="252"/>
      <c r="AH7" s="253"/>
      <c r="AI7" s="1288" t="s">
        <v>639</v>
      </c>
      <c r="AJ7" s="1288"/>
      <c r="AK7" s="1288"/>
      <c r="AL7" s="1288"/>
      <c r="AM7" s="1288"/>
      <c r="AN7" s="1288" t="s">
        <v>2327</v>
      </c>
      <c r="AO7" s="1431" t="s">
        <v>2328</v>
      </c>
      <c r="AP7" s="1432" t="s">
        <v>2353</v>
      </c>
      <c r="AQ7" s="1431" t="s">
        <v>2330</v>
      </c>
      <c r="AR7" s="1432" t="s">
        <v>2354</v>
      </c>
      <c r="AS7" s="2314" t="s">
        <v>2332</v>
      </c>
      <c r="AT7" s="1432" t="s">
        <v>2333</v>
      </c>
      <c r="AU7" s="1432" t="s">
        <v>2334</v>
      </c>
      <c r="AV7" s="1432" t="s">
        <v>2335</v>
      </c>
      <c r="AW7" s="1432" t="s">
        <v>2336</v>
      </c>
      <c r="AX7" s="1432" t="s">
        <v>2337</v>
      </c>
      <c r="AY7" s="245"/>
    </row>
    <row r="8" spans="1:1027" ht="14.25" customHeight="1">
      <c r="A8" s="1217"/>
      <c r="B8" s="1218"/>
      <c r="C8" s="1222"/>
      <c r="D8" s="1223"/>
      <c r="E8" s="1224"/>
      <c r="F8" s="1217"/>
      <c r="G8" s="1222"/>
      <c r="H8" s="1223"/>
      <c r="I8" s="1224"/>
      <c r="J8" s="1217"/>
      <c r="K8" s="1217"/>
      <c r="L8" s="1217"/>
      <c r="M8" s="254" t="s">
        <v>146</v>
      </c>
      <c r="N8" s="254" t="s">
        <v>997</v>
      </c>
      <c r="O8" s="254" t="s">
        <v>65</v>
      </c>
      <c r="P8" s="254" t="s">
        <v>996</v>
      </c>
      <c r="Q8" s="781" t="s">
        <v>147</v>
      </c>
      <c r="R8" s="781" t="s">
        <v>148</v>
      </c>
      <c r="S8" s="255"/>
      <c r="T8" s="255" t="s">
        <v>239</v>
      </c>
      <c r="U8" s="255" t="s">
        <v>242</v>
      </c>
      <c r="V8" s="781" t="s">
        <v>149</v>
      </c>
      <c r="W8" s="256"/>
      <c r="X8" s="1217"/>
      <c r="Y8" s="1217"/>
      <c r="Z8" s="1217"/>
      <c r="AA8" s="1285"/>
      <c r="AB8" s="1224"/>
      <c r="AC8" s="1285"/>
      <c r="AD8" s="1287"/>
      <c r="AE8" s="1287"/>
      <c r="AF8" s="256"/>
      <c r="AG8" s="257" t="s">
        <v>642</v>
      </c>
      <c r="AH8" s="257" t="s">
        <v>264</v>
      </c>
      <c r="AI8" s="781" t="s">
        <v>147</v>
      </c>
      <c r="AJ8" s="258" t="s">
        <v>265</v>
      </c>
      <c r="AK8" s="781" t="s">
        <v>148</v>
      </c>
      <c r="AL8" s="255" t="s">
        <v>150</v>
      </c>
      <c r="AM8" s="781" t="s">
        <v>150</v>
      </c>
      <c r="AN8" s="1288"/>
      <c r="AO8" s="1431"/>
      <c r="AP8" s="1432"/>
      <c r="AQ8" s="1432"/>
      <c r="AR8" s="1432"/>
      <c r="AS8" s="2314"/>
      <c r="AT8" s="1432"/>
      <c r="AU8" s="1432"/>
      <c r="AV8" s="1432"/>
      <c r="AW8" s="1432"/>
      <c r="AX8" s="1432"/>
      <c r="AY8" s="245"/>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103.5" customHeight="1">
      <c r="A9" s="1320" t="s">
        <v>1313</v>
      </c>
      <c r="B9" s="1903" t="s">
        <v>2078</v>
      </c>
      <c r="C9" s="1890" t="s">
        <v>695</v>
      </c>
      <c r="D9" s="1890"/>
      <c r="E9" s="1890"/>
      <c r="F9" s="1404" t="s">
        <v>353</v>
      </c>
      <c r="G9" s="2303" t="s">
        <v>696</v>
      </c>
      <c r="H9" s="2303"/>
      <c r="I9" s="2303"/>
      <c r="J9" s="1890" t="s">
        <v>697</v>
      </c>
      <c r="K9" s="1890"/>
      <c r="L9" s="1890"/>
      <c r="M9" s="1320"/>
      <c r="N9" s="1320"/>
      <c r="O9" s="1320" t="s">
        <v>684</v>
      </c>
      <c r="P9" s="1320" t="s">
        <v>684</v>
      </c>
      <c r="Q9" s="1891" t="s">
        <v>64</v>
      </c>
      <c r="R9" s="1891" t="s">
        <v>274</v>
      </c>
      <c r="S9" s="324"/>
      <c r="T9" s="2300">
        <f>VLOOKUP(Q9,[89]Listas!$D$6:$E$10,2,0)</f>
        <v>3</v>
      </c>
      <c r="U9" s="2300">
        <f>HLOOKUP(R9,[89]Listas!$F$4:$J$5,2,0)</f>
        <v>3</v>
      </c>
      <c r="V9" s="1902" t="str">
        <f>INDEX([89]Listas!$F$6:$J$10,MATCH(Q9,[89]Listas!$D$6:$D$10,0),MATCH(R9,[89]Listas!$F$4:$J$4,0))</f>
        <v>9
MODERADO</v>
      </c>
      <c r="W9" s="324"/>
      <c r="X9" s="2303" t="s">
        <v>1314</v>
      </c>
      <c r="Y9" s="2303"/>
      <c r="Z9" s="2303"/>
      <c r="AA9" s="2152" t="s">
        <v>4210</v>
      </c>
      <c r="AB9" s="1356" t="s">
        <v>1315</v>
      </c>
      <c r="AC9" s="348" t="s">
        <v>1316</v>
      </c>
      <c r="AD9" s="1320">
        <v>79</v>
      </c>
      <c r="AE9" s="1356" t="s">
        <v>153</v>
      </c>
      <c r="AF9" s="324"/>
      <c r="AG9" s="2298">
        <f>IF(AD9&lt;=33,0,IF(AD9&gt;81,2,1))</f>
        <v>1</v>
      </c>
      <c r="AH9" s="2298">
        <f t="shared" ref="AH9:AH72" si="0">IF(OR(AE9="Probabilidad",AE9="Ambos"),T9-AG9,T9)</f>
        <v>2</v>
      </c>
      <c r="AI9" s="2293" t="str">
        <f>IF(AH9&lt;=1,"Remota",VLOOKUP(AH9,[89]Listas!$C$6:$D$10,2,0))</f>
        <v>Baja</v>
      </c>
      <c r="AJ9" s="2298">
        <f>IF(OR(AE9="Impacto",AE9="Ambos"),U9-AG9,U9)</f>
        <v>3</v>
      </c>
      <c r="AK9" s="2293" t="str">
        <f>IF(AJ9&lt;=1,"Insignificante",HLOOKUP(AJ9,[89]Listas!$F$3:$J$4,2,0))</f>
        <v>Moderado</v>
      </c>
      <c r="AL9" s="2294">
        <f>AH9*AJ9</f>
        <v>6</v>
      </c>
      <c r="AM9" s="1902" t="str">
        <f>INDEX([89]Listas!$F$6:$J$10,MATCH(AI9,[89]Listas!$D$6:$D$10,0),MATCH(AK9,[89]Listas!$F$4:$J$4,0))</f>
        <v>6
MODERADO</v>
      </c>
      <c r="AN9" s="1325" t="s">
        <v>3091</v>
      </c>
      <c r="AO9" s="1325" t="s">
        <v>3092</v>
      </c>
      <c r="AP9" s="1325">
        <v>0</v>
      </c>
      <c r="AQ9" s="1325" t="s">
        <v>4084</v>
      </c>
      <c r="AR9" s="1329" t="s">
        <v>3495</v>
      </c>
      <c r="AS9" s="1886" t="s">
        <v>36</v>
      </c>
      <c r="AT9" s="1329"/>
      <c r="AU9" s="1329"/>
      <c r="AV9" s="1329"/>
      <c r="AW9" s="1329"/>
      <c r="AX9" s="1329"/>
      <c r="AY9" s="262"/>
    </row>
    <row r="10" spans="1:1027" s="260" customFormat="1" ht="113.25" customHeight="1">
      <c r="A10" s="1320" t="s">
        <v>1317</v>
      </c>
      <c r="B10" s="1903"/>
      <c r="C10" s="1890"/>
      <c r="D10" s="1890"/>
      <c r="E10" s="1890"/>
      <c r="F10" s="1404"/>
      <c r="G10" s="2303" t="s">
        <v>698</v>
      </c>
      <c r="H10" s="2303"/>
      <c r="I10" s="2303"/>
      <c r="J10" s="1890"/>
      <c r="K10" s="1890"/>
      <c r="L10" s="1890"/>
      <c r="M10" s="1320"/>
      <c r="N10" s="1320"/>
      <c r="O10" s="1320"/>
      <c r="P10" s="1320"/>
      <c r="Q10" s="1891"/>
      <c r="R10" s="1891"/>
      <c r="S10" s="324"/>
      <c r="T10" s="2300"/>
      <c r="U10" s="2300" t="e">
        <f>HLOOKUP(R10,[89]Listas!$F$4:$J$5,2,0)</f>
        <v>#N/A</v>
      </c>
      <c r="V10" s="1902"/>
      <c r="W10" s="324"/>
      <c r="X10" s="2303" t="s">
        <v>1318</v>
      </c>
      <c r="Y10" s="2303"/>
      <c r="Z10" s="2303"/>
      <c r="AA10" s="2153"/>
      <c r="AB10" s="1356"/>
      <c r="AC10" s="348" t="s">
        <v>1319</v>
      </c>
      <c r="AD10" s="1320"/>
      <c r="AE10" s="1356"/>
      <c r="AF10" s="324"/>
      <c r="AG10" s="2298"/>
      <c r="AH10" s="2298">
        <f t="shared" si="0"/>
        <v>0</v>
      </c>
      <c r="AI10" s="2293"/>
      <c r="AJ10" s="2298"/>
      <c r="AK10" s="2293"/>
      <c r="AL10" s="2294"/>
      <c r="AM10" s="1902"/>
      <c r="AN10" s="1326"/>
      <c r="AO10" s="1326"/>
      <c r="AP10" s="1326"/>
      <c r="AQ10" s="1326"/>
      <c r="AR10" s="1330" t="s">
        <v>2343</v>
      </c>
      <c r="AS10" s="1887"/>
      <c r="AT10" s="1330"/>
      <c r="AU10" s="1330"/>
      <c r="AV10" s="1330"/>
      <c r="AW10" s="1330"/>
      <c r="AX10" s="1330"/>
      <c r="AY10" s="262"/>
    </row>
    <row r="11" spans="1:1027" s="260" customFormat="1" ht="103.5" customHeight="1">
      <c r="A11" s="1320" t="s">
        <v>1317</v>
      </c>
      <c r="B11" s="1903"/>
      <c r="C11" s="1890"/>
      <c r="D11" s="1890"/>
      <c r="E11" s="1890"/>
      <c r="F11" s="1404"/>
      <c r="G11" s="2303" t="s">
        <v>699</v>
      </c>
      <c r="H11" s="2303"/>
      <c r="I11" s="2303"/>
      <c r="J11" s="1890"/>
      <c r="K11" s="1890"/>
      <c r="L11" s="1890"/>
      <c r="M11" s="1320"/>
      <c r="N11" s="1320"/>
      <c r="O11" s="1320"/>
      <c r="P11" s="1320"/>
      <c r="Q11" s="1891"/>
      <c r="R11" s="1891"/>
      <c r="S11" s="324"/>
      <c r="T11" s="2300"/>
      <c r="U11" s="2300" t="e">
        <f>HLOOKUP(R11,[89]Listas!$F$4:$J$5,2,0)</f>
        <v>#N/A</v>
      </c>
      <c r="V11" s="1902"/>
      <c r="W11" s="324"/>
      <c r="X11" s="2303" t="s">
        <v>1320</v>
      </c>
      <c r="Y11" s="2303"/>
      <c r="Z11" s="2303"/>
      <c r="AA11" s="2154"/>
      <c r="AB11" s="1356"/>
      <c r="AC11" s="348" t="s">
        <v>1321</v>
      </c>
      <c r="AD11" s="1320"/>
      <c r="AE11" s="1356"/>
      <c r="AF11" s="324"/>
      <c r="AG11" s="2298"/>
      <c r="AH11" s="2298">
        <f t="shared" si="0"/>
        <v>0</v>
      </c>
      <c r="AI11" s="2293"/>
      <c r="AJ11" s="2298"/>
      <c r="AK11" s="2293"/>
      <c r="AL11" s="2294"/>
      <c r="AM11" s="1902"/>
      <c r="AN11" s="1327"/>
      <c r="AO11" s="1327"/>
      <c r="AP11" s="1327"/>
      <c r="AQ11" s="1327"/>
      <c r="AR11" s="1331" t="s">
        <v>2343</v>
      </c>
      <c r="AS11" s="1888"/>
      <c r="AT11" s="1331"/>
      <c r="AU11" s="1331"/>
      <c r="AV11" s="1331"/>
      <c r="AW11" s="1331"/>
      <c r="AX11" s="1331"/>
      <c r="AY11" s="262"/>
    </row>
    <row r="12" spans="1:1027" s="260" customFormat="1" ht="103.5" customHeight="1">
      <c r="A12" s="1320" t="s">
        <v>1322</v>
      </c>
      <c r="B12" s="1903" t="s">
        <v>2079</v>
      </c>
      <c r="C12" s="1890" t="s">
        <v>700</v>
      </c>
      <c r="D12" s="1890"/>
      <c r="E12" s="1890"/>
      <c r="F12" s="1356" t="s">
        <v>1323</v>
      </c>
      <c r="G12" s="2303" t="s">
        <v>701</v>
      </c>
      <c r="H12" s="2303"/>
      <c r="I12" s="2303"/>
      <c r="J12" s="1890" t="s">
        <v>1324</v>
      </c>
      <c r="K12" s="1890"/>
      <c r="L12" s="1890"/>
      <c r="M12" s="1320"/>
      <c r="N12" s="1320"/>
      <c r="O12" s="1320"/>
      <c r="P12" s="1320" t="s">
        <v>684</v>
      </c>
      <c r="Q12" s="1891" t="s">
        <v>64</v>
      </c>
      <c r="R12" s="1891" t="s">
        <v>274</v>
      </c>
      <c r="S12" s="324"/>
      <c r="T12" s="2300">
        <f>VLOOKUP(Q12,[89]Listas!$D$6:$E$10,2,0)</f>
        <v>3</v>
      </c>
      <c r="U12" s="2300">
        <f>HLOOKUP(R12,[89]Listas!$F$4:$J$5,2,0)</f>
        <v>3</v>
      </c>
      <c r="V12" s="1902" t="str">
        <f>INDEX([89]Listas!$F$6:$J$10,MATCH(Q12,[89]Listas!$D$6:$D$10,0),MATCH(R12,[89]Listas!$F$4:$J$4,0))</f>
        <v>9
MODERADO</v>
      </c>
      <c r="W12" s="324"/>
      <c r="X12" s="2303" t="s">
        <v>1325</v>
      </c>
      <c r="Y12" s="2303"/>
      <c r="Z12" s="2303"/>
      <c r="AA12" s="2152" t="s">
        <v>4013</v>
      </c>
      <c r="AB12" s="1356" t="s">
        <v>1326</v>
      </c>
      <c r="AC12" s="348" t="s">
        <v>1327</v>
      </c>
      <c r="AD12" s="1320">
        <v>82</v>
      </c>
      <c r="AE12" s="1356" t="s">
        <v>152</v>
      </c>
      <c r="AF12" s="324"/>
      <c r="AG12" s="2298">
        <f>IF(AD12&lt;=33,0,IF(AD12&gt;81,2,1))</f>
        <v>2</v>
      </c>
      <c r="AH12" s="2298">
        <f t="shared" si="0"/>
        <v>1</v>
      </c>
      <c r="AI12" s="2293" t="str">
        <f>IF(AH12&lt;=1,"Remota",VLOOKUP(AH12,[89]Listas!$C$6:$D$10,2,0))</f>
        <v>Remota</v>
      </c>
      <c r="AJ12" s="2298">
        <f>IF(OR(AE12="Impacto",AE12="Ambos"),U12-AG12,U12)</f>
        <v>1</v>
      </c>
      <c r="AK12" s="2293" t="str">
        <f>IF(AJ12&lt;=1,"Insignificante",HLOOKUP(AJ12,[89]Listas!$F$3:$J$4,2,0))</f>
        <v>Insignificante</v>
      </c>
      <c r="AL12" s="2298">
        <f t="shared" ref="AL12:AL25" si="1">AH12*AJ12</f>
        <v>1</v>
      </c>
      <c r="AM12" s="2293" t="str">
        <f>INDEX([89]Listas!$F$6:$J$10,MATCH(AI12,[89]Listas!$D$6:$D$10,0),MATCH(AK12,[89]Listas!$F$4:$J$4,0))</f>
        <v>1
INFERIOR</v>
      </c>
      <c r="AN12" s="1325" t="s">
        <v>3093</v>
      </c>
      <c r="AO12" s="1325" t="s">
        <v>3496</v>
      </c>
      <c r="AP12" s="2255">
        <f>+(2620-1890)/2620</f>
        <v>0.2786259541984733</v>
      </c>
      <c r="AQ12" s="1325" t="s">
        <v>4085</v>
      </c>
      <c r="AR12" s="1325" t="s">
        <v>3495</v>
      </c>
      <c r="AS12" s="1886" t="s">
        <v>36</v>
      </c>
      <c r="AT12" s="1325"/>
      <c r="AU12" s="1325"/>
      <c r="AV12" s="1325"/>
      <c r="AW12" s="1325"/>
      <c r="AX12" s="1325"/>
      <c r="AY12" s="262"/>
    </row>
    <row r="13" spans="1:1027" s="260" customFormat="1" ht="103.5" customHeight="1">
      <c r="A13" s="1320" t="s">
        <v>1317</v>
      </c>
      <c r="B13" s="1903"/>
      <c r="C13" s="1890"/>
      <c r="D13" s="1890"/>
      <c r="E13" s="1890"/>
      <c r="F13" s="1356"/>
      <c r="G13" s="2303" t="s">
        <v>196</v>
      </c>
      <c r="H13" s="2303"/>
      <c r="I13" s="2303"/>
      <c r="J13" s="1890"/>
      <c r="K13" s="1890"/>
      <c r="L13" s="1890"/>
      <c r="M13" s="1320"/>
      <c r="N13" s="1320"/>
      <c r="O13" s="1320"/>
      <c r="P13" s="1320"/>
      <c r="Q13" s="1891"/>
      <c r="R13" s="1891"/>
      <c r="S13" s="324"/>
      <c r="T13" s="2300"/>
      <c r="U13" s="2300" t="e">
        <f>HLOOKUP(R13,[89]Listas!$F$4:$J$5,2,0)</f>
        <v>#N/A</v>
      </c>
      <c r="V13" s="1902"/>
      <c r="W13" s="324"/>
      <c r="X13" s="2303" t="s">
        <v>1328</v>
      </c>
      <c r="Y13" s="2303"/>
      <c r="Z13" s="2303"/>
      <c r="AA13" s="2154"/>
      <c r="AB13" s="1356"/>
      <c r="AC13" s="348" t="s">
        <v>1329</v>
      </c>
      <c r="AD13" s="1320"/>
      <c r="AE13" s="1356"/>
      <c r="AF13" s="324"/>
      <c r="AG13" s="2298"/>
      <c r="AH13" s="2298">
        <f t="shared" si="0"/>
        <v>0</v>
      </c>
      <c r="AI13" s="2293"/>
      <c r="AJ13" s="2298"/>
      <c r="AK13" s="2293" t="str">
        <f>IF(AJ13&lt;=1,"Insignificante",HLOOKUP(AJ13,[89]Listas!$F$3:$J$4,2,0))</f>
        <v>Insignificante</v>
      </c>
      <c r="AL13" s="2298">
        <f t="shared" si="1"/>
        <v>0</v>
      </c>
      <c r="AM13" s="2293" t="e">
        <f>INDEX([89]Listas!$F$6:$J$10,MATCH(AI13,[89]Listas!$D$6:$D$10,0),MATCH(AK13,[89]Listas!$F$4:$J$4,0))</f>
        <v>#N/A</v>
      </c>
      <c r="AN13" s="1327"/>
      <c r="AO13" s="1327"/>
      <c r="AP13" s="2257"/>
      <c r="AQ13" s="1327"/>
      <c r="AR13" s="1327"/>
      <c r="AS13" s="1887"/>
      <c r="AT13" s="1327"/>
      <c r="AU13" s="1327"/>
      <c r="AV13" s="1327"/>
      <c r="AW13" s="1327"/>
      <c r="AX13" s="1327"/>
      <c r="AY13" s="262"/>
    </row>
    <row r="14" spans="1:1027" s="260" customFormat="1" ht="103.5" customHeight="1">
      <c r="A14" s="1320" t="s">
        <v>1330</v>
      </c>
      <c r="B14" s="1903" t="s">
        <v>2080</v>
      </c>
      <c r="C14" s="1890" t="s">
        <v>1331</v>
      </c>
      <c r="D14" s="1890"/>
      <c r="E14" s="1890"/>
      <c r="F14" s="1356" t="s">
        <v>353</v>
      </c>
      <c r="G14" s="2303" t="s">
        <v>1332</v>
      </c>
      <c r="H14" s="2303"/>
      <c r="I14" s="2303"/>
      <c r="J14" s="1890" t="s">
        <v>438</v>
      </c>
      <c r="K14" s="1890"/>
      <c r="L14" s="1890"/>
      <c r="M14" s="1320"/>
      <c r="N14" s="1320"/>
      <c r="O14" s="1320"/>
      <c r="P14" s="1320" t="s">
        <v>684</v>
      </c>
      <c r="Q14" s="1891" t="s">
        <v>648</v>
      </c>
      <c r="R14" s="1891" t="s">
        <v>274</v>
      </c>
      <c r="S14" s="324"/>
      <c r="T14" s="2300">
        <f>VLOOKUP(Q14,[89]Listas!$D$6:$E$10,2,0)</f>
        <v>4</v>
      </c>
      <c r="U14" s="2300">
        <f>HLOOKUP(R14,[89]Listas!$F$4:$J$5,2,0)</f>
        <v>3</v>
      </c>
      <c r="V14" s="1902" t="str">
        <f>INDEX([89]Listas!$F$6:$J$10,MATCH(Q14,[89]Listas!$D$6:$D$10,0),MATCH(R14,[89]Listas!$F$4:$J$4,0))</f>
        <v>12
ALTO</v>
      </c>
      <c r="W14" s="324"/>
      <c r="X14" s="2303" t="s">
        <v>1333</v>
      </c>
      <c r="Y14" s="2303"/>
      <c r="Z14" s="2303"/>
      <c r="AA14" s="2152" t="s">
        <v>4013</v>
      </c>
      <c r="AB14" s="1356" t="s">
        <v>353</v>
      </c>
      <c r="AC14" s="348" t="s">
        <v>1334</v>
      </c>
      <c r="AD14" s="1320">
        <v>51</v>
      </c>
      <c r="AE14" s="1356" t="s">
        <v>153</v>
      </c>
      <c r="AF14" s="324"/>
      <c r="AG14" s="2298">
        <f>IF(AD14&lt;=33,0,IF(AD14&gt;81,2,1))</f>
        <v>1</v>
      </c>
      <c r="AH14" s="2298">
        <f t="shared" si="0"/>
        <v>3</v>
      </c>
      <c r="AI14" s="2293" t="str">
        <f>IF(AH14&lt;=1,"Remota",VLOOKUP(AH14,[89]Listas!$C$6:$D$10,2,0))</f>
        <v>Posible</v>
      </c>
      <c r="AJ14" s="2298">
        <f>IF(OR(AE14="Impacto",AE14="Ambos"),U14-AG14,U14)</f>
        <v>3</v>
      </c>
      <c r="AK14" s="2293" t="str">
        <f>IF(AJ14&lt;=1,"Insignificante",HLOOKUP(AJ14,[89]Listas!$F$3:$J$4,2,0))</f>
        <v>Moderado</v>
      </c>
      <c r="AL14" s="2298">
        <f t="shared" si="1"/>
        <v>9</v>
      </c>
      <c r="AM14" s="2293" t="str">
        <f>INDEX([89]Listas!$F$6:$J$10,MATCH(AI14,[89]Listas!$D$6:$D$10,0),MATCH(AK14,[89]Listas!$F$4:$J$4,0))</f>
        <v>9
MODERADO</v>
      </c>
      <c r="AN14" s="1325" t="s">
        <v>3094</v>
      </c>
      <c r="AO14" s="1325" t="s">
        <v>3095</v>
      </c>
      <c r="AP14" s="2295">
        <v>0</v>
      </c>
      <c r="AQ14" s="1353" t="s">
        <v>4086</v>
      </c>
      <c r="AR14" s="1353" t="s">
        <v>3495</v>
      </c>
      <c r="AS14" s="1886" t="s">
        <v>36</v>
      </c>
      <c r="AT14" s="1353"/>
      <c r="AU14" s="1353"/>
      <c r="AV14" s="1353"/>
      <c r="AW14" s="1353"/>
      <c r="AX14" s="1353"/>
      <c r="AY14" s="262"/>
    </row>
    <row r="15" spans="1:1027" s="260" customFormat="1" ht="103.5" customHeight="1">
      <c r="A15" s="1320" t="s">
        <v>1317</v>
      </c>
      <c r="B15" s="1903"/>
      <c r="C15" s="1890"/>
      <c r="D15" s="1890"/>
      <c r="E15" s="1890"/>
      <c r="F15" s="1356"/>
      <c r="G15" s="2303" t="s">
        <v>1335</v>
      </c>
      <c r="H15" s="2303"/>
      <c r="I15" s="2303"/>
      <c r="J15" s="1890"/>
      <c r="K15" s="1890"/>
      <c r="L15" s="1890"/>
      <c r="M15" s="1320"/>
      <c r="N15" s="1320"/>
      <c r="O15" s="1320"/>
      <c r="P15" s="1320"/>
      <c r="Q15" s="1891"/>
      <c r="R15" s="1891"/>
      <c r="S15" s="324"/>
      <c r="T15" s="2300"/>
      <c r="U15" s="2300"/>
      <c r="V15" s="1902"/>
      <c r="W15" s="324"/>
      <c r="X15" s="2303" t="s">
        <v>1336</v>
      </c>
      <c r="Y15" s="2303"/>
      <c r="Z15" s="2303"/>
      <c r="AA15" s="2153"/>
      <c r="AB15" s="1356"/>
      <c r="AC15" s="348" t="s">
        <v>48</v>
      </c>
      <c r="AD15" s="1320"/>
      <c r="AE15" s="1356"/>
      <c r="AF15" s="324"/>
      <c r="AG15" s="2298"/>
      <c r="AH15" s="2298">
        <f t="shared" si="0"/>
        <v>0</v>
      </c>
      <c r="AI15" s="2293"/>
      <c r="AJ15" s="2298"/>
      <c r="AK15" s="2293" t="str">
        <f>IF(AJ15&lt;=1,"Insignificante",HLOOKUP(AJ15,[89]Listas!$F$3:$J$4,2,0))</f>
        <v>Insignificante</v>
      </c>
      <c r="AL15" s="2298">
        <f t="shared" si="1"/>
        <v>0</v>
      </c>
      <c r="AM15" s="2293" t="e">
        <f>INDEX([89]Listas!$F$6:$J$10,MATCH(AI15,[89]Listas!$D$6:$D$10,0),MATCH(AK15,[89]Listas!$F$4:$J$4,0))</f>
        <v>#N/A</v>
      </c>
      <c r="AN15" s="1326"/>
      <c r="AO15" s="1326"/>
      <c r="AP15" s="2296"/>
      <c r="AQ15" s="1354"/>
      <c r="AR15" s="1354" t="s">
        <v>2343</v>
      </c>
      <c r="AS15" s="1887"/>
      <c r="AT15" s="1354"/>
      <c r="AU15" s="1354"/>
      <c r="AV15" s="1354"/>
      <c r="AW15" s="1354"/>
      <c r="AX15" s="1354"/>
      <c r="AY15" s="262"/>
    </row>
    <row r="16" spans="1:1027" s="260" customFormat="1" ht="103.5" customHeight="1">
      <c r="A16" s="1320" t="s">
        <v>1317</v>
      </c>
      <c r="B16" s="1903"/>
      <c r="C16" s="1890"/>
      <c r="D16" s="1890"/>
      <c r="E16" s="1890"/>
      <c r="F16" s="1356"/>
      <c r="G16" s="2303" t="s">
        <v>702</v>
      </c>
      <c r="H16" s="2303"/>
      <c r="I16" s="2303"/>
      <c r="J16" s="1890"/>
      <c r="K16" s="1890"/>
      <c r="L16" s="1890"/>
      <c r="M16" s="1320"/>
      <c r="N16" s="1320"/>
      <c r="O16" s="1320"/>
      <c r="P16" s="1320"/>
      <c r="Q16" s="1891"/>
      <c r="R16" s="1891"/>
      <c r="S16" s="324"/>
      <c r="T16" s="2300"/>
      <c r="U16" s="2300"/>
      <c r="V16" s="1902"/>
      <c r="W16" s="324"/>
      <c r="X16" s="2303" t="s">
        <v>1337</v>
      </c>
      <c r="Y16" s="2303"/>
      <c r="Z16" s="2303"/>
      <c r="AA16" s="2153"/>
      <c r="AB16" s="1356"/>
      <c r="AC16" s="348" t="s">
        <v>1338</v>
      </c>
      <c r="AD16" s="1320"/>
      <c r="AE16" s="1356"/>
      <c r="AF16" s="324"/>
      <c r="AG16" s="2298"/>
      <c r="AH16" s="2298">
        <f t="shared" si="0"/>
        <v>0</v>
      </c>
      <c r="AI16" s="2293"/>
      <c r="AJ16" s="2298"/>
      <c r="AK16" s="2293" t="str">
        <f>IF(AJ16&lt;=1,"Insignificante",HLOOKUP(AJ16,[89]Listas!$F$3:$J$4,2,0))</f>
        <v>Insignificante</v>
      </c>
      <c r="AL16" s="2298">
        <f t="shared" si="1"/>
        <v>0</v>
      </c>
      <c r="AM16" s="2293" t="e">
        <f>INDEX([89]Listas!$F$6:$J$10,MATCH(AI16,[89]Listas!$D$6:$D$10,0),MATCH(AK16,[89]Listas!$F$4:$J$4,0))</f>
        <v>#N/A</v>
      </c>
      <c r="AN16" s="1326"/>
      <c r="AO16" s="1326"/>
      <c r="AP16" s="2296"/>
      <c r="AQ16" s="1354"/>
      <c r="AR16" s="1354" t="s">
        <v>2343</v>
      </c>
      <c r="AS16" s="1887"/>
      <c r="AT16" s="1354"/>
      <c r="AU16" s="1354"/>
      <c r="AV16" s="1354"/>
      <c r="AW16" s="1354"/>
      <c r="AX16" s="1354"/>
      <c r="AY16" s="262"/>
    </row>
    <row r="17" spans="1:51" s="260" customFormat="1" ht="103.5" customHeight="1">
      <c r="A17" s="1320" t="s">
        <v>1317</v>
      </c>
      <c r="B17" s="1903"/>
      <c r="C17" s="1890"/>
      <c r="D17" s="1890"/>
      <c r="E17" s="1890"/>
      <c r="F17" s="1356"/>
      <c r="G17" s="2303" t="s">
        <v>439</v>
      </c>
      <c r="H17" s="2303"/>
      <c r="I17" s="2303"/>
      <c r="J17" s="1890"/>
      <c r="K17" s="1890"/>
      <c r="L17" s="1890"/>
      <c r="M17" s="1320"/>
      <c r="N17" s="1320"/>
      <c r="O17" s="1320"/>
      <c r="P17" s="1320"/>
      <c r="Q17" s="1891"/>
      <c r="R17" s="1891"/>
      <c r="S17" s="324"/>
      <c r="T17" s="2300"/>
      <c r="U17" s="2300"/>
      <c r="V17" s="1902"/>
      <c r="W17" s="324"/>
      <c r="X17" s="2303" t="s">
        <v>1339</v>
      </c>
      <c r="Y17" s="2303"/>
      <c r="Z17" s="2303"/>
      <c r="AA17" s="2154"/>
      <c r="AB17" s="1356"/>
      <c r="AC17" s="348" t="s">
        <v>1340</v>
      </c>
      <c r="AD17" s="1320"/>
      <c r="AE17" s="1356"/>
      <c r="AF17" s="324"/>
      <c r="AG17" s="2298"/>
      <c r="AH17" s="2298">
        <f t="shared" si="0"/>
        <v>0</v>
      </c>
      <c r="AI17" s="2293"/>
      <c r="AJ17" s="2298"/>
      <c r="AK17" s="2293" t="str">
        <f>IF(AJ17&lt;=1,"Insignificante",HLOOKUP(AJ17,[89]Listas!$F$3:$J$4,2,0))</f>
        <v>Insignificante</v>
      </c>
      <c r="AL17" s="2298">
        <f t="shared" si="1"/>
        <v>0</v>
      </c>
      <c r="AM17" s="2293" t="e">
        <f>INDEX([89]Listas!$F$6:$J$10,MATCH(AI17,[89]Listas!$D$6:$D$10,0),MATCH(AK17,[89]Listas!$F$4:$J$4,0))</f>
        <v>#N/A</v>
      </c>
      <c r="AN17" s="1327"/>
      <c r="AO17" s="1327"/>
      <c r="AP17" s="2297"/>
      <c r="AQ17" s="1355"/>
      <c r="AR17" s="1355" t="s">
        <v>2343</v>
      </c>
      <c r="AS17" s="1887"/>
      <c r="AT17" s="1355"/>
      <c r="AU17" s="1355"/>
      <c r="AV17" s="1355"/>
      <c r="AW17" s="1355"/>
      <c r="AX17" s="1355"/>
      <c r="AY17" s="262"/>
    </row>
    <row r="18" spans="1:51" s="260" customFormat="1" ht="103.5" customHeight="1">
      <c r="A18" s="1320" t="s">
        <v>1341</v>
      </c>
      <c r="B18" s="1903" t="s">
        <v>2081</v>
      </c>
      <c r="C18" s="1890" t="s">
        <v>1342</v>
      </c>
      <c r="D18" s="1890"/>
      <c r="E18" s="1890"/>
      <c r="F18" s="1356" t="s">
        <v>353</v>
      </c>
      <c r="G18" s="2303" t="s">
        <v>440</v>
      </c>
      <c r="H18" s="2303"/>
      <c r="I18" s="2303"/>
      <c r="J18" s="1890" t="s">
        <v>703</v>
      </c>
      <c r="K18" s="1890"/>
      <c r="L18" s="1890"/>
      <c r="M18" s="1320"/>
      <c r="N18" s="1320"/>
      <c r="O18" s="1320"/>
      <c r="P18" s="1320" t="s">
        <v>684</v>
      </c>
      <c r="Q18" s="1891" t="s">
        <v>64</v>
      </c>
      <c r="R18" s="1891" t="s">
        <v>274</v>
      </c>
      <c r="S18" s="324"/>
      <c r="T18" s="2300">
        <f>VLOOKUP(Q18,[89]Listas!$D$6:$E$10,2,0)</f>
        <v>3</v>
      </c>
      <c r="U18" s="2300">
        <f>HLOOKUP(R18,[89]Listas!$F$4:$J$5,2,0)</f>
        <v>3</v>
      </c>
      <c r="V18" s="1902" t="str">
        <f>INDEX([89]Listas!$F$6:$J$10,MATCH(Q18,[89]Listas!$D$6:$D$10,0),MATCH(R18,[89]Listas!$F$4:$J$4,0))</f>
        <v>9
MODERADO</v>
      </c>
      <c r="W18" s="324"/>
      <c r="X18" s="2303" t="s">
        <v>1343</v>
      </c>
      <c r="Y18" s="2303"/>
      <c r="Z18" s="2303"/>
      <c r="AA18" s="2152" t="s">
        <v>4013</v>
      </c>
      <c r="AB18" s="1356" t="s">
        <v>3096</v>
      </c>
      <c r="AC18" s="348" t="s">
        <v>1344</v>
      </c>
      <c r="AD18" s="1320">
        <v>79</v>
      </c>
      <c r="AE18" s="1356" t="s">
        <v>152</v>
      </c>
      <c r="AF18" s="324"/>
      <c r="AG18" s="2298">
        <f>IF(AD18&lt;=33,0,IF(AD18&gt;81,2,1))</f>
        <v>1</v>
      </c>
      <c r="AH18" s="2298">
        <f t="shared" si="0"/>
        <v>2</v>
      </c>
      <c r="AI18" s="2293" t="str">
        <f>IF(AH18&lt;=1,"Remota",VLOOKUP(AH18,[89]Listas!$C$6:$D$10,2,0))</f>
        <v>Baja</v>
      </c>
      <c r="AJ18" s="2298">
        <f>IF(OR(AE18="Impacto",AE18="Ambos"),U18-AG18,U18)</f>
        <v>2</v>
      </c>
      <c r="AK18" s="2293" t="str">
        <f>IF(AJ18&lt;=1,"Insignificante",HLOOKUP(AJ18,[89]Listas!$F$3:$J$4,2,0))</f>
        <v>Menor</v>
      </c>
      <c r="AL18" s="2298">
        <f t="shared" si="1"/>
        <v>4</v>
      </c>
      <c r="AM18" s="2293" t="str">
        <f>INDEX([89]Listas!$F$6:$J$10,MATCH(AI18,[89]Listas!$D$6:$D$10,0),MATCH(AK18,[89]Listas!$F$4:$J$4,0))</f>
        <v>4
INFERIOR</v>
      </c>
      <c r="AN18" s="1325" t="s">
        <v>3097</v>
      </c>
      <c r="AO18" s="1325" t="s">
        <v>3497</v>
      </c>
      <c r="AP18" s="1353">
        <v>0.95</v>
      </c>
      <c r="AQ18" s="1353" t="s">
        <v>4087</v>
      </c>
      <c r="AR18" s="1353" t="s">
        <v>3495</v>
      </c>
      <c r="AS18" s="1886" t="s">
        <v>36</v>
      </c>
      <c r="AT18" s="1353"/>
      <c r="AU18" s="1353"/>
      <c r="AV18" s="1353"/>
      <c r="AW18" s="1353"/>
      <c r="AX18" s="1353"/>
      <c r="AY18" s="262"/>
    </row>
    <row r="19" spans="1:51" s="260" customFormat="1" ht="103.5" customHeight="1">
      <c r="A19" s="1320" t="s">
        <v>1317</v>
      </c>
      <c r="B19" s="1903"/>
      <c r="C19" s="1890"/>
      <c r="D19" s="1890"/>
      <c r="E19" s="1890"/>
      <c r="F19" s="1356"/>
      <c r="G19" s="2303" t="s">
        <v>704</v>
      </c>
      <c r="H19" s="2303"/>
      <c r="I19" s="2303"/>
      <c r="J19" s="1890"/>
      <c r="K19" s="1890"/>
      <c r="L19" s="1890"/>
      <c r="M19" s="1320"/>
      <c r="N19" s="1320"/>
      <c r="O19" s="1320"/>
      <c r="P19" s="1320"/>
      <c r="Q19" s="1891"/>
      <c r="R19" s="1891"/>
      <c r="S19" s="324"/>
      <c r="T19" s="2300"/>
      <c r="U19" s="2300"/>
      <c r="V19" s="1902" t="e">
        <f>INDEX([89]Listas!$F$6:$J$10,MATCH(Q19,[89]Listas!$D$6:$D$10,0),MATCH(R19,[89]Listas!$F$4:$J$4,0))</f>
        <v>#N/A</v>
      </c>
      <c r="W19" s="324"/>
      <c r="X19" s="2303" t="s">
        <v>1345</v>
      </c>
      <c r="Y19" s="2303"/>
      <c r="Z19" s="2303"/>
      <c r="AA19" s="2153"/>
      <c r="AB19" s="1356"/>
      <c r="AC19" s="348" t="s">
        <v>1346</v>
      </c>
      <c r="AD19" s="1320"/>
      <c r="AE19" s="1356"/>
      <c r="AF19" s="324"/>
      <c r="AG19" s="2298"/>
      <c r="AH19" s="2298">
        <f t="shared" si="0"/>
        <v>0</v>
      </c>
      <c r="AI19" s="2293" t="str">
        <f>IF(AH19&lt;=1,"Remota",VLOOKUP(AH19,[89]Listas!$C$6:$D$10,2,0))</f>
        <v>Remota</v>
      </c>
      <c r="AJ19" s="2298"/>
      <c r="AK19" s="2293" t="str">
        <f>IF(AJ19&lt;=1,"Insignificante",HLOOKUP(AJ19,[89]Listas!$F$3:$J$4,2,0))</f>
        <v>Insignificante</v>
      </c>
      <c r="AL19" s="2298">
        <f t="shared" si="1"/>
        <v>0</v>
      </c>
      <c r="AM19" s="2293" t="str">
        <f>INDEX([89]Listas!$F$6:$J$10,MATCH(AI19,[89]Listas!$D$6:$D$10,0),MATCH(AK19,[89]Listas!$F$4:$J$4,0))</f>
        <v>1
INFERIOR</v>
      </c>
      <c r="AN19" s="1326"/>
      <c r="AO19" s="1326"/>
      <c r="AP19" s="1354"/>
      <c r="AQ19" s="1354"/>
      <c r="AR19" s="1354" t="s">
        <v>2343</v>
      </c>
      <c r="AS19" s="1887"/>
      <c r="AT19" s="1354"/>
      <c r="AU19" s="1354"/>
      <c r="AV19" s="1354"/>
      <c r="AW19" s="1354"/>
      <c r="AX19" s="1354"/>
      <c r="AY19" s="262"/>
    </row>
    <row r="20" spans="1:51" s="260" customFormat="1" ht="103.5" customHeight="1">
      <c r="A20" s="1320" t="s">
        <v>1317</v>
      </c>
      <c r="B20" s="1903"/>
      <c r="C20" s="1890"/>
      <c r="D20" s="1890"/>
      <c r="E20" s="1890"/>
      <c r="F20" s="1356"/>
      <c r="G20" s="2303" t="s">
        <v>441</v>
      </c>
      <c r="H20" s="2303"/>
      <c r="I20" s="2303"/>
      <c r="J20" s="1890"/>
      <c r="K20" s="1890"/>
      <c r="L20" s="1890"/>
      <c r="M20" s="1320"/>
      <c r="N20" s="1320"/>
      <c r="O20" s="1320"/>
      <c r="P20" s="1320"/>
      <c r="Q20" s="1891"/>
      <c r="R20" s="1891"/>
      <c r="S20" s="324"/>
      <c r="T20" s="2300"/>
      <c r="U20" s="2300"/>
      <c r="V20" s="1902" t="e">
        <f>INDEX([89]Listas!$F$6:$J$10,MATCH(Q20,[89]Listas!$D$6:$D$10,0),MATCH(R20,[89]Listas!$F$4:$J$4,0))</f>
        <v>#N/A</v>
      </c>
      <c r="W20" s="324"/>
      <c r="X20" s="2303" t="s">
        <v>1347</v>
      </c>
      <c r="Y20" s="2303"/>
      <c r="Z20" s="2303"/>
      <c r="AA20" s="2153"/>
      <c r="AB20" s="1356"/>
      <c r="AC20" s="348" t="s">
        <v>1348</v>
      </c>
      <c r="AD20" s="1320"/>
      <c r="AE20" s="1356"/>
      <c r="AF20" s="324"/>
      <c r="AG20" s="2298"/>
      <c r="AH20" s="2298">
        <f t="shared" si="0"/>
        <v>0</v>
      </c>
      <c r="AI20" s="2293" t="str">
        <f>IF(AH20&lt;=1,"Remota",VLOOKUP(AH20,[89]Listas!$C$6:$D$10,2,0))</f>
        <v>Remota</v>
      </c>
      <c r="AJ20" s="2298"/>
      <c r="AK20" s="2293" t="str">
        <f>IF(AJ20&lt;=1,"Insignificante",HLOOKUP(AJ20,[89]Listas!$F$3:$J$4,2,0))</f>
        <v>Insignificante</v>
      </c>
      <c r="AL20" s="2298">
        <f t="shared" si="1"/>
        <v>0</v>
      </c>
      <c r="AM20" s="2293" t="str">
        <f>INDEX([89]Listas!$F$6:$J$10,MATCH(AI20,[89]Listas!$D$6:$D$10,0),MATCH(AK20,[89]Listas!$F$4:$J$4,0))</f>
        <v>1
INFERIOR</v>
      </c>
      <c r="AN20" s="1326"/>
      <c r="AO20" s="1326"/>
      <c r="AP20" s="1354"/>
      <c r="AQ20" s="1354"/>
      <c r="AR20" s="1354" t="s">
        <v>2343</v>
      </c>
      <c r="AS20" s="1887"/>
      <c r="AT20" s="1354"/>
      <c r="AU20" s="1354"/>
      <c r="AV20" s="1354"/>
      <c r="AW20" s="1354"/>
      <c r="AX20" s="1354"/>
      <c r="AY20" s="262"/>
    </row>
    <row r="21" spans="1:51" s="260" customFormat="1" ht="103.5" customHeight="1">
      <c r="A21" s="1320" t="s">
        <v>1317</v>
      </c>
      <c r="B21" s="1903"/>
      <c r="C21" s="1890"/>
      <c r="D21" s="1890"/>
      <c r="E21" s="1890"/>
      <c r="F21" s="1356"/>
      <c r="G21" s="2303" t="s">
        <v>1349</v>
      </c>
      <c r="H21" s="2303"/>
      <c r="I21" s="2303"/>
      <c r="J21" s="1890"/>
      <c r="K21" s="1890"/>
      <c r="L21" s="1890"/>
      <c r="M21" s="1320"/>
      <c r="N21" s="1320"/>
      <c r="O21" s="1320"/>
      <c r="P21" s="1320"/>
      <c r="Q21" s="1891"/>
      <c r="R21" s="1891"/>
      <c r="S21" s="324"/>
      <c r="T21" s="2300"/>
      <c r="U21" s="2300"/>
      <c r="V21" s="1902" t="e">
        <f>INDEX([89]Listas!$F$6:$J$10,MATCH(Q21,[89]Listas!$D$6:$D$10,0),MATCH(R21,[89]Listas!$F$4:$J$4,0))</f>
        <v>#N/A</v>
      </c>
      <c r="W21" s="324"/>
      <c r="X21" s="2303" t="s">
        <v>1350</v>
      </c>
      <c r="Y21" s="2303"/>
      <c r="Z21" s="2303"/>
      <c r="AA21" s="2154"/>
      <c r="AB21" s="1356"/>
      <c r="AC21" s="348" t="s">
        <v>1346</v>
      </c>
      <c r="AD21" s="1320"/>
      <c r="AE21" s="1356"/>
      <c r="AF21" s="324"/>
      <c r="AG21" s="2298"/>
      <c r="AH21" s="2298">
        <f t="shared" si="0"/>
        <v>0</v>
      </c>
      <c r="AI21" s="2293" t="str">
        <f>IF(AH21&lt;=1,"Remota",VLOOKUP(AH21,[89]Listas!$C$6:$D$10,2,0))</f>
        <v>Remota</v>
      </c>
      <c r="AJ21" s="2298"/>
      <c r="AK21" s="2293" t="str">
        <f>IF(AJ21&lt;=1,"Insignificante",HLOOKUP(AJ21,[89]Listas!$F$3:$J$4,2,0))</f>
        <v>Insignificante</v>
      </c>
      <c r="AL21" s="2298">
        <f t="shared" si="1"/>
        <v>0</v>
      </c>
      <c r="AM21" s="2293" t="str">
        <f>INDEX([89]Listas!$F$6:$J$10,MATCH(AI21,[89]Listas!$D$6:$D$10,0),MATCH(AK21,[89]Listas!$F$4:$J$4,0))</f>
        <v>1
INFERIOR</v>
      </c>
      <c r="AN21" s="1327"/>
      <c r="AO21" s="1327"/>
      <c r="AP21" s="1355"/>
      <c r="AQ21" s="1355"/>
      <c r="AR21" s="1355" t="s">
        <v>2343</v>
      </c>
      <c r="AS21" s="1887"/>
      <c r="AT21" s="1355"/>
      <c r="AU21" s="1355"/>
      <c r="AV21" s="1355"/>
      <c r="AW21" s="1355"/>
      <c r="AX21" s="1355"/>
      <c r="AY21" s="262"/>
    </row>
    <row r="22" spans="1:51" s="260" customFormat="1" ht="103.5" customHeight="1">
      <c r="A22" s="1320" t="s">
        <v>1351</v>
      </c>
      <c r="B22" s="1903" t="s">
        <v>2082</v>
      </c>
      <c r="C22" s="1890" t="s">
        <v>705</v>
      </c>
      <c r="D22" s="1890"/>
      <c r="E22" s="1890"/>
      <c r="F22" s="1356" t="s">
        <v>353</v>
      </c>
      <c r="G22" s="2303" t="s">
        <v>442</v>
      </c>
      <c r="H22" s="2303"/>
      <c r="I22" s="2303"/>
      <c r="J22" s="2303" t="s">
        <v>3098</v>
      </c>
      <c r="K22" s="2303"/>
      <c r="L22" s="2303"/>
      <c r="M22" s="1320"/>
      <c r="N22" s="1320"/>
      <c r="O22" s="1320"/>
      <c r="P22" s="1320"/>
      <c r="Q22" s="1891" t="s">
        <v>655</v>
      </c>
      <c r="R22" s="1891" t="s">
        <v>270</v>
      </c>
      <c r="S22" s="324"/>
      <c r="T22" s="2300">
        <f>VLOOKUP(Q22,[89]Listas!$D$6:$E$10,2,0)</f>
        <v>2</v>
      </c>
      <c r="U22" s="2300">
        <f>HLOOKUP(R22,[89]Listas!$F$4:$J$5,2,0)</f>
        <v>4</v>
      </c>
      <c r="V22" s="1902" t="str">
        <f>INDEX([89]Listas!$F$6:$J$10,MATCH(Q22,[89]Listas!$D$6:$D$10,0),MATCH(R22,[89]Listas!$F$4:$J$4,0))</f>
        <v>8
MODERADO</v>
      </c>
      <c r="W22" s="324"/>
      <c r="X22" s="2303" t="s">
        <v>1352</v>
      </c>
      <c r="Y22" s="2303"/>
      <c r="Z22" s="2303"/>
      <c r="AA22" s="2152" t="s">
        <v>4013</v>
      </c>
      <c r="AB22" s="1356" t="s">
        <v>1353</v>
      </c>
      <c r="AC22" s="348" t="s">
        <v>1354</v>
      </c>
      <c r="AD22" s="1320">
        <v>87</v>
      </c>
      <c r="AE22" s="1356" t="s">
        <v>153</v>
      </c>
      <c r="AF22" s="324"/>
      <c r="AG22" s="2298">
        <f>IF(AD22&lt;=33,0,IF(AD22&gt;81,2,1))</f>
        <v>2</v>
      </c>
      <c r="AH22" s="2298">
        <f t="shared" si="0"/>
        <v>0</v>
      </c>
      <c r="AI22" s="2293" t="str">
        <f>IF(AH22&lt;=1,"Remota",VLOOKUP(AH22,[89]Listas!$C$6:$D$10,2,0))</f>
        <v>Remota</v>
      </c>
      <c r="AJ22" s="2298">
        <f>IF(OR(AE22="Impacto",AE22="Ambos"),U22-AG22,U22)</f>
        <v>4</v>
      </c>
      <c r="AK22" s="2293" t="str">
        <f>IF(AJ22&lt;=1,"Insignificante",HLOOKUP(AJ22,[89]Listas!$F$3:$J$4,2,0))</f>
        <v>Mayor</v>
      </c>
      <c r="AL22" s="2298">
        <f t="shared" si="1"/>
        <v>0</v>
      </c>
      <c r="AM22" s="2293" t="str">
        <f>INDEX([89]Listas!$F$6:$J$10,MATCH(AI22,[89]Listas!$D$6:$D$10,0),MATCH(AK22,[89]Listas!$F$4:$J$4,0))</f>
        <v>4
MODERADO</v>
      </c>
      <c r="AN22" s="1325" t="s">
        <v>3099</v>
      </c>
      <c r="AO22" s="1325" t="s">
        <v>3100</v>
      </c>
      <c r="AP22" s="2311">
        <v>0</v>
      </c>
      <c r="AQ22" s="1353" t="s">
        <v>4088</v>
      </c>
      <c r="AR22" s="1353" t="s">
        <v>3495</v>
      </c>
      <c r="AS22" s="1886" t="s">
        <v>36</v>
      </c>
      <c r="AT22" s="1353"/>
      <c r="AU22" s="1353"/>
      <c r="AV22" s="1353"/>
      <c r="AW22" s="1353"/>
      <c r="AX22" s="1353"/>
      <c r="AY22" s="262"/>
    </row>
    <row r="23" spans="1:51" s="260" customFormat="1" ht="103.5" customHeight="1">
      <c r="A23" s="1320" t="s">
        <v>1317</v>
      </c>
      <c r="B23" s="1903"/>
      <c r="C23" s="1890"/>
      <c r="D23" s="1890"/>
      <c r="E23" s="1890"/>
      <c r="F23" s="1356"/>
      <c r="G23" s="2303" t="s">
        <v>1355</v>
      </c>
      <c r="H23" s="2303"/>
      <c r="I23" s="2303"/>
      <c r="J23" s="2303"/>
      <c r="K23" s="2303"/>
      <c r="L23" s="2303"/>
      <c r="M23" s="1320"/>
      <c r="N23" s="1320"/>
      <c r="O23" s="1320"/>
      <c r="P23" s="1320"/>
      <c r="Q23" s="1891"/>
      <c r="R23" s="1891"/>
      <c r="S23" s="324"/>
      <c r="T23" s="2300"/>
      <c r="U23" s="2300"/>
      <c r="V23" s="1902" t="e">
        <f>INDEX([89]Listas!$F$6:$J$10,MATCH(Q23,[89]Listas!$D$6:$D$10,0),MATCH(R23,[89]Listas!$F$4:$J$4,0))</f>
        <v>#N/A</v>
      </c>
      <c r="W23" s="324"/>
      <c r="X23" s="2303" t="s">
        <v>1356</v>
      </c>
      <c r="Y23" s="2303"/>
      <c r="Z23" s="2303"/>
      <c r="AA23" s="2153"/>
      <c r="AB23" s="1356"/>
      <c r="AC23" s="348" t="s">
        <v>211</v>
      </c>
      <c r="AD23" s="1320"/>
      <c r="AE23" s="1356"/>
      <c r="AF23" s="324"/>
      <c r="AG23" s="2298"/>
      <c r="AH23" s="2298">
        <f t="shared" si="0"/>
        <v>0</v>
      </c>
      <c r="AI23" s="2293"/>
      <c r="AJ23" s="2298"/>
      <c r="AK23" s="2293" t="str">
        <f>IF(AJ23&lt;=1,"Insignificante",HLOOKUP(AJ23,[89]Listas!$F$3:$J$4,2,0))</f>
        <v>Insignificante</v>
      </c>
      <c r="AL23" s="2298">
        <f t="shared" si="1"/>
        <v>0</v>
      </c>
      <c r="AM23" s="2293" t="e">
        <f>INDEX([89]Listas!$F$6:$J$10,MATCH(AI23,[89]Listas!$D$6:$D$10,0),MATCH(AK23,[89]Listas!$F$4:$J$4,0))</f>
        <v>#N/A</v>
      </c>
      <c r="AN23" s="1326"/>
      <c r="AO23" s="1326"/>
      <c r="AP23" s="2312"/>
      <c r="AQ23" s="1354"/>
      <c r="AR23" s="1354" t="s">
        <v>2343</v>
      </c>
      <c r="AS23" s="1887"/>
      <c r="AT23" s="1354"/>
      <c r="AU23" s="1354"/>
      <c r="AV23" s="1354"/>
      <c r="AW23" s="1354"/>
      <c r="AX23" s="1354"/>
      <c r="AY23" s="262"/>
    </row>
    <row r="24" spans="1:51" s="260" customFormat="1" ht="103.5" customHeight="1">
      <c r="A24" s="1320" t="s">
        <v>1317</v>
      </c>
      <c r="B24" s="1903"/>
      <c r="C24" s="1890"/>
      <c r="D24" s="1890"/>
      <c r="E24" s="1890"/>
      <c r="F24" s="1356"/>
      <c r="G24" s="2303" t="s">
        <v>1357</v>
      </c>
      <c r="H24" s="2303"/>
      <c r="I24" s="2303"/>
      <c r="J24" s="2303"/>
      <c r="K24" s="2303"/>
      <c r="L24" s="2303"/>
      <c r="M24" s="1320"/>
      <c r="N24" s="1320"/>
      <c r="O24" s="1320"/>
      <c r="P24" s="1320"/>
      <c r="Q24" s="1891"/>
      <c r="R24" s="1891"/>
      <c r="S24" s="324"/>
      <c r="T24" s="2300"/>
      <c r="U24" s="2300"/>
      <c r="V24" s="1902" t="e">
        <f>INDEX([89]Listas!$F$6:$J$10,MATCH(Q24,[89]Listas!$D$6:$D$10,0),MATCH(R24,[89]Listas!$F$4:$J$4,0))</f>
        <v>#N/A</v>
      </c>
      <c r="W24" s="324"/>
      <c r="X24" s="2303" t="s">
        <v>1358</v>
      </c>
      <c r="Y24" s="2303"/>
      <c r="Z24" s="2303"/>
      <c r="AA24" s="2154"/>
      <c r="AB24" s="1356"/>
      <c r="AC24" s="348" t="s">
        <v>3101</v>
      </c>
      <c r="AD24" s="1320"/>
      <c r="AE24" s="1356"/>
      <c r="AF24" s="324"/>
      <c r="AG24" s="2298"/>
      <c r="AH24" s="2298">
        <f t="shared" si="0"/>
        <v>0</v>
      </c>
      <c r="AI24" s="2293"/>
      <c r="AJ24" s="2298"/>
      <c r="AK24" s="2293" t="str">
        <f>IF(AJ24&lt;=1,"Insignificante",HLOOKUP(AJ24,[89]Listas!$F$3:$J$4,2,0))</f>
        <v>Insignificante</v>
      </c>
      <c r="AL24" s="2298">
        <f t="shared" si="1"/>
        <v>0</v>
      </c>
      <c r="AM24" s="2293" t="e">
        <f>INDEX([89]Listas!$F$6:$J$10,MATCH(AI24,[89]Listas!$D$6:$D$10,0),MATCH(AK24,[89]Listas!$F$4:$J$4,0))</f>
        <v>#N/A</v>
      </c>
      <c r="AN24" s="1327"/>
      <c r="AO24" s="1327"/>
      <c r="AP24" s="2313"/>
      <c r="AQ24" s="1355"/>
      <c r="AR24" s="1355" t="s">
        <v>2343</v>
      </c>
      <c r="AS24" s="1887"/>
      <c r="AT24" s="1355"/>
      <c r="AU24" s="1355"/>
      <c r="AV24" s="1355"/>
      <c r="AW24" s="1355"/>
      <c r="AX24" s="1355"/>
      <c r="AY24" s="262"/>
    </row>
    <row r="25" spans="1:51" s="260" customFormat="1" ht="103.5" customHeight="1">
      <c r="A25" s="1320" t="s">
        <v>1359</v>
      </c>
      <c r="B25" s="1903" t="s">
        <v>2083</v>
      </c>
      <c r="C25" s="1890" t="s">
        <v>706</v>
      </c>
      <c r="D25" s="1890"/>
      <c r="E25" s="1890"/>
      <c r="F25" s="1356" t="s">
        <v>353</v>
      </c>
      <c r="G25" s="2303" t="s">
        <v>1360</v>
      </c>
      <c r="H25" s="2303"/>
      <c r="I25" s="2303"/>
      <c r="J25" s="2303" t="s">
        <v>1361</v>
      </c>
      <c r="K25" s="2303"/>
      <c r="L25" s="2303"/>
      <c r="M25" s="1890"/>
      <c r="N25" s="1890"/>
      <c r="O25" s="1890"/>
      <c r="P25" s="1320" t="s">
        <v>684</v>
      </c>
      <c r="Q25" s="1891" t="s">
        <v>648</v>
      </c>
      <c r="R25" s="1891" t="s">
        <v>643</v>
      </c>
      <c r="S25" s="324"/>
      <c r="T25" s="2300">
        <f>VLOOKUP(Q25,[89]Listas!$D$6:$E$10,2,0)</f>
        <v>4</v>
      </c>
      <c r="U25" s="2300">
        <f>HLOOKUP(R25,[89]Listas!$F$4:$J$5,2,0)</f>
        <v>2</v>
      </c>
      <c r="V25" s="1902" t="str">
        <f>INDEX([89]Listas!$F$6:$J$10,MATCH(Q25,[89]Listas!$D$6:$D$10,0),MATCH(R25,[89]Listas!$F$4:$J$4,0))</f>
        <v>8
MODERADO</v>
      </c>
      <c r="W25" s="324"/>
      <c r="X25" s="2303" t="s">
        <v>1362</v>
      </c>
      <c r="Y25" s="2303"/>
      <c r="Z25" s="2303"/>
      <c r="AA25" s="2152" t="s">
        <v>4013</v>
      </c>
      <c r="AB25" s="1356" t="s">
        <v>1363</v>
      </c>
      <c r="AC25" s="348" t="s">
        <v>1364</v>
      </c>
      <c r="AD25" s="1320">
        <v>67</v>
      </c>
      <c r="AE25" s="1356" t="s">
        <v>153</v>
      </c>
      <c r="AF25" s="324"/>
      <c r="AG25" s="2298">
        <f>IF(AD25&lt;=33,0,IF(AD25&gt;81,2,1))</f>
        <v>1</v>
      </c>
      <c r="AH25" s="2298">
        <f t="shared" si="0"/>
        <v>3</v>
      </c>
      <c r="AI25" s="2293" t="str">
        <f>IF(AH25&lt;=1,"Remota",VLOOKUP(AH25,[89]Listas!$C$6:$D$10,2,0))</f>
        <v>Posible</v>
      </c>
      <c r="AJ25" s="2298">
        <f>IF(OR(AE25="Impacto",AE25="Ambos"),U25-AG25,U25)</f>
        <v>2</v>
      </c>
      <c r="AK25" s="2293" t="str">
        <f>IF(AJ25&lt;=1,"Insignificante",HLOOKUP(AJ25,[89]Listas!$F$3:$J$4,2,0))</f>
        <v>Menor</v>
      </c>
      <c r="AL25" s="2294">
        <f t="shared" si="1"/>
        <v>6</v>
      </c>
      <c r="AM25" s="1902" t="str">
        <f>INDEX([89]Listas!$F$6:$J$10,MATCH(AI25,[89]Listas!$D$6:$D$10,0),MATCH(AK25,[89]Listas!$F$4:$J$4,0))</f>
        <v>6
MODERADO</v>
      </c>
      <c r="AN25" s="1325" t="s">
        <v>3102</v>
      </c>
      <c r="AO25" s="1325" t="s">
        <v>3103</v>
      </c>
      <c r="AP25" s="2311">
        <v>1</v>
      </c>
      <c r="AQ25" s="1353" t="s">
        <v>4089</v>
      </c>
      <c r="AR25" s="1353" t="s">
        <v>3495</v>
      </c>
      <c r="AS25" s="2290" t="s">
        <v>36</v>
      </c>
      <c r="AT25" s="1353"/>
      <c r="AU25" s="1353"/>
      <c r="AV25" s="1353"/>
      <c r="AW25" s="1353"/>
      <c r="AX25" s="1353"/>
      <c r="AY25" s="262"/>
    </row>
    <row r="26" spans="1:51" s="260" customFormat="1" ht="103.5" customHeight="1">
      <c r="A26" s="1320" t="s">
        <v>1317</v>
      </c>
      <c r="B26" s="1903"/>
      <c r="C26" s="1890"/>
      <c r="D26" s="1890"/>
      <c r="E26" s="1890"/>
      <c r="F26" s="1356"/>
      <c r="G26" s="2303" t="s">
        <v>3104</v>
      </c>
      <c r="H26" s="2303"/>
      <c r="I26" s="2303"/>
      <c r="J26" s="2303"/>
      <c r="K26" s="2303"/>
      <c r="L26" s="2303"/>
      <c r="M26" s="1890"/>
      <c r="N26" s="1890"/>
      <c r="O26" s="1890"/>
      <c r="P26" s="1320"/>
      <c r="Q26" s="1891"/>
      <c r="R26" s="1891"/>
      <c r="S26" s="324"/>
      <c r="T26" s="2300"/>
      <c r="U26" s="2300"/>
      <c r="V26" s="1902"/>
      <c r="W26" s="324"/>
      <c r="X26" s="2303" t="s">
        <v>1365</v>
      </c>
      <c r="Y26" s="2303"/>
      <c r="Z26" s="2303"/>
      <c r="AA26" s="2153"/>
      <c r="AB26" s="1356"/>
      <c r="AC26" s="348" t="s">
        <v>1366</v>
      </c>
      <c r="AD26" s="1320"/>
      <c r="AE26" s="1356"/>
      <c r="AF26" s="324"/>
      <c r="AG26" s="2298"/>
      <c r="AH26" s="2298">
        <f t="shared" si="0"/>
        <v>0</v>
      </c>
      <c r="AI26" s="2293"/>
      <c r="AJ26" s="2298"/>
      <c r="AK26" s="2293"/>
      <c r="AL26" s="2294"/>
      <c r="AM26" s="1902"/>
      <c r="AN26" s="1326"/>
      <c r="AO26" s="1326"/>
      <c r="AP26" s="2312"/>
      <c r="AQ26" s="1354"/>
      <c r="AR26" s="1354" t="s">
        <v>2343</v>
      </c>
      <c r="AS26" s="2291"/>
      <c r="AT26" s="1354"/>
      <c r="AU26" s="1354"/>
      <c r="AV26" s="1354"/>
      <c r="AW26" s="1354"/>
      <c r="AX26" s="1354"/>
      <c r="AY26" s="262"/>
    </row>
    <row r="27" spans="1:51" s="260" customFormat="1" ht="103.5" customHeight="1">
      <c r="A27" s="1320" t="s">
        <v>1317</v>
      </c>
      <c r="B27" s="1903"/>
      <c r="C27" s="1890"/>
      <c r="D27" s="1890"/>
      <c r="E27" s="1890"/>
      <c r="F27" s="1356"/>
      <c r="G27" s="2303" t="s">
        <v>1367</v>
      </c>
      <c r="H27" s="2303"/>
      <c r="I27" s="2303"/>
      <c r="J27" s="2303"/>
      <c r="K27" s="2303"/>
      <c r="L27" s="2303"/>
      <c r="M27" s="1890"/>
      <c r="N27" s="1890"/>
      <c r="O27" s="1890"/>
      <c r="P27" s="1320"/>
      <c r="Q27" s="1891"/>
      <c r="R27" s="1891"/>
      <c r="S27" s="324"/>
      <c r="T27" s="2300"/>
      <c r="U27" s="2300"/>
      <c r="V27" s="1902"/>
      <c r="W27" s="324"/>
      <c r="X27" s="2303" t="s">
        <v>1368</v>
      </c>
      <c r="Y27" s="2303"/>
      <c r="Z27" s="2303"/>
      <c r="AA27" s="2154"/>
      <c r="AB27" s="1356"/>
      <c r="AC27" s="348" t="s">
        <v>707</v>
      </c>
      <c r="AD27" s="1320"/>
      <c r="AE27" s="1356"/>
      <c r="AF27" s="324"/>
      <c r="AG27" s="2298"/>
      <c r="AH27" s="2298">
        <f t="shared" si="0"/>
        <v>0</v>
      </c>
      <c r="AI27" s="2293"/>
      <c r="AJ27" s="2298"/>
      <c r="AK27" s="2293"/>
      <c r="AL27" s="2294"/>
      <c r="AM27" s="1902"/>
      <c r="AN27" s="1327"/>
      <c r="AO27" s="1327"/>
      <c r="AP27" s="2313"/>
      <c r="AQ27" s="1355"/>
      <c r="AR27" s="1355" t="s">
        <v>2343</v>
      </c>
      <c r="AS27" s="2292"/>
      <c r="AT27" s="1355"/>
      <c r="AU27" s="1355"/>
      <c r="AV27" s="1355"/>
      <c r="AW27" s="1355"/>
      <c r="AX27" s="1355"/>
      <c r="AY27" s="262"/>
    </row>
    <row r="28" spans="1:51" s="260" customFormat="1" ht="103.5" customHeight="1">
      <c r="A28" s="1320" t="s">
        <v>443</v>
      </c>
      <c r="B28" s="1903" t="s">
        <v>2084</v>
      </c>
      <c r="C28" s="1890" t="s">
        <v>1369</v>
      </c>
      <c r="D28" s="1890"/>
      <c r="E28" s="1890"/>
      <c r="F28" s="1356" t="s">
        <v>353</v>
      </c>
      <c r="G28" s="2303" t="s">
        <v>1370</v>
      </c>
      <c r="H28" s="2303"/>
      <c r="I28" s="2303"/>
      <c r="J28" s="2303" t="s">
        <v>708</v>
      </c>
      <c r="K28" s="2303"/>
      <c r="L28" s="2303"/>
      <c r="M28" s="1320"/>
      <c r="N28" s="1320"/>
      <c r="O28" s="1320" t="s">
        <v>8</v>
      </c>
      <c r="P28" s="1320" t="s">
        <v>684</v>
      </c>
      <c r="Q28" s="1891" t="s">
        <v>648</v>
      </c>
      <c r="R28" s="1891" t="s">
        <v>643</v>
      </c>
      <c r="S28" s="324"/>
      <c r="T28" s="2300">
        <f>VLOOKUP(Q28,[89]Listas!$D$6:$E$10,2,0)</f>
        <v>4</v>
      </c>
      <c r="U28" s="2300">
        <f>HLOOKUP(R28,[89]Listas!$F$4:$J$5,2,0)</f>
        <v>2</v>
      </c>
      <c r="V28" s="1902" t="str">
        <f>INDEX([89]Listas!$F$6:$J$10,MATCH(Q28,[89]Listas!$D$6:$D$10,0),MATCH(R28,[89]Listas!$F$4:$J$4,0))</f>
        <v>8
MODERADO</v>
      </c>
      <c r="W28" s="324"/>
      <c r="X28" s="2303" t="s">
        <v>1371</v>
      </c>
      <c r="Y28" s="2303"/>
      <c r="Z28" s="2303"/>
      <c r="AA28" s="2152" t="s">
        <v>4211</v>
      </c>
      <c r="AB28" s="1356" t="s">
        <v>1372</v>
      </c>
      <c r="AC28" s="348" t="s">
        <v>1373</v>
      </c>
      <c r="AD28" s="1320">
        <v>75</v>
      </c>
      <c r="AE28" s="1356" t="s">
        <v>152</v>
      </c>
      <c r="AF28" s="324"/>
      <c r="AG28" s="2298">
        <f>IF(AD28&lt;=33,0,IF(AD28&gt;81,2,1))</f>
        <v>1</v>
      </c>
      <c r="AH28" s="2298">
        <f t="shared" si="0"/>
        <v>3</v>
      </c>
      <c r="AI28" s="2293" t="str">
        <f>IF(AH28&lt;=1,"Remota",VLOOKUP(AH28,[89]Listas!$C$6:$D$10,2,0))</f>
        <v>Posible</v>
      </c>
      <c r="AJ28" s="2298">
        <f>IF(OR(AE28="Impacto",AE28="Ambos"),U28-AG28,U28)</f>
        <v>1</v>
      </c>
      <c r="AK28" s="2293" t="str">
        <f>IF(AJ28&lt;=1,"Insignificante",HLOOKUP(AJ28,[89]Listas!$F$3:$J$4,2,0))</f>
        <v>Insignificante</v>
      </c>
      <c r="AL28" s="2298">
        <f t="shared" ref="AL28:AL41" si="2">AH28*AJ28</f>
        <v>3</v>
      </c>
      <c r="AM28" s="2293" t="str">
        <f>INDEX([89]Listas!$F$6:$J$10,MATCH(AI28,[89]Listas!$D$6:$D$10,0),MATCH(AK28,[89]Listas!$F$4:$J$4,0))</f>
        <v>3
INFERIOR</v>
      </c>
      <c r="AN28" s="1325" t="s">
        <v>3105</v>
      </c>
      <c r="AO28" s="1325" t="s">
        <v>3106</v>
      </c>
      <c r="AP28" s="2295">
        <v>0</v>
      </c>
      <c r="AQ28" s="1353" t="s">
        <v>3498</v>
      </c>
      <c r="AR28" s="1353" t="s">
        <v>3495</v>
      </c>
      <c r="AS28" s="1886" t="s">
        <v>36</v>
      </c>
      <c r="AT28" s="1353"/>
      <c r="AU28" s="1353"/>
      <c r="AV28" s="1353"/>
      <c r="AW28" s="1353"/>
      <c r="AX28" s="1353" t="s">
        <v>3499</v>
      </c>
      <c r="AY28" s="262"/>
    </row>
    <row r="29" spans="1:51" s="260" customFormat="1" ht="103.5" customHeight="1">
      <c r="A29" s="1320" t="s">
        <v>1317</v>
      </c>
      <c r="B29" s="1903"/>
      <c r="C29" s="1890"/>
      <c r="D29" s="1890"/>
      <c r="E29" s="1890"/>
      <c r="F29" s="1356"/>
      <c r="G29" s="2303" t="s">
        <v>444</v>
      </c>
      <c r="H29" s="2303"/>
      <c r="I29" s="2303"/>
      <c r="J29" s="2303"/>
      <c r="K29" s="2303"/>
      <c r="L29" s="2303"/>
      <c r="M29" s="1320"/>
      <c r="N29" s="1320"/>
      <c r="O29" s="1320"/>
      <c r="P29" s="1320"/>
      <c r="Q29" s="1891"/>
      <c r="R29" s="1891"/>
      <c r="S29" s="324"/>
      <c r="T29" s="2300"/>
      <c r="U29" s="2300"/>
      <c r="V29" s="1902"/>
      <c r="W29" s="324"/>
      <c r="X29" s="2303" t="s">
        <v>1374</v>
      </c>
      <c r="Y29" s="2303"/>
      <c r="Z29" s="2303"/>
      <c r="AA29" s="2153"/>
      <c r="AB29" s="1356"/>
      <c r="AC29" s="348" t="s">
        <v>1375</v>
      </c>
      <c r="AD29" s="1320"/>
      <c r="AE29" s="1356"/>
      <c r="AF29" s="324"/>
      <c r="AG29" s="2298"/>
      <c r="AH29" s="2298">
        <f t="shared" si="0"/>
        <v>0</v>
      </c>
      <c r="AI29" s="2293"/>
      <c r="AJ29" s="2298"/>
      <c r="AK29" s="2293" t="str">
        <f>IF(AJ29&lt;=1,"Insignificante",HLOOKUP(AJ29,[89]Listas!$F$3:$J$4,2,0))</f>
        <v>Insignificante</v>
      </c>
      <c r="AL29" s="2298">
        <f t="shared" si="2"/>
        <v>0</v>
      </c>
      <c r="AM29" s="2293" t="e">
        <f>INDEX([89]Listas!$F$6:$J$10,MATCH(AI29,[89]Listas!$D$6:$D$10,0),MATCH(AK29,[89]Listas!$F$4:$J$4,0))</f>
        <v>#N/A</v>
      </c>
      <c r="AN29" s="1326"/>
      <c r="AO29" s="1326"/>
      <c r="AP29" s="2296"/>
      <c r="AQ29" s="1354"/>
      <c r="AR29" s="1354" t="s">
        <v>2343</v>
      </c>
      <c r="AS29" s="1887"/>
      <c r="AT29" s="1354"/>
      <c r="AU29" s="1354"/>
      <c r="AV29" s="1354"/>
      <c r="AW29" s="1354"/>
      <c r="AX29" s="1354"/>
      <c r="AY29" s="262"/>
    </row>
    <row r="30" spans="1:51" s="260" customFormat="1" ht="103.5" customHeight="1">
      <c r="A30" s="1320" t="s">
        <v>1317</v>
      </c>
      <c r="B30" s="1903"/>
      <c r="C30" s="1890"/>
      <c r="D30" s="1890"/>
      <c r="E30" s="1890"/>
      <c r="F30" s="1356"/>
      <c r="G30" s="2303" t="s">
        <v>445</v>
      </c>
      <c r="H30" s="2303"/>
      <c r="I30" s="2303"/>
      <c r="J30" s="2303"/>
      <c r="K30" s="2303"/>
      <c r="L30" s="2303"/>
      <c r="M30" s="1320"/>
      <c r="N30" s="1320"/>
      <c r="O30" s="1320"/>
      <c r="P30" s="1320"/>
      <c r="Q30" s="1891"/>
      <c r="R30" s="1891"/>
      <c r="S30" s="324"/>
      <c r="T30" s="2300"/>
      <c r="U30" s="2300"/>
      <c r="V30" s="1902"/>
      <c r="W30" s="324"/>
      <c r="X30" s="2303" t="s">
        <v>1376</v>
      </c>
      <c r="Y30" s="2303"/>
      <c r="Z30" s="2303"/>
      <c r="AA30" s="2153"/>
      <c r="AB30" s="1356"/>
      <c r="AC30" s="348" t="s">
        <v>1377</v>
      </c>
      <c r="AD30" s="1320"/>
      <c r="AE30" s="1356"/>
      <c r="AF30" s="324"/>
      <c r="AG30" s="2298"/>
      <c r="AH30" s="2298">
        <f t="shared" si="0"/>
        <v>0</v>
      </c>
      <c r="AI30" s="2293"/>
      <c r="AJ30" s="2298"/>
      <c r="AK30" s="2293" t="str">
        <f>IF(AJ30&lt;=1,"Insignificante",HLOOKUP(AJ30,[89]Listas!$F$3:$J$4,2,0))</f>
        <v>Insignificante</v>
      </c>
      <c r="AL30" s="2298">
        <f t="shared" si="2"/>
        <v>0</v>
      </c>
      <c r="AM30" s="2293" t="e">
        <f>INDEX([89]Listas!$F$6:$J$10,MATCH(AI30,[89]Listas!$D$6:$D$10,0),MATCH(AK30,[89]Listas!$F$4:$J$4,0))</f>
        <v>#N/A</v>
      </c>
      <c r="AN30" s="1326"/>
      <c r="AO30" s="1326"/>
      <c r="AP30" s="2296"/>
      <c r="AQ30" s="1354"/>
      <c r="AR30" s="1354" t="s">
        <v>2343</v>
      </c>
      <c r="AS30" s="1887"/>
      <c r="AT30" s="1354"/>
      <c r="AU30" s="1354"/>
      <c r="AV30" s="1354"/>
      <c r="AW30" s="1354"/>
      <c r="AX30" s="1354"/>
      <c r="AY30" s="262"/>
    </row>
    <row r="31" spans="1:51" s="260" customFormat="1" ht="103.5" customHeight="1">
      <c r="A31" s="1320" t="s">
        <v>1317</v>
      </c>
      <c r="B31" s="1903"/>
      <c r="C31" s="1890"/>
      <c r="D31" s="1890"/>
      <c r="E31" s="1890"/>
      <c r="F31" s="1356"/>
      <c r="G31" s="2303" t="s">
        <v>709</v>
      </c>
      <c r="H31" s="2303"/>
      <c r="I31" s="2303"/>
      <c r="J31" s="2303"/>
      <c r="K31" s="2303"/>
      <c r="L31" s="2303"/>
      <c r="M31" s="1320"/>
      <c r="N31" s="1320"/>
      <c r="O31" s="1320"/>
      <c r="P31" s="1320"/>
      <c r="Q31" s="1891"/>
      <c r="R31" s="1891"/>
      <c r="S31" s="324"/>
      <c r="T31" s="2300"/>
      <c r="U31" s="2300"/>
      <c r="V31" s="1902"/>
      <c r="W31" s="324"/>
      <c r="X31" s="2303" t="s">
        <v>1378</v>
      </c>
      <c r="Y31" s="2303"/>
      <c r="Z31" s="2303"/>
      <c r="AA31" s="2153"/>
      <c r="AB31" s="1356"/>
      <c r="AC31" s="348" t="s">
        <v>1379</v>
      </c>
      <c r="AD31" s="1320"/>
      <c r="AE31" s="1356"/>
      <c r="AF31" s="324"/>
      <c r="AG31" s="2298"/>
      <c r="AH31" s="2298">
        <f t="shared" si="0"/>
        <v>0</v>
      </c>
      <c r="AI31" s="2293"/>
      <c r="AJ31" s="2298"/>
      <c r="AK31" s="2293" t="str">
        <f>IF(AJ31&lt;=1,"Insignificante",HLOOKUP(AJ31,[89]Listas!$F$3:$J$4,2,0))</f>
        <v>Insignificante</v>
      </c>
      <c r="AL31" s="2298">
        <f t="shared" si="2"/>
        <v>0</v>
      </c>
      <c r="AM31" s="2293" t="e">
        <f>INDEX([89]Listas!$F$6:$J$10,MATCH(AI31,[89]Listas!$D$6:$D$10,0),MATCH(AK31,[89]Listas!$F$4:$J$4,0))</f>
        <v>#N/A</v>
      </c>
      <c r="AN31" s="1326"/>
      <c r="AO31" s="1326"/>
      <c r="AP31" s="2296"/>
      <c r="AQ31" s="1354"/>
      <c r="AR31" s="1354" t="s">
        <v>2343</v>
      </c>
      <c r="AS31" s="1887"/>
      <c r="AT31" s="1354"/>
      <c r="AU31" s="1354"/>
      <c r="AV31" s="1354"/>
      <c r="AW31" s="1354"/>
      <c r="AX31" s="1354"/>
      <c r="AY31" s="262"/>
    </row>
    <row r="32" spans="1:51" s="260" customFormat="1" ht="103.5" customHeight="1">
      <c r="A32" s="1320" t="s">
        <v>1317</v>
      </c>
      <c r="B32" s="1903"/>
      <c r="C32" s="1890"/>
      <c r="D32" s="1890"/>
      <c r="E32" s="1890"/>
      <c r="F32" s="1356"/>
      <c r="G32" s="2303" t="s">
        <v>446</v>
      </c>
      <c r="H32" s="2303"/>
      <c r="I32" s="2303"/>
      <c r="J32" s="2303"/>
      <c r="K32" s="2303"/>
      <c r="L32" s="2303"/>
      <c r="M32" s="1320"/>
      <c r="N32" s="1320"/>
      <c r="O32" s="1320"/>
      <c r="P32" s="1320"/>
      <c r="Q32" s="1891"/>
      <c r="R32" s="1891"/>
      <c r="S32" s="324"/>
      <c r="T32" s="2300"/>
      <c r="U32" s="2300"/>
      <c r="V32" s="1902"/>
      <c r="W32" s="324"/>
      <c r="X32" s="2303" t="s">
        <v>1380</v>
      </c>
      <c r="Y32" s="2303"/>
      <c r="Z32" s="2303"/>
      <c r="AA32" s="2154"/>
      <c r="AB32" s="1356"/>
      <c r="AC32" s="348" t="s">
        <v>1381</v>
      </c>
      <c r="AD32" s="1320"/>
      <c r="AE32" s="1356"/>
      <c r="AF32" s="324"/>
      <c r="AG32" s="2298"/>
      <c r="AH32" s="2298">
        <f t="shared" si="0"/>
        <v>0</v>
      </c>
      <c r="AI32" s="2293"/>
      <c r="AJ32" s="2298"/>
      <c r="AK32" s="2293" t="str">
        <f>IF(AJ32&lt;=1,"Insignificante",HLOOKUP(AJ32,[89]Listas!$F$3:$J$4,2,0))</f>
        <v>Insignificante</v>
      </c>
      <c r="AL32" s="2298">
        <f t="shared" si="2"/>
        <v>0</v>
      </c>
      <c r="AM32" s="2293" t="e">
        <f>INDEX([89]Listas!$F$6:$J$10,MATCH(AI32,[89]Listas!$D$6:$D$10,0),MATCH(AK32,[89]Listas!$F$4:$J$4,0))</f>
        <v>#N/A</v>
      </c>
      <c r="AN32" s="1327"/>
      <c r="AO32" s="1327"/>
      <c r="AP32" s="2297"/>
      <c r="AQ32" s="1355"/>
      <c r="AR32" s="1355" t="s">
        <v>2343</v>
      </c>
      <c r="AS32" s="1888"/>
      <c r="AT32" s="1355"/>
      <c r="AU32" s="1355"/>
      <c r="AV32" s="1355"/>
      <c r="AW32" s="1355"/>
      <c r="AX32" s="1355"/>
      <c r="AY32" s="262"/>
    </row>
    <row r="33" spans="1:51" s="260" customFormat="1" ht="103.5" customHeight="1">
      <c r="A33" s="1320" t="s">
        <v>1382</v>
      </c>
      <c r="B33" s="1903" t="s">
        <v>2085</v>
      </c>
      <c r="C33" s="1890" t="s">
        <v>3500</v>
      </c>
      <c r="D33" s="1890"/>
      <c r="E33" s="1890"/>
      <c r="F33" s="1356" t="s">
        <v>353</v>
      </c>
      <c r="G33" s="2303" t="s">
        <v>1383</v>
      </c>
      <c r="H33" s="2303"/>
      <c r="I33" s="2303"/>
      <c r="J33" s="2303" t="s">
        <v>710</v>
      </c>
      <c r="K33" s="2303"/>
      <c r="L33" s="2303"/>
      <c r="M33" s="1320"/>
      <c r="N33" s="1320"/>
      <c r="O33" s="1320"/>
      <c r="P33" s="1320" t="s">
        <v>684</v>
      </c>
      <c r="Q33" s="1891" t="s">
        <v>648</v>
      </c>
      <c r="R33" s="1891" t="s">
        <v>643</v>
      </c>
      <c r="S33" s="324"/>
      <c r="T33" s="2300">
        <f>VLOOKUP(Q33,[89]Listas!$D$6:$E$10,2,0)</f>
        <v>4</v>
      </c>
      <c r="U33" s="2300">
        <f>HLOOKUP(R33,[89]Listas!$F$4:$J$5,2,0)</f>
        <v>2</v>
      </c>
      <c r="V33" s="1902" t="str">
        <f>INDEX([89]Listas!$F$6:$J$10,MATCH(Q33,[89]Listas!$D$6:$D$10,0),MATCH(R33,[89]Listas!$F$4:$J$4,0))</f>
        <v>8
MODERADO</v>
      </c>
      <c r="W33" s="324"/>
      <c r="X33" s="2303" t="s">
        <v>1384</v>
      </c>
      <c r="Y33" s="2303"/>
      <c r="Z33" s="2303"/>
      <c r="AA33" s="2152" t="s">
        <v>4013</v>
      </c>
      <c r="AB33" s="1356" t="s">
        <v>1385</v>
      </c>
      <c r="AC33" s="348" t="s">
        <v>1386</v>
      </c>
      <c r="AD33" s="1320">
        <v>87</v>
      </c>
      <c r="AE33" s="1356" t="s">
        <v>152</v>
      </c>
      <c r="AF33" s="324"/>
      <c r="AG33" s="2298">
        <f>IF(AD33&lt;=33,0,IF(AD33&gt;81,2,1))</f>
        <v>2</v>
      </c>
      <c r="AH33" s="2298">
        <f t="shared" si="0"/>
        <v>2</v>
      </c>
      <c r="AI33" s="2293" t="str">
        <f>IF(AH33&lt;=1,"Remota",VLOOKUP(AH33,[89]Listas!$C$6:$D$10,2,0))</f>
        <v>Baja</v>
      </c>
      <c r="AJ33" s="2298">
        <f>IF(OR(AE33="Impacto",AE33="Ambos"),U33-AG33,U33)</f>
        <v>0</v>
      </c>
      <c r="AK33" s="2293" t="str">
        <f>IF(AJ33&lt;=1,"Insignificante",HLOOKUP(AJ33,[89]Listas!$F$3:$J$4,2,0))</f>
        <v>Insignificante</v>
      </c>
      <c r="AL33" s="2298">
        <f t="shared" si="2"/>
        <v>0</v>
      </c>
      <c r="AM33" s="2293" t="str">
        <f>INDEX([89]Listas!$F$6:$J$10,MATCH(AI33,[89]Listas!$D$6:$D$10,0),MATCH(AK33,[89]Listas!$F$4:$J$4,0))</f>
        <v>2
INFERIOR</v>
      </c>
      <c r="AN33" s="1325" t="s">
        <v>3107</v>
      </c>
      <c r="AO33" s="1325" t="s">
        <v>3108</v>
      </c>
      <c r="AP33" s="2295">
        <v>0</v>
      </c>
      <c r="AQ33" s="1353" t="s">
        <v>3501</v>
      </c>
      <c r="AR33" s="1353" t="s">
        <v>3495</v>
      </c>
      <c r="AS33" s="1886" t="s">
        <v>36</v>
      </c>
      <c r="AT33" s="1353"/>
      <c r="AU33" s="1353"/>
      <c r="AV33" s="1353"/>
      <c r="AW33" s="1353"/>
      <c r="AX33" s="1353"/>
      <c r="AY33" s="262"/>
    </row>
    <row r="34" spans="1:51" s="260" customFormat="1" ht="103.5" customHeight="1">
      <c r="A34" s="1320" t="s">
        <v>1317</v>
      </c>
      <c r="B34" s="1903"/>
      <c r="C34" s="1890"/>
      <c r="D34" s="1890"/>
      <c r="E34" s="1890"/>
      <c r="F34" s="1356"/>
      <c r="G34" s="2303" t="s">
        <v>1387</v>
      </c>
      <c r="H34" s="2303"/>
      <c r="I34" s="2303"/>
      <c r="J34" s="2303"/>
      <c r="K34" s="2303"/>
      <c r="L34" s="2303"/>
      <c r="M34" s="1320"/>
      <c r="N34" s="1320"/>
      <c r="O34" s="1320"/>
      <c r="P34" s="1320"/>
      <c r="Q34" s="1891"/>
      <c r="R34" s="1891"/>
      <c r="S34" s="324"/>
      <c r="T34" s="2300"/>
      <c r="U34" s="2300"/>
      <c r="V34" s="1902"/>
      <c r="W34" s="324"/>
      <c r="X34" s="2303" t="s">
        <v>1388</v>
      </c>
      <c r="Y34" s="2303"/>
      <c r="Z34" s="2303"/>
      <c r="AA34" s="2153"/>
      <c r="AB34" s="1356"/>
      <c r="AC34" s="348" t="s">
        <v>1389</v>
      </c>
      <c r="AD34" s="1320"/>
      <c r="AE34" s="1356"/>
      <c r="AF34" s="324"/>
      <c r="AG34" s="2298"/>
      <c r="AH34" s="2298">
        <f t="shared" si="0"/>
        <v>0</v>
      </c>
      <c r="AI34" s="2293"/>
      <c r="AJ34" s="2298"/>
      <c r="AK34" s="2293" t="str">
        <f>IF(AJ34&lt;=1,"Insignificante",HLOOKUP(AJ34,[89]Listas!$F$3:$J$4,2,0))</f>
        <v>Insignificante</v>
      </c>
      <c r="AL34" s="2298">
        <f t="shared" si="2"/>
        <v>0</v>
      </c>
      <c r="AM34" s="2293" t="e">
        <f>INDEX([89]Listas!$F$6:$J$10,MATCH(AI34,[89]Listas!$D$6:$D$10,0),MATCH(AK34,[89]Listas!$F$4:$J$4,0))</f>
        <v>#N/A</v>
      </c>
      <c r="AN34" s="1326"/>
      <c r="AO34" s="1326"/>
      <c r="AP34" s="2296"/>
      <c r="AQ34" s="1354"/>
      <c r="AR34" s="1354" t="s">
        <v>2343</v>
      </c>
      <c r="AS34" s="1887"/>
      <c r="AT34" s="1354"/>
      <c r="AU34" s="1354"/>
      <c r="AV34" s="1354"/>
      <c r="AW34" s="1354"/>
      <c r="AX34" s="1354"/>
      <c r="AY34" s="262"/>
    </row>
    <row r="35" spans="1:51" s="260" customFormat="1" ht="103.5" customHeight="1">
      <c r="A35" s="1320" t="s">
        <v>1317</v>
      </c>
      <c r="B35" s="1903"/>
      <c r="C35" s="1890"/>
      <c r="D35" s="1890"/>
      <c r="E35" s="1890"/>
      <c r="F35" s="1356"/>
      <c r="G35" s="2303" t="s">
        <v>1390</v>
      </c>
      <c r="H35" s="2303"/>
      <c r="I35" s="2303"/>
      <c r="J35" s="2303"/>
      <c r="K35" s="2303"/>
      <c r="L35" s="2303"/>
      <c r="M35" s="1320"/>
      <c r="N35" s="1320"/>
      <c r="O35" s="1320"/>
      <c r="P35" s="1320"/>
      <c r="Q35" s="1891"/>
      <c r="R35" s="1891"/>
      <c r="S35" s="324"/>
      <c r="T35" s="2300"/>
      <c r="U35" s="2300"/>
      <c r="V35" s="1902"/>
      <c r="W35" s="324"/>
      <c r="X35" s="2303" t="s">
        <v>1391</v>
      </c>
      <c r="Y35" s="2303"/>
      <c r="Z35" s="2303"/>
      <c r="AA35" s="2154"/>
      <c r="AB35" s="1356"/>
      <c r="AC35" s="348" t="s">
        <v>1392</v>
      </c>
      <c r="AD35" s="1320"/>
      <c r="AE35" s="1356"/>
      <c r="AF35" s="324"/>
      <c r="AG35" s="2298"/>
      <c r="AH35" s="2298">
        <f t="shared" si="0"/>
        <v>0</v>
      </c>
      <c r="AI35" s="2293"/>
      <c r="AJ35" s="2298"/>
      <c r="AK35" s="2293" t="str">
        <f>IF(AJ35&lt;=1,"Insignificante",HLOOKUP(AJ35,[89]Listas!$F$3:$J$4,2,0))</f>
        <v>Insignificante</v>
      </c>
      <c r="AL35" s="2298">
        <f t="shared" si="2"/>
        <v>0</v>
      </c>
      <c r="AM35" s="2293" t="e">
        <f>INDEX([89]Listas!$F$6:$J$10,MATCH(AI35,[89]Listas!$D$6:$D$10,0),MATCH(AK35,[89]Listas!$F$4:$J$4,0))</f>
        <v>#N/A</v>
      </c>
      <c r="AN35" s="1327"/>
      <c r="AO35" s="1327"/>
      <c r="AP35" s="2297"/>
      <c r="AQ35" s="1355"/>
      <c r="AR35" s="1355" t="s">
        <v>2343</v>
      </c>
      <c r="AS35" s="1887"/>
      <c r="AT35" s="1355"/>
      <c r="AU35" s="1355"/>
      <c r="AV35" s="1355"/>
      <c r="AW35" s="1355"/>
      <c r="AX35" s="1355"/>
      <c r="AY35" s="262"/>
    </row>
    <row r="36" spans="1:51" s="260" customFormat="1" ht="103.5" customHeight="1">
      <c r="A36" s="1320" t="s">
        <v>1393</v>
      </c>
      <c r="B36" s="1903" t="s">
        <v>2086</v>
      </c>
      <c r="C36" s="1890" t="s">
        <v>447</v>
      </c>
      <c r="D36" s="1890"/>
      <c r="E36" s="1890"/>
      <c r="F36" s="1356" t="s">
        <v>353</v>
      </c>
      <c r="G36" s="2303" t="s">
        <v>1394</v>
      </c>
      <c r="H36" s="2303"/>
      <c r="I36" s="2303"/>
      <c r="J36" s="2303" t="s">
        <v>448</v>
      </c>
      <c r="K36" s="2303"/>
      <c r="L36" s="2303"/>
      <c r="M36" s="1320"/>
      <c r="N36" s="1320"/>
      <c r="O36" s="1320"/>
      <c r="P36" s="1320" t="s">
        <v>684</v>
      </c>
      <c r="Q36" s="1891" t="s">
        <v>655</v>
      </c>
      <c r="R36" s="1891" t="s">
        <v>643</v>
      </c>
      <c r="S36" s="324"/>
      <c r="T36" s="2300">
        <f>VLOOKUP(Q36,[89]Listas!$D$6:$E$10,2,0)</f>
        <v>2</v>
      </c>
      <c r="U36" s="2300">
        <f>HLOOKUP(R36,[89]Listas!$F$4:$J$5,2,0)</f>
        <v>2</v>
      </c>
      <c r="V36" s="1902" t="str">
        <f>INDEX([89]Listas!$F$6:$J$10,MATCH(Q36,[89]Listas!$D$6:$D$10,0),MATCH(R36,[89]Listas!$F$4:$J$4,0))</f>
        <v>4
INFERIOR</v>
      </c>
      <c r="W36" s="324"/>
      <c r="X36" s="2303" t="s">
        <v>3109</v>
      </c>
      <c r="Y36" s="2303"/>
      <c r="Z36" s="2303"/>
      <c r="AA36" s="2152" t="s">
        <v>4013</v>
      </c>
      <c r="AB36" s="1356" t="s">
        <v>1385</v>
      </c>
      <c r="AC36" s="348" t="s">
        <v>711</v>
      </c>
      <c r="AD36" s="1320">
        <v>87</v>
      </c>
      <c r="AE36" s="1356" t="s">
        <v>153</v>
      </c>
      <c r="AF36" s="324"/>
      <c r="AG36" s="2298">
        <f>IF(AD36&lt;=33,0,IF(AD36&gt;81,2,1))</f>
        <v>2</v>
      </c>
      <c r="AH36" s="2298">
        <f t="shared" si="0"/>
        <v>0</v>
      </c>
      <c r="AI36" s="2293" t="str">
        <f>IF(AH36&lt;=1,"Remota",VLOOKUP(AH36,[89]Listas!$C$6:$D$10,2,0))</f>
        <v>Remota</v>
      </c>
      <c r="AJ36" s="2298">
        <f>IF(OR(AE36="Impacto",AE36="Ambos"),U36-AG36,U36)</f>
        <v>2</v>
      </c>
      <c r="AK36" s="2293" t="str">
        <f>IF(AJ36&lt;=1,"Insignificante",HLOOKUP(AJ36,[89]Listas!$F$3:$J$4,2,0))</f>
        <v>Menor</v>
      </c>
      <c r="AL36" s="2298">
        <f t="shared" si="2"/>
        <v>0</v>
      </c>
      <c r="AM36" s="2293" t="str">
        <f>INDEX([89]Listas!$F$6:$J$10,MATCH(AI36,[89]Listas!$D$6:$D$10,0),MATCH(AK36,[89]Listas!$F$4:$J$4,0))</f>
        <v>2
INFERIOR</v>
      </c>
      <c r="AN36" s="1325" t="s">
        <v>3110</v>
      </c>
      <c r="AO36" s="1325" t="s">
        <v>3111</v>
      </c>
      <c r="AP36" s="2295">
        <v>0</v>
      </c>
      <c r="AQ36" s="1353" t="s">
        <v>3502</v>
      </c>
      <c r="AR36" s="1353" t="s">
        <v>3495</v>
      </c>
      <c r="AS36" s="1886" t="s">
        <v>36</v>
      </c>
      <c r="AT36" s="1353"/>
      <c r="AU36" s="1353"/>
      <c r="AV36" s="1353"/>
      <c r="AW36" s="1353"/>
      <c r="AX36" s="1353"/>
      <c r="AY36" s="262"/>
    </row>
    <row r="37" spans="1:51" s="260" customFormat="1" ht="103.5" customHeight="1">
      <c r="A37" s="1320" t="s">
        <v>1317</v>
      </c>
      <c r="B37" s="1903"/>
      <c r="C37" s="1890"/>
      <c r="D37" s="1890"/>
      <c r="E37" s="1890"/>
      <c r="F37" s="1356"/>
      <c r="G37" s="2303" t="s">
        <v>1395</v>
      </c>
      <c r="H37" s="2303"/>
      <c r="I37" s="2303"/>
      <c r="J37" s="2303"/>
      <c r="K37" s="2303"/>
      <c r="L37" s="2303"/>
      <c r="M37" s="1320"/>
      <c r="N37" s="1320"/>
      <c r="O37" s="1320"/>
      <c r="P37" s="1320"/>
      <c r="Q37" s="1891"/>
      <c r="R37" s="1891"/>
      <c r="S37" s="324"/>
      <c r="T37" s="2300"/>
      <c r="U37" s="2300"/>
      <c r="V37" s="1902"/>
      <c r="W37" s="324"/>
      <c r="X37" s="2303" t="s">
        <v>1396</v>
      </c>
      <c r="Y37" s="2303"/>
      <c r="Z37" s="2303"/>
      <c r="AA37" s="2153"/>
      <c r="AB37" s="1356"/>
      <c r="AC37" s="348" t="s">
        <v>449</v>
      </c>
      <c r="AD37" s="1320"/>
      <c r="AE37" s="1356"/>
      <c r="AF37" s="324"/>
      <c r="AG37" s="2298"/>
      <c r="AH37" s="2298">
        <f t="shared" si="0"/>
        <v>0</v>
      </c>
      <c r="AI37" s="2293"/>
      <c r="AJ37" s="2298"/>
      <c r="AK37" s="2293" t="str">
        <f>IF(AJ37&lt;=1,"Insignificante",HLOOKUP(AJ37,[89]Listas!$F$3:$J$4,2,0))</f>
        <v>Insignificante</v>
      </c>
      <c r="AL37" s="2298">
        <f t="shared" si="2"/>
        <v>0</v>
      </c>
      <c r="AM37" s="2293" t="e">
        <f>INDEX([89]Listas!$F$6:$J$10,MATCH(AI37,[89]Listas!$D$6:$D$10,0),MATCH(AK37,[89]Listas!$F$4:$J$4,0))</f>
        <v>#N/A</v>
      </c>
      <c r="AN37" s="1326"/>
      <c r="AO37" s="1326"/>
      <c r="AP37" s="2296"/>
      <c r="AQ37" s="1354"/>
      <c r="AR37" s="1354" t="s">
        <v>2343</v>
      </c>
      <c r="AS37" s="1887"/>
      <c r="AT37" s="1354"/>
      <c r="AU37" s="1354"/>
      <c r="AV37" s="1354"/>
      <c r="AW37" s="1354"/>
      <c r="AX37" s="1354"/>
      <c r="AY37" s="262"/>
    </row>
    <row r="38" spans="1:51" s="260" customFormat="1" ht="103.5" customHeight="1">
      <c r="A38" s="1320" t="s">
        <v>1317</v>
      </c>
      <c r="B38" s="1903"/>
      <c r="C38" s="1890"/>
      <c r="D38" s="1890"/>
      <c r="E38" s="1890"/>
      <c r="F38" s="1356"/>
      <c r="G38" s="2303" t="s">
        <v>712</v>
      </c>
      <c r="H38" s="2303"/>
      <c r="I38" s="2303"/>
      <c r="J38" s="2303"/>
      <c r="K38" s="2303"/>
      <c r="L38" s="2303"/>
      <c r="M38" s="1320"/>
      <c r="N38" s="1320"/>
      <c r="O38" s="1320"/>
      <c r="P38" s="1320"/>
      <c r="Q38" s="1891"/>
      <c r="R38" s="1891"/>
      <c r="S38" s="324"/>
      <c r="T38" s="2300"/>
      <c r="U38" s="2300"/>
      <c r="V38" s="1902"/>
      <c r="W38" s="324"/>
      <c r="X38" s="2303" t="s">
        <v>1397</v>
      </c>
      <c r="Y38" s="2303"/>
      <c r="Z38" s="2303"/>
      <c r="AA38" s="2153"/>
      <c r="AB38" s="1356"/>
      <c r="AC38" s="348" t="s">
        <v>450</v>
      </c>
      <c r="AD38" s="1320"/>
      <c r="AE38" s="1356"/>
      <c r="AF38" s="324"/>
      <c r="AG38" s="2298"/>
      <c r="AH38" s="2298">
        <f t="shared" si="0"/>
        <v>0</v>
      </c>
      <c r="AI38" s="2293"/>
      <c r="AJ38" s="2298"/>
      <c r="AK38" s="2293" t="str">
        <f>IF(AJ38&lt;=1,"Insignificante",HLOOKUP(AJ38,[89]Listas!$F$3:$J$4,2,0))</f>
        <v>Insignificante</v>
      </c>
      <c r="AL38" s="2298">
        <f t="shared" si="2"/>
        <v>0</v>
      </c>
      <c r="AM38" s="2293" t="e">
        <f>INDEX([89]Listas!$F$6:$J$10,MATCH(AI38,[89]Listas!$D$6:$D$10,0),MATCH(AK38,[89]Listas!$F$4:$J$4,0))</f>
        <v>#N/A</v>
      </c>
      <c r="AN38" s="1326"/>
      <c r="AO38" s="1326"/>
      <c r="AP38" s="2296"/>
      <c r="AQ38" s="1354"/>
      <c r="AR38" s="1354" t="s">
        <v>2343</v>
      </c>
      <c r="AS38" s="1887"/>
      <c r="AT38" s="1354"/>
      <c r="AU38" s="1354"/>
      <c r="AV38" s="1354"/>
      <c r="AW38" s="1354"/>
      <c r="AX38" s="1354"/>
      <c r="AY38" s="262"/>
    </row>
    <row r="39" spans="1:51" s="260" customFormat="1" ht="103.5" customHeight="1">
      <c r="A39" s="1320" t="s">
        <v>1317</v>
      </c>
      <c r="B39" s="1903"/>
      <c r="C39" s="1890"/>
      <c r="D39" s="1890"/>
      <c r="E39" s="1890"/>
      <c r="F39" s="1356"/>
      <c r="G39" s="2303" t="s">
        <v>79</v>
      </c>
      <c r="H39" s="2303"/>
      <c r="I39" s="2303"/>
      <c r="J39" s="2303"/>
      <c r="K39" s="2303"/>
      <c r="L39" s="2303"/>
      <c r="M39" s="1320"/>
      <c r="N39" s="1320"/>
      <c r="O39" s="1320"/>
      <c r="P39" s="1320"/>
      <c r="Q39" s="1891"/>
      <c r="R39" s="1891"/>
      <c r="S39" s="324"/>
      <c r="T39" s="2300"/>
      <c r="U39" s="2300"/>
      <c r="V39" s="1902"/>
      <c r="W39" s="324"/>
      <c r="X39" s="2303" t="s">
        <v>1398</v>
      </c>
      <c r="Y39" s="2303"/>
      <c r="Z39" s="2303"/>
      <c r="AA39" s="2153"/>
      <c r="AB39" s="1356"/>
      <c r="AC39" s="348" t="s">
        <v>450</v>
      </c>
      <c r="AD39" s="1320"/>
      <c r="AE39" s="1356"/>
      <c r="AF39" s="324"/>
      <c r="AG39" s="2298"/>
      <c r="AH39" s="2298">
        <f t="shared" si="0"/>
        <v>0</v>
      </c>
      <c r="AI39" s="2293"/>
      <c r="AJ39" s="2298"/>
      <c r="AK39" s="2293" t="str">
        <f>IF(AJ39&lt;=1,"Insignificante",HLOOKUP(AJ39,[89]Listas!$F$3:$J$4,2,0))</f>
        <v>Insignificante</v>
      </c>
      <c r="AL39" s="2298">
        <f t="shared" si="2"/>
        <v>0</v>
      </c>
      <c r="AM39" s="2293" t="e">
        <f>INDEX([89]Listas!$F$6:$J$10,MATCH(AI39,[89]Listas!$D$6:$D$10,0),MATCH(AK39,[89]Listas!$F$4:$J$4,0))</f>
        <v>#N/A</v>
      </c>
      <c r="AN39" s="1326"/>
      <c r="AO39" s="1326"/>
      <c r="AP39" s="2296"/>
      <c r="AQ39" s="1354"/>
      <c r="AR39" s="1354" t="s">
        <v>2343</v>
      </c>
      <c r="AS39" s="1887"/>
      <c r="AT39" s="1354"/>
      <c r="AU39" s="1354"/>
      <c r="AV39" s="1354"/>
      <c r="AW39" s="1354"/>
      <c r="AX39" s="1354"/>
      <c r="AY39" s="262"/>
    </row>
    <row r="40" spans="1:51" s="260" customFormat="1" ht="103.5" customHeight="1">
      <c r="A40" s="1320" t="s">
        <v>1317</v>
      </c>
      <c r="B40" s="1903"/>
      <c r="C40" s="1890"/>
      <c r="D40" s="1890"/>
      <c r="E40" s="1890"/>
      <c r="F40" s="1356"/>
      <c r="G40" s="2303" t="s">
        <v>80</v>
      </c>
      <c r="H40" s="2303"/>
      <c r="I40" s="2303"/>
      <c r="J40" s="2303"/>
      <c r="K40" s="2303"/>
      <c r="L40" s="2303"/>
      <c r="M40" s="1320"/>
      <c r="N40" s="1320"/>
      <c r="O40" s="1320"/>
      <c r="P40" s="1320"/>
      <c r="Q40" s="1891"/>
      <c r="R40" s="1891"/>
      <c r="S40" s="324"/>
      <c r="T40" s="2300"/>
      <c r="U40" s="2300"/>
      <c r="V40" s="1902"/>
      <c r="W40" s="324"/>
      <c r="X40" s="2303" t="s">
        <v>1399</v>
      </c>
      <c r="Y40" s="2303"/>
      <c r="Z40" s="2303"/>
      <c r="AA40" s="2154"/>
      <c r="AB40" s="1356"/>
      <c r="AC40" s="348" t="s">
        <v>450</v>
      </c>
      <c r="AD40" s="1320"/>
      <c r="AE40" s="1356"/>
      <c r="AF40" s="324"/>
      <c r="AG40" s="2298"/>
      <c r="AH40" s="2298">
        <f t="shared" si="0"/>
        <v>0</v>
      </c>
      <c r="AI40" s="2293"/>
      <c r="AJ40" s="2298"/>
      <c r="AK40" s="2293" t="str">
        <f>IF(AJ40&lt;=1,"Insignificante",HLOOKUP(AJ40,[89]Listas!$F$3:$J$4,2,0))</f>
        <v>Insignificante</v>
      </c>
      <c r="AL40" s="2298">
        <f t="shared" si="2"/>
        <v>0</v>
      </c>
      <c r="AM40" s="2293" t="e">
        <f>INDEX([89]Listas!$F$6:$J$10,MATCH(AI40,[89]Listas!$D$6:$D$10,0),MATCH(AK40,[89]Listas!$F$4:$J$4,0))</f>
        <v>#N/A</v>
      </c>
      <c r="AN40" s="1327"/>
      <c r="AO40" s="1327"/>
      <c r="AP40" s="2297"/>
      <c r="AQ40" s="1355"/>
      <c r="AR40" s="1355" t="s">
        <v>2343</v>
      </c>
      <c r="AS40" s="1888"/>
      <c r="AT40" s="1355"/>
      <c r="AU40" s="1355"/>
      <c r="AV40" s="1355"/>
      <c r="AW40" s="1355"/>
      <c r="AX40" s="1355"/>
      <c r="AY40" s="262"/>
    </row>
    <row r="41" spans="1:51" s="260" customFormat="1" ht="103.5" customHeight="1">
      <c r="A41" s="1320" t="s">
        <v>713</v>
      </c>
      <c r="B41" s="1903" t="s">
        <v>2087</v>
      </c>
      <c r="C41" s="1890" t="s">
        <v>451</v>
      </c>
      <c r="D41" s="1890"/>
      <c r="E41" s="1890"/>
      <c r="F41" s="1356" t="s">
        <v>353</v>
      </c>
      <c r="G41" s="2303" t="s">
        <v>1400</v>
      </c>
      <c r="H41" s="2303"/>
      <c r="I41" s="2303"/>
      <c r="J41" s="2303" t="s">
        <v>714</v>
      </c>
      <c r="K41" s="2303"/>
      <c r="L41" s="2303"/>
      <c r="M41" s="1320"/>
      <c r="N41" s="1320"/>
      <c r="O41" s="1320"/>
      <c r="P41" s="1320"/>
      <c r="Q41" s="1891" t="s">
        <v>648</v>
      </c>
      <c r="R41" s="1891" t="s">
        <v>643</v>
      </c>
      <c r="S41" s="324"/>
      <c r="T41" s="2300">
        <f>VLOOKUP(Q41,[89]Listas!$D$6:$E$10,2,0)</f>
        <v>4</v>
      </c>
      <c r="U41" s="2300">
        <f>HLOOKUP(R41,[89]Listas!$F$4:$J$5,2,0)</f>
        <v>2</v>
      </c>
      <c r="V41" s="1902" t="str">
        <f>INDEX([89]Listas!$F$6:$J$10,MATCH(Q41,[89]Listas!$D$6:$D$10,0),MATCH(R41,[89]Listas!$F$4:$J$4,0))</f>
        <v>8
MODERADO</v>
      </c>
      <c r="W41" s="324"/>
      <c r="X41" s="2303" t="s">
        <v>1401</v>
      </c>
      <c r="Y41" s="2303"/>
      <c r="Z41" s="2303"/>
      <c r="AA41" s="2152" t="s">
        <v>4013</v>
      </c>
      <c r="AB41" s="1356" t="s">
        <v>1402</v>
      </c>
      <c r="AC41" s="348" t="s">
        <v>1403</v>
      </c>
      <c r="AD41" s="1320">
        <v>67</v>
      </c>
      <c r="AE41" s="1356" t="s">
        <v>153</v>
      </c>
      <c r="AF41" s="324"/>
      <c r="AG41" s="2298">
        <f>IF(AD41&lt;=33,0,IF(AD41&gt;81,2,1))</f>
        <v>1</v>
      </c>
      <c r="AH41" s="2298">
        <f t="shared" si="0"/>
        <v>3</v>
      </c>
      <c r="AI41" s="2293" t="str">
        <f>IF(AH41&lt;=1,"Remota",VLOOKUP(AH41,[89]Listas!$C$6:$D$10,2,0))</f>
        <v>Posible</v>
      </c>
      <c r="AJ41" s="2298">
        <f>IF(OR(AE41="Impacto",AE41="Ambos"),U41-AG41,U41)</f>
        <v>2</v>
      </c>
      <c r="AK41" s="2293" t="str">
        <f>IF(AJ41&lt;=1,"Insignificante",HLOOKUP(AJ41,[89]Listas!$F$3:$J$4,2,0))</f>
        <v>Menor</v>
      </c>
      <c r="AL41" s="2294">
        <f t="shared" si="2"/>
        <v>6</v>
      </c>
      <c r="AM41" s="1902" t="str">
        <f>INDEX([89]Listas!$F$6:$J$10,MATCH(AI41,[89]Listas!$D$6:$D$10,0),MATCH(AK41,[89]Listas!$F$4:$J$4,0))</f>
        <v>6
MODERADO</v>
      </c>
      <c r="AN41" s="1325" t="s">
        <v>3112</v>
      </c>
      <c r="AO41" s="1325" t="s">
        <v>3113</v>
      </c>
      <c r="AP41" s="2308">
        <v>0</v>
      </c>
      <c r="AQ41" s="1353" t="s">
        <v>4090</v>
      </c>
      <c r="AR41" s="1353" t="s">
        <v>4091</v>
      </c>
      <c r="AS41" s="1886" t="s">
        <v>65</v>
      </c>
      <c r="AT41" s="2304" t="s">
        <v>4092</v>
      </c>
      <c r="AU41" s="1353" t="s">
        <v>4093</v>
      </c>
      <c r="AV41" s="2307">
        <v>43703</v>
      </c>
      <c r="AW41" s="2307">
        <v>43826</v>
      </c>
      <c r="AX41" s="1353" t="s">
        <v>4094</v>
      </c>
      <c r="AY41" s="262"/>
    </row>
    <row r="42" spans="1:51" s="260" customFormat="1" ht="103.5" customHeight="1">
      <c r="A42" s="1320" t="s">
        <v>1317</v>
      </c>
      <c r="B42" s="1903"/>
      <c r="C42" s="1890"/>
      <c r="D42" s="1890"/>
      <c r="E42" s="1890"/>
      <c r="F42" s="1356"/>
      <c r="G42" s="2303" t="s">
        <v>452</v>
      </c>
      <c r="H42" s="2303"/>
      <c r="I42" s="2303"/>
      <c r="J42" s="2303"/>
      <c r="K42" s="2303"/>
      <c r="L42" s="2303"/>
      <c r="M42" s="1320"/>
      <c r="N42" s="1320"/>
      <c r="O42" s="1320"/>
      <c r="P42" s="1320"/>
      <c r="Q42" s="1891"/>
      <c r="R42" s="1891"/>
      <c r="S42" s="324"/>
      <c r="T42" s="2300"/>
      <c r="U42" s="2300" t="e">
        <f>HLOOKUP(R42,[89]Listas!$F$4:$J$5,2,0)</f>
        <v>#N/A</v>
      </c>
      <c r="V42" s="1902"/>
      <c r="W42" s="324"/>
      <c r="X42" s="2303" t="s">
        <v>1404</v>
      </c>
      <c r="Y42" s="2303"/>
      <c r="Z42" s="2303"/>
      <c r="AA42" s="2153"/>
      <c r="AB42" s="1356"/>
      <c r="AC42" s="348" t="s">
        <v>1405</v>
      </c>
      <c r="AD42" s="1320"/>
      <c r="AE42" s="1356"/>
      <c r="AF42" s="324"/>
      <c r="AG42" s="2298"/>
      <c r="AH42" s="2298">
        <f t="shared" si="0"/>
        <v>0</v>
      </c>
      <c r="AI42" s="2293"/>
      <c r="AJ42" s="2298"/>
      <c r="AK42" s="2293"/>
      <c r="AL42" s="2294"/>
      <c r="AM42" s="1902"/>
      <c r="AN42" s="1326"/>
      <c r="AO42" s="1326"/>
      <c r="AP42" s="2309"/>
      <c r="AQ42" s="1354"/>
      <c r="AR42" s="1354" t="s">
        <v>2343</v>
      </c>
      <c r="AS42" s="1887"/>
      <c r="AT42" s="2305"/>
      <c r="AU42" s="1354"/>
      <c r="AV42" s="1354"/>
      <c r="AW42" s="1354"/>
      <c r="AX42" s="1354"/>
      <c r="AY42" s="262"/>
    </row>
    <row r="43" spans="1:51" s="260" customFormat="1" ht="103.5" customHeight="1">
      <c r="A43" s="1320" t="s">
        <v>1317</v>
      </c>
      <c r="B43" s="1903"/>
      <c r="C43" s="1890"/>
      <c r="D43" s="1890"/>
      <c r="E43" s="1890"/>
      <c r="F43" s="1356"/>
      <c r="G43" s="2303" t="s">
        <v>1406</v>
      </c>
      <c r="H43" s="2303"/>
      <c r="I43" s="2303"/>
      <c r="J43" s="2303"/>
      <c r="K43" s="2303"/>
      <c r="L43" s="2303"/>
      <c r="M43" s="1320"/>
      <c r="N43" s="1320"/>
      <c r="O43" s="1320"/>
      <c r="P43" s="1320"/>
      <c r="Q43" s="1891"/>
      <c r="R43" s="1891"/>
      <c r="S43" s="324"/>
      <c r="T43" s="2300"/>
      <c r="U43" s="2300" t="e">
        <f>HLOOKUP(R43,[89]Listas!$F$4:$J$5,2,0)</f>
        <v>#N/A</v>
      </c>
      <c r="V43" s="1902"/>
      <c r="W43" s="324"/>
      <c r="X43" s="2303" t="s">
        <v>1407</v>
      </c>
      <c r="Y43" s="2303"/>
      <c r="Z43" s="2303"/>
      <c r="AA43" s="2153"/>
      <c r="AB43" s="1356"/>
      <c r="AC43" s="348" t="s">
        <v>1408</v>
      </c>
      <c r="AD43" s="1320"/>
      <c r="AE43" s="1356"/>
      <c r="AF43" s="324"/>
      <c r="AG43" s="2298"/>
      <c r="AH43" s="2298">
        <f t="shared" si="0"/>
        <v>0</v>
      </c>
      <c r="AI43" s="2293"/>
      <c r="AJ43" s="2298"/>
      <c r="AK43" s="2293"/>
      <c r="AL43" s="2294"/>
      <c r="AM43" s="1902"/>
      <c r="AN43" s="1326"/>
      <c r="AO43" s="1326"/>
      <c r="AP43" s="2309"/>
      <c r="AQ43" s="1354"/>
      <c r="AR43" s="1354" t="s">
        <v>2343</v>
      </c>
      <c r="AS43" s="1887"/>
      <c r="AT43" s="2305"/>
      <c r="AU43" s="1354"/>
      <c r="AV43" s="1354"/>
      <c r="AW43" s="1354"/>
      <c r="AX43" s="1354"/>
      <c r="AY43" s="262"/>
    </row>
    <row r="44" spans="1:51" s="260" customFormat="1" ht="103.5" customHeight="1">
      <c r="A44" s="1320" t="s">
        <v>1317</v>
      </c>
      <c r="B44" s="1903"/>
      <c r="C44" s="1890"/>
      <c r="D44" s="1890"/>
      <c r="E44" s="1890"/>
      <c r="F44" s="1356"/>
      <c r="G44" s="2303" t="s">
        <v>715</v>
      </c>
      <c r="H44" s="2303"/>
      <c r="I44" s="2303"/>
      <c r="J44" s="2303"/>
      <c r="K44" s="2303"/>
      <c r="L44" s="2303"/>
      <c r="M44" s="1320"/>
      <c r="N44" s="1320"/>
      <c r="O44" s="1320"/>
      <c r="P44" s="1320"/>
      <c r="Q44" s="1891"/>
      <c r="R44" s="1891"/>
      <c r="S44" s="324"/>
      <c r="T44" s="2300"/>
      <c r="U44" s="2300" t="e">
        <f>HLOOKUP(R44,[89]Listas!$F$4:$J$5,2,0)</f>
        <v>#N/A</v>
      </c>
      <c r="V44" s="1902"/>
      <c r="W44" s="324"/>
      <c r="X44" s="2303" t="s">
        <v>1409</v>
      </c>
      <c r="Y44" s="2303"/>
      <c r="Z44" s="2303"/>
      <c r="AA44" s="2153"/>
      <c r="AB44" s="1356"/>
      <c r="AC44" s="348" t="s">
        <v>1410</v>
      </c>
      <c r="AD44" s="1320"/>
      <c r="AE44" s="1356"/>
      <c r="AF44" s="324"/>
      <c r="AG44" s="2298"/>
      <c r="AH44" s="2298">
        <f t="shared" si="0"/>
        <v>0</v>
      </c>
      <c r="AI44" s="2293"/>
      <c r="AJ44" s="2298"/>
      <c r="AK44" s="2293"/>
      <c r="AL44" s="2294"/>
      <c r="AM44" s="1902"/>
      <c r="AN44" s="1326"/>
      <c r="AO44" s="1326"/>
      <c r="AP44" s="2309"/>
      <c r="AQ44" s="1354"/>
      <c r="AR44" s="1354" t="s">
        <v>2343</v>
      </c>
      <c r="AS44" s="1887"/>
      <c r="AT44" s="2305"/>
      <c r="AU44" s="1354"/>
      <c r="AV44" s="1354"/>
      <c r="AW44" s="1354"/>
      <c r="AX44" s="1354"/>
      <c r="AY44" s="262"/>
    </row>
    <row r="45" spans="1:51" s="260" customFormat="1" ht="103.5" customHeight="1">
      <c r="A45" s="1320" t="s">
        <v>1317</v>
      </c>
      <c r="B45" s="1903"/>
      <c r="C45" s="1890"/>
      <c r="D45" s="1890"/>
      <c r="E45" s="1890"/>
      <c r="F45" s="1356"/>
      <c r="G45" s="2303" t="s">
        <v>716</v>
      </c>
      <c r="H45" s="2303"/>
      <c r="I45" s="2303"/>
      <c r="J45" s="2303"/>
      <c r="K45" s="2303"/>
      <c r="L45" s="2303"/>
      <c r="M45" s="1320"/>
      <c r="N45" s="1320"/>
      <c r="O45" s="1320"/>
      <c r="P45" s="1320"/>
      <c r="Q45" s="1891"/>
      <c r="R45" s="1891"/>
      <c r="S45" s="324"/>
      <c r="T45" s="2300"/>
      <c r="U45" s="2300" t="e">
        <f>HLOOKUP(R45,[89]Listas!$F$4:$J$5,2,0)</f>
        <v>#N/A</v>
      </c>
      <c r="V45" s="1902"/>
      <c r="W45" s="324"/>
      <c r="X45" s="2303" t="s">
        <v>1411</v>
      </c>
      <c r="Y45" s="2303"/>
      <c r="Z45" s="2303"/>
      <c r="AA45" s="2153"/>
      <c r="AB45" s="1356"/>
      <c r="AC45" s="348" t="s">
        <v>197</v>
      </c>
      <c r="AD45" s="1320"/>
      <c r="AE45" s="1356"/>
      <c r="AF45" s="324"/>
      <c r="AG45" s="2298"/>
      <c r="AH45" s="2298">
        <f t="shared" si="0"/>
        <v>0</v>
      </c>
      <c r="AI45" s="2293"/>
      <c r="AJ45" s="2298"/>
      <c r="AK45" s="2293"/>
      <c r="AL45" s="2294"/>
      <c r="AM45" s="1902"/>
      <c r="AN45" s="1326"/>
      <c r="AO45" s="1326"/>
      <c r="AP45" s="2309"/>
      <c r="AQ45" s="1354"/>
      <c r="AR45" s="1354" t="s">
        <v>2343</v>
      </c>
      <c r="AS45" s="1887"/>
      <c r="AT45" s="2305"/>
      <c r="AU45" s="1354"/>
      <c r="AV45" s="1354"/>
      <c r="AW45" s="1354"/>
      <c r="AX45" s="1354"/>
      <c r="AY45" s="262"/>
    </row>
    <row r="46" spans="1:51" s="260" customFormat="1" ht="103.5" customHeight="1">
      <c r="A46" s="1320" t="s">
        <v>1317</v>
      </c>
      <c r="B46" s="1903"/>
      <c r="C46" s="1890"/>
      <c r="D46" s="1890"/>
      <c r="E46" s="1890"/>
      <c r="F46" s="1356"/>
      <c r="G46" s="2303" t="s">
        <v>1412</v>
      </c>
      <c r="H46" s="2303"/>
      <c r="I46" s="2303"/>
      <c r="J46" s="2303"/>
      <c r="K46" s="2303"/>
      <c r="L46" s="2303"/>
      <c r="M46" s="1320"/>
      <c r="N46" s="1320"/>
      <c r="O46" s="1320"/>
      <c r="P46" s="1320"/>
      <c r="Q46" s="1891"/>
      <c r="R46" s="1891"/>
      <c r="S46" s="324"/>
      <c r="T46" s="2300"/>
      <c r="U46" s="2300" t="e">
        <f>HLOOKUP(R46,[89]Listas!$F$4:$J$5,2,0)</f>
        <v>#N/A</v>
      </c>
      <c r="V46" s="1902"/>
      <c r="W46" s="324"/>
      <c r="X46" s="2303" t="s">
        <v>3114</v>
      </c>
      <c r="Y46" s="2303"/>
      <c r="Z46" s="2303"/>
      <c r="AA46" s="2153"/>
      <c r="AB46" s="1356"/>
      <c r="AC46" s="348" t="s">
        <v>1413</v>
      </c>
      <c r="AD46" s="1320"/>
      <c r="AE46" s="1356"/>
      <c r="AF46" s="324"/>
      <c r="AG46" s="2298"/>
      <c r="AH46" s="2298">
        <f t="shared" si="0"/>
        <v>0</v>
      </c>
      <c r="AI46" s="2293"/>
      <c r="AJ46" s="2298"/>
      <c r="AK46" s="2293"/>
      <c r="AL46" s="2294"/>
      <c r="AM46" s="1902"/>
      <c r="AN46" s="1326"/>
      <c r="AO46" s="1326"/>
      <c r="AP46" s="2309"/>
      <c r="AQ46" s="1354"/>
      <c r="AR46" s="1354" t="s">
        <v>2343</v>
      </c>
      <c r="AS46" s="1887"/>
      <c r="AT46" s="2305"/>
      <c r="AU46" s="1354"/>
      <c r="AV46" s="1354"/>
      <c r="AW46" s="1354"/>
      <c r="AX46" s="1354"/>
      <c r="AY46" s="262"/>
    </row>
    <row r="47" spans="1:51" s="260" customFormat="1" ht="103.5" customHeight="1">
      <c r="A47" s="1320" t="s">
        <v>1317</v>
      </c>
      <c r="B47" s="1903"/>
      <c r="C47" s="1890"/>
      <c r="D47" s="1890"/>
      <c r="E47" s="1890"/>
      <c r="F47" s="1356"/>
      <c r="G47" s="2303" t="s">
        <v>1414</v>
      </c>
      <c r="H47" s="2303"/>
      <c r="I47" s="2303"/>
      <c r="J47" s="2303"/>
      <c r="K47" s="2303"/>
      <c r="L47" s="2303"/>
      <c r="M47" s="1320"/>
      <c r="N47" s="1320"/>
      <c r="O47" s="1320"/>
      <c r="P47" s="1320"/>
      <c r="Q47" s="1891"/>
      <c r="R47" s="1891"/>
      <c r="S47" s="324"/>
      <c r="T47" s="2300"/>
      <c r="U47" s="2300" t="e">
        <f>HLOOKUP(R47,[89]Listas!$F$4:$J$5,2,0)</f>
        <v>#N/A</v>
      </c>
      <c r="V47" s="1902"/>
      <c r="W47" s="324"/>
      <c r="X47" s="2303" t="s">
        <v>1415</v>
      </c>
      <c r="Y47" s="2303"/>
      <c r="Z47" s="2303"/>
      <c r="AA47" s="2154"/>
      <c r="AB47" s="1356"/>
      <c r="AC47" s="348" t="s">
        <v>1416</v>
      </c>
      <c r="AD47" s="1320"/>
      <c r="AE47" s="1356"/>
      <c r="AF47" s="324"/>
      <c r="AG47" s="2298"/>
      <c r="AH47" s="2298">
        <f t="shared" si="0"/>
        <v>0</v>
      </c>
      <c r="AI47" s="2293"/>
      <c r="AJ47" s="2298"/>
      <c r="AK47" s="2293"/>
      <c r="AL47" s="2294"/>
      <c r="AM47" s="1902"/>
      <c r="AN47" s="1327"/>
      <c r="AO47" s="1327"/>
      <c r="AP47" s="2310"/>
      <c r="AQ47" s="1355"/>
      <c r="AR47" s="1355" t="s">
        <v>2343</v>
      </c>
      <c r="AS47" s="1888"/>
      <c r="AT47" s="2306"/>
      <c r="AU47" s="1355"/>
      <c r="AV47" s="1355"/>
      <c r="AW47" s="1355"/>
      <c r="AX47" s="1355"/>
      <c r="AY47" s="262"/>
    </row>
    <row r="48" spans="1:51" s="260" customFormat="1" ht="103.5" customHeight="1">
      <c r="A48" s="1772" t="s">
        <v>1417</v>
      </c>
      <c r="B48" s="1773" t="s">
        <v>1418</v>
      </c>
      <c r="C48" s="1904" t="s">
        <v>729</v>
      </c>
      <c r="D48" s="1904"/>
      <c r="E48" s="1904"/>
      <c r="F48" s="1356" t="s">
        <v>353</v>
      </c>
      <c r="G48" s="1767" t="s">
        <v>994</v>
      </c>
      <c r="H48" s="1767"/>
      <c r="I48" s="1767"/>
      <c r="J48" s="1772" t="s">
        <v>993</v>
      </c>
      <c r="K48" s="1772"/>
      <c r="L48" s="1772"/>
      <c r="M48" s="1772"/>
      <c r="N48" s="1772"/>
      <c r="O48" s="1772" t="s">
        <v>684</v>
      </c>
      <c r="P48" s="1772"/>
      <c r="Q48" s="1772" t="s">
        <v>654</v>
      </c>
      <c r="R48" s="1772" t="s">
        <v>274</v>
      </c>
      <c r="S48" s="324"/>
      <c r="T48" s="2300">
        <f>VLOOKUP(Q48,[89]Listas!$D$6:$E$10,2,0)</f>
        <v>1</v>
      </c>
      <c r="U48" s="2300">
        <f>HLOOKUP(R48,[89]Listas!$F$4:$J$5,2,0)</f>
        <v>3</v>
      </c>
      <c r="V48" s="1902" t="str">
        <f>INDEX([89]Listas!$F$6:$J$10,MATCH(Q48,[89]Listas!$D$6:$D$10,0),MATCH(R48,[89]Listas!$F$4:$J$4,0))</f>
        <v>3
INFERIOR</v>
      </c>
      <c r="W48" s="324"/>
      <c r="X48" s="1768" t="s">
        <v>1419</v>
      </c>
      <c r="Y48" s="1768"/>
      <c r="Z48" s="1768"/>
      <c r="AA48" s="1332" t="s">
        <v>4212</v>
      </c>
      <c r="AB48" s="1356" t="s">
        <v>1420</v>
      </c>
      <c r="AC48" s="1772" t="s">
        <v>1421</v>
      </c>
      <c r="AD48" s="1772">
        <v>88</v>
      </c>
      <c r="AE48" s="1772" t="s">
        <v>153</v>
      </c>
      <c r="AF48" s="324"/>
      <c r="AG48" s="2298">
        <f t="shared" ref="AG48:AG55" si="3">IF(AD48&lt;=33,0,IF(AD48&gt;81,2,1))</f>
        <v>2</v>
      </c>
      <c r="AH48" s="2298">
        <f t="shared" si="0"/>
        <v>-1</v>
      </c>
      <c r="AI48" s="2293" t="str">
        <f>IF(AH48&lt;=1,"Remota",VLOOKUP(AH48,[89]Listas!$C$6:$D$10,2,0))</f>
        <v>Remota</v>
      </c>
      <c r="AJ48" s="2298">
        <f>IF(OR(AE48="Impacto",AE48="Ambos"),U48-AG48,U48)</f>
        <v>3</v>
      </c>
      <c r="AK48" s="2293" t="str">
        <f>IF(AJ48&lt;=1,"Insignificante",HLOOKUP(AJ48,[89]Listas!$F$3:$J$4,2,0))</f>
        <v>Moderado</v>
      </c>
      <c r="AL48" s="2298">
        <f t="shared" ref="AL48:AL59" si="4">AH48*AJ48</f>
        <v>-3</v>
      </c>
      <c r="AM48" s="1902" t="str">
        <f>INDEX([89]Listas!$F$6:$J$10,MATCH(AI48,[89]Listas!$D$6:$D$10,0),MATCH(AK48,[89]Listas!$F$4:$J$4,0))</f>
        <v>3
INFERIOR</v>
      </c>
      <c r="AN48" s="1325" t="s">
        <v>3115</v>
      </c>
      <c r="AO48" s="1325" t="s">
        <v>3116</v>
      </c>
      <c r="AP48" s="2295">
        <v>0</v>
      </c>
      <c r="AQ48" s="1353" t="s">
        <v>3503</v>
      </c>
      <c r="AR48" s="1353" t="s">
        <v>3495</v>
      </c>
      <c r="AS48" s="2290" t="s">
        <v>36</v>
      </c>
      <c r="AT48" s="1353"/>
      <c r="AU48" s="1353"/>
      <c r="AV48" s="1353"/>
      <c r="AW48" s="1353"/>
      <c r="AX48" s="1353"/>
      <c r="AY48" s="262"/>
    </row>
    <row r="49" spans="1:51" s="260" customFormat="1" ht="103.5" customHeight="1">
      <c r="A49" s="1772" t="s">
        <v>1317</v>
      </c>
      <c r="B49" s="1773"/>
      <c r="C49" s="1904"/>
      <c r="D49" s="1904"/>
      <c r="E49" s="1904"/>
      <c r="F49" s="1356"/>
      <c r="G49" s="1767" t="s">
        <v>992</v>
      </c>
      <c r="H49" s="1767"/>
      <c r="I49" s="1767"/>
      <c r="J49" s="1772"/>
      <c r="K49" s="1772"/>
      <c r="L49" s="1772"/>
      <c r="M49" s="1772"/>
      <c r="N49" s="1772"/>
      <c r="O49" s="1772"/>
      <c r="P49" s="1772"/>
      <c r="Q49" s="1772"/>
      <c r="R49" s="1772"/>
      <c r="S49" s="324"/>
      <c r="T49" s="2300"/>
      <c r="U49" s="2300" t="e">
        <f>HLOOKUP(R49,[89]Listas!$F$4:$J$5,2,0)</f>
        <v>#N/A</v>
      </c>
      <c r="V49" s="1902"/>
      <c r="W49" s="324"/>
      <c r="X49" s="1768" t="s">
        <v>1422</v>
      </c>
      <c r="Y49" s="1768"/>
      <c r="Z49" s="1768"/>
      <c r="AA49" s="1333"/>
      <c r="AB49" s="1356"/>
      <c r="AC49" s="1772"/>
      <c r="AD49" s="1772"/>
      <c r="AE49" s="1772"/>
      <c r="AF49" s="324"/>
      <c r="AG49" s="2298">
        <f t="shared" si="3"/>
        <v>0</v>
      </c>
      <c r="AH49" s="2298">
        <f t="shared" si="0"/>
        <v>0</v>
      </c>
      <c r="AI49" s="2293"/>
      <c r="AJ49" s="2298"/>
      <c r="AK49" s="2293"/>
      <c r="AL49" s="2298">
        <f t="shared" si="4"/>
        <v>0</v>
      </c>
      <c r="AM49" s="1902"/>
      <c r="AN49" s="1326"/>
      <c r="AO49" s="1326"/>
      <c r="AP49" s="2296"/>
      <c r="AQ49" s="1354"/>
      <c r="AR49" s="1354" t="s">
        <v>2343</v>
      </c>
      <c r="AS49" s="2291"/>
      <c r="AT49" s="1354"/>
      <c r="AU49" s="1354"/>
      <c r="AV49" s="1354"/>
      <c r="AW49" s="1354"/>
      <c r="AX49" s="1354"/>
      <c r="AY49" s="262"/>
    </row>
    <row r="50" spans="1:51" s="260" customFormat="1" ht="103.5" customHeight="1">
      <c r="A50" s="1772" t="s">
        <v>1317</v>
      </c>
      <c r="B50" s="1773"/>
      <c r="C50" s="1904"/>
      <c r="D50" s="1904"/>
      <c r="E50" s="1904"/>
      <c r="F50" s="1356"/>
      <c r="G50" s="1767" t="s">
        <v>1096</v>
      </c>
      <c r="H50" s="1767"/>
      <c r="I50" s="1767"/>
      <c r="J50" s="1772"/>
      <c r="K50" s="1772"/>
      <c r="L50" s="1772"/>
      <c r="M50" s="1772"/>
      <c r="N50" s="1772"/>
      <c r="O50" s="1772"/>
      <c r="P50" s="1772"/>
      <c r="Q50" s="1772"/>
      <c r="R50" s="1772"/>
      <c r="S50" s="324"/>
      <c r="T50" s="2300"/>
      <c r="U50" s="2300" t="e">
        <f>HLOOKUP(R50,[89]Listas!$F$4:$J$5,2,0)</f>
        <v>#N/A</v>
      </c>
      <c r="V50" s="1902"/>
      <c r="W50" s="324"/>
      <c r="X50" s="1768" t="s">
        <v>1423</v>
      </c>
      <c r="Y50" s="1768"/>
      <c r="Z50" s="1768"/>
      <c r="AA50" s="1333"/>
      <c r="AB50" s="1356"/>
      <c r="AC50" s="1772"/>
      <c r="AD50" s="1772"/>
      <c r="AE50" s="1772"/>
      <c r="AF50" s="324"/>
      <c r="AG50" s="2298">
        <f t="shared" si="3"/>
        <v>0</v>
      </c>
      <c r="AH50" s="2298">
        <f t="shared" si="0"/>
        <v>0</v>
      </c>
      <c r="AI50" s="2293"/>
      <c r="AJ50" s="2298"/>
      <c r="AK50" s="2293"/>
      <c r="AL50" s="2298">
        <f t="shared" si="4"/>
        <v>0</v>
      </c>
      <c r="AM50" s="1902"/>
      <c r="AN50" s="1326"/>
      <c r="AO50" s="1326"/>
      <c r="AP50" s="2296"/>
      <c r="AQ50" s="1354"/>
      <c r="AR50" s="1354" t="s">
        <v>2343</v>
      </c>
      <c r="AS50" s="2291"/>
      <c r="AT50" s="1354"/>
      <c r="AU50" s="1354"/>
      <c r="AV50" s="1354"/>
      <c r="AW50" s="1354"/>
      <c r="AX50" s="1354"/>
      <c r="AY50" s="262"/>
    </row>
    <row r="51" spans="1:51" s="260" customFormat="1" ht="103.5" customHeight="1">
      <c r="A51" s="1772" t="s">
        <v>1317</v>
      </c>
      <c r="B51" s="1773"/>
      <c r="C51" s="1904"/>
      <c r="D51" s="1904"/>
      <c r="E51" s="1904"/>
      <c r="F51" s="1356"/>
      <c r="G51" s="1767" t="s">
        <v>1098</v>
      </c>
      <c r="H51" s="1767"/>
      <c r="I51" s="1767"/>
      <c r="J51" s="1772"/>
      <c r="K51" s="1772"/>
      <c r="L51" s="1772"/>
      <c r="M51" s="1772"/>
      <c r="N51" s="1772"/>
      <c r="O51" s="1772"/>
      <c r="P51" s="1772"/>
      <c r="Q51" s="1772"/>
      <c r="R51" s="1772"/>
      <c r="S51" s="324"/>
      <c r="T51" s="2300"/>
      <c r="U51" s="2300" t="e">
        <f>HLOOKUP(R51,[89]Listas!$F$4:$J$5,2,0)</f>
        <v>#N/A</v>
      </c>
      <c r="V51" s="1902"/>
      <c r="W51" s="324"/>
      <c r="X51" s="1768" t="s">
        <v>1424</v>
      </c>
      <c r="Y51" s="1768"/>
      <c r="Z51" s="1768"/>
      <c r="AA51" s="1333"/>
      <c r="AB51" s="1356"/>
      <c r="AC51" s="1772"/>
      <c r="AD51" s="1772"/>
      <c r="AE51" s="1772"/>
      <c r="AF51" s="324"/>
      <c r="AG51" s="2298">
        <f t="shared" si="3"/>
        <v>0</v>
      </c>
      <c r="AH51" s="2298">
        <f t="shared" si="0"/>
        <v>0</v>
      </c>
      <c r="AI51" s="2293"/>
      <c r="AJ51" s="2298"/>
      <c r="AK51" s="2293"/>
      <c r="AL51" s="2298">
        <f t="shared" si="4"/>
        <v>0</v>
      </c>
      <c r="AM51" s="1902"/>
      <c r="AN51" s="1326"/>
      <c r="AO51" s="1326"/>
      <c r="AP51" s="2296"/>
      <c r="AQ51" s="1354"/>
      <c r="AR51" s="1354" t="s">
        <v>2343</v>
      </c>
      <c r="AS51" s="2291"/>
      <c r="AT51" s="1354"/>
      <c r="AU51" s="1354"/>
      <c r="AV51" s="1354"/>
      <c r="AW51" s="1354"/>
      <c r="AX51" s="1354"/>
      <c r="AY51" s="262"/>
    </row>
    <row r="52" spans="1:51" s="260" customFormat="1" ht="103.5" customHeight="1">
      <c r="A52" s="1772" t="s">
        <v>1317</v>
      </c>
      <c r="B52" s="1773"/>
      <c r="C52" s="1904"/>
      <c r="D52" s="1904"/>
      <c r="E52" s="1904"/>
      <c r="F52" s="1356"/>
      <c r="G52" s="1767" t="s">
        <v>1100</v>
      </c>
      <c r="H52" s="1767"/>
      <c r="I52" s="1767"/>
      <c r="J52" s="1772"/>
      <c r="K52" s="1772"/>
      <c r="L52" s="1772"/>
      <c r="M52" s="1772"/>
      <c r="N52" s="1772"/>
      <c r="O52" s="1772"/>
      <c r="P52" s="1772"/>
      <c r="Q52" s="1772"/>
      <c r="R52" s="1772"/>
      <c r="S52" s="324"/>
      <c r="T52" s="2300"/>
      <c r="U52" s="2300" t="e">
        <f>HLOOKUP(R52,[89]Listas!$F$4:$J$5,2,0)</f>
        <v>#N/A</v>
      </c>
      <c r="V52" s="1902"/>
      <c r="W52" s="324"/>
      <c r="X52" s="1768" t="s">
        <v>1425</v>
      </c>
      <c r="Y52" s="1768"/>
      <c r="Z52" s="1768"/>
      <c r="AA52" s="1333"/>
      <c r="AB52" s="1356"/>
      <c r="AC52" s="1772"/>
      <c r="AD52" s="1772"/>
      <c r="AE52" s="1772"/>
      <c r="AF52" s="324"/>
      <c r="AG52" s="2298">
        <f t="shared" si="3"/>
        <v>0</v>
      </c>
      <c r="AH52" s="2298">
        <f t="shared" si="0"/>
        <v>0</v>
      </c>
      <c r="AI52" s="2293"/>
      <c r="AJ52" s="2298"/>
      <c r="AK52" s="2293"/>
      <c r="AL52" s="2298">
        <f t="shared" si="4"/>
        <v>0</v>
      </c>
      <c r="AM52" s="1902"/>
      <c r="AN52" s="1326"/>
      <c r="AO52" s="1326"/>
      <c r="AP52" s="2296"/>
      <c r="AQ52" s="1354"/>
      <c r="AR52" s="1354" t="s">
        <v>2343</v>
      </c>
      <c r="AS52" s="2291"/>
      <c r="AT52" s="1354"/>
      <c r="AU52" s="1354"/>
      <c r="AV52" s="1354"/>
      <c r="AW52" s="1354"/>
      <c r="AX52" s="1354"/>
      <c r="AY52" s="262"/>
    </row>
    <row r="53" spans="1:51" s="260" customFormat="1" ht="103.5" customHeight="1">
      <c r="A53" s="1772" t="s">
        <v>1317</v>
      </c>
      <c r="B53" s="1773"/>
      <c r="C53" s="1904"/>
      <c r="D53" s="1904"/>
      <c r="E53" s="1904"/>
      <c r="F53" s="1356"/>
      <c r="G53" s="1767" t="s">
        <v>991</v>
      </c>
      <c r="H53" s="1767"/>
      <c r="I53" s="1767"/>
      <c r="J53" s="1772"/>
      <c r="K53" s="1772"/>
      <c r="L53" s="1772"/>
      <c r="M53" s="1772"/>
      <c r="N53" s="1772"/>
      <c r="O53" s="1772"/>
      <c r="P53" s="1772"/>
      <c r="Q53" s="1772"/>
      <c r="R53" s="1772"/>
      <c r="S53" s="324"/>
      <c r="T53" s="2300"/>
      <c r="U53" s="2300" t="e">
        <f>HLOOKUP(R53,[89]Listas!$F$4:$J$5,2,0)</f>
        <v>#N/A</v>
      </c>
      <c r="V53" s="1902"/>
      <c r="W53" s="324"/>
      <c r="X53" s="1768" t="s">
        <v>1426</v>
      </c>
      <c r="Y53" s="1768"/>
      <c r="Z53" s="1768"/>
      <c r="AA53" s="1333"/>
      <c r="AB53" s="1356"/>
      <c r="AC53" s="1772"/>
      <c r="AD53" s="1772"/>
      <c r="AE53" s="1772"/>
      <c r="AF53" s="324"/>
      <c r="AG53" s="2298">
        <f t="shared" si="3"/>
        <v>0</v>
      </c>
      <c r="AH53" s="2298">
        <f t="shared" si="0"/>
        <v>0</v>
      </c>
      <c r="AI53" s="2293"/>
      <c r="AJ53" s="2298"/>
      <c r="AK53" s="2293"/>
      <c r="AL53" s="2298">
        <f t="shared" si="4"/>
        <v>0</v>
      </c>
      <c r="AM53" s="1902"/>
      <c r="AN53" s="1326"/>
      <c r="AO53" s="1326"/>
      <c r="AP53" s="2296"/>
      <c r="AQ53" s="1354"/>
      <c r="AR53" s="1354" t="s">
        <v>2343</v>
      </c>
      <c r="AS53" s="2291"/>
      <c r="AT53" s="1354"/>
      <c r="AU53" s="1354"/>
      <c r="AV53" s="1354"/>
      <c r="AW53" s="1354"/>
      <c r="AX53" s="1354"/>
      <c r="AY53" s="262"/>
    </row>
    <row r="54" spans="1:51" s="260" customFormat="1" ht="103.5" customHeight="1">
      <c r="A54" s="1772" t="s">
        <v>1317</v>
      </c>
      <c r="B54" s="1773"/>
      <c r="C54" s="1904"/>
      <c r="D54" s="1904"/>
      <c r="E54" s="1904"/>
      <c r="F54" s="1356"/>
      <c r="G54" s="1895" t="s">
        <v>1427</v>
      </c>
      <c r="H54" s="1895"/>
      <c r="I54" s="1895"/>
      <c r="J54" s="1772"/>
      <c r="K54" s="1772"/>
      <c r="L54" s="1772"/>
      <c r="M54" s="1772"/>
      <c r="N54" s="1772"/>
      <c r="O54" s="1772"/>
      <c r="P54" s="1772"/>
      <c r="Q54" s="1772"/>
      <c r="R54" s="1772"/>
      <c r="S54" s="324"/>
      <c r="T54" s="2300"/>
      <c r="U54" s="2300" t="e">
        <f>HLOOKUP(R54,[89]Listas!$F$4:$J$5,2,0)</f>
        <v>#N/A</v>
      </c>
      <c r="V54" s="1902"/>
      <c r="W54" s="324"/>
      <c r="X54" s="1768" t="s">
        <v>1428</v>
      </c>
      <c r="Y54" s="1768"/>
      <c r="Z54" s="1768"/>
      <c r="AA54" s="1402"/>
      <c r="AB54" s="1356"/>
      <c r="AC54" s="1772"/>
      <c r="AD54" s="1772"/>
      <c r="AE54" s="1772"/>
      <c r="AF54" s="324"/>
      <c r="AG54" s="2298">
        <f t="shared" si="3"/>
        <v>0</v>
      </c>
      <c r="AH54" s="2298">
        <f t="shared" si="0"/>
        <v>0</v>
      </c>
      <c r="AI54" s="2293"/>
      <c r="AJ54" s="2298"/>
      <c r="AK54" s="2293"/>
      <c r="AL54" s="2298">
        <f t="shared" si="4"/>
        <v>0</v>
      </c>
      <c r="AM54" s="1902"/>
      <c r="AN54" s="1327"/>
      <c r="AO54" s="1327"/>
      <c r="AP54" s="2297"/>
      <c r="AQ54" s="1355"/>
      <c r="AR54" s="1355" t="s">
        <v>2343</v>
      </c>
      <c r="AS54" s="2292"/>
      <c r="AT54" s="1355"/>
      <c r="AU54" s="1355"/>
      <c r="AV54" s="1355"/>
      <c r="AW54" s="1355"/>
      <c r="AX54" s="1355"/>
      <c r="AY54" s="262"/>
    </row>
    <row r="55" spans="1:51" s="260" customFormat="1" ht="103.5" customHeight="1">
      <c r="A55" s="1772" t="s">
        <v>1417</v>
      </c>
      <c r="B55" s="1773" t="s">
        <v>1429</v>
      </c>
      <c r="C55" s="1904" t="s">
        <v>988</v>
      </c>
      <c r="D55" s="1904"/>
      <c r="E55" s="1904"/>
      <c r="F55" s="1356" t="s">
        <v>353</v>
      </c>
      <c r="G55" s="1767" t="s">
        <v>987</v>
      </c>
      <c r="H55" s="1767"/>
      <c r="I55" s="1767"/>
      <c r="J55" s="1772" t="s">
        <v>986</v>
      </c>
      <c r="K55" s="1772"/>
      <c r="L55" s="1772"/>
      <c r="M55" s="1772"/>
      <c r="N55" s="1772"/>
      <c r="O55" s="1772" t="s">
        <v>684</v>
      </c>
      <c r="P55" s="1772"/>
      <c r="Q55" s="1772" t="s">
        <v>64</v>
      </c>
      <c r="R55" s="1772" t="s">
        <v>643</v>
      </c>
      <c r="S55" s="324"/>
      <c r="T55" s="2300">
        <f>VLOOKUP(Q55,[89]Listas!$D$6:$E$10,2,0)</f>
        <v>3</v>
      </c>
      <c r="U55" s="2300">
        <f>HLOOKUP(R55,[89]Listas!$F$4:$J$5,2,0)</f>
        <v>2</v>
      </c>
      <c r="V55" s="1902" t="str">
        <f>INDEX([89]Listas!$F$6:$J$10,MATCH(Q55,[89]Listas!$D$6:$D$10,0),MATCH(R55,[89]Listas!$F$4:$J$4,0))</f>
        <v>6
MODERADO</v>
      </c>
      <c r="W55" s="324"/>
      <c r="X55" s="1768" t="s">
        <v>1103</v>
      </c>
      <c r="Y55" s="1768"/>
      <c r="Z55" s="1768"/>
      <c r="AA55" s="1332" t="s">
        <v>4213</v>
      </c>
      <c r="AB55" s="1356" t="s">
        <v>1420</v>
      </c>
      <c r="AC55" s="1772" t="s">
        <v>1430</v>
      </c>
      <c r="AD55" s="1772">
        <v>88</v>
      </c>
      <c r="AE55" s="1772" t="s">
        <v>153</v>
      </c>
      <c r="AF55" s="324"/>
      <c r="AG55" s="2298">
        <f t="shared" si="3"/>
        <v>2</v>
      </c>
      <c r="AH55" s="2298">
        <f t="shared" si="0"/>
        <v>1</v>
      </c>
      <c r="AI55" s="2293" t="str">
        <f>IF(AH55&lt;=1,"Remota",VLOOKUP(AH55,[89]Listas!$C$6:$D$10,2,0))</f>
        <v>Remota</v>
      </c>
      <c r="AJ55" s="2298">
        <f>IF(OR(AE55="Impacto",AE55="Ambos"),U55-AG55,U55)</f>
        <v>2</v>
      </c>
      <c r="AK55" s="2293" t="str">
        <f>IF(AJ55&lt;=1,"Insignificante",HLOOKUP(AJ55,[89]Listas!$F$3:$J$4,2,0))</f>
        <v>Menor</v>
      </c>
      <c r="AL55" s="2298">
        <f t="shared" si="4"/>
        <v>2</v>
      </c>
      <c r="AM55" s="2293" t="str">
        <f>INDEX([89]Listas!$F$6:$J$10,MATCH(AI55,[89]Listas!$D$6:$D$10,0),MATCH(AK55,[89]Listas!$F$4:$J$4,0))</f>
        <v>2
INFERIOR</v>
      </c>
      <c r="AN55" s="1325" t="s">
        <v>3115</v>
      </c>
      <c r="AO55" s="1325" t="s">
        <v>3116</v>
      </c>
      <c r="AP55" s="2295">
        <v>0</v>
      </c>
      <c r="AQ55" s="1353" t="s">
        <v>3503</v>
      </c>
      <c r="AR55" s="1353" t="s">
        <v>3495</v>
      </c>
      <c r="AS55" s="2290" t="s">
        <v>36</v>
      </c>
      <c r="AT55" s="1353"/>
      <c r="AU55" s="1353"/>
      <c r="AV55" s="1353"/>
      <c r="AW55" s="1353"/>
      <c r="AX55" s="1353"/>
      <c r="AY55" s="262"/>
    </row>
    <row r="56" spans="1:51" s="260" customFormat="1" ht="103.5" customHeight="1">
      <c r="A56" s="1772" t="s">
        <v>1317</v>
      </c>
      <c r="B56" s="1773" t="s">
        <v>473</v>
      </c>
      <c r="C56" s="1904"/>
      <c r="D56" s="1904"/>
      <c r="E56" s="1904"/>
      <c r="F56" s="1356"/>
      <c r="G56" s="1767" t="s">
        <v>985</v>
      </c>
      <c r="H56" s="1767"/>
      <c r="I56" s="1767"/>
      <c r="J56" s="1772"/>
      <c r="K56" s="1772"/>
      <c r="L56" s="1772"/>
      <c r="M56" s="1772"/>
      <c r="N56" s="1772"/>
      <c r="O56" s="1772"/>
      <c r="P56" s="1772"/>
      <c r="Q56" s="1772"/>
      <c r="R56" s="1772"/>
      <c r="S56" s="324"/>
      <c r="T56" s="2300"/>
      <c r="U56" s="2300" t="e">
        <f>HLOOKUP(R56,[89]Listas!$F$4:$J$5,2,0)</f>
        <v>#N/A</v>
      </c>
      <c r="V56" s="1902"/>
      <c r="W56" s="324"/>
      <c r="X56" s="1768" t="s">
        <v>1431</v>
      </c>
      <c r="Y56" s="1768"/>
      <c r="Z56" s="1768"/>
      <c r="AA56" s="1333"/>
      <c r="AB56" s="1356"/>
      <c r="AC56" s="1772"/>
      <c r="AD56" s="1772"/>
      <c r="AE56" s="1772"/>
      <c r="AF56" s="324"/>
      <c r="AG56" s="2298"/>
      <c r="AH56" s="2298">
        <f t="shared" si="0"/>
        <v>0</v>
      </c>
      <c r="AI56" s="2293"/>
      <c r="AJ56" s="2298"/>
      <c r="AK56" s="2293" t="str">
        <f>IF(AJ56&lt;=1,"Insignificante",HLOOKUP(AJ56,[89]Listas!$F$3:$J$4,2,0))</f>
        <v>Insignificante</v>
      </c>
      <c r="AL56" s="2298">
        <f t="shared" si="4"/>
        <v>0</v>
      </c>
      <c r="AM56" s="2293" t="e">
        <f>INDEX([89]Listas!$F$6:$J$10,MATCH(AI56,[89]Listas!$D$6:$D$10,0),MATCH(AK56,[89]Listas!$F$4:$J$4,0))</f>
        <v>#N/A</v>
      </c>
      <c r="AN56" s="1326"/>
      <c r="AO56" s="1326"/>
      <c r="AP56" s="2296"/>
      <c r="AQ56" s="1354"/>
      <c r="AR56" s="1354" t="s">
        <v>2343</v>
      </c>
      <c r="AS56" s="2291"/>
      <c r="AT56" s="1354"/>
      <c r="AU56" s="1354"/>
      <c r="AV56" s="1354"/>
      <c r="AW56" s="1354"/>
      <c r="AX56" s="1354"/>
      <c r="AY56" s="262"/>
    </row>
    <row r="57" spans="1:51" s="260" customFormat="1" ht="103.5" customHeight="1">
      <c r="A57" s="1772" t="s">
        <v>1317</v>
      </c>
      <c r="B57" s="1773" t="s">
        <v>473</v>
      </c>
      <c r="C57" s="1904"/>
      <c r="D57" s="1904"/>
      <c r="E57" s="1904"/>
      <c r="F57" s="1356"/>
      <c r="G57" s="1767" t="s">
        <v>1061</v>
      </c>
      <c r="H57" s="1767"/>
      <c r="I57" s="1767"/>
      <c r="J57" s="1772"/>
      <c r="K57" s="1772"/>
      <c r="L57" s="1772"/>
      <c r="M57" s="1772"/>
      <c r="N57" s="1772"/>
      <c r="O57" s="1772"/>
      <c r="P57" s="1772"/>
      <c r="Q57" s="1772"/>
      <c r="R57" s="1772"/>
      <c r="S57" s="324"/>
      <c r="T57" s="2300"/>
      <c r="U57" s="2300" t="e">
        <f>HLOOKUP(R57,[89]Listas!$F$4:$J$5,2,0)</f>
        <v>#N/A</v>
      </c>
      <c r="V57" s="1902"/>
      <c r="W57" s="324"/>
      <c r="X57" s="1768" t="s">
        <v>1432</v>
      </c>
      <c r="Y57" s="1768"/>
      <c r="Z57" s="1768"/>
      <c r="AA57" s="1333"/>
      <c r="AB57" s="1356"/>
      <c r="AC57" s="1772"/>
      <c r="AD57" s="1772"/>
      <c r="AE57" s="1772"/>
      <c r="AF57" s="324"/>
      <c r="AG57" s="2298"/>
      <c r="AH57" s="2298">
        <f t="shared" si="0"/>
        <v>0</v>
      </c>
      <c r="AI57" s="2293"/>
      <c r="AJ57" s="2298"/>
      <c r="AK57" s="2293" t="str">
        <f>IF(AJ57&lt;=1,"Insignificante",HLOOKUP(AJ57,[89]Listas!$F$3:$J$4,2,0))</f>
        <v>Insignificante</v>
      </c>
      <c r="AL57" s="2298">
        <f t="shared" si="4"/>
        <v>0</v>
      </c>
      <c r="AM57" s="2293" t="e">
        <f>INDEX([89]Listas!$F$6:$J$10,MATCH(AI57,[89]Listas!$D$6:$D$10,0),MATCH(AK57,[89]Listas!$F$4:$J$4,0))</f>
        <v>#N/A</v>
      </c>
      <c r="AN57" s="1326"/>
      <c r="AO57" s="1326"/>
      <c r="AP57" s="2296"/>
      <c r="AQ57" s="1354"/>
      <c r="AR57" s="1354" t="s">
        <v>2343</v>
      </c>
      <c r="AS57" s="2291"/>
      <c r="AT57" s="1354"/>
      <c r="AU57" s="1354"/>
      <c r="AV57" s="1354"/>
      <c r="AW57" s="1354"/>
      <c r="AX57" s="1354"/>
      <c r="AY57" s="262"/>
    </row>
    <row r="58" spans="1:51" s="260" customFormat="1" ht="103.5" customHeight="1">
      <c r="A58" s="1772" t="s">
        <v>1317</v>
      </c>
      <c r="B58" s="1773" t="s">
        <v>473</v>
      </c>
      <c r="C58" s="1904"/>
      <c r="D58" s="1904"/>
      <c r="E58" s="1904"/>
      <c r="F58" s="1356"/>
      <c r="G58" s="1767" t="s">
        <v>983</v>
      </c>
      <c r="H58" s="1767"/>
      <c r="I58" s="1767"/>
      <c r="J58" s="1772"/>
      <c r="K58" s="1772"/>
      <c r="L58" s="1772"/>
      <c r="M58" s="1772"/>
      <c r="N58" s="1772"/>
      <c r="O58" s="1772"/>
      <c r="P58" s="1772"/>
      <c r="Q58" s="1772"/>
      <c r="R58" s="1772"/>
      <c r="S58" s="324"/>
      <c r="T58" s="2300"/>
      <c r="U58" s="2300" t="e">
        <f>HLOOKUP(R58,[89]Listas!$F$4:$J$5,2,0)</f>
        <v>#N/A</v>
      </c>
      <c r="V58" s="1902"/>
      <c r="W58" s="324"/>
      <c r="X58" s="1768" t="s">
        <v>1433</v>
      </c>
      <c r="Y58" s="1768"/>
      <c r="Z58" s="1768"/>
      <c r="AA58" s="1402"/>
      <c r="AB58" s="1356"/>
      <c r="AC58" s="1772"/>
      <c r="AD58" s="1772"/>
      <c r="AE58" s="1772"/>
      <c r="AF58" s="324"/>
      <c r="AG58" s="2298"/>
      <c r="AH58" s="2298">
        <f t="shared" si="0"/>
        <v>0</v>
      </c>
      <c r="AI58" s="2293"/>
      <c r="AJ58" s="2298"/>
      <c r="AK58" s="2293" t="str">
        <f>IF(AJ58&lt;=1,"Insignificante",HLOOKUP(AJ58,[89]Listas!$F$3:$J$4,2,0))</f>
        <v>Insignificante</v>
      </c>
      <c r="AL58" s="2298">
        <f t="shared" si="4"/>
        <v>0</v>
      </c>
      <c r="AM58" s="2293" t="e">
        <f>INDEX([89]Listas!$F$6:$J$10,MATCH(AI58,[89]Listas!$D$6:$D$10,0),MATCH(AK58,[89]Listas!$F$4:$J$4,0))</f>
        <v>#N/A</v>
      </c>
      <c r="AN58" s="1327"/>
      <c r="AO58" s="1327"/>
      <c r="AP58" s="2297"/>
      <c r="AQ58" s="1355"/>
      <c r="AR58" s="1355" t="s">
        <v>2343</v>
      </c>
      <c r="AS58" s="2292"/>
      <c r="AT58" s="1355"/>
      <c r="AU58" s="1355"/>
      <c r="AV58" s="1355"/>
      <c r="AW58" s="1355"/>
      <c r="AX58" s="1355"/>
      <c r="AY58" s="262"/>
    </row>
    <row r="59" spans="1:51" s="260" customFormat="1" ht="103.5" customHeight="1">
      <c r="A59" s="1772" t="s">
        <v>1417</v>
      </c>
      <c r="B59" s="1773" t="s">
        <v>1434</v>
      </c>
      <c r="C59" s="1904" t="s">
        <v>982</v>
      </c>
      <c r="D59" s="1904"/>
      <c r="E59" s="1904"/>
      <c r="F59" s="1356" t="s">
        <v>353</v>
      </c>
      <c r="G59" s="1767" t="s">
        <v>981</v>
      </c>
      <c r="H59" s="1767"/>
      <c r="I59" s="1767"/>
      <c r="J59" s="1772" t="s">
        <v>980</v>
      </c>
      <c r="K59" s="1772"/>
      <c r="L59" s="1772"/>
      <c r="M59" s="1772"/>
      <c r="N59" s="1772"/>
      <c r="O59" s="1772" t="s">
        <v>684</v>
      </c>
      <c r="P59" s="1772"/>
      <c r="Q59" s="1772" t="s">
        <v>64</v>
      </c>
      <c r="R59" s="1772" t="s">
        <v>274</v>
      </c>
      <c r="S59" s="324"/>
      <c r="T59" s="2300">
        <f>VLOOKUP(Q59,[89]Listas!$D$6:$E$10,2,0)</f>
        <v>3</v>
      </c>
      <c r="U59" s="2300">
        <f>HLOOKUP(R59,[89]Listas!$F$4:$J$5,2,0)</f>
        <v>3</v>
      </c>
      <c r="V59" s="1902" t="str">
        <f>INDEX([89]Listas!$F$6:$J$10,MATCH(Q59,[89]Listas!$D$6:$D$10,0),MATCH(R59,[89]Listas!$F$4:$J$4,0))</f>
        <v>9
MODERADO</v>
      </c>
      <c r="W59" s="324"/>
      <c r="X59" s="1768" t="s">
        <v>1435</v>
      </c>
      <c r="Y59" s="1768"/>
      <c r="Z59" s="1768"/>
      <c r="AA59" s="2323" t="s">
        <v>4214</v>
      </c>
      <c r="AB59" s="1356" t="s">
        <v>1420</v>
      </c>
      <c r="AC59" s="1772" t="s">
        <v>1436</v>
      </c>
      <c r="AD59" s="1772">
        <v>67</v>
      </c>
      <c r="AE59" s="1772" t="s">
        <v>152</v>
      </c>
      <c r="AF59" s="324"/>
      <c r="AG59" s="2298">
        <f>IF(AD59&lt;=33,0,IF(AD59&gt;81,2,1))</f>
        <v>1</v>
      </c>
      <c r="AH59" s="2298">
        <f t="shared" si="0"/>
        <v>2</v>
      </c>
      <c r="AI59" s="2293" t="str">
        <f>IF(AH59&lt;=1,"Remota",VLOOKUP(AH59,[89]Listas!$C$6:$D$10,2,0))</f>
        <v>Baja</v>
      </c>
      <c r="AJ59" s="2298">
        <f>IF(OR(AE59="Impacto",AE59="Ambos"),U59-AG59,U59)</f>
        <v>2</v>
      </c>
      <c r="AK59" s="2293" t="str">
        <f>IF(AJ59&lt;=1,"Insignificante",HLOOKUP(AJ59,[89]Listas!$F$3:$J$4,2,0))</f>
        <v>Menor</v>
      </c>
      <c r="AL59" s="2294">
        <f t="shared" si="4"/>
        <v>4</v>
      </c>
      <c r="AM59" s="2293" t="str">
        <f>INDEX([89]Listas!$F$6:$J$10,MATCH(AI59,[89]Listas!$D$6:$D$10,0),MATCH(AK59,[89]Listas!$F$4:$J$4,0))</f>
        <v>4
INFERIOR</v>
      </c>
      <c r="AN59" s="1325" t="s">
        <v>3117</v>
      </c>
      <c r="AO59" s="1380" t="s">
        <v>3116</v>
      </c>
      <c r="AP59" s="2302">
        <v>0</v>
      </c>
      <c r="AQ59" s="1385" t="s">
        <v>3503</v>
      </c>
      <c r="AR59" s="1385" t="s">
        <v>3495</v>
      </c>
      <c r="AS59" s="2290" t="s">
        <v>36</v>
      </c>
      <c r="AT59" s="1353"/>
      <c r="AU59" s="1353"/>
      <c r="AV59" s="1353"/>
      <c r="AW59" s="1353"/>
      <c r="AX59" s="1353"/>
      <c r="AY59" s="262"/>
    </row>
    <row r="60" spans="1:51" s="260" customFormat="1" ht="103.5" customHeight="1">
      <c r="A60" s="1772" t="s">
        <v>1317</v>
      </c>
      <c r="B60" s="1773" t="s">
        <v>473</v>
      </c>
      <c r="C60" s="1904"/>
      <c r="D60" s="1904"/>
      <c r="E60" s="1904"/>
      <c r="F60" s="1356"/>
      <c r="G60" s="1767" t="s">
        <v>976</v>
      </c>
      <c r="H60" s="1767"/>
      <c r="I60" s="1767"/>
      <c r="J60" s="1772"/>
      <c r="K60" s="1772"/>
      <c r="L60" s="1772"/>
      <c r="M60" s="1772"/>
      <c r="N60" s="1772"/>
      <c r="O60" s="1772"/>
      <c r="P60" s="1772"/>
      <c r="Q60" s="1772"/>
      <c r="R60" s="1772"/>
      <c r="S60" s="324"/>
      <c r="T60" s="2300"/>
      <c r="U60" s="2300" t="e">
        <f>HLOOKUP(R60,[89]Listas!$F$4:$J$5,2,0)</f>
        <v>#N/A</v>
      </c>
      <c r="V60" s="1902"/>
      <c r="W60" s="324"/>
      <c r="X60" s="1768" t="s">
        <v>1437</v>
      </c>
      <c r="Y60" s="1768"/>
      <c r="Z60" s="1768"/>
      <c r="AA60" s="2324"/>
      <c r="AB60" s="1356"/>
      <c r="AC60" s="1772"/>
      <c r="AD60" s="1772"/>
      <c r="AE60" s="1772"/>
      <c r="AF60" s="324"/>
      <c r="AG60" s="2298"/>
      <c r="AH60" s="2298">
        <f t="shared" si="0"/>
        <v>0</v>
      </c>
      <c r="AI60" s="2293"/>
      <c r="AJ60" s="2298"/>
      <c r="AK60" s="2293" t="str">
        <f>IF(AJ60&lt;=1,"Insignificante",HLOOKUP(AJ60,[89]Listas!$F$3:$J$4,2,0))</f>
        <v>Insignificante</v>
      </c>
      <c r="AL60" s="2294"/>
      <c r="AM60" s="2293" t="e">
        <f>INDEX([89]Listas!$F$6:$J$10,MATCH(AI60,[89]Listas!$D$6:$D$10,0),MATCH(AK60,[89]Listas!$F$4:$J$4,0))</f>
        <v>#N/A</v>
      </c>
      <c r="AN60" s="1326"/>
      <c r="AO60" s="1380"/>
      <c r="AP60" s="2302"/>
      <c r="AQ60" s="1385"/>
      <c r="AR60" s="1385" t="s">
        <v>2343</v>
      </c>
      <c r="AS60" s="2291"/>
      <c r="AT60" s="1354"/>
      <c r="AU60" s="1354"/>
      <c r="AV60" s="1354"/>
      <c r="AW60" s="1354"/>
      <c r="AX60" s="1354"/>
      <c r="AY60" s="262"/>
    </row>
    <row r="61" spans="1:51" s="260" customFormat="1" ht="103.5" customHeight="1">
      <c r="A61" s="1772" t="s">
        <v>1317</v>
      </c>
      <c r="B61" s="1773" t="s">
        <v>473</v>
      </c>
      <c r="C61" s="1904"/>
      <c r="D61" s="1904"/>
      <c r="E61" s="1904"/>
      <c r="F61" s="1356"/>
      <c r="G61" s="1767" t="s">
        <v>1067</v>
      </c>
      <c r="H61" s="1767"/>
      <c r="I61" s="1767"/>
      <c r="J61" s="1772"/>
      <c r="K61" s="1772"/>
      <c r="L61" s="1772"/>
      <c r="M61" s="1772"/>
      <c r="N61" s="1772"/>
      <c r="O61" s="1772"/>
      <c r="P61" s="1772"/>
      <c r="Q61" s="1772"/>
      <c r="R61" s="1772"/>
      <c r="S61" s="324"/>
      <c r="T61" s="2300"/>
      <c r="U61" s="2300" t="e">
        <f>HLOOKUP(R61,[89]Listas!$F$4:$J$5,2,0)</f>
        <v>#N/A</v>
      </c>
      <c r="V61" s="1902"/>
      <c r="W61" s="324"/>
      <c r="X61" s="1768" t="s">
        <v>1068</v>
      </c>
      <c r="Y61" s="1768"/>
      <c r="Z61" s="1768"/>
      <c r="AA61" s="2324"/>
      <c r="AB61" s="1356"/>
      <c r="AC61" s="1772"/>
      <c r="AD61" s="1772"/>
      <c r="AE61" s="1772"/>
      <c r="AF61" s="324"/>
      <c r="AG61" s="2298"/>
      <c r="AH61" s="2298">
        <f t="shared" si="0"/>
        <v>0</v>
      </c>
      <c r="AI61" s="2293"/>
      <c r="AJ61" s="2298"/>
      <c r="AK61" s="2293" t="str">
        <f>IF(AJ61&lt;=1,"Insignificante",HLOOKUP(AJ61,[89]Listas!$F$3:$J$4,2,0))</f>
        <v>Insignificante</v>
      </c>
      <c r="AL61" s="2294"/>
      <c r="AM61" s="2293" t="e">
        <f>INDEX([89]Listas!$F$6:$J$10,MATCH(AI61,[89]Listas!$D$6:$D$10,0),MATCH(AK61,[89]Listas!$F$4:$J$4,0))</f>
        <v>#N/A</v>
      </c>
      <c r="AN61" s="1326"/>
      <c r="AO61" s="1380"/>
      <c r="AP61" s="2302"/>
      <c r="AQ61" s="1385"/>
      <c r="AR61" s="1385" t="s">
        <v>2343</v>
      </c>
      <c r="AS61" s="2291"/>
      <c r="AT61" s="1354"/>
      <c r="AU61" s="1354"/>
      <c r="AV61" s="1354"/>
      <c r="AW61" s="1354"/>
      <c r="AX61" s="1354"/>
      <c r="AY61" s="262"/>
    </row>
    <row r="62" spans="1:51" s="260" customFormat="1" ht="103.5" customHeight="1">
      <c r="A62" s="1772" t="s">
        <v>1317</v>
      </c>
      <c r="B62" s="1773" t="s">
        <v>473</v>
      </c>
      <c r="C62" s="1904"/>
      <c r="D62" s="1904"/>
      <c r="E62" s="1904"/>
      <c r="F62" s="1356"/>
      <c r="G62" s="1767" t="s">
        <v>974</v>
      </c>
      <c r="H62" s="1767"/>
      <c r="I62" s="1767"/>
      <c r="J62" s="1772"/>
      <c r="K62" s="1772"/>
      <c r="L62" s="1772"/>
      <c r="M62" s="1772"/>
      <c r="N62" s="1772"/>
      <c r="O62" s="1772"/>
      <c r="P62" s="1772"/>
      <c r="Q62" s="1772"/>
      <c r="R62" s="1772"/>
      <c r="S62" s="324"/>
      <c r="T62" s="2300"/>
      <c r="U62" s="2300" t="e">
        <f>HLOOKUP(R62,[89]Listas!$F$4:$J$5,2,0)</f>
        <v>#N/A</v>
      </c>
      <c r="V62" s="1902"/>
      <c r="W62" s="324"/>
      <c r="X62" s="1768" t="s">
        <v>1113</v>
      </c>
      <c r="Y62" s="1768"/>
      <c r="Z62" s="1768"/>
      <c r="AA62" s="2325"/>
      <c r="AB62" s="1356"/>
      <c r="AC62" s="1772"/>
      <c r="AD62" s="1772"/>
      <c r="AE62" s="1772" t="s">
        <v>152</v>
      </c>
      <c r="AF62" s="324"/>
      <c r="AG62" s="2298"/>
      <c r="AH62" s="2298">
        <f t="shared" si="0"/>
        <v>0</v>
      </c>
      <c r="AI62" s="2293"/>
      <c r="AJ62" s="2298"/>
      <c r="AK62" s="2293" t="str">
        <f>IF(AJ62&lt;=1,"Insignificante",HLOOKUP(AJ62,[89]Listas!$F$3:$J$4,2,0))</f>
        <v>Insignificante</v>
      </c>
      <c r="AL62" s="2294"/>
      <c r="AM62" s="2293" t="e">
        <f>INDEX([89]Listas!$F$6:$J$10,MATCH(AI62,[89]Listas!$D$6:$D$10,0),MATCH(AK62,[89]Listas!$F$4:$J$4,0))</f>
        <v>#N/A</v>
      </c>
      <c r="AN62" s="1327"/>
      <c r="AO62" s="1380"/>
      <c r="AP62" s="2302"/>
      <c r="AQ62" s="1385"/>
      <c r="AR62" s="1385" t="s">
        <v>2343</v>
      </c>
      <c r="AS62" s="2291"/>
      <c r="AT62" s="1354"/>
      <c r="AU62" s="1354"/>
      <c r="AV62" s="1354"/>
      <c r="AW62" s="1354"/>
      <c r="AX62" s="1354"/>
      <c r="AY62" s="262"/>
    </row>
    <row r="63" spans="1:51" s="260" customFormat="1" ht="40.5" customHeight="1">
      <c r="A63" s="1772" t="s">
        <v>1417</v>
      </c>
      <c r="B63" s="1773" t="s">
        <v>1438</v>
      </c>
      <c r="C63" s="1904" t="s">
        <v>1439</v>
      </c>
      <c r="D63" s="1904"/>
      <c r="E63" s="1904"/>
      <c r="F63" s="1356" t="s">
        <v>353</v>
      </c>
      <c r="G63" s="1767" t="s">
        <v>1440</v>
      </c>
      <c r="H63" s="1767"/>
      <c r="I63" s="1767"/>
      <c r="J63" s="1772" t="s">
        <v>1073</v>
      </c>
      <c r="K63" s="1772"/>
      <c r="L63" s="1772"/>
      <c r="M63" s="1772"/>
      <c r="N63" s="1772"/>
      <c r="O63" s="1320" t="s">
        <v>684</v>
      </c>
      <c r="P63" s="1320"/>
      <c r="Q63" s="1772" t="s">
        <v>654</v>
      </c>
      <c r="R63" s="1772" t="s">
        <v>643</v>
      </c>
      <c r="S63" s="324"/>
      <c r="T63" s="2300">
        <f>VLOOKUP(Q63,[89]Listas!$D$6:$E$10,2,0)</f>
        <v>1</v>
      </c>
      <c r="U63" s="2300">
        <f>HLOOKUP(R63,[89]Listas!$F$4:$J$5,2,0)</f>
        <v>2</v>
      </c>
      <c r="V63" s="1902" t="str">
        <f>INDEX([89]Listas!$F$6:$J$10,MATCH(Q63,[89]Listas!$D$6:$D$10,0),MATCH(R63,[89]Listas!$F$4:$J$4,0))</f>
        <v>2
INFERIOR</v>
      </c>
      <c r="W63" s="324"/>
      <c r="X63" s="1768" t="s">
        <v>1441</v>
      </c>
      <c r="Y63" s="1768"/>
      <c r="Z63" s="1768"/>
      <c r="AA63" s="1332" t="s">
        <v>4215</v>
      </c>
      <c r="AB63" s="1356" t="s">
        <v>1420</v>
      </c>
      <c r="AC63" s="1772" t="s">
        <v>1442</v>
      </c>
      <c r="AD63" s="1772">
        <v>75</v>
      </c>
      <c r="AE63" s="1772" t="s">
        <v>153</v>
      </c>
      <c r="AF63" s="324"/>
      <c r="AG63" s="2298">
        <f>IF(AD63&lt;=33,0,IF(AD63&gt;81,2,1))</f>
        <v>1</v>
      </c>
      <c r="AH63" s="2298">
        <f t="shared" si="0"/>
        <v>0</v>
      </c>
      <c r="AI63" s="2293" t="str">
        <f>IF(AH63&lt;=1,"Remota",VLOOKUP(AH63,[89]Listas!$C$6:$D$10,2,0))</f>
        <v>Remota</v>
      </c>
      <c r="AJ63" s="2298">
        <f>IF(OR(AE63="Impacto",AE63="Ambos"),U63-AG63,U63)</f>
        <v>2</v>
      </c>
      <c r="AK63" s="2293" t="str">
        <f>IF(AJ63&lt;=1,"Insignificante",HLOOKUP(AJ63,[89]Listas!$F$3:$J$4,2,0))</f>
        <v>Menor</v>
      </c>
      <c r="AL63" s="2294">
        <f>AH63*AJ63</f>
        <v>0</v>
      </c>
      <c r="AM63" s="1902" t="str">
        <f>INDEX([89]Listas!$F$6:$J$10,MATCH(AI63,[89]Listas!$D$6:$D$10,0),MATCH(AK63,[89]Listas!$F$4:$J$4,0))</f>
        <v>2
INFERIOR</v>
      </c>
      <c r="AN63" s="1325" t="s">
        <v>3118</v>
      </c>
      <c r="AO63" s="1380" t="s">
        <v>3119</v>
      </c>
      <c r="AP63" s="2302">
        <v>0</v>
      </c>
      <c r="AQ63" s="1385" t="s">
        <v>3503</v>
      </c>
      <c r="AR63" s="1385" t="s">
        <v>3495</v>
      </c>
      <c r="AS63" s="2291" t="s">
        <v>36</v>
      </c>
      <c r="AT63" s="1354"/>
      <c r="AU63" s="1354"/>
      <c r="AV63" s="1354"/>
      <c r="AW63" s="1354"/>
      <c r="AX63" s="1354"/>
      <c r="AY63" s="262"/>
    </row>
    <row r="64" spans="1:51" s="260" customFormat="1" ht="23.25" customHeight="1">
      <c r="A64" s="1772" t="s">
        <v>1317</v>
      </c>
      <c r="B64" s="1773" t="s">
        <v>473</v>
      </c>
      <c r="C64" s="1904"/>
      <c r="D64" s="1904"/>
      <c r="E64" s="1904"/>
      <c r="F64" s="1356"/>
      <c r="G64" s="1767" t="s">
        <v>1077</v>
      </c>
      <c r="H64" s="1767"/>
      <c r="I64" s="1767"/>
      <c r="J64" s="1772"/>
      <c r="K64" s="1772"/>
      <c r="L64" s="1772"/>
      <c r="M64" s="1772"/>
      <c r="N64" s="1772"/>
      <c r="O64" s="1320"/>
      <c r="P64" s="1320"/>
      <c r="Q64" s="1772"/>
      <c r="R64" s="1772"/>
      <c r="S64" s="324"/>
      <c r="T64" s="2300"/>
      <c r="U64" s="2300" t="e">
        <f>HLOOKUP(R64,[89]Listas!$F$4:$J$5,2,0)</f>
        <v>#N/A</v>
      </c>
      <c r="V64" s="1902"/>
      <c r="W64" s="324"/>
      <c r="X64" s="1895" t="s">
        <v>1443</v>
      </c>
      <c r="Y64" s="1895"/>
      <c r="Z64" s="1895"/>
      <c r="AA64" s="1333"/>
      <c r="AB64" s="1356"/>
      <c r="AC64" s="1772"/>
      <c r="AD64" s="1772"/>
      <c r="AE64" s="1772"/>
      <c r="AF64" s="324"/>
      <c r="AG64" s="2298"/>
      <c r="AH64" s="2298">
        <f t="shared" si="0"/>
        <v>0</v>
      </c>
      <c r="AI64" s="2293"/>
      <c r="AJ64" s="2298"/>
      <c r="AK64" s="2293"/>
      <c r="AL64" s="2294"/>
      <c r="AM64" s="1902"/>
      <c r="AN64" s="1326"/>
      <c r="AO64" s="1380"/>
      <c r="AP64" s="2302"/>
      <c r="AQ64" s="1385"/>
      <c r="AR64" s="1385" t="s">
        <v>2343</v>
      </c>
      <c r="AS64" s="2291"/>
      <c r="AT64" s="1354"/>
      <c r="AU64" s="1354"/>
      <c r="AV64" s="1354"/>
      <c r="AW64" s="1354"/>
      <c r="AX64" s="1354"/>
      <c r="AY64" s="262"/>
    </row>
    <row r="65" spans="1:51" s="260" customFormat="1" ht="58.5" customHeight="1">
      <c r="A65" s="1772" t="s">
        <v>1317</v>
      </c>
      <c r="B65" s="1773" t="s">
        <v>473</v>
      </c>
      <c r="C65" s="1904"/>
      <c r="D65" s="1904"/>
      <c r="E65" s="1904"/>
      <c r="F65" s="1356"/>
      <c r="G65" s="1767" t="s">
        <v>1308</v>
      </c>
      <c r="H65" s="1767"/>
      <c r="I65" s="1767"/>
      <c r="J65" s="1772"/>
      <c r="K65" s="1772"/>
      <c r="L65" s="1772"/>
      <c r="M65" s="1772"/>
      <c r="N65" s="1772"/>
      <c r="O65" s="1320"/>
      <c r="P65" s="1320"/>
      <c r="Q65" s="1772"/>
      <c r="R65" s="1772"/>
      <c r="S65" s="324"/>
      <c r="T65" s="2300"/>
      <c r="U65" s="2300" t="e">
        <f>HLOOKUP(R65,[89]Listas!$F$4:$J$5,2,0)</f>
        <v>#N/A</v>
      </c>
      <c r="V65" s="1902"/>
      <c r="W65" s="324"/>
      <c r="X65" s="1895"/>
      <c r="Y65" s="1895"/>
      <c r="Z65" s="1895"/>
      <c r="AA65" s="1333"/>
      <c r="AB65" s="1356"/>
      <c r="AC65" s="1772"/>
      <c r="AD65" s="1772"/>
      <c r="AE65" s="1772"/>
      <c r="AF65" s="324"/>
      <c r="AG65" s="2298"/>
      <c r="AH65" s="2298">
        <f t="shared" si="0"/>
        <v>0</v>
      </c>
      <c r="AI65" s="2293"/>
      <c r="AJ65" s="2298"/>
      <c r="AK65" s="2293"/>
      <c r="AL65" s="2294"/>
      <c r="AM65" s="1902"/>
      <c r="AN65" s="1326"/>
      <c r="AO65" s="1380"/>
      <c r="AP65" s="2302"/>
      <c r="AQ65" s="1385"/>
      <c r="AR65" s="1385" t="s">
        <v>2343</v>
      </c>
      <c r="AS65" s="2291"/>
      <c r="AT65" s="1354"/>
      <c r="AU65" s="1354"/>
      <c r="AV65" s="1354"/>
      <c r="AW65" s="1354"/>
      <c r="AX65" s="1354"/>
      <c r="AY65" s="262"/>
    </row>
    <row r="66" spans="1:51" s="260" customFormat="1">
      <c r="A66" s="1772" t="s">
        <v>1317</v>
      </c>
      <c r="B66" s="1773" t="s">
        <v>473</v>
      </c>
      <c r="C66" s="1904"/>
      <c r="D66" s="1904"/>
      <c r="E66" s="1904"/>
      <c r="F66" s="1356"/>
      <c r="G66" s="1767" t="s">
        <v>1079</v>
      </c>
      <c r="H66" s="1767"/>
      <c r="I66" s="1767"/>
      <c r="J66" s="1772"/>
      <c r="K66" s="1772"/>
      <c r="L66" s="1772"/>
      <c r="M66" s="1772"/>
      <c r="N66" s="1772"/>
      <c r="O66" s="1320"/>
      <c r="P66" s="1320"/>
      <c r="Q66" s="1772"/>
      <c r="R66" s="1772"/>
      <c r="S66" s="324"/>
      <c r="T66" s="2300"/>
      <c r="U66" s="2300" t="e">
        <f>HLOOKUP(R66,[89]Listas!$F$4:$J$5,2,0)</f>
        <v>#N/A</v>
      </c>
      <c r="V66" s="1902"/>
      <c r="W66" s="324"/>
      <c r="X66" s="1895"/>
      <c r="Y66" s="1895"/>
      <c r="Z66" s="1895"/>
      <c r="AA66" s="1402"/>
      <c r="AB66" s="1356"/>
      <c r="AC66" s="1772"/>
      <c r="AD66" s="1772"/>
      <c r="AE66" s="1772" t="s">
        <v>153</v>
      </c>
      <c r="AF66" s="324"/>
      <c r="AG66" s="2298"/>
      <c r="AH66" s="2298">
        <f t="shared" si="0"/>
        <v>0</v>
      </c>
      <c r="AI66" s="2293"/>
      <c r="AJ66" s="2298"/>
      <c r="AK66" s="2293"/>
      <c r="AL66" s="2294"/>
      <c r="AM66" s="1902"/>
      <c r="AN66" s="1327"/>
      <c r="AO66" s="1380"/>
      <c r="AP66" s="2302"/>
      <c r="AQ66" s="1385"/>
      <c r="AR66" s="1385" t="s">
        <v>2343</v>
      </c>
      <c r="AS66" s="2292"/>
      <c r="AT66" s="1355"/>
      <c r="AU66" s="1355"/>
      <c r="AV66" s="1355"/>
      <c r="AW66" s="1355"/>
      <c r="AX66" s="1355"/>
      <c r="AY66" s="262"/>
    </row>
    <row r="67" spans="1:51" s="260" customFormat="1" ht="103.5" customHeight="1">
      <c r="A67" s="1772" t="s">
        <v>1417</v>
      </c>
      <c r="B67" s="1773" t="s">
        <v>1444</v>
      </c>
      <c r="C67" s="1904" t="s">
        <v>1198</v>
      </c>
      <c r="D67" s="1904"/>
      <c r="E67" s="1904"/>
      <c r="F67" s="1356" t="s">
        <v>353</v>
      </c>
      <c r="G67" s="1767" t="s">
        <v>1199</v>
      </c>
      <c r="H67" s="1767"/>
      <c r="I67" s="1767"/>
      <c r="J67" s="1772" t="s">
        <v>1445</v>
      </c>
      <c r="K67" s="1772"/>
      <c r="L67" s="1772"/>
      <c r="M67" s="1772"/>
      <c r="N67" s="1772"/>
      <c r="O67" s="1320" t="s">
        <v>684</v>
      </c>
      <c r="P67" s="1320"/>
      <c r="Q67" s="1772" t="s">
        <v>64</v>
      </c>
      <c r="R67" s="1772" t="s">
        <v>274</v>
      </c>
      <c r="S67" s="324"/>
      <c r="T67" s="2300">
        <f>VLOOKUP(Q67,[89]Listas!$D$6:$E$10,2,0)</f>
        <v>3</v>
      </c>
      <c r="U67" s="2300">
        <f>HLOOKUP(R67,[89]Listas!$F$4:$J$5,2,0)</f>
        <v>3</v>
      </c>
      <c r="V67" s="1902" t="str">
        <f>INDEX([89]Listas!$F$6:$J$10,MATCH(Q67,[89]Listas!$D$6:$D$10,0),MATCH(R67,[89]Listas!$F$4:$J$4,0))</f>
        <v>9
MODERADO</v>
      </c>
      <c r="W67" s="324"/>
      <c r="X67" s="1768" t="s">
        <v>1446</v>
      </c>
      <c r="Y67" s="1768"/>
      <c r="Z67" s="1768"/>
      <c r="AA67" s="1332" t="s">
        <v>4216</v>
      </c>
      <c r="AB67" s="1356" t="s">
        <v>1420</v>
      </c>
      <c r="AC67" s="1772" t="s">
        <v>1447</v>
      </c>
      <c r="AD67" s="1772">
        <v>75</v>
      </c>
      <c r="AE67" s="1772" t="s">
        <v>153</v>
      </c>
      <c r="AF67" s="324"/>
      <c r="AG67" s="2298">
        <f>IF(AD67&lt;=33,0,IF(AD67&gt;81,2,1))</f>
        <v>1</v>
      </c>
      <c r="AH67" s="2298">
        <f t="shared" si="0"/>
        <v>2</v>
      </c>
      <c r="AI67" s="2293" t="str">
        <f>IF(AH67&lt;=1,"Remota",VLOOKUP(AH67,[89]Listas!$C$6:$D$10,2,0))</f>
        <v>Baja</v>
      </c>
      <c r="AJ67" s="2298">
        <f>IF(OR(AE67="Impacto",AE67="Ambos"),U67-AG67,U67)</f>
        <v>3</v>
      </c>
      <c r="AK67" s="2293" t="str">
        <f>IF(AJ67&lt;=1,"Insignificante",HLOOKUP(AJ67,[89]Listas!$F$3:$J$4,2,0))</f>
        <v>Moderado</v>
      </c>
      <c r="AL67" s="2294">
        <f>AH67*AJ67</f>
        <v>6</v>
      </c>
      <c r="AM67" s="1902" t="str">
        <f>INDEX([89]Listas!$F$6:$J$10,MATCH(AI67,[89]Listas!$D$6:$D$10,0),MATCH(AK67,[89]Listas!$F$4:$J$4,0))</f>
        <v>6
MODERADO</v>
      </c>
      <c r="AN67" s="1325" t="s">
        <v>3115</v>
      </c>
      <c r="AO67" s="1325" t="s">
        <v>3116</v>
      </c>
      <c r="AP67" s="2295">
        <v>0</v>
      </c>
      <c r="AQ67" s="1353" t="s">
        <v>3503</v>
      </c>
      <c r="AR67" s="1353" t="s">
        <v>3495</v>
      </c>
      <c r="AS67" s="2290" t="s">
        <v>36</v>
      </c>
      <c r="AT67" s="1353"/>
      <c r="AU67" s="1353"/>
      <c r="AV67" s="1353"/>
      <c r="AW67" s="1353"/>
      <c r="AX67" s="1353"/>
      <c r="AY67" s="262"/>
    </row>
    <row r="68" spans="1:51" s="260" customFormat="1" ht="103.5" customHeight="1">
      <c r="A68" s="1772" t="s">
        <v>1317</v>
      </c>
      <c r="B68" s="1773" t="s">
        <v>473</v>
      </c>
      <c r="C68" s="1904"/>
      <c r="D68" s="1904"/>
      <c r="E68" s="1904"/>
      <c r="F68" s="1356"/>
      <c r="G68" s="1767" t="s">
        <v>1201</v>
      </c>
      <c r="H68" s="1767"/>
      <c r="I68" s="1767"/>
      <c r="J68" s="1772"/>
      <c r="K68" s="1772"/>
      <c r="L68" s="1772"/>
      <c r="M68" s="1772"/>
      <c r="N68" s="1772"/>
      <c r="O68" s="1320"/>
      <c r="P68" s="1320"/>
      <c r="Q68" s="1772"/>
      <c r="R68" s="1772"/>
      <c r="S68" s="324"/>
      <c r="T68" s="2300"/>
      <c r="U68" s="2300" t="e">
        <f>HLOOKUP(R68,[89]Listas!$F$4:$J$5,2,0)</f>
        <v>#N/A</v>
      </c>
      <c r="V68" s="1902"/>
      <c r="W68" s="324"/>
      <c r="X68" s="1768" t="s">
        <v>1448</v>
      </c>
      <c r="Y68" s="1768"/>
      <c r="Z68" s="1768"/>
      <c r="AA68" s="1333"/>
      <c r="AB68" s="1356"/>
      <c r="AC68" s="1772"/>
      <c r="AD68" s="1772"/>
      <c r="AE68" s="1772"/>
      <c r="AF68" s="324"/>
      <c r="AG68" s="2298"/>
      <c r="AH68" s="2298">
        <f t="shared" si="0"/>
        <v>0</v>
      </c>
      <c r="AI68" s="2293"/>
      <c r="AJ68" s="2298"/>
      <c r="AK68" s="2293"/>
      <c r="AL68" s="2294"/>
      <c r="AM68" s="1902"/>
      <c r="AN68" s="1326"/>
      <c r="AO68" s="1326"/>
      <c r="AP68" s="2296"/>
      <c r="AQ68" s="1354"/>
      <c r="AR68" s="1354" t="s">
        <v>2343</v>
      </c>
      <c r="AS68" s="2291"/>
      <c r="AT68" s="1354"/>
      <c r="AU68" s="1354"/>
      <c r="AV68" s="1354"/>
      <c r="AW68" s="1354"/>
      <c r="AX68" s="1354"/>
      <c r="AY68" s="262"/>
    </row>
    <row r="69" spans="1:51" s="260" customFormat="1" ht="103.5" customHeight="1">
      <c r="A69" s="1772" t="s">
        <v>1317</v>
      </c>
      <c r="B69" s="1773" t="s">
        <v>473</v>
      </c>
      <c r="C69" s="1904"/>
      <c r="D69" s="1904"/>
      <c r="E69" s="1904"/>
      <c r="F69" s="1356"/>
      <c r="G69" s="1767" t="s">
        <v>1449</v>
      </c>
      <c r="H69" s="1767"/>
      <c r="I69" s="1767"/>
      <c r="J69" s="1772"/>
      <c r="K69" s="1772"/>
      <c r="L69" s="1772"/>
      <c r="M69" s="1772"/>
      <c r="N69" s="1772"/>
      <c r="O69" s="1320"/>
      <c r="P69" s="1320"/>
      <c r="Q69" s="1772"/>
      <c r="R69" s="1772"/>
      <c r="S69" s="324"/>
      <c r="T69" s="2300"/>
      <c r="U69" s="2300" t="e">
        <f>HLOOKUP(R69,[89]Listas!$F$4:$J$5,2,0)</f>
        <v>#N/A</v>
      </c>
      <c r="V69" s="1902"/>
      <c r="W69" s="324"/>
      <c r="X69" s="1768" t="s">
        <v>1448</v>
      </c>
      <c r="Y69" s="1768"/>
      <c r="Z69" s="1768"/>
      <c r="AA69" s="1333"/>
      <c r="AB69" s="1356"/>
      <c r="AC69" s="1772"/>
      <c r="AD69" s="1772"/>
      <c r="AE69" s="1772"/>
      <c r="AF69" s="324"/>
      <c r="AG69" s="2298"/>
      <c r="AH69" s="2298">
        <f t="shared" si="0"/>
        <v>0</v>
      </c>
      <c r="AI69" s="2293"/>
      <c r="AJ69" s="2298"/>
      <c r="AK69" s="2293"/>
      <c r="AL69" s="2294"/>
      <c r="AM69" s="1902"/>
      <c r="AN69" s="1326"/>
      <c r="AO69" s="1326"/>
      <c r="AP69" s="2296"/>
      <c r="AQ69" s="1354"/>
      <c r="AR69" s="1354" t="s">
        <v>2343</v>
      </c>
      <c r="AS69" s="2291"/>
      <c r="AT69" s="1354"/>
      <c r="AU69" s="1354"/>
      <c r="AV69" s="1354"/>
      <c r="AW69" s="1354"/>
      <c r="AX69" s="1354"/>
      <c r="AY69" s="262"/>
    </row>
    <row r="70" spans="1:51" s="260" customFormat="1" ht="103.5" customHeight="1">
      <c r="A70" s="1772" t="s">
        <v>1317</v>
      </c>
      <c r="B70" s="1773" t="s">
        <v>473</v>
      </c>
      <c r="C70" s="1904"/>
      <c r="D70" s="1904"/>
      <c r="E70" s="1904"/>
      <c r="F70" s="1356"/>
      <c r="G70" s="1767" t="s">
        <v>1202</v>
      </c>
      <c r="H70" s="1767"/>
      <c r="I70" s="1767"/>
      <c r="J70" s="1772"/>
      <c r="K70" s="1772"/>
      <c r="L70" s="1772"/>
      <c r="M70" s="1772"/>
      <c r="N70" s="1772"/>
      <c r="O70" s="1320"/>
      <c r="P70" s="1320"/>
      <c r="Q70" s="1772"/>
      <c r="R70" s="1772"/>
      <c r="S70" s="324"/>
      <c r="T70" s="2300"/>
      <c r="U70" s="2300" t="e">
        <f>HLOOKUP(R70,[89]Listas!$F$4:$J$5,2,0)</f>
        <v>#N/A</v>
      </c>
      <c r="V70" s="1902"/>
      <c r="W70" s="324"/>
      <c r="X70" s="1768" t="s">
        <v>1450</v>
      </c>
      <c r="Y70" s="1768"/>
      <c r="Z70" s="1768"/>
      <c r="AA70" s="1333"/>
      <c r="AB70" s="1356"/>
      <c r="AC70" s="1772"/>
      <c r="AD70" s="1772"/>
      <c r="AE70" s="1772" t="s">
        <v>152</v>
      </c>
      <c r="AF70" s="324"/>
      <c r="AG70" s="2298"/>
      <c r="AH70" s="2298">
        <f t="shared" si="0"/>
        <v>0</v>
      </c>
      <c r="AI70" s="2293"/>
      <c r="AJ70" s="2298"/>
      <c r="AK70" s="2293"/>
      <c r="AL70" s="2294"/>
      <c r="AM70" s="1902"/>
      <c r="AN70" s="1326"/>
      <c r="AO70" s="1326"/>
      <c r="AP70" s="2296"/>
      <c r="AQ70" s="1354"/>
      <c r="AR70" s="1354" t="s">
        <v>2343</v>
      </c>
      <c r="AS70" s="2291"/>
      <c r="AT70" s="1354"/>
      <c r="AU70" s="1354"/>
      <c r="AV70" s="1354"/>
      <c r="AW70" s="1354"/>
      <c r="AX70" s="1354"/>
      <c r="AY70" s="262"/>
    </row>
    <row r="71" spans="1:51" s="260" customFormat="1" ht="103.5" customHeight="1">
      <c r="A71" s="1772" t="s">
        <v>1317</v>
      </c>
      <c r="B71" s="1773" t="s">
        <v>473</v>
      </c>
      <c r="C71" s="1904"/>
      <c r="D71" s="1904"/>
      <c r="E71" s="1904"/>
      <c r="F71" s="1356"/>
      <c r="G71" s="1767" t="s">
        <v>1043</v>
      </c>
      <c r="H71" s="1767"/>
      <c r="I71" s="1767"/>
      <c r="J71" s="1772"/>
      <c r="K71" s="1772"/>
      <c r="L71" s="1772"/>
      <c r="M71" s="1772"/>
      <c r="N71" s="1772"/>
      <c r="O71" s="1320"/>
      <c r="P71" s="1320"/>
      <c r="Q71" s="1772"/>
      <c r="R71" s="1772"/>
      <c r="S71" s="324"/>
      <c r="T71" s="2300"/>
      <c r="U71" s="2300" t="e">
        <f>HLOOKUP(R71,[89]Listas!$F$4:$J$5,2,0)</f>
        <v>#N/A</v>
      </c>
      <c r="V71" s="1902"/>
      <c r="W71" s="324"/>
      <c r="X71" s="1768" t="s">
        <v>1448</v>
      </c>
      <c r="Y71" s="1768"/>
      <c r="Z71" s="1768"/>
      <c r="AA71" s="1402"/>
      <c r="AB71" s="1356"/>
      <c r="AC71" s="1772"/>
      <c r="AD71" s="1772"/>
      <c r="AE71" s="1772"/>
      <c r="AF71" s="324"/>
      <c r="AG71" s="2298"/>
      <c r="AH71" s="2298">
        <f t="shared" si="0"/>
        <v>0</v>
      </c>
      <c r="AI71" s="2293"/>
      <c r="AJ71" s="2298"/>
      <c r="AK71" s="2293"/>
      <c r="AL71" s="2294"/>
      <c r="AM71" s="1902"/>
      <c r="AN71" s="1327"/>
      <c r="AO71" s="1327"/>
      <c r="AP71" s="2297"/>
      <c r="AQ71" s="1355"/>
      <c r="AR71" s="1355" t="s">
        <v>2343</v>
      </c>
      <c r="AS71" s="2292"/>
      <c r="AT71" s="1355"/>
      <c r="AU71" s="1355"/>
      <c r="AV71" s="1355"/>
      <c r="AW71" s="1355"/>
      <c r="AX71" s="1355"/>
      <c r="AY71" s="262"/>
    </row>
    <row r="72" spans="1:51" s="260" customFormat="1" ht="103.5" customHeight="1">
      <c r="A72" s="1772" t="s">
        <v>1417</v>
      </c>
      <c r="B72" s="1773" t="s">
        <v>1451</v>
      </c>
      <c r="C72" s="1904" t="s">
        <v>1452</v>
      </c>
      <c r="D72" s="1904"/>
      <c r="E72" s="1904"/>
      <c r="F72" s="1356" t="s">
        <v>353</v>
      </c>
      <c r="G72" s="1767" t="s">
        <v>1453</v>
      </c>
      <c r="H72" s="1767"/>
      <c r="I72" s="1767"/>
      <c r="J72" s="1772" t="s">
        <v>1454</v>
      </c>
      <c r="K72" s="1772"/>
      <c r="L72" s="1772"/>
      <c r="M72" s="1772"/>
      <c r="N72" s="1772"/>
      <c r="O72" s="1320" t="s">
        <v>684</v>
      </c>
      <c r="P72" s="1320"/>
      <c r="Q72" s="1772" t="s">
        <v>654</v>
      </c>
      <c r="R72" s="1772" t="s">
        <v>274</v>
      </c>
      <c r="S72" s="324"/>
      <c r="T72" s="2300">
        <f>VLOOKUP(Q72,[89]Listas!$D$6:$E$10,2,0)</f>
        <v>1</v>
      </c>
      <c r="U72" s="2300">
        <f>HLOOKUP(R72,[89]Listas!$F$4:$J$5,2,0)</f>
        <v>3</v>
      </c>
      <c r="V72" s="1902" t="str">
        <f>INDEX([89]Listas!$F$6:$J$10,MATCH(Q72,[89]Listas!$D$6:$D$10,0),MATCH(R72,[89]Listas!$F$4:$J$4,0))</f>
        <v>3
INFERIOR</v>
      </c>
      <c r="W72" s="324"/>
      <c r="X72" s="1767" t="s">
        <v>1455</v>
      </c>
      <c r="Y72" s="1767"/>
      <c r="Z72" s="1767"/>
      <c r="AA72" s="1332" t="s">
        <v>4215</v>
      </c>
      <c r="AB72" s="1356" t="s">
        <v>1420</v>
      </c>
      <c r="AC72" s="1772" t="s">
        <v>1456</v>
      </c>
      <c r="AD72" s="1772">
        <v>75</v>
      </c>
      <c r="AE72" s="1772" t="s">
        <v>152</v>
      </c>
      <c r="AF72" s="324"/>
      <c r="AG72" s="2298">
        <f>IF(AD72&lt;=33,0,IF(AD72&gt;81,2,1))</f>
        <v>1</v>
      </c>
      <c r="AH72" s="2299">
        <f t="shared" si="0"/>
        <v>0</v>
      </c>
      <c r="AI72" s="2293" t="str">
        <f>IF(AH72&lt;=1,"Remota",VLOOKUP(AH72,[89]Listas!$C$6:$D$10,2,0))</f>
        <v>Remota</v>
      </c>
      <c r="AJ72" s="2298">
        <f>IF(OR(AE72="Impacto",AE72="Ambos"),U72-AG72,U72)</f>
        <v>2</v>
      </c>
      <c r="AK72" s="2293" t="str">
        <f>IF(AJ72&lt;=1,"Insignificante",HLOOKUP(AJ72,[89]Listas!$F$3:$J$4,2,0))</f>
        <v>Menor</v>
      </c>
      <c r="AL72" s="2294">
        <f>AH72*AJ72</f>
        <v>0</v>
      </c>
      <c r="AM72" s="1902" t="str">
        <f>INDEX([89]Listas!$F$6:$J$10,MATCH(AI72,[89]Listas!$D$6:$D$10,0),MATCH(AK72,[89]Listas!$F$4:$J$4,0))</f>
        <v>2
INFERIOR</v>
      </c>
      <c r="AN72" s="1325" t="s">
        <v>3118</v>
      </c>
      <c r="AO72" s="1325" t="s">
        <v>3119</v>
      </c>
      <c r="AP72" s="2295">
        <v>0</v>
      </c>
      <c r="AQ72" s="1353" t="s">
        <v>3503</v>
      </c>
      <c r="AR72" s="1353" t="s">
        <v>3495</v>
      </c>
      <c r="AS72" s="2290" t="s">
        <v>36</v>
      </c>
      <c r="AT72" s="1353"/>
      <c r="AU72" s="1353"/>
      <c r="AV72" s="1353"/>
      <c r="AW72" s="1353"/>
      <c r="AX72" s="1353"/>
      <c r="AY72" s="262"/>
    </row>
    <row r="73" spans="1:51" s="260" customFormat="1" ht="103.5" customHeight="1">
      <c r="A73" s="1772" t="s">
        <v>1317</v>
      </c>
      <c r="B73" s="1773" t="s">
        <v>473</v>
      </c>
      <c r="C73" s="1904"/>
      <c r="D73" s="1904"/>
      <c r="E73" s="1904"/>
      <c r="F73" s="1356"/>
      <c r="G73" s="1767" t="s">
        <v>1457</v>
      </c>
      <c r="H73" s="1767"/>
      <c r="I73" s="1767"/>
      <c r="J73" s="1772"/>
      <c r="K73" s="1772"/>
      <c r="L73" s="1772"/>
      <c r="M73" s="1772"/>
      <c r="N73" s="1772"/>
      <c r="O73" s="1320"/>
      <c r="P73" s="1320"/>
      <c r="Q73" s="1772"/>
      <c r="R73" s="1772"/>
      <c r="S73" s="324"/>
      <c r="T73" s="2300"/>
      <c r="U73" s="2300"/>
      <c r="V73" s="1902"/>
      <c r="W73" s="324"/>
      <c r="X73" s="1767" t="s">
        <v>1458</v>
      </c>
      <c r="Y73" s="1767"/>
      <c r="Z73" s="1767"/>
      <c r="AA73" s="1333"/>
      <c r="AB73" s="1356"/>
      <c r="AC73" s="1772"/>
      <c r="AD73" s="1772"/>
      <c r="AE73" s="1772"/>
      <c r="AF73" s="324"/>
      <c r="AG73" s="2298"/>
      <c r="AH73" s="2299"/>
      <c r="AI73" s="2293"/>
      <c r="AJ73" s="2298"/>
      <c r="AK73" s="2293"/>
      <c r="AL73" s="2294"/>
      <c r="AM73" s="1902"/>
      <c r="AN73" s="1326"/>
      <c r="AO73" s="1326"/>
      <c r="AP73" s="2296"/>
      <c r="AQ73" s="1354"/>
      <c r="AR73" s="1354" t="s">
        <v>2343</v>
      </c>
      <c r="AS73" s="2291"/>
      <c r="AT73" s="1354"/>
      <c r="AU73" s="1354"/>
      <c r="AV73" s="1354"/>
      <c r="AW73" s="1354"/>
      <c r="AX73" s="1354"/>
      <c r="AY73" s="262"/>
    </row>
    <row r="74" spans="1:51" s="260" customFormat="1" ht="103.5" customHeight="1">
      <c r="A74" s="1772" t="s">
        <v>1317</v>
      </c>
      <c r="B74" s="1773" t="s">
        <v>473</v>
      </c>
      <c r="C74" s="1904"/>
      <c r="D74" s="1904"/>
      <c r="E74" s="1904"/>
      <c r="F74" s="1356"/>
      <c r="G74" s="1767" t="s">
        <v>1459</v>
      </c>
      <c r="H74" s="1767"/>
      <c r="I74" s="1767"/>
      <c r="J74" s="1772"/>
      <c r="K74" s="1772"/>
      <c r="L74" s="1772"/>
      <c r="M74" s="1772"/>
      <c r="N74" s="1772"/>
      <c r="O74" s="1320"/>
      <c r="P74" s="1320"/>
      <c r="Q74" s="1772"/>
      <c r="R74" s="1772"/>
      <c r="S74" s="324"/>
      <c r="T74" s="2300"/>
      <c r="U74" s="2300"/>
      <c r="V74" s="1902"/>
      <c r="W74" s="324"/>
      <c r="X74" s="1767"/>
      <c r="Y74" s="1767"/>
      <c r="Z74" s="1767"/>
      <c r="AA74" s="1333"/>
      <c r="AB74" s="1356"/>
      <c r="AC74" s="1772"/>
      <c r="AD74" s="1772"/>
      <c r="AE74" s="1772" t="s">
        <v>153</v>
      </c>
      <c r="AF74" s="324"/>
      <c r="AG74" s="2298"/>
      <c r="AH74" s="2299"/>
      <c r="AI74" s="2293"/>
      <c r="AJ74" s="2298"/>
      <c r="AK74" s="2293"/>
      <c r="AL74" s="2294"/>
      <c r="AM74" s="1902"/>
      <c r="AN74" s="1326"/>
      <c r="AO74" s="1326"/>
      <c r="AP74" s="2296"/>
      <c r="AQ74" s="1354"/>
      <c r="AR74" s="1354" t="s">
        <v>2343</v>
      </c>
      <c r="AS74" s="2291"/>
      <c r="AT74" s="1354"/>
      <c r="AU74" s="1354"/>
      <c r="AV74" s="1354"/>
      <c r="AW74" s="1354"/>
      <c r="AX74" s="1354"/>
      <c r="AY74" s="262"/>
    </row>
    <row r="75" spans="1:51" s="260" customFormat="1" ht="103.5" customHeight="1">
      <c r="A75" s="1772" t="s">
        <v>1317</v>
      </c>
      <c r="B75" s="1773" t="s">
        <v>473</v>
      </c>
      <c r="C75" s="1904"/>
      <c r="D75" s="1904"/>
      <c r="E75" s="1904"/>
      <c r="F75" s="1356"/>
      <c r="G75" s="1767" t="s">
        <v>1460</v>
      </c>
      <c r="H75" s="1767"/>
      <c r="I75" s="1767"/>
      <c r="J75" s="1772"/>
      <c r="K75" s="1772"/>
      <c r="L75" s="1772"/>
      <c r="M75" s="1772"/>
      <c r="N75" s="1772"/>
      <c r="O75" s="1320"/>
      <c r="P75" s="1320"/>
      <c r="Q75" s="1772"/>
      <c r="R75" s="1772"/>
      <c r="S75" s="324"/>
      <c r="T75" s="2300"/>
      <c r="U75" s="2300"/>
      <c r="V75" s="1902"/>
      <c r="W75" s="324"/>
      <c r="X75" s="1767"/>
      <c r="Y75" s="1767"/>
      <c r="Z75" s="1767"/>
      <c r="AA75" s="1333"/>
      <c r="AB75" s="1356"/>
      <c r="AC75" s="1772"/>
      <c r="AD75" s="1772"/>
      <c r="AE75" s="1772"/>
      <c r="AF75" s="324"/>
      <c r="AG75" s="2298"/>
      <c r="AH75" s="2299"/>
      <c r="AI75" s="2293"/>
      <c r="AJ75" s="2298"/>
      <c r="AK75" s="2293"/>
      <c r="AL75" s="2294"/>
      <c r="AM75" s="1902"/>
      <c r="AN75" s="1326"/>
      <c r="AO75" s="1326"/>
      <c r="AP75" s="2296"/>
      <c r="AQ75" s="1354"/>
      <c r="AR75" s="1354" t="s">
        <v>2343</v>
      </c>
      <c r="AS75" s="2291"/>
      <c r="AT75" s="1354"/>
      <c r="AU75" s="1354"/>
      <c r="AV75" s="1354"/>
      <c r="AW75" s="1354"/>
      <c r="AX75" s="1354"/>
      <c r="AY75" s="262"/>
    </row>
    <row r="76" spans="1:51" s="260" customFormat="1" ht="103.5" customHeight="1">
      <c r="A76" s="1772" t="s">
        <v>1317</v>
      </c>
      <c r="B76" s="1773" t="s">
        <v>473</v>
      </c>
      <c r="C76" s="1904"/>
      <c r="D76" s="1904"/>
      <c r="E76" s="1904"/>
      <c r="F76" s="1356"/>
      <c r="G76" s="1767" t="s">
        <v>1461</v>
      </c>
      <c r="H76" s="1767"/>
      <c r="I76" s="1767"/>
      <c r="J76" s="1772"/>
      <c r="K76" s="1772"/>
      <c r="L76" s="1772"/>
      <c r="M76" s="1772"/>
      <c r="N76" s="1772"/>
      <c r="O76" s="1320"/>
      <c r="P76" s="1320"/>
      <c r="Q76" s="1772"/>
      <c r="R76" s="1772"/>
      <c r="S76" s="324"/>
      <c r="T76" s="2300"/>
      <c r="U76" s="2300"/>
      <c r="V76" s="1902"/>
      <c r="W76" s="324"/>
      <c r="X76" s="1767"/>
      <c r="Y76" s="1767"/>
      <c r="Z76" s="1767"/>
      <c r="AA76" s="1402"/>
      <c r="AB76" s="1356"/>
      <c r="AC76" s="1772"/>
      <c r="AD76" s="1772"/>
      <c r="AE76" s="1772"/>
      <c r="AF76" s="324"/>
      <c r="AG76" s="2298"/>
      <c r="AH76" s="2299"/>
      <c r="AI76" s="2293"/>
      <c r="AJ76" s="2298"/>
      <c r="AK76" s="2293"/>
      <c r="AL76" s="2294"/>
      <c r="AM76" s="1902"/>
      <c r="AN76" s="1327"/>
      <c r="AO76" s="1327"/>
      <c r="AP76" s="2297"/>
      <c r="AQ76" s="1355"/>
      <c r="AR76" s="1355" t="s">
        <v>2343</v>
      </c>
      <c r="AS76" s="2292"/>
      <c r="AT76" s="1355"/>
      <c r="AU76" s="1355"/>
      <c r="AV76" s="1355"/>
      <c r="AW76" s="1355"/>
      <c r="AX76" s="1355"/>
      <c r="AY76" s="262"/>
    </row>
    <row r="77" spans="1:51" s="260" customFormat="1" ht="103.5" customHeight="1">
      <c r="A77" s="1772" t="s">
        <v>1417</v>
      </c>
      <c r="B77" s="1773" t="s">
        <v>1462</v>
      </c>
      <c r="C77" s="1904" t="s">
        <v>1463</v>
      </c>
      <c r="D77" s="1904"/>
      <c r="E77" s="1904"/>
      <c r="F77" s="1356" t="s">
        <v>353</v>
      </c>
      <c r="G77" s="1767" t="s">
        <v>1464</v>
      </c>
      <c r="H77" s="1767"/>
      <c r="I77" s="1767"/>
      <c r="J77" s="1772" t="s">
        <v>1465</v>
      </c>
      <c r="K77" s="1772"/>
      <c r="L77" s="1772"/>
      <c r="M77" s="1772"/>
      <c r="N77" s="1772"/>
      <c r="O77" s="2301" t="s">
        <v>8</v>
      </c>
      <c r="P77" s="1320"/>
      <c r="Q77" s="1772" t="s">
        <v>654</v>
      </c>
      <c r="R77" s="1772" t="s">
        <v>643</v>
      </c>
      <c r="S77" s="324"/>
      <c r="T77" s="2300">
        <f>VLOOKUP(Q77,[89]Listas!$D$6:$E$10,2,0)</f>
        <v>1</v>
      </c>
      <c r="U77" s="2300">
        <f>HLOOKUP(R77,[89]Listas!$F$4:$J$5,2,0)</f>
        <v>2</v>
      </c>
      <c r="V77" s="1902" t="str">
        <f>INDEX([89]Listas!$F$6:$J$10,MATCH(Q77,[89]Listas!$D$6:$D$10,0),MATCH(R77,[89]Listas!$F$4:$J$4,0))</f>
        <v>2
INFERIOR</v>
      </c>
      <c r="W77" s="324"/>
      <c r="X77" s="1767" t="s">
        <v>1466</v>
      </c>
      <c r="Y77" s="1767"/>
      <c r="Z77" s="1767"/>
      <c r="AA77" s="1332" t="s">
        <v>4217</v>
      </c>
      <c r="AB77" s="1356" t="s">
        <v>1420</v>
      </c>
      <c r="AC77" s="1772" t="s">
        <v>1447</v>
      </c>
      <c r="AD77" s="1772">
        <v>62</v>
      </c>
      <c r="AE77" s="1772" t="s">
        <v>151</v>
      </c>
      <c r="AF77" s="324"/>
      <c r="AG77" s="2298">
        <f>IF(AD77&lt;=33,0,IF(AD77&gt;81,2,1))</f>
        <v>1</v>
      </c>
      <c r="AH77" s="2299">
        <f>IF(OR(AE77="Probabilidad",AE77="Ambos"),T77-AG77,T77)</f>
        <v>1</v>
      </c>
      <c r="AI77" s="2293" t="str">
        <f>IF(AH77&lt;=1,"Remota",VLOOKUP(AH77,[89]Listas!$C$6:$D$10,2,0))</f>
        <v>Remota</v>
      </c>
      <c r="AJ77" s="2298">
        <f>IF(OR(AE77="Impacto",AE77="Ambos"),U77-AG77,U77)</f>
        <v>1</v>
      </c>
      <c r="AK77" s="2293" t="str">
        <f>IF(AJ77&lt;=1,"Insignificante",HLOOKUP(AJ77,[89]Listas!$F$3:$J$4,2,0))</f>
        <v>Insignificante</v>
      </c>
      <c r="AL77" s="2294">
        <f>AH77*AJ77</f>
        <v>1</v>
      </c>
      <c r="AM77" s="1902" t="str">
        <f>INDEX([89]Listas!$F$6:$J$10,MATCH(AI77,[89]Listas!$D$6:$D$10,0),MATCH(AK77,[89]Listas!$F$4:$J$4,0))</f>
        <v>1
INFERIOR</v>
      </c>
      <c r="AN77" s="1325" t="s">
        <v>3118</v>
      </c>
      <c r="AO77" s="1325" t="s">
        <v>3119</v>
      </c>
      <c r="AP77" s="2295">
        <v>0</v>
      </c>
      <c r="AQ77" s="1353" t="s">
        <v>3503</v>
      </c>
      <c r="AR77" s="1353" t="s">
        <v>3495</v>
      </c>
      <c r="AS77" s="2290" t="s">
        <v>36</v>
      </c>
      <c r="AT77" s="1353"/>
      <c r="AU77" s="1353"/>
      <c r="AV77" s="1353"/>
      <c r="AW77" s="1353"/>
      <c r="AX77" s="1353"/>
      <c r="AY77" s="262"/>
    </row>
    <row r="78" spans="1:51" s="260" customFormat="1" ht="103.5" customHeight="1">
      <c r="A78" s="1772" t="s">
        <v>1317</v>
      </c>
      <c r="B78" s="1773" t="s">
        <v>473</v>
      </c>
      <c r="C78" s="1904"/>
      <c r="D78" s="1904"/>
      <c r="E78" s="1904"/>
      <c r="F78" s="1356"/>
      <c r="G78" s="1767" t="s">
        <v>1467</v>
      </c>
      <c r="H78" s="1767"/>
      <c r="I78" s="1767"/>
      <c r="J78" s="1772"/>
      <c r="K78" s="1772"/>
      <c r="L78" s="1772"/>
      <c r="M78" s="1772"/>
      <c r="N78" s="1772"/>
      <c r="O78" s="2301"/>
      <c r="P78" s="1320"/>
      <c r="Q78" s="1772"/>
      <c r="R78" s="1772"/>
      <c r="S78" s="324"/>
      <c r="T78" s="2300"/>
      <c r="U78" s="2300"/>
      <c r="V78" s="1902"/>
      <c r="W78" s="324"/>
      <c r="X78" s="1767" t="s">
        <v>1455</v>
      </c>
      <c r="Y78" s="1767"/>
      <c r="Z78" s="1767"/>
      <c r="AA78" s="1333"/>
      <c r="AB78" s="1356"/>
      <c r="AC78" s="1772"/>
      <c r="AD78" s="1772"/>
      <c r="AE78" s="1772"/>
      <c r="AF78" s="324"/>
      <c r="AG78" s="2298"/>
      <c r="AH78" s="2299"/>
      <c r="AI78" s="2293"/>
      <c r="AJ78" s="2298"/>
      <c r="AK78" s="2293"/>
      <c r="AL78" s="2294"/>
      <c r="AM78" s="1902"/>
      <c r="AN78" s="1326"/>
      <c r="AO78" s="1326"/>
      <c r="AP78" s="2296"/>
      <c r="AQ78" s="1354"/>
      <c r="AR78" s="1354" t="s">
        <v>2343</v>
      </c>
      <c r="AS78" s="2291"/>
      <c r="AT78" s="1354"/>
      <c r="AU78" s="1354"/>
      <c r="AV78" s="1354"/>
      <c r="AW78" s="1354"/>
      <c r="AX78" s="1354"/>
      <c r="AY78" s="262"/>
    </row>
    <row r="79" spans="1:51" s="260" customFormat="1" ht="103.5" customHeight="1">
      <c r="A79" s="1772" t="s">
        <v>1317</v>
      </c>
      <c r="B79" s="1773" t="s">
        <v>473</v>
      </c>
      <c r="C79" s="1904"/>
      <c r="D79" s="1904"/>
      <c r="E79" s="1904"/>
      <c r="F79" s="1356"/>
      <c r="G79" s="1767" t="s">
        <v>1468</v>
      </c>
      <c r="H79" s="1767"/>
      <c r="I79" s="1767"/>
      <c r="J79" s="1772"/>
      <c r="K79" s="1772"/>
      <c r="L79" s="1772"/>
      <c r="M79" s="1772"/>
      <c r="N79" s="1772"/>
      <c r="O79" s="2301"/>
      <c r="P79" s="1320"/>
      <c r="Q79" s="1772"/>
      <c r="R79" s="1772"/>
      <c r="S79" s="324"/>
      <c r="T79" s="2300"/>
      <c r="U79" s="2300"/>
      <c r="V79" s="1902"/>
      <c r="W79" s="324"/>
      <c r="X79" s="1767" t="s">
        <v>1448</v>
      </c>
      <c r="Y79" s="1767"/>
      <c r="Z79" s="1767"/>
      <c r="AA79" s="1402"/>
      <c r="AB79" s="1356"/>
      <c r="AC79" s="1772"/>
      <c r="AD79" s="1772"/>
      <c r="AE79" s="1772"/>
      <c r="AF79" s="324"/>
      <c r="AG79" s="2298"/>
      <c r="AH79" s="2299"/>
      <c r="AI79" s="2293"/>
      <c r="AJ79" s="2298"/>
      <c r="AK79" s="2293"/>
      <c r="AL79" s="2294"/>
      <c r="AM79" s="1902"/>
      <c r="AN79" s="1327"/>
      <c r="AO79" s="1327"/>
      <c r="AP79" s="2297"/>
      <c r="AQ79" s="1355"/>
      <c r="AR79" s="1355" t="s">
        <v>2343</v>
      </c>
      <c r="AS79" s="2292"/>
      <c r="AT79" s="1355"/>
      <c r="AU79" s="1355"/>
      <c r="AV79" s="1355"/>
      <c r="AW79" s="1355"/>
      <c r="AX79" s="1355"/>
      <c r="AY79" s="262"/>
    </row>
    <row r="80" spans="1:51" s="260" customFormat="1" ht="103.5" customHeight="1">
      <c r="A80" s="1772" t="s">
        <v>1417</v>
      </c>
      <c r="B80" s="1773" t="s">
        <v>1469</v>
      </c>
      <c r="C80" s="1904" t="s">
        <v>1470</v>
      </c>
      <c r="D80" s="1904"/>
      <c r="E80" s="1904"/>
      <c r="F80" s="1356" t="s">
        <v>353</v>
      </c>
      <c r="G80" s="1767" t="s">
        <v>1471</v>
      </c>
      <c r="H80" s="1767"/>
      <c r="I80" s="1767"/>
      <c r="J80" s="1772" t="s">
        <v>1472</v>
      </c>
      <c r="K80" s="1772"/>
      <c r="L80" s="1772"/>
      <c r="M80" s="1772"/>
      <c r="N80" s="1772"/>
      <c r="O80" s="1320"/>
      <c r="P80" s="1320" t="s">
        <v>684</v>
      </c>
      <c r="Q80" s="1772" t="s">
        <v>654</v>
      </c>
      <c r="R80" s="1772" t="s">
        <v>274</v>
      </c>
      <c r="S80" s="324"/>
      <c r="T80" s="2300">
        <f>VLOOKUP(Q80,[89]Listas!$D$6:$E$10,2,0)</f>
        <v>1</v>
      </c>
      <c r="U80" s="2300">
        <f>HLOOKUP(R80,[89]Listas!$F$4:$J$5,2,0)</f>
        <v>3</v>
      </c>
      <c r="V80" s="1902" t="str">
        <f>INDEX([89]Listas!$F$6:$J$10,MATCH(Q80,[89]Listas!$D$6:$D$10,0),MATCH(R80,[89]Listas!$F$4:$J$4,0))</f>
        <v>3
INFERIOR</v>
      </c>
      <c r="W80" s="324"/>
      <c r="X80" s="1767" t="s">
        <v>1455</v>
      </c>
      <c r="Y80" s="1767"/>
      <c r="Z80" s="1767"/>
      <c r="AA80" s="1332" t="s">
        <v>4218</v>
      </c>
      <c r="AB80" s="1356" t="s">
        <v>1420</v>
      </c>
      <c r="AC80" s="1772" t="s">
        <v>1456</v>
      </c>
      <c r="AD80" s="1772">
        <v>75</v>
      </c>
      <c r="AE80" s="1772" t="s">
        <v>152</v>
      </c>
      <c r="AF80" s="324"/>
      <c r="AG80" s="2298">
        <f>IF(AD80&lt;=33,0,IF(AD80&gt;81,2,1))</f>
        <v>1</v>
      </c>
      <c r="AH80" s="2299">
        <f>IF(OR(AE80="Probabilidad",AE80="Ambos"),T80-AG80,T80)</f>
        <v>0</v>
      </c>
      <c r="AI80" s="2293" t="str">
        <f>IF(AH80&lt;=1,"Remota",VLOOKUP(AH80,[89]Listas!$C$6:$D$10,2,0))</f>
        <v>Remota</v>
      </c>
      <c r="AJ80" s="2298">
        <f>IF(OR(AE80="Impacto",AE80="Ambos"),U80-AG80,U80)</f>
        <v>2</v>
      </c>
      <c r="AK80" s="2293" t="str">
        <f>IF(AJ80&lt;=1,"Insignificante",HLOOKUP(AJ80,[89]Listas!$F$3:$J$4,2,0))</f>
        <v>Menor</v>
      </c>
      <c r="AL80" s="2294">
        <f>AH80*AJ80</f>
        <v>0</v>
      </c>
      <c r="AM80" s="1902" t="str">
        <f>INDEX([89]Listas!$F$6:$J$10,MATCH(AI80,[89]Listas!$D$6:$D$10,0),MATCH(AK80,[89]Listas!$F$4:$J$4,0))</f>
        <v>2
INFERIOR</v>
      </c>
      <c r="AN80" s="1325" t="s">
        <v>3118</v>
      </c>
      <c r="AO80" s="1325" t="s">
        <v>3119</v>
      </c>
      <c r="AP80" s="2295">
        <v>0</v>
      </c>
      <c r="AQ80" s="1353" t="s">
        <v>3503</v>
      </c>
      <c r="AR80" s="1353" t="s">
        <v>3495</v>
      </c>
      <c r="AS80" s="2290" t="s">
        <v>36</v>
      </c>
      <c r="AT80" s="1353"/>
      <c r="AU80" s="1353"/>
      <c r="AV80" s="1353"/>
      <c r="AW80" s="1353"/>
      <c r="AX80" s="1353"/>
      <c r="AY80" s="262"/>
    </row>
    <row r="81" spans="1:51" s="260" customFormat="1" ht="103.5" customHeight="1">
      <c r="A81" s="1772" t="s">
        <v>1317</v>
      </c>
      <c r="B81" s="1773" t="s">
        <v>473</v>
      </c>
      <c r="C81" s="1904"/>
      <c r="D81" s="1904"/>
      <c r="E81" s="1904"/>
      <c r="F81" s="1356"/>
      <c r="G81" s="1767" t="s">
        <v>1473</v>
      </c>
      <c r="H81" s="1767"/>
      <c r="I81" s="1767"/>
      <c r="J81" s="1772"/>
      <c r="K81" s="1772"/>
      <c r="L81" s="1772"/>
      <c r="M81" s="1772"/>
      <c r="N81" s="1772"/>
      <c r="O81" s="1320"/>
      <c r="P81" s="1320"/>
      <c r="Q81" s="1772"/>
      <c r="R81" s="1772"/>
      <c r="S81" s="324"/>
      <c r="T81" s="2300"/>
      <c r="U81" s="2300" t="e">
        <f>HLOOKUP(R81,[89]Listas!$F$4:$J$5,2,0)</f>
        <v>#N/A</v>
      </c>
      <c r="V81" s="1902"/>
      <c r="W81" s="324"/>
      <c r="X81" s="1767" t="s">
        <v>1458</v>
      </c>
      <c r="Y81" s="1767"/>
      <c r="Z81" s="1767"/>
      <c r="AA81" s="1333"/>
      <c r="AB81" s="1356"/>
      <c r="AC81" s="1772"/>
      <c r="AD81" s="1772"/>
      <c r="AE81" s="1772"/>
      <c r="AF81" s="324"/>
      <c r="AG81" s="2298"/>
      <c r="AH81" s="2299"/>
      <c r="AI81" s="2293"/>
      <c r="AJ81" s="2298"/>
      <c r="AK81" s="2293"/>
      <c r="AL81" s="2294"/>
      <c r="AM81" s="1902"/>
      <c r="AN81" s="1326"/>
      <c r="AO81" s="1326"/>
      <c r="AP81" s="2296"/>
      <c r="AQ81" s="1354"/>
      <c r="AR81" s="1354" t="s">
        <v>2343</v>
      </c>
      <c r="AS81" s="2291"/>
      <c r="AT81" s="1354"/>
      <c r="AU81" s="1354"/>
      <c r="AV81" s="1354"/>
      <c r="AW81" s="1354"/>
      <c r="AX81" s="1354"/>
      <c r="AY81" s="262"/>
    </row>
    <row r="82" spans="1:51" s="260" customFormat="1" ht="103.5" customHeight="1">
      <c r="A82" s="1772" t="s">
        <v>1317</v>
      </c>
      <c r="B82" s="1773" t="s">
        <v>473</v>
      </c>
      <c r="C82" s="1904"/>
      <c r="D82" s="1904"/>
      <c r="E82" s="1904"/>
      <c r="F82" s="1356"/>
      <c r="G82" s="1767" t="s">
        <v>1474</v>
      </c>
      <c r="H82" s="1767"/>
      <c r="I82" s="1767"/>
      <c r="J82" s="1772"/>
      <c r="K82" s="1772"/>
      <c r="L82" s="1772"/>
      <c r="M82" s="1772"/>
      <c r="N82" s="1772"/>
      <c r="O82" s="1320"/>
      <c r="P82" s="1320"/>
      <c r="Q82" s="1772"/>
      <c r="R82" s="1772"/>
      <c r="S82" s="324"/>
      <c r="T82" s="2300"/>
      <c r="U82" s="2300" t="e">
        <f>HLOOKUP(R82,[89]Listas!$F$4:$J$5,2,0)</f>
        <v>#N/A</v>
      </c>
      <c r="V82" s="1902"/>
      <c r="W82" s="324"/>
      <c r="X82" s="1767"/>
      <c r="Y82" s="1767"/>
      <c r="Z82" s="1767"/>
      <c r="AA82" s="1333"/>
      <c r="AB82" s="1356"/>
      <c r="AC82" s="1772"/>
      <c r="AD82" s="1772"/>
      <c r="AE82" s="1772"/>
      <c r="AF82" s="324"/>
      <c r="AG82" s="2298"/>
      <c r="AH82" s="2299"/>
      <c r="AI82" s="2293"/>
      <c r="AJ82" s="2298"/>
      <c r="AK82" s="2293"/>
      <c r="AL82" s="2294"/>
      <c r="AM82" s="1902"/>
      <c r="AN82" s="1326"/>
      <c r="AO82" s="1326"/>
      <c r="AP82" s="2296"/>
      <c r="AQ82" s="1354"/>
      <c r="AR82" s="1354" t="s">
        <v>2343</v>
      </c>
      <c r="AS82" s="2291"/>
      <c r="AT82" s="1354"/>
      <c r="AU82" s="1354"/>
      <c r="AV82" s="1354"/>
      <c r="AW82" s="1354"/>
      <c r="AX82" s="1354"/>
      <c r="AY82" s="262"/>
    </row>
    <row r="83" spans="1:51" s="260" customFormat="1" ht="103.5" customHeight="1">
      <c r="A83" s="1772" t="s">
        <v>1317</v>
      </c>
      <c r="B83" s="1773" t="s">
        <v>473</v>
      </c>
      <c r="C83" s="1904"/>
      <c r="D83" s="1904"/>
      <c r="E83" s="1904"/>
      <c r="F83" s="1356"/>
      <c r="G83" s="1767" t="s">
        <v>1475</v>
      </c>
      <c r="H83" s="1767"/>
      <c r="I83" s="1767"/>
      <c r="J83" s="1772"/>
      <c r="K83" s="1772"/>
      <c r="L83" s="1772"/>
      <c r="M83" s="1772"/>
      <c r="N83" s="1772"/>
      <c r="O83" s="1320"/>
      <c r="P83" s="1320"/>
      <c r="Q83" s="1772"/>
      <c r="R83" s="1772"/>
      <c r="S83" s="324"/>
      <c r="T83" s="2300"/>
      <c r="U83" s="2300" t="e">
        <f>HLOOKUP(R83,[89]Listas!$F$4:$J$5,2,0)</f>
        <v>#N/A</v>
      </c>
      <c r="V83" s="1902"/>
      <c r="W83" s="324"/>
      <c r="X83" s="1767"/>
      <c r="Y83" s="1767"/>
      <c r="Z83" s="1767"/>
      <c r="AA83" s="1402"/>
      <c r="AB83" s="1356"/>
      <c r="AC83" s="1772"/>
      <c r="AD83" s="1772"/>
      <c r="AE83" s="1772"/>
      <c r="AF83" s="324"/>
      <c r="AG83" s="2298"/>
      <c r="AH83" s="2299"/>
      <c r="AI83" s="2293"/>
      <c r="AJ83" s="2298"/>
      <c r="AK83" s="2293"/>
      <c r="AL83" s="2294"/>
      <c r="AM83" s="1902"/>
      <c r="AN83" s="1327"/>
      <c r="AO83" s="1327"/>
      <c r="AP83" s="2297"/>
      <c r="AQ83" s="1355"/>
      <c r="AR83" s="1355" t="s">
        <v>2343</v>
      </c>
      <c r="AS83" s="2292"/>
      <c r="AT83" s="1355"/>
      <c r="AU83" s="1355"/>
      <c r="AV83" s="1355"/>
      <c r="AW83" s="1355"/>
      <c r="AX83" s="1355"/>
      <c r="AY83" s="262"/>
    </row>
    <row r="84" spans="1:51" s="260" customFormat="1" ht="103.5" hidden="1" customHeight="1">
      <c r="A84" s="790"/>
      <c r="B84" s="266"/>
      <c r="C84" s="1399"/>
      <c r="D84" s="1408"/>
      <c r="E84" s="1400"/>
      <c r="F84" s="267"/>
      <c r="G84" s="1399"/>
      <c r="H84" s="1408"/>
      <c r="I84" s="1400"/>
      <c r="J84" s="1380"/>
      <c r="K84" s="1380"/>
      <c r="L84" s="1380"/>
      <c r="M84" s="790"/>
      <c r="N84" s="790"/>
      <c r="O84" s="790"/>
      <c r="P84" s="790"/>
      <c r="Q84" s="266"/>
      <c r="R84" s="266"/>
      <c r="S84" s="268"/>
      <c r="T84" s="269" t="e">
        <f>VLOOKUP(Q84,[71]Listas!$D$6:$E$10,2,0)</f>
        <v>#N/A</v>
      </c>
      <c r="U84" s="269" t="e">
        <f>HLOOKUP(R84,[71]Listas!$F$4:$J$5,2,0)</f>
        <v>#N/A</v>
      </c>
      <c r="V84" s="270" t="e">
        <f>INDEX([71]Listas!$F$6:$J$10,MATCH(Q84,[71]Listas!$D$6:$D$10,0),MATCH(R84,[71]Listas!$F$4:$J$4,0))</f>
        <v>#N/A</v>
      </c>
      <c r="W84" s="268"/>
      <c r="X84" s="1399"/>
      <c r="Y84" s="1408"/>
      <c r="Z84" s="1400"/>
      <c r="AA84" s="1063"/>
      <c r="AB84" s="267"/>
      <c r="AC84" s="259"/>
      <c r="AD84" s="790"/>
      <c r="AE84" s="267"/>
      <c r="AF84" s="268"/>
      <c r="AG84" s="269">
        <f t="shared" ref="AG84:AG147" si="5">IF(AD84&lt;=33,0,IF(AD84&gt;81,2,1))</f>
        <v>0</v>
      </c>
      <c r="AH84" s="271" t="e">
        <f t="shared" ref="AH84:AH147" si="6">IF(OR(AE84="Probabilidad",AE84="Ambos"),T84-AG84,T84)</f>
        <v>#N/A</v>
      </c>
      <c r="AI84" s="272" t="e">
        <f>IF(AH84&lt;=1,"Remota",VLOOKUP(AH84,[71]Listas!$C$6:$D$10,2,0))</f>
        <v>#N/A</v>
      </c>
      <c r="AJ84" s="271" t="e">
        <f t="shared" ref="AJ84:AJ147" si="7">IF(OR(AE84="Impacto",AE84="Ambos"),U84-AG84,U84)</f>
        <v>#N/A</v>
      </c>
      <c r="AK84" s="272" t="e">
        <f>IF(AJ84&lt;=1,"Insignificante",HLOOKUP(AJ84,[71]Listas!$F$3:$J$4,2,0))</f>
        <v>#N/A</v>
      </c>
      <c r="AL84" s="273" t="e">
        <f t="shared" ref="AL84:AL147" si="8">AH84*AJ84</f>
        <v>#N/A</v>
      </c>
      <c r="AM84" s="270" t="e">
        <f>INDEX([71]Listas!$F$6:$J$10,MATCH(AI84,[71]Listas!$D$6:$D$10,0),MATCH(AK84,[71]Listas!$F$4:$J$4,0))</f>
        <v>#N/A</v>
      </c>
      <c r="AN84" s="259"/>
      <c r="AO84" s="259"/>
      <c r="AP84" s="794"/>
      <c r="AQ84" s="259"/>
      <c r="AR84" s="259" t="s">
        <v>2343</v>
      </c>
      <c r="AS84" s="790"/>
      <c r="AT84" s="259"/>
      <c r="AU84" s="259"/>
      <c r="AV84" s="261"/>
      <c r="AW84" s="261"/>
      <c r="AX84" s="790"/>
      <c r="AY84" s="262"/>
    </row>
    <row r="85" spans="1:51" s="260" customFormat="1" ht="103.5" hidden="1" customHeight="1">
      <c r="A85" s="790"/>
      <c r="B85" s="266"/>
      <c r="C85" s="1399"/>
      <c r="D85" s="1408"/>
      <c r="E85" s="1400"/>
      <c r="F85" s="267"/>
      <c r="G85" s="1399"/>
      <c r="H85" s="1408"/>
      <c r="I85" s="1400"/>
      <c r="J85" s="1380"/>
      <c r="K85" s="1380"/>
      <c r="L85" s="1380"/>
      <c r="M85" s="790"/>
      <c r="N85" s="790"/>
      <c r="O85" s="790"/>
      <c r="P85" s="790"/>
      <c r="Q85" s="266"/>
      <c r="R85" s="266"/>
      <c r="S85" s="268"/>
      <c r="T85" s="269" t="e">
        <f>VLOOKUP(Q85,[71]Listas!$D$6:$E$10,2,0)</f>
        <v>#N/A</v>
      </c>
      <c r="U85" s="269" t="e">
        <f>HLOOKUP(R85,[71]Listas!$F$4:$J$5,2,0)</f>
        <v>#N/A</v>
      </c>
      <c r="V85" s="270" t="e">
        <f>INDEX([71]Listas!$F$6:$J$10,MATCH(Q85,[71]Listas!$D$6:$D$10,0),MATCH(R85,[71]Listas!$F$4:$J$4,0))</f>
        <v>#N/A</v>
      </c>
      <c r="W85" s="268"/>
      <c r="X85" s="1399"/>
      <c r="Y85" s="1408"/>
      <c r="Z85" s="1400"/>
      <c r="AA85" s="1063"/>
      <c r="AB85" s="267"/>
      <c r="AC85" s="259"/>
      <c r="AD85" s="790"/>
      <c r="AE85" s="267"/>
      <c r="AF85" s="268"/>
      <c r="AG85" s="269">
        <f t="shared" si="5"/>
        <v>0</v>
      </c>
      <c r="AH85" s="271" t="e">
        <f t="shared" si="6"/>
        <v>#N/A</v>
      </c>
      <c r="AI85" s="272" t="e">
        <f>IF(AH85&lt;=1,"Remota",VLOOKUP(AH85,[71]Listas!$C$6:$D$10,2,0))</f>
        <v>#N/A</v>
      </c>
      <c r="AJ85" s="271" t="e">
        <f t="shared" si="7"/>
        <v>#N/A</v>
      </c>
      <c r="AK85" s="272" t="e">
        <f>IF(AJ85&lt;=1,"Insignificante",HLOOKUP(AJ85,[71]Listas!$F$3:$J$4,2,0))</f>
        <v>#N/A</v>
      </c>
      <c r="AL85" s="273" t="e">
        <f t="shared" si="8"/>
        <v>#N/A</v>
      </c>
      <c r="AM85" s="270" t="e">
        <f>INDEX([71]Listas!$F$6:$J$10,MATCH(AI85,[71]Listas!$D$6:$D$10,0),MATCH(AK85,[71]Listas!$F$4:$J$4,0))</f>
        <v>#N/A</v>
      </c>
      <c r="AN85" s="259"/>
      <c r="AO85" s="259"/>
      <c r="AP85" s="794"/>
      <c r="AQ85" s="259"/>
      <c r="AR85" s="259" t="s">
        <v>2343</v>
      </c>
      <c r="AS85" s="790"/>
      <c r="AT85" s="259"/>
      <c r="AU85" s="259"/>
      <c r="AV85" s="261"/>
      <c r="AW85" s="261"/>
      <c r="AX85" s="790"/>
      <c r="AY85" s="262"/>
    </row>
    <row r="86" spans="1:51" s="260" customFormat="1" ht="103.5" hidden="1" customHeight="1">
      <c r="A86" s="790"/>
      <c r="B86" s="266"/>
      <c r="C86" s="1399"/>
      <c r="D86" s="1408"/>
      <c r="E86" s="1400"/>
      <c r="F86" s="266"/>
      <c r="G86" s="1399"/>
      <c r="H86" s="1408"/>
      <c r="I86" s="1400"/>
      <c r="J86" s="1380"/>
      <c r="K86" s="1380"/>
      <c r="L86" s="1380"/>
      <c r="M86" s="790"/>
      <c r="N86" s="790"/>
      <c r="O86" s="790"/>
      <c r="P86" s="790"/>
      <c r="Q86" s="266"/>
      <c r="R86" s="266"/>
      <c r="S86" s="268"/>
      <c r="T86" s="269" t="e">
        <f>VLOOKUP(Q86,[71]Listas!$D$6:$E$10,2,0)</f>
        <v>#N/A</v>
      </c>
      <c r="U86" s="269" t="e">
        <f>HLOOKUP(R86,[71]Listas!$F$4:$J$5,2,0)</f>
        <v>#N/A</v>
      </c>
      <c r="V86" s="270" t="e">
        <f>INDEX([71]Listas!$F$6:$J$10,MATCH(Q86,[71]Listas!$D$6:$D$10,0),MATCH(R86,[71]Listas!$F$4:$J$4,0))</f>
        <v>#N/A</v>
      </c>
      <c r="W86" s="268"/>
      <c r="X86" s="1399"/>
      <c r="Y86" s="1408"/>
      <c r="Z86" s="1400"/>
      <c r="AA86" s="1063"/>
      <c r="AB86" s="267"/>
      <c r="AC86" s="259"/>
      <c r="AD86" s="790"/>
      <c r="AE86" s="267"/>
      <c r="AF86" s="268"/>
      <c r="AG86" s="269">
        <f t="shared" si="5"/>
        <v>0</v>
      </c>
      <c r="AH86" s="271" t="e">
        <f t="shared" si="6"/>
        <v>#N/A</v>
      </c>
      <c r="AI86" s="272" t="e">
        <f>IF(AH86&lt;=1,"Remota",VLOOKUP(AH86,[71]Listas!$C$6:$D$10,2,0))</f>
        <v>#N/A</v>
      </c>
      <c r="AJ86" s="271" t="e">
        <f t="shared" si="7"/>
        <v>#N/A</v>
      </c>
      <c r="AK86" s="272" t="e">
        <f>IF(AJ86&lt;=1,"Insignificante",HLOOKUP(AJ86,[71]Listas!$F$3:$J$4,2,0))</f>
        <v>#N/A</v>
      </c>
      <c r="AL86" s="273" t="e">
        <f t="shared" si="8"/>
        <v>#N/A</v>
      </c>
      <c r="AM86" s="270" t="e">
        <f>INDEX([71]Listas!$F$6:$J$10,MATCH(AI86,[71]Listas!$D$6:$D$10,0),MATCH(AK86,[71]Listas!$F$4:$J$4,0))</f>
        <v>#N/A</v>
      </c>
      <c r="AN86" s="259"/>
      <c r="AO86" s="259"/>
      <c r="AP86" s="794"/>
      <c r="AQ86" s="259"/>
      <c r="AR86" s="259" t="s">
        <v>2343</v>
      </c>
      <c r="AS86" s="790"/>
      <c r="AU86" s="259"/>
      <c r="AV86" s="261"/>
      <c r="AW86" s="261"/>
      <c r="AX86" s="790"/>
      <c r="AY86" s="262"/>
    </row>
    <row r="87" spans="1:51" s="260" customFormat="1" ht="103.5" hidden="1" customHeight="1">
      <c r="A87" s="790"/>
      <c r="B87" s="266"/>
      <c r="C87" s="1399"/>
      <c r="D87" s="1408"/>
      <c r="E87" s="1400"/>
      <c r="F87" s="267"/>
      <c r="G87" s="1399"/>
      <c r="H87" s="1408"/>
      <c r="I87" s="1400"/>
      <c r="J87" s="1380"/>
      <c r="K87" s="1380"/>
      <c r="L87" s="1380"/>
      <c r="M87" s="790"/>
      <c r="N87" s="790"/>
      <c r="O87" s="790"/>
      <c r="P87" s="790"/>
      <c r="Q87" s="266"/>
      <c r="R87" s="266"/>
      <c r="S87" s="268"/>
      <c r="T87" s="269" t="e">
        <f>VLOOKUP(Q87,[71]Listas!$D$6:$E$10,2,0)</f>
        <v>#N/A</v>
      </c>
      <c r="U87" s="269" t="e">
        <f>HLOOKUP(R87,[71]Listas!$F$4:$J$5,2,0)</f>
        <v>#N/A</v>
      </c>
      <c r="V87" s="270" t="e">
        <f>INDEX([71]Listas!$F$6:$J$10,MATCH(Q87,[71]Listas!$D$6:$D$10,0),MATCH(R87,[71]Listas!$F$4:$J$4,0))</f>
        <v>#N/A</v>
      </c>
      <c r="W87" s="268"/>
      <c r="X87" s="1399"/>
      <c r="Y87" s="1408"/>
      <c r="Z87" s="1400"/>
      <c r="AA87" s="1063"/>
      <c r="AB87" s="267"/>
      <c r="AC87" s="259"/>
      <c r="AD87" s="790"/>
      <c r="AE87" s="267"/>
      <c r="AF87" s="268"/>
      <c r="AG87" s="269">
        <f t="shared" si="5"/>
        <v>0</v>
      </c>
      <c r="AH87" s="271" t="e">
        <f t="shared" si="6"/>
        <v>#N/A</v>
      </c>
      <c r="AI87" s="272" t="e">
        <f>IF(AH87&lt;=1,"Remota",VLOOKUP(AH87,[71]Listas!$C$6:$D$10,2,0))</f>
        <v>#N/A</v>
      </c>
      <c r="AJ87" s="271" t="e">
        <f t="shared" si="7"/>
        <v>#N/A</v>
      </c>
      <c r="AK87" s="272" t="e">
        <f>IF(AJ87&lt;=1,"Insignificante",HLOOKUP(AJ87,[71]Listas!$F$3:$J$4,2,0))</f>
        <v>#N/A</v>
      </c>
      <c r="AL87" s="273" t="e">
        <f t="shared" si="8"/>
        <v>#N/A</v>
      </c>
      <c r="AM87" s="270" t="e">
        <f>INDEX([71]Listas!$F$6:$J$10,MATCH(AI87,[71]Listas!$D$6:$D$10,0),MATCH(AK87,[71]Listas!$F$4:$J$4,0))</f>
        <v>#N/A</v>
      </c>
      <c r="AN87" s="259"/>
      <c r="AO87" s="259"/>
      <c r="AP87" s="794"/>
      <c r="AQ87" s="259"/>
      <c r="AR87" s="259" t="s">
        <v>2343</v>
      </c>
      <c r="AS87" s="790"/>
      <c r="AT87" s="259"/>
      <c r="AU87" s="259"/>
      <c r="AV87" s="261"/>
      <c r="AW87" s="261"/>
      <c r="AX87" s="790"/>
      <c r="AY87" s="262"/>
    </row>
    <row r="88" spans="1:51" s="260" customFormat="1" ht="103.5" hidden="1" customHeight="1">
      <c r="A88" s="790"/>
      <c r="B88" s="266"/>
      <c r="C88" s="1399"/>
      <c r="D88" s="1408"/>
      <c r="E88" s="1400"/>
      <c r="F88" s="267"/>
      <c r="G88" s="1399"/>
      <c r="H88" s="1408"/>
      <c r="I88" s="1400"/>
      <c r="J88" s="1380"/>
      <c r="K88" s="1380"/>
      <c r="L88" s="1380"/>
      <c r="M88" s="790"/>
      <c r="N88" s="790"/>
      <c r="O88" s="790"/>
      <c r="P88" s="790"/>
      <c r="Q88" s="266"/>
      <c r="R88" s="266"/>
      <c r="S88" s="268"/>
      <c r="T88" s="269" t="e">
        <f>VLOOKUP(Q88,[71]Listas!$D$6:$E$10,2,0)</f>
        <v>#N/A</v>
      </c>
      <c r="U88" s="269" t="e">
        <f>HLOOKUP(R88,[71]Listas!$F$4:$J$5,2,0)</f>
        <v>#N/A</v>
      </c>
      <c r="V88" s="270" t="e">
        <f>INDEX([71]Listas!$F$6:$J$10,MATCH(Q88,[71]Listas!$D$6:$D$10,0),MATCH(R88,[71]Listas!$F$4:$J$4,0))</f>
        <v>#N/A</v>
      </c>
      <c r="W88" s="268"/>
      <c r="X88" s="1399"/>
      <c r="Y88" s="1408"/>
      <c r="Z88" s="1400"/>
      <c r="AA88" s="1063"/>
      <c r="AB88" s="267"/>
      <c r="AC88" s="259"/>
      <c r="AD88" s="790"/>
      <c r="AE88" s="267"/>
      <c r="AF88" s="268"/>
      <c r="AG88" s="269">
        <f t="shared" si="5"/>
        <v>0</v>
      </c>
      <c r="AH88" s="271" t="e">
        <f t="shared" si="6"/>
        <v>#N/A</v>
      </c>
      <c r="AI88" s="272" t="e">
        <f>IF(AH88&lt;=1,"Remota",VLOOKUP(AH88,[71]Listas!$C$6:$D$10,2,0))</f>
        <v>#N/A</v>
      </c>
      <c r="AJ88" s="271" t="e">
        <f t="shared" si="7"/>
        <v>#N/A</v>
      </c>
      <c r="AK88" s="272" t="e">
        <f>IF(AJ88&lt;=1,"Insignificante",HLOOKUP(AJ88,[71]Listas!$F$3:$J$4,2,0))</f>
        <v>#N/A</v>
      </c>
      <c r="AL88" s="273" t="e">
        <f t="shared" si="8"/>
        <v>#N/A</v>
      </c>
      <c r="AM88" s="270" t="e">
        <f>INDEX([71]Listas!$F$6:$J$10,MATCH(AI88,[71]Listas!$D$6:$D$10,0),MATCH(AK88,[71]Listas!$F$4:$J$4,0))</f>
        <v>#N/A</v>
      </c>
      <c r="AN88" s="259"/>
      <c r="AO88" s="259"/>
      <c r="AP88" s="794"/>
      <c r="AQ88" s="259"/>
      <c r="AR88" s="259" t="s">
        <v>2343</v>
      </c>
      <c r="AS88" s="790"/>
      <c r="AT88" s="259"/>
      <c r="AU88" s="259"/>
      <c r="AV88" s="261"/>
      <c r="AW88" s="261"/>
      <c r="AX88" s="790"/>
      <c r="AY88" s="262"/>
    </row>
    <row r="89" spans="1:51" s="260" customFormat="1" ht="103.5" hidden="1" customHeight="1">
      <c r="A89" s="790"/>
      <c r="B89" s="266"/>
      <c r="C89" s="1399"/>
      <c r="D89" s="1408"/>
      <c r="E89" s="1400"/>
      <c r="F89" s="267"/>
      <c r="G89" s="1399"/>
      <c r="H89" s="1408"/>
      <c r="I89" s="1400"/>
      <c r="J89" s="1380"/>
      <c r="K89" s="1380"/>
      <c r="L89" s="1380"/>
      <c r="M89" s="790"/>
      <c r="N89" s="790"/>
      <c r="O89" s="790"/>
      <c r="P89" s="790"/>
      <c r="Q89" s="266"/>
      <c r="R89" s="266"/>
      <c r="S89" s="268"/>
      <c r="T89" s="269" t="e">
        <f>VLOOKUP(Q89,[71]Listas!$D$6:$E$10,2,0)</f>
        <v>#N/A</v>
      </c>
      <c r="U89" s="269" t="e">
        <f>HLOOKUP(R89,[71]Listas!$F$4:$J$5,2,0)</f>
        <v>#N/A</v>
      </c>
      <c r="V89" s="270" t="e">
        <f>INDEX([71]Listas!$F$6:$J$10,MATCH(Q89,[71]Listas!$D$6:$D$10,0),MATCH(R89,[71]Listas!$F$4:$J$4,0))</f>
        <v>#N/A</v>
      </c>
      <c r="W89" s="268"/>
      <c r="X89" s="1399"/>
      <c r="Y89" s="1408"/>
      <c r="Z89" s="1400"/>
      <c r="AA89" s="1063"/>
      <c r="AB89" s="267"/>
      <c r="AC89" s="259"/>
      <c r="AD89" s="790"/>
      <c r="AE89" s="267"/>
      <c r="AF89" s="268"/>
      <c r="AG89" s="269">
        <f t="shared" si="5"/>
        <v>0</v>
      </c>
      <c r="AH89" s="271" t="e">
        <f t="shared" si="6"/>
        <v>#N/A</v>
      </c>
      <c r="AI89" s="272" t="e">
        <f>IF(AH89&lt;=1,"Remota",VLOOKUP(AH89,[71]Listas!$C$6:$D$10,2,0))</f>
        <v>#N/A</v>
      </c>
      <c r="AJ89" s="271" t="e">
        <f t="shared" si="7"/>
        <v>#N/A</v>
      </c>
      <c r="AK89" s="272" t="e">
        <f>IF(AJ89&lt;=1,"Insignificante",HLOOKUP(AJ89,[71]Listas!$F$3:$J$4,2,0))</f>
        <v>#N/A</v>
      </c>
      <c r="AL89" s="273" t="e">
        <f t="shared" si="8"/>
        <v>#N/A</v>
      </c>
      <c r="AM89" s="270" t="e">
        <f>INDEX([71]Listas!$F$6:$J$10,MATCH(AI89,[71]Listas!$D$6:$D$10,0),MATCH(AK89,[71]Listas!$F$4:$J$4,0))</f>
        <v>#N/A</v>
      </c>
      <c r="AN89" s="259"/>
      <c r="AO89" s="259"/>
      <c r="AP89" s="794"/>
      <c r="AQ89" s="259"/>
      <c r="AR89" s="259" t="s">
        <v>2343</v>
      </c>
      <c r="AS89" s="790"/>
      <c r="AT89" s="259"/>
      <c r="AU89" s="259"/>
      <c r="AV89" s="261"/>
      <c r="AW89" s="261"/>
      <c r="AX89" s="790"/>
      <c r="AY89" s="262"/>
    </row>
    <row r="90" spans="1:51" s="260" customFormat="1" ht="103.5" hidden="1" customHeight="1">
      <c r="A90" s="790"/>
      <c r="B90" s="266"/>
      <c r="C90" s="1399"/>
      <c r="D90" s="1408"/>
      <c r="E90" s="1400"/>
      <c r="F90" s="267"/>
      <c r="G90" s="1399"/>
      <c r="H90" s="1408"/>
      <c r="I90" s="1400"/>
      <c r="J90" s="1380"/>
      <c r="K90" s="1380"/>
      <c r="L90" s="1380"/>
      <c r="M90" s="790"/>
      <c r="N90" s="790"/>
      <c r="O90" s="790"/>
      <c r="P90" s="790"/>
      <c r="Q90" s="266"/>
      <c r="R90" s="266"/>
      <c r="S90" s="268"/>
      <c r="T90" s="269" t="e">
        <f>VLOOKUP(Q90,[71]Listas!$D$6:$E$10,2,0)</f>
        <v>#N/A</v>
      </c>
      <c r="U90" s="269" t="e">
        <f>HLOOKUP(R90,[71]Listas!$F$4:$J$5,2,0)</f>
        <v>#N/A</v>
      </c>
      <c r="V90" s="270" t="e">
        <f>INDEX([71]Listas!$F$6:$J$10,MATCH(Q90,[71]Listas!$D$6:$D$10,0),MATCH(R90,[71]Listas!$F$4:$J$4,0))</f>
        <v>#N/A</v>
      </c>
      <c r="W90" s="268"/>
      <c r="X90" s="1399"/>
      <c r="Y90" s="1408"/>
      <c r="Z90" s="1400"/>
      <c r="AA90" s="1063"/>
      <c r="AB90" s="267"/>
      <c r="AC90" s="259"/>
      <c r="AD90" s="790"/>
      <c r="AE90" s="267"/>
      <c r="AF90" s="268"/>
      <c r="AG90" s="269">
        <f t="shared" si="5"/>
        <v>0</v>
      </c>
      <c r="AH90" s="271" t="e">
        <f t="shared" si="6"/>
        <v>#N/A</v>
      </c>
      <c r="AI90" s="272" t="e">
        <f>IF(AH90&lt;=1,"Remota",VLOOKUP(AH90,[71]Listas!$C$6:$D$10,2,0))</f>
        <v>#N/A</v>
      </c>
      <c r="AJ90" s="271" t="e">
        <f t="shared" si="7"/>
        <v>#N/A</v>
      </c>
      <c r="AK90" s="272" t="e">
        <f>IF(AJ90&lt;=1,"Insignificante",HLOOKUP(AJ90,[71]Listas!$F$3:$J$4,2,0))</f>
        <v>#N/A</v>
      </c>
      <c r="AL90" s="273" t="e">
        <f t="shared" si="8"/>
        <v>#N/A</v>
      </c>
      <c r="AM90" s="270" t="e">
        <f>INDEX([71]Listas!$F$6:$J$10,MATCH(AI90,[71]Listas!$D$6:$D$10,0),MATCH(AK90,[71]Listas!$F$4:$J$4,0))</f>
        <v>#N/A</v>
      </c>
      <c r="AN90" s="259"/>
      <c r="AO90" s="259"/>
      <c r="AP90" s="794"/>
      <c r="AQ90" s="259"/>
      <c r="AR90" s="259" t="s">
        <v>2343</v>
      </c>
      <c r="AS90" s="790"/>
      <c r="AT90" s="259"/>
      <c r="AU90" s="259"/>
      <c r="AV90" s="261"/>
      <c r="AW90" s="261"/>
      <c r="AX90" s="790"/>
      <c r="AY90" s="262"/>
    </row>
    <row r="91" spans="1:51" s="260" customFormat="1" ht="103.5" hidden="1" customHeight="1">
      <c r="A91" s="790"/>
      <c r="B91" s="266"/>
      <c r="C91" s="1399"/>
      <c r="D91" s="1408"/>
      <c r="E91" s="1400"/>
      <c r="F91" s="267"/>
      <c r="G91" s="1399"/>
      <c r="H91" s="1408"/>
      <c r="I91" s="1400"/>
      <c r="J91" s="1380"/>
      <c r="K91" s="1380"/>
      <c r="L91" s="1380"/>
      <c r="M91" s="790"/>
      <c r="N91" s="790"/>
      <c r="O91" s="790"/>
      <c r="P91" s="790"/>
      <c r="Q91" s="266"/>
      <c r="R91" s="266"/>
      <c r="S91" s="268"/>
      <c r="T91" s="269" t="e">
        <f>VLOOKUP(Q91,[71]Listas!$D$6:$E$10,2,0)</f>
        <v>#N/A</v>
      </c>
      <c r="U91" s="269" t="e">
        <f>HLOOKUP(R91,[71]Listas!$F$4:$J$5,2,0)</f>
        <v>#N/A</v>
      </c>
      <c r="V91" s="270" t="e">
        <f>INDEX([71]Listas!$F$6:$J$10,MATCH(Q91,[71]Listas!$D$6:$D$10,0),MATCH(R91,[71]Listas!$F$4:$J$4,0))</f>
        <v>#N/A</v>
      </c>
      <c r="W91" s="268"/>
      <c r="X91" s="1399"/>
      <c r="Y91" s="1408"/>
      <c r="Z91" s="1400"/>
      <c r="AA91" s="1063"/>
      <c r="AB91" s="267"/>
      <c r="AC91" s="259"/>
      <c r="AD91" s="790"/>
      <c r="AE91" s="267"/>
      <c r="AF91" s="268"/>
      <c r="AG91" s="269">
        <f t="shared" si="5"/>
        <v>0</v>
      </c>
      <c r="AH91" s="271" t="e">
        <f t="shared" si="6"/>
        <v>#N/A</v>
      </c>
      <c r="AI91" s="272" t="e">
        <f>IF(AH91&lt;=1,"Remota",VLOOKUP(AH91,[71]Listas!$C$6:$D$10,2,0))</f>
        <v>#N/A</v>
      </c>
      <c r="AJ91" s="271" t="e">
        <f t="shared" si="7"/>
        <v>#N/A</v>
      </c>
      <c r="AK91" s="272" t="e">
        <f>IF(AJ91&lt;=1,"Insignificante",HLOOKUP(AJ91,[71]Listas!$F$3:$J$4,2,0))</f>
        <v>#N/A</v>
      </c>
      <c r="AL91" s="273" t="e">
        <f t="shared" si="8"/>
        <v>#N/A</v>
      </c>
      <c r="AM91" s="270" t="e">
        <f>INDEX([71]Listas!$F$6:$J$10,MATCH(AI91,[71]Listas!$D$6:$D$10,0),MATCH(AK91,[71]Listas!$F$4:$J$4,0))</f>
        <v>#N/A</v>
      </c>
      <c r="AN91" s="259"/>
      <c r="AO91" s="259"/>
      <c r="AP91" s="794"/>
      <c r="AQ91" s="259"/>
      <c r="AR91" s="259" t="s">
        <v>2343</v>
      </c>
      <c r="AS91" s="790"/>
      <c r="AT91" s="259"/>
      <c r="AU91" s="259"/>
      <c r="AV91" s="261"/>
      <c r="AW91" s="261"/>
      <c r="AX91" s="790"/>
      <c r="AY91" s="262"/>
    </row>
    <row r="92" spans="1:51" s="260" customFormat="1" ht="103.5" hidden="1" customHeight="1">
      <c r="A92" s="790"/>
      <c r="B92" s="266"/>
      <c r="C92" s="1399"/>
      <c r="D92" s="1408"/>
      <c r="E92" s="1400"/>
      <c r="F92" s="267"/>
      <c r="G92" s="1399"/>
      <c r="H92" s="1408"/>
      <c r="I92" s="1400"/>
      <c r="J92" s="1380"/>
      <c r="K92" s="1380"/>
      <c r="L92" s="1380"/>
      <c r="M92" s="790"/>
      <c r="N92" s="790"/>
      <c r="O92" s="790"/>
      <c r="P92" s="790"/>
      <c r="Q92" s="266"/>
      <c r="R92" s="266"/>
      <c r="S92" s="268"/>
      <c r="T92" s="269" t="e">
        <f>VLOOKUP(Q92,[71]Listas!$D$6:$E$10,2,0)</f>
        <v>#N/A</v>
      </c>
      <c r="U92" s="269" t="e">
        <f>HLOOKUP(R92,[71]Listas!$F$4:$J$5,2,0)</f>
        <v>#N/A</v>
      </c>
      <c r="V92" s="270" t="e">
        <f>INDEX([71]Listas!$F$6:$J$10,MATCH(Q92,[71]Listas!$D$6:$D$10,0),MATCH(R92,[71]Listas!$F$4:$J$4,0))</f>
        <v>#N/A</v>
      </c>
      <c r="W92" s="268"/>
      <c r="X92" s="1399"/>
      <c r="Y92" s="1408"/>
      <c r="Z92" s="1400"/>
      <c r="AA92" s="1063"/>
      <c r="AB92" s="267"/>
      <c r="AC92" s="259"/>
      <c r="AD92" s="790"/>
      <c r="AE92" s="267"/>
      <c r="AF92" s="268"/>
      <c r="AG92" s="269">
        <f t="shared" si="5"/>
        <v>0</v>
      </c>
      <c r="AH92" s="271" t="e">
        <f t="shared" si="6"/>
        <v>#N/A</v>
      </c>
      <c r="AI92" s="272" t="e">
        <f>IF(AH92&lt;=1,"Remota",VLOOKUP(AH92,[71]Listas!$C$6:$D$10,2,0))</f>
        <v>#N/A</v>
      </c>
      <c r="AJ92" s="271" t="e">
        <f t="shared" si="7"/>
        <v>#N/A</v>
      </c>
      <c r="AK92" s="272" t="e">
        <f>IF(AJ92&lt;=1,"Insignificante",HLOOKUP(AJ92,[71]Listas!$F$3:$J$4,2,0))</f>
        <v>#N/A</v>
      </c>
      <c r="AL92" s="273" t="e">
        <f t="shared" si="8"/>
        <v>#N/A</v>
      </c>
      <c r="AM92" s="270" t="e">
        <f>INDEX([71]Listas!$F$6:$J$10,MATCH(AI92,[71]Listas!$D$6:$D$10,0),MATCH(AK92,[71]Listas!$F$4:$J$4,0))</f>
        <v>#N/A</v>
      </c>
      <c r="AN92" s="259"/>
      <c r="AO92" s="259"/>
      <c r="AP92" s="794"/>
      <c r="AQ92" s="259"/>
      <c r="AR92" s="259" t="s">
        <v>2343</v>
      </c>
      <c r="AS92" s="790"/>
      <c r="AT92" s="259"/>
      <c r="AU92" s="259"/>
      <c r="AV92" s="261"/>
      <c r="AW92" s="261"/>
      <c r="AX92" s="790"/>
      <c r="AY92" s="262"/>
    </row>
    <row r="93" spans="1:51" s="260" customFormat="1" ht="103.5" hidden="1" customHeight="1">
      <c r="A93" s="790"/>
      <c r="B93" s="266"/>
      <c r="C93" s="1399"/>
      <c r="D93" s="1408"/>
      <c r="E93" s="1400"/>
      <c r="F93" s="267"/>
      <c r="G93" s="1399"/>
      <c r="H93" s="1408"/>
      <c r="I93" s="1400"/>
      <c r="J93" s="1380"/>
      <c r="K93" s="1380"/>
      <c r="L93" s="1380"/>
      <c r="M93" s="790"/>
      <c r="N93" s="790"/>
      <c r="O93" s="790"/>
      <c r="P93" s="790"/>
      <c r="Q93" s="266"/>
      <c r="R93" s="266"/>
      <c r="S93" s="268"/>
      <c r="T93" s="269" t="e">
        <f>VLOOKUP(Q93,[71]Listas!$D$6:$E$10,2,0)</f>
        <v>#N/A</v>
      </c>
      <c r="U93" s="269" t="e">
        <f>HLOOKUP(R93,[71]Listas!$F$4:$J$5,2,0)</f>
        <v>#N/A</v>
      </c>
      <c r="V93" s="270" t="e">
        <f>INDEX([71]Listas!$F$6:$J$10,MATCH(Q93,[71]Listas!$D$6:$D$10,0),MATCH(R93,[71]Listas!$F$4:$J$4,0))</f>
        <v>#N/A</v>
      </c>
      <c r="W93" s="268"/>
      <c r="X93" s="1399"/>
      <c r="Y93" s="1408"/>
      <c r="Z93" s="1400"/>
      <c r="AA93" s="1063"/>
      <c r="AB93" s="267"/>
      <c r="AC93" s="259"/>
      <c r="AD93" s="790"/>
      <c r="AE93" s="267"/>
      <c r="AF93" s="268"/>
      <c r="AG93" s="269">
        <f t="shared" si="5"/>
        <v>0</v>
      </c>
      <c r="AH93" s="271" t="e">
        <f t="shared" si="6"/>
        <v>#N/A</v>
      </c>
      <c r="AI93" s="272" t="e">
        <f>IF(AH93&lt;=1,"Remota",VLOOKUP(AH93,[71]Listas!$C$6:$D$10,2,0))</f>
        <v>#N/A</v>
      </c>
      <c r="AJ93" s="271" t="e">
        <f t="shared" si="7"/>
        <v>#N/A</v>
      </c>
      <c r="AK93" s="272" t="e">
        <f>IF(AJ93&lt;=1,"Insignificante",HLOOKUP(AJ93,[71]Listas!$F$3:$J$4,2,0))</f>
        <v>#N/A</v>
      </c>
      <c r="AL93" s="273" t="e">
        <f t="shared" si="8"/>
        <v>#N/A</v>
      </c>
      <c r="AM93" s="270" t="e">
        <f>INDEX([71]Listas!$F$6:$J$10,MATCH(AI93,[71]Listas!$D$6:$D$10,0),MATCH(AK93,[71]Listas!$F$4:$J$4,0))</f>
        <v>#N/A</v>
      </c>
      <c r="AN93" s="259"/>
      <c r="AO93" s="259"/>
      <c r="AP93" s="794"/>
      <c r="AQ93" s="259"/>
      <c r="AR93" s="259" t="s">
        <v>2343</v>
      </c>
      <c r="AS93" s="790"/>
      <c r="AT93" s="259"/>
      <c r="AU93" s="259"/>
      <c r="AV93" s="261"/>
      <c r="AW93" s="261"/>
      <c r="AX93" s="790"/>
      <c r="AY93" s="262"/>
    </row>
    <row r="94" spans="1:51" s="260" customFormat="1" ht="103.5" hidden="1" customHeight="1">
      <c r="A94" s="790"/>
      <c r="B94" s="266"/>
      <c r="C94" s="1399"/>
      <c r="D94" s="1408"/>
      <c r="E94" s="1400"/>
      <c r="F94" s="267"/>
      <c r="G94" s="1399"/>
      <c r="H94" s="1408"/>
      <c r="I94" s="1400"/>
      <c r="J94" s="1380"/>
      <c r="K94" s="1380"/>
      <c r="L94" s="1380"/>
      <c r="M94" s="790"/>
      <c r="N94" s="790"/>
      <c r="O94" s="790"/>
      <c r="P94" s="790"/>
      <c r="Q94" s="266"/>
      <c r="R94" s="266"/>
      <c r="S94" s="268"/>
      <c r="T94" s="269" t="e">
        <f>VLOOKUP(Q94,[71]Listas!$D$6:$E$10,2,0)</f>
        <v>#N/A</v>
      </c>
      <c r="U94" s="269" t="e">
        <f>HLOOKUP(R94,[71]Listas!$F$4:$J$5,2,0)</f>
        <v>#N/A</v>
      </c>
      <c r="V94" s="270" t="e">
        <f>INDEX([71]Listas!$F$6:$J$10,MATCH(Q94,[71]Listas!$D$6:$D$10,0),MATCH(R94,[71]Listas!$F$4:$J$4,0))</f>
        <v>#N/A</v>
      </c>
      <c r="W94" s="268"/>
      <c r="X94" s="1399"/>
      <c r="Y94" s="1408"/>
      <c r="Z94" s="1400"/>
      <c r="AA94" s="1063"/>
      <c r="AB94" s="267"/>
      <c r="AC94" s="259"/>
      <c r="AD94" s="790"/>
      <c r="AE94" s="267"/>
      <c r="AF94" s="268"/>
      <c r="AG94" s="269">
        <f t="shared" si="5"/>
        <v>0</v>
      </c>
      <c r="AH94" s="271" t="e">
        <f t="shared" si="6"/>
        <v>#N/A</v>
      </c>
      <c r="AI94" s="272" t="e">
        <f>IF(AH94&lt;=1,"Remota",VLOOKUP(AH94,[71]Listas!$C$6:$D$10,2,0))</f>
        <v>#N/A</v>
      </c>
      <c r="AJ94" s="271" t="e">
        <f t="shared" si="7"/>
        <v>#N/A</v>
      </c>
      <c r="AK94" s="272" t="e">
        <f>IF(AJ94&lt;=1,"Insignificante",HLOOKUP(AJ94,[71]Listas!$F$3:$J$4,2,0))</f>
        <v>#N/A</v>
      </c>
      <c r="AL94" s="273" t="e">
        <f t="shared" si="8"/>
        <v>#N/A</v>
      </c>
      <c r="AM94" s="270" t="e">
        <f>INDEX([71]Listas!$F$6:$J$10,MATCH(AI94,[71]Listas!$D$6:$D$10,0),MATCH(AK94,[71]Listas!$F$4:$J$4,0))</f>
        <v>#N/A</v>
      </c>
      <c r="AN94" s="259"/>
      <c r="AO94" s="259"/>
      <c r="AP94" s="794"/>
      <c r="AQ94" s="259"/>
      <c r="AR94" s="259" t="s">
        <v>2343</v>
      </c>
      <c r="AS94" s="790"/>
      <c r="AT94" s="259"/>
      <c r="AU94" s="259"/>
      <c r="AV94" s="261"/>
      <c r="AW94" s="261"/>
      <c r="AX94" s="790"/>
      <c r="AY94" s="262"/>
    </row>
    <row r="95" spans="1:51" s="260" customFormat="1" ht="103.5" hidden="1" customHeight="1">
      <c r="A95" s="790"/>
      <c r="B95" s="266"/>
      <c r="C95" s="1399"/>
      <c r="D95" s="1408"/>
      <c r="E95" s="1400"/>
      <c r="F95" s="267"/>
      <c r="G95" s="1399"/>
      <c r="H95" s="1408"/>
      <c r="I95" s="1400"/>
      <c r="J95" s="1380"/>
      <c r="K95" s="1380"/>
      <c r="L95" s="1380"/>
      <c r="M95" s="790"/>
      <c r="N95" s="790"/>
      <c r="O95" s="790"/>
      <c r="P95" s="790"/>
      <c r="Q95" s="266"/>
      <c r="R95" s="266"/>
      <c r="S95" s="268"/>
      <c r="T95" s="269" t="e">
        <f>VLOOKUP(Q95,[71]Listas!$D$6:$E$10,2,0)</f>
        <v>#N/A</v>
      </c>
      <c r="U95" s="269" t="e">
        <f>HLOOKUP(R95,[71]Listas!$F$4:$J$5,2,0)</f>
        <v>#N/A</v>
      </c>
      <c r="V95" s="270" t="e">
        <f>INDEX([71]Listas!$F$6:$J$10,MATCH(Q95,[71]Listas!$D$6:$D$10,0),MATCH(R95,[71]Listas!$F$4:$J$4,0))</f>
        <v>#N/A</v>
      </c>
      <c r="W95" s="268"/>
      <c r="X95" s="1399"/>
      <c r="Y95" s="1408"/>
      <c r="Z95" s="1400"/>
      <c r="AA95" s="1063"/>
      <c r="AB95" s="267"/>
      <c r="AC95" s="259"/>
      <c r="AD95" s="790"/>
      <c r="AE95" s="267"/>
      <c r="AF95" s="268"/>
      <c r="AG95" s="269">
        <f t="shared" si="5"/>
        <v>0</v>
      </c>
      <c r="AH95" s="271" t="e">
        <f t="shared" si="6"/>
        <v>#N/A</v>
      </c>
      <c r="AI95" s="272" t="e">
        <f>IF(AH95&lt;=1,"Remota",VLOOKUP(AH95,[71]Listas!$C$6:$D$10,2,0))</f>
        <v>#N/A</v>
      </c>
      <c r="AJ95" s="271" t="e">
        <f t="shared" si="7"/>
        <v>#N/A</v>
      </c>
      <c r="AK95" s="272" t="e">
        <f>IF(AJ95&lt;=1,"Insignificante",HLOOKUP(AJ95,[71]Listas!$F$3:$J$4,2,0))</f>
        <v>#N/A</v>
      </c>
      <c r="AL95" s="273" t="e">
        <f t="shared" si="8"/>
        <v>#N/A</v>
      </c>
      <c r="AM95" s="270" t="e">
        <f>INDEX([71]Listas!$F$6:$J$10,MATCH(AI95,[71]Listas!$D$6:$D$10,0),MATCH(AK95,[71]Listas!$F$4:$J$4,0))</f>
        <v>#N/A</v>
      </c>
      <c r="AN95" s="259"/>
      <c r="AO95" s="259"/>
      <c r="AP95" s="794"/>
      <c r="AQ95" s="259"/>
      <c r="AR95" s="259" t="s">
        <v>2343</v>
      </c>
      <c r="AS95" s="790"/>
      <c r="AT95" s="259"/>
      <c r="AU95" s="259"/>
      <c r="AV95" s="261"/>
      <c r="AW95" s="261"/>
      <c r="AX95" s="790"/>
      <c r="AY95" s="262"/>
    </row>
    <row r="96" spans="1:51" s="260" customFormat="1" ht="103.5" hidden="1" customHeight="1">
      <c r="A96" s="790"/>
      <c r="B96" s="266"/>
      <c r="C96" s="1399"/>
      <c r="D96" s="1408"/>
      <c r="E96" s="1400"/>
      <c r="F96" s="267"/>
      <c r="G96" s="1399"/>
      <c r="H96" s="1408"/>
      <c r="I96" s="1400"/>
      <c r="J96" s="1380"/>
      <c r="K96" s="1380"/>
      <c r="L96" s="1380"/>
      <c r="M96" s="790"/>
      <c r="N96" s="790"/>
      <c r="O96" s="790"/>
      <c r="P96" s="790"/>
      <c r="Q96" s="266"/>
      <c r="R96" s="266"/>
      <c r="S96" s="268"/>
      <c r="T96" s="269" t="e">
        <f>VLOOKUP(Q96,[71]Listas!$D$6:$E$10,2,0)</f>
        <v>#N/A</v>
      </c>
      <c r="U96" s="269" t="e">
        <f>HLOOKUP(R96,[71]Listas!$F$4:$J$5,2,0)</f>
        <v>#N/A</v>
      </c>
      <c r="V96" s="270" t="e">
        <f>INDEX([71]Listas!$F$6:$J$10,MATCH(Q96,[71]Listas!$D$6:$D$10,0),MATCH(R96,[71]Listas!$F$4:$J$4,0))</f>
        <v>#N/A</v>
      </c>
      <c r="W96" s="268"/>
      <c r="X96" s="1399"/>
      <c r="Y96" s="1408"/>
      <c r="Z96" s="1400"/>
      <c r="AA96" s="1063"/>
      <c r="AB96" s="267"/>
      <c r="AC96" s="259"/>
      <c r="AD96" s="790"/>
      <c r="AE96" s="267"/>
      <c r="AF96" s="268"/>
      <c r="AG96" s="269">
        <f t="shared" si="5"/>
        <v>0</v>
      </c>
      <c r="AH96" s="271" t="e">
        <f t="shared" si="6"/>
        <v>#N/A</v>
      </c>
      <c r="AI96" s="272" t="e">
        <f>IF(AH96&lt;=1,"Remota",VLOOKUP(AH96,[71]Listas!$C$6:$D$10,2,0))</f>
        <v>#N/A</v>
      </c>
      <c r="AJ96" s="271" t="e">
        <f t="shared" si="7"/>
        <v>#N/A</v>
      </c>
      <c r="AK96" s="272" t="e">
        <f>IF(AJ96&lt;=1,"Insignificante",HLOOKUP(AJ96,[71]Listas!$F$3:$J$4,2,0))</f>
        <v>#N/A</v>
      </c>
      <c r="AL96" s="273" t="e">
        <f t="shared" si="8"/>
        <v>#N/A</v>
      </c>
      <c r="AM96" s="270" t="e">
        <f>INDEX([71]Listas!$F$6:$J$10,MATCH(AI96,[71]Listas!$D$6:$D$10,0),MATCH(AK96,[71]Listas!$F$4:$J$4,0))</f>
        <v>#N/A</v>
      </c>
      <c r="AN96" s="259"/>
      <c r="AO96" s="259"/>
      <c r="AP96" s="794"/>
      <c r="AQ96" s="259"/>
      <c r="AR96" s="259" t="s">
        <v>2343</v>
      </c>
      <c r="AS96" s="790"/>
      <c r="AT96" s="259"/>
      <c r="AU96" s="259"/>
      <c r="AV96" s="261"/>
      <c r="AW96" s="261"/>
      <c r="AX96" s="790"/>
      <c r="AY96" s="262"/>
    </row>
    <row r="97" spans="1:51" s="260" customFormat="1" ht="103.5" hidden="1" customHeight="1">
      <c r="A97" s="790"/>
      <c r="B97" s="266"/>
      <c r="C97" s="1399"/>
      <c r="D97" s="1408"/>
      <c r="E97" s="1400"/>
      <c r="F97" s="267"/>
      <c r="G97" s="1399"/>
      <c r="H97" s="1408"/>
      <c r="I97" s="1400"/>
      <c r="J97" s="1380"/>
      <c r="K97" s="1380"/>
      <c r="L97" s="1380"/>
      <c r="M97" s="790"/>
      <c r="N97" s="790"/>
      <c r="O97" s="790"/>
      <c r="P97" s="790"/>
      <c r="Q97" s="266"/>
      <c r="R97" s="266"/>
      <c r="S97" s="268"/>
      <c r="T97" s="269" t="e">
        <f>VLOOKUP(Q97,[71]Listas!$D$6:$E$10,2,0)</f>
        <v>#N/A</v>
      </c>
      <c r="U97" s="269" t="e">
        <f>HLOOKUP(R97,[71]Listas!$F$4:$J$5,2,0)</f>
        <v>#N/A</v>
      </c>
      <c r="V97" s="270" t="e">
        <f>INDEX([71]Listas!$F$6:$J$10,MATCH(Q97,[71]Listas!$D$6:$D$10,0),MATCH(R97,[71]Listas!$F$4:$J$4,0))</f>
        <v>#N/A</v>
      </c>
      <c r="W97" s="268"/>
      <c r="X97" s="1399"/>
      <c r="Y97" s="1408"/>
      <c r="Z97" s="1400"/>
      <c r="AA97" s="1063"/>
      <c r="AB97" s="267"/>
      <c r="AC97" s="259"/>
      <c r="AD97" s="790"/>
      <c r="AE97" s="267"/>
      <c r="AF97" s="268"/>
      <c r="AG97" s="269">
        <f t="shared" si="5"/>
        <v>0</v>
      </c>
      <c r="AH97" s="271" t="e">
        <f t="shared" si="6"/>
        <v>#N/A</v>
      </c>
      <c r="AI97" s="272" t="e">
        <f>IF(AH97&lt;=1,"Remota",VLOOKUP(AH97,[71]Listas!$C$6:$D$10,2,0))</f>
        <v>#N/A</v>
      </c>
      <c r="AJ97" s="271" t="e">
        <f t="shared" si="7"/>
        <v>#N/A</v>
      </c>
      <c r="AK97" s="272" t="e">
        <f>IF(AJ97&lt;=1,"Insignificante",HLOOKUP(AJ97,[71]Listas!$F$3:$J$4,2,0))</f>
        <v>#N/A</v>
      </c>
      <c r="AL97" s="273" t="e">
        <f t="shared" si="8"/>
        <v>#N/A</v>
      </c>
      <c r="AM97" s="270" t="e">
        <f>INDEX([71]Listas!$F$6:$J$10,MATCH(AI97,[71]Listas!$D$6:$D$10,0),MATCH(AK97,[71]Listas!$F$4:$J$4,0))</f>
        <v>#N/A</v>
      </c>
      <c r="AN97" s="259"/>
      <c r="AO97" s="259"/>
      <c r="AP97" s="794"/>
      <c r="AQ97" s="259"/>
      <c r="AR97" s="259" t="s">
        <v>2343</v>
      </c>
      <c r="AS97" s="790"/>
      <c r="AT97" s="259"/>
      <c r="AU97" s="259"/>
      <c r="AV97" s="261"/>
      <c r="AW97" s="261"/>
      <c r="AX97" s="790"/>
      <c r="AY97" s="262"/>
    </row>
    <row r="98" spans="1:51" s="260" customFormat="1" ht="103.5" hidden="1" customHeight="1">
      <c r="A98" s="790"/>
      <c r="B98" s="266"/>
      <c r="C98" s="1399"/>
      <c r="D98" s="1408"/>
      <c r="E98" s="1400"/>
      <c r="F98" s="267"/>
      <c r="G98" s="1399"/>
      <c r="H98" s="1408"/>
      <c r="I98" s="1400"/>
      <c r="J98" s="1380"/>
      <c r="K98" s="1380"/>
      <c r="L98" s="1380"/>
      <c r="M98" s="790"/>
      <c r="N98" s="790"/>
      <c r="O98" s="790"/>
      <c r="P98" s="790"/>
      <c r="Q98" s="266"/>
      <c r="R98" s="266"/>
      <c r="S98" s="268"/>
      <c r="T98" s="269" t="e">
        <f>VLOOKUP(Q98,[71]Listas!$D$6:$E$10,2,0)</f>
        <v>#N/A</v>
      </c>
      <c r="U98" s="269" t="e">
        <f>HLOOKUP(R98,[71]Listas!$F$4:$J$5,2,0)</f>
        <v>#N/A</v>
      </c>
      <c r="V98" s="270" t="e">
        <f>INDEX([71]Listas!$F$6:$J$10,MATCH(Q98,[71]Listas!$D$6:$D$10,0),MATCH(R98,[71]Listas!$F$4:$J$4,0))</f>
        <v>#N/A</v>
      </c>
      <c r="W98" s="268"/>
      <c r="X98" s="1399"/>
      <c r="Y98" s="1408"/>
      <c r="Z98" s="1400"/>
      <c r="AA98" s="1063"/>
      <c r="AB98" s="267"/>
      <c r="AC98" s="259"/>
      <c r="AD98" s="790"/>
      <c r="AE98" s="267"/>
      <c r="AF98" s="268"/>
      <c r="AG98" s="269">
        <f t="shared" si="5"/>
        <v>0</v>
      </c>
      <c r="AH98" s="271" t="e">
        <f t="shared" si="6"/>
        <v>#N/A</v>
      </c>
      <c r="AI98" s="272" t="e">
        <f>IF(AH98&lt;=1,"Remota",VLOOKUP(AH98,[71]Listas!$C$6:$D$10,2,0))</f>
        <v>#N/A</v>
      </c>
      <c r="AJ98" s="271" t="e">
        <f t="shared" si="7"/>
        <v>#N/A</v>
      </c>
      <c r="AK98" s="272" t="e">
        <f>IF(AJ98&lt;=1,"Insignificante",HLOOKUP(AJ98,[71]Listas!$F$3:$J$4,2,0))</f>
        <v>#N/A</v>
      </c>
      <c r="AL98" s="273" t="e">
        <f t="shared" si="8"/>
        <v>#N/A</v>
      </c>
      <c r="AM98" s="270" t="e">
        <f>INDEX([71]Listas!$F$6:$J$10,MATCH(AI98,[71]Listas!$D$6:$D$10,0),MATCH(AK98,[71]Listas!$F$4:$J$4,0))</f>
        <v>#N/A</v>
      </c>
      <c r="AN98" s="259"/>
      <c r="AO98" s="259"/>
      <c r="AP98" s="794"/>
      <c r="AQ98" s="259"/>
      <c r="AR98" s="259" t="s">
        <v>2343</v>
      </c>
      <c r="AS98" s="790"/>
      <c r="AT98" s="259"/>
      <c r="AU98" s="259"/>
      <c r="AV98" s="261"/>
      <c r="AW98" s="261"/>
      <c r="AX98" s="790"/>
      <c r="AY98" s="262"/>
    </row>
    <row r="99" spans="1:51" s="260" customFormat="1" ht="103.5" hidden="1" customHeight="1">
      <c r="A99" s="790"/>
      <c r="B99" s="266"/>
      <c r="C99" s="1399"/>
      <c r="D99" s="1408"/>
      <c r="E99" s="1400"/>
      <c r="F99" s="267"/>
      <c r="G99" s="1399"/>
      <c r="H99" s="1408"/>
      <c r="I99" s="1400"/>
      <c r="J99" s="1380"/>
      <c r="K99" s="1380"/>
      <c r="L99" s="1380"/>
      <c r="M99" s="790"/>
      <c r="N99" s="790"/>
      <c r="O99" s="790"/>
      <c r="P99" s="790"/>
      <c r="Q99" s="266"/>
      <c r="R99" s="266"/>
      <c r="S99" s="268"/>
      <c r="T99" s="269" t="e">
        <f>VLOOKUP(Q99,[71]Listas!$D$6:$E$10,2,0)</f>
        <v>#N/A</v>
      </c>
      <c r="U99" s="269" t="e">
        <f>HLOOKUP(R99,[71]Listas!$F$4:$J$5,2,0)</f>
        <v>#N/A</v>
      </c>
      <c r="V99" s="270" t="e">
        <f>INDEX([71]Listas!$F$6:$J$10,MATCH(Q99,[71]Listas!$D$6:$D$10,0),MATCH(R99,[71]Listas!$F$4:$J$4,0))</f>
        <v>#N/A</v>
      </c>
      <c r="W99" s="268"/>
      <c r="X99" s="1399"/>
      <c r="Y99" s="1408"/>
      <c r="Z99" s="1400"/>
      <c r="AA99" s="1063"/>
      <c r="AB99" s="267"/>
      <c r="AC99" s="259"/>
      <c r="AD99" s="790"/>
      <c r="AE99" s="267"/>
      <c r="AF99" s="268"/>
      <c r="AG99" s="269">
        <f t="shared" si="5"/>
        <v>0</v>
      </c>
      <c r="AH99" s="271" t="e">
        <f t="shared" si="6"/>
        <v>#N/A</v>
      </c>
      <c r="AI99" s="272" t="e">
        <f>IF(AH99&lt;=1,"Remota",VLOOKUP(AH99,[71]Listas!$C$6:$D$10,2,0))</f>
        <v>#N/A</v>
      </c>
      <c r="AJ99" s="271" t="e">
        <f t="shared" si="7"/>
        <v>#N/A</v>
      </c>
      <c r="AK99" s="272" t="e">
        <f>IF(AJ99&lt;=1,"Insignificante",HLOOKUP(AJ99,[71]Listas!$F$3:$J$4,2,0))</f>
        <v>#N/A</v>
      </c>
      <c r="AL99" s="273" t="e">
        <f t="shared" si="8"/>
        <v>#N/A</v>
      </c>
      <c r="AM99" s="270" t="e">
        <f>INDEX([71]Listas!$F$6:$J$10,MATCH(AI99,[71]Listas!$D$6:$D$10,0),MATCH(AK99,[71]Listas!$F$4:$J$4,0))</f>
        <v>#N/A</v>
      </c>
      <c r="AN99" s="259"/>
      <c r="AO99" s="259"/>
      <c r="AP99" s="794"/>
      <c r="AQ99" s="259"/>
      <c r="AR99" s="259" t="s">
        <v>2343</v>
      </c>
      <c r="AS99" s="790"/>
      <c r="AT99" s="259"/>
      <c r="AU99" s="259"/>
      <c r="AV99" s="261"/>
      <c r="AW99" s="261"/>
      <c r="AX99" s="790"/>
      <c r="AY99" s="262"/>
    </row>
    <row r="100" spans="1:51" s="260" customFormat="1" ht="103.5" hidden="1" customHeight="1">
      <c r="A100" s="813"/>
      <c r="B100" s="274"/>
      <c r="C100" s="1399"/>
      <c r="D100" s="1408"/>
      <c r="E100" s="1400"/>
      <c r="F100" s="267"/>
      <c r="G100" s="1399"/>
      <c r="H100" s="1408"/>
      <c r="I100" s="1400"/>
      <c r="J100" s="1380"/>
      <c r="K100" s="1380"/>
      <c r="L100" s="1380"/>
      <c r="M100" s="790"/>
      <c r="N100" s="790"/>
      <c r="O100" s="790"/>
      <c r="P100" s="790"/>
      <c r="Q100" s="266"/>
      <c r="R100" s="266"/>
      <c r="S100" s="268"/>
      <c r="T100" s="269" t="e">
        <f>VLOOKUP(Q100,[71]Listas!$D$6:$E$10,2,0)</f>
        <v>#N/A</v>
      </c>
      <c r="U100" s="269" t="e">
        <f>HLOOKUP(R100,[71]Listas!$F$4:$J$5,2,0)</f>
        <v>#N/A</v>
      </c>
      <c r="V100" s="270" t="e">
        <f>INDEX([71]Listas!$F$6:$J$10,MATCH(Q100,[71]Listas!$D$6:$D$10,0),MATCH(R100,[71]Listas!$F$4:$J$4,0))</f>
        <v>#N/A</v>
      </c>
      <c r="W100" s="268"/>
      <c r="X100" s="1399"/>
      <c r="Y100" s="1408"/>
      <c r="Z100" s="1400"/>
      <c r="AA100" s="1063"/>
      <c r="AB100" s="267"/>
      <c r="AC100" s="259"/>
      <c r="AD100" s="790"/>
      <c r="AE100" s="267"/>
      <c r="AF100" s="268"/>
      <c r="AG100" s="269">
        <f t="shared" si="5"/>
        <v>0</v>
      </c>
      <c r="AH100" s="271" t="e">
        <f t="shared" si="6"/>
        <v>#N/A</v>
      </c>
      <c r="AI100" s="272" t="e">
        <f>IF(AH100&lt;=1,"Remota",VLOOKUP(AH100,[71]Listas!$C$6:$D$10,2,0))</f>
        <v>#N/A</v>
      </c>
      <c r="AJ100" s="271" t="e">
        <f t="shared" si="7"/>
        <v>#N/A</v>
      </c>
      <c r="AK100" s="272" t="e">
        <f>IF(AJ100&lt;=1,"Insignificante",HLOOKUP(AJ100,[71]Listas!$F$3:$J$4,2,0))</f>
        <v>#N/A</v>
      </c>
      <c r="AL100" s="273" t="e">
        <f t="shared" si="8"/>
        <v>#N/A</v>
      </c>
      <c r="AM100" s="270" t="e">
        <f>INDEX([71]Listas!$F$6:$J$10,MATCH(AI100,[71]Listas!$D$6:$D$10,0),MATCH(AK100,[71]Listas!$F$4:$J$4,0))</f>
        <v>#N/A</v>
      </c>
      <c r="AN100" s="259"/>
      <c r="AO100" s="259"/>
      <c r="AP100" s="794"/>
      <c r="AQ100" s="259"/>
      <c r="AR100" s="259" t="s">
        <v>2343</v>
      </c>
      <c r="AS100" s="790"/>
      <c r="AT100" s="259"/>
      <c r="AU100" s="259"/>
      <c r="AV100" s="261"/>
      <c r="AW100" s="261"/>
      <c r="AX100" s="790"/>
      <c r="AY100" s="262"/>
    </row>
    <row r="101" spans="1:51" s="260" customFormat="1" ht="103.5" hidden="1" customHeight="1">
      <c r="A101" s="790"/>
      <c r="B101" s="266"/>
      <c r="C101" s="1399"/>
      <c r="D101" s="1408"/>
      <c r="E101" s="1400"/>
      <c r="F101" s="267"/>
      <c r="G101" s="1399"/>
      <c r="H101" s="1408"/>
      <c r="I101" s="1400"/>
      <c r="J101" s="1380"/>
      <c r="K101" s="1380"/>
      <c r="L101" s="1380"/>
      <c r="M101" s="790"/>
      <c r="N101" s="790"/>
      <c r="O101" s="790"/>
      <c r="P101" s="790"/>
      <c r="Q101" s="266"/>
      <c r="R101" s="266"/>
      <c r="S101" s="268"/>
      <c r="T101" s="269" t="e">
        <f>VLOOKUP(Q101,[71]Listas!$D$6:$E$10,2,0)</f>
        <v>#N/A</v>
      </c>
      <c r="U101" s="269" t="e">
        <f>HLOOKUP(R101,[71]Listas!$F$4:$J$5,2,0)</f>
        <v>#N/A</v>
      </c>
      <c r="V101" s="270" t="e">
        <f>INDEX([71]Listas!$F$6:$J$10,MATCH(Q101,[71]Listas!$D$6:$D$10,0),MATCH(R101,[71]Listas!$F$4:$J$4,0))</f>
        <v>#N/A</v>
      </c>
      <c r="W101" s="268"/>
      <c r="X101" s="1399"/>
      <c r="Y101" s="1408"/>
      <c r="Z101" s="1400"/>
      <c r="AA101" s="1063"/>
      <c r="AB101" s="267"/>
      <c r="AC101" s="259"/>
      <c r="AD101" s="790"/>
      <c r="AE101" s="267"/>
      <c r="AF101" s="268"/>
      <c r="AG101" s="269">
        <f t="shared" si="5"/>
        <v>0</v>
      </c>
      <c r="AH101" s="271" t="e">
        <f t="shared" si="6"/>
        <v>#N/A</v>
      </c>
      <c r="AI101" s="272" t="e">
        <f>IF(AH101&lt;=1,"Remota",VLOOKUP(AH101,[71]Listas!$C$6:$D$10,2,0))</f>
        <v>#N/A</v>
      </c>
      <c r="AJ101" s="271" t="e">
        <f t="shared" si="7"/>
        <v>#N/A</v>
      </c>
      <c r="AK101" s="272" t="e">
        <f>IF(AJ101&lt;=1,"Insignificante",HLOOKUP(AJ101,[71]Listas!$F$3:$J$4,2,0))</f>
        <v>#N/A</v>
      </c>
      <c r="AL101" s="273" t="e">
        <f t="shared" si="8"/>
        <v>#N/A</v>
      </c>
      <c r="AM101" s="270" t="e">
        <f>INDEX([71]Listas!$F$6:$J$10,MATCH(AI101,[71]Listas!$D$6:$D$10,0),MATCH(AK101,[71]Listas!$F$4:$J$4,0))</f>
        <v>#N/A</v>
      </c>
      <c r="AN101" s="259"/>
      <c r="AO101" s="259"/>
      <c r="AP101" s="794"/>
      <c r="AQ101" s="259"/>
      <c r="AR101" s="259" t="s">
        <v>2343</v>
      </c>
      <c r="AS101" s="790"/>
      <c r="AT101" s="259"/>
      <c r="AU101" s="259"/>
      <c r="AV101" s="261"/>
      <c r="AW101" s="261"/>
      <c r="AX101" s="790"/>
      <c r="AY101" s="262"/>
    </row>
    <row r="102" spans="1:51" s="260" customFormat="1" ht="103.5" hidden="1" customHeight="1">
      <c r="A102" s="790"/>
      <c r="B102" s="266"/>
      <c r="C102" s="1399"/>
      <c r="D102" s="1408"/>
      <c r="E102" s="1400"/>
      <c r="F102" s="267"/>
      <c r="G102" s="1399"/>
      <c r="H102" s="1408"/>
      <c r="I102" s="1400"/>
      <c r="J102" s="1380"/>
      <c r="K102" s="1380"/>
      <c r="L102" s="1380"/>
      <c r="M102" s="790"/>
      <c r="N102" s="790"/>
      <c r="O102" s="790"/>
      <c r="P102" s="790"/>
      <c r="Q102" s="266"/>
      <c r="R102" s="266"/>
      <c r="S102" s="268"/>
      <c r="T102" s="269" t="e">
        <f>VLOOKUP(Q102,[71]Listas!$D$6:$E$10,2,0)</f>
        <v>#N/A</v>
      </c>
      <c r="U102" s="269" t="e">
        <f>HLOOKUP(R102,[71]Listas!$F$4:$J$5,2,0)</f>
        <v>#N/A</v>
      </c>
      <c r="V102" s="270" t="e">
        <f>INDEX([71]Listas!$F$6:$J$10,MATCH(Q102,[71]Listas!$D$6:$D$10,0),MATCH(R102,[71]Listas!$F$4:$J$4,0))</f>
        <v>#N/A</v>
      </c>
      <c r="W102" s="268"/>
      <c r="X102" s="1399"/>
      <c r="Y102" s="1408"/>
      <c r="Z102" s="1400"/>
      <c r="AA102" s="1063"/>
      <c r="AB102" s="267"/>
      <c r="AC102" s="259"/>
      <c r="AD102" s="790"/>
      <c r="AE102" s="267"/>
      <c r="AF102" s="268"/>
      <c r="AG102" s="269">
        <f t="shared" si="5"/>
        <v>0</v>
      </c>
      <c r="AH102" s="271" t="e">
        <f t="shared" si="6"/>
        <v>#N/A</v>
      </c>
      <c r="AI102" s="272" t="e">
        <f>IF(AH102&lt;=1,"Remota",VLOOKUP(AH102,[71]Listas!$C$6:$D$10,2,0))</f>
        <v>#N/A</v>
      </c>
      <c r="AJ102" s="271" t="e">
        <f t="shared" si="7"/>
        <v>#N/A</v>
      </c>
      <c r="AK102" s="272" t="e">
        <f>IF(AJ102&lt;=1,"Insignificante",HLOOKUP(AJ102,[71]Listas!$F$3:$J$4,2,0))</f>
        <v>#N/A</v>
      </c>
      <c r="AL102" s="273" t="e">
        <f t="shared" si="8"/>
        <v>#N/A</v>
      </c>
      <c r="AM102" s="270" t="e">
        <f>INDEX([71]Listas!$F$6:$J$10,MATCH(AI102,[71]Listas!$D$6:$D$10,0),MATCH(AK102,[71]Listas!$F$4:$J$4,0))</f>
        <v>#N/A</v>
      </c>
      <c r="AN102" s="259"/>
      <c r="AO102" s="259"/>
      <c r="AP102" s="794"/>
      <c r="AQ102" s="259"/>
      <c r="AR102" s="259" t="s">
        <v>2343</v>
      </c>
      <c r="AS102" s="790"/>
      <c r="AT102" s="259"/>
      <c r="AU102" s="259"/>
      <c r="AV102" s="261"/>
      <c r="AW102" s="261"/>
      <c r="AX102" s="790"/>
      <c r="AY102" s="262"/>
    </row>
    <row r="103" spans="1:51" s="260" customFormat="1" ht="103.5" hidden="1" customHeight="1">
      <c r="A103" s="790"/>
      <c r="B103" s="266"/>
      <c r="C103" s="1399"/>
      <c r="D103" s="1408"/>
      <c r="E103" s="1400"/>
      <c r="F103" s="267"/>
      <c r="G103" s="1399"/>
      <c r="H103" s="1408"/>
      <c r="I103" s="1400"/>
      <c r="J103" s="1380"/>
      <c r="K103" s="1380"/>
      <c r="L103" s="1380"/>
      <c r="M103" s="790"/>
      <c r="N103" s="790"/>
      <c r="O103" s="790"/>
      <c r="P103" s="790"/>
      <c r="Q103" s="266"/>
      <c r="R103" s="266"/>
      <c r="S103" s="268"/>
      <c r="T103" s="269" t="e">
        <f>VLOOKUP(Q103,[71]Listas!$D$6:$E$10,2,0)</f>
        <v>#N/A</v>
      </c>
      <c r="U103" s="269" t="e">
        <f>HLOOKUP(R103,[71]Listas!$F$4:$J$5,2,0)</f>
        <v>#N/A</v>
      </c>
      <c r="V103" s="270" t="e">
        <f>INDEX([71]Listas!$F$6:$J$10,MATCH(Q103,[71]Listas!$D$6:$D$10,0),MATCH(R103,[71]Listas!$F$4:$J$4,0))</f>
        <v>#N/A</v>
      </c>
      <c r="W103" s="268"/>
      <c r="X103" s="1399"/>
      <c r="Y103" s="1408"/>
      <c r="Z103" s="1400"/>
      <c r="AA103" s="1063"/>
      <c r="AB103" s="267"/>
      <c r="AC103" s="259"/>
      <c r="AD103" s="790"/>
      <c r="AE103" s="267"/>
      <c r="AF103" s="268"/>
      <c r="AG103" s="269">
        <f t="shared" si="5"/>
        <v>0</v>
      </c>
      <c r="AH103" s="271" t="e">
        <f t="shared" si="6"/>
        <v>#N/A</v>
      </c>
      <c r="AI103" s="272" t="e">
        <f>IF(AH103&lt;=1,"Remota",VLOOKUP(AH103,[71]Listas!$C$6:$D$10,2,0))</f>
        <v>#N/A</v>
      </c>
      <c r="AJ103" s="271" t="e">
        <f t="shared" si="7"/>
        <v>#N/A</v>
      </c>
      <c r="AK103" s="272" t="e">
        <f>IF(AJ103&lt;=1,"Insignificante",HLOOKUP(AJ103,[71]Listas!$F$3:$J$4,2,0))</f>
        <v>#N/A</v>
      </c>
      <c r="AL103" s="273" t="e">
        <f t="shared" si="8"/>
        <v>#N/A</v>
      </c>
      <c r="AM103" s="270" t="e">
        <f>INDEX([71]Listas!$F$6:$J$10,MATCH(AI103,[71]Listas!$D$6:$D$10,0),MATCH(AK103,[71]Listas!$F$4:$J$4,0))</f>
        <v>#N/A</v>
      </c>
      <c r="AN103" s="259"/>
      <c r="AO103" s="259"/>
      <c r="AP103" s="794"/>
      <c r="AQ103" s="259"/>
      <c r="AR103" s="259" t="s">
        <v>2343</v>
      </c>
      <c r="AS103" s="790"/>
      <c r="AT103" s="259"/>
      <c r="AU103" s="259"/>
      <c r="AV103" s="261"/>
      <c r="AW103" s="261"/>
      <c r="AX103" s="790"/>
      <c r="AY103" s="262"/>
    </row>
    <row r="104" spans="1:51" s="260" customFormat="1" ht="103.5" hidden="1" customHeight="1">
      <c r="A104" s="790"/>
      <c r="B104" s="266"/>
      <c r="C104" s="1399"/>
      <c r="D104" s="1408"/>
      <c r="E104" s="1400"/>
      <c r="F104" s="267"/>
      <c r="G104" s="1399"/>
      <c r="H104" s="1408"/>
      <c r="I104" s="1400"/>
      <c r="J104" s="1380"/>
      <c r="K104" s="1380"/>
      <c r="L104" s="1380"/>
      <c r="M104" s="790"/>
      <c r="N104" s="790"/>
      <c r="O104" s="790"/>
      <c r="P104" s="790"/>
      <c r="Q104" s="266"/>
      <c r="R104" s="266"/>
      <c r="S104" s="268"/>
      <c r="T104" s="269" t="e">
        <f>VLOOKUP(Q104,[71]Listas!$D$6:$E$10,2,0)</f>
        <v>#N/A</v>
      </c>
      <c r="U104" s="269" t="e">
        <f>HLOOKUP(R104,[71]Listas!$F$4:$J$5,2,0)</f>
        <v>#N/A</v>
      </c>
      <c r="V104" s="270" t="e">
        <f>INDEX([71]Listas!$F$6:$J$10,MATCH(Q104,[71]Listas!$D$6:$D$10,0),MATCH(R104,[71]Listas!$F$4:$J$4,0))</f>
        <v>#N/A</v>
      </c>
      <c r="W104" s="268"/>
      <c r="X104" s="1399"/>
      <c r="Y104" s="1408"/>
      <c r="Z104" s="1400"/>
      <c r="AA104" s="1063"/>
      <c r="AB104" s="267"/>
      <c r="AC104" s="259"/>
      <c r="AD104" s="790"/>
      <c r="AE104" s="267"/>
      <c r="AF104" s="268"/>
      <c r="AG104" s="269">
        <f t="shared" si="5"/>
        <v>0</v>
      </c>
      <c r="AH104" s="271" t="e">
        <f t="shared" si="6"/>
        <v>#N/A</v>
      </c>
      <c r="AI104" s="272" t="e">
        <f>IF(AH104&lt;=1,"Remota",VLOOKUP(AH104,[71]Listas!$C$6:$D$10,2,0))</f>
        <v>#N/A</v>
      </c>
      <c r="AJ104" s="271" t="e">
        <f t="shared" si="7"/>
        <v>#N/A</v>
      </c>
      <c r="AK104" s="272" t="e">
        <f>IF(AJ104&lt;=1,"Insignificante",HLOOKUP(AJ104,[71]Listas!$F$3:$J$4,2,0))</f>
        <v>#N/A</v>
      </c>
      <c r="AL104" s="273" t="e">
        <f t="shared" si="8"/>
        <v>#N/A</v>
      </c>
      <c r="AM104" s="270" t="e">
        <f>INDEX([71]Listas!$F$6:$J$10,MATCH(AI104,[71]Listas!$D$6:$D$10,0),MATCH(AK104,[71]Listas!$F$4:$J$4,0))</f>
        <v>#N/A</v>
      </c>
      <c r="AN104" s="259"/>
      <c r="AO104" s="259"/>
      <c r="AP104" s="794"/>
      <c r="AQ104" s="259"/>
      <c r="AR104" s="259" t="s">
        <v>2343</v>
      </c>
      <c r="AS104" s="790"/>
      <c r="AT104" s="259"/>
      <c r="AU104" s="259"/>
      <c r="AV104" s="261"/>
      <c r="AW104" s="261"/>
      <c r="AX104" s="790"/>
      <c r="AY104" s="262"/>
    </row>
    <row r="105" spans="1:51" s="260" customFormat="1" ht="103.5" hidden="1" customHeight="1">
      <c r="A105" s="790"/>
      <c r="B105" s="266"/>
      <c r="C105" s="1399"/>
      <c r="D105" s="1408"/>
      <c r="E105" s="1400"/>
      <c r="F105" s="267"/>
      <c r="G105" s="1399"/>
      <c r="H105" s="1408"/>
      <c r="I105" s="1400"/>
      <c r="J105" s="1380"/>
      <c r="K105" s="1380"/>
      <c r="L105" s="1380"/>
      <c r="M105" s="790"/>
      <c r="N105" s="790"/>
      <c r="O105" s="790"/>
      <c r="P105" s="790"/>
      <c r="Q105" s="266"/>
      <c r="R105" s="266"/>
      <c r="S105" s="268"/>
      <c r="T105" s="269" t="e">
        <f>VLOOKUP(Q105,[71]Listas!$D$6:$E$10,2,0)</f>
        <v>#N/A</v>
      </c>
      <c r="U105" s="269" t="e">
        <f>HLOOKUP(R105,[71]Listas!$F$4:$J$5,2,0)</f>
        <v>#N/A</v>
      </c>
      <c r="V105" s="270" t="e">
        <f>INDEX([71]Listas!$F$6:$J$10,MATCH(Q105,[71]Listas!$D$6:$D$10,0),MATCH(R105,[71]Listas!$F$4:$J$4,0))</f>
        <v>#N/A</v>
      </c>
      <c r="W105" s="268"/>
      <c r="X105" s="1399"/>
      <c r="Y105" s="1408"/>
      <c r="Z105" s="1400"/>
      <c r="AA105" s="1063"/>
      <c r="AB105" s="267"/>
      <c r="AC105" s="259"/>
      <c r="AD105" s="790"/>
      <c r="AE105" s="267"/>
      <c r="AF105" s="268"/>
      <c r="AG105" s="269">
        <f t="shared" si="5"/>
        <v>0</v>
      </c>
      <c r="AH105" s="271" t="e">
        <f t="shared" si="6"/>
        <v>#N/A</v>
      </c>
      <c r="AI105" s="272" t="e">
        <f>IF(AH105&lt;=1,"Remota",VLOOKUP(AH105,[71]Listas!$C$6:$D$10,2,0))</f>
        <v>#N/A</v>
      </c>
      <c r="AJ105" s="271" t="e">
        <f t="shared" si="7"/>
        <v>#N/A</v>
      </c>
      <c r="AK105" s="272" t="e">
        <f>IF(AJ105&lt;=1,"Insignificante",HLOOKUP(AJ105,[71]Listas!$F$3:$J$4,2,0))</f>
        <v>#N/A</v>
      </c>
      <c r="AL105" s="273" t="e">
        <f t="shared" si="8"/>
        <v>#N/A</v>
      </c>
      <c r="AM105" s="270" t="e">
        <f>INDEX([71]Listas!$F$6:$J$10,MATCH(AI105,[71]Listas!$D$6:$D$10,0),MATCH(AK105,[71]Listas!$F$4:$J$4,0))</f>
        <v>#N/A</v>
      </c>
      <c r="AN105" s="259"/>
      <c r="AO105" s="259"/>
      <c r="AP105" s="794"/>
      <c r="AQ105" s="259"/>
      <c r="AR105" s="259" t="s">
        <v>2343</v>
      </c>
      <c r="AS105" s="790"/>
      <c r="AT105" s="259"/>
      <c r="AU105" s="259"/>
      <c r="AV105" s="261"/>
      <c r="AW105" s="261"/>
      <c r="AX105" s="790"/>
      <c r="AY105" s="262"/>
    </row>
    <row r="106" spans="1:51" s="260" customFormat="1" ht="103.5" hidden="1" customHeight="1">
      <c r="A106" s="790"/>
      <c r="B106" s="266"/>
      <c r="C106" s="1399"/>
      <c r="D106" s="1408"/>
      <c r="E106" s="1400"/>
      <c r="F106" s="267"/>
      <c r="G106" s="1399"/>
      <c r="H106" s="1408"/>
      <c r="I106" s="1400"/>
      <c r="J106" s="1380"/>
      <c r="K106" s="1380"/>
      <c r="L106" s="1380"/>
      <c r="M106" s="790"/>
      <c r="N106" s="790"/>
      <c r="O106" s="790"/>
      <c r="P106" s="790"/>
      <c r="Q106" s="266"/>
      <c r="R106" s="266"/>
      <c r="S106" s="268"/>
      <c r="T106" s="269" t="e">
        <f>VLOOKUP(Q106,[71]Listas!$D$6:$E$10,2,0)</f>
        <v>#N/A</v>
      </c>
      <c r="U106" s="269" t="e">
        <f>HLOOKUP(R106,[71]Listas!$F$4:$J$5,2,0)</f>
        <v>#N/A</v>
      </c>
      <c r="V106" s="270" t="e">
        <f>INDEX([71]Listas!$F$6:$J$10,MATCH(Q106,[71]Listas!$D$6:$D$10,0),MATCH(R106,[71]Listas!$F$4:$J$4,0))</f>
        <v>#N/A</v>
      </c>
      <c r="W106" s="268"/>
      <c r="X106" s="1399"/>
      <c r="Y106" s="1408"/>
      <c r="Z106" s="1400"/>
      <c r="AA106" s="1063"/>
      <c r="AB106" s="267"/>
      <c r="AC106" s="259"/>
      <c r="AD106" s="790"/>
      <c r="AE106" s="267"/>
      <c r="AF106" s="268"/>
      <c r="AG106" s="269">
        <f t="shared" si="5"/>
        <v>0</v>
      </c>
      <c r="AH106" s="271" t="e">
        <f t="shared" si="6"/>
        <v>#N/A</v>
      </c>
      <c r="AI106" s="272" t="e">
        <f>IF(AH106&lt;=1,"Remota",VLOOKUP(AH106,[71]Listas!$C$6:$D$10,2,0))</f>
        <v>#N/A</v>
      </c>
      <c r="AJ106" s="271" t="e">
        <f t="shared" si="7"/>
        <v>#N/A</v>
      </c>
      <c r="AK106" s="272" t="e">
        <f>IF(AJ106&lt;=1,"Insignificante",HLOOKUP(AJ106,[71]Listas!$F$3:$J$4,2,0))</f>
        <v>#N/A</v>
      </c>
      <c r="AL106" s="273" t="e">
        <f t="shared" si="8"/>
        <v>#N/A</v>
      </c>
      <c r="AM106" s="270" t="e">
        <f>INDEX([71]Listas!$F$6:$J$10,MATCH(AI106,[71]Listas!$D$6:$D$10,0),MATCH(AK106,[71]Listas!$F$4:$J$4,0))</f>
        <v>#N/A</v>
      </c>
      <c r="AN106" s="259"/>
      <c r="AO106" s="259"/>
      <c r="AP106" s="794"/>
      <c r="AQ106" s="259"/>
      <c r="AR106" s="259" t="s">
        <v>2343</v>
      </c>
      <c r="AS106" s="790"/>
      <c r="AT106" s="259"/>
      <c r="AU106" s="259"/>
      <c r="AV106" s="261"/>
      <c r="AW106" s="261"/>
      <c r="AX106" s="790"/>
      <c r="AY106" s="262"/>
    </row>
    <row r="107" spans="1:51" s="260" customFormat="1" ht="103.5" hidden="1" customHeight="1">
      <c r="A107" s="790"/>
      <c r="B107" s="266"/>
      <c r="C107" s="1399"/>
      <c r="D107" s="1408"/>
      <c r="E107" s="1400"/>
      <c r="F107" s="267"/>
      <c r="G107" s="1399"/>
      <c r="H107" s="1408"/>
      <c r="I107" s="1400"/>
      <c r="J107" s="1380"/>
      <c r="K107" s="1380"/>
      <c r="L107" s="1380"/>
      <c r="M107" s="790"/>
      <c r="N107" s="790"/>
      <c r="O107" s="790"/>
      <c r="P107" s="790"/>
      <c r="Q107" s="266"/>
      <c r="R107" s="266"/>
      <c r="S107" s="268"/>
      <c r="T107" s="269" t="e">
        <f>VLOOKUP(Q107,[71]Listas!$D$6:$E$10,2,0)</f>
        <v>#N/A</v>
      </c>
      <c r="U107" s="269" t="e">
        <f>HLOOKUP(R107,[71]Listas!$F$4:$J$5,2,0)</f>
        <v>#N/A</v>
      </c>
      <c r="V107" s="270" t="e">
        <f>INDEX([71]Listas!$F$6:$J$10,MATCH(Q107,[71]Listas!$D$6:$D$10,0),MATCH(R107,[71]Listas!$F$4:$J$4,0))</f>
        <v>#N/A</v>
      </c>
      <c r="W107" s="268"/>
      <c r="X107" s="1399"/>
      <c r="Y107" s="1408"/>
      <c r="Z107" s="1400"/>
      <c r="AA107" s="1063"/>
      <c r="AB107" s="267"/>
      <c r="AC107" s="259"/>
      <c r="AD107" s="790"/>
      <c r="AE107" s="267"/>
      <c r="AF107" s="268"/>
      <c r="AG107" s="269">
        <f t="shared" si="5"/>
        <v>0</v>
      </c>
      <c r="AH107" s="271" t="e">
        <f t="shared" si="6"/>
        <v>#N/A</v>
      </c>
      <c r="AI107" s="272" t="e">
        <f>IF(AH107&lt;=1,"Remota",VLOOKUP(AH107,[71]Listas!$C$6:$D$10,2,0))</f>
        <v>#N/A</v>
      </c>
      <c r="AJ107" s="271" t="e">
        <f t="shared" si="7"/>
        <v>#N/A</v>
      </c>
      <c r="AK107" s="272" t="e">
        <f>IF(AJ107&lt;=1,"Insignificante",HLOOKUP(AJ107,[71]Listas!$F$3:$J$4,2,0))</f>
        <v>#N/A</v>
      </c>
      <c r="AL107" s="273" t="e">
        <f t="shared" si="8"/>
        <v>#N/A</v>
      </c>
      <c r="AM107" s="270" t="e">
        <f>INDEX([71]Listas!$F$6:$J$10,MATCH(AI107,[71]Listas!$D$6:$D$10,0),MATCH(AK107,[71]Listas!$F$4:$J$4,0))</f>
        <v>#N/A</v>
      </c>
      <c r="AN107" s="259"/>
      <c r="AO107" s="259"/>
      <c r="AP107" s="794"/>
      <c r="AQ107" s="259"/>
      <c r="AR107" s="259" t="s">
        <v>2343</v>
      </c>
      <c r="AS107" s="790"/>
      <c r="AT107" s="259"/>
      <c r="AU107" s="259"/>
      <c r="AV107" s="261"/>
      <c r="AW107" s="261"/>
      <c r="AX107" s="790"/>
      <c r="AY107" s="262"/>
    </row>
    <row r="108" spans="1:51" s="260" customFormat="1" ht="103.5" hidden="1" customHeight="1">
      <c r="A108" s="790"/>
      <c r="B108" s="266"/>
      <c r="C108" s="1399"/>
      <c r="D108" s="1408"/>
      <c r="E108" s="1400"/>
      <c r="F108" s="267"/>
      <c r="G108" s="1399"/>
      <c r="H108" s="1408"/>
      <c r="I108" s="1400"/>
      <c r="J108" s="1380"/>
      <c r="K108" s="1380"/>
      <c r="L108" s="1380"/>
      <c r="M108" s="790"/>
      <c r="N108" s="790"/>
      <c r="O108" s="790"/>
      <c r="P108" s="790"/>
      <c r="Q108" s="266"/>
      <c r="R108" s="266"/>
      <c r="S108" s="268"/>
      <c r="T108" s="269" t="e">
        <f>VLOOKUP(Q108,[71]Listas!$D$6:$E$10,2,0)</f>
        <v>#N/A</v>
      </c>
      <c r="U108" s="269" t="e">
        <f>HLOOKUP(R108,[71]Listas!$F$4:$J$5,2,0)</f>
        <v>#N/A</v>
      </c>
      <c r="V108" s="270" t="e">
        <f>INDEX([71]Listas!$F$6:$J$10,MATCH(Q108,[71]Listas!$D$6:$D$10,0),MATCH(R108,[71]Listas!$F$4:$J$4,0))</f>
        <v>#N/A</v>
      </c>
      <c r="W108" s="268"/>
      <c r="X108" s="1399"/>
      <c r="Y108" s="1408"/>
      <c r="Z108" s="1400"/>
      <c r="AA108" s="1063"/>
      <c r="AB108" s="267"/>
      <c r="AC108" s="259"/>
      <c r="AD108" s="790"/>
      <c r="AE108" s="267"/>
      <c r="AF108" s="268"/>
      <c r="AG108" s="269">
        <f t="shared" si="5"/>
        <v>0</v>
      </c>
      <c r="AH108" s="271" t="e">
        <f t="shared" si="6"/>
        <v>#N/A</v>
      </c>
      <c r="AI108" s="272" t="e">
        <f>IF(AH108&lt;=1,"Remota",VLOOKUP(AH108,[71]Listas!$C$6:$D$10,2,0))</f>
        <v>#N/A</v>
      </c>
      <c r="AJ108" s="271" t="e">
        <f t="shared" si="7"/>
        <v>#N/A</v>
      </c>
      <c r="AK108" s="272" t="e">
        <f>IF(AJ108&lt;=1,"Insignificante",HLOOKUP(AJ108,[71]Listas!$F$3:$J$4,2,0))</f>
        <v>#N/A</v>
      </c>
      <c r="AL108" s="273" t="e">
        <f t="shared" si="8"/>
        <v>#N/A</v>
      </c>
      <c r="AM108" s="270" t="e">
        <f>INDEX([71]Listas!$F$6:$J$10,MATCH(AI108,[71]Listas!$D$6:$D$10,0),MATCH(AK108,[71]Listas!$F$4:$J$4,0))</f>
        <v>#N/A</v>
      </c>
      <c r="AN108" s="259"/>
      <c r="AO108" s="259"/>
      <c r="AP108" s="794"/>
      <c r="AQ108" s="259"/>
      <c r="AR108" s="259" t="s">
        <v>2343</v>
      </c>
      <c r="AS108" s="790"/>
      <c r="AT108" s="259"/>
      <c r="AU108" s="259"/>
      <c r="AV108" s="261"/>
      <c r="AW108" s="261"/>
      <c r="AX108" s="790"/>
      <c r="AY108" s="262"/>
    </row>
    <row r="109" spans="1:51" s="260" customFormat="1" ht="103.5" hidden="1" customHeight="1">
      <c r="A109" s="790"/>
      <c r="B109" s="266"/>
      <c r="C109" s="1399"/>
      <c r="D109" s="1408"/>
      <c r="E109" s="1400"/>
      <c r="F109" s="267"/>
      <c r="G109" s="1399"/>
      <c r="H109" s="1408"/>
      <c r="I109" s="1400"/>
      <c r="J109" s="1380"/>
      <c r="K109" s="1380"/>
      <c r="L109" s="1380"/>
      <c r="M109" s="790"/>
      <c r="N109" s="790"/>
      <c r="O109" s="790"/>
      <c r="P109" s="790"/>
      <c r="Q109" s="266"/>
      <c r="R109" s="266"/>
      <c r="S109" s="268"/>
      <c r="T109" s="269" t="e">
        <f>VLOOKUP(Q109,[71]Listas!$D$6:$E$10,2,0)</f>
        <v>#N/A</v>
      </c>
      <c r="U109" s="269" t="e">
        <f>HLOOKUP(R109,[71]Listas!$F$4:$J$5,2,0)</f>
        <v>#N/A</v>
      </c>
      <c r="V109" s="270" t="e">
        <f>INDEX([71]Listas!$F$6:$J$10,MATCH(Q109,[71]Listas!$D$6:$D$10,0),MATCH(R109,[71]Listas!$F$4:$J$4,0))</f>
        <v>#N/A</v>
      </c>
      <c r="W109" s="268"/>
      <c r="X109" s="1399"/>
      <c r="Y109" s="1408"/>
      <c r="Z109" s="1400"/>
      <c r="AA109" s="1063"/>
      <c r="AB109" s="267"/>
      <c r="AC109" s="259"/>
      <c r="AD109" s="790"/>
      <c r="AE109" s="267"/>
      <c r="AF109" s="268"/>
      <c r="AG109" s="269">
        <f t="shared" si="5"/>
        <v>0</v>
      </c>
      <c r="AH109" s="271" t="e">
        <f t="shared" si="6"/>
        <v>#N/A</v>
      </c>
      <c r="AI109" s="272" t="e">
        <f>IF(AH109&lt;=1,"Remota",VLOOKUP(AH109,[71]Listas!$C$6:$D$10,2,0))</f>
        <v>#N/A</v>
      </c>
      <c r="AJ109" s="271" t="e">
        <f t="shared" si="7"/>
        <v>#N/A</v>
      </c>
      <c r="AK109" s="272" t="e">
        <f>IF(AJ109&lt;=1,"Insignificante",HLOOKUP(AJ109,[71]Listas!$F$3:$J$4,2,0))</f>
        <v>#N/A</v>
      </c>
      <c r="AL109" s="273" t="e">
        <f t="shared" si="8"/>
        <v>#N/A</v>
      </c>
      <c r="AM109" s="270" t="e">
        <f>INDEX([71]Listas!$F$6:$J$10,MATCH(AI109,[71]Listas!$D$6:$D$10,0),MATCH(AK109,[71]Listas!$F$4:$J$4,0))</f>
        <v>#N/A</v>
      </c>
      <c r="AN109" s="259"/>
      <c r="AO109" s="259"/>
      <c r="AP109" s="794"/>
      <c r="AQ109" s="259"/>
      <c r="AR109" s="259" t="s">
        <v>2343</v>
      </c>
      <c r="AS109" s="790"/>
      <c r="AT109" s="259"/>
      <c r="AU109" s="259"/>
      <c r="AV109" s="261"/>
      <c r="AW109" s="261"/>
      <c r="AX109" s="790"/>
      <c r="AY109" s="262"/>
    </row>
    <row r="110" spans="1:51" s="260" customFormat="1" ht="103.5" hidden="1" customHeight="1">
      <c r="A110" s="790"/>
      <c r="B110" s="266"/>
      <c r="C110" s="1399"/>
      <c r="D110" s="1408"/>
      <c r="E110" s="1400"/>
      <c r="F110" s="267"/>
      <c r="G110" s="1399"/>
      <c r="H110" s="1408"/>
      <c r="I110" s="1400"/>
      <c r="J110" s="1380"/>
      <c r="K110" s="1380"/>
      <c r="L110" s="1380"/>
      <c r="M110" s="790"/>
      <c r="N110" s="790"/>
      <c r="O110" s="790"/>
      <c r="P110" s="790"/>
      <c r="Q110" s="266"/>
      <c r="R110" s="266"/>
      <c r="S110" s="268"/>
      <c r="T110" s="269" t="e">
        <f>VLOOKUP(Q110,[71]Listas!$D$6:$E$10,2,0)</f>
        <v>#N/A</v>
      </c>
      <c r="U110" s="269" t="e">
        <f>HLOOKUP(R110,[71]Listas!$F$4:$J$5,2,0)</f>
        <v>#N/A</v>
      </c>
      <c r="V110" s="270" t="e">
        <f>INDEX([71]Listas!$F$6:$J$10,MATCH(Q110,[71]Listas!$D$6:$D$10,0),MATCH(R110,[71]Listas!$F$4:$J$4,0))</f>
        <v>#N/A</v>
      </c>
      <c r="W110" s="268"/>
      <c r="X110" s="1399"/>
      <c r="Y110" s="1408"/>
      <c r="Z110" s="1400"/>
      <c r="AA110" s="1063"/>
      <c r="AB110" s="267"/>
      <c r="AC110" s="259"/>
      <c r="AD110" s="790"/>
      <c r="AE110" s="267"/>
      <c r="AF110" s="268"/>
      <c r="AG110" s="269">
        <f t="shared" si="5"/>
        <v>0</v>
      </c>
      <c r="AH110" s="271" t="e">
        <f t="shared" si="6"/>
        <v>#N/A</v>
      </c>
      <c r="AI110" s="272" t="e">
        <f>IF(AH110&lt;=1,"Remota",VLOOKUP(AH110,[71]Listas!$C$6:$D$10,2,0))</f>
        <v>#N/A</v>
      </c>
      <c r="AJ110" s="271" t="e">
        <f t="shared" si="7"/>
        <v>#N/A</v>
      </c>
      <c r="AK110" s="272" t="e">
        <f>IF(AJ110&lt;=1,"Insignificante",HLOOKUP(AJ110,[71]Listas!$F$3:$J$4,2,0))</f>
        <v>#N/A</v>
      </c>
      <c r="AL110" s="273" t="e">
        <f t="shared" si="8"/>
        <v>#N/A</v>
      </c>
      <c r="AM110" s="270" t="e">
        <f>INDEX([71]Listas!$F$6:$J$10,MATCH(AI110,[71]Listas!$D$6:$D$10,0),MATCH(AK110,[71]Listas!$F$4:$J$4,0))</f>
        <v>#N/A</v>
      </c>
      <c r="AN110" s="259"/>
      <c r="AO110" s="259"/>
      <c r="AP110" s="794"/>
      <c r="AQ110" s="259"/>
      <c r="AR110" s="259" t="s">
        <v>2343</v>
      </c>
      <c r="AS110" s="790"/>
      <c r="AT110" s="259"/>
      <c r="AU110" s="259"/>
      <c r="AV110" s="261"/>
      <c r="AW110" s="261"/>
      <c r="AX110" s="790"/>
      <c r="AY110" s="262"/>
    </row>
    <row r="111" spans="1:51" s="260" customFormat="1" ht="103.5" hidden="1" customHeight="1">
      <c r="A111" s="790"/>
      <c r="B111" s="266"/>
      <c r="C111" s="1399"/>
      <c r="D111" s="1408"/>
      <c r="E111" s="1400"/>
      <c r="F111" s="267"/>
      <c r="G111" s="1399"/>
      <c r="H111" s="1408"/>
      <c r="I111" s="1400"/>
      <c r="J111" s="1380"/>
      <c r="K111" s="1380"/>
      <c r="L111" s="1380"/>
      <c r="M111" s="790"/>
      <c r="N111" s="790"/>
      <c r="O111" s="790"/>
      <c r="P111" s="790"/>
      <c r="Q111" s="266"/>
      <c r="R111" s="266"/>
      <c r="S111" s="268"/>
      <c r="T111" s="269" t="e">
        <f>VLOOKUP(Q111,[71]Listas!$D$6:$E$10,2,0)</f>
        <v>#N/A</v>
      </c>
      <c r="U111" s="269" t="e">
        <f>HLOOKUP(R111,[71]Listas!$F$4:$J$5,2,0)</f>
        <v>#N/A</v>
      </c>
      <c r="V111" s="270" t="e">
        <f>INDEX([71]Listas!$F$6:$J$10,MATCH(Q111,[71]Listas!$D$6:$D$10,0),MATCH(R111,[71]Listas!$F$4:$J$4,0))</f>
        <v>#N/A</v>
      </c>
      <c r="W111" s="268"/>
      <c r="X111" s="1399"/>
      <c r="Y111" s="1408"/>
      <c r="Z111" s="1400"/>
      <c r="AA111" s="1063"/>
      <c r="AB111" s="267"/>
      <c r="AC111" s="259"/>
      <c r="AD111" s="790"/>
      <c r="AE111" s="267"/>
      <c r="AF111" s="268"/>
      <c r="AG111" s="269">
        <f t="shared" si="5"/>
        <v>0</v>
      </c>
      <c r="AH111" s="271" t="e">
        <f t="shared" si="6"/>
        <v>#N/A</v>
      </c>
      <c r="AI111" s="272" t="e">
        <f>IF(AH111&lt;=1,"Remota",VLOOKUP(AH111,[71]Listas!$C$6:$D$10,2,0))</f>
        <v>#N/A</v>
      </c>
      <c r="AJ111" s="271" t="e">
        <f t="shared" si="7"/>
        <v>#N/A</v>
      </c>
      <c r="AK111" s="272" t="e">
        <f>IF(AJ111&lt;=1,"Insignificante",HLOOKUP(AJ111,[71]Listas!$F$3:$J$4,2,0))</f>
        <v>#N/A</v>
      </c>
      <c r="AL111" s="273" t="e">
        <f t="shared" si="8"/>
        <v>#N/A</v>
      </c>
      <c r="AM111" s="270" t="e">
        <f>INDEX([71]Listas!$F$6:$J$10,MATCH(AI111,[71]Listas!$D$6:$D$10,0),MATCH(AK111,[71]Listas!$F$4:$J$4,0))</f>
        <v>#N/A</v>
      </c>
      <c r="AN111" s="259"/>
      <c r="AO111" s="259"/>
      <c r="AP111" s="794"/>
      <c r="AQ111" s="259"/>
      <c r="AR111" s="259" t="s">
        <v>2343</v>
      </c>
      <c r="AS111" s="790"/>
      <c r="AT111" s="259"/>
      <c r="AU111" s="259"/>
      <c r="AV111" s="261"/>
      <c r="AW111" s="261"/>
      <c r="AX111" s="790"/>
      <c r="AY111" s="262"/>
    </row>
    <row r="112" spans="1:51" s="260" customFormat="1" ht="103.5" hidden="1" customHeight="1">
      <c r="A112" s="790"/>
      <c r="B112" s="266"/>
      <c r="C112" s="1399"/>
      <c r="D112" s="1408"/>
      <c r="E112" s="1400"/>
      <c r="F112" s="267"/>
      <c r="G112" s="1399"/>
      <c r="H112" s="1408"/>
      <c r="I112" s="1400"/>
      <c r="J112" s="1380"/>
      <c r="K112" s="1380"/>
      <c r="L112" s="1380"/>
      <c r="M112" s="790"/>
      <c r="N112" s="790"/>
      <c r="O112" s="790"/>
      <c r="P112" s="790"/>
      <c r="Q112" s="266"/>
      <c r="R112" s="266"/>
      <c r="S112" s="268"/>
      <c r="T112" s="269" t="e">
        <f>VLOOKUP(Q112,[71]Listas!$D$6:$E$10,2,0)</f>
        <v>#N/A</v>
      </c>
      <c r="U112" s="269" t="e">
        <f>HLOOKUP(R112,[71]Listas!$F$4:$J$5,2,0)</f>
        <v>#N/A</v>
      </c>
      <c r="V112" s="270" t="e">
        <f>INDEX([71]Listas!$F$6:$J$10,MATCH(Q112,[71]Listas!$D$6:$D$10,0),MATCH(R112,[71]Listas!$F$4:$J$4,0))</f>
        <v>#N/A</v>
      </c>
      <c r="W112" s="268"/>
      <c r="X112" s="1399"/>
      <c r="Y112" s="1408"/>
      <c r="Z112" s="1400"/>
      <c r="AA112" s="1063"/>
      <c r="AB112" s="267"/>
      <c r="AC112" s="259"/>
      <c r="AD112" s="790"/>
      <c r="AE112" s="267"/>
      <c r="AF112" s="268"/>
      <c r="AG112" s="269">
        <f t="shared" si="5"/>
        <v>0</v>
      </c>
      <c r="AH112" s="271" t="e">
        <f t="shared" si="6"/>
        <v>#N/A</v>
      </c>
      <c r="AI112" s="272" t="e">
        <f>IF(AH112&lt;=1,"Remota",VLOOKUP(AH112,[71]Listas!$C$6:$D$10,2,0))</f>
        <v>#N/A</v>
      </c>
      <c r="AJ112" s="271" t="e">
        <f t="shared" si="7"/>
        <v>#N/A</v>
      </c>
      <c r="AK112" s="272" t="e">
        <f>IF(AJ112&lt;=1,"Insignificante",HLOOKUP(AJ112,[71]Listas!$F$3:$J$4,2,0))</f>
        <v>#N/A</v>
      </c>
      <c r="AL112" s="273" t="e">
        <f t="shared" si="8"/>
        <v>#N/A</v>
      </c>
      <c r="AM112" s="270" t="e">
        <f>INDEX([71]Listas!$F$6:$J$10,MATCH(AI112,[71]Listas!$D$6:$D$10,0),MATCH(AK112,[71]Listas!$F$4:$J$4,0))</f>
        <v>#N/A</v>
      </c>
      <c r="AN112" s="259"/>
      <c r="AO112" s="259"/>
      <c r="AP112" s="794"/>
      <c r="AQ112" s="259"/>
      <c r="AR112" s="259" t="s">
        <v>2343</v>
      </c>
      <c r="AS112" s="790"/>
      <c r="AT112" s="259"/>
      <c r="AU112" s="259"/>
      <c r="AV112" s="261"/>
      <c r="AW112" s="261"/>
      <c r="AX112" s="790"/>
      <c r="AY112" s="262"/>
    </row>
    <row r="113" spans="1:51" s="260" customFormat="1" ht="103.5" hidden="1" customHeight="1">
      <c r="A113" s="790"/>
      <c r="B113" s="266"/>
      <c r="C113" s="1399"/>
      <c r="D113" s="1408"/>
      <c r="E113" s="1400"/>
      <c r="F113" s="267"/>
      <c r="G113" s="1399"/>
      <c r="H113" s="1408"/>
      <c r="I113" s="1400"/>
      <c r="J113" s="1380"/>
      <c r="K113" s="1380"/>
      <c r="L113" s="1380"/>
      <c r="M113" s="790"/>
      <c r="N113" s="790"/>
      <c r="O113" s="790"/>
      <c r="P113" s="790"/>
      <c r="Q113" s="266"/>
      <c r="R113" s="266"/>
      <c r="S113" s="268"/>
      <c r="T113" s="269" t="e">
        <f>VLOOKUP(Q113,[71]Listas!$D$6:$E$10,2,0)</f>
        <v>#N/A</v>
      </c>
      <c r="U113" s="269" t="e">
        <f>HLOOKUP(R113,[71]Listas!$F$4:$J$5,2,0)</f>
        <v>#N/A</v>
      </c>
      <c r="V113" s="270" t="e">
        <f>INDEX([71]Listas!$F$6:$J$10,MATCH(Q113,[71]Listas!$D$6:$D$10,0),MATCH(R113,[71]Listas!$F$4:$J$4,0))</f>
        <v>#N/A</v>
      </c>
      <c r="W113" s="268"/>
      <c r="X113" s="1399"/>
      <c r="Y113" s="1408"/>
      <c r="Z113" s="1400"/>
      <c r="AA113" s="1063"/>
      <c r="AB113" s="267"/>
      <c r="AC113" s="259"/>
      <c r="AD113" s="790"/>
      <c r="AE113" s="267"/>
      <c r="AF113" s="268"/>
      <c r="AG113" s="269">
        <f t="shared" si="5"/>
        <v>0</v>
      </c>
      <c r="AH113" s="271" t="e">
        <f t="shared" si="6"/>
        <v>#N/A</v>
      </c>
      <c r="AI113" s="272" t="e">
        <f>IF(AH113&lt;=1,"Remota",VLOOKUP(AH113,[71]Listas!$C$6:$D$10,2,0))</f>
        <v>#N/A</v>
      </c>
      <c r="AJ113" s="271" t="e">
        <f t="shared" si="7"/>
        <v>#N/A</v>
      </c>
      <c r="AK113" s="272" t="e">
        <f>IF(AJ113&lt;=1,"Insignificante",HLOOKUP(AJ113,[71]Listas!$F$3:$J$4,2,0))</f>
        <v>#N/A</v>
      </c>
      <c r="AL113" s="273" t="e">
        <f t="shared" si="8"/>
        <v>#N/A</v>
      </c>
      <c r="AM113" s="270" t="e">
        <f>INDEX([71]Listas!$F$6:$J$10,MATCH(AI113,[71]Listas!$D$6:$D$10,0),MATCH(AK113,[71]Listas!$F$4:$J$4,0))</f>
        <v>#N/A</v>
      </c>
      <c r="AN113" s="259"/>
      <c r="AO113" s="259"/>
      <c r="AP113" s="794"/>
      <c r="AQ113" s="259"/>
      <c r="AR113" s="259" t="s">
        <v>2343</v>
      </c>
      <c r="AS113" s="790"/>
      <c r="AT113" s="259"/>
      <c r="AU113" s="259"/>
      <c r="AV113" s="261"/>
      <c r="AW113" s="261"/>
      <c r="AX113" s="790"/>
      <c r="AY113" s="262"/>
    </row>
    <row r="114" spans="1:51" s="260" customFormat="1" ht="103.5" hidden="1" customHeight="1">
      <c r="A114" s="790"/>
      <c r="B114" s="266"/>
      <c r="C114" s="1399"/>
      <c r="D114" s="1408"/>
      <c r="E114" s="1400"/>
      <c r="F114" s="267"/>
      <c r="G114" s="1399"/>
      <c r="H114" s="1408"/>
      <c r="I114" s="1400"/>
      <c r="J114" s="1380"/>
      <c r="K114" s="1380"/>
      <c r="L114" s="1380"/>
      <c r="M114" s="790"/>
      <c r="N114" s="790"/>
      <c r="O114" s="790"/>
      <c r="P114" s="790"/>
      <c r="Q114" s="266"/>
      <c r="R114" s="266"/>
      <c r="S114" s="268"/>
      <c r="T114" s="269" t="e">
        <f>VLOOKUP(Q114,[71]Listas!$D$6:$E$10,2,0)</f>
        <v>#N/A</v>
      </c>
      <c r="U114" s="269" t="e">
        <f>HLOOKUP(R114,[71]Listas!$F$4:$J$5,2,0)</f>
        <v>#N/A</v>
      </c>
      <c r="V114" s="270" t="e">
        <f>INDEX([71]Listas!$F$6:$J$10,MATCH(Q114,[71]Listas!$D$6:$D$10,0),MATCH(R114,[71]Listas!$F$4:$J$4,0))</f>
        <v>#N/A</v>
      </c>
      <c r="W114" s="268"/>
      <c r="X114" s="1399"/>
      <c r="Y114" s="1408"/>
      <c r="Z114" s="1400"/>
      <c r="AA114" s="1063"/>
      <c r="AB114" s="267"/>
      <c r="AC114" s="259"/>
      <c r="AD114" s="790"/>
      <c r="AE114" s="267"/>
      <c r="AF114" s="268"/>
      <c r="AG114" s="269">
        <f t="shared" si="5"/>
        <v>0</v>
      </c>
      <c r="AH114" s="271" t="e">
        <f t="shared" si="6"/>
        <v>#N/A</v>
      </c>
      <c r="AI114" s="272" t="e">
        <f>IF(AH114&lt;=1,"Remota",VLOOKUP(AH114,[71]Listas!$C$6:$D$10,2,0))</f>
        <v>#N/A</v>
      </c>
      <c r="AJ114" s="271" t="e">
        <f t="shared" si="7"/>
        <v>#N/A</v>
      </c>
      <c r="AK114" s="272" t="e">
        <f>IF(AJ114&lt;=1,"Insignificante",HLOOKUP(AJ114,[71]Listas!$F$3:$J$4,2,0))</f>
        <v>#N/A</v>
      </c>
      <c r="AL114" s="273" t="e">
        <f t="shared" si="8"/>
        <v>#N/A</v>
      </c>
      <c r="AM114" s="270" t="e">
        <f>INDEX([71]Listas!$F$6:$J$10,MATCH(AI114,[71]Listas!$D$6:$D$10,0),MATCH(AK114,[71]Listas!$F$4:$J$4,0))</f>
        <v>#N/A</v>
      </c>
      <c r="AN114" s="259"/>
      <c r="AO114" s="259"/>
      <c r="AP114" s="794"/>
      <c r="AQ114" s="259"/>
      <c r="AR114" s="259" t="s">
        <v>2343</v>
      </c>
      <c r="AS114" s="790"/>
      <c r="AT114" s="259"/>
      <c r="AU114" s="259"/>
      <c r="AV114" s="261"/>
      <c r="AW114" s="261"/>
      <c r="AX114" s="790"/>
      <c r="AY114" s="262"/>
    </row>
    <row r="115" spans="1:51" s="260" customFormat="1" ht="103.5" hidden="1" customHeight="1">
      <c r="A115" s="790"/>
      <c r="B115" s="266"/>
      <c r="C115" s="1399"/>
      <c r="D115" s="1408"/>
      <c r="E115" s="1400"/>
      <c r="F115" s="267"/>
      <c r="G115" s="1399"/>
      <c r="H115" s="1408"/>
      <c r="I115" s="1400"/>
      <c r="J115" s="1380"/>
      <c r="K115" s="1380"/>
      <c r="L115" s="1380"/>
      <c r="M115" s="790"/>
      <c r="N115" s="790"/>
      <c r="O115" s="790"/>
      <c r="P115" s="790"/>
      <c r="Q115" s="266"/>
      <c r="R115" s="266"/>
      <c r="S115" s="268"/>
      <c r="T115" s="269" t="e">
        <f>VLOOKUP(Q115,[71]Listas!$D$6:$E$10,2,0)</f>
        <v>#N/A</v>
      </c>
      <c r="U115" s="269" t="e">
        <f>HLOOKUP(R115,[71]Listas!$F$4:$J$5,2,0)</f>
        <v>#N/A</v>
      </c>
      <c r="V115" s="270" t="e">
        <f>INDEX([71]Listas!$F$6:$J$10,MATCH(Q115,[71]Listas!$D$6:$D$10,0),MATCH(R115,[71]Listas!$F$4:$J$4,0))</f>
        <v>#N/A</v>
      </c>
      <c r="W115" s="268"/>
      <c r="X115" s="1399"/>
      <c r="Y115" s="1408"/>
      <c r="Z115" s="1400"/>
      <c r="AA115" s="1063"/>
      <c r="AB115" s="267"/>
      <c r="AC115" s="259"/>
      <c r="AD115" s="790"/>
      <c r="AE115" s="267"/>
      <c r="AF115" s="268"/>
      <c r="AG115" s="269">
        <f t="shared" si="5"/>
        <v>0</v>
      </c>
      <c r="AH115" s="271" t="e">
        <f t="shared" si="6"/>
        <v>#N/A</v>
      </c>
      <c r="AI115" s="272" t="e">
        <f>IF(AH115&lt;=1,"Remota",VLOOKUP(AH115,[71]Listas!$C$6:$D$10,2,0))</f>
        <v>#N/A</v>
      </c>
      <c r="AJ115" s="271" t="e">
        <f t="shared" si="7"/>
        <v>#N/A</v>
      </c>
      <c r="AK115" s="272" t="e">
        <f>IF(AJ115&lt;=1,"Insignificante",HLOOKUP(AJ115,[71]Listas!$F$3:$J$4,2,0))</f>
        <v>#N/A</v>
      </c>
      <c r="AL115" s="273" t="e">
        <f t="shared" si="8"/>
        <v>#N/A</v>
      </c>
      <c r="AM115" s="270" t="e">
        <f>INDEX([71]Listas!$F$6:$J$10,MATCH(AI115,[71]Listas!$D$6:$D$10,0),MATCH(AK115,[71]Listas!$F$4:$J$4,0))</f>
        <v>#N/A</v>
      </c>
      <c r="AN115" s="259"/>
      <c r="AO115" s="259"/>
      <c r="AP115" s="794"/>
      <c r="AQ115" s="259"/>
      <c r="AR115" s="259" t="s">
        <v>2343</v>
      </c>
      <c r="AS115" s="790"/>
      <c r="AT115" s="259"/>
      <c r="AU115" s="259"/>
      <c r="AV115" s="261"/>
      <c r="AW115" s="261"/>
      <c r="AX115" s="790"/>
      <c r="AY115" s="262"/>
    </row>
    <row r="116" spans="1:51" s="260" customFormat="1" ht="103.5" hidden="1" customHeight="1">
      <c r="A116" s="790"/>
      <c r="B116" s="266"/>
      <c r="C116" s="1399"/>
      <c r="D116" s="1408"/>
      <c r="E116" s="1400"/>
      <c r="F116" s="267"/>
      <c r="G116" s="1399"/>
      <c r="H116" s="1408"/>
      <c r="I116" s="1400"/>
      <c r="J116" s="1380"/>
      <c r="K116" s="1380"/>
      <c r="L116" s="1380"/>
      <c r="M116" s="790"/>
      <c r="N116" s="790"/>
      <c r="O116" s="790"/>
      <c r="P116" s="790"/>
      <c r="Q116" s="266"/>
      <c r="R116" s="266"/>
      <c r="S116" s="268"/>
      <c r="T116" s="269" t="e">
        <f>VLOOKUP(Q116,[71]Listas!$D$6:$E$10,2,0)</f>
        <v>#N/A</v>
      </c>
      <c r="U116" s="269" t="e">
        <f>HLOOKUP(R116,[71]Listas!$F$4:$J$5,2,0)</f>
        <v>#N/A</v>
      </c>
      <c r="V116" s="270" t="e">
        <f>INDEX([71]Listas!$F$6:$J$10,MATCH(Q116,[71]Listas!$D$6:$D$10,0),MATCH(R116,[71]Listas!$F$4:$J$4,0))</f>
        <v>#N/A</v>
      </c>
      <c r="W116" s="268"/>
      <c r="X116" s="1399"/>
      <c r="Y116" s="1408"/>
      <c r="Z116" s="1400"/>
      <c r="AA116" s="1063"/>
      <c r="AB116" s="267"/>
      <c r="AC116" s="259"/>
      <c r="AD116" s="790"/>
      <c r="AE116" s="267"/>
      <c r="AF116" s="268"/>
      <c r="AG116" s="269">
        <f t="shared" si="5"/>
        <v>0</v>
      </c>
      <c r="AH116" s="271" t="e">
        <f t="shared" si="6"/>
        <v>#N/A</v>
      </c>
      <c r="AI116" s="272" t="e">
        <f>IF(AH116&lt;=1,"Remota",VLOOKUP(AH116,[71]Listas!$C$6:$D$10,2,0))</f>
        <v>#N/A</v>
      </c>
      <c r="AJ116" s="271" t="e">
        <f t="shared" si="7"/>
        <v>#N/A</v>
      </c>
      <c r="AK116" s="272" t="e">
        <f>IF(AJ116&lt;=1,"Insignificante",HLOOKUP(AJ116,[71]Listas!$F$3:$J$4,2,0))</f>
        <v>#N/A</v>
      </c>
      <c r="AL116" s="273" t="e">
        <f t="shared" si="8"/>
        <v>#N/A</v>
      </c>
      <c r="AM116" s="270" t="e">
        <f>INDEX([71]Listas!$F$6:$J$10,MATCH(AI116,[71]Listas!$D$6:$D$10,0),MATCH(AK116,[71]Listas!$F$4:$J$4,0))</f>
        <v>#N/A</v>
      </c>
      <c r="AN116" s="259"/>
      <c r="AO116" s="259"/>
      <c r="AP116" s="794"/>
      <c r="AQ116" s="259"/>
      <c r="AR116" s="259" t="s">
        <v>2343</v>
      </c>
      <c r="AS116" s="790"/>
      <c r="AT116" s="259"/>
      <c r="AU116" s="259"/>
      <c r="AV116" s="261"/>
      <c r="AW116" s="261"/>
      <c r="AX116" s="790"/>
      <c r="AY116" s="262"/>
    </row>
    <row r="117" spans="1:51" s="260" customFormat="1" ht="103.5" hidden="1" customHeight="1">
      <c r="A117" s="790"/>
      <c r="B117" s="266"/>
      <c r="C117" s="1399"/>
      <c r="D117" s="1408"/>
      <c r="E117" s="1400"/>
      <c r="F117" s="267"/>
      <c r="G117" s="1399"/>
      <c r="H117" s="1408"/>
      <c r="I117" s="1400"/>
      <c r="J117" s="1380"/>
      <c r="K117" s="1380"/>
      <c r="L117" s="1380"/>
      <c r="M117" s="790"/>
      <c r="N117" s="790"/>
      <c r="O117" s="790"/>
      <c r="P117" s="790"/>
      <c r="Q117" s="266"/>
      <c r="R117" s="266"/>
      <c r="S117" s="268"/>
      <c r="T117" s="269" t="e">
        <f>VLOOKUP(Q117,[71]Listas!$D$6:$E$10,2,0)</f>
        <v>#N/A</v>
      </c>
      <c r="U117" s="269" t="e">
        <f>HLOOKUP(R117,[71]Listas!$F$4:$J$5,2,0)</f>
        <v>#N/A</v>
      </c>
      <c r="V117" s="270" t="e">
        <f>INDEX([71]Listas!$F$6:$J$10,MATCH(Q117,[71]Listas!$D$6:$D$10,0),MATCH(R117,[71]Listas!$F$4:$J$4,0))</f>
        <v>#N/A</v>
      </c>
      <c r="W117" s="268"/>
      <c r="X117" s="1399"/>
      <c r="Y117" s="1408"/>
      <c r="Z117" s="1400"/>
      <c r="AA117" s="1063"/>
      <c r="AB117" s="267"/>
      <c r="AC117" s="259"/>
      <c r="AD117" s="790"/>
      <c r="AE117" s="267"/>
      <c r="AF117" s="268"/>
      <c r="AG117" s="269">
        <f t="shared" si="5"/>
        <v>0</v>
      </c>
      <c r="AH117" s="271" t="e">
        <f t="shared" si="6"/>
        <v>#N/A</v>
      </c>
      <c r="AI117" s="272" t="e">
        <f>IF(AH117&lt;=1,"Remota",VLOOKUP(AH117,[71]Listas!$C$6:$D$10,2,0))</f>
        <v>#N/A</v>
      </c>
      <c r="AJ117" s="271" t="e">
        <f t="shared" si="7"/>
        <v>#N/A</v>
      </c>
      <c r="AK117" s="272" t="e">
        <f>IF(AJ117&lt;=1,"Insignificante",HLOOKUP(AJ117,[71]Listas!$F$3:$J$4,2,0))</f>
        <v>#N/A</v>
      </c>
      <c r="AL117" s="273" t="e">
        <f t="shared" si="8"/>
        <v>#N/A</v>
      </c>
      <c r="AM117" s="270" t="e">
        <f>INDEX([71]Listas!$F$6:$J$10,MATCH(AI117,[71]Listas!$D$6:$D$10,0),MATCH(AK117,[71]Listas!$F$4:$J$4,0))</f>
        <v>#N/A</v>
      </c>
      <c r="AN117" s="259"/>
      <c r="AO117" s="259"/>
      <c r="AP117" s="794"/>
      <c r="AQ117" s="259"/>
      <c r="AR117" s="259" t="s">
        <v>2343</v>
      </c>
      <c r="AS117" s="790"/>
      <c r="AT117" s="259"/>
      <c r="AU117" s="259"/>
      <c r="AV117" s="261"/>
      <c r="AW117" s="261"/>
      <c r="AX117" s="790"/>
      <c r="AY117" s="262"/>
    </row>
    <row r="118" spans="1:51" s="260" customFormat="1" ht="103.5" hidden="1" customHeight="1">
      <c r="A118" s="790"/>
      <c r="B118" s="266"/>
      <c r="C118" s="1399"/>
      <c r="D118" s="1408"/>
      <c r="E118" s="1400"/>
      <c r="F118" s="267"/>
      <c r="G118" s="1399"/>
      <c r="H118" s="1408"/>
      <c r="I118" s="1400"/>
      <c r="J118" s="1380"/>
      <c r="K118" s="1380"/>
      <c r="L118" s="1380"/>
      <c r="M118" s="790"/>
      <c r="N118" s="790"/>
      <c r="O118" s="790"/>
      <c r="P118" s="790"/>
      <c r="Q118" s="266"/>
      <c r="R118" s="266"/>
      <c r="S118" s="268"/>
      <c r="T118" s="269" t="e">
        <f>VLOOKUP(Q118,[71]Listas!$D$6:$E$10,2,0)</f>
        <v>#N/A</v>
      </c>
      <c r="U118" s="269" t="e">
        <f>HLOOKUP(R118,[71]Listas!$F$4:$J$5,2,0)</f>
        <v>#N/A</v>
      </c>
      <c r="V118" s="270" t="e">
        <f>INDEX([71]Listas!$F$6:$J$10,MATCH(Q118,[71]Listas!$D$6:$D$10,0),MATCH(R118,[71]Listas!$F$4:$J$4,0))</f>
        <v>#N/A</v>
      </c>
      <c r="W118" s="268"/>
      <c r="X118" s="1399"/>
      <c r="Y118" s="1408"/>
      <c r="Z118" s="1400"/>
      <c r="AA118" s="1063"/>
      <c r="AB118" s="267"/>
      <c r="AC118" s="259"/>
      <c r="AD118" s="790"/>
      <c r="AE118" s="267"/>
      <c r="AF118" s="268"/>
      <c r="AG118" s="269">
        <f t="shared" si="5"/>
        <v>0</v>
      </c>
      <c r="AH118" s="271" t="e">
        <f t="shared" si="6"/>
        <v>#N/A</v>
      </c>
      <c r="AI118" s="272" t="e">
        <f>IF(AH118&lt;=1,"Remota",VLOOKUP(AH118,[71]Listas!$C$6:$D$10,2,0))</f>
        <v>#N/A</v>
      </c>
      <c r="AJ118" s="271" t="e">
        <f t="shared" si="7"/>
        <v>#N/A</v>
      </c>
      <c r="AK118" s="272" t="e">
        <f>IF(AJ118&lt;=1,"Insignificante",HLOOKUP(AJ118,[71]Listas!$F$3:$J$4,2,0))</f>
        <v>#N/A</v>
      </c>
      <c r="AL118" s="273" t="e">
        <f t="shared" si="8"/>
        <v>#N/A</v>
      </c>
      <c r="AM118" s="270" t="e">
        <f>INDEX([71]Listas!$F$6:$J$10,MATCH(AI118,[71]Listas!$D$6:$D$10,0),MATCH(AK118,[71]Listas!$F$4:$J$4,0))</f>
        <v>#N/A</v>
      </c>
      <c r="AN118" s="259"/>
      <c r="AO118" s="259"/>
      <c r="AP118" s="794"/>
      <c r="AQ118" s="259"/>
      <c r="AR118" s="259" t="s">
        <v>2343</v>
      </c>
      <c r="AS118" s="790"/>
      <c r="AT118" s="259"/>
      <c r="AU118" s="259"/>
      <c r="AV118" s="261"/>
      <c r="AW118" s="261"/>
      <c r="AX118" s="790"/>
      <c r="AY118" s="262"/>
    </row>
    <row r="119" spans="1:51" s="260" customFormat="1" ht="103.5" hidden="1" customHeight="1">
      <c r="A119" s="790"/>
      <c r="B119" s="266"/>
      <c r="C119" s="1399"/>
      <c r="D119" s="1408"/>
      <c r="E119" s="1400"/>
      <c r="F119" s="267"/>
      <c r="G119" s="1399"/>
      <c r="H119" s="1408"/>
      <c r="I119" s="1400"/>
      <c r="J119" s="1380"/>
      <c r="K119" s="1380"/>
      <c r="L119" s="1380"/>
      <c r="M119" s="790"/>
      <c r="N119" s="790"/>
      <c r="O119" s="790"/>
      <c r="P119" s="790"/>
      <c r="Q119" s="266"/>
      <c r="R119" s="266"/>
      <c r="S119" s="268"/>
      <c r="T119" s="269" t="e">
        <f>VLOOKUP(Q119,[71]Listas!$D$6:$E$10,2,0)</f>
        <v>#N/A</v>
      </c>
      <c r="U119" s="269" t="e">
        <f>HLOOKUP(R119,[71]Listas!$F$4:$J$5,2,0)</f>
        <v>#N/A</v>
      </c>
      <c r="V119" s="270" t="e">
        <f>INDEX([71]Listas!$F$6:$J$10,MATCH(Q119,[71]Listas!$D$6:$D$10,0),MATCH(R119,[71]Listas!$F$4:$J$4,0))</f>
        <v>#N/A</v>
      </c>
      <c r="W119" s="268"/>
      <c r="X119" s="1399"/>
      <c r="Y119" s="1408"/>
      <c r="Z119" s="1400"/>
      <c r="AA119" s="1063"/>
      <c r="AB119" s="267"/>
      <c r="AC119" s="259"/>
      <c r="AD119" s="790"/>
      <c r="AE119" s="267"/>
      <c r="AF119" s="268"/>
      <c r="AG119" s="269">
        <f t="shared" si="5"/>
        <v>0</v>
      </c>
      <c r="AH119" s="271" t="e">
        <f t="shared" si="6"/>
        <v>#N/A</v>
      </c>
      <c r="AI119" s="272" t="e">
        <f>IF(AH119&lt;=1,"Remota",VLOOKUP(AH119,[71]Listas!$C$6:$D$10,2,0))</f>
        <v>#N/A</v>
      </c>
      <c r="AJ119" s="271" t="e">
        <f t="shared" si="7"/>
        <v>#N/A</v>
      </c>
      <c r="AK119" s="272" t="e">
        <f>IF(AJ119&lt;=1,"Insignificante",HLOOKUP(AJ119,[71]Listas!$F$3:$J$4,2,0))</f>
        <v>#N/A</v>
      </c>
      <c r="AL119" s="273" t="e">
        <f t="shared" si="8"/>
        <v>#N/A</v>
      </c>
      <c r="AM119" s="270" t="e">
        <f>INDEX([71]Listas!$F$6:$J$10,MATCH(AI119,[71]Listas!$D$6:$D$10,0),MATCH(AK119,[71]Listas!$F$4:$J$4,0))</f>
        <v>#N/A</v>
      </c>
      <c r="AN119" s="259"/>
      <c r="AO119" s="259"/>
      <c r="AP119" s="794"/>
      <c r="AQ119" s="259"/>
      <c r="AR119" s="259" t="s">
        <v>2343</v>
      </c>
      <c r="AS119" s="790"/>
      <c r="AT119" s="259"/>
      <c r="AU119" s="259"/>
      <c r="AV119" s="261"/>
      <c r="AW119" s="261"/>
      <c r="AX119" s="790"/>
      <c r="AY119" s="262"/>
    </row>
    <row r="120" spans="1:51" s="260" customFormat="1" ht="103.5" hidden="1" customHeight="1">
      <c r="A120" s="790"/>
      <c r="B120" s="266"/>
      <c r="C120" s="1399"/>
      <c r="D120" s="1408"/>
      <c r="E120" s="1400"/>
      <c r="F120" s="267"/>
      <c r="G120" s="1399"/>
      <c r="H120" s="1408"/>
      <c r="I120" s="1400"/>
      <c r="J120" s="1380"/>
      <c r="K120" s="1380"/>
      <c r="L120" s="1380"/>
      <c r="M120" s="790"/>
      <c r="N120" s="790"/>
      <c r="O120" s="790"/>
      <c r="P120" s="790"/>
      <c r="Q120" s="266"/>
      <c r="R120" s="266"/>
      <c r="S120" s="268"/>
      <c r="T120" s="269" t="e">
        <f>VLOOKUP(Q120,[71]Listas!$D$6:$E$10,2,0)</f>
        <v>#N/A</v>
      </c>
      <c r="U120" s="269" t="e">
        <f>HLOOKUP(R120,[71]Listas!$F$4:$J$5,2,0)</f>
        <v>#N/A</v>
      </c>
      <c r="V120" s="270" t="e">
        <f>INDEX([71]Listas!$F$6:$J$10,MATCH(Q120,[71]Listas!$D$6:$D$10,0),MATCH(R120,[71]Listas!$F$4:$J$4,0))</f>
        <v>#N/A</v>
      </c>
      <c r="W120" s="268"/>
      <c r="X120" s="1399"/>
      <c r="Y120" s="1408"/>
      <c r="Z120" s="1400"/>
      <c r="AA120" s="1063"/>
      <c r="AB120" s="267"/>
      <c r="AC120" s="259"/>
      <c r="AD120" s="790"/>
      <c r="AE120" s="267"/>
      <c r="AF120" s="268"/>
      <c r="AG120" s="269">
        <f t="shared" si="5"/>
        <v>0</v>
      </c>
      <c r="AH120" s="271" t="e">
        <f t="shared" si="6"/>
        <v>#N/A</v>
      </c>
      <c r="AI120" s="272" t="e">
        <f>IF(AH120&lt;=1,"Remota",VLOOKUP(AH120,[71]Listas!$C$6:$D$10,2,0))</f>
        <v>#N/A</v>
      </c>
      <c r="AJ120" s="271" t="e">
        <f t="shared" si="7"/>
        <v>#N/A</v>
      </c>
      <c r="AK120" s="272" t="e">
        <f>IF(AJ120&lt;=1,"Insignificante",HLOOKUP(AJ120,[71]Listas!$F$3:$J$4,2,0))</f>
        <v>#N/A</v>
      </c>
      <c r="AL120" s="273" t="e">
        <f t="shared" si="8"/>
        <v>#N/A</v>
      </c>
      <c r="AM120" s="270" t="e">
        <f>INDEX([71]Listas!$F$6:$J$10,MATCH(AI120,[71]Listas!$D$6:$D$10,0),MATCH(AK120,[71]Listas!$F$4:$J$4,0))</f>
        <v>#N/A</v>
      </c>
      <c r="AN120" s="259"/>
      <c r="AO120" s="259"/>
      <c r="AP120" s="794"/>
      <c r="AQ120" s="259"/>
      <c r="AR120" s="259" t="s">
        <v>2343</v>
      </c>
      <c r="AS120" s="790"/>
      <c r="AT120" s="259"/>
      <c r="AU120" s="259"/>
      <c r="AV120" s="261"/>
      <c r="AW120" s="261"/>
      <c r="AX120" s="790"/>
      <c r="AY120" s="262"/>
    </row>
    <row r="121" spans="1:51" s="260" customFormat="1" ht="103.5" hidden="1" customHeight="1">
      <c r="A121" s="790"/>
      <c r="B121" s="266"/>
      <c r="C121" s="1399"/>
      <c r="D121" s="1408"/>
      <c r="E121" s="1400"/>
      <c r="F121" s="267"/>
      <c r="G121" s="1399"/>
      <c r="H121" s="1408"/>
      <c r="I121" s="1400"/>
      <c r="J121" s="1380"/>
      <c r="K121" s="1380"/>
      <c r="L121" s="1380"/>
      <c r="M121" s="790"/>
      <c r="N121" s="790"/>
      <c r="O121" s="790"/>
      <c r="P121" s="790"/>
      <c r="Q121" s="266"/>
      <c r="R121" s="266"/>
      <c r="S121" s="268"/>
      <c r="T121" s="269" t="e">
        <f>VLOOKUP(Q121,[71]Listas!$D$6:$E$10,2,0)</f>
        <v>#N/A</v>
      </c>
      <c r="U121" s="269" t="e">
        <f>HLOOKUP(R121,[71]Listas!$F$4:$J$5,2,0)</f>
        <v>#N/A</v>
      </c>
      <c r="V121" s="270" t="e">
        <f>INDEX([71]Listas!$F$6:$J$10,MATCH(Q121,[71]Listas!$D$6:$D$10,0),MATCH(R121,[71]Listas!$F$4:$J$4,0))</f>
        <v>#N/A</v>
      </c>
      <c r="W121" s="268"/>
      <c r="X121" s="1399"/>
      <c r="Y121" s="1408"/>
      <c r="Z121" s="1400"/>
      <c r="AA121" s="1063"/>
      <c r="AB121" s="267"/>
      <c r="AC121" s="259"/>
      <c r="AD121" s="790"/>
      <c r="AE121" s="267"/>
      <c r="AF121" s="268"/>
      <c r="AG121" s="269">
        <f t="shared" si="5"/>
        <v>0</v>
      </c>
      <c r="AH121" s="271" t="e">
        <f t="shared" si="6"/>
        <v>#N/A</v>
      </c>
      <c r="AI121" s="272" t="e">
        <f>IF(AH121&lt;=1,"Remota",VLOOKUP(AH121,[71]Listas!$C$6:$D$10,2,0))</f>
        <v>#N/A</v>
      </c>
      <c r="AJ121" s="271" t="e">
        <f t="shared" si="7"/>
        <v>#N/A</v>
      </c>
      <c r="AK121" s="272" t="e">
        <f>IF(AJ121&lt;=1,"Insignificante",HLOOKUP(AJ121,[71]Listas!$F$3:$J$4,2,0))</f>
        <v>#N/A</v>
      </c>
      <c r="AL121" s="273" t="e">
        <f t="shared" si="8"/>
        <v>#N/A</v>
      </c>
      <c r="AM121" s="270" t="e">
        <f>INDEX([71]Listas!$F$6:$J$10,MATCH(AI121,[71]Listas!$D$6:$D$10,0),MATCH(AK121,[71]Listas!$F$4:$J$4,0))</f>
        <v>#N/A</v>
      </c>
      <c r="AN121" s="259"/>
      <c r="AO121" s="259"/>
      <c r="AP121" s="794"/>
      <c r="AQ121" s="259"/>
      <c r="AR121" s="259" t="s">
        <v>2343</v>
      </c>
      <c r="AS121" s="790"/>
      <c r="AT121" s="259"/>
      <c r="AU121" s="259"/>
      <c r="AV121" s="261"/>
      <c r="AW121" s="261"/>
      <c r="AX121" s="790"/>
      <c r="AY121" s="262"/>
    </row>
    <row r="122" spans="1:51" s="260" customFormat="1" ht="103.5" hidden="1" customHeight="1">
      <c r="A122" s="790"/>
      <c r="B122" s="266"/>
      <c r="C122" s="1399"/>
      <c r="D122" s="1408"/>
      <c r="E122" s="1400"/>
      <c r="F122" s="267"/>
      <c r="G122" s="1399"/>
      <c r="H122" s="1408"/>
      <c r="I122" s="1400"/>
      <c r="J122" s="1380"/>
      <c r="K122" s="1380"/>
      <c r="L122" s="1380"/>
      <c r="M122" s="790"/>
      <c r="N122" s="790"/>
      <c r="O122" s="790"/>
      <c r="P122" s="790"/>
      <c r="Q122" s="266"/>
      <c r="R122" s="266"/>
      <c r="S122" s="268"/>
      <c r="T122" s="269" t="e">
        <f>VLOOKUP(Q122,[71]Listas!$D$6:$E$10,2,0)</f>
        <v>#N/A</v>
      </c>
      <c r="U122" s="269" t="e">
        <f>HLOOKUP(R122,[71]Listas!$F$4:$J$5,2,0)</f>
        <v>#N/A</v>
      </c>
      <c r="V122" s="270" t="e">
        <f>INDEX([71]Listas!$F$6:$J$10,MATCH(Q122,[71]Listas!$D$6:$D$10,0),MATCH(R122,[71]Listas!$F$4:$J$4,0))</f>
        <v>#N/A</v>
      </c>
      <c r="W122" s="268"/>
      <c r="X122" s="1399"/>
      <c r="Y122" s="1408"/>
      <c r="Z122" s="1400"/>
      <c r="AA122" s="1063"/>
      <c r="AB122" s="267"/>
      <c r="AC122" s="259"/>
      <c r="AD122" s="790"/>
      <c r="AE122" s="267"/>
      <c r="AF122" s="268"/>
      <c r="AG122" s="269">
        <f t="shared" si="5"/>
        <v>0</v>
      </c>
      <c r="AH122" s="271" t="e">
        <f t="shared" si="6"/>
        <v>#N/A</v>
      </c>
      <c r="AI122" s="272" t="e">
        <f>IF(AH122&lt;=1,"Remota",VLOOKUP(AH122,[71]Listas!$C$6:$D$10,2,0))</f>
        <v>#N/A</v>
      </c>
      <c r="AJ122" s="271" t="e">
        <f t="shared" si="7"/>
        <v>#N/A</v>
      </c>
      <c r="AK122" s="272" t="e">
        <f>IF(AJ122&lt;=1,"Insignificante",HLOOKUP(AJ122,[71]Listas!$F$3:$J$4,2,0))</f>
        <v>#N/A</v>
      </c>
      <c r="AL122" s="273" t="e">
        <f t="shared" si="8"/>
        <v>#N/A</v>
      </c>
      <c r="AM122" s="270" t="e">
        <f>INDEX([71]Listas!$F$6:$J$10,MATCH(AI122,[71]Listas!$D$6:$D$10,0),MATCH(AK122,[71]Listas!$F$4:$J$4,0))</f>
        <v>#N/A</v>
      </c>
      <c r="AN122" s="259"/>
      <c r="AO122" s="259"/>
      <c r="AP122" s="794"/>
      <c r="AQ122" s="259"/>
      <c r="AR122" s="259" t="s">
        <v>2343</v>
      </c>
      <c r="AS122" s="790"/>
      <c r="AT122" s="259"/>
      <c r="AU122" s="259"/>
      <c r="AV122" s="261"/>
      <c r="AW122" s="261"/>
      <c r="AX122" s="790"/>
      <c r="AY122" s="262"/>
    </row>
    <row r="123" spans="1:51" s="260" customFormat="1" ht="103.5" hidden="1" customHeight="1">
      <c r="A123" s="790"/>
      <c r="B123" s="266"/>
      <c r="C123" s="1399"/>
      <c r="D123" s="1408"/>
      <c r="E123" s="1400"/>
      <c r="F123" s="267"/>
      <c r="G123" s="1399"/>
      <c r="H123" s="1408"/>
      <c r="I123" s="1400"/>
      <c r="J123" s="1380"/>
      <c r="K123" s="1380"/>
      <c r="L123" s="1380"/>
      <c r="M123" s="790"/>
      <c r="N123" s="790"/>
      <c r="O123" s="790"/>
      <c r="P123" s="790"/>
      <c r="Q123" s="266"/>
      <c r="R123" s="266"/>
      <c r="S123" s="268"/>
      <c r="T123" s="269" t="e">
        <f>VLOOKUP(Q123,[71]Listas!$D$6:$E$10,2,0)</f>
        <v>#N/A</v>
      </c>
      <c r="U123" s="269" t="e">
        <f>HLOOKUP(R123,[71]Listas!$F$4:$J$5,2,0)</f>
        <v>#N/A</v>
      </c>
      <c r="V123" s="270" t="e">
        <f>INDEX([71]Listas!$F$6:$J$10,MATCH(Q123,[71]Listas!$D$6:$D$10,0),MATCH(R123,[71]Listas!$F$4:$J$4,0))</f>
        <v>#N/A</v>
      </c>
      <c r="W123" s="268"/>
      <c r="X123" s="1399"/>
      <c r="Y123" s="1408"/>
      <c r="Z123" s="1400"/>
      <c r="AA123" s="1063"/>
      <c r="AB123" s="267"/>
      <c r="AC123" s="259"/>
      <c r="AD123" s="790"/>
      <c r="AE123" s="267"/>
      <c r="AF123" s="268"/>
      <c r="AG123" s="269">
        <f t="shared" si="5"/>
        <v>0</v>
      </c>
      <c r="AH123" s="271" t="e">
        <f t="shared" si="6"/>
        <v>#N/A</v>
      </c>
      <c r="AI123" s="272" t="e">
        <f>IF(AH123&lt;=1,"Remota",VLOOKUP(AH123,[71]Listas!$C$6:$D$10,2,0))</f>
        <v>#N/A</v>
      </c>
      <c r="AJ123" s="271" t="e">
        <f t="shared" si="7"/>
        <v>#N/A</v>
      </c>
      <c r="AK123" s="272" t="e">
        <f>IF(AJ123&lt;=1,"Insignificante",HLOOKUP(AJ123,[71]Listas!$F$3:$J$4,2,0))</f>
        <v>#N/A</v>
      </c>
      <c r="AL123" s="273" t="e">
        <f t="shared" si="8"/>
        <v>#N/A</v>
      </c>
      <c r="AM123" s="270" t="e">
        <f>INDEX([71]Listas!$F$6:$J$10,MATCH(AI123,[71]Listas!$D$6:$D$10,0),MATCH(AK123,[71]Listas!$F$4:$J$4,0))</f>
        <v>#N/A</v>
      </c>
      <c r="AN123" s="259"/>
      <c r="AO123" s="259"/>
      <c r="AP123" s="794"/>
      <c r="AQ123" s="259"/>
      <c r="AR123" s="259" t="s">
        <v>2343</v>
      </c>
      <c r="AS123" s="790"/>
      <c r="AT123" s="259"/>
      <c r="AU123" s="259"/>
      <c r="AV123" s="261"/>
      <c r="AW123" s="261"/>
      <c r="AX123" s="790"/>
      <c r="AY123" s="262"/>
    </row>
    <row r="124" spans="1:51" s="260" customFormat="1" ht="103.5" hidden="1" customHeight="1">
      <c r="A124" s="790"/>
      <c r="B124" s="266"/>
      <c r="C124" s="1399"/>
      <c r="D124" s="1408"/>
      <c r="E124" s="1400"/>
      <c r="F124" s="267"/>
      <c r="G124" s="1399"/>
      <c r="H124" s="1408"/>
      <c r="I124" s="1400"/>
      <c r="J124" s="1380"/>
      <c r="K124" s="1380"/>
      <c r="L124" s="1380"/>
      <c r="M124" s="790"/>
      <c r="N124" s="790"/>
      <c r="O124" s="790"/>
      <c r="P124" s="790"/>
      <c r="Q124" s="266"/>
      <c r="R124" s="266"/>
      <c r="S124" s="268"/>
      <c r="T124" s="269" t="e">
        <f>VLOOKUP(Q124,[71]Listas!$D$6:$E$10,2,0)</f>
        <v>#N/A</v>
      </c>
      <c r="U124" s="269" t="e">
        <f>HLOOKUP(R124,[71]Listas!$F$4:$J$5,2,0)</f>
        <v>#N/A</v>
      </c>
      <c r="V124" s="270" t="e">
        <f>INDEX([71]Listas!$F$6:$J$10,MATCH(Q124,[71]Listas!$D$6:$D$10,0),MATCH(R124,[71]Listas!$F$4:$J$4,0))</f>
        <v>#N/A</v>
      </c>
      <c r="W124" s="268"/>
      <c r="X124" s="1399"/>
      <c r="Y124" s="1408"/>
      <c r="Z124" s="1400"/>
      <c r="AA124" s="1063"/>
      <c r="AB124" s="267"/>
      <c r="AC124" s="259"/>
      <c r="AD124" s="790"/>
      <c r="AE124" s="267"/>
      <c r="AF124" s="268"/>
      <c r="AG124" s="269">
        <f t="shared" si="5"/>
        <v>0</v>
      </c>
      <c r="AH124" s="271" t="e">
        <f t="shared" si="6"/>
        <v>#N/A</v>
      </c>
      <c r="AI124" s="272" t="e">
        <f>IF(AH124&lt;=1,"Remota",VLOOKUP(AH124,[71]Listas!$C$6:$D$10,2,0))</f>
        <v>#N/A</v>
      </c>
      <c r="AJ124" s="271" t="e">
        <f t="shared" si="7"/>
        <v>#N/A</v>
      </c>
      <c r="AK124" s="272" t="e">
        <f>IF(AJ124&lt;=1,"Insignificante",HLOOKUP(AJ124,[71]Listas!$F$3:$J$4,2,0))</f>
        <v>#N/A</v>
      </c>
      <c r="AL124" s="273" t="e">
        <f t="shared" si="8"/>
        <v>#N/A</v>
      </c>
      <c r="AM124" s="270" t="e">
        <f>INDEX([71]Listas!$F$6:$J$10,MATCH(AI124,[71]Listas!$D$6:$D$10,0),MATCH(AK124,[71]Listas!$F$4:$J$4,0))</f>
        <v>#N/A</v>
      </c>
      <c r="AN124" s="259"/>
      <c r="AO124" s="259"/>
      <c r="AP124" s="794"/>
      <c r="AQ124" s="259"/>
      <c r="AR124" s="259" t="s">
        <v>2343</v>
      </c>
      <c r="AS124" s="790"/>
      <c r="AT124" s="259"/>
      <c r="AU124" s="259"/>
      <c r="AV124" s="261"/>
      <c r="AW124" s="261"/>
      <c r="AX124" s="790"/>
      <c r="AY124" s="262"/>
    </row>
    <row r="125" spans="1:51" s="260" customFormat="1" ht="103.5" hidden="1" customHeight="1">
      <c r="A125" s="790"/>
      <c r="B125" s="266"/>
      <c r="C125" s="1399"/>
      <c r="D125" s="1408"/>
      <c r="E125" s="1400"/>
      <c r="F125" s="267"/>
      <c r="G125" s="1399"/>
      <c r="H125" s="1408"/>
      <c r="I125" s="1400"/>
      <c r="J125" s="1380"/>
      <c r="K125" s="1380"/>
      <c r="L125" s="1380"/>
      <c r="M125" s="790"/>
      <c r="N125" s="790"/>
      <c r="O125" s="790"/>
      <c r="P125" s="790"/>
      <c r="Q125" s="266"/>
      <c r="R125" s="266"/>
      <c r="S125" s="268"/>
      <c r="T125" s="269" t="e">
        <f>VLOOKUP(Q125,[71]Listas!$D$6:$E$10,2,0)</f>
        <v>#N/A</v>
      </c>
      <c r="U125" s="269" t="e">
        <f>HLOOKUP(R125,[71]Listas!$F$4:$J$5,2,0)</f>
        <v>#N/A</v>
      </c>
      <c r="V125" s="270" t="e">
        <f>INDEX([71]Listas!$F$6:$J$10,MATCH(Q125,[71]Listas!$D$6:$D$10,0),MATCH(R125,[71]Listas!$F$4:$J$4,0))</f>
        <v>#N/A</v>
      </c>
      <c r="W125" s="268"/>
      <c r="X125" s="1399"/>
      <c r="Y125" s="1408"/>
      <c r="Z125" s="1400"/>
      <c r="AA125" s="1063"/>
      <c r="AB125" s="267"/>
      <c r="AC125" s="259"/>
      <c r="AD125" s="790"/>
      <c r="AE125" s="267"/>
      <c r="AF125" s="268"/>
      <c r="AG125" s="269">
        <f t="shared" si="5"/>
        <v>0</v>
      </c>
      <c r="AH125" s="271" t="e">
        <f t="shared" si="6"/>
        <v>#N/A</v>
      </c>
      <c r="AI125" s="272" t="e">
        <f>IF(AH125&lt;=1,"Remota",VLOOKUP(AH125,[71]Listas!$C$6:$D$10,2,0))</f>
        <v>#N/A</v>
      </c>
      <c r="AJ125" s="271" t="e">
        <f t="shared" si="7"/>
        <v>#N/A</v>
      </c>
      <c r="AK125" s="272" t="e">
        <f>IF(AJ125&lt;=1,"Insignificante",HLOOKUP(AJ125,[71]Listas!$F$3:$J$4,2,0))</f>
        <v>#N/A</v>
      </c>
      <c r="AL125" s="273" t="e">
        <f t="shared" si="8"/>
        <v>#N/A</v>
      </c>
      <c r="AM125" s="270" t="e">
        <f>INDEX([71]Listas!$F$6:$J$10,MATCH(AI125,[71]Listas!$D$6:$D$10,0),MATCH(AK125,[71]Listas!$F$4:$J$4,0))</f>
        <v>#N/A</v>
      </c>
      <c r="AN125" s="259"/>
      <c r="AO125" s="259"/>
      <c r="AP125" s="794"/>
      <c r="AQ125" s="259"/>
      <c r="AR125" s="259" t="s">
        <v>2343</v>
      </c>
      <c r="AS125" s="790"/>
      <c r="AT125" s="259"/>
      <c r="AU125" s="259"/>
      <c r="AV125" s="261"/>
      <c r="AW125" s="261"/>
      <c r="AX125" s="790"/>
      <c r="AY125" s="262"/>
    </row>
    <row r="126" spans="1:51" s="260" customFormat="1" ht="103.5" hidden="1" customHeight="1">
      <c r="A126" s="790"/>
      <c r="B126" s="266"/>
      <c r="C126" s="1399"/>
      <c r="D126" s="1408"/>
      <c r="E126" s="1400"/>
      <c r="F126" s="267"/>
      <c r="G126" s="1399"/>
      <c r="H126" s="1408"/>
      <c r="I126" s="1400"/>
      <c r="J126" s="1380"/>
      <c r="K126" s="1380"/>
      <c r="L126" s="1380"/>
      <c r="M126" s="790"/>
      <c r="N126" s="790"/>
      <c r="O126" s="790"/>
      <c r="P126" s="790"/>
      <c r="Q126" s="266"/>
      <c r="R126" s="266"/>
      <c r="S126" s="268"/>
      <c r="T126" s="269" t="e">
        <f>VLOOKUP(Q126,[71]Listas!$D$6:$E$10,2,0)</f>
        <v>#N/A</v>
      </c>
      <c r="U126" s="269" t="e">
        <f>HLOOKUP(R126,[71]Listas!$F$4:$J$5,2,0)</f>
        <v>#N/A</v>
      </c>
      <c r="V126" s="270" t="e">
        <f>INDEX([71]Listas!$F$6:$J$10,MATCH(Q126,[71]Listas!$D$6:$D$10,0),MATCH(R126,[71]Listas!$F$4:$J$4,0))</f>
        <v>#N/A</v>
      </c>
      <c r="W126" s="268"/>
      <c r="X126" s="1399"/>
      <c r="Y126" s="1408"/>
      <c r="Z126" s="1400"/>
      <c r="AA126" s="1063"/>
      <c r="AB126" s="267"/>
      <c r="AC126" s="259"/>
      <c r="AD126" s="790"/>
      <c r="AE126" s="267"/>
      <c r="AF126" s="268"/>
      <c r="AG126" s="269">
        <f t="shared" si="5"/>
        <v>0</v>
      </c>
      <c r="AH126" s="271" t="e">
        <f t="shared" si="6"/>
        <v>#N/A</v>
      </c>
      <c r="AI126" s="272" t="e">
        <f>IF(AH126&lt;=1,"Remota",VLOOKUP(AH126,[71]Listas!$C$6:$D$10,2,0))</f>
        <v>#N/A</v>
      </c>
      <c r="AJ126" s="271" t="e">
        <f t="shared" si="7"/>
        <v>#N/A</v>
      </c>
      <c r="AK126" s="272" t="e">
        <f>IF(AJ126&lt;=1,"Insignificante",HLOOKUP(AJ126,[71]Listas!$F$3:$J$4,2,0))</f>
        <v>#N/A</v>
      </c>
      <c r="AL126" s="273" t="e">
        <f t="shared" si="8"/>
        <v>#N/A</v>
      </c>
      <c r="AM126" s="270" t="e">
        <f>INDEX([71]Listas!$F$6:$J$10,MATCH(AI126,[71]Listas!$D$6:$D$10,0),MATCH(AK126,[71]Listas!$F$4:$J$4,0))</f>
        <v>#N/A</v>
      </c>
      <c r="AN126" s="259"/>
      <c r="AO126" s="259"/>
      <c r="AP126" s="794"/>
      <c r="AQ126" s="259"/>
      <c r="AR126" s="259" t="s">
        <v>2343</v>
      </c>
      <c r="AS126" s="790"/>
      <c r="AT126" s="259"/>
      <c r="AU126" s="259"/>
      <c r="AV126" s="261"/>
      <c r="AW126" s="261"/>
      <c r="AX126" s="790"/>
      <c r="AY126" s="262"/>
    </row>
    <row r="127" spans="1:51" s="260" customFormat="1" ht="103.5" hidden="1" customHeight="1">
      <c r="A127" s="790"/>
      <c r="B127" s="266"/>
      <c r="C127" s="1399"/>
      <c r="D127" s="1408"/>
      <c r="E127" s="1400"/>
      <c r="F127" s="267"/>
      <c r="G127" s="1399"/>
      <c r="H127" s="1408"/>
      <c r="I127" s="1400"/>
      <c r="J127" s="1380"/>
      <c r="K127" s="1380"/>
      <c r="L127" s="1380"/>
      <c r="M127" s="790"/>
      <c r="N127" s="790"/>
      <c r="O127" s="790"/>
      <c r="P127" s="790"/>
      <c r="Q127" s="266"/>
      <c r="R127" s="266"/>
      <c r="S127" s="268"/>
      <c r="T127" s="269" t="e">
        <f>VLOOKUP(Q127,[71]Listas!$D$6:$E$10,2,0)</f>
        <v>#N/A</v>
      </c>
      <c r="U127" s="269" t="e">
        <f>HLOOKUP(R127,[71]Listas!$F$4:$J$5,2,0)</f>
        <v>#N/A</v>
      </c>
      <c r="V127" s="270" t="e">
        <f>INDEX([71]Listas!$F$6:$J$10,MATCH(Q127,[71]Listas!$D$6:$D$10,0),MATCH(R127,[71]Listas!$F$4:$J$4,0))</f>
        <v>#N/A</v>
      </c>
      <c r="W127" s="268"/>
      <c r="X127" s="1399"/>
      <c r="Y127" s="1408"/>
      <c r="Z127" s="1400"/>
      <c r="AA127" s="1063"/>
      <c r="AB127" s="267"/>
      <c r="AC127" s="259"/>
      <c r="AD127" s="790"/>
      <c r="AE127" s="267"/>
      <c r="AF127" s="268"/>
      <c r="AG127" s="269">
        <f t="shared" si="5"/>
        <v>0</v>
      </c>
      <c r="AH127" s="271" t="e">
        <f t="shared" si="6"/>
        <v>#N/A</v>
      </c>
      <c r="AI127" s="272" t="e">
        <f>IF(AH127&lt;=1,"Remota",VLOOKUP(AH127,[71]Listas!$C$6:$D$10,2,0))</f>
        <v>#N/A</v>
      </c>
      <c r="AJ127" s="271" t="e">
        <f t="shared" si="7"/>
        <v>#N/A</v>
      </c>
      <c r="AK127" s="272" t="e">
        <f>IF(AJ127&lt;=1,"Insignificante",HLOOKUP(AJ127,[71]Listas!$F$3:$J$4,2,0))</f>
        <v>#N/A</v>
      </c>
      <c r="AL127" s="273" t="e">
        <f t="shared" si="8"/>
        <v>#N/A</v>
      </c>
      <c r="AM127" s="270" t="e">
        <f>INDEX([71]Listas!$F$6:$J$10,MATCH(AI127,[71]Listas!$D$6:$D$10,0),MATCH(AK127,[71]Listas!$F$4:$J$4,0))</f>
        <v>#N/A</v>
      </c>
      <c r="AN127" s="259"/>
      <c r="AO127" s="259"/>
      <c r="AP127" s="794"/>
      <c r="AQ127" s="259"/>
      <c r="AR127" s="259" t="s">
        <v>2343</v>
      </c>
      <c r="AS127" s="790"/>
      <c r="AT127" s="259"/>
      <c r="AU127" s="259"/>
      <c r="AV127" s="261"/>
      <c r="AW127" s="261"/>
      <c r="AX127" s="790"/>
      <c r="AY127" s="262"/>
    </row>
    <row r="128" spans="1:51" s="260" customFormat="1" ht="103.5" hidden="1" customHeight="1">
      <c r="A128" s="790"/>
      <c r="B128" s="266"/>
      <c r="C128" s="1399"/>
      <c r="D128" s="1408"/>
      <c r="E128" s="1400"/>
      <c r="F128" s="267"/>
      <c r="G128" s="1399"/>
      <c r="H128" s="1408"/>
      <c r="I128" s="1400"/>
      <c r="J128" s="1380"/>
      <c r="K128" s="1380"/>
      <c r="L128" s="1380"/>
      <c r="M128" s="790"/>
      <c r="N128" s="790"/>
      <c r="O128" s="790"/>
      <c r="P128" s="790"/>
      <c r="Q128" s="266"/>
      <c r="R128" s="266"/>
      <c r="S128" s="268"/>
      <c r="T128" s="269" t="e">
        <f>VLOOKUP(Q128,[71]Listas!$D$6:$E$10,2,0)</f>
        <v>#N/A</v>
      </c>
      <c r="U128" s="269" t="e">
        <f>HLOOKUP(R128,[71]Listas!$F$4:$J$5,2,0)</f>
        <v>#N/A</v>
      </c>
      <c r="V128" s="270" t="e">
        <f>INDEX([71]Listas!$F$6:$J$10,MATCH(Q128,[71]Listas!$D$6:$D$10,0),MATCH(R128,[71]Listas!$F$4:$J$4,0))</f>
        <v>#N/A</v>
      </c>
      <c r="W128" s="268"/>
      <c r="X128" s="1399"/>
      <c r="Y128" s="1408"/>
      <c r="Z128" s="1400"/>
      <c r="AA128" s="1063"/>
      <c r="AB128" s="267"/>
      <c r="AC128" s="259"/>
      <c r="AD128" s="790"/>
      <c r="AE128" s="267"/>
      <c r="AF128" s="268"/>
      <c r="AG128" s="269">
        <f t="shared" si="5"/>
        <v>0</v>
      </c>
      <c r="AH128" s="271" t="e">
        <f t="shared" si="6"/>
        <v>#N/A</v>
      </c>
      <c r="AI128" s="272" t="e">
        <f>IF(AH128&lt;=1,"Remota",VLOOKUP(AH128,[71]Listas!$C$6:$D$10,2,0))</f>
        <v>#N/A</v>
      </c>
      <c r="AJ128" s="271" t="e">
        <f t="shared" si="7"/>
        <v>#N/A</v>
      </c>
      <c r="AK128" s="272" t="e">
        <f>IF(AJ128&lt;=1,"Insignificante",HLOOKUP(AJ128,[71]Listas!$F$3:$J$4,2,0))</f>
        <v>#N/A</v>
      </c>
      <c r="AL128" s="273" t="e">
        <f t="shared" si="8"/>
        <v>#N/A</v>
      </c>
      <c r="AM128" s="270" t="e">
        <f>INDEX([71]Listas!$F$6:$J$10,MATCH(AI128,[71]Listas!$D$6:$D$10,0),MATCH(AK128,[71]Listas!$F$4:$J$4,0))</f>
        <v>#N/A</v>
      </c>
      <c r="AN128" s="259"/>
      <c r="AO128" s="259"/>
      <c r="AP128" s="794"/>
      <c r="AQ128" s="259"/>
      <c r="AR128" s="259" t="s">
        <v>2343</v>
      </c>
      <c r="AS128" s="790"/>
      <c r="AT128" s="259"/>
      <c r="AU128" s="259"/>
      <c r="AV128" s="261"/>
      <c r="AW128" s="261"/>
      <c r="AX128" s="790"/>
      <c r="AY128" s="262"/>
    </row>
    <row r="129" spans="1:51" s="260" customFormat="1" ht="103.5" hidden="1" customHeight="1">
      <c r="A129" s="790"/>
      <c r="B129" s="266"/>
      <c r="C129" s="1399"/>
      <c r="D129" s="1408"/>
      <c r="E129" s="1400"/>
      <c r="F129" s="267"/>
      <c r="G129" s="1399"/>
      <c r="H129" s="1408"/>
      <c r="I129" s="1400"/>
      <c r="J129" s="1380"/>
      <c r="K129" s="1380"/>
      <c r="L129" s="1380"/>
      <c r="M129" s="790"/>
      <c r="N129" s="790"/>
      <c r="O129" s="790"/>
      <c r="P129" s="790"/>
      <c r="Q129" s="266"/>
      <c r="R129" s="266"/>
      <c r="S129" s="268"/>
      <c r="T129" s="269" t="e">
        <f>VLOOKUP(Q129,[71]Listas!$D$6:$E$10,2,0)</f>
        <v>#N/A</v>
      </c>
      <c r="U129" s="269" t="e">
        <f>HLOOKUP(R129,[71]Listas!$F$4:$J$5,2,0)</f>
        <v>#N/A</v>
      </c>
      <c r="V129" s="270" t="e">
        <f>INDEX([71]Listas!$F$6:$J$10,MATCH(Q129,[71]Listas!$D$6:$D$10,0),MATCH(R129,[71]Listas!$F$4:$J$4,0))</f>
        <v>#N/A</v>
      </c>
      <c r="W129" s="268"/>
      <c r="X129" s="1399"/>
      <c r="Y129" s="1408"/>
      <c r="Z129" s="1400"/>
      <c r="AA129" s="1063"/>
      <c r="AB129" s="267"/>
      <c r="AC129" s="259"/>
      <c r="AD129" s="790"/>
      <c r="AE129" s="267"/>
      <c r="AF129" s="268"/>
      <c r="AG129" s="269">
        <f t="shared" si="5"/>
        <v>0</v>
      </c>
      <c r="AH129" s="271" t="e">
        <f t="shared" si="6"/>
        <v>#N/A</v>
      </c>
      <c r="AI129" s="272" t="e">
        <f>IF(AH129&lt;=1,"Remota",VLOOKUP(AH129,[71]Listas!$C$6:$D$10,2,0))</f>
        <v>#N/A</v>
      </c>
      <c r="AJ129" s="271" t="e">
        <f t="shared" si="7"/>
        <v>#N/A</v>
      </c>
      <c r="AK129" s="272" t="e">
        <f>IF(AJ129&lt;=1,"Insignificante",HLOOKUP(AJ129,[71]Listas!$F$3:$J$4,2,0))</f>
        <v>#N/A</v>
      </c>
      <c r="AL129" s="273" t="e">
        <f t="shared" si="8"/>
        <v>#N/A</v>
      </c>
      <c r="AM129" s="270" t="e">
        <f>INDEX([71]Listas!$F$6:$J$10,MATCH(AI129,[71]Listas!$D$6:$D$10,0),MATCH(AK129,[71]Listas!$F$4:$J$4,0))</f>
        <v>#N/A</v>
      </c>
      <c r="AN129" s="259"/>
      <c r="AO129" s="259"/>
      <c r="AP129" s="794"/>
      <c r="AQ129" s="259"/>
      <c r="AR129" s="259" t="s">
        <v>2343</v>
      </c>
      <c r="AS129" s="790"/>
      <c r="AT129" s="259"/>
      <c r="AU129" s="259"/>
      <c r="AV129" s="261"/>
      <c r="AW129" s="261"/>
      <c r="AX129" s="790"/>
      <c r="AY129" s="262"/>
    </row>
    <row r="130" spans="1:51" s="260" customFormat="1" ht="103.5" hidden="1" customHeight="1">
      <c r="A130" s="790"/>
      <c r="B130" s="266"/>
      <c r="C130" s="1399"/>
      <c r="D130" s="1408"/>
      <c r="E130" s="1400"/>
      <c r="F130" s="267"/>
      <c r="G130" s="1399"/>
      <c r="H130" s="1408"/>
      <c r="I130" s="1400"/>
      <c r="J130" s="1380"/>
      <c r="K130" s="1380"/>
      <c r="L130" s="1380"/>
      <c r="M130" s="790"/>
      <c r="N130" s="790"/>
      <c r="O130" s="790"/>
      <c r="P130" s="790"/>
      <c r="Q130" s="266"/>
      <c r="R130" s="266"/>
      <c r="S130" s="268"/>
      <c r="T130" s="269" t="e">
        <f>VLOOKUP(Q130,[71]Listas!$D$6:$E$10,2,0)</f>
        <v>#N/A</v>
      </c>
      <c r="U130" s="269" t="e">
        <f>HLOOKUP(R130,[71]Listas!$F$4:$J$5,2,0)</f>
        <v>#N/A</v>
      </c>
      <c r="V130" s="270" t="e">
        <f>INDEX([71]Listas!$F$6:$J$10,MATCH(Q130,[71]Listas!$D$6:$D$10,0),MATCH(R130,[71]Listas!$F$4:$J$4,0))</f>
        <v>#N/A</v>
      </c>
      <c r="W130" s="268"/>
      <c r="X130" s="1399"/>
      <c r="Y130" s="1408"/>
      <c r="Z130" s="1400"/>
      <c r="AA130" s="1063"/>
      <c r="AB130" s="267"/>
      <c r="AC130" s="259"/>
      <c r="AD130" s="790"/>
      <c r="AE130" s="267"/>
      <c r="AF130" s="268"/>
      <c r="AG130" s="269">
        <f t="shared" si="5"/>
        <v>0</v>
      </c>
      <c r="AH130" s="271" t="e">
        <f t="shared" si="6"/>
        <v>#N/A</v>
      </c>
      <c r="AI130" s="272" t="e">
        <f>IF(AH130&lt;=1,"Remota",VLOOKUP(AH130,[71]Listas!$C$6:$D$10,2,0))</f>
        <v>#N/A</v>
      </c>
      <c r="AJ130" s="271" t="e">
        <f t="shared" si="7"/>
        <v>#N/A</v>
      </c>
      <c r="AK130" s="272" t="e">
        <f>IF(AJ130&lt;=1,"Insignificante",HLOOKUP(AJ130,[71]Listas!$F$3:$J$4,2,0))</f>
        <v>#N/A</v>
      </c>
      <c r="AL130" s="273" t="e">
        <f t="shared" si="8"/>
        <v>#N/A</v>
      </c>
      <c r="AM130" s="270" t="e">
        <f>INDEX([71]Listas!$F$6:$J$10,MATCH(AI130,[71]Listas!$D$6:$D$10,0),MATCH(AK130,[71]Listas!$F$4:$J$4,0))</f>
        <v>#N/A</v>
      </c>
      <c r="AN130" s="259"/>
      <c r="AO130" s="259"/>
      <c r="AP130" s="794"/>
      <c r="AQ130" s="259"/>
      <c r="AR130" s="259" t="s">
        <v>2343</v>
      </c>
      <c r="AS130" s="790"/>
      <c r="AT130" s="259"/>
      <c r="AU130" s="259"/>
      <c r="AV130" s="261"/>
      <c r="AW130" s="261"/>
      <c r="AX130" s="790"/>
      <c r="AY130" s="262"/>
    </row>
    <row r="131" spans="1:51" s="260" customFormat="1" ht="103.5" hidden="1" customHeight="1">
      <c r="A131" s="790"/>
      <c r="B131" s="266"/>
      <c r="C131" s="1399"/>
      <c r="D131" s="1408"/>
      <c r="E131" s="1400"/>
      <c r="F131" s="267"/>
      <c r="G131" s="1399"/>
      <c r="H131" s="1408"/>
      <c r="I131" s="1400"/>
      <c r="J131" s="1380"/>
      <c r="K131" s="1380"/>
      <c r="L131" s="1380"/>
      <c r="M131" s="790"/>
      <c r="N131" s="790"/>
      <c r="O131" s="790"/>
      <c r="P131" s="790"/>
      <c r="Q131" s="266"/>
      <c r="R131" s="266"/>
      <c r="S131" s="268"/>
      <c r="T131" s="269" t="e">
        <f>VLOOKUP(Q131,[71]Listas!$D$6:$E$10,2,0)</f>
        <v>#N/A</v>
      </c>
      <c r="U131" s="269" t="e">
        <f>HLOOKUP(R131,[71]Listas!$F$4:$J$5,2,0)</f>
        <v>#N/A</v>
      </c>
      <c r="V131" s="270" t="e">
        <f>INDEX([71]Listas!$F$6:$J$10,MATCH(Q131,[71]Listas!$D$6:$D$10,0),MATCH(R131,[71]Listas!$F$4:$J$4,0))</f>
        <v>#N/A</v>
      </c>
      <c r="W131" s="268"/>
      <c r="X131" s="1399"/>
      <c r="Y131" s="1408"/>
      <c r="Z131" s="1400"/>
      <c r="AA131" s="1063"/>
      <c r="AB131" s="267"/>
      <c r="AC131" s="259"/>
      <c r="AD131" s="790"/>
      <c r="AE131" s="267"/>
      <c r="AF131" s="268"/>
      <c r="AG131" s="269">
        <f t="shared" si="5"/>
        <v>0</v>
      </c>
      <c r="AH131" s="271" t="e">
        <f t="shared" si="6"/>
        <v>#N/A</v>
      </c>
      <c r="AI131" s="272" t="e">
        <f>IF(AH131&lt;=1,"Remota",VLOOKUP(AH131,[71]Listas!$C$6:$D$10,2,0))</f>
        <v>#N/A</v>
      </c>
      <c r="AJ131" s="271" t="e">
        <f t="shared" si="7"/>
        <v>#N/A</v>
      </c>
      <c r="AK131" s="272" t="e">
        <f>IF(AJ131&lt;=1,"Insignificante",HLOOKUP(AJ131,[71]Listas!$F$3:$J$4,2,0))</f>
        <v>#N/A</v>
      </c>
      <c r="AL131" s="273" t="e">
        <f t="shared" si="8"/>
        <v>#N/A</v>
      </c>
      <c r="AM131" s="270" t="e">
        <f>INDEX([71]Listas!$F$6:$J$10,MATCH(AI131,[71]Listas!$D$6:$D$10,0),MATCH(AK131,[71]Listas!$F$4:$J$4,0))</f>
        <v>#N/A</v>
      </c>
      <c r="AN131" s="259"/>
      <c r="AO131" s="259"/>
      <c r="AP131" s="794"/>
      <c r="AQ131" s="259"/>
      <c r="AR131" s="259" t="s">
        <v>2343</v>
      </c>
      <c r="AS131" s="790"/>
      <c r="AT131" s="259"/>
      <c r="AU131" s="259"/>
      <c r="AV131" s="261"/>
      <c r="AW131" s="261"/>
      <c r="AX131" s="790"/>
      <c r="AY131" s="262"/>
    </row>
    <row r="132" spans="1:51" s="260" customFormat="1" ht="103.5" hidden="1" customHeight="1">
      <c r="A132" s="790"/>
      <c r="B132" s="266"/>
      <c r="C132" s="1399"/>
      <c r="D132" s="1408"/>
      <c r="E132" s="1400"/>
      <c r="F132" s="267"/>
      <c r="G132" s="1399"/>
      <c r="H132" s="1408"/>
      <c r="I132" s="1400"/>
      <c r="J132" s="1380"/>
      <c r="K132" s="1380"/>
      <c r="L132" s="1380"/>
      <c r="M132" s="790"/>
      <c r="N132" s="790"/>
      <c r="O132" s="790"/>
      <c r="P132" s="790"/>
      <c r="Q132" s="266"/>
      <c r="R132" s="266"/>
      <c r="S132" s="268"/>
      <c r="T132" s="269" t="e">
        <f>VLOOKUP(Q132,[71]Listas!$D$6:$E$10,2,0)</f>
        <v>#N/A</v>
      </c>
      <c r="U132" s="269" t="e">
        <f>HLOOKUP(R132,[71]Listas!$F$4:$J$5,2,0)</f>
        <v>#N/A</v>
      </c>
      <c r="V132" s="270" t="e">
        <f>INDEX([71]Listas!$F$6:$J$10,MATCH(Q132,[71]Listas!$D$6:$D$10,0),MATCH(R132,[71]Listas!$F$4:$J$4,0))</f>
        <v>#N/A</v>
      </c>
      <c r="W132" s="268"/>
      <c r="X132" s="1399"/>
      <c r="Y132" s="1408"/>
      <c r="Z132" s="1400"/>
      <c r="AA132" s="1063"/>
      <c r="AB132" s="267"/>
      <c r="AC132" s="259"/>
      <c r="AD132" s="790"/>
      <c r="AE132" s="267"/>
      <c r="AF132" s="268"/>
      <c r="AG132" s="269">
        <f t="shared" si="5"/>
        <v>0</v>
      </c>
      <c r="AH132" s="271" t="e">
        <f t="shared" si="6"/>
        <v>#N/A</v>
      </c>
      <c r="AI132" s="272" t="e">
        <f>IF(AH132&lt;=1,"Remota",VLOOKUP(AH132,[71]Listas!$C$6:$D$10,2,0))</f>
        <v>#N/A</v>
      </c>
      <c r="AJ132" s="271" t="e">
        <f t="shared" si="7"/>
        <v>#N/A</v>
      </c>
      <c r="AK132" s="272" t="e">
        <f>IF(AJ132&lt;=1,"Insignificante",HLOOKUP(AJ132,[71]Listas!$F$3:$J$4,2,0))</f>
        <v>#N/A</v>
      </c>
      <c r="AL132" s="273" t="e">
        <f t="shared" si="8"/>
        <v>#N/A</v>
      </c>
      <c r="AM132" s="270" t="e">
        <f>INDEX([71]Listas!$F$6:$J$10,MATCH(AI132,[71]Listas!$D$6:$D$10,0),MATCH(AK132,[71]Listas!$F$4:$J$4,0))</f>
        <v>#N/A</v>
      </c>
      <c r="AN132" s="259"/>
      <c r="AO132" s="259"/>
      <c r="AP132" s="794"/>
      <c r="AQ132" s="259"/>
      <c r="AR132" s="259" t="s">
        <v>2343</v>
      </c>
      <c r="AS132" s="790"/>
      <c r="AT132" s="259"/>
      <c r="AU132" s="259"/>
      <c r="AV132" s="261"/>
      <c r="AW132" s="261"/>
      <c r="AX132" s="790"/>
      <c r="AY132" s="262"/>
    </row>
    <row r="133" spans="1:51" s="260" customFormat="1" ht="103.5" hidden="1" customHeight="1">
      <c r="A133" s="790"/>
      <c r="B133" s="266"/>
      <c r="C133" s="1399"/>
      <c r="D133" s="1408"/>
      <c r="E133" s="1400"/>
      <c r="F133" s="267"/>
      <c r="G133" s="1399"/>
      <c r="H133" s="1408"/>
      <c r="I133" s="1400"/>
      <c r="J133" s="1380"/>
      <c r="K133" s="1380"/>
      <c r="L133" s="1380"/>
      <c r="M133" s="790"/>
      <c r="N133" s="790"/>
      <c r="O133" s="790"/>
      <c r="P133" s="790"/>
      <c r="Q133" s="266"/>
      <c r="R133" s="266"/>
      <c r="S133" s="268"/>
      <c r="T133" s="269" t="e">
        <f>VLOOKUP(Q133,[71]Listas!$D$6:$E$10,2,0)</f>
        <v>#N/A</v>
      </c>
      <c r="U133" s="269" t="e">
        <f>HLOOKUP(R133,[71]Listas!$F$4:$J$5,2,0)</f>
        <v>#N/A</v>
      </c>
      <c r="V133" s="270" t="e">
        <f>INDEX([71]Listas!$F$6:$J$10,MATCH(Q133,[71]Listas!$D$6:$D$10,0),MATCH(R133,[71]Listas!$F$4:$J$4,0))</f>
        <v>#N/A</v>
      </c>
      <c r="W133" s="268"/>
      <c r="X133" s="1399"/>
      <c r="Y133" s="1408"/>
      <c r="Z133" s="1400"/>
      <c r="AA133" s="1063"/>
      <c r="AB133" s="267"/>
      <c r="AC133" s="259"/>
      <c r="AD133" s="790"/>
      <c r="AE133" s="267"/>
      <c r="AF133" s="268"/>
      <c r="AG133" s="269">
        <f t="shared" si="5"/>
        <v>0</v>
      </c>
      <c r="AH133" s="271" t="e">
        <f t="shared" si="6"/>
        <v>#N/A</v>
      </c>
      <c r="AI133" s="272" t="e">
        <f>IF(AH133&lt;=1,"Remota",VLOOKUP(AH133,[71]Listas!$C$6:$D$10,2,0))</f>
        <v>#N/A</v>
      </c>
      <c r="AJ133" s="271" t="e">
        <f t="shared" si="7"/>
        <v>#N/A</v>
      </c>
      <c r="AK133" s="272" t="e">
        <f>IF(AJ133&lt;=1,"Insignificante",HLOOKUP(AJ133,[71]Listas!$F$3:$J$4,2,0))</f>
        <v>#N/A</v>
      </c>
      <c r="AL133" s="273" t="e">
        <f t="shared" si="8"/>
        <v>#N/A</v>
      </c>
      <c r="AM133" s="270" t="e">
        <f>INDEX([71]Listas!$F$6:$J$10,MATCH(AI133,[71]Listas!$D$6:$D$10,0),MATCH(AK133,[71]Listas!$F$4:$J$4,0))</f>
        <v>#N/A</v>
      </c>
      <c r="AN133" s="259"/>
      <c r="AO133" s="259"/>
      <c r="AP133" s="794"/>
      <c r="AQ133" s="259"/>
      <c r="AR133" s="259" t="s">
        <v>2343</v>
      </c>
      <c r="AS133" s="790"/>
      <c r="AT133" s="259"/>
      <c r="AU133" s="259"/>
      <c r="AV133" s="261"/>
      <c r="AW133" s="261"/>
      <c r="AX133" s="790"/>
      <c r="AY133" s="262"/>
    </row>
    <row r="134" spans="1:51" s="260" customFormat="1" ht="103.5" hidden="1" customHeight="1">
      <c r="A134" s="790"/>
      <c r="B134" s="266"/>
      <c r="C134" s="1399"/>
      <c r="D134" s="1408"/>
      <c r="E134" s="1400"/>
      <c r="F134" s="267"/>
      <c r="G134" s="1399"/>
      <c r="H134" s="1408"/>
      <c r="I134" s="1400"/>
      <c r="J134" s="1380"/>
      <c r="K134" s="1380"/>
      <c r="L134" s="1380"/>
      <c r="M134" s="790"/>
      <c r="N134" s="790"/>
      <c r="O134" s="790"/>
      <c r="P134" s="790"/>
      <c r="Q134" s="266"/>
      <c r="R134" s="266"/>
      <c r="S134" s="268"/>
      <c r="T134" s="269" t="e">
        <f>VLOOKUP(Q134,[71]Listas!$D$6:$E$10,2,0)</f>
        <v>#N/A</v>
      </c>
      <c r="U134" s="269" t="e">
        <f>HLOOKUP(R134,[71]Listas!$F$4:$J$5,2,0)</f>
        <v>#N/A</v>
      </c>
      <c r="V134" s="270" t="e">
        <f>INDEX([71]Listas!$F$6:$J$10,MATCH(Q134,[71]Listas!$D$6:$D$10,0),MATCH(R134,[71]Listas!$F$4:$J$4,0))</f>
        <v>#N/A</v>
      </c>
      <c r="W134" s="268"/>
      <c r="X134" s="1399"/>
      <c r="Y134" s="1408"/>
      <c r="Z134" s="1400"/>
      <c r="AA134" s="1063"/>
      <c r="AB134" s="267"/>
      <c r="AC134" s="259"/>
      <c r="AD134" s="790"/>
      <c r="AE134" s="267"/>
      <c r="AF134" s="268"/>
      <c r="AG134" s="269">
        <f t="shared" si="5"/>
        <v>0</v>
      </c>
      <c r="AH134" s="271" t="e">
        <f t="shared" si="6"/>
        <v>#N/A</v>
      </c>
      <c r="AI134" s="272" t="e">
        <f>IF(AH134&lt;=1,"Remota",VLOOKUP(AH134,[71]Listas!$C$6:$D$10,2,0))</f>
        <v>#N/A</v>
      </c>
      <c r="AJ134" s="271" t="e">
        <f t="shared" si="7"/>
        <v>#N/A</v>
      </c>
      <c r="AK134" s="272" t="e">
        <f>IF(AJ134&lt;=1,"Insignificante",HLOOKUP(AJ134,[71]Listas!$F$3:$J$4,2,0))</f>
        <v>#N/A</v>
      </c>
      <c r="AL134" s="273" t="e">
        <f t="shared" si="8"/>
        <v>#N/A</v>
      </c>
      <c r="AM134" s="270" t="e">
        <f>INDEX([71]Listas!$F$6:$J$10,MATCH(AI134,[71]Listas!$D$6:$D$10,0),MATCH(AK134,[71]Listas!$F$4:$J$4,0))</f>
        <v>#N/A</v>
      </c>
      <c r="AN134" s="259"/>
      <c r="AO134" s="259"/>
      <c r="AP134" s="794"/>
      <c r="AQ134" s="259"/>
      <c r="AR134" s="259" t="s">
        <v>2343</v>
      </c>
      <c r="AS134" s="790"/>
      <c r="AT134" s="259"/>
      <c r="AU134" s="259"/>
      <c r="AV134" s="261"/>
      <c r="AW134" s="261"/>
      <c r="AX134" s="790"/>
      <c r="AY134" s="262"/>
    </row>
    <row r="135" spans="1:51" s="260" customFormat="1" ht="103.5" hidden="1" customHeight="1">
      <c r="A135" s="790"/>
      <c r="B135" s="266"/>
      <c r="C135" s="1399"/>
      <c r="D135" s="1408"/>
      <c r="E135" s="1400"/>
      <c r="F135" s="267"/>
      <c r="G135" s="1399"/>
      <c r="H135" s="1408"/>
      <c r="I135" s="1400"/>
      <c r="J135" s="1380"/>
      <c r="K135" s="1380"/>
      <c r="L135" s="1380"/>
      <c r="M135" s="790"/>
      <c r="N135" s="790"/>
      <c r="O135" s="790"/>
      <c r="P135" s="790"/>
      <c r="Q135" s="266"/>
      <c r="R135" s="266"/>
      <c r="S135" s="268"/>
      <c r="T135" s="269" t="e">
        <f>VLOOKUP(Q135,[71]Listas!$D$6:$E$10,2,0)</f>
        <v>#N/A</v>
      </c>
      <c r="U135" s="269" t="e">
        <f>HLOOKUP(R135,[71]Listas!$F$4:$J$5,2,0)</f>
        <v>#N/A</v>
      </c>
      <c r="V135" s="270" t="e">
        <f>INDEX([71]Listas!$F$6:$J$10,MATCH(Q135,[71]Listas!$D$6:$D$10,0),MATCH(R135,[71]Listas!$F$4:$J$4,0))</f>
        <v>#N/A</v>
      </c>
      <c r="W135" s="268"/>
      <c r="X135" s="1399"/>
      <c r="Y135" s="1408"/>
      <c r="Z135" s="1400"/>
      <c r="AA135" s="1063"/>
      <c r="AB135" s="267"/>
      <c r="AC135" s="259"/>
      <c r="AD135" s="790"/>
      <c r="AE135" s="267"/>
      <c r="AF135" s="268"/>
      <c r="AG135" s="269">
        <f t="shared" si="5"/>
        <v>0</v>
      </c>
      <c r="AH135" s="271" t="e">
        <f t="shared" si="6"/>
        <v>#N/A</v>
      </c>
      <c r="AI135" s="272" t="e">
        <f>IF(AH135&lt;=1,"Remota",VLOOKUP(AH135,[71]Listas!$C$6:$D$10,2,0))</f>
        <v>#N/A</v>
      </c>
      <c r="AJ135" s="271" t="e">
        <f t="shared" si="7"/>
        <v>#N/A</v>
      </c>
      <c r="AK135" s="272" t="e">
        <f>IF(AJ135&lt;=1,"Insignificante",HLOOKUP(AJ135,[71]Listas!$F$3:$J$4,2,0))</f>
        <v>#N/A</v>
      </c>
      <c r="AL135" s="273" t="e">
        <f t="shared" si="8"/>
        <v>#N/A</v>
      </c>
      <c r="AM135" s="270" t="e">
        <f>INDEX([71]Listas!$F$6:$J$10,MATCH(AI135,[71]Listas!$D$6:$D$10,0),MATCH(AK135,[71]Listas!$F$4:$J$4,0))</f>
        <v>#N/A</v>
      </c>
      <c r="AN135" s="259"/>
      <c r="AO135" s="259"/>
      <c r="AP135" s="794"/>
      <c r="AQ135" s="259"/>
      <c r="AR135" s="259" t="s">
        <v>2343</v>
      </c>
      <c r="AS135" s="790"/>
      <c r="AT135" s="259"/>
      <c r="AU135" s="259"/>
      <c r="AV135" s="261"/>
      <c r="AW135" s="261"/>
      <c r="AX135" s="790"/>
      <c r="AY135" s="262"/>
    </row>
    <row r="136" spans="1:51" s="260" customFormat="1" ht="103.5" hidden="1" customHeight="1">
      <c r="A136" s="790"/>
      <c r="B136" s="266"/>
      <c r="C136" s="1399"/>
      <c r="D136" s="1408"/>
      <c r="E136" s="1400"/>
      <c r="F136" s="267"/>
      <c r="G136" s="1399"/>
      <c r="H136" s="1408"/>
      <c r="I136" s="1400"/>
      <c r="J136" s="1380"/>
      <c r="K136" s="1380"/>
      <c r="L136" s="1380"/>
      <c r="M136" s="790"/>
      <c r="N136" s="790"/>
      <c r="O136" s="790"/>
      <c r="P136" s="790"/>
      <c r="Q136" s="266"/>
      <c r="R136" s="266"/>
      <c r="S136" s="268"/>
      <c r="T136" s="269" t="e">
        <f>VLOOKUP(Q136,[71]Listas!$D$6:$E$10,2,0)</f>
        <v>#N/A</v>
      </c>
      <c r="U136" s="269" t="e">
        <f>HLOOKUP(R136,[71]Listas!$F$4:$J$5,2,0)</f>
        <v>#N/A</v>
      </c>
      <c r="V136" s="270" t="e">
        <f>INDEX([71]Listas!$F$6:$J$10,MATCH(Q136,[71]Listas!$D$6:$D$10,0),MATCH(R136,[71]Listas!$F$4:$J$4,0))</f>
        <v>#N/A</v>
      </c>
      <c r="W136" s="268"/>
      <c r="X136" s="1399"/>
      <c r="Y136" s="1408"/>
      <c r="Z136" s="1400"/>
      <c r="AA136" s="1063"/>
      <c r="AB136" s="267"/>
      <c r="AC136" s="259"/>
      <c r="AD136" s="790"/>
      <c r="AE136" s="267"/>
      <c r="AF136" s="268"/>
      <c r="AG136" s="269">
        <f t="shared" si="5"/>
        <v>0</v>
      </c>
      <c r="AH136" s="271" t="e">
        <f t="shared" si="6"/>
        <v>#N/A</v>
      </c>
      <c r="AI136" s="272" t="e">
        <f>IF(AH136&lt;=1,"Remota",VLOOKUP(AH136,[71]Listas!$C$6:$D$10,2,0))</f>
        <v>#N/A</v>
      </c>
      <c r="AJ136" s="271" t="e">
        <f t="shared" si="7"/>
        <v>#N/A</v>
      </c>
      <c r="AK136" s="272" t="e">
        <f>IF(AJ136&lt;=1,"Insignificante",HLOOKUP(AJ136,[71]Listas!$F$3:$J$4,2,0))</f>
        <v>#N/A</v>
      </c>
      <c r="AL136" s="273" t="e">
        <f t="shared" si="8"/>
        <v>#N/A</v>
      </c>
      <c r="AM136" s="270" t="e">
        <f>INDEX([71]Listas!$F$6:$J$10,MATCH(AI136,[71]Listas!$D$6:$D$10,0),MATCH(AK136,[71]Listas!$F$4:$J$4,0))</f>
        <v>#N/A</v>
      </c>
      <c r="AN136" s="259"/>
      <c r="AO136" s="259"/>
      <c r="AP136" s="794"/>
      <c r="AQ136" s="259"/>
      <c r="AR136" s="259" t="s">
        <v>2343</v>
      </c>
      <c r="AS136" s="790"/>
      <c r="AT136" s="259"/>
      <c r="AU136" s="259"/>
      <c r="AV136" s="261"/>
      <c r="AW136" s="261"/>
      <c r="AX136" s="790"/>
      <c r="AY136" s="262"/>
    </row>
    <row r="137" spans="1:51" s="260" customFormat="1" ht="103.5" hidden="1" customHeight="1">
      <c r="A137" s="790"/>
      <c r="B137" s="266"/>
      <c r="C137" s="1399"/>
      <c r="D137" s="1408"/>
      <c r="E137" s="1400"/>
      <c r="F137" s="267"/>
      <c r="G137" s="1399"/>
      <c r="H137" s="1408"/>
      <c r="I137" s="1400"/>
      <c r="J137" s="1380"/>
      <c r="K137" s="1380"/>
      <c r="L137" s="1380"/>
      <c r="M137" s="790"/>
      <c r="N137" s="790"/>
      <c r="O137" s="790"/>
      <c r="P137" s="790"/>
      <c r="Q137" s="266"/>
      <c r="R137" s="266"/>
      <c r="S137" s="268"/>
      <c r="T137" s="269" t="e">
        <f>VLOOKUP(Q137,[71]Listas!$D$6:$E$10,2,0)</f>
        <v>#N/A</v>
      </c>
      <c r="U137" s="269" t="e">
        <f>HLOOKUP(R137,[71]Listas!$F$4:$J$5,2,0)</f>
        <v>#N/A</v>
      </c>
      <c r="V137" s="270" t="e">
        <f>INDEX([71]Listas!$F$6:$J$10,MATCH(Q137,[71]Listas!$D$6:$D$10,0),MATCH(R137,[71]Listas!$F$4:$J$4,0))</f>
        <v>#N/A</v>
      </c>
      <c r="W137" s="268"/>
      <c r="X137" s="1399"/>
      <c r="Y137" s="1408"/>
      <c r="Z137" s="1400"/>
      <c r="AA137" s="1063"/>
      <c r="AB137" s="267"/>
      <c r="AC137" s="259"/>
      <c r="AD137" s="790"/>
      <c r="AE137" s="267"/>
      <c r="AF137" s="268"/>
      <c r="AG137" s="269">
        <f t="shared" si="5"/>
        <v>0</v>
      </c>
      <c r="AH137" s="271" t="e">
        <f t="shared" si="6"/>
        <v>#N/A</v>
      </c>
      <c r="AI137" s="272" t="e">
        <f>IF(AH137&lt;=1,"Remota",VLOOKUP(AH137,[71]Listas!$C$6:$D$10,2,0))</f>
        <v>#N/A</v>
      </c>
      <c r="AJ137" s="271" t="e">
        <f t="shared" si="7"/>
        <v>#N/A</v>
      </c>
      <c r="AK137" s="272" t="e">
        <f>IF(AJ137&lt;=1,"Insignificante",HLOOKUP(AJ137,[71]Listas!$F$3:$J$4,2,0))</f>
        <v>#N/A</v>
      </c>
      <c r="AL137" s="273" t="e">
        <f t="shared" si="8"/>
        <v>#N/A</v>
      </c>
      <c r="AM137" s="270" t="e">
        <f>INDEX([71]Listas!$F$6:$J$10,MATCH(AI137,[71]Listas!$D$6:$D$10,0),MATCH(AK137,[71]Listas!$F$4:$J$4,0))</f>
        <v>#N/A</v>
      </c>
      <c r="AN137" s="259"/>
      <c r="AO137" s="259"/>
      <c r="AP137" s="794"/>
      <c r="AQ137" s="259"/>
      <c r="AR137" s="259" t="s">
        <v>2343</v>
      </c>
      <c r="AS137" s="790"/>
      <c r="AT137" s="259"/>
      <c r="AU137" s="259"/>
      <c r="AV137" s="261"/>
      <c r="AW137" s="261"/>
      <c r="AX137" s="790"/>
      <c r="AY137" s="262"/>
    </row>
    <row r="138" spans="1:51" s="260" customFormat="1" ht="103.5" hidden="1" customHeight="1">
      <c r="A138" s="790"/>
      <c r="B138" s="266"/>
      <c r="C138" s="1399"/>
      <c r="D138" s="1408"/>
      <c r="E138" s="1400"/>
      <c r="F138" s="267"/>
      <c r="G138" s="1399"/>
      <c r="H138" s="1408"/>
      <c r="I138" s="1400"/>
      <c r="J138" s="1380"/>
      <c r="K138" s="1380"/>
      <c r="L138" s="1380"/>
      <c r="M138" s="790"/>
      <c r="N138" s="790"/>
      <c r="O138" s="790"/>
      <c r="P138" s="790"/>
      <c r="Q138" s="266"/>
      <c r="R138" s="266"/>
      <c r="S138" s="268"/>
      <c r="T138" s="269" t="e">
        <f>VLOOKUP(Q138,[71]Listas!$D$6:$E$10,2,0)</f>
        <v>#N/A</v>
      </c>
      <c r="U138" s="269" t="e">
        <f>HLOOKUP(R138,[71]Listas!$F$4:$J$5,2,0)</f>
        <v>#N/A</v>
      </c>
      <c r="V138" s="270" t="e">
        <f>INDEX([71]Listas!$F$6:$J$10,MATCH(Q138,[71]Listas!$D$6:$D$10,0),MATCH(R138,[71]Listas!$F$4:$J$4,0))</f>
        <v>#N/A</v>
      </c>
      <c r="W138" s="268"/>
      <c r="X138" s="1399"/>
      <c r="Y138" s="1408"/>
      <c r="Z138" s="1400"/>
      <c r="AA138" s="1063"/>
      <c r="AB138" s="267"/>
      <c r="AC138" s="259"/>
      <c r="AD138" s="790"/>
      <c r="AE138" s="267"/>
      <c r="AF138" s="268"/>
      <c r="AG138" s="269">
        <f t="shared" si="5"/>
        <v>0</v>
      </c>
      <c r="AH138" s="271" t="e">
        <f t="shared" si="6"/>
        <v>#N/A</v>
      </c>
      <c r="AI138" s="272" t="e">
        <f>IF(AH138&lt;=1,"Remota",VLOOKUP(AH138,[71]Listas!$C$6:$D$10,2,0))</f>
        <v>#N/A</v>
      </c>
      <c r="AJ138" s="271" t="e">
        <f t="shared" si="7"/>
        <v>#N/A</v>
      </c>
      <c r="AK138" s="272" t="e">
        <f>IF(AJ138&lt;=1,"Insignificante",HLOOKUP(AJ138,[71]Listas!$F$3:$J$4,2,0))</f>
        <v>#N/A</v>
      </c>
      <c r="AL138" s="273" t="e">
        <f t="shared" si="8"/>
        <v>#N/A</v>
      </c>
      <c r="AM138" s="270" t="e">
        <f>INDEX([71]Listas!$F$6:$J$10,MATCH(AI138,[71]Listas!$D$6:$D$10,0),MATCH(AK138,[71]Listas!$F$4:$J$4,0))</f>
        <v>#N/A</v>
      </c>
      <c r="AN138" s="259"/>
      <c r="AO138" s="259"/>
      <c r="AP138" s="794"/>
      <c r="AQ138" s="259"/>
      <c r="AR138" s="259" t="s">
        <v>2343</v>
      </c>
      <c r="AS138" s="790"/>
      <c r="AT138" s="259"/>
      <c r="AU138" s="259"/>
      <c r="AV138" s="261"/>
      <c r="AW138" s="261"/>
      <c r="AX138" s="790"/>
      <c r="AY138" s="262"/>
    </row>
    <row r="139" spans="1:51" s="260" customFormat="1" ht="103.5" hidden="1" customHeight="1">
      <c r="A139" s="790"/>
      <c r="B139" s="266"/>
      <c r="C139" s="1399"/>
      <c r="D139" s="1408"/>
      <c r="E139" s="1400"/>
      <c r="F139" s="267"/>
      <c r="G139" s="1399"/>
      <c r="H139" s="1408"/>
      <c r="I139" s="1400"/>
      <c r="J139" s="1380"/>
      <c r="K139" s="1380"/>
      <c r="L139" s="1380"/>
      <c r="M139" s="790"/>
      <c r="N139" s="790"/>
      <c r="O139" s="790"/>
      <c r="P139" s="790"/>
      <c r="Q139" s="266"/>
      <c r="R139" s="266"/>
      <c r="S139" s="268"/>
      <c r="T139" s="269" t="e">
        <f>VLOOKUP(Q139,[71]Listas!$D$6:$E$10,2,0)</f>
        <v>#N/A</v>
      </c>
      <c r="U139" s="269" t="e">
        <f>HLOOKUP(R139,[71]Listas!$F$4:$J$5,2,0)</f>
        <v>#N/A</v>
      </c>
      <c r="V139" s="270" t="e">
        <f>INDEX([71]Listas!$F$6:$J$10,MATCH(Q139,[71]Listas!$D$6:$D$10,0),MATCH(R139,[71]Listas!$F$4:$J$4,0))</f>
        <v>#N/A</v>
      </c>
      <c r="W139" s="268"/>
      <c r="X139" s="1399"/>
      <c r="Y139" s="1408"/>
      <c r="Z139" s="1400"/>
      <c r="AA139" s="1063"/>
      <c r="AB139" s="267"/>
      <c r="AC139" s="259"/>
      <c r="AD139" s="790"/>
      <c r="AE139" s="267"/>
      <c r="AF139" s="268"/>
      <c r="AG139" s="269">
        <f t="shared" si="5"/>
        <v>0</v>
      </c>
      <c r="AH139" s="271" t="e">
        <f t="shared" si="6"/>
        <v>#N/A</v>
      </c>
      <c r="AI139" s="272" t="e">
        <f>IF(AH139&lt;=1,"Remota",VLOOKUP(AH139,[71]Listas!$C$6:$D$10,2,0))</f>
        <v>#N/A</v>
      </c>
      <c r="AJ139" s="271" t="e">
        <f t="shared" si="7"/>
        <v>#N/A</v>
      </c>
      <c r="AK139" s="272" t="e">
        <f>IF(AJ139&lt;=1,"Insignificante",HLOOKUP(AJ139,[71]Listas!$F$3:$J$4,2,0))</f>
        <v>#N/A</v>
      </c>
      <c r="AL139" s="273" t="e">
        <f t="shared" si="8"/>
        <v>#N/A</v>
      </c>
      <c r="AM139" s="270" t="e">
        <f>INDEX([71]Listas!$F$6:$J$10,MATCH(AI139,[71]Listas!$D$6:$D$10,0),MATCH(AK139,[71]Listas!$F$4:$J$4,0))</f>
        <v>#N/A</v>
      </c>
      <c r="AN139" s="259"/>
      <c r="AO139" s="259"/>
      <c r="AP139" s="794"/>
      <c r="AQ139" s="259"/>
      <c r="AR139" s="259" t="s">
        <v>2343</v>
      </c>
      <c r="AS139" s="790"/>
      <c r="AT139" s="259"/>
      <c r="AU139" s="259"/>
      <c r="AV139" s="261"/>
      <c r="AW139" s="261"/>
      <c r="AX139" s="790"/>
      <c r="AY139" s="262"/>
    </row>
    <row r="140" spans="1:51" s="260" customFormat="1" ht="103.5" hidden="1" customHeight="1">
      <c r="A140" s="790"/>
      <c r="B140" s="266"/>
      <c r="C140" s="1399"/>
      <c r="D140" s="1408"/>
      <c r="E140" s="1400"/>
      <c r="F140" s="267"/>
      <c r="G140" s="1399"/>
      <c r="H140" s="1408"/>
      <c r="I140" s="1400"/>
      <c r="J140" s="1380"/>
      <c r="K140" s="1380"/>
      <c r="L140" s="1380"/>
      <c r="M140" s="790"/>
      <c r="N140" s="790"/>
      <c r="O140" s="790"/>
      <c r="P140" s="790"/>
      <c r="Q140" s="266"/>
      <c r="R140" s="266"/>
      <c r="S140" s="268"/>
      <c r="T140" s="269" t="e">
        <f>VLOOKUP(Q140,[71]Listas!$D$6:$E$10,2,0)</f>
        <v>#N/A</v>
      </c>
      <c r="U140" s="269" t="e">
        <f>HLOOKUP(R140,[71]Listas!$F$4:$J$5,2,0)</f>
        <v>#N/A</v>
      </c>
      <c r="V140" s="270" t="e">
        <f>INDEX([71]Listas!$F$6:$J$10,MATCH(Q140,[71]Listas!$D$6:$D$10,0),MATCH(R140,[71]Listas!$F$4:$J$4,0))</f>
        <v>#N/A</v>
      </c>
      <c r="W140" s="268"/>
      <c r="X140" s="1399"/>
      <c r="Y140" s="1408"/>
      <c r="Z140" s="1400"/>
      <c r="AA140" s="1063"/>
      <c r="AB140" s="267"/>
      <c r="AC140" s="259"/>
      <c r="AD140" s="790"/>
      <c r="AE140" s="267"/>
      <c r="AF140" s="268"/>
      <c r="AG140" s="269">
        <f t="shared" si="5"/>
        <v>0</v>
      </c>
      <c r="AH140" s="271" t="e">
        <f t="shared" si="6"/>
        <v>#N/A</v>
      </c>
      <c r="AI140" s="272" t="e">
        <f>IF(AH140&lt;=1,"Remota",VLOOKUP(AH140,[71]Listas!$C$6:$D$10,2,0))</f>
        <v>#N/A</v>
      </c>
      <c r="AJ140" s="271" t="e">
        <f t="shared" si="7"/>
        <v>#N/A</v>
      </c>
      <c r="AK140" s="272" t="e">
        <f>IF(AJ140&lt;=1,"Insignificante",HLOOKUP(AJ140,[71]Listas!$F$3:$J$4,2,0))</f>
        <v>#N/A</v>
      </c>
      <c r="AL140" s="273" t="e">
        <f t="shared" si="8"/>
        <v>#N/A</v>
      </c>
      <c r="AM140" s="270" t="e">
        <f>INDEX([71]Listas!$F$6:$J$10,MATCH(AI140,[71]Listas!$D$6:$D$10,0),MATCH(AK140,[71]Listas!$F$4:$J$4,0))</f>
        <v>#N/A</v>
      </c>
      <c r="AN140" s="259"/>
      <c r="AO140" s="259"/>
      <c r="AP140" s="794"/>
      <c r="AQ140" s="259"/>
      <c r="AR140" s="259" t="s">
        <v>2343</v>
      </c>
      <c r="AS140" s="790"/>
      <c r="AT140" s="259"/>
      <c r="AU140" s="259"/>
      <c r="AV140" s="261"/>
      <c r="AW140" s="261"/>
      <c r="AX140" s="790"/>
      <c r="AY140" s="262"/>
    </row>
    <row r="141" spans="1:51" s="260" customFormat="1" ht="103.5" hidden="1" customHeight="1">
      <c r="A141" s="790"/>
      <c r="B141" s="266"/>
      <c r="C141" s="1399"/>
      <c r="D141" s="1408"/>
      <c r="E141" s="1400"/>
      <c r="F141" s="267"/>
      <c r="G141" s="1399"/>
      <c r="H141" s="1408"/>
      <c r="I141" s="1400"/>
      <c r="J141" s="1380"/>
      <c r="K141" s="1380"/>
      <c r="L141" s="1380"/>
      <c r="M141" s="790"/>
      <c r="N141" s="790"/>
      <c r="O141" s="790"/>
      <c r="P141" s="790"/>
      <c r="Q141" s="266"/>
      <c r="R141" s="266"/>
      <c r="S141" s="268"/>
      <c r="T141" s="269" t="e">
        <f>VLOOKUP(Q141,[71]Listas!$D$6:$E$10,2,0)</f>
        <v>#N/A</v>
      </c>
      <c r="U141" s="269" t="e">
        <f>HLOOKUP(R141,[71]Listas!$F$4:$J$5,2,0)</f>
        <v>#N/A</v>
      </c>
      <c r="V141" s="270" t="e">
        <f>INDEX([71]Listas!$F$6:$J$10,MATCH(Q141,[71]Listas!$D$6:$D$10,0),MATCH(R141,[71]Listas!$F$4:$J$4,0))</f>
        <v>#N/A</v>
      </c>
      <c r="W141" s="268"/>
      <c r="X141" s="1399"/>
      <c r="Y141" s="1408"/>
      <c r="Z141" s="1400"/>
      <c r="AA141" s="1063"/>
      <c r="AB141" s="267"/>
      <c r="AC141" s="259"/>
      <c r="AD141" s="790"/>
      <c r="AE141" s="267"/>
      <c r="AF141" s="268"/>
      <c r="AG141" s="269">
        <f t="shared" si="5"/>
        <v>0</v>
      </c>
      <c r="AH141" s="271" t="e">
        <f t="shared" si="6"/>
        <v>#N/A</v>
      </c>
      <c r="AI141" s="272" t="e">
        <f>IF(AH141&lt;=1,"Remota",VLOOKUP(AH141,[71]Listas!$C$6:$D$10,2,0))</f>
        <v>#N/A</v>
      </c>
      <c r="AJ141" s="271" t="e">
        <f t="shared" si="7"/>
        <v>#N/A</v>
      </c>
      <c r="AK141" s="272" t="e">
        <f>IF(AJ141&lt;=1,"Insignificante",HLOOKUP(AJ141,[71]Listas!$F$3:$J$4,2,0))</f>
        <v>#N/A</v>
      </c>
      <c r="AL141" s="273" t="e">
        <f t="shared" si="8"/>
        <v>#N/A</v>
      </c>
      <c r="AM141" s="270" t="e">
        <f>INDEX([71]Listas!$F$6:$J$10,MATCH(AI141,[71]Listas!$D$6:$D$10,0),MATCH(AK141,[71]Listas!$F$4:$J$4,0))</f>
        <v>#N/A</v>
      </c>
      <c r="AN141" s="259"/>
      <c r="AO141" s="259"/>
      <c r="AP141" s="794"/>
      <c r="AQ141" s="259"/>
      <c r="AR141" s="259" t="s">
        <v>2343</v>
      </c>
      <c r="AS141" s="790"/>
      <c r="AT141" s="259"/>
      <c r="AU141" s="259"/>
      <c r="AV141" s="261"/>
      <c r="AW141" s="261"/>
      <c r="AX141" s="790"/>
      <c r="AY141" s="262"/>
    </row>
    <row r="142" spans="1:51" s="260" customFormat="1" ht="103.5" hidden="1" customHeight="1">
      <c r="A142" s="790"/>
      <c r="B142" s="266"/>
      <c r="C142" s="1399"/>
      <c r="D142" s="1408"/>
      <c r="E142" s="1400"/>
      <c r="F142" s="267"/>
      <c r="G142" s="1399"/>
      <c r="H142" s="1408"/>
      <c r="I142" s="1400"/>
      <c r="J142" s="1380"/>
      <c r="K142" s="1380"/>
      <c r="L142" s="1380"/>
      <c r="M142" s="790"/>
      <c r="N142" s="790"/>
      <c r="O142" s="790"/>
      <c r="P142" s="790"/>
      <c r="Q142" s="266"/>
      <c r="R142" s="266"/>
      <c r="S142" s="268"/>
      <c r="T142" s="269" t="e">
        <f>VLOOKUP(Q142,[71]Listas!$D$6:$E$10,2,0)</f>
        <v>#N/A</v>
      </c>
      <c r="U142" s="269" t="e">
        <f>HLOOKUP(R142,[71]Listas!$F$4:$J$5,2,0)</f>
        <v>#N/A</v>
      </c>
      <c r="V142" s="270" t="e">
        <f>INDEX([71]Listas!$F$6:$J$10,MATCH(Q142,[71]Listas!$D$6:$D$10,0),MATCH(R142,[71]Listas!$F$4:$J$4,0))</f>
        <v>#N/A</v>
      </c>
      <c r="W142" s="268"/>
      <c r="X142" s="1399"/>
      <c r="Y142" s="1408"/>
      <c r="Z142" s="1400"/>
      <c r="AA142" s="1063"/>
      <c r="AB142" s="267"/>
      <c r="AC142" s="259"/>
      <c r="AD142" s="790"/>
      <c r="AE142" s="267"/>
      <c r="AF142" s="268"/>
      <c r="AG142" s="269">
        <f t="shared" si="5"/>
        <v>0</v>
      </c>
      <c r="AH142" s="271" t="e">
        <f t="shared" si="6"/>
        <v>#N/A</v>
      </c>
      <c r="AI142" s="272" t="e">
        <f>IF(AH142&lt;=1,"Remota",VLOOKUP(AH142,[71]Listas!$C$6:$D$10,2,0))</f>
        <v>#N/A</v>
      </c>
      <c r="AJ142" s="271" t="e">
        <f t="shared" si="7"/>
        <v>#N/A</v>
      </c>
      <c r="AK142" s="272" t="e">
        <f>IF(AJ142&lt;=1,"Insignificante",HLOOKUP(AJ142,[71]Listas!$F$3:$J$4,2,0))</f>
        <v>#N/A</v>
      </c>
      <c r="AL142" s="273" t="e">
        <f t="shared" si="8"/>
        <v>#N/A</v>
      </c>
      <c r="AM142" s="270" t="e">
        <f>INDEX([71]Listas!$F$6:$J$10,MATCH(AI142,[71]Listas!$D$6:$D$10,0),MATCH(AK142,[71]Listas!$F$4:$J$4,0))</f>
        <v>#N/A</v>
      </c>
      <c r="AN142" s="259"/>
      <c r="AO142" s="259"/>
      <c r="AP142" s="794"/>
      <c r="AQ142" s="259"/>
      <c r="AR142" s="259" t="s">
        <v>2343</v>
      </c>
      <c r="AS142" s="790"/>
      <c r="AT142" s="259"/>
      <c r="AU142" s="259"/>
      <c r="AV142" s="261"/>
      <c r="AW142" s="261"/>
      <c r="AX142" s="790"/>
      <c r="AY142" s="262"/>
    </row>
    <row r="143" spans="1:51" s="260" customFormat="1" ht="103.5" hidden="1" customHeight="1">
      <c r="A143" s="790"/>
      <c r="B143" s="266"/>
      <c r="C143" s="1399"/>
      <c r="D143" s="1408"/>
      <c r="E143" s="1400"/>
      <c r="F143" s="267"/>
      <c r="G143" s="1399"/>
      <c r="H143" s="1408"/>
      <c r="I143" s="1400"/>
      <c r="J143" s="1380"/>
      <c r="K143" s="1380"/>
      <c r="L143" s="1380"/>
      <c r="M143" s="790"/>
      <c r="N143" s="790"/>
      <c r="O143" s="790"/>
      <c r="P143" s="790"/>
      <c r="Q143" s="266"/>
      <c r="R143" s="266"/>
      <c r="S143" s="268"/>
      <c r="T143" s="269" t="e">
        <f>VLOOKUP(Q143,[71]Listas!$D$6:$E$10,2,0)</f>
        <v>#N/A</v>
      </c>
      <c r="U143" s="269" t="e">
        <f>HLOOKUP(R143,[71]Listas!$F$4:$J$5,2,0)</f>
        <v>#N/A</v>
      </c>
      <c r="V143" s="270" t="e">
        <f>INDEX([71]Listas!$F$6:$J$10,MATCH(Q143,[71]Listas!$D$6:$D$10,0),MATCH(R143,[71]Listas!$F$4:$J$4,0))</f>
        <v>#N/A</v>
      </c>
      <c r="W143" s="268"/>
      <c r="X143" s="1399"/>
      <c r="Y143" s="1408"/>
      <c r="Z143" s="1400"/>
      <c r="AA143" s="1063"/>
      <c r="AB143" s="267"/>
      <c r="AC143" s="259"/>
      <c r="AD143" s="790"/>
      <c r="AE143" s="267"/>
      <c r="AF143" s="268"/>
      <c r="AG143" s="269">
        <f t="shared" si="5"/>
        <v>0</v>
      </c>
      <c r="AH143" s="271" t="e">
        <f t="shared" si="6"/>
        <v>#N/A</v>
      </c>
      <c r="AI143" s="272" t="e">
        <f>IF(AH143&lt;=1,"Remota",VLOOKUP(AH143,[71]Listas!$C$6:$D$10,2,0))</f>
        <v>#N/A</v>
      </c>
      <c r="AJ143" s="271" t="e">
        <f t="shared" si="7"/>
        <v>#N/A</v>
      </c>
      <c r="AK143" s="272" t="e">
        <f>IF(AJ143&lt;=1,"Insignificante",HLOOKUP(AJ143,[71]Listas!$F$3:$J$4,2,0))</f>
        <v>#N/A</v>
      </c>
      <c r="AL143" s="273" t="e">
        <f t="shared" si="8"/>
        <v>#N/A</v>
      </c>
      <c r="AM143" s="270" t="e">
        <f>INDEX([71]Listas!$F$6:$J$10,MATCH(AI143,[71]Listas!$D$6:$D$10,0),MATCH(AK143,[71]Listas!$F$4:$J$4,0))</f>
        <v>#N/A</v>
      </c>
      <c r="AN143" s="259"/>
      <c r="AO143" s="259"/>
      <c r="AP143" s="794"/>
      <c r="AQ143" s="259"/>
      <c r="AR143" s="259" t="s">
        <v>2343</v>
      </c>
      <c r="AS143" s="790"/>
      <c r="AT143" s="259"/>
      <c r="AU143" s="259"/>
      <c r="AV143" s="261"/>
      <c r="AW143" s="261"/>
      <c r="AX143" s="790"/>
      <c r="AY143" s="262"/>
    </row>
    <row r="144" spans="1:51" s="260" customFormat="1" ht="103.5" hidden="1" customHeight="1">
      <c r="A144" s="790"/>
      <c r="B144" s="266"/>
      <c r="C144" s="1399"/>
      <c r="D144" s="1408"/>
      <c r="E144" s="1400"/>
      <c r="F144" s="267"/>
      <c r="G144" s="1399"/>
      <c r="H144" s="1408"/>
      <c r="I144" s="1400"/>
      <c r="J144" s="1380"/>
      <c r="K144" s="1380"/>
      <c r="L144" s="1380"/>
      <c r="M144" s="790"/>
      <c r="N144" s="790"/>
      <c r="O144" s="790"/>
      <c r="P144" s="790"/>
      <c r="Q144" s="266"/>
      <c r="R144" s="266"/>
      <c r="S144" s="268"/>
      <c r="T144" s="269" t="e">
        <f>VLOOKUP(Q144,[71]Listas!$D$6:$E$10,2,0)</f>
        <v>#N/A</v>
      </c>
      <c r="U144" s="269" t="e">
        <f>HLOOKUP(R144,[71]Listas!$F$4:$J$5,2,0)</f>
        <v>#N/A</v>
      </c>
      <c r="V144" s="270" t="e">
        <f>INDEX([71]Listas!$F$6:$J$10,MATCH(Q144,[71]Listas!$D$6:$D$10,0),MATCH(R144,[71]Listas!$F$4:$J$4,0))</f>
        <v>#N/A</v>
      </c>
      <c r="W144" s="268"/>
      <c r="X144" s="1399"/>
      <c r="Y144" s="1408"/>
      <c r="Z144" s="1400"/>
      <c r="AA144" s="1063"/>
      <c r="AB144" s="267"/>
      <c r="AC144" s="259"/>
      <c r="AD144" s="790"/>
      <c r="AE144" s="267"/>
      <c r="AF144" s="268"/>
      <c r="AG144" s="269">
        <f t="shared" si="5"/>
        <v>0</v>
      </c>
      <c r="AH144" s="271" t="e">
        <f t="shared" si="6"/>
        <v>#N/A</v>
      </c>
      <c r="AI144" s="272" t="e">
        <f>IF(AH144&lt;=1,"Remota",VLOOKUP(AH144,[71]Listas!$C$6:$D$10,2,0))</f>
        <v>#N/A</v>
      </c>
      <c r="AJ144" s="271" t="e">
        <f t="shared" si="7"/>
        <v>#N/A</v>
      </c>
      <c r="AK144" s="272" t="e">
        <f>IF(AJ144&lt;=1,"Insignificante",HLOOKUP(AJ144,[71]Listas!$F$3:$J$4,2,0))</f>
        <v>#N/A</v>
      </c>
      <c r="AL144" s="273" t="e">
        <f t="shared" si="8"/>
        <v>#N/A</v>
      </c>
      <c r="AM144" s="270" t="e">
        <f>INDEX([71]Listas!$F$6:$J$10,MATCH(AI144,[71]Listas!$D$6:$D$10,0),MATCH(AK144,[71]Listas!$F$4:$J$4,0))</f>
        <v>#N/A</v>
      </c>
      <c r="AN144" s="259"/>
      <c r="AO144" s="259"/>
      <c r="AP144" s="794"/>
      <c r="AQ144" s="259"/>
      <c r="AR144" s="259" t="s">
        <v>2343</v>
      </c>
      <c r="AS144" s="790"/>
      <c r="AT144" s="259"/>
      <c r="AU144" s="259"/>
      <c r="AV144" s="261"/>
      <c r="AW144" s="261"/>
      <c r="AX144" s="790"/>
      <c r="AY144" s="262"/>
    </row>
    <row r="145" spans="1:51" s="260" customFormat="1" ht="103.5" hidden="1" customHeight="1">
      <c r="A145" s="790"/>
      <c r="B145" s="266"/>
      <c r="C145" s="1399"/>
      <c r="D145" s="1408"/>
      <c r="E145" s="1400"/>
      <c r="F145" s="267"/>
      <c r="G145" s="1399"/>
      <c r="H145" s="1408"/>
      <c r="I145" s="1400"/>
      <c r="J145" s="1380"/>
      <c r="K145" s="1380"/>
      <c r="L145" s="1380"/>
      <c r="M145" s="790"/>
      <c r="N145" s="790"/>
      <c r="O145" s="790"/>
      <c r="P145" s="790"/>
      <c r="Q145" s="266"/>
      <c r="R145" s="266"/>
      <c r="S145" s="268"/>
      <c r="T145" s="269" t="e">
        <f>VLOOKUP(Q145,[71]Listas!$D$6:$E$10,2,0)</f>
        <v>#N/A</v>
      </c>
      <c r="U145" s="269" t="e">
        <f>HLOOKUP(R145,[71]Listas!$F$4:$J$5,2,0)</f>
        <v>#N/A</v>
      </c>
      <c r="V145" s="270" t="e">
        <f>INDEX([71]Listas!$F$6:$J$10,MATCH(Q145,[71]Listas!$D$6:$D$10,0),MATCH(R145,[71]Listas!$F$4:$J$4,0))</f>
        <v>#N/A</v>
      </c>
      <c r="W145" s="268"/>
      <c r="X145" s="1399"/>
      <c r="Y145" s="1408"/>
      <c r="Z145" s="1400"/>
      <c r="AA145" s="1063"/>
      <c r="AB145" s="267"/>
      <c r="AC145" s="259"/>
      <c r="AD145" s="790"/>
      <c r="AE145" s="267"/>
      <c r="AF145" s="268"/>
      <c r="AG145" s="269">
        <f t="shared" si="5"/>
        <v>0</v>
      </c>
      <c r="AH145" s="271" t="e">
        <f t="shared" si="6"/>
        <v>#N/A</v>
      </c>
      <c r="AI145" s="272" t="e">
        <f>IF(AH145&lt;=1,"Remota",VLOOKUP(AH145,[71]Listas!$C$6:$D$10,2,0))</f>
        <v>#N/A</v>
      </c>
      <c r="AJ145" s="271" t="e">
        <f t="shared" si="7"/>
        <v>#N/A</v>
      </c>
      <c r="AK145" s="272" t="e">
        <f>IF(AJ145&lt;=1,"Insignificante",HLOOKUP(AJ145,[71]Listas!$F$3:$J$4,2,0))</f>
        <v>#N/A</v>
      </c>
      <c r="AL145" s="273" t="e">
        <f t="shared" si="8"/>
        <v>#N/A</v>
      </c>
      <c r="AM145" s="270" t="e">
        <f>INDEX([71]Listas!$F$6:$J$10,MATCH(AI145,[71]Listas!$D$6:$D$10,0),MATCH(AK145,[71]Listas!$F$4:$J$4,0))</f>
        <v>#N/A</v>
      </c>
      <c r="AN145" s="259"/>
      <c r="AO145" s="259"/>
      <c r="AP145" s="794"/>
      <c r="AQ145" s="259"/>
      <c r="AR145" s="259" t="s">
        <v>2343</v>
      </c>
      <c r="AS145" s="790"/>
      <c r="AT145" s="259"/>
      <c r="AU145" s="259"/>
      <c r="AV145" s="261"/>
      <c r="AW145" s="261"/>
      <c r="AX145" s="790"/>
      <c r="AY145" s="262"/>
    </row>
    <row r="146" spans="1:51" s="260" customFormat="1" ht="103.5" hidden="1" customHeight="1">
      <c r="A146" s="790"/>
      <c r="B146" s="266"/>
      <c r="C146" s="1399"/>
      <c r="D146" s="1408"/>
      <c r="E146" s="1400"/>
      <c r="F146" s="267"/>
      <c r="G146" s="1399"/>
      <c r="H146" s="1408"/>
      <c r="I146" s="1400"/>
      <c r="J146" s="1380"/>
      <c r="K146" s="1380"/>
      <c r="L146" s="1380"/>
      <c r="M146" s="790"/>
      <c r="N146" s="790"/>
      <c r="O146" s="790"/>
      <c r="P146" s="790"/>
      <c r="Q146" s="266"/>
      <c r="R146" s="266"/>
      <c r="S146" s="268"/>
      <c r="T146" s="269" t="e">
        <f>VLOOKUP(Q146,[71]Listas!$D$6:$E$10,2,0)</f>
        <v>#N/A</v>
      </c>
      <c r="U146" s="269" t="e">
        <f>HLOOKUP(R146,[71]Listas!$F$4:$J$5,2,0)</f>
        <v>#N/A</v>
      </c>
      <c r="V146" s="270" t="e">
        <f>INDEX([71]Listas!$F$6:$J$10,MATCH(Q146,[71]Listas!$D$6:$D$10,0),MATCH(R146,[71]Listas!$F$4:$J$4,0))</f>
        <v>#N/A</v>
      </c>
      <c r="W146" s="268"/>
      <c r="X146" s="1399"/>
      <c r="Y146" s="1408"/>
      <c r="Z146" s="1400"/>
      <c r="AA146" s="1063"/>
      <c r="AB146" s="267"/>
      <c r="AC146" s="259"/>
      <c r="AD146" s="790"/>
      <c r="AE146" s="267"/>
      <c r="AF146" s="268"/>
      <c r="AG146" s="269">
        <f t="shared" si="5"/>
        <v>0</v>
      </c>
      <c r="AH146" s="271" t="e">
        <f t="shared" si="6"/>
        <v>#N/A</v>
      </c>
      <c r="AI146" s="272" t="e">
        <f>IF(AH146&lt;=1,"Remota",VLOOKUP(AH146,[71]Listas!$C$6:$D$10,2,0))</f>
        <v>#N/A</v>
      </c>
      <c r="AJ146" s="271" t="e">
        <f t="shared" si="7"/>
        <v>#N/A</v>
      </c>
      <c r="AK146" s="272" t="e">
        <f>IF(AJ146&lt;=1,"Insignificante",HLOOKUP(AJ146,[71]Listas!$F$3:$J$4,2,0))</f>
        <v>#N/A</v>
      </c>
      <c r="AL146" s="273" t="e">
        <f t="shared" si="8"/>
        <v>#N/A</v>
      </c>
      <c r="AM146" s="270" t="e">
        <f>INDEX([71]Listas!$F$6:$J$10,MATCH(AI146,[71]Listas!$D$6:$D$10,0),MATCH(AK146,[71]Listas!$F$4:$J$4,0))</f>
        <v>#N/A</v>
      </c>
      <c r="AN146" s="259"/>
      <c r="AO146" s="259"/>
      <c r="AP146" s="794"/>
      <c r="AQ146" s="259"/>
      <c r="AR146" s="259" t="s">
        <v>2343</v>
      </c>
      <c r="AS146" s="790"/>
      <c r="AT146" s="259"/>
      <c r="AU146" s="259"/>
      <c r="AV146" s="261"/>
      <c r="AW146" s="261"/>
      <c r="AX146" s="790"/>
      <c r="AY146" s="262"/>
    </row>
    <row r="147" spans="1:51" s="260" customFormat="1" ht="103.5" hidden="1" customHeight="1">
      <c r="A147" s="790"/>
      <c r="B147" s="266"/>
      <c r="C147" s="1399"/>
      <c r="D147" s="1408"/>
      <c r="E147" s="1400"/>
      <c r="F147" s="267"/>
      <c r="G147" s="1399"/>
      <c r="H147" s="1408"/>
      <c r="I147" s="1400"/>
      <c r="J147" s="1380"/>
      <c r="K147" s="1380"/>
      <c r="L147" s="1380"/>
      <c r="M147" s="790"/>
      <c r="N147" s="790"/>
      <c r="O147" s="790"/>
      <c r="P147" s="790"/>
      <c r="Q147" s="266"/>
      <c r="R147" s="266"/>
      <c r="S147" s="268"/>
      <c r="T147" s="269" t="e">
        <f>VLOOKUP(Q147,[71]Listas!$D$6:$E$10,2,0)</f>
        <v>#N/A</v>
      </c>
      <c r="U147" s="269" t="e">
        <f>HLOOKUP(R147,[71]Listas!$F$4:$J$5,2,0)</f>
        <v>#N/A</v>
      </c>
      <c r="V147" s="270" t="e">
        <f>INDEX([71]Listas!$F$6:$J$10,MATCH(Q147,[71]Listas!$D$6:$D$10,0),MATCH(R147,[71]Listas!$F$4:$J$4,0))</f>
        <v>#N/A</v>
      </c>
      <c r="W147" s="268"/>
      <c r="X147" s="1399"/>
      <c r="Y147" s="1408"/>
      <c r="Z147" s="1400"/>
      <c r="AA147" s="1063"/>
      <c r="AB147" s="267"/>
      <c r="AC147" s="259"/>
      <c r="AD147" s="790"/>
      <c r="AE147" s="267"/>
      <c r="AF147" s="268"/>
      <c r="AG147" s="269">
        <f t="shared" si="5"/>
        <v>0</v>
      </c>
      <c r="AH147" s="271" t="e">
        <f t="shared" si="6"/>
        <v>#N/A</v>
      </c>
      <c r="AI147" s="272" t="e">
        <f>IF(AH147&lt;=1,"Remota",VLOOKUP(AH147,[71]Listas!$C$6:$D$10,2,0))</f>
        <v>#N/A</v>
      </c>
      <c r="AJ147" s="271" t="e">
        <f t="shared" si="7"/>
        <v>#N/A</v>
      </c>
      <c r="AK147" s="272" t="e">
        <f>IF(AJ147&lt;=1,"Insignificante",HLOOKUP(AJ147,[71]Listas!$F$3:$J$4,2,0))</f>
        <v>#N/A</v>
      </c>
      <c r="AL147" s="273" t="e">
        <f t="shared" si="8"/>
        <v>#N/A</v>
      </c>
      <c r="AM147" s="270" t="e">
        <f>INDEX([71]Listas!$F$6:$J$10,MATCH(AI147,[71]Listas!$D$6:$D$10,0),MATCH(AK147,[71]Listas!$F$4:$J$4,0))</f>
        <v>#N/A</v>
      </c>
      <c r="AN147" s="259"/>
      <c r="AO147" s="259"/>
      <c r="AP147" s="794"/>
      <c r="AQ147" s="259"/>
      <c r="AR147" s="259" t="s">
        <v>2343</v>
      </c>
      <c r="AS147" s="790"/>
      <c r="AT147" s="259"/>
      <c r="AU147" s="259"/>
      <c r="AV147" s="261"/>
      <c r="AW147" s="261"/>
      <c r="AX147" s="790"/>
      <c r="AY147" s="262"/>
    </row>
    <row r="148" spans="1:51" s="260" customFormat="1" ht="103.5" hidden="1" customHeight="1">
      <c r="A148" s="790"/>
      <c r="B148" s="266"/>
      <c r="C148" s="1399"/>
      <c r="D148" s="1408"/>
      <c r="E148" s="1400"/>
      <c r="F148" s="267"/>
      <c r="G148" s="1399"/>
      <c r="H148" s="1408"/>
      <c r="I148" s="1400"/>
      <c r="J148" s="1380"/>
      <c r="K148" s="1380"/>
      <c r="L148" s="1380"/>
      <c r="M148" s="790"/>
      <c r="N148" s="790"/>
      <c r="O148" s="790"/>
      <c r="P148" s="790"/>
      <c r="Q148" s="266"/>
      <c r="R148" s="266"/>
      <c r="S148" s="268"/>
      <c r="T148" s="269" t="e">
        <f>VLOOKUP(Q148,[71]Listas!$D$6:$E$10,2,0)</f>
        <v>#N/A</v>
      </c>
      <c r="U148" s="269" t="e">
        <f>HLOOKUP(R148,[71]Listas!$F$4:$J$5,2,0)</f>
        <v>#N/A</v>
      </c>
      <c r="V148" s="270" t="e">
        <f>INDEX([71]Listas!$F$6:$J$10,MATCH(Q148,[71]Listas!$D$6:$D$10,0),MATCH(R148,[71]Listas!$F$4:$J$4,0))</f>
        <v>#N/A</v>
      </c>
      <c r="W148" s="268"/>
      <c r="X148" s="1399"/>
      <c r="Y148" s="1408"/>
      <c r="Z148" s="1400"/>
      <c r="AA148" s="1063"/>
      <c r="AB148" s="267"/>
      <c r="AC148" s="259"/>
      <c r="AD148" s="790"/>
      <c r="AE148" s="267"/>
      <c r="AF148" s="268"/>
      <c r="AG148" s="269">
        <f t="shared" ref="AG148:AG168" si="9">IF(AD148&lt;=33,0,IF(AD148&gt;81,2,1))</f>
        <v>0</v>
      </c>
      <c r="AH148" s="271" t="e">
        <f t="shared" ref="AH148:AH168" si="10">IF(OR(AE148="Probabilidad",AE148="Ambos"),T148-AG148,T148)</f>
        <v>#N/A</v>
      </c>
      <c r="AI148" s="272" t="e">
        <f>IF(AH148&lt;=1,"Remota",VLOOKUP(AH148,[71]Listas!$C$6:$D$10,2,0))</f>
        <v>#N/A</v>
      </c>
      <c r="AJ148" s="271" t="e">
        <f t="shared" ref="AJ148:AJ168" si="11">IF(OR(AE148="Impacto",AE148="Ambos"),U148-AG148,U148)</f>
        <v>#N/A</v>
      </c>
      <c r="AK148" s="272" t="e">
        <f>IF(AJ148&lt;=1,"Insignificante",HLOOKUP(AJ148,[71]Listas!$F$3:$J$4,2,0))</f>
        <v>#N/A</v>
      </c>
      <c r="AL148" s="273" t="e">
        <f t="shared" ref="AL148:AL168" si="12">AH148*AJ148</f>
        <v>#N/A</v>
      </c>
      <c r="AM148" s="270" t="e">
        <f>INDEX([71]Listas!$F$6:$J$10,MATCH(AI148,[71]Listas!$D$6:$D$10,0),MATCH(AK148,[71]Listas!$F$4:$J$4,0))</f>
        <v>#N/A</v>
      </c>
      <c r="AN148" s="259"/>
      <c r="AO148" s="259"/>
      <c r="AP148" s="794"/>
      <c r="AQ148" s="259"/>
      <c r="AR148" s="259" t="s">
        <v>2343</v>
      </c>
      <c r="AS148" s="790"/>
      <c r="AT148" s="259"/>
      <c r="AU148" s="259"/>
      <c r="AV148" s="261"/>
      <c r="AW148" s="261"/>
      <c r="AX148" s="790"/>
      <c r="AY148" s="262"/>
    </row>
    <row r="149" spans="1:51" s="260" customFormat="1" ht="103.5" hidden="1" customHeight="1">
      <c r="A149" s="790"/>
      <c r="B149" s="266"/>
      <c r="C149" s="1399"/>
      <c r="D149" s="1408"/>
      <c r="E149" s="1400"/>
      <c r="F149" s="267"/>
      <c r="G149" s="1399"/>
      <c r="H149" s="1408"/>
      <c r="I149" s="1400"/>
      <c r="J149" s="1380"/>
      <c r="K149" s="1380"/>
      <c r="L149" s="1380"/>
      <c r="M149" s="790"/>
      <c r="N149" s="790"/>
      <c r="O149" s="790"/>
      <c r="P149" s="790"/>
      <c r="Q149" s="266"/>
      <c r="R149" s="266"/>
      <c r="S149" s="268"/>
      <c r="T149" s="269" t="e">
        <f>VLOOKUP(Q149,[71]Listas!$D$6:$E$10,2,0)</f>
        <v>#N/A</v>
      </c>
      <c r="U149" s="269" t="e">
        <f>HLOOKUP(R149,[71]Listas!$F$4:$J$5,2,0)</f>
        <v>#N/A</v>
      </c>
      <c r="V149" s="270" t="e">
        <f>INDEX([71]Listas!$F$6:$J$10,MATCH(Q149,[71]Listas!$D$6:$D$10,0),MATCH(R149,[71]Listas!$F$4:$J$4,0))</f>
        <v>#N/A</v>
      </c>
      <c r="W149" s="268"/>
      <c r="X149" s="1399"/>
      <c r="Y149" s="1408"/>
      <c r="Z149" s="1400"/>
      <c r="AA149" s="1063"/>
      <c r="AB149" s="267"/>
      <c r="AC149" s="259"/>
      <c r="AD149" s="790"/>
      <c r="AE149" s="267"/>
      <c r="AF149" s="268"/>
      <c r="AG149" s="269">
        <f t="shared" si="9"/>
        <v>0</v>
      </c>
      <c r="AH149" s="271" t="e">
        <f t="shared" si="10"/>
        <v>#N/A</v>
      </c>
      <c r="AI149" s="272" t="e">
        <f>IF(AH149&lt;=1,"Remota",VLOOKUP(AH149,[71]Listas!$C$6:$D$10,2,0))</f>
        <v>#N/A</v>
      </c>
      <c r="AJ149" s="271" t="e">
        <f t="shared" si="11"/>
        <v>#N/A</v>
      </c>
      <c r="AK149" s="272" t="e">
        <f>IF(AJ149&lt;=1,"Insignificante",HLOOKUP(AJ149,[71]Listas!$F$3:$J$4,2,0))</f>
        <v>#N/A</v>
      </c>
      <c r="AL149" s="273" t="e">
        <f t="shared" si="12"/>
        <v>#N/A</v>
      </c>
      <c r="AM149" s="270" t="e">
        <f>INDEX([71]Listas!$F$6:$J$10,MATCH(AI149,[71]Listas!$D$6:$D$10,0),MATCH(AK149,[71]Listas!$F$4:$J$4,0))</f>
        <v>#N/A</v>
      </c>
      <c r="AN149" s="259"/>
      <c r="AO149" s="259"/>
      <c r="AP149" s="794"/>
      <c r="AQ149" s="259"/>
      <c r="AR149" s="259" t="s">
        <v>2343</v>
      </c>
      <c r="AS149" s="790"/>
      <c r="AT149" s="259"/>
      <c r="AU149" s="259"/>
      <c r="AV149" s="261"/>
      <c r="AW149" s="261"/>
      <c r="AX149" s="790"/>
      <c r="AY149" s="262"/>
    </row>
    <row r="150" spans="1:51" s="260" customFormat="1" ht="103.5" hidden="1" customHeight="1">
      <c r="A150" s="790"/>
      <c r="B150" s="266"/>
      <c r="C150" s="1399"/>
      <c r="D150" s="1408"/>
      <c r="E150" s="1400"/>
      <c r="F150" s="267"/>
      <c r="G150" s="1399"/>
      <c r="H150" s="1408"/>
      <c r="I150" s="1400"/>
      <c r="J150" s="1380"/>
      <c r="K150" s="1380"/>
      <c r="L150" s="1380"/>
      <c r="M150" s="790"/>
      <c r="N150" s="790"/>
      <c r="O150" s="790"/>
      <c r="P150" s="790"/>
      <c r="Q150" s="266"/>
      <c r="R150" s="266"/>
      <c r="S150" s="268"/>
      <c r="T150" s="269" t="e">
        <f>VLOOKUP(Q150,[71]Listas!$D$6:$E$10,2,0)</f>
        <v>#N/A</v>
      </c>
      <c r="U150" s="269" t="e">
        <f>HLOOKUP(R150,[71]Listas!$F$4:$J$5,2,0)</f>
        <v>#N/A</v>
      </c>
      <c r="V150" s="270" t="e">
        <f>INDEX([71]Listas!$F$6:$J$10,MATCH(Q150,[71]Listas!$D$6:$D$10,0),MATCH(R150,[71]Listas!$F$4:$J$4,0))</f>
        <v>#N/A</v>
      </c>
      <c r="W150" s="268"/>
      <c r="X150" s="1399"/>
      <c r="Y150" s="1408"/>
      <c r="Z150" s="1400"/>
      <c r="AA150" s="1063"/>
      <c r="AB150" s="267"/>
      <c r="AC150" s="259"/>
      <c r="AD150" s="790"/>
      <c r="AE150" s="267"/>
      <c r="AF150" s="268"/>
      <c r="AG150" s="269">
        <f t="shared" si="9"/>
        <v>0</v>
      </c>
      <c r="AH150" s="271" t="e">
        <f t="shared" si="10"/>
        <v>#N/A</v>
      </c>
      <c r="AI150" s="272" t="e">
        <f>IF(AH150&lt;=1,"Remota",VLOOKUP(AH150,[71]Listas!$C$6:$D$10,2,0))</f>
        <v>#N/A</v>
      </c>
      <c r="AJ150" s="271" t="e">
        <f t="shared" si="11"/>
        <v>#N/A</v>
      </c>
      <c r="AK150" s="272" t="e">
        <f>IF(AJ150&lt;=1,"Insignificante",HLOOKUP(AJ150,[71]Listas!$F$3:$J$4,2,0))</f>
        <v>#N/A</v>
      </c>
      <c r="AL150" s="273" t="e">
        <f t="shared" si="12"/>
        <v>#N/A</v>
      </c>
      <c r="AM150" s="270" t="e">
        <f>INDEX([71]Listas!$F$6:$J$10,MATCH(AI150,[71]Listas!$D$6:$D$10,0),MATCH(AK150,[71]Listas!$F$4:$J$4,0))</f>
        <v>#N/A</v>
      </c>
      <c r="AN150" s="259"/>
      <c r="AO150" s="259"/>
      <c r="AP150" s="794"/>
      <c r="AQ150" s="259"/>
      <c r="AR150" s="259" t="s">
        <v>2343</v>
      </c>
      <c r="AS150" s="790"/>
      <c r="AT150" s="259"/>
      <c r="AU150" s="259"/>
      <c r="AV150" s="261"/>
      <c r="AW150" s="261"/>
      <c r="AX150" s="790"/>
      <c r="AY150" s="262"/>
    </row>
    <row r="151" spans="1:51" s="260" customFormat="1" ht="103.5" hidden="1" customHeight="1">
      <c r="A151" s="790"/>
      <c r="B151" s="266"/>
      <c r="C151" s="1399"/>
      <c r="D151" s="1408"/>
      <c r="E151" s="1400"/>
      <c r="F151" s="267"/>
      <c r="G151" s="1399"/>
      <c r="H151" s="1408"/>
      <c r="I151" s="1400"/>
      <c r="J151" s="1380"/>
      <c r="K151" s="1380"/>
      <c r="L151" s="1380"/>
      <c r="M151" s="790"/>
      <c r="N151" s="790"/>
      <c r="O151" s="790"/>
      <c r="P151" s="790"/>
      <c r="Q151" s="266"/>
      <c r="R151" s="266"/>
      <c r="S151" s="268"/>
      <c r="T151" s="269" t="e">
        <f>VLOOKUP(Q151,[71]Listas!$D$6:$E$10,2,0)</f>
        <v>#N/A</v>
      </c>
      <c r="U151" s="269" t="e">
        <f>HLOOKUP(R151,[71]Listas!$F$4:$J$5,2,0)</f>
        <v>#N/A</v>
      </c>
      <c r="V151" s="270" t="e">
        <f>INDEX([71]Listas!$F$6:$J$10,MATCH(Q151,[71]Listas!$D$6:$D$10,0),MATCH(R151,[71]Listas!$F$4:$J$4,0))</f>
        <v>#N/A</v>
      </c>
      <c r="W151" s="268"/>
      <c r="X151" s="1399"/>
      <c r="Y151" s="1408"/>
      <c r="Z151" s="1400"/>
      <c r="AA151" s="1063"/>
      <c r="AB151" s="267"/>
      <c r="AC151" s="259"/>
      <c r="AD151" s="790"/>
      <c r="AE151" s="267"/>
      <c r="AF151" s="268"/>
      <c r="AG151" s="269">
        <f t="shared" si="9"/>
        <v>0</v>
      </c>
      <c r="AH151" s="271" t="e">
        <f t="shared" si="10"/>
        <v>#N/A</v>
      </c>
      <c r="AI151" s="272" t="e">
        <f>IF(AH151&lt;=1,"Remota",VLOOKUP(AH151,[71]Listas!$C$6:$D$10,2,0))</f>
        <v>#N/A</v>
      </c>
      <c r="AJ151" s="271" t="e">
        <f t="shared" si="11"/>
        <v>#N/A</v>
      </c>
      <c r="AK151" s="272" t="e">
        <f>IF(AJ151&lt;=1,"Insignificante",HLOOKUP(AJ151,[71]Listas!$F$3:$J$4,2,0))</f>
        <v>#N/A</v>
      </c>
      <c r="AL151" s="273" t="e">
        <f t="shared" si="12"/>
        <v>#N/A</v>
      </c>
      <c r="AM151" s="270" t="e">
        <f>INDEX([71]Listas!$F$6:$J$10,MATCH(AI151,[71]Listas!$D$6:$D$10,0),MATCH(AK151,[71]Listas!$F$4:$J$4,0))</f>
        <v>#N/A</v>
      </c>
      <c r="AN151" s="259"/>
      <c r="AO151" s="259"/>
      <c r="AP151" s="794"/>
      <c r="AQ151" s="259"/>
      <c r="AR151" s="259" t="s">
        <v>2343</v>
      </c>
      <c r="AS151" s="790"/>
      <c r="AT151" s="259"/>
      <c r="AU151" s="259"/>
      <c r="AV151" s="261"/>
      <c r="AW151" s="261"/>
      <c r="AX151" s="790"/>
      <c r="AY151" s="262"/>
    </row>
    <row r="152" spans="1:51" s="260" customFormat="1" ht="103.5" hidden="1" customHeight="1">
      <c r="A152" s="790"/>
      <c r="B152" s="266"/>
      <c r="C152" s="1399"/>
      <c r="D152" s="1408"/>
      <c r="E152" s="1400"/>
      <c r="F152" s="267"/>
      <c r="G152" s="1399"/>
      <c r="H152" s="1408"/>
      <c r="I152" s="1400"/>
      <c r="J152" s="1380"/>
      <c r="K152" s="1380"/>
      <c r="L152" s="1380"/>
      <c r="M152" s="790"/>
      <c r="N152" s="790"/>
      <c r="O152" s="790"/>
      <c r="P152" s="790"/>
      <c r="Q152" s="266"/>
      <c r="R152" s="266"/>
      <c r="S152" s="268"/>
      <c r="T152" s="269" t="e">
        <f>VLOOKUP(Q152,[71]Listas!$D$6:$E$10,2,0)</f>
        <v>#N/A</v>
      </c>
      <c r="U152" s="269" t="e">
        <f>HLOOKUP(R152,[71]Listas!$F$4:$J$5,2,0)</f>
        <v>#N/A</v>
      </c>
      <c r="V152" s="270" t="e">
        <f>INDEX([71]Listas!$F$6:$J$10,MATCH(Q152,[71]Listas!$D$6:$D$10,0),MATCH(R152,[71]Listas!$F$4:$J$4,0))</f>
        <v>#N/A</v>
      </c>
      <c r="W152" s="268"/>
      <c r="X152" s="1399"/>
      <c r="Y152" s="1408"/>
      <c r="Z152" s="1400"/>
      <c r="AA152" s="1063"/>
      <c r="AB152" s="267"/>
      <c r="AC152" s="259"/>
      <c r="AD152" s="790"/>
      <c r="AE152" s="267"/>
      <c r="AF152" s="268"/>
      <c r="AG152" s="269">
        <f t="shared" si="9"/>
        <v>0</v>
      </c>
      <c r="AH152" s="271" t="e">
        <f t="shared" si="10"/>
        <v>#N/A</v>
      </c>
      <c r="AI152" s="272" t="e">
        <f>IF(AH152&lt;=1,"Remota",VLOOKUP(AH152,[71]Listas!$C$6:$D$10,2,0))</f>
        <v>#N/A</v>
      </c>
      <c r="AJ152" s="271" t="e">
        <f t="shared" si="11"/>
        <v>#N/A</v>
      </c>
      <c r="AK152" s="272" t="e">
        <f>IF(AJ152&lt;=1,"Insignificante",HLOOKUP(AJ152,[71]Listas!$F$3:$J$4,2,0))</f>
        <v>#N/A</v>
      </c>
      <c r="AL152" s="273" t="e">
        <f t="shared" si="12"/>
        <v>#N/A</v>
      </c>
      <c r="AM152" s="270" t="e">
        <f>INDEX([71]Listas!$F$6:$J$10,MATCH(AI152,[71]Listas!$D$6:$D$10,0),MATCH(AK152,[71]Listas!$F$4:$J$4,0))</f>
        <v>#N/A</v>
      </c>
      <c r="AN152" s="259"/>
      <c r="AO152" s="259"/>
      <c r="AP152" s="794"/>
      <c r="AQ152" s="259"/>
      <c r="AR152" s="259" t="s">
        <v>2343</v>
      </c>
      <c r="AS152" s="790"/>
      <c r="AT152" s="259"/>
      <c r="AU152" s="259"/>
      <c r="AV152" s="261"/>
      <c r="AW152" s="261"/>
      <c r="AX152" s="790"/>
      <c r="AY152" s="262"/>
    </row>
    <row r="153" spans="1:51" s="260" customFormat="1" ht="103.5" hidden="1" customHeight="1">
      <c r="A153" s="790"/>
      <c r="B153" s="266"/>
      <c r="C153" s="1399"/>
      <c r="D153" s="1408"/>
      <c r="E153" s="1400"/>
      <c r="F153" s="267"/>
      <c r="G153" s="1399"/>
      <c r="H153" s="1408"/>
      <c r="I153" s="1400"/>
      <c r="J153" s="1380"/>
      <c r="K153" s="1380"/>
      <c r="L153" s="1380"/>
      <c r="M153" s="790"/>
      <c r="N153" s="790"/>
      <c r="O153" s="790"/>
      <c r="P153" s="790"/>
      <c r="Q153" s="266"/>
      <c r="R153" s="266"/>
      <c r="S153" s="268"/>
      <c r="T153" s="269" t="e">
        <f>VLOOKUP(Q153,[71]Listas!$D$6:$E$10,2,0)</f>
        <v>#N/A</v>
      </c>
      <c r="U153" s="269" t="e">
        <f>HLOOKUP(R153,[71]Listas!$F$4:$J$5,2,0)</f>
        <v>#N/A</v>
      </c>
      <c r="V153" s="270" t="e">
        <f>INDEX([71]Listas!$F$6:$J$10,MATCH(Q153,[71]Listas!$D$6:$D$10,0),MATCH(R153,[71]Listas!$F$4:$J$4,0))</f>
        <v>#N/A</v>
      </c>
      <c r="W153" s="268"/>
      <c r="X153" s="1399"/>
      <c r="Y153" s="1408"/>
      <c r="Z153" s="1400"/>
      <c r="AA153" s="1063"/>
      <c r="AB153" s="267"/>
      <c r="AC153" s="259"/>
      <c r="AD153" s="790"/>
      <c r="AE153" s="267"/>
      <c r="AF153" s="268"/>
      <c r="AG153" s="269">
        <f t="shared" si="9"/>
        <v>0</v>
      </c>
      <c r="AH153" s="271" t="e">
        <f t="shared" si="10"/>
        <v>#N/A</v>
      </c>
      <c r="AI153" s="272" t="e">
        <f>IF(AH153&lt;=1,"Remota",VLOOKUP(AH153,[71]Listas!$C$6:$D$10,2,0))</f>
        <v>#N/A</v>
      </c>
      <c r="AJ153" s="271" t="e">
        <f t="shared" si="11"/>
        <v>#N/A</v>
      </c>
      <c r="AK153" s="272" t="e">
        <f>IF(AJ153&lt;=1,"Insignificante",HLOOKUP(AJ153,[71]Listas!$F$3:$J$4,2,0))</f>
        <v>#N/A</v>
      </c>
      <c r="AL153" s="273" t="e">
        <f t="shared" si="12"/>
        <v>#N/A</v>
      </c>
      <c r="AM153" s="270" t="e">
        <f>INDEX([71]Listas!$F$6:$J$10,MATCH(AI153,[71]Listas!$D$6:$D$10,0),MATCH(AK153,[71]Listas!$F$4:$J$4,0))</f>
        <v>#N/A</v>
      </c>
      <c r="AN153" s="259"/>
      <c r="AO153" s="259"/>
      <c r="AP153" s="794"/>
      <c r="AQ153" s="259"/>
      <c r="AR153" s="259" t="s">
        <v>2343</v>
      </c>
      <c r="AS153" s="790"/>
      <c r="AT153" s="259"/>
      <c r="AU153" s="259"/>
      <c r="AV153" s="261"/>
      <c r="AW153" s="261"/>
      <c r="AX153" s="790"/>
      <c r="AY153" s="262"/>
    </row>
    <row r="154" spans="1:51" s="260" customFormat="1" ht="103.5" hidden="1" customHeight="1">
      <c r="A154" s="790"/>
      <c r="B154" s="266"/>
      <c r="C154" s="1399"/>
      <c r="D154" s="1408"/>
      <c r="E154" s="1400"/>
      <c r="F154" s="267"/>
      <c r="G154" s="1399"/>
      <c r="H154" s="1408"/>
      <c r="I154" s="1400"/>
      <c r="J154" s="1380"/>
      <c r="K154" s="1380"/>
      <c r="L154" s="1380"/>
      <c r="M154" s="790"/>
      <c r="N154" s="790"/>
      <c r="O154" s="790"/>
      <c r="P154" s="790"/>
      <c r="Q154" s="266"/>
      <c r="R154" s="266"/>
      <c r="S154" s="268"/>
      <c r="T154" s="269" t="e">
        <f>VLOOKUP(Q154,[71]Listas!$D$6:$E$10,2,0)</f>
        <v>#N/A</v>
      </c>
      <c r="U154" s="269" t="e">
        <f>HLOOKUP(R154,[71]Listas!$F$4:$J$5,2,0)</f>
        <v>#N/A</v>
      </c>
      <c r="V154" s="270" t="e">
        <f>INDEX([71]Listas!$F$6:$J$10,MATCH(Q154,[71]Listas!$D$6:$D$10,0),MATCH(R154,[71]Listas!$F$4:$J$4,0))</f>
        <v>#N/A</v>
      </c>
      <c r="W154" s="268"/>
      <c r="X154" s="1399"/>
      <c r="Y154" s="1408"/>
      <c r="Z154" s="1400"/>
      <c r="AA154" s="1063"/>
      <c r="AB154" s="267"/>
      <c r="AC154" s="259"/>
      <c r="AD154" s="790"/>
      <c r="AE154" s="267"/>
      <c r="AF154" s="268"/>
      <c r="AG154" s="269">
        <f t="shared" si="9"/>
        <v>0</v>
      </c>
      <c r="AH154" s="271" t="e">
        <f t="shared" si="10"/>
        <v>#N/A</v>
      </c>
      <c r="AI154" s="272" t="e">
        <f>IF(AH154&lt;=1,"Remota",VLOOKUP(AH154,[71]Listas!$C$6:$D$10,2,0))</f>
        <v>#N/A</v>
      </c>
      <c r="AJ154" s="271" t="e">
        <f t="shared" si="11"/>
        <v>#N/A</v>
      </c>
      <c r="AK154" s="272" t="e">
        <f>IF(AJ154&lt;=1,"Insignificante",HLOOKUP(AJ154,[71]Listas!$F$3:$J$4,2,0))</f>
        <v>#N/A</v>
      </c>
      <c r="AL154" s="273" t="e">
        <f t="shared" si="12"/>
        <v>#N/A</v>
      </c>
      <c r="AM154" s="270" t="e">
        <f>INDEX([71]Listas!$F$6:$J$10,MATCH(AI154,[71]Listas!$D$6:$D$10,0),MATCH(AK154,[71]Listas!$F$4:$J$4,0))</f>
        <v>#N/A</v>
      </c>
      <c r="AN154" s="259"/>
      <c r="AO154" s="259"/>
      <c r="AP154" s="794"/>
      <c r="AQ154" s="259"/>
      <c r="AR154" s="259" t="s">
        <v>2343</v>
      </c>
      <c r="AS154" s="790"/>
      <c r="AT154" s="259"/>
      <c r="AU154" s="259"/>
      <c r="AV154" s="261"/>
      <c r="AW154" s="261"/>
      <c r="AX154" s="790"/>
      <c r="AY154" s="262"/>
    </row>
    <row r="155" spans="1:51" s="260" customFormat="1" ht="103.5" hidden="1" customHeight="1">
      <c r="A155" s="790"/>
      <c r="B155" s="266"/>
      <c r="C155" s="1399"/>
      <c r="D155" s="1408"/>
      <c r="E155" s="1400"/>
      <c r="F155" s="267"/>
      <c r="G155" s="1399"/>
      <c r="H155" s="1408"/>
      <c r="I155" s="1400"/>
      <c r="J155" s="1380"/>
      <c r="K155" s="1380"/>
      <c r="L155" s="1380"/>
      <c r="M155" s="790"/>
      <c r="N155" s="790"/>
      <c r="O155" s="790"/>
      <c r="P155" s="790"/>
      <c r="Q155" s="266"/>
      <c r="R155" s="266"/>
      <c r="S155" s="268"/>
      <c r="T155" s="269" t="e">
        <f>VLOOKUP(Q155,[71]Listas!$D$6:$E$10,2,0)</f>
        <v>#N/A</v>
      </c>
      <c r="U155" s="269" t="e">
        <f>HLOOKUP(R155,[71]Listas!$F$4:$J$5,2,0)</f>
        <v>#N/A</v>
      </c>
      <c r="V155" s="270" t="e">
        <f>INDEX([71]Listas!$F$6:$J$10,MATCH(Q155,[71]Listas!$D$6:$D$10,0),MATCH(R155,[71]Listas!$F$4:$J$4,0))</f>
        <v>#N/A</v>
      </c>
      <c r="W155" s="268"/>
      <c r="X155" s="1399"/>
      <c r="Y155" s="1408"/>
      <c r="Z155" s="1400"/>
      <c r="AA155" s="1063"/>
      <c r="AB155" s="267"/>
      <c r="AC155" s="259"/>
      <c r="AD155" s="790"/>
      <c r="AE155" s="267"/>
      <c r="AF155" s="268"/>
      <c r="AG155" s="269">
        <f t="shared" si="9"/>
        <v>0</v>
      </c>
      <c r="AH155" s="271" t="e">
        <f t="shared" si="10"/>
        <v>#N/A</v>
      </c>
      <c r="AI155" s="272" t="e">
        <f>IF(AH155&lt;=1,"Remota",VLOOKUP(AH155,[71]Listas!$C$6:$D$10,2,0))</f>
        <v>#N/A</v>
      </c>
      <c r="AJ155" s="271" t="e">
        <f t="shared" si="11"/>
        <v>#N/A</v>
      </c>
      <c r="AK155" s="272" t="e">
        <f>IF(AJ155&lt;=1,"Insignificante",HLOOKUP(AJ155,[71]Listas!$F$3:$J$4,2,0))</f>
        <v>#N/A</v>
      </c>
      <c r="AL155" s="273" t="e">
        <f t="shared" si="12"/>
        <v>#N/A</v>
      </c>
      <c r="AM155" s="270" t="e">
        <f>INDEX([71]Listas!$F$6:$J$10,MATCH(AI155,[71]Listas!$D$6:$D$10,0),MATCH(AK155,[71]Listas!$F$4:$J$4,0))</f>
        <v>#N/A</v>
      </c>
      <c r="AN155" s="259"/>
      <c r="AO155" s="259"/>
      <c r="AP155" s="794"/>
      <c r="AQ155" s="259"/>
      <c r="AR155" s="259" t="s">
        <v>2343</v>
      </c>
      <c r="AS155" s="790"/>
      <c r="AT155" s="259"/>
      <c r="AU155" s="259"/>
      <c r="AV155" s="261"/>
      <c r="AW155" s="261"/>
      <c r="AX155" s="790"/>
      <c r="AY155" s="262"/>
    </row>
    <row r="156" spans="1:51" s="260" customFormat="1" ht="103.5" hidden="1" customHeight="1">
      <c r="A156" s="790"/>
      <c r="B156" s="266"/>
      <c r="C156" s="1399"/>
      <c r="D156" s="1408"/>
      <c r="E156" s="1400"/>
      <c r="F156" s="267"/>
      <c r="G156" s="1399"/>
      <c r="H156" s="1408"/>
      <c r="I156" s="1400"/>
      <c r="J156" s="1380"/>
      <c r="K156" s="1380"/>
      <c r="L156" s="1380"/>
      <c r="M156" s="790"/>
      <c r="N156" s="790"/>
      <c r="O156" s="790"/>
      <c r="P156" s="790"/>
      <c r="Q156" s="266"/>
      <c r="R156" s="266"/>
      <c r="S156" s="268"/>
      <c r="T156" s="269" t="e">
        <f>VLOOKUP(Q156,[71]Listas!$D$6:$E$10,2,0)</f>
        <v>#N/A</v>
      </c>
      <c r="U156" s="269" t="e">
        <f>HLOOKUP(R156,[71]Listas!$F$4:$J$5,2,0)</f>
        <v>#N/A</v>
      </c>
      <c r="V156" s="270" t="e">
        <f>INDEX([71]Listas!$F$6:$J$10,MATCH(Q156,[71]Listas!$D$6:$D$10,0),MATCH(R156,[71]Listas!$F$4:$J$4,0))</f>
        <v>#N/A</v>
      </c>
      <c r="W156" s="268"/>
      <c r="X156" s="1399"/>
      <c r="Y156" s="1408"/>
      <c r="Z156" s="1400"/>
      <c r="AA156" s="1063"/>
      <c r="AB156" s="267"/>
      <c r="AC156" s="259"/>
      <c r="AD156" s="790"/>
      <c r="AE156" s="267"/>
      <c r="AF156" s="268"/>
      <c r="AG156" s="269">
        <f t="shared" si="9"/>
        <v>0</v>
      </c>
      <c r="AH156" s="271" t="e">
        <f t="shared" si="10"/>
        <v>#N/A</v>
      </c>
      <c r="AI156" s="272" t="e">
        <f>IF(AH156&lt;=1,"Remota",VLOOKUP(AH156,[71]Listas!$C$6:$D$10,2,0))</f>
        <v>#N/A</v>
      </c>
      <c r="AJ156" s="271" t="e">
        <f t="shared" si="11"/>
        <v>#N/A</v>
      </c>
      <c r="AK156" s="272" t="e">
        <f>IF(AJ156&lt;=1,"Insignificante",HLOOKUP(AJ156,[71]Listas!$F$3:$J$4,2,0))</f>
        <v>#N/A</v>
      </c>
      <c r="AL156" s="273" t="e">
        <f t="shared" si="12"/>
        <v>#N/A</v>
      </c>
      <c r="AM156" s="270" t="e">
        <f>INDEX([71]Listas!$F$6:$J$10,MATCH(AI156,[71]Listas!$D$6:$D$10,0),MATCH(AK156,[71]Listas!$F$4:$J$4,0))</f>
        <v>#N/A</v>
      </c>
      <c r="AN156" s="259"/>
      <c r="AO156" s="259"/>
      <c r="AP156" s="794"/>
      <c r="AQ156" s="259"/>
      <c r="AR156" s="259" t="s">
        <v>2343</v>
      </c>
      <c r="AS156" s="790"/>
      <c r="AT156" s="259"/>
      <c r="AU156" s="259"/>
      <c r="AV156" s="261"/>
      <c r="AW156" s="261"/>
      <c r="AX156" s="790"/>
      <c r="AY156" s="262"/>
    </row>
    <row r="157" spans="1:51" s="260" customFormat="1" ht="103.5" hidden="1" customHeight="1">
      <c r="A157" s="790"/>
      <c r="B157" s="266"/>
      <c r="C157" s="1399"/>
      <c r="D157" s="1408"/>
      <c r="E157" s="1400"/>
      <c r="F157" s="267"/>
      <c r="G157" s="1399"/>
      <c r="H157" s="1408"/>
      <c r="I157" s="1400"/>
      <c r="J157" s="1380"/>
      <c r="K157" s="1380"/>
      <c r="L157" s="1380"/>
      <c r="M157" s="790"/>
      <c r="N157" s="790"/>
      <c r="O157" s="790"/>
      <c r="P157" s="790"/>
      <c r="Q157" s="266"/>
      <c r="R157" s="266"/>
      <c r="S157" s="268"/>
      <c r="T157" s="269" t="e">
        <f>VLOOKUP(Q157,[71]Listas!$D$6:$E$10,2,0)</f>
        <v>#N/A</v>
      </c>
      <c r="U157" s="269" t="e">
        <f>HLOOKUP(R157,[71]Listas!$F$4:$J$5,2,0)</f>
        <v>#N/A</v>
      </c>
      <c r="V157" s="270" t="e">
        <f>INDEX([71]Listas!$F$6:$J$10,MATCH(Q157,[71]Listas!$D$6:$D$10,0),MATCH(R157,[71]Listas!$F$4:$J$4,0))</f>
        <v>#N/A</v>
      </c>
      <c r="W157" s="268"/>
      <c r="X157" s="1399"/>
      <c r="Y157" s="1408"/>
      <c r="Z157" s="1400"/>
      <c r="AA157" s="1063"/>
      <c r="AB157" s="267"/>
      <c r="AC157" s="259"/>
      <c r="AD157" s="790"/>
      <c r="AE157" s="267"/>
      <c r="AF157" s="268"/>
      <c r="AG157" s="269">
        <f t="shared" si="9"/>
        <v>0</v>
      </c>
      <c r="AH157" s="271" t="e">
        <f t="shared" si="10"/>
        <v>#N/A</v>
      </c>
      <c r="AI157" s="272" t="e">
        <f>IF(AH157&lt;=1,"Remota",VLOOKUP(AH157,[71]Listas!$C$6:$D$10,2,0))</f>
        <v>#N/A</v>
      </c>
      <c r="AJ157" s="271" t="e">
        <f t="shared" si="11"/>
        <v>#N/A</v>
      </c>
      <c r="AK157" s="272" t="e">
        <f>IF(AJ157&lt;=1,"Insignificante",HLOOKUP(AJ157,[71]Listas!$F$3:$J$4,2,0))</f>
        <v>#N/A</v>
      </c>
      <c r="AL157" s="273" t="e">
        <f t="shared" si="12"/>
        <v>#N/A</v>
      </c>
      <c r="AM157" s="270" t="e">
        <f>INDEX([71]Listas!$F$6:$J$10,MATCH(AI157,[71]Listas!$D$6:$D$10,0),MATCH(AK157,[71]Listas!$F$4:$J$4,0))</f>
        <v>#N/A</v>
      </c>
      <c r="AN157" s="259"/>
      <c r="AO157" s="259"/>
      <c r="AP157" s="794"/>
      <c r="AQ157" s="259"/>
      <c r="AR157" s="259" t="s">
        <v>2343</v>
      </c>
      <c r="AS157" s="790"/>
      <c r="AT157" s="259"/>
      <c r="AU157" s="259"/>
      <c r="AV157" s="261"/>
      <c r="AW157" s="261"/>
      <c r="AX157" s="790"/>
      <c r="AY157" s="262"/>
    </row>
    <row r="158" spans="1:51" s="260" customFormat="1" ht="103.5" hidden="1" customHeight="1">
      <c r="A158" s="790"/>
      <c r="B158" s="266"/>
      <c r="C158" s="1399"/>
      <c r="D158" s="1408"/>
      <c r="E158" s="1400"/>
      <c r="F158" s="267"/>
      <c r="G158" s="1399"/>
      <c r="H158" s="1408"/>
      <c r="I158" s="1400"/>
      <c r="J158" s="1380"/>
      <c r="K158" s="1380"/>
      <c r="L158" s="1380"/>
      <c r="M158" s="790"/>
      <c r="N158" s="790"/>
      <c r="O158" s="790"/>
      <c r="P158" s="790"/>
      <c r="Q158" s="266"/>
      <c r="R158" s="266"/>
      <c r="S158" s="268"/>
      <c r="T158" s="269" t="e">
        <f>VLOOKUP(Q158,[71]Listas!$D$6:$E$10,2,0)</f>
        <v>#N/A</v>
      </c>
      <c r="U158" s="269" t="e">
        <f>HLOOKUP(R158,[71]Listas!$F$4:$J$5,2,0)</f>
        <v>#N/A</v>
      </c>
      <c r="V158" s="270" t="e">
        <f>INDEX([71]Listas!$F$6:$J$10,MATCH(Q158,[71]Listas!$D$6:$D$10,0),MATCH(R158,[71]Listas!$F$4:$J$4,0))</f>
        <v>#N/A</v>
      </c>
      <c r="W158" s="268"/>
      <c r="X158" s="1399"/>
      <c r="Y158" s="1408"/>
      <c r="Z158" s="1400"/>
      <c r="AA158" s="1063"/>
      <c r="AB158" s="267"/>
      <c r="AC158" s="259"/>
      <c r="AD158" s="790"/>
      <c r="AE158" s="267"/>
      <c r="AF158" s="268"/>
      <c r="AG158" s="269">
        <f t="shared" si="9"/>
        <v>0</v>
      </c>
      <c r="AH158" s="271" t="e">
        <f t="shared" si="10"/>
        <v>#N/A</v>
      </c>
      <c r="AI158" s="272" t="e">
        <f>IF(AH158&lt;=1,"Remota",VLOOKUP(AH158,[71]Listas!$C$6:$D$10,2,0))</f>
        <v>#N/A</v>
      </c>
      <c r="AJ158" s="271" t="e">
        <f t="shared" si="11"/>
        <v>#N/A</v>
      </c>
      <c r="AK158" s="272" t="e">
        <f>IF(AJ158&lt;=1,"Insignificante",HLOOKUP(AJ158,[71]Listas!$F$3:$J$4,2,0))</f>
        <v>#N/A</v>
      </c>
      <c r="AL158" s="273" t="e">
        <f t="shared" si="12"/>
        <v>#N/A</v>
      </c>
      <c r="AM158" s="270" t="e">
        <f>INDEX([71]Listas!$F$6:$J$10,MATCH(AI158,[71]Listas!$D$6:$D$10,0),MATCH(AK158,[71]Listas!$F$4:$J$4,0))</f>
        <v>#N/A</v>
      </c>
      <c r="AN158" s="259"/>
      <c r="AO158" s="259"/>
      <c r="AP158" s="794"/>
      <c r="AQ158" s="259"/>
      <c r="AR158" s="259" t="s">
        <v>2343</v>
      </c>
      <c r="AS158" s="790"/>
      <c r="AT158" s="259"/>
      <c r="AU158" s="259"/>
      <c r="AV158" s="261"/>
      <c r="AW158" s="261"/>
      <c r="AX158" s="790"/>
      <c r="AY158" s="262"/>
    </row>
    <row r="159" spans="1:51" s="260" customFormat="1" ht="103.5" hidden="1" customHeight="1">
      <c r="A159" s="790"/>
      <c r="B159" s="266"/>
      <c r="C159" s="1399"/>
      <c r="D159" s="1408"/>
      <c r="E159" s="1400"/>
      <c r="F159" s="267"/>
      <c r="G159" s="1399"/>
      <c r="H159" s="1408"/>
      <c r="I159" s="1400"/>
      <c r="J159" s="1380"/>
      <c r="K159" s="1380"/>
      <c r="L159" s="1380"/>
      <c r="M159" s="790"/>
      <c r="N159" s="790"/>
      <c r="O159" s="790"/>
      <c r="P159" s="790"/>
      <c r="Q159" s="266"/>
      <c r="R159" s="266"/>
      <c r="S159" s="268"/>
      <c r="T159" s="269" t="e">
        <f>VLOOKUP(Q159,[71]Listas!$D$6:$E$10,2,0)</f>
        <v>#N/A</v>
      </c>
      <c r="U159" s="269" t="e">
        <f>HLOOKUP(R159,[71]Listas!$F$4:$J$5,2,0)</f>
        <v>#N/A</v>
      </c>
      <c r="V159" s="270" t="e">
        <f>INDEX([71]Listas!$F$6:$J$10,MATCH(Q159,[71]Listas!$D$6:$D$10,0),MATCH(R159,[71]Listas!$F$4:$J$4,0))</f>
        <v>#N/A</v>
      </c>
      <c r="W159" s="268"/>
      <c r="X159" s="1399"/>
      <c r="Y159" s="1408"/>
      <c r="Z159" s="1400"/>
      <c r="AA159" s="1063"/>
      <c r="AB159" s="267"/>
      <c r="AC159" s="259"/>
      <c r="AD159" s="790"/>
      <c r="AE159" s="267"/>
      <c r="AF159" s="268"/>
      <c r="AG159" s="269">
        <f t="shared" si="9"/>
        <v>0</v>
      </c>
      <c r="AH159" s="271" t="e">
        <f t="shared" si="10"/>
        <v>#N/A</v>
      </c>
      <c r="AI159" s="272" t="e">
        <f>IF(AH159&lt;=1,"Remota",VLOOKUP(AH159,[71]Listas!$C$6:$D$10,2,0))</f>
        <v>#N/A</v>
      </c>
      <c r="AJ159" s="271" t="e">
        <f t="shared" si="11"/>
        <v>#N/A</v>
      </c>
      <c r="AK159" s="272" t="e">
        <f>IF(AJ159&lt;=1,"Insignificante",HLOOKUP(AJ159,[71]Listas!$F$3:$J$4,2,0))</f>
        <v>#N/A</v>
      </c>
      <c r="AL159" s="273" t="e">
        <f t="shared" si="12"/>
        <v>#N/A</v>
      </c>
      <c r="AM159" s="270" t="e">
        <f>INDEX([71]Listas!$F$6:$J$10,MATCH(AI159,[71]Listas!$D$6:$D$10,0),MATCH(AK159,[71]Listas!$F$4:$J$4,0))</f>
        <v>#N/A</v>
      </c>
      <c r="AN159" s="259"/>
      <c r="AO159" s="259"/>
      <c r="AP159" s="794"/>
      <c r="AQ159" s="259"/>
      <c r="AR159" s="259" t="s">
        <v>2343</v>
      </c>
      <c r="AS159" s="790"/>
      <c r="AT159" s="259"/>
      <c r="AU159" s="259"/>
      <c r="AV159" s="261"/>
      <c r="AW159" s="261"/>
      <c r="AX159" s="790"/>
      <c r="AY159" s="262"/>
    </row>
    <row r="160" spans="1:51" s="260" customFormat="1" ht="103.5" hidden="1" customHeight="1">
      <c r="A160" s="790"/>
      <c r="B160" s="266"/>
      <c r="C160" s="1399"/>
      <c r="D160" s="1408"/>
      <c r="E160" s="1400"/>
      <c r="F160" s="267"/>
      <c r="G160" s="1399"/>
      <c r="H160" s="1408"/>
      <c r="I160" s="1400"/>
      <c r="J160" s="1380"/>
      <c r="K160" s="1380"/>
      <c r="L160" s="1380"/>
      <c r="M160" s="790"/>
      <c r="N160" s="790"/>
      <c r="O160" s="790"/>
      <c r="P160" s="790"/>
      <c r="Q160" s="266"/>
      <c r="R160" s="266"/>
      <c r="S160" s="268"/>
      <c r="T160" s="269" t="e">
        <f>VLOOKUP(Q160,[71]Listas!$D$6:$E$10,2,0)</f>
        <v>#N/A</v>
      </c>
      <c r="U160" s="269" t="e">
        <f>HLOOKUP(R160,[71]Listas!$F$4:$J$5,2,0)</f>
        <v>#N/A</v>
      </c>
      <c r="V160" s="270" t="e">
        <f>INDEX([71]Listas!$F$6:$J$10,MATCH(Q160,[71]Listas!$D$6:$D$10,0),MATCH(R160,[71]Listas!$F$4:$J$4,0))</f>
        <v>#N/A</v>
      </c>
      <c r="W160" s="268"/>
      <c r="X160" s="1399"/>
      <c r="Y160" s="1408"/>
      <c r="Z160" s="1400"/>
      <c r="AA160" s="1063"/>
      <c r="AB160" s="267"/>
      <c r="AC160" s="259"/>
      <c r="AD160" s="790"/>
      <c r="AE160" s="267"/>
      <c r="AF160" s="268"/>
      <c r="AG160" s="269">
        <f t="shared" si="9"/>
        <v>0</v>
      </c>
      <c r="AH160" s="271" t="e">
        <f t="shared" si="10"/>
        <v>#N/A</v>
      </c>
      <c r="AI160" s="272" t="e">
        <f>IF(AH160&lt;=1,"Remota",VLOOKUP(AH160,[71]Listas!$C$6:$D$10,2,0))</f>
        <v>#N/A</v>
      </c>
      <c r="AJ160" s="271" t="e">
        <f t="shared" si="11"/>
        <v>#N/A</v>
      </c>
      <c r="AK160" s="272" t="e">
        <f>IF(AJ160&lt;=1,"Insignificante",HLOOKUP(AJ160,[71]Listas!$F$3:$J$4,2,0))</f>
        <v>#N/A</v>
      </c>
      <c r="AL160" s="273" t="e">
        <f t="shared" si="12"/>
        <v>#N/A</v>
      </c>
      <c r="AM160" s="270" t="e">
        <f>INDEX([71]Listas!$F$6:$J$10,MATCH(AI160,[71]Listas!$D$6:$D$10,0),MATCH(AK160,[71]Listas!$F$4:$J$4,0))</f>
        <v>#N/A</v>
      </c>
      <c r="AN160" s="259"/>
      <c r="AO160" s="259"/>
      <c r="AP160" s="794"/>
      <c r="AQ160" s="259"/>
      <c r="AR160" s="259" t="s">
        <v>2343</v>
      </c>
      <c r="AS160" s="790"/>
      <c r="AT160" s="259"/>
      <c r="AU160" s="259"/>
      <c r="AV160" s="261"/>
      <c r="AW160" s="261"/>
      <c r="AX160" s="790"/>
      <c r="AY160" s="262"/>
    </row>
    <row r="161" spans="1:1027" s="260" customFormat="1" ht="103.5" hidden="1" customHeight="1">
      <c r="A161" s="790"/>
      <c r="B161" s="266"/>
      <c r="C161" s="1399"/>
      <c r="D161" s="1408"/>
      <c r="E161" s="1400"/>
      <c r="F161" s="267"/>
      <c r="G161" s="1399"/>
      <c r="H161" s="1408"/>
      <c r="I161" s="1400"/>
      <c r="J161" s="1380"/>
      <c r="K161" s="1380"/>
      <c r="L161" s="1380"/>
      <c r="M161" s="790"/>
      <c r="N161" s="790"/>
      <c r="O161" s="790"/>
      <c r="P161" s="790"/>
      <c r="Q161" s="266"/>
      <c r="R161" s="266"/>
      <c r="S161" s="268"/>
      <c r="T161" s="269" t="e">
        <f>VLOOKUP(Q161,[71]Listas!$D$6:$E$10,2,0)</f>
        <v>#N/A</v>
      </c>
      <c r="U161" s="269" t="e">
        <f>HLOOKUP(R161,[71]Listas!$F$4:$J$5,2,0)</f>
        <v>#N/A</v>
      </c>
      <c r="V161" s="270" t="e">
        <f>INDEX([71]Listas!$F$6:$J$10,MATCH(Q161,[71]Listas!$D$6:$D$10,0),MATCH(R161,[71]Listas!$F$4:$J$4,0))</f>
        <v>#N/A</v>
      </c>
      <c r="W161" s="268"/>
      <c r="X161" s="1399"/>
      <c r="Y161" s="1408"/>
      <c r="Z161" s="1400"/>
      <c r="AA161" s="1063"/>
      <c r="AB161" s="267"/>
      <c r="AC161" s="259"/>
      <c r="AD161" s="790"/>
      <c r="AE161" s="267"/>
      <c r="AF161" s="268"/>
      <c r="AG161" s="269">
        <f t="shared" si="9"/>
        <v>0</v>
      </c>
      <c r="AH161" s="271" t="e">
        <f t="shared" si="10"/>
        <v>#N/A</v>
      </c>
      <c r="AI161" s="272" t="e">
        <f>IF(AH161&lt;=1,"Remota",VLOOKUP(AH161,[71]Listas!$C$6:$D$10,2,0))</f>
        <v>#N/A</v>
      </c>
      <c r="AJ161" s="271" t="e">
        <f t="shared" si="11"/>
        <v>#N/A</v>
      </c>
      <c r="AK161" s="272" t="e">
        <f>IF(AJ161&lt;=1,"Insignificante",HLOOKUP(AJ161,[71]Listas!$F$3:$J$4,2,0))</f>
        <v>#N/A</v>
      </c>
      <c r="AL161" s="273" t="e">
        <f t="shared" si="12"/>
        <v>#N/A</v>
      </c>
      <c r="AM161" s="270" t="e">
        <f>INDEX([71]Listas!$F$6:$J$10,MATCH(AI161,[71]Listas!$D$6:$D$10,0),MATCH(AK161,[71]Listas!$F$4:$J$4,0))</f>
        <v>#N/A</v>
      </c>
      <c r="AN161" s="259"/>
      <c r="AO161" s="259"/>
      <c r="AP161" s="794"/>
      <c r="AQ161" s="259"/>
      <c r="AR161" s="259" t="s">
        <v>2343</v>
      </c>
      <c r="AS161" s="790"/>
      <c r="AT161" s="259"/>
      <c r="AU161" s="259"/>
      <c r="AV161" s="261"/>
      <c r="AW161" s="261"/>
      <c r="AX161" s="790"/>
      <c r="AY161" s="262"/>
    </row>
    <row r="162" spans="1:1027" s="260" customFormat="1" ht="103.5" hidden="1" customHeight="1">
      <c r="A162" s="790"/>
      <c r="B162" s="266"/>
      <c r="C162" s="1399"/>
      <c r="D162" s="1408"/>
      <c r="E162" s="1400"/>
      <c r="F162" s="267"/>
      <c r="G162" s="1399"/>
      <c r="H162" s="1408"/>
      <c r="I162" s="1400"/>
      <c r="J162" s="1380"/>
      <c r="K162" s="1380"/>
      <c r="L162" s="1380"/>
      <c r="M162" s="790"/>
      <c r="N162" s="790"/>
      <c r="O162" s="790"/>
      <c r="P162" s="790"/>
      <c r="Q162" s="266"/>
      <c r="R162" s="266"/>
      <c r="S162" s="268"/>
      <c r="T162" s="269" t="e">
        <f>VLOOKUP(Q162,[71]Listas!$D$6:$E$10,2,0)</f>
        <v>#N/A</v>
      </c>
      <c r="U162" s="269" t="e">
        <f>HLOOKUP(R162,[71]Listas!$F$4:$J$5,2,0)</f>
        <v>#N/A</v>
      </c>
      <c r="V162" s="270" t="e">
        <f>INDEX([71]Listas!$F$6:$J$10,MATCH(Q162,[71]Listas!$D$6:$D$10,0),MATCH(R162,[71]Listas!$F$4:$J$4,0))</f>
        <v>#N/A</v>
      </c>
      <c r="W162" s="268"/>
      <c r="X162" s="1399"/>
      <c r="Y162" s="1408"/>
      <c r="Z162" s="1400"/>
      <c r="AA162" s="1063"/>
      <c r="AB162" s="267"/>
      <c r="AC162" s="259"/>
      <c r="AD162" s="790"/>
      <c r="AE162" s="267"/>
      <c r="AF162" s="268"/>
      <c r="AG162" s="269">
        <f t="shared" si="9"/>
        <v>0</v>
      </c>
      <c r="AH162" s="271" t="e">
        <f t="shared" si="10"/>
        <v>#N/A</v>
      </c>
      <c r="AI162" s="272" t="e">
        <f>IF(AH162&lt;=1,"Remota",VLOOKUP(AH162,[71]Listas!$C$6:$D$10,2,0))</f>
        <v>#N/A</v>
      </c>
      <c r="AJ162" s="271" t="e">
        <f t="shared" si="11"/>
        <v>#N/A</v>
      </c>
      <c r="AK162" s="272" t="e">
        <f>IF(AJ162&lt;=1,"Insignificante",HLOOKUP(AJ162,[71]Listas!$F$3:$J$4,2,0))</f>
        <v>#N/A</v>
      </c>
      <c r="AL162" s="273" t="e">
        <f t="shared" si="12"/>
        <v>#N/A</v>
      </c>
      <c r="AM162" s="270" t="e">
        <f>INDEX([71]Listas!$F$6:$J$10,MATCH(AI162,[71]Listas!$D$6:$D$10,0),MATCH(AK162,[71]Listas!$F$4:$J$4,0))</f>
        <v>#N/A</v>
      </c>
      <c r="AN162" s="259"/>
      <c r="AO162" s="259"/>
      <c r="AP162" s="794"/>
      <c r="AQ162" s="259"/>
      <c r="AR162" s="259" t="s">
        <v>2343</v>
      </c>
      <c r="AS162" s="790"/>
      <c r="AT162" s="259"/>
      <c r="AU162" s="259"/>
      <c r="AV162" s="261"/>
      <c r="AW162" s="261"/>
      <c r="AX162" s="790"/>
      <c r="AY162" s="262"/>
    </row>
    <row r="163" spans="1:1027" s="260" customFormat="1" ht="103.5" hidden="1" customHeight="1">
      <c r="A163" s="790"/>
      <c r="B163" s="266"/>
      <c r="C163" s="1399"/>
      <c r="D163" s="1408"/>
      <c r="E163" s="1400"/>
      <c r="F163" s="267"/>
      <c r="G163" s="1399"/>
      <c r="H163" s="1408"/>
      <c r="I163" s="1400"/>
      <c r="J163" s="1380"/>
      <c r="K163" s="1380"/>
      <c r="L163" s="1380"/>
      <c r="M163" s="790"/>
      <c r="N163" s="790"/>
      <c r="O163" s="790"/>
      <c r="P163" s="790"/>
      <c r="Q163" s="266"/>
      <c r="R163" s="266"/>
      <c r="S163" s="268"/>
      <c r="T163" s="269" t="e">
        <f>VLOOKUP(Q163,[71]Listas!$D$6:$E$10,2,0)</f>
        <v>#N/A</v>
      </c>
      <c r="U163" s="269" t="e">
        <f>HLOOKUP(R163,[71]Listas!$F$4:$J$5,2,0)</f>
        <v>#N/A</v>
      </c>
      <c r="V163" s="270" t="e">
        <f>INDEX([71]Listas!$F$6:$J$10,MATCH(Q163,[71]Listas!$D$6:$D$10,0),MATCH(R163,[71]Listas!$F$4:$J$4,0))</f>
        <v>#N/A</v>
      </c>
      <c r="W163" s="268"/>
      <c r="X163" s="1399"/>
      <c r="Y163" s="1408"/>
      <c r="Z163" s="1400"/>
      <c r="AA163" s="1063"/>
      <c r="AB163" s="267"/>
      <c r="AC163" s="259"/>
      <c r="AD163" s="790"/>
      <c r="AE163" s="267"/>
      <c r="AF163" s="268"/>
      <c r="AG163" s="269">
        <f t="shared" si="9"/>
        <v>0</v>
      </c>
      <c r="AH163" s="271" t="e">
        <f t="shared" si="10"/>
        <v>#N/A</v>
      </c>
      <c r="AI163" s="272" t="e">
        <f>IF(AH163&lt;=1,"Remota",VLOOKUP(AH163,[71]Listas!$C$6:$D$10,2,0))</f>
        <v>#N/A</v>
      </c>
      <c r="AJ163" s="271" t="e">
        <f t="shared" si="11"/>
        <v>#N/A</v>
      </c>
      <c r="AK163" s="272" t="e">
        <f>IF(AJ163&lt;=1,"Insignificante",HLOOKUP(AJ163,[71]Listas!$F$3:$J$4,2,0))</f>
        <v>#N/A</v>
      </c>
      <c r="AL163" s="273" t="e">
        <f t="shared" si="12"/>
        <v>#N/A</v>
      </c>
      <c r="AM163" s="270" t="e">
        <f>INDEX([71]Listas!$F$6:$J$10,MATCH(AI163,[71]Listas!$D$6:$D$10,0),MATCH(AK163,[71]Listas!$F$4:$J$4,0))</f>
        <v>#N/A</v>
      </c>
      <c r="AN163" s="259"/>
      <c r="AO163" s="259"/>
      <c r="AP163" s="794"/>
      <c r="AQ163" s="259"/>
      <c r="AR163" s="259" t="s">
        <v>2343</v>
      </c>
      <c r="AS163" s="790"/>
      <c r="AT163" s="259"/>
      <c r="AU163" s="259"/>
      <c r="AV163" s="261"/>
      <c r="AW163" s="261"/>
      <c r="AX163" s="790"/>
      <c r="AY163" s="262"/>
    </row>
    <row r="164" spans="1:1027" s="260" customFormat="1" ht="103.5" hidden="1" customHeight="1">
      <c r="A164" s="790"/>
      <c r="B164" s="266"/>
      <c r="C164" s="1399"/>
      <c r="D164" s="1408"/>
      <c r="E164" s="1400"/>
      <c r="F164" s="267"/>
      <c r="G164" s="1399"/>
      <c r="H164" s="1408"/>
      <c r="I164" s="1400"/>
      <c r="J164" s="1380"/>
      <c r="K164" s="1380"/>
      <c r="L164" s="1380"/>
      <c r="M164" s="790"/>
      <c r="N164" s="790"/>
      <c r="O164" s="790"/>
      <c r="P164" s="790"/>
      <c r="Q164" s="266"/>
      <c r="R164" s="266"/>
      <c r="S164" s="268"/>
      <c r="T164" s="269" t="e">
        <f>VLOOKUP(Q164,[71]Listas!$D$6:$E$10,2,0)</f>
        <v>#N/A</v>
      </c>
      <c r="U164" s="269" t="e">
        <f>HLOOKUP(R164,[71]Listas!$F$4:$J$5,2,0)</f>
        <v>#N/A</v>
      </c>
      <c r="V164" s="270" t="e">
        <f>INDEX([71]Listas!$F$6:$J$10,MATCH(Q164,[71]Listas!$D$6:$D$10,0),MATCH(R164,[71]Listas!$F$4:$J$4,0))</f>
        <v>#N/A</v>
      </c>
      <c r="W164" s="268"/>
      <c r="X164" s="1399"/>
      <c r="Y164" s="1408"/>
      <c r="Z164" s="1400"/>
      <c r="AA164" s="1063"/>
      <c r="AB164" s="267"/>
      <c r="AC164" s="259"/>
      <c r="AD164" s="790"/>
      <c r="AE164" s="267"/>
      <c r="AF164" s="268"/>
      <c r="AG164" s="269">
        <f t="shared" si="9"/>
        <v>0</v>
      </c>
      <c r="AH164" s="271" t="e">
        <f t="shared" si="10"/>
        <v>#N/A</v>
      </c>
      <c r="AI164" s="272" t="e">
        <f>IF(AH164&lt;=1,"Remota",VLOOKUP(AH164,[71]Listas!$C$6:$D$10,2,0))</f>
        <v>#N/A</v>
      </c>
      <c r="AJ164" s="271" t="e">
        <f t="shared" si="11"/>
        <v>#N/A</v>
      </c>
      <c r="AK164" s="272" t="e">
        <f>IF(AJ164&lt;=1,"Insignificante",HLOOKUP(AJ164,[71]Listas!$F$3:$J$4,2,0))</f>
        <v>#N/A</v>
      </c>
      <c r="AL164" s="273" t="e">
        <f t="shared" si="12"/>
        <v>#N/A</v>
      </c>
      <c r="AM164" s="270" t="e">
        <f>INDEX([71]Listas!$F$6:$J$10,MATCH(AI164,[71]Listas!$D$6:$D$10,0),MATCH(AK164,[71]Listas!$F$4:$J$4,0))</f>
        <v>#N/A</v>
      </c>
      <c r="AN164" s="259"/>
      <c r="AO164" s="259"/>
      <c r="AP164" s="794"/>
      <c r="AQ164" s="259"/>
      <c r="AR164" s="259" t="s">
        <v>2343</v>
      </c>
      <c r="AS164" s="790"/>
      <c r="AT164" s="259"/>
      <c r="AU164" s="259"/>
      <c r="AV164" s="261"/>
      <c r="AW164" s="261"/>
      <c r="AX164" s="790"/>
      <c r="AY164" s="262"/>
    </row>
    <row r="165" spans="1:1027" s="260" customFormat="1" ht="103.5" hidden="1" customHeight="1">
      <c r="A165" s="790"/>
      <c r="B165" s="266"/>
      <c r="C165" s="1399"/>
      <c r="D165" s="1408"/>
      <c r="E165" s="1400"/>
      <c r="F165" s="267"/>
      <c r="G165" s="1399"/>
      <c r="H165" s="1408"/>
      <c r="I165" s="1400"/>
      <c r="J165" s="1380"/>
      <c r="K165" s="1380"/>
      <c r="L165" s="1380"/>
      <c r="M165" s="790"/>
      <c r="N165" s="790"/>
      <c r="O165" s="790"/>
      <c r="P165" s="790"/>
      <c r="Q165" s="266"/>
      <c r="R165" s="266"/>
      <c r="S165" s="268"/>
      <c r="T165" s="269" t="e">
        <f>VLOOKUP(Q165,[71]Listas!$D$6:$E$10,2,0)</f>
        <v>#N/A</v>
      </c>
      <c r="U165" s="269" t="e">
        <f>HLOOKUP(R165,[71]Listas!$F$4:$J$5,2,0)</f>
        <v>#N/A</v>
      </c>
      <c r="V165" s="270" t="e">
        <f>INDEX([71]Listas!$F$6:$J$10,MATCH(Q165,[71]Listas!$D$6:$D$10,0),MATCH(R165,[71]Listas!$F$4:$J$4,0))</f>
        <v>#N/A</v>
      </c>
      <c r="W165" s="268"/>
      <c r="X165" s="1399"/>
      <c r="Y165" s="1408"/>
      <c r="Z165" s="1400"/>
      <c r="AA165" s="1063"/>
      <c r="AB165" s="267"/>
      <c r="AC165" s="259"/>
      <c r="AD165" s="790"/>
      <c r="AE165" s="267"/>
      <c r="AF165" s="268"/>
      <c r="AG165" s="269">
        <f t="shared" si="9"/>
        <v>0</v>
      </c>
      <c r="AH165" s="271" t="e">
        <f t="shared" si="10"/>
        <v>#N/A</v>
      </c>
      <c r="AI165" s="272" t="e">
        <f>IF(AH165&lt;=1,"Remota",VLOOKUP(AH165,[71]Listas!$C$6:$D$10,2,0))</f>
        <v>#N/A</v>
      </c>
      <c r="AJ165" s="271" t="e">
        <f t="shared" si="11"/>
        <v>#N/A</v>
      </c>
      <c r="AK165" s="272" t="e">
        <f>IF(AJ165&lt;=1,"Insignificante",HLOOKUP(AJ165,[71]Listas!$F$3:$J$4,2,0))</f>
        <v>#N/A</v>
      </c>
      <c r="AL165" s="273" t="e">
        <f t="shared" si="12"/>
        <v>#N/A</v>
      </c>
      <c r="AM165" s="270" t="e">
        <f>INDEX([71]Listas!$F$6:$J$10,MATCH(AI165,[71]Listas!$D$6:$D$10,0),MATCH(AK165,[71]Listas!$F$4:$J$4,0))</f>
        <v>#N/A</v>
      </c>
      <c r="AN165" s="259"/>
      <c r="AO165" s="259"/>
      <c r="AP165" s="794"/>
      <c r="AQ165" s="259"/>
      <c r="AR165" s="259" t="s">
        <v>2343</v>
      </c>
      <c r="AS165" s="790"/>
      <c r="AT165" s="259"/>
      <c r="AU165" s="259"/>
      <c r="AV165" s="261"/>
      <c r="AW165" s="261"/>
      <c r="AX165" s="790"/>
      <c r="AY165" s="262"/>
    </row>
    <row r="166" spans="1:1027" s="260" customFormat="1" ht="103.5" hidden="1" customHeight="1">
      <c r="A166" s="790"/>
      <c r="B166" s="266"/>
      <c r="C166" s="1399"/>
      <c r="D166" s="1408"/>
      <c r="E166" s="1400"/>
      <c r="F166" s="267"/>
      <c r="G166" s="1399"/>
      <c r="H166" s="1408"/>
      <c r="I166" s="1400"/>
      <c r="J166" s="1380"/>
      <c r="K166" s="1380"/>
      <c r="L166" s="1380"/>
      <c r="M166" s="790"/>
      <c r="N166" s="790"/>
      <c r="O166" s="790"/>
      <c r="P166" s="790"/>
      <c r="Q166" s="266"/>
      <c r="R166" s="266"/>
      <c r="S166" s="268"/>
      <c r="T166" s="269" t="e">
        <f>VLOOKUP(Q166,[71]Listas!$D$6:$E$10,2,0)</f>
        <v>#N/A</v>
      </c>
      <c r="U166" s="269" t="e">
        <f>HLOOKUP(R166,[71]Listas!$F$4:$J$5,2,0)</f>
        <v>#N/A</v>
      </c>
      <c r="V166" s="270" t="e">
        <f>INDEX([71]Listas!$F$6:$J$10,MATCH(Q166,[71]Listas!$D$6:$D$10,0),MATCH(R166,[71]Listas!$F$4:$J$4,0))</f>
        <v>#N/A</v>
      </c>
      <c r="W166" s="268"/>
      <c r="X166" s="1399"/>
      <c r="Y166" s="1408"/>
      <c r="Z166" s="1400"/>
      <c r="AA166" s="1063"/>
      <c r="AB166" s="267"/>
      <c r="AC166" s="259"/>
      <c r="AD166" s="790"/>
      <c r="AE166" s="267"/>
      <c r="AF166" s="268"/>
      <c r="AG166" s="269">
        <f t="shared" si="9"/>
        <v>0</v>
      </c>
      <c r="AH166" s="271" t="e">
        <f t="shared" si="10"/>
        <v>#N/A</v>
      </c>
      <c r="AI166" s="272" t="e">
        <f>IF(AH166&lt;=1,"Remota",VLOOKUP(AH166,[71]Listas!$C$6:$D$10,2,0))</f>
        <v>#N/A</v>
      </c>
      <c r="AJ166" s="271" t="e">
        <f t="shared" si="11"/>
        <v>#N/A</v>
      </c>
      <c r="AK166" s="272" t="e">
        <f>IF(AJ166&lt;=1,"Insignificante",HLOOKUP(AJ166,[71]Listas!$F$3:$J$4,2,0))</f>
        <v>#N/A</v>
      </c>
      <c r="AL166" s="273" t="e">
        <f t="shared" si="12"/>
        <v>#N/A</v>
      </c>
      <c r="AM166" s="270" t="e">
        <f>INDEX([71]Listas!$F$6:$J$10,MATCH(AI166,[71]Listas!$D$6:$D$10,0),MATCH(AK166,[71]Listas!$F$4:$J$4,0))</f>
        <v>#N/A</v>
      </c>
      <c r="AN166" s="259"/>
      <c r="AO166" s="259"/>
      <c r="AP166" s="794"/>
      <c r="AQ166" s="259"/>
      <c r="AR166" s="259" t="s">
        <v>2343</v>
      </c>
      <c r="AS166" s="790"/>
      <c r="AT166" s="259"/>
      <c r="AU166" s="259"/>
      <c r="AV166" s="261"/>
      <c r="AW166" s="261"/>
      <c r="AX166" s="790"/>
      <c r="AY166" s="262"/>
    </row>
    <row r="167" spans="1:1027" s="260" customFormat="1" ht="103.5" hidden="1" customHeight="1">
      <c r="A167" s="790"/>
      <c r="B167" s="266"/>
      <c r="C167" s="1399"/>
      <c r="D167" s="1408"/>
      <c r="E167" s="1400"/>
      <c r="F167" s="267"/>
      <c r="G167" s="1399"/>
      <c r="H167" s="1408"/>
      <c r="I167" s="1400"/>
      <c r="J167" s="1380"/>
      <c r="K167" s="1380"/>
      <c r="L167" s="1380"/>
      <c r="M167" s="790"/>
      <c r="N167" s="790"/>
      <c r="O167" s="790"/>
      <c r="P167" s="790"/>
      <c r="Q167" s="266"/>
      <c r="R167" s="266"/>
      <c r="S167" s="268"/>
      <c r="T167" s="269" t="e">
        <f>VLOOKUP(Q167,[71]Listas!$D$6:$E$10,2,0)</f>
        <v>#N/A</v>
      </c>
      <c r="U167" s="269" t="e">
        <f>HLOOKUP(R167,[71]Listas!$F$4:$J$5,2,0)</f>
        <v>#N/A</v>
      </c>
      <c r="V167" s="270" t="e">
        <f>INDEX([71]Listas!$F$6:$J$10,MATCH(Q167,[71]Listas!$D$6:$D$10,0),MATCH(R167,[71]Listas!$F$4:$J$4,0))</f>
        <v>#N/A</v>
      </c>
      <c r="W167" s="268"/>
      <c r="X167" s="1399"/>
      <c r="Y167" s="1408"/>
      <c r="Z167" s="1400"/>
      <c r="AA167" s="1063"/>
      <c r="AB167" s="267"/>
      <c r="AC167" s="259"/>
      <c r="AD167" s="790"/>
      <c r="AE167" s="267"/>
      <c r="AF167" s="268"/>
      <c r="AG167" s="269">
        <f t="shared" si="9"/>
        <v>0</v>
      </c>
      <c r="AH167" s="271" t="e">
        <f t="shared" si="10"/>
        <v>#N/A</v>
      </c>
      <c r="AI167" s="272" t="e">
        <f>IF(AH167&lt;=1,"Remota",VLOOKUP(AH167,[71]Listas!$C$6:$D$10,2,0))</f>
        <v>#N/A</v>
      </c>
      <c r="AJ167" s="271" t="e">
        <f t="shared" si="11"/>
        <v>#N/A</v>
      </c>
      <c r="AK167" s="272" t="e">
        <f>IF(AJ167&lt;=1,"Insignificante",HLOOKUP(AJ167,[71]Listas!$F$3:$J$4,2,0))</f>
        <v>#N/A</v>
      </c>
      <c r="AL167" s="273" t="e">
        <f t="shared" si="12"/>
        <v>#N/A</v>
      </c>
      <c r="AM167" s="270" t="e">
        <f>INDEX([71]Listas!$F$6:$J$10,MATCH(AI167,[71]Listas!$D$6:$D$10,0),MATCH(AK167,[71]Listas!$F$4:$J$4,0))</f>
        <v>#N/A</v>
      </c>
      <c r="AN167" s="259"/>
      <c r="AO167" s="259"/>
      <c r="AP167" s="794"/>
      <c r="AQ167" s="259"/>
      <c r="AR167" s="259" t="s">
        <v>2343</v>
      </c>
      <c r="AS167" s="790"/>
      <c r="AT167" s="259"/>
      <c r="AU167" s="259"/>
      <c r="AV167" s="261"/>
      <c r="AW167" s="261"/>
      <c r="AX167" s="790"/>
      <c r="AY167" s="262"/>
    </row>
    <row r="168" spans="1:1027" s="260" customFormat="1" ht="103.5" hidden="1" customHeight="1">
      <c r="A168" s="790"/>
      <c r="B168" s="266"/>
      <c r="C168" s="1399"/>
      <c r="D168" s="1408"/>
      <c r="E168" s="1400"/>
      <c r="F168" s="267"/>
      <c r="G168" s="1399"/>
      <c r="H168" s="1408"/>
      <c r="I168" s="1400"/>
      <c r="J168" s="1380"/>
      <c r="K168" s="1380"/>
      <c r="L168" s="1380"/>
      <c r="M168" s="790"/>
      <c r="N168" s="790"/>
      <c r="O168" s="790"/>
      <c r="P168" s="790"/>
      <c r="Q168" s="266"/>
      <c r="R168" s="266"/>
      <c r="S168" s="268"/>
      <c r="T168" s="269" t="e">
        <f>VLOOKUP(Q168,[71]Listas!$D$6:$E$10,2,0)</f>
        <v>#N/A</v>
      </c>
      <c r="U168" s="269" t="e">
        <f>HLOOKUP(R168,[71]Listas!$F$4:$J$5,2,0)</f>
        <v>#N/A</v>
      </c>
      <c r="V168" s="270" t="e">
        <f>INDEX([71]Listas!$F$6:$J$10,MATCH(Q168,[71]Listas!$D$6:$D$10,0),MATCH(R168,[71]Listas!$F$4:$J$4,0))</f>
        <v>#N/A</v>
      </c>
      <c r="W168" s="268"/>
      <c r="X168" s="1399"/>
      <c r="Y168" s="1408"/>
      <c r="Z168" s="1400"/>
      <c r="AA168" s="1063"/>
      <c r="AB168" s="267"/>
      <c r="AC168" s="259"/>
      <c r="AD168" s="790"/>
      <c r="AE168" s="267"/>
      <c r="AF168" s="268"/>
      <c r="AG168" s="269">
        <f t="shared" si="9"/>
        <v>0</v>
      </c>
      <c r="AH168" s="271" t="e">
        <f t="shared" si="10"/>
        <v>#N/A</v>
      </c>
      <c r="AI168" s="272" t="e">
        <f>IF(AH168&lt;=1,"Remota",VLOOKUP(AH168,[71]Listas!$C$6:$D$10,2,0))</f>
        <v>#N/A</v>
      </c>
      <c r="AJ168" s="271" t="e">
        <f t="shared" si="11"/>
        <v>#N/A</v>
      </c>
      <c r="AK168" s="272" t="e">
        <f>IF(AJ168&lt;=1,"Insignificante",HLOOKUP(AJ168,[71]Listas!$F$3:$J$4,2,0))</f>
        <v>#N/A</v>
      </c>
      <c r="AL168" s="273" t="e">
        <f t="shared" si="12"/>
        <v>#N/A</v>
      </c>
      <c r="AM168" s="270" t="e">
        <f>INDEX([71]Listas!$F$6:$J$10,MATCH(AI168,[71]Listas!$D$6:$D$10,0),MATCH(AK168,[71]Listas!$F$4:$J$4,0))</f>
        <v>#N/A</v>
      </c>
      <c r="AN168" s="259"/>
      <c r="AO168" s="259"/>
      <c r="AP168" s="794"/>
      <c r="AQ168" s="259"/>
      <c r="AR168" s="259" t="s">
        <v>2343</v>
      </c>
      <c r="AS168" s="790"/>
      <c r="AT168" s="259"/>
      <c r="AU168" s="259"/>
      <c r="AV168" s="261"/>
      <c r="AW168" s="261"/>
      <c r="AX168" s="790"/>
      <c r="AY168" s="262"/>
    </row>
    <row r="169" spans="1:1027" ht="5.25" customHeight="1">
      <c r="A169" s="275"/>
      <c r="B169" s="276"/>
      <c r="C169" s="276"/>
      <c r="D169" s="276"/>
      <c r="E169" s="275"/>
      <c r="F169" s="275"/>
      <c r="G169" s="277"/>
      <c r="H169" s="277"/>
      <c r="I169" s="277"/>
      <c r="J169" s="275"/>
      <c r="K169" s="275"/>
      <c r="L169" s="278"/>
      <c r="M169" s="278"/>
      <c r="N169" s="278"/>
      <c r="O169" s="278"/>
      <c r="P169" s="278"/>
      <c r="Q169" s="278"/>
      <c r="R169" s="278"/>
      <c r="S169" s="278"/>
      <c r="T169" s="278"/>
      <c r="U169" s="278"/>
      <c r="V169" s="275"/>
      <c r="W169" s="275"/>
      <c r="X169" s="277"/>
      <c r="Y169" s="277"/>
      <c r="Z169" s="277"/>
      <c r="AA169" s="277"/>
      <c r="AB169" s="277"/>
      <c r="AC169" s="277"/>
      <c r="AD169" s="275"/>
      <c r="AE169" s="275"/>
      <c r="AF169" s="275"/>
      <c r="AG169" s="275"/>
      <c r="AH169" s="275"/>
      <c r="AI169" s="275"/>
      <c r="AJ169" s="275"/>
      <c r="AK169" s="275"/>
      <c r="AL169" s="275"/>
      <c r="AM169" s="279"/>
      <c r="AN169" s="262"/>
      <c r="AO169" s="262"/>
      <c r="AP169" s="262"/>
      <c r="AQ169" s="262"/>
      <c r="AR169" s="262"/>
      <c r="AS169" s="262"/>
      <c r="AT169" s="262"/>
      <c r="AU169" s="262"/>
      <c r="AV169" s="262"/>
      <c r="AW169" s="262"/>
      <c r="AX169" s="262"/>
      <c r="AY169" s="262"/>
      <c r="AZ169" s="236"/>
      <c r="BA169" s="236"/>
      <c r="BB169" s="236"/>
      <c r="BC169" s="236"/>
      <c r="BD169" s="236"/>
      <c r="BE169" s="236"/>
      <c r="BF169" s="236"/>
      <c r="BG169" s="236"/>
      <c r="BH169" s="236"/>
      <c r="BI169" s="236"/>
      <c r="BJ169" s="236"/>
      <c r="BK169" s="236"/>
      <c r="BL169" s="236"/>
      <c r="BM169" s="236"/>
      <c r="BN169" s="236"/>
      <c r="BO169" s="236"/>
      <c r="BP169" s="236"/>
      <c r="BQ169" s="236"/>
      <c r="BR169" s="236"/>
      <c r="BS169" s="236"/>
      <c r="BT169" s="236"/>
      <c r="BU169" s="236"/>
      <c r="BV169" s="236"/>
      <c r="BW169" s="236"/>
      <c r="BX169" s="236"/>
      <c r="BY169" s="236"/>
      <c r="BZ169" s="236"/>
      <c r="CA169" s="236"/>
      <c r="CB169" s="236"/>
      <c r="CC169" s="236"/>
      <c r="CD169" s="236"/>
      <c r="CE169" s="236"/>
      <c r="CF169" s="236"/>
      <c r="CG169" s="236"/>
      <c r="CH169" s="236"/>
      <c r="CI169" s="236"/>
      <c r="CJ169" s="236"/>
      <c r="CK169" s="236"/>
      <c r="CL169" s="236"/>
      <c r="CM169" s="236"/>
      <c r="CN169" s="236"/>
      <c r="CO169" s="236"/>
      <c r="CP169" s="236"/>
      <c r="CQ169" s="236"/>
      <c r="CR169" s="236"/>
      <c r="CS169" s="236"/>
      <c r="CT169" s="236"/>
      <c r="CU169" s="236"/>
      <c r="CV169" s="236"/>
      <c r="CW169" s="236"/>
      <c r="CX169" s="236"/>
      <c r="CY169" s="236"/>
      <c r="CZ169" s="236"/>
      <c r="DA169" s="236"/>
      <c r="DB169" s="236"/>
      <c r="DC169" s="236"/>
      <c r="DD169" s="236"/>
      <c r="DE169" s="236"/>
      <c r="DF169" s="236"/>
      <c r="DG169" s="236"/>
      <c r="DH169" s="236"/>
      <c r="DI169" s="236"/>
      <c r="DJ169" s="236"/>
      <c r="DK169" s="236"/>
      <c r="DL169" s="236"/>
      <c r="DM169" s="236"/>
      <c r="DN169" s="236"/>
      <c r="DO169" s="236"/>
      <c r="DP169" s="236"/>
      <c r="DQ169" s="236"/>
      <c r="DR169" s="236"/>
      <c r="DS169" s="236"/>
      <c r="DT169" s="236"/>
      <c r="DU169" s="236"/>
      <c r="DV169" s="236"/>
      <c r="DW169" s="236"/>
      <c r="DX169" s="236"/>
      <c r="DY169" s="236"/>
      <c r="DZ169" s="236"/>
      <c r="EA169" s="236"/>
      <c r="EB169" s="236"/>
      <c r="EC169" s="236"/>
      <c r="ED169" s="236"/>
      <c r="EE169" s="236"/>
      <c r="EF169" s="236"/>
      <c r="EG169" s="236"/>
      <c r="EH169" s="236"/>
      <c r="EI169" s="236"/>
      <c r="EJ169" s="236"/>
      <c r="EK169" s="236"/>
      <c r="EL169" s="236"/>
      <c r="EM169" s="236"/>
      <c r="EN169" s="236"/>
      <c r="EO169" s="236"/>
      <c r="EP169" s="236"/>
      <c r="EQ169" s="236"/>
      <c r="ER169" s="236"/>
      <c r="ES169" s="236"/>
      <c r="ET169" s="236"/>
      <c r="EU169" s="236"/>
      <c r="EV169" s="236"/>
      <c r="EW169" s="236"/>
      <c r="EX169" s="236"/>
      <c r="EY169" s="236"/>
      <c r="EZ169" s="236"/>
      <c r="FA169" s="236"/>
      <c r="FB169" s="236"/>
      <c r="FC169" s="236"/>
      <c r="FD169" s="236"/>
      <c r="FE169" s="236"/>
      <c r="FF169" s="236"/>
      <c r="FG169" s="236"/>
      <c r="FH169" s="236"/>
      <c r="FI169" s="236"/>
      <c r="FJ169" s="236"/>
      <c r="FK169" s="236"/>
      <c r="FL169" s="236"/>
      <c r="FM169" s="236"/>
      <c r="FN169" s="236"/>
      <c r="FO169" s="236"/>
      <c r="FP169" s="236"/>
      <c r="FQ169" s="236"/>
      <c r="FR169" s="236"/>
      <c r="FS169" s="236"/>
      <c r="FT169" s="236"/>
      <c r="FU169" s="236"/>
      <c r="FV169" s="236"/>
      <c r="FW169" s="236"/>
      <c r="FX169" s="236"/>
      <c r="FY169" s="236"/>
      <c r="FZ169" s="236"/>
      <c r="GA169" s="236"/>
      <c r="GB169" s="236"/>
      <c r="GC169" s="236"/>
      <c r="GD169" s="236"/>
      <c r="GE169" s="236"/>
      <c r="GF169" s="236"/>
      <c r="GG169" s="236"/>
      <c r="GH169" s="236"/>
      <c r="GI169" s="236"/>
      <c r="GJ169" s="236"/>
      <c r="GK169" s="236"/>
      <c r="GL169" s="236"/>
      <c r="GM169" s="236"/>
      <c r="GN169" s="236"/>
      <c r="GO169" s="236"/>
      <c r="GP169" s="236"/>
      <c r="GQ169" s="236"/>
      <c r="GR169" s="236"/>
      <c r="GS169" s="236"/>
      <c r="GT169" s="236"/>
      <c r="GU169" s="236"/>
      <c r="GV169" s="236"/>
      <c r="GW169" s="236"/>
      <c r="GX169" s="236"/>
      <c r="GY169" s="236"/>
      <c r="GZ169" s="236"/>
      <c r="HA169" s="236"/>
      <c r="HB169" s="236"/>
      <c r="HC169" s="236"/>
      <c r="HD169" s="236"/>
      <c r="HE169" s="236"/>
      <c r="HF169" s="236"/>
      <c r="HG169" s="236"/>
      <c r="HH169" s="236"/>
      <c r="HI169" s="236"/>
      <c r="HJ169" s="236"/>
      <c r="HK169" s="236"/>
      <c r="HL169" s="236"/>
      <c r="HM169" s="236"/>
      <c r="HN169" s="236"/>
      <c r="HO169" s="236"/>
      <c r="HP169" s="236"/>
      <c r="HQ169" s="236"/>
      <c r="HR169" s="236"/>
      <c r="HS169" s="236"/>
      <c r="HT169" s="236"/>
      <c r="HU169" s="236"/>
      <c r="HV169" s="236"/>
      <c r="HW169" s="236"/>
      <c r="HX169" s="236"/>
      <c r="HY169" s="236"/>
      <c r="HZ169" s="236"/>
      <c r="IA169" s="236"/>
      <c r="IB169" s="236"/>
      <c r="IC169" s="236"/>
      <c r="ID169" s="236"/>
      <c r="IE169" s="236"/>
      <c r="IF169" s="236"/>
      <c r="IG169" s="236"/>
      <c r="IH169" s="236"/>
      <c r="II169" s="236"/>
      <c r="IJ169" s="236"/>
      <c r="IK169" s="236"/>
      <c r="IL169" s="236"/>
      <c r="IM169" s="236"/>
      <c r="IN169" s="236"/>
      <c r="IO169" s="236"/>
      <c r="IP169" s="236"/>
      <c r="IQ169" s="236"/>
      <c r="IR169" s="236"/>
      <c r="IS169" s="236"/>
      <c r="IT169" s="236"/>
      <c r="IU169" s="236"/>
      <c r="IV169" s="236"/>
      <c r="IW169" s="236"/>
      <c r="IX169" s="236"/>
      <c r="IY169" s="236"/>
      <c r="IZ169" s="236"/>
      <c r="JA169" s="236"/>
      <c r="JB169" s="236"/>
      <c r="JC169" s="236"/>
      <c r="JD169" s="236"/>
      <c r="JE169" s="236"/>
      <c r="JF169" s="236"/>
      <c r="JG169" s="236"/>
      <c r="JH169" s="236"/>
      <c r="JI169" s="236"/>
      <c r="JJ169" s="236"/>
      <c r="JK169" s="236"/>
      <c r="JL169" s="236"/>
      <c r="JM169" s="236"/>
      <c r="JN169" s="236"/>
      <c r="JO169" s="236"/>
      <c r="JP169" s="236"/>
      <c r="JQ169" s="236"/>
      <c r="JR169" s="236"/>
      <c r="JS169" s="236"/>
      <c r="JT169" s="236"/>
      <c r="JU169" s="236"/>
      <c r="JV169" s="236"/>
      <c r="JW169" s="236"/>
      <c r="JX169" s="236"/>
      <c r="JY169" s="236"/>
      <c r="JZ169" s="236"/>
      <c r="KA169" s="236"/>
      <c r="KB169" s="236"/>
      <c r="KC169" s="236"/>
      <c r="KD169" s="236"/>
      <c r="KE169" s="236"/>
      <c r="KF169" s="236"/>
      <c r="KG169" s="236"/>
      <c r="KH169" s="236"/>
      <c r="KI169" s="236"/>
      <c r="KJ169" s="236"/>
      <c r="KK169" s="236"/>
      <c r="KL169" s="236"/>
      <c r="KM169" s="236"/>
      <c r="KN169" s="236"/>
      <c r="KO169" s="236"/>
      <c r="KP169" s="236"/>
      <c r="KQ169" s="236"/>
      <c r="KR169" s="236"/>
      <c r="KS169" s="236"/>
      <c r="KT169" s="236"/>
      <c r="KU169" s="236"/>
      <c r="KV169" s="236"/>
      <c r="KW169" s="236"/>
      <c r="KX169" s="236"/>
      <c r="KY169" s="236"/>
      <c r="KZ169" s="236"/>
      <c r="LA169" s="236"/>
      <c r="LB169" s="236"/>
      <c r="LC169" s="236"/>
      <c r="LD169" s="236"/>
      <c r="LE169" s="236"/>
      <c r="LF169" s="236"/>
      <c r="LG169" s="236"/>
      <c r="LH169" s="236"/>
      <c r="LI169" s="236"/>
      <c r="LJ169" s="236"/>
      <c r="LK169" s="236"/>
      <c r="LL169" s="236"/>
      <c r="LM169" s="236"/>
      <c r="LN169" s="236"/>
      <c r="LO169" s="236"/>
      <c r="LP169" s="236"/>
      <c r="LQ169" s="236"/>
      <c r="LR169" s="236"/>
      <c r="LS169" s="236"/>
      <c r="LT169" s="236"/>
      <c r="LU169" s="236"/>
      <c r="LV169" s="236"/>
      <c r="LW169" s="236"/>
      <c r="LX169" s="236"/>
      <c r="LY169" s="236"/>
      <c r="LZ169" s="236"/>
      <c r="MA169" s="236"/>
      <c r="MB169" s="236"/>
      <c r="MC169" s="236"/>
      <c r="MD169" s="236"/>
      <c r="ME169" s="236"/>
      <c r="MF169" s="236"/>
      <c r="MG169" s="236"/>
      <c r="MH169" s="236"/>
      <c r="MI169" s="236"/>
      <c r="MJ169" s="236"/>
      <c r="MK169" s="236"/>
      <c r="ML169" s="236"/>
      <c r="MM169" s="236"/>
      <c r="MN169" s="236"/>
      <c r="MO169" s="236"/>
      <c r="MP169" s="236"/>
      <c r="MQ169" s="236"/>
      <c r="MR169" s="236"/>
      <c r="MS169" s="236"/>
      <c r="MT169" s="236"/>
      <c r="MU169" s="236"/>
      <c r="MV169" s="236"/>
      <c r="MW169" s="236"/>
      <c r="MX169" s="236"/>
      <c r="MY169" s="236"/>
      <c r="MZ169" s="236"/>
      <c r="NA169" s="236"/>
      <c r="NB169" s="236"/>
      <c r="NC169" s="236"/>
      <c r="ND169" s="236"/>
      <c r="NE169" s="236"/>
      <c r="NF169" s="236"/>
      <c r="NG169" s="236"/>
      <c r="NH169" s="236"/>
      <c r="NI169" s="236"/>
      <c r="NJ169" s="236"/>
      <c r="NK169" s="236"/>
      <c r="NL169" s="236"/>
      <c r="NM169" s="236"/>
      <c r="NN169" s="236"/>
      <c r="NO169" s="236"/>
      <c r="NP169" s="236"/>
      <c r="NQ169" s="236"/>
      <c r="NR169" s="236"/>
      <c r="NS169" s="236"/>
      <c r="NT169" s="236"/>
      <c r="NU169" s="236"/>
      <c r="NV169" s="236"/>
      <c r="NW169" s="236"/>
      <c r="NX169" s="236"/>
      <c r="NY169" s="236"/>
      <c r="NZ169" s="236"/>
      <c r="OA169" s="236"/>
      <c r="OB169" s="236"/>
      <c r="OC169" s="236"/>
      <c r="OD169" s="236"/>
      <c r="OE169" s="236"/>
      <c r="OF169" s="236"/>
      <c r="OG169" s="236"/>
      <c r="OH169" s="236"/>
      <c r="OI169" s="236"/>
      <c r="OJ169" s="236"/>
      <c r="OK169" s="236"/>
      <c r="OL169" s="236"/>
      <c r="OM169" s="236"/>
      <c r="ON169" s="236"/>
      <c r="OO169" s="236"/>
      <c r="OP169" s="236"/>
      <c r="OQ169" s="236"/>
      <c r="OR169" s="236"/>
      <c r="OS169" s="236"/>
      <c r="OT169" s="236"/>
      <c r="OU169" s="236"/>
      <c r="OV169" s="236"/>
      <c r="OW169" s="236"/>
      <c r="OX169" s="236"/>
      <c r="OY169" s="236"/>
      <c r="OZ169" s="236"/>
      <c r="PA169" s="236"/>
      <c r="PB169" s="236"/>
      <c r="PC169" s="236"/>
      <c r="PD169" s="236"/>
      <c r="PE169" s="236"/>
      <c r="PF169" s="236"/>
      <c r="PG169" s="236"/>
      <c r="PH169" s="236"/>
      <c r="PI169" s="236"/>
      <c r="PJ169" s="236"/>
      <c r="PK169" s="236"/>
      <c r="PL169" s="236"/>
      <c r="PM169" s="236"/>
      <c r="PN169" s="236"/>
      <c r="PO169" s="236"/>
      <c r="PP169" s="236"/>
      <c r="PQ169" s="236"/>
      <c r="PR169" s="236"/>
      <c r="PS169" s="236"/>
      <c r="PT169" s="236"/>
      <c r="PU169" s="236"/>
      <c r="PV169" s="236"/>
      <c r="PW169" s="236"/>
      <c r="PX169" s="236"/>
      <c r="PY169" s="236"/>
      <c r="PZ169" s="236"/>
      <c r="QA169" s="236"/>
      <c r="QB169" s="236"/>
      <c r="QC169" s="236"/>
      <c r="QD169" s="236"/>
      <c r="QE169" s="236"/>
      <c r="QF169" s="236"/>
      <c r="QG169" s="236"/>
      <c r="QH169" s="236"/>
      <c r="QI169" s="236"/>
      <c r="QJ169" s="236"/>
      <c r="QK169" s="236"/>
      <c r="QL169" s="236"/>
      <c r="QM169" s="236"/>
      <c r="QN169" s="236"/>
      <c r="QO169" s="236"/>
      <c r="QP169" s="236"/>
      <c r="QQ169" s="236"/>
      <c r="QR169" s="236"/>
      <c r="QS169" s="236"/>
      <c r="QT169" s="236"/>
      <c r="QU169" s="236"/>
      <c r="QV169" s="236"/>
      <c r="QW169" s="236"/>
      <c r="QX169" s="236"/>
      <c r="QY169" s="236"/>
      <c r="QZ169" s="236"/>
      <c r="RA169" s="236"/>
      <c r="RB169" s="236"/>
      <c r="RC169" s="236"/>
      <c r="RD169" s="236"/>
      <c r="RE169" s="236"/>
      <c r="RF169" s="236"/>
      <c r="RG169" s="236"/>
      <c r="RH169" s="236"/>
      <c r="RI169" s="236"/>
      <c r="RJ169" s="236"/>
      <c r="RK169" s="236"/>
      <c r="RL169" s="236"/>
      <c r="RM169" s="236"/>
      <c r="RN169" s="236"/>
      <c r="RO169" s="236"/>
      <c r="RP169" s="236"/>
      <c r="RQ169" s="236"/>
      <c r="RR169" s="236"/>
      <c r="RS169" s="236"/>
      <c r="RT169" s="236"/>
      <c r="RU169" s="236"/>
      <c r="RV169" s="236"/>
      <c r="RW169" s="236"/>
      <c r="RX169" s="236"/>
      <c r="RY169" s="236"/>
      <c r="RZ169" s="236"/>
      <c r="SA169" s="236"/>
      <c r="SB169" s="236"/>
      <c r="SC169" s="236"/>
      <c r="SD169" s="236"/>
      <c r="SE169" s="236"/>
      <c r="SF169" s="236"/>
      <c r="SG169" s="236"/>
      <c r="SH169" s="236"/>
      <c r="SI169" s="236"/>
      <c r="SJ169" s="236"/>
      <c r="SK169" s="236"/>
      <c r="SL169" s="236"/>
      <c r="SM169" s="236"/>
      <c r="SN169" s="236"/>
      <c r="SO169" s="236"/>
      <c r="SP169" s="236"/>
      <c r="SQ169" s="236"/>
      <c r="SR169" s="236"/>
      <c r="SS169" s="236"/>
      <c r="ST169" s="236"/>
      <c r="SU169" s="236"/>
      <c r="SV169" s="236"/>
      <c r="SW169" s="236"/>
      <c r="SX169" s="236"/>
      <c r="SY169" s="236"/>
      <c r="SZ169" s="236"/>
      <c r="TA169" s="236"/>
      <c r="TB169" s="236"/>
      <c r="TC169" s="236"/>
      <c r="TD169" s="236"/>
      <c r="TE169" s="236"/>
      <c r="TF169" s="236"/>
      <c r="TG169" s="236"/>
      <c r="TH169" s="236"/>
      <c r="TI169" s="236"/>
      <c r="TJ169" s="236"/>
      <c r="TK169" s="236"/>
      <c r="TL169" s="236"/>
      <c r="TM169" s="236"/>
      <c r="TN169" s="236"/>
      <c r="TO169" s="236"/>
      <c r="TP169" s="236"/>
      <c r="TQ169" s="236"/>
      <c r="TR169" s="236"/>
      <c r="TS169" s="236"/>
      <c r="TT169" s="236"/>
      <c r="TU169" s="236"/>
      <c r="TV169" s="236"/>
      <c r="TW169" s="236"/>
      <c r="TX169" s="236"/>
      <c r="TY169" s="236"/>
      <c r="TZ169" s="236"/>
      <c r="UA169" s="236"/>
      <c r="UB169" s="236"/>
      <c r="UC169" s="236"/>
      <c r="UD169" s="236"/>
      <c r="UE169" s="236"/>
      <c r="UF169" s="236"/>
      <c r="UG169" s="236"/>
      <c r="UH169" s="236"/>
      <c r="UI169" s="236"/>
      <c r="UJ169" s="236"/>
      <c r="UK169" s="236"/>
      <c r="UL169" s="236"/>
      <c r="UM169" s="236"/>
      <c r="UN169" s="236"/>
      <c r="UO169" s="236"/>
      <c r="UP169" s="236"/>
      <c r="UQ169" s="236"/>
      <c r="UR169" s="236"/>
      <c r="US169" s="236"/>
      <c r="UT169" s="236"/>
      <c r="UU169" s="236"/>
      <c r="UV169" s="236"/>
      <c r="UW169" s="236"/>
      <c r="UX169" s="236"/>
      <c r="UY169" s="236"/>
      <c r="UZ169" s="236"/>
      <c r="VA169" s="236"/>
      <c r="VB169" s="236"/>
      <c r="VC169" s="236"/>
      <c r="VD169" s="236"/>
      <c r="VE169" s="236"/>
      <c r="VF169" s="236"/>
      <c r="VG169" s="236"/>
      <c r="VH169" s="236"/>
      <c r="VI169" s="236"/>
      <c r="VJ169" s="236"/>
      <c r="VK169" s="236"/>
      <c r="VL169" s="236"/>
      <c r="VM169" s="236"/>
      <c r="VN169" s="236"/>
      <c r="VO169" s="236"/>
      <c r="VP169" s="236"/>
      <c r="VQ169" s="236"/>
      <c r="VR169" s="236"/>
      <c r="VS169" s="236"/>
      <c r="VT169" s="236"/>
      <c r="VU169" s="236"/>
      <c r="VV169" s="236"/>
      <c r="VW169" s="236"/>
      <c r="VX169" s="236"/>
      <c r="VY169" s="236"/>
      <c r="VZ169" s="236"/>
      <c r="WA169" s="236"/>
      <c r="WB169" s="236"/>
      <c r="WC169" s="236"/>
      <c r="WD169" s="236"/>
      <c r="WE169" s="236"/>
      <c r="WF169" s="236"/>
      <c r="WG169" s="236"/>
      <c r="WH169" s="236"/>
      <c r="WI169" s="236"/>
      <c r="WJ169" s="236"/>
      <c r="WK169" s="236"/>
      <c r="WL169" s="236"/>
      <c r="WM169" s="236"/>
      <c r="WN169" s="236"/>
      <c r="WO169" s="236"/>
      <c r="WP169" s="236"/>
      <c r="WQ169" s="236"/>
      <c r="WR169" s="236"/>
      <c r="WS169" s="236"/>
      <c r="WT169" s="236"/>
      <c r="WU169" s="236"/>
      <c r="WV169" s="236"/>
      <c r="WW169" s="236"/>
      <c r="WX169" s="236"/>
      <c r="WY169" s="236"/>
      <c r="WZ169" s="236"/>
      <c r="XA169" s="236"/>
      <c r="XB169" s="236"/>
      <c r="XC169" s="236"/>
      <c r="XD169" s="236"/>
      <c r="XE169" s="236"/>
      <c r="XF169" s="236"/>
      <c r="XG169" s="236"/>
      <c r="XH169" s="236"/>
      <c r="XI169" s="236"/>
      <c r="XJ169" s="236"/>
      <c r="XK169" s="236"/>
      <c r="XL169" s="236"/>
      <c r="XM169" s="236"/>
      <c r="XN169" s="236"/>
      <c r="XO169" s="236"/>
      <c r="XP169" s="236"/>
      <c r="XQ169" s="236"/>
      <c r="XR169" s="236"/>
      <c r="XS169" s="236"/>
      <c r="XT169" s="236"/>
      <c r="XU169" s="236"/>
      <c r="XV169" s="236"/>
      <c r="XW169" s="236"/>
      <c r="XX169" s="236"/>
      <c r="XY169" s="236"/>
      <c r="XZ169" s="236"/>
      <c r="YA169" s="236"/>
      <c r="YB169" s="236"/>
      <c r="YC169" s="236"/>
      <c r="YD169" s="236"/>
      <c r="YE169" s="236"/>
      <c r="YF169" s="236"/>
      <c r="YG169" s="236"/>
      <c r="YH169" s="236"/>
      <c r="YI169" s="236"/>
      <c r="YJ169" s="236"/>
      <c r="YK169" s="236"/>
      <c r="YL169" s="236"/>
      <c r="YM169" s="236"/>
      <c r="YN169" s="236"/>
      <c r="YO169" s="236"/>
      <c r="YP169" s="236"/>
      <c r="YQ169" s="236"/>
      <c r="YR169" s="236"/>
      <c r="YS169" s="236"/>
      <c r="YT169" s="236"/>
      <c r="YU169" s="236"/>
      <c r="YV169" s="236"/>
      <c r="YW169" s="236"/>
      <c r="YX169" s="236"/>
      <c r="YY169" s="236"/>
      <c r="YZ169" s="236"/>
      <c r="ZA169" s="236"/>
      <c r="ZB169" s="236"/>
      <c r="ZC169" s="236"/>
      <c r="ZD169" s="236"/>
      <c r="ZE169" s="236"/>
      <c r="ZF169" s="236"/>
      <c r="ZG169" s="236"/>
      <c r="ZH169" s="236"/>
      <c r="ZI169" s="236"/>
      <c r="ZJ169" s="236"/>
      <c r="ZK169" s="236"/>
      <c r="ZL169" s="236"/>
      <c r="ZM169" s="236"/>
      <c r="ZN169" s="236"/>
      <c r="ZO169" s="236"/>
      <c r="ZP169" s="236"/>
      <c r="ZQ169" s="236"/>
      <c r="ZR169" s="236"/>
      <c r="ZS169" s="236"/>
      <c r="ZT169" s="236"/>
      <c r="ZU169" s="236"/>
      <c r="ZV169" s="236"/>
      <c r="ZW169" s="236"/>
      <c r="ZX169" s="236"/>
      <c r="ZY169" s="236"/>
      <c r="ZZ169" s="236"/>
      <c r="AAA169" s="236"/>
      <c r="AAB169" s="236"/>
      <c r="AAC169" s="236"/>
      <c r="AAD169" s="236"/>
      <c r="AAE169" s="236"/>
      <c r="AAF169" s="236"/>
      <c r="AAG169" s="236"/>
      <c r="AAH169" s="236"/>
      <c r="AAI169" s="236"/>
      <c r="AAJ169" s="236"/>
      <c r="AAK169" s="236"/>
      <c r="AAL169" s="236"/>
      <c r="AAM169" s="236"/>
      <c r="AAN169" s="236"/>
      <c r="AAO169" s="236"/>
      <c r="AAP169" s="236"/>
      <c r="AAQ169" s="236"/>
      <c r="AAR169" s="236"/>
      <c r="AAS169" s="236"/>
      <c r="AAT169" s="236"/>
      <c r="AAU169" s="236"/>
      <c r="AAV169" s="236"/>
      <c r="AAW169" s="236"/>
      <c r="AAX169" s="236"/>
      <c r="AAY169" s="236"/>
      <c r="AAZ169" s="236"/>
      <c r="ABA169" s="236"/>
      <c r="ABB169" s="236"/>
      <c r="ABC169" s="236"/>
      <c r="ABD169" s="236"/>
      <c r="ABE169" s="236"/>
      <c r="ABF169" s="236"/>
      <c r="ABG169" s="236"/>
      <c r="ABH169" s="236"/>
      <c r="ABI169" s="236"/>
      <c r="ABJ169" s="236"/>
      <c r="ABK169" s="236"/>
      <c r="ABL169" s="236"/>
      <c r="ABM169" s="236"/>
      <c r="ABN169" s="236"/>
      <c r="ABO169" s="236"/>
      <c r="ABP169" s="236"/>
      <c r="ABQ169" s="236"/>
      <c r="ABR169" s="236"/>
      <c r="ABS169" s="236"/>
      <c r="ABT169" s="236"/>
      <c r="ABU169" s="236"/>
      <c r="ABV169" s="236"/>
      <c r="ABW169" s="236"/>
      <c r="ABX169" s="236"/>
      <c r="ABY169" s="236"/>
      <c r="ABZ169" s="236"/>
      <c r="ACA169" s="236"/>
      <c r="ACB169" s="236"/>
      <c r="ACC169" s="236"/>
      <c r="ACD169" s="236"/>
      <c r="ACE169" s="236"/>
      <c r="ACF169" s="236"/>
      <c r="ACG169" s="236"/>
      <c r="ACH169" s="236"/>
      <c r="ACI169" s="236"/>
      <c r="ACJ169" s="236"/>
      <c r="ACK169" s="236"/>
      <c r="ACL169" s="236"/>
      <c r="ACM169" s="236"/>
      <c r="ACN169" s="236"/>
      <c r="ACO169" s="236"/>
      <c r="ACP169" s="236"/>
      <c r="ACQ169" s="236"/>
      <c r="ACR169" s="236"/>
      <c r="ACS169" s="236"/>
      <c r="ACT169" s="236"/>
      <c r="ACU169" s="236"/>
      <c r="ACV169" s="236"/>
      <c r="ACW169" s="236"/>
      <c r="ACX169" s="236"/>
      <c r="ACY169" s="236"/>
      <c r="ACZ169" s="236"/>
      <c r="ADA169" s="236"/>
      <c r="ADB169" s="236"/>
      <c r="ADC169" s="236"/>
      <c r="ADD169" s="236"/>
      <c r="ADE169" s="236"/>
      <c r="ADF169" s="236"/>
      <c r="ADG169" s="236"/>
      <c r="ADH169" s="236"/>
      <c r="ADI169" s="236"/>
      <c r="ADJ169" s="236"/>
      <c r="ADK169" s="236"/>
      <c r="ADL169" s="236"/>
      <c r="ADM169" s="236"/>
      <c r="ADN169" s="236"/>
      <c r="ADO169" s="236"/>
      <c r="ADP169" s="236"/>
      <c r="ADQ169" s="236"/>
      <c r="ADR169" s="236"/>
      <c r="ADS169" s="236"/>
      <c r="ADT169" s="236"/>
      <c r="ADU169" s="236"/>
      <c r="ADV169" s="236"/>
      <c r="ADW169" s="236"/>
      <c r="ADX169" s="236"/>
      <c r="ADY169" s="236"/>
      <c r="ADZ169" s="236"/>
      <c r="AEA169" s="236"/>
      <c r="AEB169" s="236"/>
      <c r="AEC169" s="236"/>
      <c r="AED169" s="236"/>
      <c r="AEE169" s="236"/>
      <c r="AEF169" s="236"/>
      <c r="AEG169" s="236"/>
      <c r="AEH169" s="236"/>
      <c r="AEI169" s="236"/>
      <c r="AEJ169" s="236"/>
      <c r="AEK169" s="236"/>
      <c r="AEL169" s="236"/>
      <c r="AEM169" s="236"/>
      <c r="AEN169" s="236"/>
      <c r="AEO169" s="236"/>
      <c r="AEP169" s="236"/>
      <c r="AEQ169" s="236"/>
      <c r="AER169" s="236"/>
      <c r="AES169" s="236"/>
      <c r="AET169" s="236"/>
      <c r="AEU169" s="236"/>
      <c r="AEV169" s="236"/>
      <c r="AEW169" s="236"/>
      <c r="AEX169" s="236"/>
      <c r="AEY169" s="236"/>
      <c r="AEZ169" s="236"/>
      <c r="AFA169" s="236"/>
      <c r="AFB169" s="236"/>
      <c r="AFC169" s="236"/>
      <c r="AFD169" s="236"/>
      <c r="AFE169" s="236"/>
      <c r="AFF169" s="236"/>
      <c r="AFG169" s="236"/>
      <c r="AFH169" s="236"/>
      <c r="AFI169" s="236"/>
      <c r="AFJ169" s="236"/>
      <c r="AFK169" s="236"/>
      <c r="AFL169" s="236"/>
      <c r="AFM169" s="236"/>
      <c r="AFN169" s="236"/>
      <c r="AFO169" s="236"/>
      <c r="AFP169" s="236"/>
      <c r="AFQ169" s="236"/>
      <c r="AFR169" s="236"/>
      <c r="AFS169" s="236"/>
      <c r="AFT169" s="236"/>
      <c r="AFU169" s="236"/>
      <c r="AFV169" s="236"/>
      <c r="AFW169" s="236"/>
      <c r="AFX169" s="236"/>
      <c r="AFY169" s="236"/>
      <c r="AFZ169" s="236"/>
      <c r="AGA169" s="236"/>
      <c r="AGB169" s="236"/>
      <c r="AGC169" s="236"/>
      <c r="AGD169" s="236"/>
      <c r="AGE169" s="236"/>
      <c r="AGF169" s="236"/>
      <c r="AGG169" s="236"/>
      <c r="AGH169" s="236"/>
      <c r="AGI169" s="236"/>
      <c r="AGJ169" s="236"/>
      <c r="AGK169" s="236"/>
      <c r="AGL169" s="236"/>
      <c r="AGM169" s="236"/>
      <c r="AGN169" s="236"/>
      <c r="AGO169" s="236"/>
      <c r="AGP169" s="236"/>
      <c r="AGQ169" s="236"/>
      <c r="AGR169" s="236"/>
      <c r="AGS169" s="236"/>
      <c r="AGT169" s="236"/>
      <c r="AGU169" s="236"/>
      <c r="AGV169" s="236"/>
      <c r="AGW169" s="236"/>
      <c r="AGX169" s="236"/>
      <c r="AGY169" s="236"/>
      <c r="AGZ169" s="236"/>
      <c r="AHA169" s="236"/>
      <c r="AHB169" s="236"/>
      <c r="AHC169" s="236"/>
      <c r="AHD169" s="236"/>
      <c r="AHE169" s="236"/>
      <c r="AHF169" s="236"/>
      <c r="AHG169" s="236"/>
      <c r="AHH169" s="236"/>
      <c r="AHI169" s="236"/>
      <c r="AHJ169" s="236"/>
      <c r="AHK169" s="236"/>
      <c r="AHL169" s="236"/>
      <c r="AHM169" s="236"/>
      <c r="AHN169" s="236"/>
      <c r="AHO169" s="236"/>
      <c r="AHP169" s="236"/>
      <c r="AHQ169" s="236"/>
      <c r="AHR169" s="236"/>
      <c r="AHS169" s="236"/>
      <c r="AHT169" s="236"/>
      <c r="AHU169" s="236"/>
      <c r="AHV169" s="236"/>
      <c r="AHW169" s="236"/>
      <c r="AHX169" s="236"/>
      <c r="AHY169" s="236"/>
      <c r="AHZ169" s="236"/>
      <c r="AIA169" s="236"/>
      <c r="AIB169" s="236"/>
      <c r="AIC169" s="236"/>
      <c r="AID169" s="236"/>
      <c r="AIE169" s="236"/>
      <c r="AIF169" s="236"/>
      <c r="AIG169" s="236"/>
      <c r="AIH169" s="236"/>
      <c r="AII169" s="236"/>
      <c r="AIJ169" s="236"/>
      <c r="AIK169" s="236"/>
      <c r="AIL169" s="236"/>
      <c r="AIM169" s="236"/>
      <c r="AIN169" s="236"/>
      <c r="AIO169" s="236"/>
      <c r="AIP169" s="236"/>
      <c r="AIQ169" s="236"/>
      <c r="AIR169" s="236"/>
      <c r="AIS169" s="236"/>
      <c r="AIT169" s="236"/>
      <c r="AIU169" s="236"/>
      <c r="AIV169" s="236"/>
      <c r="AIW169" s="236"/>
      <c r="AIX169" s="236"/>
      <c r="AIY169" s="236"/>
      <c r="AIZ169" s="236"/>
      <c r="AJA169" s="236"/>
      <c r="AJB169" s="236"/>
      <c r="AJC169" s="236"/>
      <c r="AJD169" s="236"/>
      <c r="AJE169" s="236"/>
      <c r="AJF169" s="236"/>
      <c r="AJG169" s="236"/>
      <c r="AJH169" s="236"/>
      <c r="AJI169" s="236"/>
      <c r="AJJ169" s="236"/>
      <c r="AJK169" s="236"/>
      <c r="AJL169" s="236"/>
      <c r="AJM169" s="236"/>
      <c r="AJN169" s="236"/>
      <c r="AJO169" s="236"/>
      <c r="AJP169" s="236"/>
      <c r="AJQ169" s="236"/>
      <c r="AJR169" s="236"/>
      <c r="AJS169" s="236"/>
      <c r="AJT169" s="236"/>
      <c r="AJU169" s="236"/>
      <c r="AJV169" s="236"/>
      <c r="AJW169" s="236"/>
      <c r="AJX169" s="236"/>
      <c r="AJY169" s="236"/>
      <c r="AJZ169" s="236"/>
      <c r="AKA169" s="236"/>
      <c r="AKB169" s="236"/>
      <c r="AKC169" s="236"/>
      <c r="AKD169" s="236"/>
      <c r="AKE169" s="236"/>
      <c r="AKF169" s="236"/>
      <c r="AKG169" s="236"/>
      <c r="AKH169" s="236"/>
      <c r="AKI169" s="236"/>
      <c r="AKJ169" s="236"/>
      <c r="AKK169" s="236"/>
      <c r="AKL169" s="236"/>
      <c r="AKM169" s="236"/>
      <c r="AKN169" s="236"/>
      <c r="AKO169" s="236"/>
      <c r="AKP169" s="236"/>
      <c r="AKQ169" s="236"/>
      <c r="AKR169" s="236"/>
      <c r="AKS169" s="236"/>
      <c r="AKT169" s="236"/>
      <c r="AKU169" s="236"/>
      <c r="AKV169" s="236"/>
      <c r="AKW169" s="236"/>
      <c r="AKX169" s="236"/>
      <c r="AKY169" s="236"/>
      <c r="AKZ169" s="236"/>
      <c r="ALA169" s="236"/>
      <c r="ALB169" s="236"/>
      <c r="ALC169" s="236"/>
      <c r="ALD169" s="236"/>
      <c r="ALE169" s="236"/>
      <c r="ALF169" s="236"/>
      <c r="ALG169" s="236"/>
      <c r="ALH169" s="236"/>
      <c r="ALI169" s="236"/>
      <c r="ALJ169" s="236"/>
      <c r="ALK169" s="236"/>
      <c r="ALL169" s="236"/>
      <c r="ALM169" s="236"/>
      <c r="ALN169" s="236"/>
      <c r="ALO169" s="236"/>
      <c r="ALP169" s="236"/>
      <c r="ALQ169" s="236"/>
      <c r="ALR169" s="236"/>
      <c r="ALS169" s="236"/>
      <c r="ALT169" s="236"/>
      <c r="ALU169" s="236"/>
      <c r="ALV169" s="236"/>
      <c r="ALW169" s="236"/>
      <c r="ALX169" s="236"/>
      <c r="ALY169" s="236"/>
      <c r="ALZ169" s="236"/>
      <c r="AMA169" s="236"/>
      <c r="AMB169" s="236"/>
      <c r="AMC169" s="236"/>
      <c r="AMD169" s="236"/>
      <c r="AME169" s="236"/>
      <c r="AMF169" s="236"/>
      <c r="AMG169" s="236"/>
      <c r="AMH169" s="236"/>
      <c r="AMI169" s="236"/>
      <c r="AMJ169" s="236"/>
      <c r="AMK169" s="236"/>
      <c r="AML169" s="236"/>
      <c r="AMM169" s="236"/>
    </row>
    <row r="170" spans="1:1027" ht="11.25" customHeight="1">
      <c r="A170" s="1386" t="s">
        <v>649</v>
      </c>
      <c r="B170" s="1387"/>
      <c r="C170" s="1387"/>
      <c r="D170" s="1387"/>
      <c r="E170" s="1387"/>
      <c r="F170" s="1387"/>
      <c r="G170" s="1387"/>
      <c r="H170" s="1387"/>
      <c r="I170" s="1387"/>
      <c r="J170" s="1387"/>
      <c r="K170" s="1387"/>
      <c r="L170" s="1388"/>
      <c r="M170" s="275"/>
      <c r="N170" s="280" t="s">
        <v>650</v>
      </c>
      <c r="O170" s="280"/>
      <c r="P170" s="281"/>
      <c r="Q170" s="281"/>
      <c r="R170" s="281"/>
      <c r="S170" s="281"/>
      <c r="T170" s="281"/>
      <c r="U170" s="281"/>
      <c r="V170" s="281"/>
      <c r="W170" s="281"/>
      <c r="X170" s="282"/>
      <c r="Y170" s="282"/>
      <c r="Z170" s="282"/>
      <c r="AA170" s="282"/>
      <c r="AB170" s="282"/>
      <c r="AC170" s="282"/>
      <c r="AD170" s="281"/>
      <c r="AE170" s="281"/>
      <c r="AF170" s="281"/>
      <c r="AG170" s="281"/>
      <c r="AH170" s="281"/>
      <c r="AI170" s="281"/>
      <c r="AJ170" s="275"/>
      <c r="AK170" s="275"/>
      <c r="AL170" s="275"/>
      <c r="AM170" s="279"/>
      <c r="AN170" s="262"/>
      <c r="AO170" s="262"/>
      <c r="AP170" s="262"/>
      <c r="AQ170" s="262"/>
      <c r="AR170" s="262"/>
      <c r="AS170" s="262"/>
      <c r="AT170" s="262"/>
      <c r="AU170" s="262"/>
      <c r="AV170" s="262"/>
      <c r="AW170" s="262"/>
      <c r="AX170" s="262"/>
      <c r="AY170" s="236"/>
      <c r="AZ170" s="236"/>
      <c r="BA170" s="236"/>
      <c r="BB170" s="236"/>
      <c r="BC170" s="236"/>
      <c r="BD170" s="236"/>
      <c r="BE170" s="236"/>
      <c r="BF170" s="236"/>
      <c r="BG170" s="236"/>
      <c r="BH170" s="236"/>
      <c r="BI170" s="236"/>
      <c r="BJ170" s="236"/>
      <c r="BK170" s="236"/>
      <c r="BL170" s="236"/>
      <c r="BM170" s="236"/>
      <c r="BN170" s="236"/>
      <c r="BO170" s="236"/>
      <c r="BP170" s="236"/>
      <c r="BQ170" s="236"/>
      <c r="BR170" s="236"/>
      <c r="BS170" s="236"/>
      <c r="BT170" s="236"/>
      <c r="BU170" s="236"/>
      <c r="BV170" s="236"/>
      <c r="BW170" s="236"/>
      <c r="BX170" s="236"/>
      <c r="BY170" s="236"/>
      <c r="BZ170" s="236"/>
      <c r="CA170" s="236"/>
      <c r="CB170" s="236"/>
      <c r="CC170" s="236"/>
      <c r="CD170" s="236"/>
      <c r="CE170" s="236"/>
      <c r="CF170" s="236"/>
      <c r="CG170" s="236"/>
      <c r="CH170" s="236"/>
      <c r="CI170" s="236"/>
      <c r="CJ170" s="236"/>
      <c r="CK170" s="236"/>
      <c r="CL170" s="236"/>
      <c r="CM170" s="236"/>
      <c r="CN170" s="236"/>
      <c r="CO170" s="236"/>
      <c r="CP170" s="236"/>
      <c r="CQ170" s="236"/>
      <c r="CR170" s="236"/>
      <c r="CS170" s="236"/>
      <c r="CT170" s="236"/>
      <c r="CU170" s="236"/>
      <c r="CV170" s="236"/>
      <c r="CW170" s="236"/>
      <c r="CX170" s="236"/>
      <c r="CY170" s="236"/>
      <c r="CZ170" s="236"/>
      <c r="DA170" s="236"/>
      <c r="DB170" s="236"/>
      <c r="DC170" s="236"/>
      <c r="DD170" s="236"/>
      <c r="DE170" s="236"/>
      <c r="DF170" s="236"/>
      <c r="DG170" s="236"/>
      <c r="DH170" s="236"/>
      <c r="DI170" s="236"/>
      <c r="DJ170" s="236"/>
      <c r="DK170" s="236"/>
      <c r="DL170" s="236"/>
      <c r="DM170" s="236"/>
      <c r="DN170" s="236"/>
      <c r="DO170" s="236"/>
      <c r="DP170" s="236"/>
      <c r="DQ170" s="236"/>
      <c r="DR170" s="236"/>
      <c r="DS170" s="236"/>
      <c r="DT170" s="236"/>
      <c r="DU170" s="236"/>
      <c r="DV170" s="236"/>
      <c r="DW170" s="236"/>
      <c r="DX170" s="236"/>
      <c r="DY170" s="236"/>
      <c r="DZ170" s="236"/>
      <c r="EA170" s="236"/>
      <c r="EB170" s="236"/>
      <c r="EC170" s="236"/>
      <c r="ED170" s="236"/>
      <c r="EE170" s="236"/>
      <c r="EF170" s="236"/>
      <c r="EG170" s="236"/>
      <c r="EH170" s="236"/>
      <c r="EI170" s="236"/>
      <c r="EJ170" s="236"/>
      <c r="EK170" s="236"/>
      <c r="EL170" s="236"/>
      <c r="EM170" s="236"/>
      <c r="EN170" s="236"/>
      <c r="EO170" s="236"/>
      <c r="EP170" s="236"/>
      <c r="EQ170" s="236"/>
      <c r="ER170" s="236"/>
      <c r="ES170" s="236"/>
      <c r="ET170" s="236"/>
      <c r="EU170" s="236"/>
      <c r="EV170" s="236"/>
      <c r="EW170" s="236"/>
      <c r="EX170" s="236"/>
      <c r="EY170" s="236"/>
      <c r="EZ170" s="236"/>
      <c r="FA170" s="236"/>
      <c r="FB170" s="236"/>
      <c r="FC170" s="236"/>
      <c r="FD170" s="236"/>
      <c r="FE170" s="236"/>
      <c r="FF170" s="236"/>
      <c r="FG170" s="236"/>
      <c r="FH170" s="236"/>
      <c r="FI170" s="236"/>
      <c r="FJ170" s="236"/>
      <c r="FK170" s="236"/>
      <c r="FL170" s="236"/>
      <c r="FM170" s="236"/>
      <c r="FN170" s="236"/>
      <c r="FO170" s="236"/>
      <c r="FP170" s="236"/>
      <c r="FQ170" s="236"/>
      <c r="FR170" s="236"/>
      <c r="FS170" s="236"/>
      <c r="FT170" s="236"/>
      <c r="FU170" s="236"/>
      <c r="FV170" s="236"/>
      <c r="FW170" s="236"/>
      <c r="FX170" s="236"/>
      <c r="FY170" s="236"/>
      <c r="FZ170" s="236"/>
      <c r="GA170" s="236"/>
      <c r="GB170" s="236"/>
      <c r="GC170" s="236"/>
      <c r="GD170" s="236"/>
      <c r="GE170" s="236"/>
      <c r="GF170" s="236"/>
      <c r="GG170" s="236"/>
      <c r="GH170" s="236"/>
      <c r="GI170" s="236"/>
      <c r="GJ170" s="236"/>
      <c r="GK170" s="236"/>
      <c r="GL170" s="236"/>
      <c r="GM170" s="236"/>
      <c r="GN170" s="236"/>
      <c r="GO170" s="236"/>
      <c r="GP170" s="236"/>
      <c r="GQ170" s="236"/>
      <c r="GR170" s="236"/>
      <c r="GS170" s="236"/>
      <c r="GT170" s="236"/>
      <c r="GU170" s="236"/>
      <c r="GV170" s="236"/>
      <c r="GW170" s="236"/>
      <c r="GX170" s="236"/>
      <c r="GY170" s="236"/>
      <c r="GZ170" s="236"/>
      <c r="HA170" s="236"/>
      <c r="HB170" s="236"/>
      <c r="HC170" s="236"/>
      <c r="HD170" s="236"/>
      <c r="HE170" s="236"/>
      <c r="HF170" s="236"/>
      <c r="HG170" s="236"/>
      <c r="HH170" s="236"/>
      <c r="HI170" s="236"/>
      <c r="HJ170" s="236"/>
      <c r="HK170" s="236"/>
      <c r="HL170" s="236"/>
      <c r="HM170" s="236"/>
      <c r="HN170" s="236"/>
      <c r="HO170" s="236"/>
      <c r="HP170" s="236"/>
      <c r="HQ170" s="236"/>
      <c r="HR170" s="236"/>
      <c r="HS170" s="236"/>
      <c r="HT170" s="236"/>
      <c r="HU170" s="236"/>
      <c r="HV170" s="236"/>
      <c r="HW170" s="236"/>
      <c r="HX170" s="236"/>
      <c r="HY170" s="236"/>
      <c r="HZ170" s="236"/>
      <c r="IA170" s="236"/>
      <c r="IB170" s="236"/>
      <c r="IC170" s="236"/>
      <c r="ID170" s="236"/>
      <c r="IE170" s="236"/>
      <c r="IF170" s="236"/>
      <c r="IG170" s="236"/>
      <c r="IH170" s="236"/>
      <c r="II170" s="236"/>
      <c r="IJ170" s="236"/>
      <c r="IK170" s="236"/>
      <c r="IL170" s="236"/>
      <c r="IM170" s="236"/>
      <c r="IN170" s="236"/>
      <c r="IO170" s="236"/>
      <c r="IP170" s="236"/>
      <c r="IQ170" s="236"/>
      <c r="IR170" s="236"/>
      <c r="IS170" s="236"/>
      <c r="IT170" s="236"/>
      <c r="IU170" s="236"/>
      <c r="IV170" s="236"/>
      <c r="IW170" s="236"/>
      <c r="IX170" s="236"/>
      <c r="IY170" s="236"/>
      <c r="IZ170" s="236"/>
      <c r="JA170" s="236"/>
      <c r="JB170" s="236"/>
      <c r="JC170" s="236"/>
      <c r="JD170" s="236"/>
      <c r="JE170" s="236"/>
      <c r="JF170" s="236"/>
      <c r="JG170" s="236"/>
      <c r="JH170" s="236"/>
      <c r="JI170" s="236"/>
      <c r="JJ170" s="236"/>
      <c r="JK170" s="236"/>
      <c r="JL170" s="236"/>
      <c r="JM170" s="236"/>
      <c r="JN170" s="236"/>
      <c r="JO170" s="236"/>
      <c r="JP170" s="236"/>
      <c r="JQ170" s="236"/>
      <c r="JR170" s="236"/>
      <c r="JS170" s="236"/>
      <c r="JT170" s="236"/>
      <c r="JU170" s="236"/>
      <c r="JV170" s="236"/>
      <c r="JW170" s="236"/>
      <c r="JX170" s="236"/>
      <c r="JY170" s="236"/>
      <c r="JZ170" s="236"/>
      <c r="KA170" s="236"/>
      <c r="KB170" s="236"/>
      <c r="KC170" s="236"/>
      <c r="KD170" s="236"/>
      <c r="KE170" s="236"/>
      <c r="KF170" s="236"/>
      <c r="KG170" s="236"/>
      <c r="KH170" s="236"/>
      <c r="KI170" s="236"/>
      <c r="KJ170" s="236"/>
      <c r="KK170" s="236"/>
      <c r="KL170" s="236"/>
      <c r="KM170" s="236"/>
      <c r="KN170" s="236"/>
      <c r="KO170" s="236"/>
      <c r="KP170" s="236"/>
      <c r="KQ170" s="236"/>
      <c r="KR170" s="236"/>
      <c r="KS170" s="236"/>
      <c r="KT170" s="236"/>
      <c r="KU170" s="236"/>
      <c r="KV170" s="236"/>
      <c r="KW170" s="236"/>
      <c r="KX170" s="236"/>
      <c r="KY170" s="236"/>
      <c r="KZ170" s="236"/>
      <c r="LA170" s="236"/>
      <c r="LB170" s="236"/>
      <c r="LC170" s="236"/>
      <c r="LD170" s="236"/>
      <c r="LE170" s="236"/>
      <c r="LF170" s="236"/>
      <c r="LG170" s="236"/>
      <c r="LH170" s="236"/>
      <c r="LI170" s="236"/>
      <c r="LJ170" s="236"/>
      <c r="LK170" s="236"/>
      <c r="LL170" s="236"/>
      <c r="LM170" s="236"/>
      <c r="LN170" s="236"/>
      <c r="LO170" s="236"/>
      <c r="LP170" s="236"/>
      <c r="LQ170" s="236"/>
      <c r="LR170" s="236"/>
      <c r="LS170" s="236"/>
      <c r="LT170" s="236"/>
      <c r="LU170" s="236"/>
      <c r="LV170" s="236"/>
      <c r="LW170" s="236"/>
      <c r="LX170" s="236"/>
      <c r="LY170" s="236"/>
      <c r="LZ170" s="236"/>
      <c r="MA170" s="236"/>
      <c r="MB170" s="236"/>
      <c r="MC170" s="236"/>
      <c r="MD170" s="236"/>
      <c r="ME170" s="236"/>
      <c r="MF170" s="236"/>
      <c r="MG170" s="236"/>
      <c r="MH170" s="236"/>
      <c r="MI170" s="236"/>
      <c r="MJ170" s="236"/>
      <c r="MK170" s="236"/>
      <c r="ML170" s="236"/>
      <c r="MM170" s="236"/>
      <c r="MN170" s="236"/>
      <c r="MO170" s="236"/>
      <c r="MP170" s="236"/>
      <c r="MQ170" s="236"/>
      <c r="MR170" s="236"/>
      <c r="MS170" s="236"/>
      <c r="MT170" s="236"/>
      <c r="MU170" s="236"/>
      <c r="MV170" s="236"/>
      <c r="MW170" s="236"/>
      <c r="MX170" s="236"/>
      <c r="MY170" s="236"/>
      <c r="MZ170" s="236"/>
      <c r="NA170" s="236"/>
      <c r="NB170" s="236"/>
      <c r="NC170" s="236"/>
      <c r="ND170" s="236"/>
      <c r="NE170" s="236"/>
      <c r="NF170" s="236"/>
      <c r="NG170" s="236"/>
      <c r="NH170" s="236"/>
      <c r="NI170" s="236"/>
      <c r="NJ170" s="236"/>
      <c r="NK170" s="236"/>
      <c r="NL170" s="236"/>
      <c r="NM170" s="236"/>
      <c r="NN170" s="236"/>
      <c r="NO170" s="236"/>
      <c r="NP170" s="236"/>
      <c r="NQ170" s="236"/>
      <c r="NR170" s="236"/>
      <c r="NS170" s="236"/>
      <c r="NT170" s="236"/>
      <c r="NU170" s="236"/>
      <c r="NV170" s="236"/>
      <c r="NW170" s="236"/>
      <c r="NX170" s="236"/>
      <c r="NY170" s="236"/>
      <c r="NZ170" s="236"/>
      <c r="OA170" s="236"/>
      <c r="OB170" s="236"/>
      <c r="OC170" s="236"/>
      <c r="OD170" s="236"/>
      <c r="OE170" s="236"/>
      <c r="OF170" s="236"/>
      <c r="OG170" s="236"/>
      <c r="OH170" s="236"/>
      <c r="OI170" s="236"/>
      <c r="OJ170" s="236"/>
      <c r="OK170" s="236"/>
      <c r="OL170" s="236"/>
      <c r="OM170" s="236"/>
      <c r="ON170" s="236"/>
      <c r="OO170" s="236"/>
      <c r="OP170" s="236"/>
      <c r="OQ170" s="236"/>
      <c r="OR170" s="236"/>
      <c r="OS170" s="236"/>
      <c r="OT170" s="236"/>
      <c r="OU170" s="236"/>
      <c r="OV170" s="236"/>
      <c r="OW170" s="236"/>
      <c r="OX170" s="236"/>
      <c r="OY170" s="236"/>
      <c r="OZ170" s="236"/>
      <c r="PA170" s="236"/>
      <c r="PB170" s="236"/>
      <c r="PC170" s="236"/>
      <c r="PD170" s="236"/>
      <c r="PE170" s="236"/>
      <c r="PF170" s="236"/>
      <c r="PG170" s="236"/>
      <c r="PH170" s="236"/>
      <c r="PI170" s="236"/>
      <c r="PJ170" s="236"/>
      <c r="PK170" s="236"/>
      <c r="PL170" s="236"/>
      <c r="PM170" s="236"/>
      <c r="PN170" s="236"/>
      <c r="PO170" s="236"/>
      <c r="PP170" s="236"/>
      <c r="PQ170" s="236"/>
      <c r="PR170" s="236"/>
      <c r="PS170" s="236"/>
      <c r="PT170" s="236"/>
      <c r="PU170" s="236"/>
      <c r="PV170" s="236"/>
      <c r="PW170" s="236"/>
      <c r="PX170" s="236"/>
      <c r="PY170" s="236"/>
      <c r="PZ170" s="236"/>
      <c r="QA170" s="236"/>
      <c r="QB170" s="236"/>
      <c r="QC170" s="236"/>
      <c r="QD170" s="236"/>
      <c r="QE170" s="236"/>
      <c r="QF170" s="236"/>
      <c r="QG170" s="236"/>
      <c r="QH170" s="236"/>
      <c r="QI170" s="236"/>
      <c r="QJ170" s="236"/>
      <c r="QK170" s="236"/>
      <c r="QL170" s="236"/>
      <c r="QM170" s="236"/>
      <c r="QN170" s="236"/>
      <c r="QO170" s="236"/>
      <c r="QP170" s="236"/>
      <c r="QQ170" s="236"/>
      <c r="QR170" s="236"/>
      <c r="QS170" s="236"/>
      <c r="QT170" s="236"/>
      <c r="QU170" s="236"/>
      <c r="QV170" s="236"/>
      <c r="QW170" s="236"/>
      <c r="QX170" s="236"/>
      <c r="QY170" s="236"/>
      <c r="QZ170" s="236"/>
      <c r="RA170" s="236"/>
      <c r="RB170" s="236"/>
      <c r="RC170" s="236"/>
      <c r="RD170" s="236"/>
      <c r="RE170" s="236"/>
      <c r="RF170" s="236"/>
      <c r="RG170" s="236"/>
      <c r="RH170" s="236"/>
      <c r="RI170" s="236"/>
      <c r="RJ170" s="236"/>
      <c r="RK170" s="236"/>
      <c r="RL170" s="236"/>
      <c r="RM170" s="236"/>
      <c r="RN170" s="236"/>
      <c r="RO170" s="236"/>
      <c r="RP170" s="236"/>
      <c r="RQ170" s="236"/>
      <c r="RR170" s="236"/>
      <c r="RS170" s="236"/>
      <c r="RT170" s="236"/>
      <c r="RU170" s="236"/>
      <c r="RV170" s="236"/>
      <c r="RW170" s="236"/>
      <c r="RX170" s="236"/>
      <c r="RY170" s="236"/>
      <c r="RZ170" s="236"/>
      <c r="SA170" s="236"/>
      <c r="SB170" s="236"/>
      <c r="SC170" s="236"/>
      <c r="SD170" s="236"/>
      <c r="SE170" s="236"/>
      <c r="SF170" s="236"/>
      <c r="SG170" s="236"/>
      <c r="SH170" s="236"/>
      <c r="SI170" s="236"/>
      <c r="SJ170" s="236"/>
      <c r="SK170" s="236"/>
      <c r="SL170" s="236"/>
      <c r="SM170" s="236"/>
      <c r="SN170" s="236"/>
      <c r="SO170" s="236"/>
      <c r="SP170" s="236"/>
      <c r="SQ170" s="236"/>
      <c r="SR170" s="236"/>
      <c r="SS170" s="236"/>
      <c r="ST170" s="236"/>
      <c r="SU170" s="236"/>
      <c r="SV170" s="236"/>
      <c r="SW170" s="236"/>
      <c r="SX170" s="236"/>
      <c r="SY170" s="236"/>
      <c r="SZ170" s="236"/>
      <c r="TA170" s="236"/>
      <c r="TB170" s="236"/>
      <c r="TC170" s="236"/>
      <c r="TD170" s="236"/>
      <c r="TE170" s="236"/>
      <c r="TF170" s="236"/>
      <c r="TG170" s="236"/>
      <c r="TH170" s="236"/>
      <c r="TI170" s="236"/>
      <c r="TJ170" s="236"/>
      <c r="TK170" s="236"/>
      <c r="TL170" s="236"/>
      <c r="TM170" s="236"/>
      <c r="TN170" s="236"/>
      <c r="TO170" s="236"/>
      <c r="TP170" s="236"/>
      <c r="TQ170" s="236"/>
      <c r="TR170" s="236"/>
      <c r="TS170" s="236"/>
      <c r="TT170" s="236"/>
      <c r="TU170" s="236"/>
      <c r="TV170" s="236"/>
      <c r="TW170" s="236"/>
      <c r="TX170" s="236"/>
      <c r="TY170" s="236"/>
      <c r="TZ170" s="236"/>
      <c r="UA170" s="236"/>
      <c r="UB170" s="236"/>
      <c r="UC170" s="236"/>
      <c r="UD170" s="236"/>
      <c r="UE170" s="236"/>
      <c r="UF170" s="236"/>
      <c r="UG170" s="236"/>
      <c r="UH170" s="236"/>
      <c r="UI170" s="236"/>
      <c r="UJ170" s="236"/>
      <c r="UK170" s="236"/>
      <c r="UL170" s="236"/>
      <c r="UM170" s="236"/>
      <c r="UN170" s="236"/>
      <c r="UO170" s="236"/>
      <c r="UP170" s="236"/>
      <c r="UQ170" s="236"/>
      <c r="UR170" s="236"/>
      <c r="US170" s="236"/>
      <c r="UT170" s="236"/>
      <c r="UU170" s="236"/>
      <c r="UV170" s="236"/>
      <c r="UW170" s="236"/>
      <c r="UX170" s="236"/>
      <c r="UY170" s="236"/>
      <c r="UZ170" s="236"/>
      <c r="VA170" s="236"/>
      <c r="VB170" s="236"/>
      <c r="VC170" s="236"/>
      <c r="VD170" s="236"/>
      <c r="VE170" s="236"/>
      <c r="VF170" s="236"/>
      <c r="VG170" s="236"/>
      <c r="VH170" s="236"/>
      <c r="VI170" s="236"/>
      <c r="VJ170" s="236"/>
      <c r="VK170" s="236"/>
      <c r="VL170" s="236"/>
      <c r="VM170" s="236"/>
      <c r="VN170" s="236"/>
      <c r="VO170" s="236"/>
      <c r="VP170" s="236"/>
      <c r="VQ170" s="236"/>
      <c r="VR170" s="236"/>
      <c r="VS170" s="236"/>
      <c r="VT170" s="236"/>
      <c r="VU170" s="236"/>
      <c r="VV170" s="236"/>
      <c r="VW170" s="236"/>
      <c r="VX170" s="236"/>
      <c r="VY170" s="236"/>
      <c r="VZ170" s="236"/>
      <c r="WA170" s="236"/>
      <c r="WB170" s="236"/>
      <c r="WC170" s="236"/>
      <c r="WD170" s="236"/>
      <c r="WE170" s="236"/>
      <c r="WF170" s="236"/>
      <c r="WG170" s="236"/>
      <c r="WH170" s="236"/>
      <c r="WI170" s="236"/>
      <c r="WJ170" s="236"/>
      <c r="WK170" s="236"/>
      <c r="WL170" s="236"/>
      <c r="WM170" s="236"/>
      <c r="WN170" s="236"/>
      <c r="WO170" s="236"/>
      <c r="WP170" s="236"/>
      <c r="WQ170" s="236"/>
      <c r="WR170" s="236"/>
      <c r="WS170" s="236"/>
      <c r="WT170" s="236"/>
      <c r="WU170" s="236"/>
      <c r="WV170" s="236"/>
      <c r="WW170" s="236"/>
      <c r="WX170" s="236"/>
      <c r="WY170" s="236"/>
      <c r="WZ170" s="236"/>
      <c r="XA170" s="236"/>
      <c r="XB170" s="236"/>
      <c r="XC170" s="236"/>
      <c r="XD170" s="236"/>
      <c r="XE170" s="236"/>
      <c r="XF170" s="236"/>
      <c r="XG170" s="236"/>
      <c r="XH170" s="236"/>
      <c r="XI170" s="236"/>
      <c r="XJ170" s="236"/>
      <c r="XK170" s="236"/>
      <c r="XL170" s="236"/>
      <c r="XM170" s="236"/>
      <c r="XN170" s="236"/>
      <c r="XO170" s="236"/>
      <c r="XP170" s="236"/>
      <c r="XQ170" s="236"/>
      <c r="XR170" s="236"/>
      <c r="XS170" s="236"/>
      <c r="XT170" s="236"/>
      <c r="XU170" s="236"/>
      <c r="XV170" s="236"/>
      <c r="XW170" s="236"/>
      <c r="XX170" s="236"/>
      <c r="XY170" s="236"/>
      <c r="XZ170" s="236"/>
      <c r="YA170" s="236"/>
      <c r="YB170" s="236"/>
      <c r="YC170" s="236"/>
      <c r="YD170" s="236"/>
      <c r="YE170" s="236"/>
      <c r="YF170" s="236"/>
      <c r="YG170" s="236"/>
      <c r="YH170" s="236"/>
      <c r="YI170" s="236"/>
      <c r="YJ170" s="236"/>
      <c r="YK170" s="236"/>
      <c r="YL170" s="236"/>
      <c r="YM170" s="236"/>
      <c r="YN170" s="236"/>
      <c r="YO170" s="236"/>
      <c r="YP170" s="236"/>
      <c r="YQ170" s="236"/>
      <c r="YR170" s="236"/>
      <c r="YS170" s="236"/>
      <c r="YT170" s="236"/>
      <c r="YU170" s="236"/>
      <c r="YV170" s="236"/>
      <c r="YW170" s="236"/>
      <c r="YX170" s="236"/>
      <c r="YY170" s="236"/>
      <c r="YZ170" s="236"/>
      <c r="ZA170" s="236"/>
      <c r="ZB170" s="236"/>
      <c r="ZC170" s="236"/>
      <c r="ZD170" s="236"/>
      <c r="ZE170" s="236"/>
      <c r="ZF170" s="236"/>
      <c r="ZG170" s="236"/>
      <c r="ZH170" s="236"/>
      <c r="ZI170" s="236"/>
      <c r="ZJ170" s="236"/>
      <c r="ZK170" s="236"/>
      <c r="ZL170" s="236"/>
      <c r="ZM170" s="236"/>
      <c r="ZN170" s="236"/>
      <c r="ZO170" s="236"/>
      <c r="ZP170" s="236"/>
      <c r="ZQ170" s="236"/>
      <c r="ZR170" s="236"/>
      <c r="ZS170" s="236"/>
      <c r="ZT170" s="236"/>
      <c r="ZU170" s="236"/>
      <c r="ZV170" s="236"/>
      <c r="ZW170" s="236"/>
      <c r="ZX170" s="236"/>
      <c r="ZY170" s="236"/>
      <c r="ZZ170" s="236"/>
      <c r="AAA170" s="236"/>
      <c r="AAB170" s="236"/>
      <c r="AAC170" s="236"/>
      <c r="AAD170" s="236"/>
      <c r="AAE170" s="236"/>
      <c r="AAF170" s="236"/>
      <c r="AAG170" s="236"/>
      <c r="AAH170" s="236"/>
      <c r="AAI170" s="236"/>
      <c r="AAJ170" s="236"/>
      <c r="AAK170" s="236"/>
      <c r="AAL170" s="236"/>
      <c r="AAM170" s="236"/>
      <c r="AAN170" s="236"/>
      <c r="AAO170" s="236"/>
      <c r="AAP170" s="236"/>
      <c r="AAQ170" s="236"/>
      <c r="AAR170" s="236"/>
      <c r="AAS170" s="236"/>
      <c r="AAT170" s="236"/>
      <c r="AAU170" s="236"/>
      <c r="AAV170" s="236"/>
      <c r="AAW170" s="236"/>
      <c r="AAX170" s="236"/>
      <c r="AAY170" s="236"/>
      <c r="AAZ170" s="236"/>
      <c r="ABA170" s="236"/>
      <c r="ABB170" s="236"/>
      <c r="ABC170" s="236"/>
      <c r="ABD170" s="236"/>
      <c r="ABE170" s="236"/>
      <c r="ABF170" s="236"/>
      <c r="ABG170" s="236"/>
      <c r="ABH170" s="236"/>
      <c r="ABI170" s="236"/>
      <c r="ABJ170" s="236"/>
      <c r="ABK170" s="236"/>
      <c r="ABL170" s="236"/>
      <c r="ABM170" s="236"/>
      <c r="ABN170" s="236"/>
      <c r="ABO170" s="236"/>
      <c r="ABP170" s="236"/>
      <c r="ABQ170" s="236"/>
      <c r="ABR170" s="236"/>
      <c r="ABS170" s="236"/>
      <c r="ABT170" s="236"/>
      <c r="ABU170" s="236"/>
      <c r="ABV170" s="236"/>
      <c r="ABW170" s="236"/>
      <c r="ABX170" s="236"/>
      <c r="ABY170" s="236"/>
      <c r="ABZ170" s="236"/>
      <c r="ACA170" s="236"/>
      <c r="ACB170" s="236"/>
      <c r="ACC170" s="236"/>
      <c r="ACD170" s="236"/>
      <c r="ACE170" s="236"/>
      <c r="ACF170" s="236"/>
      <c r="ACG170" s="236"/>
      <c r="ACH170" s="236"/>
      <c r="ACI170" s="236"/>
      <c r="ACJ170" s="236"/>
      <c r="ACK170" s="236"/>
      <c r="ACL170" s="236"/>
      <c r="ACM170" s="236"/>
      <c r="ACN170" s="236"/>
      <c r="ACO170" s="236"/>
      <c r="ACP170" s="236"/>
      <c r="ACQ170" s="236"/>
      <c r="ACR170" s="236"/>
      <c r="ACS170" s="236"/>
      <c r="ACT170" s="236"/>
      <c r="ACU170" s="236"/>
      <c r="ACV170" s="236"/>
      <c r="ACW170" s="236"/>
      <c r="ACX170" s="236"/>
      <c r="ACY170" s="236"/>
      <c r="ACZ170" s="236"/>
      <c r="ADA170" s="236"/>
      <c r="ADB170" s="236"/>
      <c r="ADC170" s="236"/>
      <c r="ADD170" s="236"/>
      <c r="ADE170" s="236"/>
      <c r="ADF170" s="236"/>
      <c r="ADG170" s="236"/>
      <c r="ADH170" s="236"/>
      <c r="ADI170" s="236"/>
      <c r="ADJ170" s="236"/>
      <c r="ADK170" s="236"/>
      <c r="ADL170" s="236"/>
      <c r="ADM170" s="236"/>
      <c r="ADN170" s="236"/>
      <c r="ADO170" s="236"/>
      <c r="ADP170" s="236"/>
      <c r="ADQ170" s="236"/>
      <c r="ADR170" s="236"/>
      <c r="ADS170" s="236"/>
      <c r="ADT170" s="236"/>
      <c r="ADU170" s="236"/>
      <c r="ADV170" s="236"/>
      <c r="ADW170" s="236"/>
      <c r="ADX170" s="236"/>
      <c r="ADY170" s="236"/>
      <c r="ADZ170" s="236"/>
      <c r="AEA170" s="236"/>
      <c r="AEB170" s="236"/>
      <c r="AEC170" s="236"/>
      <c r="AED170" s="236"/>
      <c r="AEE170" s="236"/>
      <c r="AEF170" s="236"/>
      <c r="AEG170" s="236"/>
      <c r="AEH170" s="236"/>
      <c r="AEI170" s="236"/>
      <c r="AEJ170" s="236"/>
      <c r="AEK170" s="236"/>
      <c r="AEL170" s="236"/>
      <c r="AEM170" s="236"/>
      <c r="AEN170" s="236"/>
      <c r="AEO170" s="236"/>
      <c r="AEP170" s="236"/>
      <c r="AEQ170" s="236"/>
      <c r="AER170" s="236"/>
      <c r="AES170" s="236"/>
      <c r="AET170" s="236"/>
      <c r="AEU170" s="236"/>
      <c r="AEV170" s="236"/>
      <c r="AEW170" s="236"/>
      <c r="AEX170" s="236"/>
      <c r="AEY170" s="236"/>
      <c r="AEZ170" s="236"/>
      <c r="AFA170" s="236"/>
      <c r="AFB170" s="236"/>
      <c r="AFC170" s="236"/>
      <c r="AFD170" s="236"/>
      <c r="AFE170" s="236"/>
      <c r="AFF170" s="236"/>
      <c r="AFG170" s="236"/>
      <c r="AFH170" s="236"/>
      <c r="AFI170" s="236"/>
      <c r="AFJ170" s="236"/>
      <c r="AFK170" s="236"/>
      <c r="AFL170" s="236"/>
      <c r="AFM170" s="236"/>
      <c r="AFN170" s="236"/>
      <c r="AFO170" s="236"/>
      <c r="AFP170" s="236"/>
      <c r="AFQ170" s="236"/>
      <c r="AFR170" s="236"/>
      <c r="AFS170" s="236"/>
      <c r="AFT170" s="236"/>
      <c r="AFU170" s="236"/>
      <c r="AFV170" s="236"/>
      <c r="AFW170" s="236"/>
      <c r="AFX170" s="236"/>
      <c r="AFY170" s="236"/>
      <c r="AFZ170" s="236"/>
      <c r="AGA170" s="236"/>
      <c r="AGB170" s="236"/>
      <c r="AGC170" s="236"/>
      <c r="AGD170" s="236"/>
      <c r="AGE170" s="236"/>
      <c r="AGF170" s="236"/>
      <c r="AGG170" s="236"/>
      <c r="AGH170" s="236"/>
      <c r="AGI170" s="236"/>
      <c r="AGJ170" s="236"/>
      <c r="AGK170" s="236"/>
      <c r="AGL170" s="236"/>
      <c r="AGM170" s="236"/>
      <c r="AGN170" s="236"/>
      <c r="AGO170" s="236"/>
      <c r="AGP170" s="236"/>
      <c r="AGQ170" s="236"/>
      <c r="AGR170" s="236"/>
      <c r="AGS170" s="236"/>
      <c r="AGT170" s="236"/>
      <c r="AGU170" s="236"/>
      <c r="AGV170" s="236"/>
      <c r="AGW170" s="236"/>
      <c r="AGX170" s="236"/>
      <c r="AGY170" s="236"/>
      <c r="AGZ170" s="236"/>
      <c r="AHA170" s="236"/>
      <c r="AHB170" s="236"/>
      <c r="AHC170" s="236"/>
      <c r="AHD170" s="236"/>
      <c r="AHE170" s="236"/>
      <c r="AHF170" s="236"/>
      <c r="AHG170" s="236"/>
      <c r="AHH170" s="236"/>
      <c r="AHI170" s="236"/>
      <c r="AHJ170" s="236"/>
      <c r="AHK170" s="236"/>
      <c r="AHL170" s="236"/>
      <c r="AHM170" s="236"/>
      <c r="AHN170" s="236"/>
      <c r="AHO170" s="236"/>
      <c r="AHP170" s="236"/>
      <c r="AHQ170" s="236"/>
      <c r="AHR170" s="236"/>
      <c r="AHS170" s="236"/>
      <c r="AHT170" s="236"/>
      <c r="AHU170" s="236"/>
      <c r="AHV170" s="236"/>
      <c r="AHW170" s="236"/>
      <c r="AHX170" s="236"/>
      <c r="AHY170" s="236"/>
      <c r="AHZ170" s="236"/>
      <c r="AIA170" s="236"/>
      <c r="AIB170" s="236"/>
      <c r="AIC170" s="236"/>
      <c r="AID170" s="236"/>
      <c r="AIE170" s="236"/>
      <c r="AIF170" s="236"/>
      <c r="AIG170" s="236"/>
      <c r="AIH170" s="236"/>
      <c r="AII170" s="236"/>
      <c r="AIJ170" s="236"/>
      <c r="AIK170" s="236"/>
      <c r="AIL170" s="236"/>
      <c r="AIM170" s="236"/>
      <c r="AIN170" s="236"/>
      <c r="AIO170" s="236"/>
      <c r="AIP170" s="236"/>
      <c r="AIQ170" s="236"/>
      <c r="AIR170" s="236"/>
      <c r="AIS170" s="236"/>
      <c r="AIT170" s="236"/>
      <c r="AIU170" s="236"/>
      <c r="AIV170" s="236"/>
      <c r="AIW170" s="236"/>
      <c r="AIX170" s="236"/>
      <c r="AIY170" s="236"/>
      <c r="AIZ170" s="236"/>
      <c r="AJA170" s="236"/>
      <c r="AJB170" s="236"/>
      <c r="AJC170" s="236"/>
      <c r="AJD170" s="236"/>
      <c r="AJE170" s="236"/>
      <c r="AJF170" s="236"/>
      <c r="AJG170" s="236"/>
      <c r="AJH170" s="236"/>
      <c r="AJI170" s="236"/>
      <c r="AJJ170" s="236"/>
      <c r="AJK170" s="236"/>
      <c r="AJL170" s="236"/>
      <c r="AJM170" s="236"/>
      <c r="AJN170" s="236"/>
      <c r="AJO170" s="236"/>
      <c r="AJP170" s="236"/>
      <c r="AJQ170" s="236"/>
      <c r="AJR170" s="236"/>
      <c r="AJS170" s="236"/>
      <c r="AJT170" s="236"/>
      <c r="AJU170" s="236"/>
      <c r="AJV170" s="236"/>
      <c r="AJW170" s="236"/>
      <c r="AJX170" s="236"/>
      <c r="AJY170" s="236"/>
      <c r="AJZ170" s="236"/>
      <c r="AKA170" s="236"/>
      <c r="AKB170" s="236"/>
      <c r="AKC170" s="236"/>
      <c r="AKD170" s="236"/>
      <c r="AKE170" s="236"/>
      <c r="AKF170" s="236"/>
      <c r="AKG170" s="236"/>
      <c r="AKH170" s="236"/>
      <c r="AKI170" s="236"/>
      <c r="AKJ170" s="236"/>
      <c r="AKK170" s="236"/>
      <c r="AKL170" s="236"/>
      <c r="AKM170" s="236"/>
      <c r="AKN170" s="236"/>
      <c r="AKO170" s="236"/>
      <c r="AKP170" s="236"/>
      <c r="AKQ170" s="236"/>
      <c r="AKR170" s="236"/>
      <c r="AKS170" s="236"/>
      <c r="AKT170" s="236"/>
      <c r="AKU170" s="236"/>
      <c r="AKV170" s="236"/>
      <c r="AKW170" s="236"/>
      <c r="AKX170" s="236"/>
      <c r="AKY170" s="236"/>
      <c r="AKZ170" s="236"/>
      <c r="ALA170" s="236"/>
      <c r="ALB170" s="236"/>
      <c r="ALC170" s="236"/>
      <c r="ALD170" s="236"/>
      <c r="ALE170" s="236"/>
      <c r="ALF170" s="236"/>
      <c r="ALG170" s="236"/>
      <c r="ALH170" s="236"/>
      <c r="ALI170" s="236"/>
      <c r="ALJ170" s="236"/>
      <c r="ALK170" s="236"/>
      <c r="ALL170" s="236"/>
      <c r="ALM170" s="236"/>
      <c r="ALN170" s="236"/>
      <c r="ALO170" s="236"/>
      <c r="ALP170" s="236"/>
      <c r="ALQ170" s="236"/>
      <c r="ALR170" s="236"/>
      <c r="ALS170" s="236"/>
      <c r="ALT170" s="236"/>
      <c r="ALU170" s="236"/>
      <c r="ALV170" s="236"/>
      <c r="ALW170" s="236"/>
      <c r="ALX170" s="236"/>
      <c r="ALY170" s="236"/>
      <c r="ALZ170" s="236"/>
      <c r="AMA170" s="236"/>
      <c r="AMB170" s="236"/>
      <c r="AMC170" s="236"/>
      <c r="AMD170" s="236"/>
      <c r="AME170" s="236"/>
      <c r="AMF170" s="236"/>
      <c r="AMG170" s="236"/>
      <c r="AMH170" s="236"/>
      <c r="AMI170" s="236"/>
      <c r="AMJ170" s="236"/>
      <c r="AMK170" s="236"/>
      <c r="AML170" s="236"/>
      <c r="AMM170" s="236"/>
    </row>
    <row r="171" spans="1:1027">
      <c r="A171" s="1418"/>
      <c r="B171" s="1419"/>
      <c r="C171" s="1419"/>
      <c r="D171" s="1419"/>
      <c r="E171" s="1419"/>
      <c r="F171" s="1419"/>
      <c r="G171" s="1419"/>
      <c r="H171" s="1419"/>
      <c r="I171" s="1419"/>
      <c r="J171" s="1419"/>
      <c r="K171" s="1419"/>
      <c r="L171" s="1420"/>
      <c r="M171" s="283"/>
      <c r="N171" s="1392" t="s">
        <v>278</v>
      </c>
      <c r="O171" s="1393"/>
      <c r="P171" s="1393"/>
      <c r="Q171" s="1393"/>
      <c r="R171" s="1394"/>
      <c r="S171" s="284"/>
      <c r="T171" s="284"/>
      <c r="U171" s="284"/>
      <c r="V171" s="1392" t="s">
        <v>170</v>
      </c>
      <c r="W171" s="1393"/>
      <c r="X171" s="1393"/>
      <c r="Y171" s="1393"/>
      <c r="Z171" s="1394"/>
      <c r="AA171" s="1065"/>
      <c r="AB171" s="1392" t="s">
        <v>171</v>
      </c>
      <c r="AC171" s="1394"/>
      <c r="AD171" s="1392" t="s">
        <v>172</v>
      </c>
      <c r="AE171" s="1393"/>
      <c r="AF171" s="1393"/>
      <c r="AG171" s="1393"/>
      <c r="AH171" s="1393"/>
      <c r="AI171" s="1393"/>
      <c r="AJ171" s="1393"/>
      <c r="AK171" s="1393"/>
      <c r="AL171" s="1393"/>
      <c r="AM171" s="1394"/>
      <c r="AN171" s="262"/>
      <c r="AO171" s="262"/>
      <c r="AP171" s="262"/>
      <c r="AQ171" s="262"/>
      <c r="AR171" s="262"/>
      <c r="AS171" s="262"/>
      <c r="AT171" s="262"/>
      <c r="AU171" s="262"/>
      <c r="AV171" s="262"/>
      <c r="AW171" s="262"/>
      <c r="AX171" s="262"/>
      <c r="AY171" s="236"/>
      <c r="AZ171" s="236"/>
      <c r="BA171" s="236"/>
      <c r="BB171" s="236"/>
      <c r="BC171" s="236"/>
      <c r="BD171" s="236"/>
      <c r="BE171" s="236"/>
      <c r="BF171" s="236"/>
      <c r="BG171" s="236"/>
      <c r="BH171" s="236"/>
      <c r="BI171" s="236"/>
      <c r="BJ171" s="236"/>
      <c r="BK171" s="236"/>
      <c r="BL171" s="236"/>
      <c r="BM171" s="236"/>
      <c r="BN171" s="236"/>
      <c r="BO171" s="236"/>
      <c r="BP171" s="236"/>
      <c r="BQ171" s="236"/>
      <c r="BR171" s="236"/>
      <c r="BS171" s="236"/>
      <c r="BT171" s="236"/>
      <c r="BU171" s="236"/>
      <c r="BV171" s="236"/>
      <c r="BW171" s="236"/>
      <c r="BX171" s="236"/>
      <c r="BY171" s="236"/>
      <c r="BZ171" s="236"/>
      <c r="CA171" s="236"/>
      <c r="CB171" s="236"/>
      <c r="CC171" s="236"/>
      <c r="CD171" s="236"/>
      <c r="CE171" s="236"/>
      <c r="CF171" s="236"/>
      <c r="CG171" s="236"/>
      <c r="CH171" s="236"/>
      <c r="CI171" s="236"/>
      <c r="CJ171" s="236"/>
      <c r="CK171" s="236"/>
      <c r="CL171" s="236"/>
      <c r="CM171" s="236"/>
      <c r="CN171" s="236"/>
      <c r="CO171" s="236"/>
      <c r="CP171" s="236"/>
      <c r="CQ171" s="236"/>
      <c r="CR171" s="236"/>
      <c r="CS171" s="236"/>
      <c r="CT171" s="236"/>
      <c r="CU171" s="236"/>
      <c r="CV171" s="236"/>
      <c r="CW171" s="236"/>
      <c r="CX171" s="236"/>
      <c r="CY171" s="236"/>
      <c r="CZ171" s="236"/>
      <c r="DA171" s="236"/>
      <c r="DB171" s="236"/>
      <c r="DC171" s="236"/>
      <c r="DD171" s="236"/>
      <c r="DE171" s="236"/>
      <c r="DF171" s="236"/>
      <c r="DG171" s="236"/>
      <c r="DH171" s="236"/>
      <c r="DI171" s="236"/>
      <c r="DJ171" s="236"/>
      <c r="DK171" s="236"/>
      <c r="DL171" s="236"/>
      <c r="DM171" s="236"/>
      <c r="DN171" s="236"/>
      <c r="DO171" s="236"/>
      <c r="DP171" s="236"/>
      <c r="DQ171" s="236"/>
      <c r="DR171" s="236"/>
      <c r="DS171" s="236"/>
      <c r="DT171" s="236"/>
      <c r="DU171" s="236"/>
      <c r="DV171" s="236"/>
      <c r="DW171" s="236"/>
      <c r="DX171" s="236"/>
      <c r="DY171" s="236"/>
      <c r="DZ171" s="236"/>
      <c r="EA171" s="236"/>
      <c r="EB171" s="236"/>
      <c r="EC171" s="236"/>
      <c r="ED171" s="236"/>
      <c r="EE171" s="236"/>
      <c r="EF171" s="236"/>
      <c r="EG171" s="236"/>
      <c r="EH171" s="236"/>
      <c r="EI171" s="236"/>
      <c r="EJ171" s="236"/>
      <c r="EK171" s="236"/>
      <c r="EL171" s="236"/>
      <c r="EM171" s="236"/>
      <c r="EN171" s="236"/>
      <c r="EO171" s="236"/>
      <c r="EP171" s="236"/>
      <c r="EQ171" s="236"/>
      <c r="ER171" s="236"/>
      <c r="ES171" s="236"/>
      <c r="ET171" s="236"/>
      <c r="EU171" s="236"/>
      <c r="EV171" s="236"/>
      <c r="EW171" s="236"/>
      <c r="EX171" s="236"/>
      <c r="EY171" s="236"/>
      <c r="EZ171" s="236"/>
      <c r="FA171" s="236"/>
      <c r="FB171" s="236"/>
      <c r="FC171" s="236"/>
      <c r="FD171" s="236"/>
      <c r="FE171" s="236"/>
      <c r="FF171" s="236"/>
      <c r="FG171" s="236"/>
      <c r="FH171" s="236"/>
      <c r="FI171" s="236"/>
      <c r="FJ171" s="236"/>
      <c r="FK171" s="236"/>
      <c r="FL171" s="236"/>
      <c r="FM171" s="236"/>
      <c r="FN171" s="236"/>
      <c r="FO171" s="236"/>
      <c r="FP171" s="236"/>
      <c r="FQ171" s="236"/>
      <c r="FR171" s="236"/>
      <c r="FS171" s="236"/>
      <c r="FT171" s="236"/>
      <c r="FU171" s="236"/>
      <c r="FV171" s="236"/>
      <c r="FW171" s="236"/>
      <c r="FX171" s="236"/>
      <c r="FY171" s="236"/>
      <c r="FZ171" s="236"/>
      <c r="GA171" s="236"/>
      <c r="GB171" s="236"/>
      <c r="GC171" s="236"/>
      <c r="GD171" s="236"/>
      <c r="GE171" s="236"/>
      <c r="GF171" s="236"/>
      <c r="GG171" s="236"/>
      <c r="GH171" s="236"/>
      <c r="GI171" s="236"/>
      <c r="GJ171" s="236"/>
      <c r="GK171" s="236"/>
      <c r="GL171" s="236"/>
      <c r="GM171" s="236"/>
      <c r="GN171" s="236"/>
      <c r="GO171" s="236"/>
      <c r="GP171" s="236"/>
      <c r="GQ171" s="236"/>
      <c r="GR171" s="236"/>
      <c r="GS171" s="236"/>
      <c r="GT171" s="236"/>
      <c r="GU171" s="236"/>
      <c r="GV171" s="236"/>
      <c r="GW171" s="236"/>
      <c r="GX171" s="236"/>
      <c r="GY171" s="236"/>
      <c r="GZ171" s="236"/>
      <c r="HA171" s="236"/>
      <c r="HB171" s="236"/>
      <c r="HC171" s="236"/>
      <c r="HD171" s="236"/>
      <c r="HE171" s="236"/>
      <c r="HF171" s="236"/>
      <c r="HG171" s="236"/>
      <c r="HH171" s="236"/>
      <c r="HI171" s="236"/>
      <c r="HJ171" s="236"/>
      <c r="HK171" s="236"/>
      <c r="HL171" s="236"/>
      <c r="HM171" s="236"/>
      <c r="HN171" s="236"/>
      <c r="HO171" s="236"/>
      <c r="HP171" s="236"/>
      <c r="HQ171" s="236"/>
      <c r="HR171" s="236"/>
      <c r="HS171" s="236"/>
      <c r="HT171" s="236"/>
      <c r="HU171" s="236"/>
      <c r="HV171" s="236"/>
      <c r="HW171" s="236"/>
      <c r="HX171" s="236"/>
      <c r="HY171" s="236"/>
      <c r="HZ171" s="236"/>
      <c r="IA171" s="236"/>
      <c r="IB171" s="236"/>
      <c r="IC171" s="236"/>
      <c r="ID171" s="236"/>
      <c r="IE171" s="236"/>
      <c r="IF171" s="236"/>
      <c r="IG171" s="236"/>
      <c r="IH171" s="236"/>
      <c r="II171" s="236"/>
      <c r="IJ171" s="236"/>
      <c r="IK171" s="236"/>
      <c r="IL171" s="236"/>
      <c r="IM171" s="236"/>
      <c r="IN171" s="236"/>
      <c r="IO171" s="236"/>
      <c r="IP171" s="236"/>
      <c r="IQ171" s="236"/>
      <c r="IR171" s="236"/>
      <c r="IS171" s="236"/>
      <c r="IT171" s="236"/>
      <c r="IU171" s="236"/>
      <c r="IV171" s="236"/>
      <c r="IW171" s="236"/>
      <c r="IX171" s="236"/>
      <c r="IY171" s="236"/>
      <c r="IZ171" s="236"/>
      <c r="JA171" s="236"/>
      <c r="JB171" s="236"/>
      <c r="JC171" s="236"/>
      <c r="JD171" s="236"/>
      <c r="JE171" s="236"/>
      <c r="JF171" s="236"/>
      <c r="JG171" s="236"/>
      <c r="JH171" s="236"/>
      <c r="JI171" s="236"/>
      <c r="JJ171" s="236"/>
      <c r="JK171" s="236"/>
      <c r="JL171" s="236"/>
      <c r="JM171" s="236"/>
      <c r="JN171" s="236"/>
      <c r="JO171" s="236"/>
      <c r="JP171" s="236"/>
      <c r="JQ171" s="236"/>
      <c r="JR171" s="236"/>
      <c r="JS171" s="236"/>
      <c r="JT171" s="236"/>
      <c r="JU171" s="236"/>
      <c r="JV171" s="236"/>
      <c r="JW171" s="236"/>
      <c r="JX171" s="236"/>
      <c r="JY171" s="236"/>
      <c r="JZ171" s="236"/>
      <c r="KA171" s="236"/>
      <c r="KB171" s="236"/>
      <c r="KC171" s="236"/>
      <c r="KD171" s="236"/>
      <c r="KE171" s="236"/>
      <c r="KF171" s="236"/>
      <c r="KG171" s="236"/>
      <c r="KH171" s="236"/>
      <c r="KI171" s="236"/>
      <c r="KJ171" s="236"/>
      <c r="KK171" s="236"/>
      <c r="KL171" s="236"/>
      <c r="KM171" s="236"/>
      <c r="KN171" s="236"/>
      <c r="KO171" s="236"/>
      <c r="KP171" s="236"/>
      <c r="KQ171" s="236"/>
      <c r="KR171" s="236"/>
      <c r="KS171" s="236"/>
      <c r="KT171" s="236"/>
      <c r="KU171" s="236"/>
      <c r="KV171" s="236"/>
      <c r="KW171" s="236"/>
      <c r="KX171" s="236"/>
      <c r="KY171" s="236"/>
      <c r="KZ171" s="236"/>
      <c r="LA171" s="236"/>
      <c r="LB171" s="236"/>
      <c r="LC171" s="236"/>
      <c r="LD171" s="236"/>
      <c r="LE171" s="236"/>
      <c r="LF171" s="236"/>
      <c r="LG171" s="236"/>
      <c r="LH171" s="236"/>
      <c r="LI171" s="236"/>
      <c r="LJ171" s="236"/>
      <c r="LK171" s="236"/>
      <c r="LL171" s="236"/>
      <c r="LM171" s="236"/>
      <c r="LN171" s="236"/>
      <c r="LO171" s="236"/>
      <c r="LP171" s="236"/>
      <c r="LQ171" s="236"/>
      <c r="LR171" s="236"/>
      <c r="LS171" s="236"/>
      <c r="LT171" s="236"/>
      <c r="LU171" s="236"/>
      <c r="LV171" s="236"/>
      <c r="LW171" s="236"/>
      <c r="LX171" s="236"/>
      <c r="LY171" s="236"/>
      <c r="LZ171" s="236"/>
      <c r="MA171" s="236"/>
      <c r="MB171" s="236"/>
      <c r="MC171" s="236"/>
      <c r="MD171" s="236"/>
      <c r="ME171" s="236"/>
      <c r="MF171" s="236"/>
      <c r="MG171" s="236"/>
      <c r="MH171" s="236"/>
      <c r="MI171" s="236"/>
      <c r="MJ171" s="236"/>
      <c r="MK171" s="236"/>
      <c r="ML171" s="236"/>
      <c r="MM171" s="236"/>
      <c r="MN171" s="236"/>
      <c r="MO171" s="236"/>
      <c r="MP171" s="236"/>
      <c r="MQ171" s="236"/>
      <c r="MR171" s="236"/>
      <c r="MS171" s="236"/>
      <c r="MT171" s="236"/>
      <c r="MU171" s="236"/>
      <c r="MV171" s="236"/>
      <c r="MW171" s="236"/>
      <c r="MX171" s="236"/>
      <c r="MY171" s="236"/>
      <c r="MZ171" s="236"/>
      <c r="NA171" s="236"/>
      <c r="NB171" s="236"/>
      <c r="NC171" s="236"/>
      <c r="ND171" s="236"/>
      <c r="NE171" s="236"/>
      <c r="NF171" s="236"/>
      <c r="NG171" s="236"/>
      <c r="NH171" s="236"/>
      <c r="NI171" s="236"/>
      <c r="NJ171" s="236"/>
      <c r="NK171" s="236"/>
      <c r="NL171" s="236"/>
      <c r="NM171" s="236"/>
      <c r="NN171" s="236"/>
      <c r="NO171" s="236"/>
      <c r="NP171" s="236"/>
      <c r="NQ171" s="236"/>
      <c r="NR171" s="236"/>
      <c r="NS171" s="236"/>
      <c r="NT171" s="236"/>
      <c r="NU171" s="236"/>
      <c r="NV171" s="236"/>
      <c r="NW171" s="236"/>
      <c r="NX171" s="236"/>
      <c r="NY171" s="236"/>
      <c r="NZ171" s="236"/>
      <c r="OA171" s="236"/>
      <c r="OB171" s="236"/>
      <c r="OC171" s="236"/>
      <c r="OD171" s="236"/>
      <c r="OE171" s="236"/>
      <c r="OF171" s="236"/>
      <c r="OG171" s="236"/>
      <c r="OH171" s="236"/>
      <c r="OI171" s="236"/>
      <c r="OJ171" s="236"/>
      <c r="OK171" s="236"/>
      <c r="OL171" s="236"/>
      <c r="OM171" s="236"/>
      <c r="ON171" s="236"/>
      <c r="OO171" s="236"/>
      <c r="OP171" s="236"/>
      <c r="OQ171" s="236"/>
      <c r="OR171" s="236"/>
      <c r="OS171" s="236"/>
      <c r="OT171" s="236"/>
      <c r="OU171" s="236"/>
      <c r="OV171" s="236"/>
      <c r="OW171" s="236"/>
      <c r="OX171" s="236"/>
      <c r="OY171" s="236"/>
      <c r="OZ171" s="236"/>
      <c r="PA171" s="236"/>
      <c r="PB171" s="236"/>
      <c r="PC171" s="236"/>
      <c r="PD171" s="236"/>
      <c r="PE171" s="236"/>
      <c r="PF171" s="236"/>
      <c r="PG171" s="236"/>
      <c r="PH171" s="236"/>
      <c r="PI171" s="236"/>
      <c r="PJ171" s="236"/>
      <c r="PK171" s="236"/>
      <c r="PL171" s="236"/>
      <c r="PM171" s="236"/>
      <c r="PN171" s="236"/>
      <c r="PO171" s="236"/>
      <c r="PP171" s="236"/>
      <c r="PQ171" s="236"/>
      <c r="PR171" s="236"/>
      <c r="PS171" s="236"/>
      <c r="PT171" s="236"/>
      <c r="PU171" s="236"/>
      <c r="PV171" s="236"/>
      <c r="PW171" s="236"/>
      <c r="PX171" s="236"/>
      <c r="PY171" s="236"/>
      <c r="PZ171" s="236"/>
      <c r="QA171" s="236"/>
      <c r="QB171" s="236"/>
      <c r="QC171" s="236"/>
      <c r="QD171" s="236"/>
      <c r="QE171" s="236"/>
      <c r="QF171" s="236"/>
      <c r="QG171" s="236"/>
      <c r="QH171" s="236"/>
      <c r="QI171" s="236"/>
      <c r="QJ171" s="236"/>
      <c r="QK171" s="236"/>
      <c r="QL171" s="236"/>
      <c r="QM171" s="236"/>
      <c r="QN171" s="236"/>
      <c r="QO171" s="236"/>
      <c r="QP171" s="236"/>
      <c r="QQ171" s="236"/>
      <c r="QR171" s="236"/>
      <c r="QS171" s="236"/>
      <c r="QT171" s="236"/>
      <c r="QU171" s="236"/>
      <c r="QV171" s="236"/>
      <c r="QW171" s="236"/>
      <c r="QX171" s="236"/>
      <c r="QY171" s="236"/>
      <c r="QZ171" s="236"/>
      <c r="RA171" s="236"/>
      <c r="RB171" s="236"/>
      <c r="RC171" s="236"/>
      <c r="RD171" s="236"/>
      <c r="RE171" s="236"/>
      <c r="RF171" s="236"/>
      <c r="RG171" s="236"/>
      <c r="RH171" s="236"/>
      <c r="RI171" s="236"/>
      <c r="RJ171" s="236"/>
      <c r="RK171" s="236"/>
      <c r="RL171" s="236"/>
      <c r="RM171" s="236"/>
      <c r="RN171" s="236"/>
      <c r="RO171" s="236"/>
      <c r="RP171" s="236"/>
      <c r="RQ171" s="236"/>
      <c r="RR171" s="236"/>
      <c r="RS171" s="236"/>
      <c r="RT171" s="236"/>
      <c r="RU171" s="236"/>
      <c r="RV171" s="236"/>
      <c r="RW171" s="236"/>
      <c r="RX171" s="236"/>
      <c r="RY171" s="236"/>
      <c r="RZ171" s="236"/>
      <c r="SA171" s="236"/>
      <c r="SB171" s="236"/>
      <c r="SC171" s="236"/>
      <c r="SD171" s="236"/>
      <c r="SE171" s="236"/>
      <c r="SF171" s="236"/>
      <c r="SG171" s="236"/>
      <c r="SH171" s="236"/>
      <c r="SI171" s="236"/>
      <c r="SJ171" s="236"/>
      <c r="SK171" s="236"/>
      <c r="SL171" s="236"/>
      <c r="SM171" s="236"/>
      <c r="SN171" s="236"/>
      <c r="SO171" s="236"/>
      <c r="SP171" s="236"/>
      <c r="SQ171" s="236"/>
      <c r="SR171" s="236"/>
      <c r="SS171" s="236"/>
      <c r="ST171" s="236"/>
      <c r="SU171" s="236"/>
      <c r="SV171" s="236"/>
      <c r="SW171" s="236"/>
      <c r="SX171" s="236"/>
      <c r="SY171" s="236"/>
      <c r="SZ171" s="236"/>
      <c r="TA171" s="236"/>
      <c r="TB171" s="236"/>
      <c r="TC171" s="236"/>
      <c r="TD171" s="236"/>
      <c r="TE171" s="236"/>
      <c r="TF171" s="236"/>
      <c r="TG171" s="236"/>
      <c r="TH171" s="236"/>
      <c r="TI171" s="236"/>
      <c r="TJ171" s="236"/>
      <c r="TK171" s="236"/>
      <c r="TL171" s="236"/>
      <c r="TM171" s="236"/>
      <c r="TN171" s="236"/>
      <c r="TO171" s="236"/>
      <c r="TP171" s="236"/>
      <c r="TQ171" s="236"/>
      <c r="TR171" s="236"/>
      <c r="TS171" s="236"/>
      <c r="TT171" s="236"/>
      <c r="TU171" s="236"/>
      <c r="TV171" s="236"/>
      <c r="TW171" s="236"/>
      <c r="TX171" s="236"/>
      <c r="TY171" s="236"/>
      <c r="TZ171" s="236"/>
      <c r="UA171" s="236"/>
      <c r="UB171" s="236"/>
      <c r="UC171" s="236"/>
      <c r="UD171" s="236"/>
      <c r="UE171" s="236"/>
      <c r="UF171" s="236"/>
      <c r="UG171" s="236"/>
      <c r="UH171" s="236"/>
      <c r="UI171" s="236"/>
      <c r="UJ171" s="236"/>
      <c r="UK171" s="236"/>
      <c r="UL171" s="236"/>
      <c r="UM171" s="236"/>
      <c r="UN171" s="236"/>
      <c r="UO171" s="236"/>
      <c r="UP171" s="236"/>
      <c r="UQ171" s="236"/>
      <c r="UR171" s="236"/>
      <c r="US171" s="236"/>
      <c r="UT171" s="236"/>
      <c r="UU171" s="236"/>
      <c r="UV171" s="236"/>
      <c r="UW171" s="236"/>
      <c r="UX171" s="236"/>
      <c r="UY171" s="236"/>
      <c r="UZ171" s="236"/>
      <c r="VA171" s="236"/>
      <c r="VB171" s="236"/>
      <c r="VC171" s="236"/>
      <c r="VD171" s="236"/>
      <c r="VE171" s="236"/>
      <c r="VF171" s="236"/>
      <c r="VG171" s="236"/>
      <c r="VH171" s="236"/>
      <c r="VI171" s="236"/>
      <c r="VJ171" s="236"/>
      <c r="VK171" s="236"/>
      <c r="VL171" s="236"/>
      <c r="VM171" s="236"/>
      <c r="VN171" s="236"/>
      <c r="VO171" s="236"/>
      <c r="VP171" s="236"/>
      <c r="VQ171" s="236"/>
      <c r="VR171" s="236"/>
      <c r="VS171" s="236"/>
      <c r="VT171" s="236"/>
      <c r="VU171" s="236"/>
      <c r="VV171" s="236"/>
      <c r="VW171" s="236"/>
      <c r="VX171" s="236"/>
      <c r="VY171" s="236"/>
      <c r="VZ171" s="236"/>
      <c r="WA171" s="236"/>
      <c r="WB171" s="236"/>
      <c r="WC171" s="236"/>
      <c r="WD171" s="236"/>
      <c r="WE171" s="236"/>
      <c r="WF171" s="236"/>
      <c r="WG171" s="236"/>
      <c r="WH171" s="236"/>
      <c r="WI171" s="236"/>
      <c r="WJ171" s="236"/>
      <c r="WK171" s="236"/>
      <c r="WL171" s="236"/>
      <c r="WM171" s="236"/>
      <c r="WN171" s="236"/>
      <c r="WO171" s="236"/>
      <c r="WP171" s="236"/>
      <c r="WQ171" s="236"/>
      <c r="WR171" s="236"/>
      <c r="WS171" s="236"/>
      <c r="WT171" s="236"/>
      <c r="WU171" s="236"/>
      <c r="WV171" s="236"/>
      <c r="WW171" s="236"/>
      <c r="WX171" s="236"/>
      <c r="WY171" s="236"/>
      <c r="WZ171" s="236"/>
      <c r="XA171" s="236"/>
      <c r="XB171" s="236"/>
      <c r="XC171" s="236"/>
      <c r="XD171" s="236"/>
      <c r="XE171" s="236"/>
      <c r="XF171" s="236"/>
      <c r="XG171" s="236"/>
      <c r="XH171" s="236"/>
      <c r="XI171" s="236"/>
      <c r="XJ171" s="236"/>
      <c r="XK171" s="236"/>
      <c r="XL171" s="236"/>
      <c r="XM171" s="236"/>
      <c r="XN171" s="236"/>
      <c r="XO171" s="236"/>
      <c r="XP171" s="236"/>
      <c r="XQ171" s="236"/>
      <c r="XR171" s="236"/>
      <c r="XS171" s="236"/>
      <c r="XT171" s="236"/>
      <c r="XU171" s="236"/>
      <c r="XV171" s="236"/>
      <c r="XW171" s="236"/>
      <c r="XX171" s="236"/>
      <c r="XY171" s="236"/>
      <c r="XZ171" s="236"/>
      <c r="YA171" s="236"/>
      <c r="YB171" s="236"/>
      <c r="YC171" s="236"/>
      <c r="YD171" s="236"/>
      <c r="YE171" s="236"/>
      <c r="YF171" s="236"/>
      <c r="YG171" s="236"/>
      <c r="YH171" s="236"/>
      <c r="YI171" s="236"/>
      <c r="YJ171" s="236"/>
      <c r="YK171" s="236"/>
      <c r="YL171" s="236"/>
      <c r="YM171" s="236"/>
      <c r="YN171" s="236"/>
      <c r="YO171" s="236"/>
      <c r="YP171" s="236"/>
      <c r="YQ171" s="236"/>
      <c r="YR171" s="236"/>
      <c r="YS171" s="236"/>
      <c r="YT171" s="236"/>
      <c r="YU171" s="236"/>
      <c r="YV171" s="236"/>
      <c r="YW171" s="236"/>
      <c r="YX171" s="236"/>
      <c r="YY171" s="236"/>
      <c r="YZ171" s="236"/>
      <c r="ZA171" s="236"/>
      <c r="ZB171" s="236"/>
      <c r="ZC171" s="236"/>
      <c r="ZD171" s="236"/>
      <c r="ZE171" s="236"/>
      <c r="ZF171" s="236"/>
      <c r="ZG171" s="236"/>
      <c r="ZH171" s="236"/>
      <c r="ZI171" s="236"/>
      <c r="ZJ171" s="236"/>
      <c r="ZK171" s="236"/>
      <c r="ZL171" s="236"/>
      <c r="ZM171" s="236"/>
      <c r="ZN171" s="236"/>
      <c r="ZO171" s="236"/>
      <c r="ZP171" s="236"/>
      <c r="ZQ171" s="236"/>
      <c r="ZR171" s="236"/>
      <c r="ZS171" s="236"/>
      <c r="ZT171" s="236"/>
      <c r="ZU171" s="236"/>
      <c r="ZV171" s="236"/>
      <c r="ZW171" s="236"/>
      <c r="ZX171" s="236"/>
      <c r="ZY171" s="236"/>
      <c r="ZZ171" s="236"/>
      <c r="AAA171" s="236"/>
      <c r="AAB171" s="236"/>
      <c r="AAC171" s="236"/>
      <c r="AAD171" s="236"/>
      <c r="AAE171" s="236"/>
      <c r="AAF171" s="236"/>
      <c r="AAG171" s="236"/>
      <c r="AAH171" s="236"/>
      <c r="AAI171" s="236"/>
      <c r="AAJ171" s="236"/>
      <c r="AAK171" s="236"/>
      <c r="AAL171" s="236"/>
      <c r="AAM171" s="236"/>
      <c r="AAN171" s="236"/>
      <c r="AAO171" s="236"/>
      <c r="AAP171" s="236"/>
      <c r="AAQ171" s="236"/>
      <c r="AAR171" s="236"/>
      <c r="AAS171" s="236"/>
      <c r="AAT171" s="236"/>
      <c r="AAU171" s="236"/>
      <c r="AAV171" s="236"/>
      <c r="AAW171" s="236"/>
      <c r="AAX171" s="236"/>
      <c r="AAY171" s="236"/>
      <c r="AAZ171" s="236"/>
      <c r="ABA171" s="236"/>
      <c r="ABB171" s="236"/>
      <c r="ABC171" s="236"/>
      <c r="ABD171" s="236"/>
      <c r="ABE171" s="236"/>
      <c r="ABF171" s="236"/>
      <c r="ABG171" s="236"/>
      <c r="ABH171" s="236"/>
      <c r="ABI171" s="236"/>
      <c r="ABJ171" s="236"/>
      <c r="ABK171" s="236"/>
      <c r="ABL171" s="236"/>
      <c r="ABM171" s="236"/>
      <c r="ABN171" s="236"/>
      <c r="ABO171" s="236"/>
      <c r="ABP171" s="236"/>
      <c r="ABQ171" s="236"/>
      <c r="ABR171" s="236"/>
      <c r="ABS171" s="236"/>
      <c r="ABT171" s="236"/>
      <c r="ABU171" s="236"/>
      <c r="ABV171" s="236"/>
      <c r="ABW171" s="236"/>
      <c r="ABX171" s="236"/>
      <c r="ABY171" s="236"/>
      <c r="ABZ171" s="236"/>
      <c r="ACA171" s="236"/>
      <c r="ACB171" s="236"/>
      <c r="ACC171" s="236"/>
      <c r="ACD171" s="236"/>
      <c r="ACE171" s="236"/>
      <c r="ACF171" s="236"/>
      <c r="ACG171" s="236"/>
      <c r="ACH171" s="236"/>
      <c r="ACI171" s="236"/>
      <c r="ACJ171" s="236"/>
      <c r="ACK171" s="236"/>
      <c r="ACL171" s="236"/>
      <c r="ACM171" s="236"/>
      <c r="ACN171" s="236"/>
      <c r="ACO171" s="236"/>
      <c r="ACP171" s="236"/>
      <c r="ACQ171" s="236"/>
      <c r="ACR171" s="236"/>
      <c r="ACS171" s="236"/>
      <c r="ACT171" s="236"/>
      <c r="ACU171" s="236"/>
      <c r="ACV171" s="236"/>
      <c r="ACW171" s="236"/>
      <c r="ACX171" s="236"/>
      <c r="ACY171" s="236"/>
      <c r="ACZ171" s="236"/>
      <c r="ADA171" s="236"/>
      <c r="ADB171" s="236"/>
      <c r="ADC171" s="236"/>
      <c r="ADD171" s="236"/>
      <c r="ADE171" s="236"/>
      <c r="ADF171" s="236"/>
      <c r="ADG171" s="236"/>
      <c r="ADH171" s="236"/>
      <c r="ADI171" s="236"/>
      <c r="ADJ171" s="236"/>
      <c r="ADK171" s="236"/>
      <c r="ADL171" s="236"/>
      <c r="ADM171" s="236"/>
      <c r="ADN171" s="236"/>
      <c r="ADO171" s="236"/>
      <c r="ADP171" s="236"/>
      <c r="ADQ171" s="236"/>
      <c r="ADR171" s="236"/>
      <c r="ADS171" s="236"/>
      <c r="ADT171" s="236"/>
      <c r="ADU171" s="236"/>
      <c r="ADV171" s="236"/>
      <c r="ADW171" s="236"/>
      <c r="ADX171" s="236"/>
      <c r="ADY171" s="236"/>
      <c r="ADZ171" s="236"/>
      <c r="AEA171" s="236"/>
      <c r="AEB171" s="236"/>
      <c r="AEC171" s="236"/>
      <c r="AED171" s="236"/>
      <c r="AEE171" s="236"/>
      <c r="AEF171" s="236"/>
      <c r="AEG171" s="236"/>
      <c r="AEH171" s="236"/>
      <c r="AEI171" s="236"/>
      <c r="AEJ171" s="236"/>
      <c r="AEK171" s="236"/>
      <c r="AEL171" s="236"/>
      <c r="AEM171" s="236"/>
      <c r="AEN171" s="236"/>
      <c r="AEO171" s="236"/>
      <c r="AEP171" s="236"/>
      <c r="AEQ171" s="236"/>
      <c r="AER171" s="236"/>
      <c r="AES171" s="236"/>
      <c r="AET171" s="236"/>
      <c r="AEU171" s="236"/>
      <c r="AEV171" s="236"/>
      <c r="AEW171" s="236"/>
      <c r="AEX171" s="236"/>
      <c r="AEY171" s="236"/>
      <c r="AEZ171" s="236"/>
      <c r="AFA171" s="236"/>
      <c r="AFB171" s="236"/>
      <c r="AFC171" s="236"/>
      <c r="AFD171" s="236"/>
      <c r="AFE171" s="236"/>
      <c r="AFF171" s="236"/>
      <c r="AFG171" s="236"/>
      <c r="AFH171" s="236"/>
      <c r="AFI171" s="236"/>
      <c r="AFJ171" s="236"/>
      <c r="AFK171" s="236"/>
      <c r="AFL171" s="236"/>
      <c r="AFM171" s="236"/>
      <c r="AFN171" s="236"/>
      <c r="AFO171" s="236"/>
      <c r="AFP171" s="236"/>
      <c r="AFQ171" s="236"/>
      <c r="AFR171" s="236"/>
      <c r="AFS171" s="236"/>
      <c r="AFT171" s="236"/>
      <c r="AFU171" s="236"/>
      <c r="AFV171" s="236"/>
      <c r="AFW171" s="236"/>
      <c r="AFX171" s="236"/>
      <c r="AFY171" s="236"/>
      <c r="AFZ171" s="236"/>
      <c r="AGA171" s="236"/>
      <c r="AGB171" s="236"/>
      <c r="AGC171" s="236"/>
      <c r="AGD171" s="236"/>
      <c r="AGE171" s="236"/>
      <c r="AGF171" s="236"/>
      <c r="AGG171" s="236"/>
      <c r="AGH171" s="236"/>
      <c r="AGI171" s="236"/>
      <c r="AGJ171" s="236"/>
      <c r="AGK171" s="236"/>
      <c r="AGL171" s="236"/>
      <c r="AGM171" s="236"/>
      <c r="AGN171" s="236"/>
      <c r="AGO171" s="236"/>
      <c r="AGP171" s="236"/>
      <c r="AGQ171" s="236"/>
      <c r="AGR171" s="236"/>
      <c r="AGS171" s="236"/>
      <c r="AGT171" s="236"/>
      <c r="AGU171" s="236"/>
      <c r="AGV171" s="236"/>
      <c r="AGW171" s="236"/>
      <c r="AGX171" s="236"/>
      <c r="AGY171" s="236"/>
      <c r="AGZ171" s="236"/>
      <c r="AHA171" s="236"/>
      <c r="AHB171" s="236"/>
      <c r="AHC171" s="236"/>
      <c r="AHD171" s="236"/>
      <c r="AHE171" s="236"/>
      <c r="AHF171" s="236"/>
      <c r="AHG171" s="236"/>
      <c r="AHH171" s="236"/>
      <c r="AHI171" s="236"/>
      <c r="AHJ171" s="236"/>
      <c r="AHK171" s="236"/>
      <c r="AHL171" s="236"/>
      <c r="AHM171" s="236"/>
      <c r="AHN171" s="236"/>
      <c r="AHO171" s="236"/>
      <c r="AHP171" s="236"/>
      <c r="AHQ171" s="236"/>
      <c r="AHR171" s="236"/>
      <c r="AHS171" s="236"/>
      <c r="AHT171" s="236"/>
      <c r="AHU171" s="236"/>
      <c r="AHV171" s="236"/>
      <c r="AHW171" s="236"/>
      <c r="AHX171" s="236"/>
      <c r="AHY171" s="236"/>
      <c r="AHZ171" s="236"/>
      <c r="AIA171" s="236"/>
      <c r="AIB171" s="236"/>
      <c r="AIC171" s="236"/>
      <c r="AID171" s="236"/>
      <c r="AIE171" s="236"/>
      <c r="AIF171" s="236"/>
      <c r="AIG171" s="236"/>
      <c r="AIH171" s="236"/>
      <c r="AII171" s="236"/>
      <c r="AIJ171" s="236"/>
      <c r="AIK171" s="236"/>
      <c r="AIL171" s="236"/>
      <c r="AIM171" s="236"/>
      <c r="AIN171" s="236"/>
      <c r="AIO171" s="236"/>
      <c r="AIP171" s="236"/>
      <c r="AIQ171" s="236"/>
      <c r="AIR171" s="236"/>
      <c r="AIS171" s="236"/>
      <c r="AIT171" s="236"/>
      <c r="AIU171" s="236"/>
      <c r="AIV171" s="236"/>
      <c r="AIW171" s="236"/>
      <c r="AIX171" s="236"/>
      <c r="AIY171" s="236"/>
      <c r="AIZ171" s="236"/>
      <c r="AJA171" s="236"/>
      <c r="AJB171" s="236"/>
      <c r="AJC171" s="236"/>
      <c r="AJD171" s="236"/>
      <c r="AJE171" s="236"/>
      <c r="AJF171" s="236"/>
      <c r="AJG171" s="236"/>
      <c r="AJH171" s="236"/>
      <c r="AJI171" s="236"/>
      <c r="AJJ171" s="236"/>
      <c r="AJK171" s="236"/>
      <c r="AJL171" s="236"/>
      <c r="AJM171" s="236"/>
      <c r="AJN171" s="236"/>
      <c r="AJO171" s="236"/>
      <c r="AJP171" s="236"/>
      <c r="AJQ171" s="236"/>
      <c r="AJR171" s="236"/>
      <c r="AJS171" s="236"/>
      <c r="AJT171" s="236"/>
      <c r="AJU171" s="236"/>
      <c r="AJV171" s="236"/>
      <c r="AJW171" s="236"/>
      <c r="AJX171" s="236"/>
      <c r="AJY171" s="236"/>
      <c r="AJZ171" s="236"/>
      <c r="AKA171" s="236"/>
      <c r="AKB171" s="236"/>
      <c r="AKC171" s="236"/>
      <c r="AKD171" s="236"/>
      <c r="AKE171" s="236"/>
      <c r="AKF171" s="236"/>
      <c r="AKG171" s="236"/>
      <c r="AKH171" s="236"/>
      <c r="AKI171" s="236"/>
      <c r="AKJ171" s="236"/>
      <c r="AKK171" s="236"/>
      <c r="AKL171" s="236"/>
      <c r="AKM171" s="236"/>
      <c r="AKN171" s="236"/>
      <c r="AKO171" s="236"/>
      <c r="AKP171" s="236"/>
      <c r="AKQ171" s="236"/>
      <c r="AKR171" s="236"/>
      <c r="AKS171" s="236"/>
      <c r="AKT171" s="236"/>
      <c r="AKU171" s="236"/>
      <c r="AKV171" s="236"/>
      <c r="AKW171" s="236"/>
      <c r="AKX171" s="236"/>
      <c r="AKY171" s="236"/>
      <c r="AKZ171" s="236"/>
      <c r="ALA171" s="236"/>
      <c r="ALB171" s="236"/>
      <c r="ALC171" s="236"/>
      <c r="ALD171" s="236"/>
      <c r="ALE171" s="236"/>
      <c r="ALF171" s="236"/>
      <c r="ALG171" s="236"/>
      <c r="ALH171" s="236"/>
      <c r="ALI171" s="236"/>
      <c r="ALJ171" s="236"/>
      <c r="ALK171" s="236"/>
      <c r="ALL171" s="236"/>
      <c r="ALM171" s="236"/>
      <c r="ALN171" s="236"/>
      <c r="ALO171" s="236"/>
      <c r="ALP171" s="236"/>
      <c r="ALQ171" s="236"/>
      <c r="ALR171" s="236"/>
      <c r="ALS171" s="236"/>
      <c r="ALT171" s="236"/>
      <c r="ALU171" s="236"/>
      <c r="ALV171" s="236"/>
      <c r="ALW171" s="236"/>
      <c r="ALX171" s="236"/>
      <c r="ALY171" s="236"/>
      <c r="ALZ171" s="236"/>
      <c r="AMA171" s="236"/>
      <c r="AMB171" s="236"/>
      <c r="AMC171" s="236"/>
      <c r="AMD171" s="236"/>
      <c r="AME171" s="236"/>
      <c r="AMF171" s="236"/>
      <c r="AMG171" s="236"/>
      <c r="AMH171" s="236"/>
      <c r="AMI171" s="236"/>
      <c r="AMJ171" s="236"/>
      <c r="AMK171" s="236"/>
      <c r="AML171" s="236"/>
      <c r="AMM171" s="236"/>
    </row>
    <row r="172" spans="1:1027" s="243" customFormat="1" ht="39" customHeight="1">
      <c r="A172" s="1415" t="s">
        <v>1476</v>
      </c>
      <c r="B172" s="2283"/>
      <c r="C172" s="2283"/>
      <c r="D172" s="2283"/>
      <c r="E172" s="2283"/>
      <c r="F172" s="2283"/>
      <c r="G172" s="2283"/>
      <c r="H172" s="2283"/>
      <c r="I172" s="2283"/>
      <c r="J172" s="2283"/>
      <c r="K172" s="2283"/>
      <c r="L172" s="2284"/>
      <c r="M172" s="285"/>
      <c r="N172" s="1409" t="s">
        <v>1477</v>
      </c>
      <c r="O172" s="1410"/>
      <c r="P172" s="1410"/>
      <c r="Q172" s="1410"/>
      <c r="R172" s="1411"/>
      <c r="S172" s="341"/>
      <c r="T172" s="341"/>
      <c r="U172" s="1272" t="s">
        <v>3291</v>
      </c>
      <c r="V172" s="1273"/>
      <c r="W172" s="1273"/>
      <c r="X172" s="1273"/>
      <c r="Y172" s="1273"/>
      <c r="Z172" s="1274"/>
      <c r="AA172" s="1069"/>
      <c r="AB172" s="1382" t="s">
        <v>3504</v>
      </c>
      <c r="AC172" s="2289"/>
      <c r="AD172" s="1396"/>
      <c r="AE172" s="1397"/>
      <c r="AF172" s="1397"/>
      <c r="AG172" s="1397"/>
      <c r="AH172" s="1397"/>
      <c r="AI172" s="1397"/>
      <c r="AJ172" s="1397"/>
      <c r="AK172" s="1397"/>
      <c r="AL172" s="1397"/>
      <c r="AM172" s="1398"/>
      <c r="AN172" s="245"/>
      <c r="AO172" s="245"/>
      <c r="AP172" s="245"/>
      <c r="AQ172" s="245"/>
      <c r="AR172" s="245"/>
      <c r="AS172" s="245"/>
      <c r="AT172" s="245"/>
      <c r="AU172" s="245"/>
      <c r="AV172" s="245"/>
      <c r="AW172" s="245"/>
      <c r="AX172" s="245"/>
    </row>
    <row r="173" spans="1:1027" s="243" customFormat="1" ht="39" customHeight="1">
      <c r="A173" s="2285"/>
      <c r="B173" s="2283"/>
      <c r="C173" s="2283"/>
      <c r="D173" s="2283"/>
      <c r="E173" s="2283"/>
      <c r="F173" s="2283"/>
      <c r="G173" s="2283"/>
      <c r="H173" s="2283"/>
      <c r="I173" s="2283"/>
      <c r="J173" s="2283"/>
      <c r="K173" s="2283"/>
      <c r="L173" s="2284"/>
      <c r="M173" s="285"/>
      <c r="N173" s="1409" t="s">
        <v>1478</v>
      </c>
      <c r="O173" s="1410"/>
      <c r="P173" s="1410"/>
      <c r="Q173" s="1410"/>
      <c r="R173" s="1411"/>
      <c r="S173" s="341"/>
      <c r="T173" s="341"/>
      <c r="U173" s="1272" t="s">
        <v>853</v>
      </c>
      <c r="V173" s="1273"/>
      <c r="W173" s="1273"/>
      <c r="X173" s="1273"/>
      <c r="Y173" s="1273"/>
      <c r="Z173" s="1274"/>
      <c r="AA173" s="1069"/>
      <c r="AB173" s="1382" t="s">
        <v>1488</v>
      </c>
      <c r="AC173" s="2289"/>
      <c r="AD173" s="1396"/>
      <c r="AE173" s="1397"/>
      <c r="AF173" s="1397"/>
      <c r="AG173" s="1397"/>
      <c r="AH173" s="1397"/>
      <c r="AI173" s="1397"/>
      <c r="AJ173" s="1397"/>
      <c r="AK173" s="1397"/>
      <c r="AL173" s="1397"/>
      <c r="AM173" s="1398"/>
      <c r="AN173" s="245"/>
      <c r="AO173" s="245"/>
      <c r="AP173" s="245"/>
      <c r="AQ173" s="245"/>
      <c r="AR173" s="245"/>
      <c r="AS173" s="245"/>
      <c r="AT173" s="245"/>
      <c r="AU173" s="245"/>
      <c r="AV173" s="245"/>
      <c r="AW173" s="245"/>
      <c r="AX173" s="245"/>
    </row>
    <row r="174" spans="1:1027" s="243" customFormat="1" ht="38.25" customHeight="1">
      <c r="A174" s="2285"/>
      <c r="B174" s="2283"/>
      <c r="C174" s="2283"/>
      <c r="D174" s="2283"/>
      <c r="E174" s="2283"/>
      <c r="F174" s="2283"/>
      <c r="G174" s="2283"/>
      <c r="H174" s="2283"/>
      <c r="I174" s="2283"/>
      <c r="J174" s="2283"/>
      <c r="K174" s="2283"/>
      <c r="L174" s="2284"/>
      <c r="M174" s="285"/>
      <c r="N174" s="1409" t="s">
        <v>1480</v>
      </c>
      <c r="O174" s="1410"/>
      <c r="P174" s="1410"/>
      <c r="Q174" s="1410"/>
      <c r="R174" s="1411"/>
      <c r="S174" s="341"/>
      <c r="T174" s="341"/>
      <c r="U174" s="1272" t="s">
        <v>4095</v>
      </c>
      <c r="V174" s="1273"/>
      <c r="W174" s="1273"/>
      <c r="X174" s="1273"/>
      <c r="Y174" s="1273"/>
      <c r="Z174" s="1274"/>
      <c r="AA174" s="1069"/>
      <c r="AB174" s="1382" t="s">
        <v>353</v>
      </c>
      <c r="AC174" s="1382"/>
      <c r="AD174" s="1396"/>
      <c r="AE174" s="1397"/>
      <c r="AF174" s="1397"/>
      <c r="AG174" s="1397"/>
      <c r="AH174" s="1397"/>
      <c r="AI174" s="1397"/>
      <c r="AJ174" s="1397"/>
      <c r="AK174" s="1397"/>
      <c r="AL174" s="1397"/>
      <c r="AM174" s="1398"/>
      <c r="AN174" s="245"/>
      <c r="AO174" s="245"/>
      <c r="AP174" s="245"/>
      <c r="AQ174" s="245"/>
      <c r="AR174" s="245"/>
      <c r="AS174" s="245"/>
      <c r="AT174" s="245"/>
      <c r="AU174" s="245"/>
      <c r="AV174" s="245"/>
      <c r="AW174" s="245"/>
      <c r="AX174" s="245"/>
    </row>
    <row r="175" spans="1:1027" s="243" customFormat="1" ht="30" customHeight="1">
      <c r="A175" s="2286"/>
      <c r="B175" s="2287"/>
      <c r="C175" s="2287"/>
      <c r="D175" s="2287"/>
      <c r="E175" s="2287"/>
      <c r="F175" s="2287"/>
      <c r="G175" s="2287"/>
      <c r="H175" s="2287"/>
      <c r="I175" s="2287"/>
      <c r="J175" s="2287"/>
      <c r="K175" s="2287"/>
      <c r="L175" s="2288"/>
      <c r="M175" s="285"/>
      <c r="N175" s="1396"/>
      <c r="O175" s="1397"/>
      <c r="P175" s="1397"/>
      <c r="Q175" s="1397"/>
      <c r="R175" s="1398"/>
      <c r="S175" s="286"/>
      <c r="T175" s="286"/>
      <c r="U175" s="286"/>
      <c r="V175" s="1396"/>
      <c r="W175" s="1397"/>
      <c r="X175" s="1397"/>
      <c r="Y175" s="1397"/>
      <c r="Z175" s="1398"/>
      <c r="AA175" s="1062"/>
      <c r="AB175" s="1396"/>
      <c r="AC175" s="1398"/>
      <c r="AD175" s="1396"/>
      <c r="AE175" s="1397"/>
      <c r="AF175" s="1397"/>
      <c r="AG175" s="1397"/>
      <c r="AH175" s="1397"/>
      <c r="AI175" s="1397"/>
      <c r="AJ175" s="1397"/>
      <c r="AK175" s="1397"/>
      <c r="AL175" s="1397"/>
      <c r="AM175" s="1398"/>
      <c r="AN175" s="245"/>
      <c r="AO175" s="245"/>
      <c r="AP175" s="245"/>
      <c r="AQ175" s="245"/>
      <c r="AR175" s="245"/>
      <c r="AS175" s="245"/>
      <c r="AT175" s="245"/>
      <c r="AU175" s="245"/>
      <c r="AV175" s="245"/>
      <c r="AW175" s="245"/>
      <c r="AX175" s="245"/>
    </row>
    <row r="176" spans="1:1027" s="243" customFormat="1" ht="30" customHeight="1">
      <c r="A176" s="300"/>
      <c r="B176" s="300"/>
      <c r="C176" s="300"/>
      <c r="D176" s="300"/>
      <c r="E176" s="300"/>
      <c r="F176" s="300"/>
      <c r="G176" s="300"/>
      <c r="H176" s="300"/>
      <c r="I176" s="300"/>
      <c r="J176" s="300"/>
      <c r="K176" s="300"/>
      <c r="L176" s="300"/>
      <c r="M176" s="285"/>
      <c r="N176" s="1403"/>
      <c r="O176" s="1403"/>
      <c r="P176" s="1403"/>
      <c r="Q176" s="1403"/>
      <c r="R176" s="1403"/>
      <c r="S176" s="288"/>
      <c r="T176" s="288"/>
      <c r="U176" s="288"/>
      <c r="V176" s="1403"/>
      <c r="W176" s="1403"/>
      <c r="X176" s="1403"/>
      <c r="Y176" s="1403"/>
      <c r="Z176" s="1403"/>
      <c r="AA176" s="1064"/>
      <c r="AB176" s="795"/>
      <c r="AC176" s="795"/>
      <c r="AD176" s="288"/>
      <c r="AE176" s="288"/>
      <c r="AF176" s="288"/>
      <c r="AG176" s="288"/>
      <c r="AH176" s="288"/>
      <c r="AI176" s="288"/>
      <c r="AJ176" s="288"/>
      <c r="AK176" s="288"/>
      <c r="AL176" s="288"/>
      <c r="AM176" s="288"/>
      <c r="AN176" s="245"/>
      <c r="AO176" s="245"/>
      <c r="AP176" s="245"/>
      <c r="AQ176" s="245"/>
      <c r="AR176" s="245"/>
      <c r="AS176" s="245"/>
      <c r="AT176" s="245"/>
      <c r="AU176" s="245"/>
      <c r="AV176" s="245"/>
      <c r="AW176" s="245"/>
      <c r="AX176" s="245"/>
    </row>
    <row r="177" spans="1:50" s="235" customFormat="1" ht="11.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row>
    <row r="178" spans="1:50" s="235" customFormat="1" ht="11.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c r="AK178" s="233"/>
      <c r="AL178" s="233"/>
      <c r="AM178" s="233"/>
    </row>
  </sheetData>
  <sheetProtection formatCells="0" formatColumns="0" formatRows="0" insertRows="0" deleteColumns="0" sort="0" autoFilter="0"/>
  <mergeCells count="1217">
    <mergeCell ref="AA55:AA58"/>
    <mergeCell ref="AA59:AA62"/>
    <mergeCell ref="AA63:AA66"/>
    <mergeCell ref="AA67:AA71"/>
    <mergeCell ref="AA72:AA76"/>
    <mergeCell ref="AA77:AA79"/>
    <mergeCell ref="AA80:AA83"/>
    <mergeCell ref="A7:A8"/>
    <mergeCell ref="B7:B8"/>
    <mergeCell ref="C7:E8"/>
    <mergeCell ref="F7:F8"/>
    <mergeCell ref="G7:I8"/>
    <mergeCell ref="J7:L8"/>
    <mergeCell ref="M7:P7"/>
    <mergeCell ref="Q7:V7"/>
    <mergeCell ref="X7:Z8"/>
    <mergeCell ref="J12:L13"/>
    <mergeCell ref="M12:M13"/>
    <mergeCell ref="N12:N13"/>
    <mergeCell ref="O12:O13"/>
    <mergeCell ref="P12:P13"/>
    <mergeCell ref="Q12:Q13"/>
    <mergeCell ref="A12:A13"/>
    <mergeCell ref="B12:B13"/>
    <mergeCell ref="C12:E13"/>
    <mergeCell ref="F12:F13"/>
    <mergeCell ref="I4:N4"/>
    <mergeCell ref="O4:V4"/>
    <mergeCell ref="AP4:AQ4"/>
    <mergeCell ref="AR4:AS4"/>
    <mergeCell ref="A6:P6"/>
    <mergeCell ref="Q6:V6"/>
    <mergeCell ref="X6:AM6"/>
    <mergeCell ref="AW1:AX4"/>
    <mergeCell ref="G2:V2"/>
    <mergeCell ref="AP2:AQ2"/>
    <mergeCell ref="AR2:AS2"/>
    <mergeCell ref="A3:A4"/>
    <mergeCell ref="G3:H3"/>
    <mergeCell ref="I3:N3"/>
    <mergeCell ref="O3:V3"/>
    <mergeCell ref="Z3:AB4"/>
    <mergeCell ref="AC3:AC4"/>
    <mergeCell ref="G1:V1"/>
    <mergeCell ref="X1:Y4"/>
    <mergeCell ref="Z1:AB2"/>
    <mergeCell ref="AC1:AC2"/>
    <mergeCell ref="AD1:AN2"/>
    <mergeCell ref="AO7:AO8"/>
    <mergeCell ref="AP7:AP8"/>
    <mergeCell ref="AQ7:AQ8"/>
    <mergeCell ref="AR7:AR8"/>
    <mergeCell ref="AS7:AS8"/>
    <mergeCell ref="AT7:AT8"/>
    <mergeCell ref="AB7:AB8"/>
    <mergeCell ref="AC7:AC8"/>
    <mergeCell ref="AD7:AD8"/>
    <mergeCell ref="AE7:AE8"/>
    <mergeCell ref="AI7:AM7"/>
    <mergeCell ref="AN7:AN8"/>
    <mergeCell ref="AJ9:AJ11"/>
    <mergeCell ref="AK9:AK11"/>
    <mergeCell ref="T9:T11"/>
    <mergeCell ref="U9:U11"/>
    <mergeCell ref="V9:V11"/>
    <mergeCell ref="X9:Z9"/>
    <mergeCell ref="AB9:AB11"/>
    <mergeCell ref="AD9:AD11"/>
    <mergeCell ref="AA9:AA11"/>
    <mergeCell ref="AE9:AE11"/>
    <mergeCell ref="AG9:AG11"/>
    <mergeCell ref="AH9:AH11"/>
    <mergeCell ref="AI9:AI11"/>
    <mergeCell ref="AX7:AX8"/>
    <mergeCell ref="AP1:AS1"/>
    <mergeCell ref="AD3:AN4"/>
    <mergeCell ref="AP3:AQ3"/>
    <mergeCell ref="AR3:AS3"/>
    <mergeCell ref="G4:H4"/>
    <mergeCell ref="AT6:AX6"/>
    <mergeCell ref="AA12:AA13"/>
    <mergeCell ref="G12:I12"/>
    <mergeCell ref="AR9:AR11"/>
    <mergeCell ref="AS9:AS11"/>
    <mergeCell ref="AT9:AT11"/>
    <mergeCell ref="AU9:AU11"/>
    <mergeCell ref="AV9:AV11"/>
    <mergeCell ref="AW9:AW11"/>
    <mergeCell ref="AL9:AL11"/>
    <mergeCell ref="AM9:AM11"/>
    <mergeCell ref="AN9:AN11"/>
    <mergeCell ref="AO9:AO11"/>
    <mergeCell ref="AP9:AP11"/>
    <mergeCell ref="AQ9:AQ11"/>
    <mergeCell ref="AU7:AU8"/>
    <mergeCell ref="AV7:AV8"/>
    <mergeCell ref="AW7:AW8"/>
    <mergeCell ref="AA7:AA8"/>
    <mergeCell ref="G9:I9"/>
    <mergeCell ref="J9:L11"/>
    <mergeCell ref="AW12:AW13"/>
    <mergeCell ref="AQ12:AQ13"/>
    <mergeCell ref="AR12:AR13"/>
    <mergeCell ref="AS12:AS13"/>
    <mergeCell ref="AT12:AT13"/>
    <mergeCell ref="AX9:AX11"/>
    <mergeCell ref="G10:I10"/>
    <mergeCell ref="X10:Z10"/>
    <mergeCell ref="G11:I11"/>
    <mergeCell ref="X11:Z11"/>
    <mergeCell ref="AX12:AX13"/>
    <mergeCell ref="F9:F11"/>
    <mergeCell ref="AD12:AD13"/>
    <mergeCell ref="AE12:AE13"/>
    <mergeCell ref="AG12:AG13"/>
    <mergeCell ref="AH12:AH13"/>
    <mergeCell ref="AI12:AI13"/>
    <mergeCell ref="AJ12:AJ13"/>
    <mergeCell ref="G13:I13"/>
    <mergeCell ref="X13:Z13"/>
    <mergeCell ref="M9:M11"/>
    <mergeCell ref="N9:N11"/>
    <mergeCell ref="O9:O11"/>
    <mergeCell ref="P9:P11"/>
    <mergeCell ref="Q9:Q11"/>
    <mergeCell ref="R9:R11"/>
    <mergeCell ref="AU12:AU13"/>
    <mergeCell ref="AV12:AV13"/>
    <mergeCell ref="AK12:AK13"/>
    <mergeCell ref="AL12:AL13"/>
    <mergeCell ref="AM12:AM13"/>
    <mergeCell ref="AN12:AN13"/>
    <mergeCell ref="AO12:AO13"/>
    <mergeCell ref="AP12:AP13"/>
    <mergeCell ref="A9:A11"/>
    <mergeCell ref="B9:B11"/>
    <mergeCell ref="C9:E11"/>
    <mergeCell ref="AH14:AH17"/>
    <mergeCell ref="AI14:AI17"/>
    <mergeCell ref="AJ14:AJ17"/>
    <mergeCell ref="AK14:AK17"/>
    <mergeCell ref="T14:T17"/>
    <mergeCell ref="U14:U17"/>
    <mergeCell ref="V14:V17"/>
    <mergeCell ref="X14:Z14"/>
    <mergeCell ref="AB14:AB17"/>
    <mergeCell ref="AD14:AD17"/>
    <mergeCell ref="M14:M17"/>
    <mergeCell ref="N14:N17"/>
    <mergeCell ref="O14:O17"/>
    <mergeCell ref="P14:P17"/>
    <mergeCell ref="Q14:Q17"/>
    <mergeCell ref="R14:R17"/>
    <mergeCell ref="AB12:AB13"/>
    <mergeCell ref="AE14:AE17"/>
    <mergeCell ref="AG14:AG17"/>
    <mergeCell ref="A14:A17"/>
    <mergeCell ref="B14:B17"/>
    <mergeCell ref="C14:E17"/>
    <mergeCell ref="F14:F17"/>
    <mergeCell ref="G14:I14"/>
    <mergeCell ref="J14:L17"/>
    <mergeCell ref="R12:R13"/>
    <mergeCell ref="T12:T13"/>
    <mergeCell ref="U12:U13"/>
    <mergeCell ref="V12:V13"/>
    <mergeCell ref="AA14:AA17"/>
    <mergeCell ref="AA18:AA21"/>
    <mergeCell ref="A18:A21"/>
    <mergeCell ref="B18:B21"/>
    <mergeCell ref="C18:E21"/>
    <mergeCell ref="F18:F21"/>
    <mergeCell ref="G18:I18"/>
    <mergeCell ref="J18:L21"/>
    <mergeCell ref="X12:Z12"/>
    <mergeCell ref="AX14:AX17"/>
    <mergeCell ref="G15:I15"/>
    <mergeCell ref="X15:Z15"/>
    <mergeCell ref="G16:I16"/>
    <mergeCell ref="X16:Z16"/>
    <mergeCell ref="G17:I17"/>
    <mergeCell ref="X17:Z17"/>
    <mergeCell ref="AR14:AR17"/>
    <mergeCell ref="AS14:AS17"/>
    <mergeCell ref="AT14:AT17"/>
    <mergeCell ref="AU14:AU17"/>
    <mergeCell ref="AV14:AV17"/>
    <mergeCell ref="AW14:AW17"/>
    <mergeCell ref="AL14:AL17"/>
    <mergeCell ref="AM14:AM17"/>
    <mergeCell ref="AN14:AN17"/>
    <mergeCell ref="AO14:AO17"/>
    <mergeCell ref="AP14:AP17"/>
    <mergeCell ref="AQ14:AQ17"/>
    <mergeCell ref="AX18:AX21"/>
    <mergeCell ref="G19:I19"/>
    <mergeCell ref="X19:Z19"/>
    <mergeCell ref="G20:I20"/>
    <mergeCell ref="X20:Z20"/>
    <mergeCell ref="G21:I21"/>
    <mergeCell ref="X21:Z21"/>
    <mergeCell ref="AR18:AR21"/>
    <mergeCell ref="AS18:AS21"/>
    <mergeCell ref="AT18:AT21"/>
    <mergeCell ref="AU18:AU21"/>
    <mergeCell ref="AV18:AV21"/>
    <mergeCell ref="AW18:AW21"/>
    <mergeCell ref="AL18:AL21"/>
    <mergeCell ref="AM18:AM21"/>
    <mergeCell ref="AN18:AN21"/>
    <mergeCell ref="AO18:AO21"/>
    <mergeCell ref="AP18:AP21"/>
    <mergeCell ref="AQ18:AQ21"/>
    <mergeCell ref="AE18:AE21"/>
    <mergeCell ref="AG18:AG21"/>
    <mergeCell ref="AH18:AH21"/>
    <mergeCell ref="AI18:AI21"/>
    <mergeCell ref="AJ18:AJ21"/>
    <mergeCell ref="AK18:AK21"/>
    <mergeCell ref="T18:T21"/>
    <mergeCell ref="U18:U21"/>
    <mergeCell ref="V18:V21"/>
    <mergeCell ref="X18:Z18"/>
    <mergeCell ref="AB18:AB21"/>
    <mergeCell ref="AD18:AD21"/>
    <mergeCell ref="M18:M21"/>
    <mergeCell ref="N18:N21"/>
    <mergeCell ref="O18:O21"/>
    <mergeCell ref="P18:P21"/>
    <mergeCell ref="Q18:Q21"/>
    <mergeCell ref="T22:T24"/>
    <mergeCell ref="U22:U24"/>
    <mergeCell ref="V22:V24"/>
    <mergeCell ref="X22:Z22"/>
    <mergeCell ref="AB22:AB24"/>
    <mergeCell ref="AD22:AD24"/>
    <mergeCell ref="M22:M24"/>
    <mergeCell ref="N22:N24"/>
    <mergeCell ref="O22:O24"/>
    <mergeCell ref="P22:P24"/>
    <mergeCell ref="Q22:Q24"/>
    <mergeCell ref="R22:R24"/>
    <mergeCell ref="A22:A24"/>
    <mergeCell ref="B22:B24"/>
    <mergeCell ref="C22:E24"/>
    <mergeCell ref="F22:F24"/>
    <mergeCell ref="G22:I22"/>
    <mergeCell ref="J22:L24"/>
    <mergeCell ref="AA22:AA24"/>
    <mergeCell ref="R18:R21"/>
    <mergeCell ref="N25:N27"/>
    <mergeCell ref="O25:O27"/>
    <mergeCell ref="P25:P27"/>
    <mergeCell ref="Q25:Q27"/>
    <mergeCell ref="AX22:AX24"/>
    <mergeCell ref="G23:I23"/>
    <mergeCell ref="X23:Z23"/>
    <mergeCell ref="G24:I24"/>
    <mergeCell ref="X24:Z24"/>
    <mergeCell ref="A25:A27"/>
    <mergeCell ref="B25:B27"/>
    <mergeCell ref="C25:E27"/>
    <mergeCell ref="F25:F27"/>
    <mergeCell ref="G25:I25"/>
    <mergeCell ref="AR22:AR24"/>
    <mergeCell ref="AS22:AS24"/>
    <mergeCell ref="AT22:AT24"/>
    <mergeCell ref="AU22:AU24"/>
    <mergeCell ref="AV22:AV24"/>
    <mergeCell ref="AW22:AW24"/>
    <mergeCell ref="AL22:AL24"/>
    <mergeCell ref="AM22:AM24"/>
    <mergeCell ref="AN22:AN24"/>
    <mergeCell ref="AO22:AO24"/>
    <mergeCell ref="AP22:AP24"/>
    <mergeCell ref="AQ22:AQ24"/>
    <mergeCell ref="AE22:AE24"/>
    <mergeCell ref="AG22:AG24"/>
    <mergeCell ref="AH22:AH24"/>
    <mergeCell ref="AI22:AI24"/>
    <mergeCell ref="AJ22:AJ24"/>
    <mergeCell ref="AK22:AK24"/>
    <mergeCell ref="AW25:AW27"/>
    <mergeCell ref="AX25:AX27"/>
    <mergeCell ref="G26:I26"/>
    <mergeCell ref="X26:Z26"/>
    <mergeCell ref="G27:I27"/>
    <mergeCell ref="X27:Z27"/>
    <mergeCell ref="AQ25:AQ27"/>
    <mergeCell ref="AR25:AR27"/>
    <mergeCell ref="AS25:AS27"/>
    <mergeCell ref="AT25:AT27"/>
    <mergeCell ref="AU25:AU27"/>
    <mergeCell ref="AV25:AV27"/>
    <mergeCell ref="AK25:AK27"/>
    <mergeCell ref="AL25:AL27"/>
    <mergeCell ref="AM25:AM27"/>
    <mergeCell ref="AN25:AN27"/>
    <mergeCell ref="AO25:AO27"/>
    <mergeCell ref="AP25:AP27"/>
    <mergeCell ref="AD25:AD27"/>
    <mergeCell ref="AE25:AE27"/>
    <mergeCell ref="AG25:AG27"/>
    <mergeCell ref="AH25:AH27"/>
    <mergeCell ref="AI25:AI27"/>
    <mergeCell ref="AJ25:AJ27"/>
    <mergeCell ref="R25:R27"/>
    <mergeCell ref="T25:T27"/>
    <mergeCell ref="U25:U27"/>
    <mergeCell ref="V25:V27"/>
    <mergeCell ref="X25:Z25"/>
    <mergeCell ref="AB25:AB27"/>
    <mergeCell ref="J25:L27"/>
    <mergeCell ref="M25:M27"/>
    <mergeCell ref="AK28:AK32"/>
    <mergeCell ref="T28:T32"/>
    <mergeCell ref="U28:U32"/>
    <mergeCell ref="V28:V32"/>
    <mergeCell ref="X28:Z28"/>
    <mergeCell ref="AB28:AB32"/>
    <mergeCell ref="AD28:AD32"/>
    <mergeCell ref="M28:M32"/>
    <mergeCell ref="N28:N32"/>
    <mergeCell ref="O28:O32"/>
    <mergeCell ref="P28:P32"/>
    <mergeCell ref="Q28:Q32"/>
    <mergeCell ref="R28:R32"/>
    <mergeCell ref="A28:A32"/>
    <mergeCell ref="B28:B32"/>
    <mergeCell ref="C28:E32"/>
    <mergeCell ref="F28:F32"/>
    <mergeCell ref="G28:I28"/>
    <mergeCell ref="J28:L32"/>
    <mergeCell ref="AA25:AA27"/>
    <mergeCell ref="AA28:AA32"/>
    <mergeCell ref="A33:A35"/>
    <mergeCell ref="B33:B35"/>
    <mergeCell ref="C33:E35"/>
    <mergeCell ref="F33:F35"/>
    <mergeCell ref="G33:I33"/>
    <mergeCell ref="J33:L35"/>
    <mergeCell ref="AX28:AX32"/>
    <mergeCell ref="G29:I29"/>
    <mergeCell ref="X29:Z29"/>
    <mergeCell ref="G30:I30"/>
    <mergeCell ref="X30:Z30"/>
    <mergeCell ref="G31:I31"/>
    <mergeCell ref="X31:Z31"/>
    <mergeCell ref="G32:I32"/>
    <mergeCell ref="X32:Z32"/>
    <mergeCell ref="AR28:AR32"/>
    <mergeCell ref="AS28:AS32"/>
    <mergeCell ref="AT28:AT32"/>
    <mergeCell ref="AU28:AU32"/>
    <mergeCell ref="AV28:AV32"/>
    <mergeCell ref="AW28:AW32"/>
    <mergeCell ref="AL28:AL32"/>
    <mergeCell ref="AM28:AM32"/>
    <mergeCell ref="AN28:AN32"/>
    <mergeCell ref="AO28:AO32"/>
    <mergeCell ref="AP28:AP32"/>
    <mergeCell ref="AQ28:AQ32"/>
    <mergeCell ref="AE28:AE32"/>
    <mergeCell ref="AG28:AG32"/>
    <mergeCell ref="AH28:AH32"/>
    <mergeCell ref="AI28:AI32"/>
    <mergeCell ref="AJ28:AJ32"/>
    <mergeCell ref="A36:A40"/>
    <mergeCell ref="B36:B40"/>
    <mergeCell ref="C36:E40"/>
    <mergeCell ref="F36:F40"/>
    <mergeCell ref="G36:I36"/>
    <mergeCell ref="AR33:AR35"/>
    <mergeCell ref="AS33:AS35"/>
    <mergeCell ref="AT33:AT35"/>
    <mergeCell ref="AU33:AU35"/>
    <mergeCell ref="AV33:AV35"/>
    <mergeCell ref="AW33:AW35"/>
    <mergeCell ref="AL33:AL35"/>
    <mergeCell ref="AM33:AM35"/>
    <mergeCell ref="AN33:AN35"/>
    <mergeCell ref="AO33:AO35"/>
    <mergeCell ref="AP33:AP35"/>
    <mergeCell ref="AQ33:AQ35"/>
    <mergeCell ref="AE33:AE35"/>
    <mergeCell ref="AG33:AG35"/>
    <mergeCell ref="AH33:AH35"/>
    <mergeCell ref="AI33:AI35"/>
    <mergeCell ref="AJ33:AJ35"/>
    <mergeCell ref="AK33:AK35"/>
    <mergeCell ref="T33:T35"/>
    <mergeCell ref="U33:U35"/>
    <mergeCell ref="V33:V35"/>
    <mergeCell ref="X33:Z33"/>
    <mergeCell ref="AB33:AB35"/>
    <mergeCell ref="AD33:AD35"/>
    <mergeCell ref="M33:M35"/>
    <mergeCell ref="N33:N35"/>
    <mergeCell ref="O33:O35"/>
    <mergeCell ref="AH36:AH40"/>
    <mergeCell ref="AI36:AI40"/>
    <mergeCell ref="AJ36:AJ40"/>
    <mergeCell ref="R36:R40"/>
    <mergeCell ref="T36:T40"/>
    <mergeCell ref="U36:U40"/>
    <mergeCell ref="V36:V40"/>
    <mergeCell ref="X36:Z36"/>
    <mergeCell ref="AB36:AB40"/>
    <mergeCell ref="J36:L40"/>
    <mergeCell ref="M36:M40"/>
    <mergeCell ref="N36:N40"/>
    <mergeCell ref="O36:O40"/>
    <mergeCell ref="P36:P40"/>
    <mergeCell ref="Q36:Q40"/>
    <mergeCell ref="AX33:AX35"/>
    <mergeCell ref="G34:I34"/>
    <mergeCell ref="X34:Z34"/>
    <mergeCell ref="G35:I35"/>
    <mergeCell ref="X35:Z35"/>
    <mergeCell ref="P33:P35"/>
    <mergeCell ref="Q33:Q35"/>
    <mergeCell ref="R33:R35"/>
    <mergeCell ref="AA33:AA35"/>
    <mergeCell ref="AA36:AA40"/>
    <mergeCell ref="A41:A47"/>
    <mergeCell ref="B41:B47"/>
    <mergeCell ref="C41:E47"/>
    <mergeCell ref="F41:F47"/>
    <mergeCell ref="G41:I41"/>
    <mergeCell ref="J41:L47"/>
    <mergeCell ref="G47:I47"/>
    <mergeCell ref="AW36:AW40"/>
    <mergeCell ref="AX36:AX40"/>
    <mergeCell ref="G37:I37"/>
    <mergeCell ref="X37:Z37"/>
    <mergeCell ref="G38:I38"/>
    <mergeCell ref="X38:Z38"/>
    <mergeCell ref="G39:I39"/>
    <mergeCell ref="X39:Z39"/>
    <mergeCell ref="G40:I40"/>
    <mergeCell ref="X40:Z40"/>
    <mergeCell ref="AQ36:AQ40"/>
    <mergeCell ref="AR36:AR40"/>
    <mergeCell ref="AS36:AS40"/>
    <mergeCell ref="AT36:AT40"/>
    <mergeCell ref="AU36:AU40"/>
    <mergeCell ref="AV36:AV40"/>
    <mergeCell ref="AK36:AK40"/>
    <mergeCell ref="AL36:AL40"/>
    <mergeCell ref="AM36:AM40"/>
    <mergeCell ref="AN36:AN40"/>
    <mergeCell ref="AO36:AO40"/>
    <mergeCell ref="AP36:AP40"/>
    <mergeCell ref="AD36:AD40"/>
    <mergeCell ref="AE36:AE40"/>
    <mergeCell ref="AG36:AG40"/>
    <mergeCell ref="AH41:AH47"/>
    <mergeCell ref="AI41:AI47"/>
    <mergeCell ref="AJ41:AJ47"/>
    <mergeCell ref="AK41:AK47"/>
    <mergeCell ref="T41:T47"/>
    <mergeCell ref="U41:U47"/>
    <mergeCell ref="V41:V47"/>
    <mergeCell ref="X41:Z41"/>
    <mergeCell ref="AB41:AB47"/>
    <mergeCell ref="AD41:AD47"/>
    <mergeCell ref="X46:Z46"/>
    <mergeCell ref="X47:Z47"/>
    <mergeCell ref="M41:M47"/>
    <mergeCell ref="N41:N47"/>
    <mergeCell ref="O41:O47"/>
    <mergeCell ref="P41:P47"/>
    <mergeCell ref="Q41:Q47"/>
    <mergeCell ref="R41:R47"/>
    <mergeCell ref="AA41:AA47"/>
    <mergeCell ref="A48:A54"/>
    <mergeCell ref="B48:B54"/>
    <mergeCell ref="C48:E54"/>
    <mergeCell ref="F48:F54"/>
    <mergeCell ref="G48:I48"/>
    <mergeCell ref="J48:L54"/>
    <mergeCell ref="G53:I53"/>
    <mergeCell ref="G54:I54"/>
    <mergeCell ref="AX41:AX47"/>
    <mergeCell ref="G42:I42"/>
    <mergeCell ref="X42:Z42"/>
    <mergeCell ref="G43:I43"/>
    <mergeCell ref="X43:Z43"/>
    <mergeCell ref="G44:I44"/>
    <mergeCell ref="X44:Z44"/>
    <mergeCell ref="G45:I45"/>
    <mergeCell ref="X45:Z45"/>
    <mergeCell ref="G46:I46"/>
    <mergeCell ref="AR41:AR47"/>
    <mergeCell ref="AS41:AS47"/>
    <mergeCell ref="AT41:AT47"/>
    <mergeCell ref="AU41:AU47"/>
    <mergeCell ref="AV41:AV47"/>
    <mergeCell ref="AW41:AW47"/>
    <mergeCell ref="AL41:AL47"/>
    <mergeCell ref="AM41:AM47"/>
    <mergeCell ref="AN41:AN47"/>
    <mergeCell ref="AO41:AO47"/>
    <mergeCell ref="AP41:AP47"/>
    <mergeCell ref="AQ41:AQ47"/>
    <mergeCell ref="AE41:AE47"/>
    <mergeCell ref="AG41:AG47"/>
    <mergeCell ref="AO48:AO54"/>
    <mergeCell ref="AP48:AP54"/>
    <mergeCell ref="AD48:AD54"/>
    <mergeCell ref="AE48:AE54"/>
    <mergeCell ref="AG48:AG54"/>
    <mergeCell ref="AH48:AH54"/>
    <mergeCell ref="AI48:AI54"/>
    <mergeCell ref="AJ48:AJ54"/>
    <mergeCell ref="T48:T54"/>
    <mergeCell ref="U48:U54"/>
    <mergeCell ref="V48:V54"/>
    <mergeCell ref="X48:Z48"/>
    <mergeCell ref="AB48:AB54"/>
    <mergeCell ref="AC48:AC54"/>
    <mergeCell ref="X53:Z53"/>
    <mergeCell ref="X54:Z54"/>
    <mergeCell ref="M48:M54"/>
    <mergeCell ref="N48:N54"/>
    <mergeCell ref="O48:O54"/>
    <mergeCell ref="P48:P54"/>
    <mergeCell ref="Q48:Q54"/>
    <mergeCell ref="R48:R54"/>
    <mergeCell ref="AA48:AA54"/>
    <mergeCell ref="M55:M58"/>
    <mergeCell ref="N55:N58"/>
    <mergeCell ref="O55:O58"/>
    <mergeCell ref="P55:P58"/>
    <mergeCell ref="Q55:Q58"/>
    <mergeCell ref="R55:R58"/>
    <mergeCell ref="A55:A58"/>
    <mergeCell ref="B55:B58"/>
    <mergeCell ref="C55:E58"/>
    <mergeCell ref="F55:F58"/>
    <mergeCell ref="G55:I55"/>
    <mergeCell ref="J55:L58"/>
    <mergeCell ref="AW48:AW54"/>
    <mergeCell ref="AX48:AX54"/>
    <mergeCell ref="G49:I49"/>
    <mergeCell ref="X49:Z49"/>
    <mergeCell ref="G50:I50"/>
    <mergeCell ref="X50:Z50"/>
    <mergeCell ref="G51:I51"/>
    <mergeCell ref="X51:Z51"/>
    <mergeCell ref="G52:I52"/>
    <mergeCell ref="X52:Z52"/>
    <mergeCell ref="AQ48:AQ54"/>
    <mergeCell ref="AR48:AR54"/>
    <mergeCell ref="AS48:AS54"/>
    <mergeCell ref="AT48:AT54"/>
    <mergeCell ref="AU48:AU54"/>
    <mergeCell ref="AV48:AV54"/>
    <mergeCell ref="AK48:AK54"/>
    <mergeCell ref="AL48:AL54"/>
    <mergeCell ref="AM48:AM54"/>
    <mergeCell ref="AN48:AN54"/>
    <mergeCell ref="AW55:AW58"/>
    <mergeCell ref="AX55:AX58"/>
    <mergeCell ref="G56:I56"/>
    <mergeCell ref="X56:Z56"/>
    <mergeCell ref="G57:I57"/>
    <mergeCell ref="X57:Z57"/>
    <mergeCell ref="G58:I58"/>
    <mergeCell ref="X58:Z58"/>
    <mergeCell ref="AQ55:AQ58"/>
    <mergeCell ref="AR55:AR58"/>
    <mergeCell ref="AS55:AS58"/>
    <mergeCell ref="AT55:AT58"/>
    <mergeCell ref="AU55:AU58"/>
    <mergeCell ref="AV55:AV58"/>
    <mergeCell ref="AK55:AK58"/>
    <mergeCell ref="AL55:AL58"/>
    <mergeCell ref="AM55:AM58"/>
    <mergeCell ref="AN55:AN58"/>
    <mergeCell ref="AO55:AO58"/>
    <mergeCell ref="AP55:AP58"/>
    <mergeCell ref="AD55:AD58"/>
    <mergeCell ref="AE55:AE58"/>
    <mergeCell ref="AG55:AG58"/>
    <mergeCell ref="AH55:AH58"/>
    <mergeCell ref="AI55:AI58"/>
    <mergeCell ref="AJ55:AJ58"/>
    <mergeCell ref="T55:T58"/>
    <mergeCell ref="U55:U58"/>
    <mergeCell ref="V55:V58"/>
    <mergeCell ref="X55:Z55"/>
    <mergeCell ref="AB55:AB58"/>
    <mergeCell ref="AC55:AC58"/>
    <mergeCell ref="T59:T62"/>
    <mergeCell ref="U59:U62"/>
    <mergeCell ref="V59:V62"/>
    <mergeCell ref="X59:Z59"/>
    <mergeCell ref="AB59:AB62"/>
    <mergeCell ref="AC59:AC62"/>
    <mergeCell ref="M59:M62"/>
    <mergeCell ref="N59:N62"/>
    <mergeCell ref="O59:O62"/>
    <mergeCell ref="P59:P62"/>
    <mergeCell ref="Q59:Q62"/>
    <mergeCell ref="R59:R62"/>
    <mergeCell ref="A59:A62"/>
    <mergeCell ref="B59:B62"/>
    <mergeCell ref="C59:E62"/>
    <mergeCell ref="F59:F62"/>
    <mergeCell ref="G59:I59"/>
    <mergeCell ref="J59:L62"/>
    <mergeCell ref="A63:A66"/>
    <mergeCell ref="B63:B66"/>
    <mergeCell ref="C63:E66"/>
    <mergeCell ref="F63:F66"/>
    <mergeCell ref="G63:I63"/>
    <mergeCell ref="J63:L66"/>
    <mergeCell ref="AW59:AW62"/>
    <mergeCell ref="AX59:AX62"/>
    <mergeCell ref="G60:I60"/>
    <mergeCell ref="X60:Z60"/>
    <mergeCell ref="G61:I61"/>
    <mergeCell ref="X61:Z61"/>
    <mergeCell ref="G62:I62"/>
    <mergeCell ref="X62:Z62"/>
    <mergeCell ref="AQ59:AQ62"/>
    <mergeCell ref="AR59:AR62"/>
    <mergeCell ref="AS59:AS62"/>
    <mergeCell ref="AT59:AT62"/>
    <mergeCell ref="AU59:AU62"/>
    <mergeCell ref="AV59:AV62"/>
    <mergeCell ref="AK59:AK62"/>
    <mergeCell ref="AL59:AL62"/>
    <mergeCell ref="AM59:AM62"/>
    <mergeCell ref="AN59:AN62"/>
    <mergeCell ref="AO59:AO62"/>
    <mergeCell ref="AP59:AP62"/>
    <mergeCell ref="AD59:AD62"/>
    <mergeCell ref="AE59:AE62"/>
    <mergeCell ref="AG59:AG62"/>
    <mergeCell ref="AH59:AH62"/>
    <mergeCell ref="AI59:AI62"/>
    <mergeCell ref="AJ59:AJ62"/>
    <mergeCell ref="AD63:AD66"/>
    <mergeCell ref="AE63:AE66"/>
    <mergeCell ref="AG63:AG66"/>
    <mergeCell ref="AH63:AH66"/>
    <mergeCell ref="AI63:AI66"/>
    <mergeCell ref="AJ63:AJ66"/>
    <mergeCell ref="T63:T66"/>
    <mergeCell ref="U63:U66"/>
    <mergeCell ref="V63:V66"/>
    <mergeCell ref="X63:Z63"/>
    <mergeCell ref="AB63:AB66"/>
    <mergeCell ref="AC63:AC66"/>
    <mergeCell ref="M63:M66"/>
    <mergeCell ref="N63:N66"/>
    <mergeCell ref="O63:O66"/>
    <mergeCell ref="P63:P66"/>
    <mergeCell ref="Q63:Q66"/>
    <mergeCell ref="R63:R66"/>
    <mergeCell ref="AB67:AB71"/>
    <mergeCell ref="AC67:AC71"/>
    <mergeCell ref="M67:M71"/>
    <mergeCell ref="N67:N71"/>
    <mergeCell ref="O67:O71"/>
    <mergeCell ref="P67:P71"/>
    <mergeCell ref="Q67:Q71"/>
    <mergeCell ref="R67:R71"/>
    <mergeCell ref="A67:A71"/>
    <mergeCell ref="B67:B71"/>
    <mergeCell ref="C67:E71"/>
    <mergeCell ref="F67:F71"/>
    <mergeCell ref="G67:I67"/>
    <mergeCell ref="J67:L71"/>
    <mergeCell ref="AW63:AW66"/>
    <mergeCell ref="AX63:AX66"/>
    <mergeCell ref="G64:I64"/>
    <mergeCell ref="X64:Z66"/>
    <mergeCell ref="G65:I65"/>
    <mergeCell ref="G66:I66"/>
    <mergeCell ref="AQ63:AQ66"/>
    <mergeCell ref="AR63:AR66"/>
    <mergeCell ref="AS63:AS66"/>
    <mergeCell ref="AT63:AT66"/>
    <mergeCell ref="AU63:AU66"/>
    <mergeCell ref="AV63:AV66"/>
    <mergeCell ref="AK63:AK66"/>
    <mergeCell ref="AL63:AL66"/>
    <mergeCell ref="AM63:AM66"/>
    <mergeCell ref="AN63:AN66"/>
    <mergeCell ref="AO63:AO66"/>
    <mergeCell ref="AP63:AP66"/>
    <mergeCell ref="AW67:AW71"/>
    <mergeCell ref="AX67:AX71"/>
    <mergeCell ref="G68:I68"/>
    <mergeCell ref="X68:Z68"/>
    <mergeCell ref="G69:I69"/>
    <mergeCell ref="X69:Z69"/>
    <mergeCell ref="G70:I70"/>
    <mergeCell ref="X70:Z70"/>
    <mergeCell ref="G71:I71"/>
    <mergeCell ref="X71:Z71"/>
    <mergeCell ref="AQ67:AQ71"/>
    <mergeCell ref="AR67:AR71"/>
    <mergeCell ref="AS67:AS71"/>
    <mergeCell ref="AT67:AT71"/>
    <mergeCell ref="AU67:AU71"/>
    <mergeCell ref="AV67:AV71"/>
    <mergeCell ref="AK67:AK71"/>
    <mergeCell ref="AL67:AL71"/>
    <mergeCell ref="AM67:AM71"/>
    <mergeCell ref="AN67:AN71"/>
    <mergeCell ref="AO67:AO71"/>
    <mergeCell ref="AP67:AP71"/>
    <mergeCell ref="AD67:AD71"/>
    <mergeCell ref="AE67:AE71"/>
    <mergeCell ref="AG67:AG71"/>
    <mergeCell ref="AH67:AH71"/>
    <mergeCell ref="AI67:AI71"/>
    <mergeCell ref="AJ67:AJ71"/>
    <mergeCell ref="T67:T71"/>
    <mergeCell ref="U67:U71"/>
    <mergeCell ref="V67:V71"/>
    <mergeCell ref="X67:Z67"/>
    <mergeCell ref="AH72:AH76"/>
    <mergeCell ref="AI72:AI76"/>
    <mergeCell ref="AJ72:AJ76"/>
    <mergeCell ref="T72:T76"/>
    <mergeCell ref="U72:U76"/>
    <mergeCell ref="V72:V76"/>
    <mergeCell ref="X72:Z72"/>
    <mergeCell ref="AB72:AB76"/>
    <mergeCell ref="AC72:AC76"/>
    <mergeCell ref="M72:M76"/>
    <mergeCell ref="N72:N76"/>
    <mergeCell ref="O72:O76"/>
    <mergeCell ref="P72:P76"/>
    <mergeCell ref="Q72:Q76"/>
    <mergeCell ref="R72:R76"/>
    <mergeCell ref="A72:A76"/>
    <mergeCell ref="B72:B76"/>
    <mergeCell ref="C72:E76"/>
    <mergeCell ref="F72:F76"/>
    <mergeCell ref="G72:I72"/>
    <mergeCell ref="J72:L76"/>
    <mergeCell ref="O77:O79"/>
    <mergeCell ref="P77:P79"/>
    <mergeCell ref="Q77:Q79"/>
    <mergeCell ref="R77:R79"/>
    <mergeCell ref="A77:A79"/>
    <mergeCell ref="B77:B79"/>
    <mergeCell ref="C77:E79"/>
    <mergeCell ref="F77:F79"/>
    <mergeCell ref="G77:I77"/>
    <mergeCell ref="J77:L79"/>
    <mergeCell ref="AW72:AW76"/>
    <mergeCell ref="AX72:AX76"/>
    <mergeCell ref="G73:I73"/>
    <mergeCell ref="X73:Z76"/>
    <mergeCell ref="G74:I74"/>
    <mergeCell ref="G75:I75"/>
    <mergeCell ref="G76:I76"/>
    <mergeCell ref="AQ72:AQ76"/>
    <mergeCell ref="AR72:AR76"/>
    <mergeCell ref="AS72:AS76"/>
    <mergeCell ref="AT72:AT76"/>
    <mergeCell ref="AU72:AU76"/>
    <mergeCell ref="AV72:AV76"/>
    <mergeCell ref="AK72:AK76"/>
    <mergeCell ref="AL72:AL76"/>
    <mergeCell ref="AM72:AM76"/>
    <mergeCell ref="AN72:AN76"/>
    <mergeCell ref="AO72:AO76"/>
    <mergeCell ref="AP72:AP76"/>
    <mergeCell ref="AD72:AD76"/>
    <mergeCell ref="AE72:AE76"/>
    <mergeCell ref="AG72:AG76"/>
    <mergeCell ref="AW77:AW79"/>
    <mergeCell ref="AX77:AX79"/>
    <mergeCell ref="G78:I78"/>
    <mergeCell ref="X78:Z78"/>
    <mergeCell ref="G79:I79"/>
    <mergeCell ref="X79:Z79"/>
    <mergeCell ref="AQ77:AQ79"/>
    <mergeCell ref="AR77:AR79"/>
    <mergeCell ref="AS77:AS79"/>
    <mergeCell ref="AT77:AT79"/>
    <mergeCell ref="AU77:AU79"/>
    <mergeCell ref="AV77:AV79"/>
    <mergeCell ref="AK77:AK79"/>
    <mergeCell ref="AL77:AL79"/>
    <mergeCell ref="AM77:AM79"/>
    <mergeCell ref="AN77:AN79"/>
    <mergeCell ref="AO77:AO79"/>
    <mergeCell ref="AP77:AP79"/>
    <mergeCell ref="AD77:AD79"/>
    <mergeCell ref="AE77:AE79"/>
    <mergeCell ref="AG77:AG79"/>
    <mergeCell ref="AH77:AH79"/>
    <mergeCell ref="AI77:AI79"/>
    <mergeCell ref="AJ77:AJ79"/>
    <mergeCell ref="T77:T79"/>
    <mergeCell ref="U77:U79"/>
    <mergeCell ref="V77:V79"/>
    <mergeCell ref="X77:Z77"/>
    <mergeCell ref="AB77:AB79"/>
    <mergeCell ref="AC77:AC79"/>
    <mergeCell ref="M77:M79"/>
    <mergeCell ref="N77:N79"/>
    <mergeCell ref="T80:T83"/>
    <mergeCell ref="U80:U83"/>
    <mergeCell ref="V80:V83"/>
    <mergeCell ref="X80:Z80"/>
    <mergeCell ref="AB80:AB83"/>
    <mergeCell ref="AC80:AC83"/>
    <mergeCell ref="M80:M83"/>
    <mergeCell ref="N80:N83"/>
    <mergeCell ref="O80:O83"/>
    <mergeCell ref="P80:P83"/>
    <mergeCell ref="Q80:Q83"/>
    <mergeCell ref="R80:R83"/>
    <mergeCell ref="A80:A83"/>
    <mergeCell ref="B80:B83"/>
    <mergeCell ref="C80:E83"/>
    <mergeCell ref="F80:F83"/>
    <mergeCell ref="G80:I80"/>
    <mergeCell ref="J80:L83"/>
    <mergeCell ref="C84:E84"/>
    <mergeCell ref="G84:I84"/>
    <mergeCell ref="J84:L84"/>
    <mergeCell ref="X84:Z84"/>
    <mergeCell ref="C85:E85"/>
    <mergeCell ref="G85:I85"/>
    <mergeCell ref="J85:L85"/>
    <mergeCell ref="X85:Z85"/>
    <mergeCell ref="AW80:AW83"/>
    <mergeCell ref="AX80:AX83"/>
    <mergeCell ref="G81:I81"/>
    <mergeCell ref="X81:Z83"/>
    <mergeCell ref="G82:I82"/>
    <mergeCell ref="G83:I83"/>
    <mergeCell ref="AQ80:AQ83"/>
    <mergeCell ref="AR80:AR83"/>
    <mergeCell ref="AS80:AS83"/>
    <mergeCell ref="AT80:AT83"/>
    <mergeCell ref="AU80:AU83"/>
    <mergeCell ref="AV80:AV83"/>
    <mergeCell ref="AK80:AK83"/>
    <mergeCell ref="AL80:AL83"/>
    <mergeCell ref="AM80:AM83"/>
    <mergeCell ref="AN80:AN83"/>
    <mergeCell ref="AO80:AO83"/>
    <mergeCell ref="AP80:AP83"/>
    <mergeCell ref="AD80:AD83"/>
    <mergeCell ref="AE80:AE83"/>
    <mergeCell ref="AG80:AG83"/>
    <mergeCell ref="AH80:AH83"/>
    <mergeCell ref="AI80:AI83"/>
    <mergeCell ref="AJ80:AJ83"/>
    <mergeCell ref="C90:E90"/>
    <mergeCell ref="G90:I90"/>
    <mergeCell ref="J90:L90"/>
    <mergeCell ref="X90:Z90"/>
    <mergeCell ref="C91:E91"/>
    <mergeCell ref="G91:I91"/>
    <mergeCell ref="J91:L91"/>
    <mergeCell ref="X91:Z91"/>
    <mergeCell ref="C88:E88"/>
    <mergeCell ref="G88:I88"/>
    <mergeCell ref="J88:L88"/>
    <mergeCell ref="X88:Z88"/>
    <mergeCell ref="C89:E89"/>
    <mergeCell ref="G89:I89"/>
    <mergeCell ref="J89:L89"/>
    <mergeCell ref="X89:Z89"/>
    <mergeCell ref="C86:E86"/>
    <mergeCell ref="G86:I86"/>
    <mergeCell ref="J86:L86"/>
    <mergeCell ref="X86:Z86"/>
    <mergeCell ref="C87:E87"/>
    <mergeCell ref="G87:I87"/>
    <mergeCell ref="J87:L87"/>
    <mergeCell ref="X87:Z87"/>
    <mergeCell ref="C96:E96"/>
    <mergeCell ref="G96:I96"/>
    <mergeCell ref="J96:L96"/>
    <mergeCell ref="X96:Z96"/>
    <mergeCell ref="C97:E97"/>
    <mergeCell ref="G97:I97"/>
    <mergeCell ref="J97:L97"/>
    <mergeCell ref="X97:Z97"/>
    <mergeCell ref="C94:E94"/>
    <mergeCell ref="G94:I94"/>
    <mergeCell ref="J94:L94"/>
    <mergeCell ref="X94:Z94"/>
    <mergeCell ref="C95:E95"/>
    <mergeCell ref="G95:I95"/>
    <mergeCell ref="J95:L95"/>
    <mergeCell ref="X95:Z95"/>
    <mergeCell ref="C92:E92"/>
    <mergeCell ref="G92:I92"/>
    <mergeCell ref="J92:L92"/>
    <mergeCell ref="X92:Z92"/>
    <mergeCell ref="C93:E93"/>
    <mergeCell ref="G93:I93"/>
    <mergeCell ref="J93:L93"/>
    <mergeCell ref="X93:Z93"/>
    <mergeCell ref="C102:E102"/>
    <mergeCell ref="G102:I102"/>
    <mergeCell ref="J102:L102"/>
    <mergeCell ref="X102:Z102"/>
    <mergeCell ref="C103:E103"/>
    <mergeCell ref="G103:I103"/>
    <mergeCell ref="J103:L103"/>
    <mergeCell ref="X103:Z103"/>
    <mergeCell ref="C100:E100"/>
    <mergeCell ref="G100:I100"/>
    <mergeCell ref="J100:L100"/>
    <mergeCell ref="X100:Z100"/>
    <mergeCell ref="C101:E101"/>
    <mergeCell ref="G101:I101"/>
    <mergeCell ref="J101:L101"/>
    <mergeCell ref="X101:Z101"/>
    <mergeCell ref="C98:E98"/>
    <mergeCell ref="G98:I98"/>
    <mergeCell ref="J98:L98"/>
    <mergeCell ref="X98:Z98"/>
    <mergeCell ref="C99:E99"/>
    <mergeCell ref="G99:I99"/>
    <mergeCell ref="J99:L99"/>
    <mergeCell ref="X99:Z99"/>
    <mergeCell ref="C108:E108"/>
    <mergeCell ref="G108:I108"/>
    <mergeCell ref="J108:L108"/>
    <mergeCell ref="X108:Z108"/>
    <mergeCell ref="C109:E109"/>
    <mergeCell ref="G109:I109"/>
    <mergeCell ref="J109:L109"/>
    <mergeCell ref="X109:Z109"/>
    <mergeCell ref="C106:E106"/>
    <mergeCell ref="G106:I106"/>
    <mergeCell ref="J106:L106"/>
    <mergeCell ref="X106:Z106"/>
    <mergeCell ref="C107:E107"/>
    <mergeCell ref="G107:I107"/>
    <mergeCell ref="J107:L107"/>
    <mergeCell ref="X107:Z107"/>
    <mergeCell ref="C104:E104"/>
    <mergeCell ref="G104:I104"/>
    <mergeCell ref="J104:L104"/>
    <mergeCell ref="X104:Z104"/>
    <mergeCell ref="C105:E105"/>
    <mergeCell ref="G105:I105"/>
    <mergeCell ref="J105:L105"/>
    <mergeCell ref="X105:Z105"/>
    <mergeCell ref="C114:E114"/>
    <mergeCell ref="G114:I114"/>
    <mergeCell ref="J114:L114"/>
    <mergeCell ref="X114:Z114"/>
    <mergeCell ref="C115:E115"/>
    <mergeCell ref="G115:I115"/>
    <mergeCell ref="J115:L115"/>
    <mergeCell ref="X115:Z115"/>
    <mergeCell ref="C112:E112"/>
    <mergeCell ref="G112:I112"/>
    <mergeCell ref="J112:L112"/>
    <mergeCell ref="X112:Z112"/>
    <mergeCell ref="C113:E113"/>
    <mergeCell ref="G113:I113"/>
    <mergeCell ref="J113:L113"/>
    <mergeCell ref="X113:Z113"/>
    <mergeCell ref="C110:E110"/>
    <mergeCell ref="G110:I110"/>
    <mergeCell ref="J110:L110"/>
    <mergeCell ref="X110:Z110"/>
    <mergeCell ref="C111:E111"/>
    <mergeCell ref="G111:I111"/>
    <mergeCell ref="J111:L111"/>
    <mergeCell ref="X111:Z111"/>
    <mergeCell ref="C120:E120"/>
    <mergeCell ref="G120:I120"/>
    <mergeCell ref="J120:L120"/>
    <mergeCell ref="X120:Z120"/>
    <mergeCell ref="C121:E121"/>
    <mergeCell ref="G121:I121"/>
    <mergeCell ref="J121:L121"/>
    <mergeCell ref="X121:Z121"/>
    <mergeCell ref="C118:E118"/>
    <mergeCell ref="G118:I118"/>
    <mergeCell ref="J118:L118"/>
    <mergeCell ref="X118:Z118"/>
    <mergeCell ref="C119:E119"/>
    <mergeCell ref="G119:I119"/>
    <mergeCell ref="J119:L119"/>
    <mergeCell ref="X119:Z119"/>
    <mergeCell ref="C116:E116"/>
    <mergeCell ref="G116:I116"/>
    <mergeCell ref="J116:L116"/>
    <mergeCell ref="X116:Z116"/>
    <mergeCell ref="C117:E117"/>
    <mergeCell ref="G117:I117"/>
    <mergeCell ref="J117:L117"/>
    <mergeCell ref="X117:Z117"/>
    <mergeCell ref="C126:E126"/>
    <mergeCell ref="G126:I126"/>
    <mergeCell ref="J126:L126"/>
    <mergeCell ref="X126:Z126"/>
    <mergeCell ref="C127:E127"/>
    <mergeCell ref="G127:I127"/>
    <mergeCell ref="J127:L127"/>
    <mergeCell ref="X127:Z127"/>
    <mergeCell ref="C124:E124"/>
    <mergeCell ref="G124:I124"/>
    <mergeCell ref="J124:L124"/>
    <mergeCell ref="X124:Z124"/>
    <mergeCell ref="C125:E125"/>
    <mergeCell ref="G125:I125"/>
    <mergeCell ref="J125:L125"/>
    <mergeCell ref="X125:Z125"/>
    <mergeCell ref="C122:E122"/>
    <mergeCell ref="G122:I122"/>
    <mergeCell ref="J122:L122"/>
    <mergeCell ref="X122:Z122"/>
    <mergeCell ref="C123:E123"/>
    <mergeCell ref="G123:I123"/>
    <mergeCell ref="J123:L123"/>
    <mergeCell ref="X123:Z123"/>
    <mergeCell ref="C132:E132"/>
    <mergeCell ref="G132:I132"/>
    <mergeCell ref="J132:L132"/>
    <mergeCell ref="X132:Z132"/>
    <mergeCell ref="C133:E133"/>
    <mergeCell ref="G133:I133"/>
    <mergeCell ref="J133:L133"/>
    <mergeCell ref="X133:Z133"/>
    <mergeCell ref="C130:E130"/>
    <mergeCell ref="G130:I130"/>
    <mergeCell ref="J130:L130"/>
    <mergeCell ref="X130:Z130"/>
    <mergeCell ref="C131:E131"/>
    <mergeCell ref="G131:I131"/>
    <mergeCell ref="J131:L131"/>
    <mergeCell ref="X131:Z131"/>
    <mergeCell ref="C128:E128"/>
    <mergeCell ref="G128:I128"/>
    <mergeCell ref="J128:L128"/>
    <mergeCell ref="X128:Z128"/>
    <mergeCell ref="C129:E129"/>
    <mergeCell ref="G129:I129"/>
    <mergeCell ref="J129:L129"/>
    <mergeCell ref="X129:Z129"/>
    <mergeCell ref="C138:E138"/>
    <mergeCell ref="G138:I138"/>
    <mergeCell ref="J138:L138"/>
    <mergeCell ref="X138:Z138"/>
    <mergeCell ref="C139:E139"/>
    <mergeCell ref="G139:I139"/>
    <mergeCell ref="J139:L139"/>
    <mergeCell ref="X139:Z139"/>
    <mergeCell ref="C136:E136"/>
    <mergeCell ref="G136:I136"/>
    <mergeCell ref="J136:L136"/>
    <mergeCell ref="X136:Z136"/>
    <mergeCell ref="C137:E137"/>
    <mergeCell ref="G137:I137"/>
    <mergeCell ref="J137:L137"/>
    <mergeCell ref="X137:Z137"/>
    <mergeCell ref="C134:E134"/>
    <mergeCell ref="G134:I134"/>
    <mergeCell ref="J134:L134"/>
    <mergeCell ref="X134:Z134"/>
    <mergeCell ref="C135:E135"/>
    <mergeCell ref="G135:I135"/>
    <mergeCell ref="J135:L135"/>
    <mergeCell ref="X135:Z135"/>
    <mergeCell ref="C144:E144"/>
    <mergeCell ref="G144:I144"/>
    <mergeCell ref="J144:L144"/>
    <mergeCell ref="X144:Z144"/>
    <mergeCell ref="C145:E145"/>
    <mergeCell ref="G145:I145"/>
    <mergeCell ref="J145:L145"/>
    <mergeCell ref="X145:Z145"/>
    <mergeCell ref="C142:E142"/>
    <mergeCell ref="G142:I142"/>
    <mergeCell ref="J142:L142"/>
    <mergeCell ref="X142:Z142"/>
    <mergeCell ref="C143:E143"/>
    <mergeCell ref="G143:I143"/>
    <mergeCell ref="J143:L143"/>
    <mergeCell ref="X143:Z143"/>
    <mergeCell ref="C140:E140"/>
    <mergeCell ref="G140:I140"/>
    <mergeCell ref="J140:L140"/>
    <mergeCell ref="X140:Z140"/>
    <mergeCell ref="C141:E141"/>
    <mergeCell ref="G141:I141"/>
    <mergeCell ref="J141:L141"/>
    <mergeCell ref="X141:Z141"/>
    <mergeCell ref="C150:E150"/>
    <mergeCell ref="G150:I150"/>
    <mergeCell ref="J150:L150"/>
    <mergeCell ref="X150:Z150"/>
    <mergeCell ref="C151:E151"/>
    <mergeCell ref="G151:I151"/>
    <mergeCell ref="J151:L151"/>
    <mergeCell ref="X151:Z151"/>
    <mergeCell ref="C148:E148"/>
    <mergeCell ref="G148:I148"/>
    <mergeCell ref="J148:L148"/>
    <mergeCell ref="X148:Z148"/>
    <mergeCell ref="C149:E149"/>
    <mergeCell ref="G149:I149"/>
    <mergeCell ref="J149:L149"/>
    <mergeCell ref="X149:Z149"/>
    <mergeCell ref="C146:E146"/>
    <mergeCell ref="G146:I146"/>
    <mergeCell ref="J146:L146"/>
    <mergeCell ref="X146:Z146"/>
    <mergeCell ref="C147:E147"/>
    <mergeCell ref="G147:I147"/>
    <mergeCell ref="J147:L147"/>
    <mergeCell ref="X147:Z147"/>
    <mergeCell ref="C156:E156"/>
    <mergeCell ref="G156:I156"/>
    <mergeCell ref="J156:L156"/>
    <mergeCell ref="X156:Z156"/>
    <mergeCell ref="C157:E157"/>
    <mergeCell ref="G157:I157"/>
    <mergeCell ref="J157:L157"/>
    <mergeCell ref="X157:Z157"/>
    <mergeCell ref="C154:E154"/>
    <mergeCell ref="G154:I154"/>
    <mergeCell ref="J154:L154"/>
    <mergeCell ref="X154:Z154"/>
    <mergeCell ref="C155:E155"/>
    <mergeCell ref="G155:I155"/>
    <mergeCell ref="J155:L155"/>
    <mergeCell ref="X155:Z155"/>
    <mergeCell ref="C152:E152"/>
    <mergeCell ref="G152:I152"/>
    <mergeCell ref="J152:L152"/>
    <mergeCell ref="X152:Z152"/>
    <mergeCell ref="C153:E153"/>
    <mergeCell ref="G153:I153"/>
    <mergeCell ref="J153:L153"/>
    <mergeCell ref="X153:Z153"/>
    <mergeCell ref="C162:E162"/>
    <mergeCell ref="G162:I162"/>
    <mergeCell ref="J162:L162"/>
    <mergeCell ref="X162:Z162"/>
    <mergeCell ref="C163:E163"/>
    <mergeCell ref="G163:I163"/>
    <mergeCell ref="J163:L163"/>
    <mergeCell ref="X163:Z163"/>
    <mergeCell ref="C160:E160"/>
    <mergeCell ref="G160:I160"/>
    <mergeCell ref="J160:L160"/>
    <mergeCell ref="X160:Z160"/>
    <mergeCell ref="C161:E161"/>
    <mergeCell ref="G161:I161"/>
    <mergeCell ref="J161:L161"/>
    <mergeCell ref="X161:Z161"/>
    <mergeCell ref="C158:E158"/>
    <mergeCell ref="G158:I158"/>
    <mergeCell ref="J158:L158"/>
    <mergeCell ref="X158:Z158"/>
    <mergeCell ref="C159:E159"/>
    <mergeCell ref="G159:I159"/>
    <mergeCell ref="J159:L159"/>
    <mergeCell ref="X159:Z159"/>
    <mergeCell ref="C168:E168"/>
    <mergeCell ref="G168:I168"/>
    <mergeCell ref="J168:L168"/>
    <mergeCell ref="X168:Z168"/>
    <mergeCell ref="A170:L171"/>
    <mergeCell ref="N171:R171"/>
    <mergeCell ref="V171:Z171"/>
    <mergeCell ref="C166:E166"/>
    <mergeCell ref="G166:I166"/>
    <mergeCell ref="J166:L166"/>
    <mergeCell ref="X166:Z166"/>
    <mergeCell ref="C167:E167"/>
    <mergeCell ref="G167:I167"/>
    <mergeCell ref="J167:L167"/>
    <mergeCell ref="X167:Z167"/>
    <mergeCell ref="C164:E164"/>
    <mergeCell ref="G164:I164"/>
    <mergeCell ref="J164:L164"/>
    <mergeCell ref="X164:Z164"/>
    <mergeCell ref="C165:E165"/>
    <mergeCell ref="G165:I165"/>
    <mergeCell ref="J165:L165"/>
    <mergeCell ref="X165:Z165"/>
    <mergeCell ref="N176:R176"/>
    <mergeCell ref="V176:Z176"/>
    <mergeCell ref="AD173:AM173"/>
    <mergeCell ref="N174:R174"/>
    <mergeCell ref="U174:Z174"/>
    <mergeCell ref="AB174:AC174"/>
    <mergeCell ref="AD174:AM174"/>
    <mergeCell ref="N175:R175"/>
    <mergeCell ref="V175:Z175"/>
    <mergeCell ref="AB175:AC175"/>
    <mergeCell ref="AD175:AM175"/>
    <mergeCell ref="AB171:AC171"/>
    <mergeCell ref="AD171:AM171"/>
    <mergeCell ref="A172:L175"/>
    <mergeCell ref="N172:R172"/>
    <mergeCell ref="U172:Z172"/>
    <mergeCell ref="AB172:AC172"/>
    <mergeCell ref="AD172:AM172"/>
    <mergeCell ref="N173:R173"/>
    <mergeCell ref="U173:Z173"/>
    <mergeCell ref="AB173:AC173"/>
  </mergeCells>
  <dataValidations count="6">
    <dataValidation type="list" allowBlank="1" showInputMessage="1" showErrorMessage="1" sqref="WNE9:WNE168 WXA9:WXA168 KO9:KO168 UK9:UK168 AEG9:AEG168 AOC9:AOC168 AXY9:AXY168 BHU9:BHU168 BRQ9:BRQ168 CBM9:CBM168 CLI9:CLI168 CVE9:CVE168 DFA9:DFA168 DOW9:DOW168 DYS9:DYS168 EIO9:EIO168 ESK9:ESK168 FCG9:FCG168 FMC9:FMC168 FVY9:FVY168 GFU9:GFU168 GPQ9:GPQ168 GZM9:GZM168 HJI9:HJI168 HTE9:HTE168 IDA9:IDA168 IMW9:IMW168 IWS9:IWS168 JGO9:JGO168 JQK9:JQK168 KAG9:KAG168 KKC9:KKC168 KTY9:KTY168 LDU9:LDU168 LNQ9:LNQ168 LXM9:LXM168 MHI9:MHI168 MRE9:MRE168 NBA9:NBA168 NKW9:NKW168 NUS9:NUS168 OEO9:OEO168 OOK9:OOK168 OYG9:OYG168 PIC9:PIC168 PRY9:PRY168 QBU9:QBU168 QLQ9:QLQ168 QVM9:QVM168 RFI9:RFI168 RPE9:RPE168 RZA9:RZA168 SIW9:SIW168 SSS9:SSS168 TCO9:TCO168 TMK9:TMK168 TWG9:TWG168 UGC9:UGC168 UPY9:UPY168 UZU9:UZU168 VJQ9:VJQ168 VTM9:VTM168 WDI9:WDI168 AS9 AS12:AS28 AS33:AS36 AS41 AS48:AS168">
      <formula1>SINO</formula1>
    </dataValidation>
    <dataValidation type="whole" allowBlank="1" showInputMessage="1" showErrorMessage="1" sqref="WWL9:WWL168 WMP9:WMP168 JZ9:JZ168 TV9:TV168 ADR9:ADR168 ANN9:ANN168 AXJ9:AXJ168 BHF9:BHF168 BRB9:BRB168 CAX9:CAX168 CKT9:CKT168 CUP9:CUP168 DEL9:DEL168 DOH9:DOH168 DYD9:DYD168 EHZ9:EHZ168 ERV9:ERV168 FBR9:FBR168 FLN9:FLN168 FVJ9:FVJ168 GFF9:GFF168 GPB9:GPB168 GYX9:GYX168 HIT9:HIT168 HSP9:HSP168 ICL9:ICL168 IMH9:IMH168 IWD9:IWD168 JFZ9:JFZ168 JPV9:JPV168 JZR9:JZR168 KJN9:KJN168 KTJ9:KTJ168 LDF9:LDF168 LNB9:LNB168 LWX9:LWX168 MGT9:MGT168 MQP9:MQP168 NAL9:NAL168 NKH9:NKH168 NUD9:NUD168 ODZ9:ODZ168 ONV9:ONV168 OXR9:OXR168 PHN9:PHN168 PRJ9:PRJ168 QBF9:QBF168 QLB9:QLB168 QUX9:QUX168 RET9:RET168 ROP9:ROP168 RYL9:RYL168 SIH9:SIH168 SSD9:SSD168 TBZ9:TBZ168 TLV9:TLV168 TVR9:TVR168 UFN9:UFN168 UPJ9:UPJ168 UZF9:UZF168 VJB9:VJB168 VSX9:VSX168 WCT9:WCT168 AD84:AD168 AD41 AD9 AD12 AD14 AD18 AD22 AD25 AD28 AD33 AD36 AD48:AD55 AD59 AD63 AD67 AD72 AD77 AD80">
      <formula1>0</formula1>
      <formula2>100</formula2>
    </dataValidation>
    <dataValidation showInputMessage="1" showErrorMessage="1" sqref="WWO9:WWS168 WMS9:WMW168 KC9:KG168 TY9:UC168 ADU9:ADY168 ANQ9:ANU168 AXM9:AXQ168 BHI9:BHM168 BRE9:BRI168 CBA9:CBE168 CKW9:CLA168 CUS9:CUW168 DEO9:DES168 DOK9:DOO168 DYG9:DYK168 EIC9:EIG168 ERY9:ESC168 FBU9:FBY168 FLQ9:FLU168 FVM9:FVQ168 GFI9:GFM168 GPE9:GPI168 GZA9:GZE168 HIW9:HJA168 HSS9:HSW168 ICO9:ICS168 IMK9:IMO168 IWG9:IWK168 JGC9:JGG168 JPY9:JQC168 JZU9:JZY168 KJQ9:KJU168 KTM9:KTQ168 LDI9:LDM168 LNE9:LNI168 LXA9:LXE168 MGW9:MHA168 MQS9:MQW168 NAO9:NAS168 NKK9:NKO168 NUG9:NUK168 OEC9:OEG168 ONY9:OOC168 OXU9:OXY168 PHQ9:PHU168 PRM9:PRQ168 QBI9:QBM168 QLE9:QLI168 QVA9:QVE168 REW9:RFA168 ROS9:ROW168 RYO9:RYS168 SIK9:SIO168 SSG9:SSK168 TCC9:TCG168 TLY9:TMC168 TVU9:TVY168 UFQ9:UFU168 UPM9:UPQ168 UZI9:UZM168 VJE9:VJI168 VTA9:VTE168 WCW9:WDA168 AG84:AK168 AG12:AJ12 AG14:AJ14 AG25:AJ25 AI18:AI22 AG28:AJ28 AK28:AK41 AG33:AJ33 AG36:AJ36 AG9:AK9 AH37:AH40 AH34:AH35 AH10:AH11 AH13 AG22 AH26:AH27 AH29:AH32 AH15:AH24 AG18 AG41:AJ41 AJ18 AJ22 AI48:AK48 AG48:AG55 AI55:AJ55 AG59 AI59:AJ59 AG63 AI63:AJ63 AK55:AK63 AG67 AI67:AK67 AG72 AI72:AK72 AG77:AK77 AG80:AK80 AK12:AK25 AH42:AH72"/>
    <dataValidation type="list" showInputMessage="1" showErrorMessage="1" errorTitle="Rechazado" error="Solo son validadas las opciones de la lista" sqref="WWM9:WWM168 WMQ9:WMQ168 KA9:KA168 TW9:TW168 ADS9:ADS168 ANO9:ANO168 AXK9:AXK168 BHG9:BHG168 BRC9:BRC168 CAY9:CAY168 CKU9:CKU168 CUQ9:CUQ168 DEM9:DEM168 DOI9:DOI168 DYE9:DYE168 EIA9:EIA168 ERW9:ERW168 FBS9:FBS168 FLO9:FLO168 FVK9:FVK168 GFG9:GFG168 GPC9:GPC168 GYY9:GYY168 HIU9:HIU168 HSQ9:HSQ168 ICM9:ICM168 IMI9:IMI168 IWE9:IWE168 JGA9:JGA168 JPW9:JPW168 JZS9:JZS168 KJO9:KJO168 KTK9:KTK168 LDG9:LDG168 LNC9:LNC168 LWY9:LWY168 MGU9:MGU168 MQQ9:MQQ168 NAM9:NAM168 NKI9:NKI168 NUE9:NUE168 OEA9:OEA168 ONW9:ONW168 OXS9:OXS168 PHO9:PHO168 PRK9:PRK168 QBG9:QBG168 QLC9:QLC168 QUY9:QUY168 REU9:REU168 ROQ9:ROQ168 RYM9:RYM168 SII9:SII168 SSE9:SSE168 TCA9:TCA168 TLW9:TLW168 TVS9:TVS168 UFO9:UFO168 UPK9:UPK168 UZG9:UZG168 VJC9:VJC168 VSY9:VSY168 WCU9:WCU168 AE80:AE168 AE9 AE12 AE14 AE22 AE25 AE28 AE33 AE36 AE41 AE18 AE48:AE77">
      <formula1>Efecto</formula1>
    </dataValidation>
    <dataValidation type="list" allowBlank="1" showInputMessage="1" showErrorMessage="1" sqref="WWA9:WWA168 WME9:WME168 JO9:JO168 TK9:TK168 ADG9:ADG168 ANC9:ANC168 AWY9:AWY168 BGU9:BGU168 BQQ9:BQQ168 CAM9:CAM168 CKI9:CKI168 CUE9:CUE168 DEA9:DEA168 DNW9:DNW168 DXS9:DXS168 EHO9:EHO168 ERK9:ERK168 FBG9:FBG168 FLC9:FLC168 FUY9:FUY168 GEU9:GEU168 GOQ9:GOQ168 GYM9:GYM168 HII9:HII168 HSE9:HSE168 ICA9:ICA168 ILW9:ILW168 IVS9:IVS168 JFO9:JFO168 JPK9:JPK168 JZG9:JZG168 KJC9:KJC168 KSY9:KSY168 LCU9:LCU168 LMQ9:LMQ168 LWM9:LWM168 MGI9:MGI168 MQE9:MQE168 NAA9:NAA168 NJW9:NJW168 NTS9:NTS168 ODO9:ODO168 ONK9:ONK168 OXG9:OXG168 PHC9:PHC168 PQY9:PQY168 QAU9:QAU168 QKQ9:QKQ168 QUM9:QUM168 REI9:REI168 ROE9:ROE168 RYA9:RYA168 SHW9:SHW168 SRS9:SRS168 TBO9:TBO168 TLK9:TLK168 TVG9:TVG168 UFC9:UFC168 UOY9:UOY168 UYU9:UYU168 VIQ9:VIQ168 VSM9:VSM168 WCI9:WCI168 R48:R168 R41 R9 R12 R14 R18 R22 R25 R28 R33 R36">
      <formula1>IMPACTO</formula1>
    </dataValidation>
    <dataValidation type="list" allowBlank="1" showInputMessage="1" showErrorMessage="1" sqref="WVZ9:WVZ168 WMD9:WMD168 JN9:JN168 TJ9:TJ168 ADF9:ADF168 ANB9:ANB168 AWX9:AWX168 BGT9:BGT168 BQP9:BQP168 CAL9:CAL168 CKH9:CKH168 CUD9:CUD168 DDZ9:DDZ168 DNV9:DNV168 DXR9:DXR168 EHN9:EHN168 ERJ9:ERJ168 FBF9:FBF168 FLB9:FLB168 FUX9:FUX168 GET9:GET168 GOP9:GOP168 GYL9:GYL168 HIH9:HIH168 HSD9:HSD168 IBZ9:IBZ168 ILV9:ILV168 IVR9:IVR168 JFN9:JFN168 JPJ9:JPJ168 JZF9:JZF168 KJB9:KJB168 KSX9:KSX168 LCT9:LCT168 LMP9:LMP168 LWL9:LWL168 MGH9:MGH168 MQD9:MQD168 MZZ9:MZZ168 NJV9:NJV168 NTR9:NTR168 ODN9:ODN168 ONJ9:ONJ168 OXF9:OXF168 PHB9:PHB168 PQX9:PQX168 QAT9:QAT168 QKP9:QKP168 QUL9:QUL168 REH9:REH168 ROD9:ROD168 RXZ9:RXZ168 SHV9:SHV168 SRR9:SRR168 TBN9:TBN168 TLJ9:TLJ168 TVF9:TVF168 UFB9:UFB168 UOX9:UOX168 UYT9:UYT168 VIP9:VIP168 VSL9:VSL168 WCH9:WCH168 Q48:Q168 Q41 Q9 Q12 Q14 Q18 Q22 Q25 Q28 Q33 Q36">
      <formula1>PROBAB</formula1>
    </dataValidation>
  </dataValidations>
  <printOptions horizontalCentered="1" verticalCentered="1"/>
  <pageMargins left="0.78740157480314965" right="0.78740157480314965" top="0.59055118110236227" bottom="0.59055118110236227" header="0.51181102362204722" footer="0.27559055118110237"/>
  <pageSetup paperSize="5" scale="56" firstPageNumber="0" orientation="landscape" r:id="rId1"/>
  <headerFooter>
    <oddFooter>&amp;L&amp;9Formato: FO-AC-07 Versión: 3&amp;C&amp;9Página &amp;P</oddFooter>
  </headerFooter>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MM176"/>
  <sheetViews>
    <sheetView view="pageBreakPreview" zoomScale="90" zoomScaleNormal="100" zoomScaleSheetLayoutView="90" zoomScalePageLayoutView="95" workbookViewId="0">
      <pane xSplit="5" ySplit="8" topLeftCell="F9" activePane="bottomRight" state="frozen"/>
      <selection pane="topRight" activeCell="F1" sqref="F1"/>
      <selection pane="bottomLeft" activeCell="A9" sqref="A9"/>
      <selection pane="bottomRight" activeCell="C9" sqref="C9:E14"/>
    </sheetView>
  </sheetViews>
  <sheetFormatPr baseColWidth="10" defaultRowHeight="12.75"/>
  <cols>
    <col min="1" max="1" width="12" style="235" customWidth="1"/>
    <col min="2" max="2" width="2.7109375" style="235" customWidth="1"/>
    <col min="3" max="4" width="6.5703125" style="235" customWidth="1"/>
    <col min="5" max="5" width="5.85546875" style="235" customWidth="1"/>
    <col min="6" max="6" width="7.7109375" style="235" customWidth="1"/>
    <col min="7" max="8" width="8.42578125" style="235" customWidth="1"/>
    <col min="9" max="9" width="18.140625" style="235" customWidth="1"/>
    <col min="10" max="10" width="2.5703125" style="235" customWidth="1"/>
    <col min="11" max="11" width="9.5703125" style="235" customWidth="1"/>
    <col min="12" max="12" width="11.7109375" style="235" customWidth="1"/>
    <col min="13" max="15" width="3.7109375" style="235" customWidth="1"/>
    <col min="16" max="16" width="3.5703125" style="235" customWidth="1"/>
    <col min="17" max="17" width="2.85546875" style="235" customWidth="1"/>
    <col min="18" max="18" width="3" style="235" customWidth="1"/>
    <col min="19" max="21" width="0" style="235" hidden="1" customWidth="1"/>
    <col min="22" max="22" width="4.42578125" style="235" customWidth="1"/>
    <col min="23" max="23" width="0" style="235" hidden="1" customWidth="1"/>
    <col min="24" max="25" width="14.28515625" style="235" customWidth="1"/>
    <col min="26" max="26" width="11.28515625" style="235" customWidth="1"/>
    <col min="27" max="27" width="11.28515625" style="1126" customWidth="1"/>
    <col min="28" max="28" width="10.140625" style="235" customWidth="1"/>
    <col min="29" max="29" width="16.28515625" style="235" customWidth="1"/>
    <col min="30" max="30" width="4.140625" style="235" customWidth="1"/>
    <col min="31" max="31" width="3" style="235" customWidth="1"/>
    <col min="32" max="34" width="0" style="235" hidden="1" customWidth="1"/>
    <col min="35" max="35" width="3" style="235" customWidth="1"/>
    <col min="36" max="36" width="0" style="235" hidden="1" customWidth="1"/>
    <col min="37" max="37" width="3" style="235" customWidth="1"/>
    <col min="38" max="38" width="0" style="235" hidden="1" customWidth="1"/>
    <col min="39" max="39" width="8.28515625" style="235" customWidth="1"/>
    <col min="40" max="40" width="25.85546875" style="235" customWidth="1"/>
    <col min="41" max="41" width="21" style="235" customWidth="1"/>
    <col min="42" max="42" width="13.42578125" style="235" customWidth="1"/>
    <col min="43" max="43" width="21.140625" style="235" customWidth="1"/>
    <col min="44" max="44" width="42.7109375" style="235" customWidth="1"/>
    <col min="45" max="45" width="5.85546875" style="235" customWidth="1"/>
    <col min="46" max="46" width="31.5703125" style="235" customWidth="1"/>
    <col min="47" max="47" width="16.140625" style="235" customWidth="1"/>
    <col min="48" max="49" width="9.28515625" style="235" customWidth="1"/>
    <col min="50" max="50" width="11.140625" style="235" customWidth="1"/>
    <col min="51" max="51" width="2.140625" style="235" customWidth="1"/>
    <col min="52"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11.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1260" t="s">
        <v>1659</v>
      </c>
      <c r="AE1" s="1260"/>
      <c r="AF1" s="1260"/>
      <c r="AG1" s="1260"/>
      <c r="AH1" s="1260"/>
      <c r="AI1" s="1260"/>
      <c r="AJ1" s="1260"/>
      <c r="AK1" s="1260"/>
      <c r="AL1" s="1260"/>
      <c r="AM1" s="1260"/>
      <c r="AN1" s="1260"/>
      <c r="AP1" s="1247" t="s">
        <v>2320</v>
      </c>
      <c r="AQ1" s="1247"/>
      <c r="AR1" s="1247"/>
      <c r="AS1" s="1247"/>
      <c r="AT1" s="233"/>
      <c r="AU1" s="233"/>
      <c r="AV1" s="233"/>
      <c r="AW1" s="1246"/>
      <c r="AX1" s="1246"/>
      <c r="AY1" s="233"/>
    </row>
    <row r="2" spans="1:1027" ht="14.25" customHeight="1">
      <c r="A2" s="237" t="s">
        <v>2348</v>
      </c>
      <c r="B2" s="233"/>
      <c r="C2" s="233"/>
      <c r="D2" s="233"/>
      <c r="E2" s="233"/>
      <c r="F2" s="233"/>
      <c r="G2" s="1214" t="str">
        <f>UPPER([34]Control!A2)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1260"/>
      <c r="AE2" s="1260"/>
      <c r="AF2" s="1260"/>
      <c r="AG2" s="1260"/>
      <c r="AH2" s="1260"/>
      <c r="AI2" s="1260"/>
      <c r="AJ2" s="1260"/>
      <c r="AK2" s="1260"/>
      <c r="AL2" s="1260"/>
      <c r="AM2" s="1260"/>
      <c r="AN2" s="1260"/>
      <c r="AP2" s="1268" t="s">
        <v>138</v>
      </c>
      <c r="AQ2" s="1269"/>
      <c r="AR2" s="1270" t="str">
        <f>AD1</f>
        <v>PROCESO DE GESTION FINANCIERA</v>
      </c>
      <c r="AS2" s="1271"/>
      <c r="AT2" s="233"/>
      <c r="AU2" s="233"/>
      <c r="AV2" s="233"/>
      <c r="AW2" s="1246"/>
      <c r="AX2" s="1246"/>
      <c r="AY2" s="233"/>
    </row>
    <row r="3" spans="1:1027" ht="11.25" customHeight="1">
      <c r="A3" s="1435">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1436">
        <v>43446</v>
      </c>
      <c r="AA3" s="1437"/>
      <c r="AB3" s="1438"/>
      <c r="AC3" s="1259" t="s">
        <v>2349</v>
      </c>
      <c r="AD3" s="1261" t="s">
        <v>1660</v>
      </c>
      <c r="AE3" s="1261"/>
      <c r="AF3" s="1261"/>
      <c r="AG3" s="1261"/>
      <c r="AH3" s="1261"/>
      <c r="AI3" s="1261"/>
      <c r="AJ3" s="1261"/>
      <c r="AK3" s="1261"/>
      <c r="AL3" s="1261"/>
      <c r="AM3" s="1261"/>
      <c r="AN3" s="1261"/>
      <c r="AP3" s="1265" t="s">
        <v>2322</v>
      </c>
      <c r="AQ3" s="1266"/>
      <c r="AR3" s="1266" t="s">
        <v>2323</v>
      </c>
      <c r="AS3" s="1267"/>
      <c r="AT3" s="233"/>
      <c r="AU3" s="233"/>
      <c r="AV3" s="233"/>
      <c r="AW3" s="1246"/>
      <c r="AX3" s="1246"/>
      <c r="AY3" s="233"/>
    </row>
    <row r="4" spans="1:1027" ht="14.25" customHeight="1" thickBot="1">
      <c r="A4" s="1435"/>
      <c r="B4" s="233"/>
      <c r="C4" s="233"/>
      <c r="D4" s="233"/>
      <c r="E4" s="233"/>
      <c r="F4" s="233"/>
      <c r="G4" s="1236" t="str">
        <f>[34]Control!A4</f>
        <v>FO-PE-06</v>
      </c>
      <c r="H4" s="1237"/>
      <c r="I4" s="1238" t="str">
        <f>[34]Control!C4</f>
        <v>Planeación Estratégica</v>
      </c>
      <c r="J4" s="1237"/>
      <c r="K4" s="1237"/>
      <c r="L4" s="1237"/>
      <c r="M4" s="1237"/>
      <c r="N4" s="1239"/>
      <c r="O4" s="1238">
        <f>[34]Control!H4</f>
        <v>5</v>
      </c>
      <c r="P4" s="1237"/>
      <c r="Q4" s="1237"/>
      <c r="R4" s="1237"/>
      <c r="S4" s="1237"/>
      <c r="T4" s="1237"/>
      <c r="U4" s="1237"/>
      <c r="V4" s="1239"/>
      <c r="W4" s="239"/>
      <c r="X4" s="1255"/>
      <c r="Y4" s="1256"/>
      <c r="Z4" s="1439"/>
      <c r="AA4" s="1440"/>
      <c r="AB4" s="1441"/>
      <c r="AC4" s="1259"/>
      <c r="AD4" s="1261"/>
      <c r="AE4" s="1261"/>
      <c r="AF4" s="1261"/>
      <c r="AG4" s="1261"/>
      <c r="AH4" s="1261"/>
      <c r="AI4" s="1261"/>
      <c r="AJ4" s="1261"/>
      <c r="AK4" s="1261"/>
      <c r="AL4" s="1261"/>
      <c r="AM4" s="1261"/>
      <c r="AN4" s="1261"/>
      <c r="AP4" s="1240">
        <v>43711</v>
      </c>
      <c r="AQ4" s="1241"/>
      <c r="AR4" s="1242" t="s">
        <v>4112</v>
      </c>
      <c r="AS4" s="1243"/>
      <c r="AT4" s="233"/>
      <c r="AU4" s="233"/>
      <c r="AV4" s="233"/>
      <c r="AW4" s="1246"/>
      <c r="AX4" s="1246"/>
      <c r="AY4" s="233"/>
    </row>
    <row r="5" spans="1:1027"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1"/>
      <c r="AB5" s="242"/>
      <c r="AC5" s="242"/>
      <c r="AD5" s="241"/>
      <c r="AE5" s="241"/>
      <c r="AF5" s="241"/>
      <c r="AG5" s="241"/>
      <c r="AH5" s="241"/>
      <c r="AI5" s="241"/>
      <c r="AJ5" s="241"/>
      <c r="AK5" s="241"/>
      <c r="AL5" s="241"/>
      <c r="AM5" s="240"/>
      <c r="AN5" s="240"/>
      <c r="AO5" s="240"/>
      <c r="AQ5" s="244"/>
      <c r="AY5" s="245"/>
    </row>
    <row r="6" spans="1:1027" s="243" customFormat="1" ht="11.2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944" t="s">
        <v>268</v>
      </c>
      <c r="AO6" s="294"/>
      <c r="AP6" s="247" t="s">
        <v>2325</v>
      </c>
      <c r="AQ6" s="248"/>
      <c r="AR6" s="248"/>
      <c r="AS6" s="249"/>
      <c r="AT6" s="1244" t="s">
        <v>2326</v>
      </c>
      <c r="AU6" s="1244"/>
      <c r="AV6" s="1244"/>
      <c r="AW6" s="1244"/>
      <c r="AX6" s="1245"/>
      <c r="AY6" s="245"/>
    </row>
    <row r="7" spans="1:1027" s="243" customFormat="1" ht="25.5" customHeight="1">
      <c r="A7" s="1217" t="s">
        <v>1004</v>
      </c>
      <c r="B7" s="1218" t="s">
        <v>640</v>
      </c>
      <c r="C7" s="1219" t="s">
        <v>1001</v>
      </c>
      <c r="D7" s="1220"/>
      <c r="E7" s="1221"/>
      <c r="F7" s="1217" t="s">
        <v>1000</v>
      </c>
      <c r="G7" s="1219" t="s">
        <v>999</v>
      </c>
      <c r="H7" s="1220"/>
      <c r="I7" s="1221"/>
      <c r="J7" s="1217" t="s">
        <v>145</v>
      </c>
      <c r="K7" s="1217"/>
      <c r="L7" s="1217"/>
      <c r="M7" s="1225" t="s">
        <v>144</v>
      </c>
      <c r="N7" s="1226"/>
      <c r="O7" s="1226"/>
      <c r="P7" s="1226"/>
      <c r="Q7" s="1227" t="s">
        <v>637</v>
      </c>
      <c r="R7" s="1228"/>
      <c r="S7" s="1228"/>
      <c r="T7" s="1228"/>
      <c r="U7" s="1228"/>
      <c r="V7" s="1229"/>
      <c r="W7" s="250"/>
      <c r="X7" s="1217" t="s">
        <v>2351</v>
      </c>
      <c r="Y7" s="1217"/>
      <c r="Z7" s="1217"/>
      <c r="AA7" s="1284" t="s">
        <v>4175</v>
      </c>
      <c r="AB7" s="1221" t="s">
        <v>998</v>
      </c>
      <c r="AC7" s="1284" t="s">
        <v>641</v>
      </c>
      <c r="AD7" s="1286" t="s">
        <v>546</v>
      </c>
      <c r="AE7" s="1286" t="s">
        <v>638</v>
      </c>
      <c r="AF7" s="251"/>
      <c r="AG7" s="252"/>
      <c r="AH7" s="253"/>
      <c r="AI7" s="1288" t="s">
        <v>639</v>
      </c>
      <c r="AJ7" s="1288"/>
      <c r="AK7" s="1288"/>
      <c r="AL7" s="1288"/>
      <c r="AM7" s="1288"/>
      <c r="AN7" s="1288" t="s">
        <v>2327</v>
      </c>
      <c r="AO7" s="1431" t="s">
        <v>2328</v>
      </c>
      <c r="AP7" s="1432" t="s">
        <v>2353</v>
      </c>
      <c r="AQ7" s="1431" t="s">
        <v>2330</v>
      </c>
      <c r="AR7" s="1432" t="s">
        <v>2354</v>
      </c>
      <c r="AS7" s="1432" t="s">
        <v>2332</v>
      </c>
      <c r="AT7" s="1432" t="s">
        <v>2333</v>
      </c>
      <c r="AU7" s="1432" t="s">
        <v>2334</v>
      </c>
      <c r="AV7" s="1432" t="s">
        <v>2335</v>
      </c>
      <c r="AW7" s="1432" t="s">
        <v>2336</v>
      </c>
      <c r="AX7" s="1432" t="s">
        <v>2337</v>
      </c>
      <c r="AY7" s="245"/>
      <c r="BF7" s="243">
        <f>1736*4</f>
        <v>6944</v>
      </c>
      <c r="BG7" s="243">
        <f>+BF7+BF8</f>
        <v>8655</v>
      </c>
    </row>
    <row r="8" spans="1:1027" ht="14.25" customHeight="1">
      <c r="A8" s="1217"/>
      <c r="B8" s="1218"/>
      <c r="C8" s="1222"/>
      <c r="D8" s="1223"/>
      <c r="E8" s="1224"/>
      <c r="F8" s="1217"/>
      <c r="G8" s="1222"/>
      <c r="H8" s="1223"/>
      <c r="I8" s="1224"/>
      <c r="J8" s="1217"/>
      <c r="K8" s="1217"/>
      <c r="L8" s="1217"/>
      <c r="M8" s="254" t="s">
        <v>146</v>
      </c>
      <c r="N8" s="254" t="s">
        <v>997</v>
      </c>
      <c r="O8" s="254" t="s">
        <v>65</v>
      </c>
      <c r="P8" s="254" t="s">
        <v>996</v>
      </c>
      <c r="Q8" s="943" t="s">
        <v>147</v>
      </c>
      <c r="R8" s="943" t="s">
        <v>148</v>
      </c>
      <c r="S8" s="255"/>
      <c r="T8" s="255" t="s">
        <v>239</v>
      </c>
      <c r="U8" s="255" t="s">
        <v>242</v>
      </c>
      <c r="V8" s="943" t="s">
        <v>149</v>
      </c>
      <c r="W8" s="256"/>
      <c r="X8" s="1217"/>
      <c r="Y8" s="1217"/>
      <c r="Z8" s="1217"/>
      <c r="AA8" s="1285"/>
      <c r="AB8" s="1224"/>
      <c r="AC8" s="1285"/>
      <c r="AD8" s="1287"/>
      <c r="AE8" s="1287"/>
      <c r="AF8" s="256"/>
      <c r="AG8" s="257" t="s">
        <v>642</v>
      </c>
      <c r="AH8" s="257" t="s">
        <v>264</v>
      </c>
      <c r="AI8" s="943" t="s">
        <v>147</v>
      </c>
      <c r="AJ8" s="258" t="s">
        <v>265</v>
      </c>
      <c r="AK8" s="943" t="s">
        <v>148</v>
      </c>
      <c r="AL8" s="255" t="s">
        <v>150</v>
      </c>
      <c r="AM8" s="943" t="s">
        <v>150</v>
      </c>
      <c r="AN8" s="1288"/>
      <c r="AO8" s="1431"/>
      <c r="AP8" s="1432"/>
      <c r="AQ8" s="1432"/>
      <c r="AR8" s="1432"/>
      <c r="AS8" s="1432"/>
      <c r="AT8" s="1432"/>
      <c r="AU8" s="1432"/>
      <c r="AV8" s="1432"/>
      <c r="AW8" s="1432"/>
      <c r="AX8" s="1432"/>
      <c r="AY8" s="245"/>
      <c r="AZ8" s="236"/>
      <c r="BA8" s="236"/>
      <c r="BB8" s="236"/>
      <c r="BC8" s="236"/>
      <c r="BD8" s="236"/>
      <c r="BE8" s="236"/>
      <c r="BF8" s="236">
        <v>1711</v>
      </c>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45.75" customHeight="1">
      <c r="A9" s="2328" t="s">
        <v>0</v>
      </c>
      <c r="B9" s="2329" t="s">
        <v>2067</v>
      </c>
      <c r="C9" s="2330" t="s">
        <v>2871</v>
      </c>
      <c r="D9" s="2330"/>
      <c r="E9" s="2330"/>
      <c r="F9" s="1356" t="s">
        <v>2872</v>
      </c>
      <c r="G9" s="2331" t="s">
        <v>2873</v>
      </c>
      <c r="H9" s="2331"/>
      <c r="I9" s="2331"/>
      <c r="J9" s="2332" t="s">
        <v>453</v>
      </c>
      <c r="K9" s="2332"/>
      <c r="L9" s="2332"/>
      <c r="M9" s="1320"/>
      <c r="N9" s="1320"/>
      <c r="O9" s="2301" t="s">
        <v>8</v>
      </c>
      <c r="P9" s="1320" t="s">
        <v>8</v>
      </c>
      <c r="Q9" s="1404" t="s">
        <v>655</v>
      </c>
      <c r="R9" s="1404" t="s">
        <v>643</v>
      </c>
      <c r="S9" s="324"/>
      <c r="T9" s="954">
        <f>VLOOKUP(Q9,[90]Listas!$D$6:$E$10,2,0)</f>
        <v>2</v>
      </c>
      <c r="U9" s="954">
        <f>HLOOKUP(R9,[90]Listas!$F$4:$J$5,2,0)</f>
        <v>2</v>
      </c>
      <c r="V9" s="1902" t="str">
        <f>INDEX([90]Listas!$F$6:$J$10,MATCH(Q9,[90]Listas!$D$6:$D$10,0),MATCH(R9,[90]Listas!$F$4:$J$4,0))</f>
        <v>4
INFERIOR</v>
      </c>
      <c r="W9" s="324"/>
      <c r="X9" s="2326" t="s">
        <v>781</v>
      </c>
      <c r="Y9" s="2326"/>
      <c r="Z9" s="2326"/>
      <c r="AA9" s="2333" t="s">
        <v>4219</v>
      </c>
      <c r="AB9" s="938" t="s">
        <v>2874</v>
      </c>
      <c r="AC9" s="2327" t="s">
        <v>1661</v>
      </c>
      <c r="AD9" s="1320">
        <v>87</v>
      </c>
      <c r="AE9" s="1356" t="s">
        <v>152</v>
      </c>
      <c r="AF9" s="324"/>
      <c r="AG9" s="954">
        <f>IF(AD9&lt;=33,0,IF(AD9&gt;81,2,1))</f>
        <v>2</v>
      </c>
      <c r="AH9" s="955">
        <f>IF(OR(AE9="Probabilidad",AE9="Ambos"),T9-AG9,T9)</f>
        <v>0</v>
      </c>
      <c r="AI9" s="2293" t="str">
        <f>IF(AH9&lt;=1,"Remota",VLOOKUP(AH9,[90]Listas!$C$6:$D$10,2,0))</f>
        <v>Remota</v>
      </c>
      <c r="AJ9" s="955">
        <f>IF(OR(AE9="Impacto",AE9="Ambos"),U9-AG9,U9)</f>
        <v>0</v>
      </c>
      <c r="AK9" s="2293" t="str">
        <f>IF(AJ9&lt;=1,"Insignificante",HLOOKUP(AJ9,[90]Listas!$F$3:$J$4,2,0))</f>
        <v>Insignificante</v>
      </c>
      <c r="AL9" s="953">
        <f>AH9*AJ9</f>
        <v>0</v>
      </c>
      <c r="AM9" s="1902" t="str">
        <f>INDEX([90]Listas!$F$6:$J$10,MATCH(AI9,[90]Listas!$D$6:$D$10,0),MATCH(AK9,[90]Listas!$F$4:$J$4,0))</f>
        <v>1
INFERIOR</v>
      </c>
      <c r="AN9" s="2344" t="s">
        <v>2875</v>
      </c>
      <c r="AO9" s="2347" t="s">
        <v>2876</v>
      </c>
      <c r="AP9" s="2350">
        <v>0</v>
      </c>
      <c r="AQ9" s="2341" t="s">
        <v>4113</v>
      </c>
      <c r="AR9" s="2341" t="s">
        <v>3590</v>
      </c>
      <c r="AS9" s="1886" t="s">
        <v>36</v>
      </c>
      <c r="AT9" s="1325"/>
      <c r="AU9" s="1325"/>
      <c r="AV9" s="2307"/>
      <c r="AW9" s="2307"/>
      <c r="AX9" s="1325"/>
      <c r="AY9" s="262"/>
    </row>
    <row r="10" spans="1:1027" s="260" customFormat="1" ht="56.25" customHeight="1">
      <c r="A10" s="2328"/>
      <c r="B10" s="2329"/>
      <c r="C10" s="2330"/>
      <c r="D10" s="2330"/>
      <c r="E10" s="2330"/>
      <c r="F10" s="1356"/>
      <c r="G10" s="2331" t="s">
        <v>2878</v>
      </c>
      <c r="H10" s="2331"/>
      <c r="I10" s="2331"/>
      <c r="J10" s="2332"/>
      <c r="K10" s="2332"/>
      <c r="L10" s="2332"/>
      <c r="M10" s="1320"/>
      <c r="N10" s="1320"/>
      <c r="O10" s="2301"/>
      <c r="P10" s="1320"/>
      <c r="Q10" s="1404"/>
      <c r="R10" s="1404"/>
      <c r="S10" s="324"/>
      <c r="T10" s="954" t="e">
        <f>VLOOKUP(Q10,[90]Listas!$D$6:$E$10,2,0)</f>
        <v>#N/A</v>
      </c>
      <c r="U10" s="954" t="e">
        <f>HLOOKUP(R10,[90]Listas!$F$4:$J$5,2,0)</f>
        <v>#N/A</v>
      </c>
      <c r="V10" s="1902"/>
      <c r="W10" s="324"/>
      <c r="X10" s="2326" t="s">
        <v>782</v>
      </c>
      <c r="Y10" s="2326"/>
      <c r="Z10" s="2326"/>
      <c r="AA10" s="2334"/>
      <c r="AB10" s="2336" t="s">
        <v>2879</v>
      </c>
      <c r="AC10" s="2327"/>
      <c r="AD10" s="1320"/>
      <c r="AE10" s="1356"/>
      <c r="AF10" s="324"/>
      <c r="AG10" s="954">
        <f t="shared" ref="AG10:AG99" si="0">IF(AD10&lt;=33,0,IF(AD10&gt;81,2,1))</f>
        <v>0</v>
      </c>
      <c r="AH10" s="955" t="e">
        <f t="shared" ref="AH10:AH99" si="1">IF(OR(AE10="Probabilidad",AE10="Ambos"),T10-AG10,T10)</f>
        <v>#N/A</v>
      </c>
      <c r="AI10" s="2293"/>
      <c r="AJ10" s="955" t="e">
        <f t="shared" ref="AJ10:AJ99" si="2">IF(OR(AE10="Impacto",AE10="Ambos"),U10-AG10,U10)</f>
        <v>#N/A</v>
      </c>
      <c r="AK10" s="2293"/>
      <c r="AL10" s="953" t="e">
        <f t="shared" ref="AL10:AL99" si="3">AH10*AJ10</f>
        <v>#N/A</v>
      </c>
      <c r="AM10" s="1902"/>
      <c r="AN10" s="2345"/>
      <c r="AO10" s="2348"/>
      <c r="AP10" s="2351"/>
      <c r="AQ10" s="2342"/>
      <c r="AR10" s="2342"/>
      <c r="AS10" s="1887"/>
      <c r="AT10" s="1326"/>
      <c r="AU10" s="1326"/>
      <c r="AV10" s="1326"/>
      <c r="AW10" s="1326"/>
      <c r="AX10" s="1326"/>
      <c r="AY10" s="262"/>
    </row>
    <row r="11" spans="1:1027" s="260" customFormat="1" ht="33" customHeight="1">
      <c r="A11" s="2328"/>
      <c r="B11" s="2329"/>
      <c r="C11" s="2330"/>
      <c r="D11" s="2330"/>
      <c r="E11" s="2330"/>
      <c r="F11" s="1356"/>
      <c r="G11" s="2339" t="s">
        <v>1662</v>
      </c>
      <c r="H11" s="2339"/>
      <c r="I11" s="2339"/>
      <c r="J11" s="2332"/>
      <c r="K11" s="2332"/>
      <c r="L11" s="2332"/>
      <c r="M11" s="1320"/>
      <c r="N11" s="1320"/>
      <c r="O11" s="2301"/>
      <c r="P11" s="1320"/>
      <c r="Q11" s="1404"/>
      <c r="R11" s="1404"/>
      <c r="S11" s="324"/>
      <c r="T11" s="954" t="e">
        <f>VLOOKUP(Q11,[90]Listas!$D$6:$E$10,2,0)</f>
        <v>#N/A</v>
      </c>
      <c r="U11" s="954" t="e">
        <f>HLOOKUP(R11,[90]Listas!$F$4:$J$5,2,0)</f>
        <v>#N/A</v>
      </c>
      <c r="V11" s="1902"/>
      <c r="W11" s="324"/>
      <c r="X11" s="2326" t="s">
        <v>783</v>
      </c>
      <c r="Y11" s="2326"/>
      <c r="Z11" s="2326"/>
      <c r="AA11" s="2334"/>
      <c r="AB11" s="2337"/>
      <c r="AC11" s="2327"/>
      <c r="AD11" s="1320"/>
      <c r="AE11" s="1356"/>
      <c r="AF11" s="324"/>
      <c r="AG11" s="954">
        <f t="shared" si="0"/>
        <v>0</v>
      </c>
      <c r="AH11" s="955" t="e">
        <f t="shared" si="1"/>
        <v>#N/A</v>
      </c>
      <c r="AI11" s="2293"/>
      <c r="AJ11" s="955" t="e">
        <f t="shared" si="2"/>
        <v>#N/A</v>
      </c>
      <c r="AK11" s="2293"/>
      <c r="AL11" s="953" t="e">
        <f t="shared" si="3"/>
        <v>#N/A</v>
      </c>
      <c r="AM11" s="1902"/>
      <c r="AN11" s="2345"/>
      <c r="AO11" s="2348"/>
      <c r="AP11" s="2351"/>
      <c r="AQ11" s="2342"/>
      <c r="AR11" s="2342"/>
      <c r="AS11" s="1887"/>
      <c r="AT11" s="1326"/>
      <c r="AU11" s="1326"/>
      <c r="AV11" s="1326"/>
      <c r="AW11" s="1326"/>
      <c r="AX11" s="1326"/>
      <c r="AY11" s="262"/>
    </row>
    <row r="12" spans="1:1027" s="260" customFormat="1" ht="39.75" customHeight="1">
      <c r="A12" s="2328"/>
      <c r="B12" s="2329"/>
      <c r="C12" s="2330"/>
      <c r="D12" s="2330"/>
      <c r="E12" s="2330"/>
      <c r="F12" s="1356"/>
      <c r="G12" s="2331" t="s">
        <v>1663</v>
      </c>
      <c r="H12" s="2331"/>
      <c r="I12" s="2331"/>
      <c r="J12" s="2332"/>
      <c r="K12" s="2332"/>
      <c r="L12" s="2332"/>
      <c r="M12" s="1320"/>
      <c r="N12" s="1320"/>
      <c r="O12" s="2301"/>
      <c r="P12" s="1320"/>
      <c r="Q12" s="1404"/>
      <c r="R12" s="1404"/>
      <c r="S12" s="324"/>
      <c r="T12" s="954" t="e">
        <f>VLOOKUP(Q12,[90]Listas!$D$6:$E$10,2,0)</f>
        <v>#N/A</v>
      </c>
      <c r="U12" s="954" t="e">
        <f>HLOOKUP(R12,[90]Listas!$F$4:$J$5,2,0)</f>
        <v>#N/A</v>
      </c>
      <c r="V12" s="1902"/>
      <c r="W12" s="324"/>
      <c r="X12" s="2326" t="s">
        <v>784</v>
      </c>
      <c r="Y12" s="2326"/>
      <c r="Z12" s="2326"/>
      <c r="AA12" s="2334"/>
      <c r="AB12" s="2337"/>
      <c r="AC12" s="2327"/>
      <c r="AD12" s="1320"/>
      <c r="AE12" s="1356"/>
      <c r="AF12" s="324"/>
      <c r="AG12" s="954">
        <f t="shared" si="0"/>
        <v>0</v>
      </c>
      <c r="AH12" s="955" t="e">
        <f t="shared" si="1"/>
        <v>#N/A</v>
      </c>
      <c r="AI12" s="2293"/>
      <c r="AJ12" s="955" t="e">
        <f t="shared" si="2"/>
        <v>#N/A</v>
      </c>
      <c r="AK12" s="2293"/>
      <c r="AL12" s="953" t="e">
        <f t="shared" si="3"/>
        <v>#N/A</v>
      </c>
      <c r="AM12" s="1902"/>
      <c r="AN12" s="2345"/>
      <c r="AO12" s="2348"/>
      <c r="AP12" s="2351"/>
      <c r="AQ12" s="2342"/>
      <c r="AR12" s="2342"/>
      <c r="AS12" s="1887"/>
      <c r="AT12" s="1326"/>
      <c r="AU12" s="1326"/>
      <c r="AV12" s="1326"/>
      <c r="AW12" s="1326"/>
      <c r="AX12" s="1326"/>
      <c r="AY12" s="262"/>
    </row>
    <row r="13" spans="1:1027" s="260" customFormat="1" ht="51" customHeight="1">
      <c r="A13" s="2328"/>
      <c r="B13" s="2329"/>
      <c r="C13" s="2330"/>
      <c r="D13" s="2330"/>
      <c r="E13" s="2330"/>
      <c r="F13" s="1356"/>
      <c r="G13" s="2340" t="s">
        <v>1664</v>
      </c>
      <c r="H13" s="2340"/>
      <c r="I13" s="2340"/>
      <c r="J13" s="2332"/>
      <c r="K13" s="2332"/>
      <c r="L13" s="2332"/>
      <c r="M13" s="1320"/>
      <c r="N13" s="1320"/>
      <c r="O13" s="2301"/>
      <c r="P13" s="1320"/>
      <c r="Q13" s="1404"/>
      <c r="R13" s="1404"/>
      <c r="S13" s="324"/>
      <c r="T13" s="954" t="e">
        <f>VLOOKUP(Q13,[90]Listas!$D$6:$E$10,2,0)</f>
        <v>#N/A</v>
      </c>
      <c r="U13" s="954" t="e">
        <f>HLOOKUP(R13,[90]Listas!$F$4:$J$5,2,0)</f>
        <v>#N/A</v>
      </c>
      <c r="V13" s="1902"/>
      <c r="W13" s="324"/>
      <c r="X13" s="2326" t="s">
        <v>785</v>
      </c>
      <c r="Y13" s="2326"/>
      <c r="Z13" s="2326"/>
      <c r="AA13" s="2334"/>
      <c r="AB13" s="2338"/>
      <c r="AC13" s="2327"/>
      <c r="AD13" s="1320"/>
      <c r="AE13" s="1356"/>
      <c r="AF13" s="324"/>
      <c r="AG13" s="954">
        <f t="shared" si="0"/>
        <v>0</v>
      </c>
      <c r="AH13" s="955" t="e">
        <f t="shared" si="1"/>
        <v>#N/A</v>
      </c>
      <c r="AI13" s="2293"/>
      <c r="AJ13" s="955" t="e">
        <f t="shared" si="2"/>
        <v>#N/A</v>
      </c>
      <c r="AK13" s="2293"/>
      <c r="AL13" s="953" t="e">
        <f t="shared" si="3"/>
        <v>#N/A</v>
      </c>
      <c r="AM13" s="1902"/>
      <c r="AN13" s="2345"/>
      <c r="AO13" s="2348"/>
      <c r="AP13" s="2351"/>
      <c r="AQ13" s="2342"/>
      <c r="AR13" s="2342"/>
      <c r="AS13" s="1887"/>
      <c r="AT13" s="1326"/>
      <c r="AU13" s="1326"/>
      <c r="AV13" s="1326"/>
      <c r="AW13" s="1326"/>
      <c r="AX13" s="1326"/>
      <c r="AY13" s="262"/>
    </row>
    <row r="14" spans="1:1027" s="260" customFormat="1" ht="39.75" customHeight="1">
      <c r="A14" s="2328"/>
      <c r="B14" s="2329"/>
      <c r="C14" s="2330"/>
      <c r="D14" s="2330"/>
      <c r="E14" s="2330"/>
      <c r="F14" s="1356"/>
      <c r="G14" s="2331" t="s">
        <v>1665</v>
      </c>
      <c r="H14" s="2331"/>
      <c r="I14" s="2331"/>
      <c r="J14" s="2332"/>
      <c r="K14" s="2332"/>
      <c r="L14" s="2332"/>
      <c r="M14" s="1320"/>
      <c r="N14" s="1320"/>
      <c r="O14" s="2301"/>
      <c r="P14" s="1320"/>
      <c r="Q14" s="1404"/>
      <c r="R14" s="1404"/>
      <c r="S14" s="324"/>
      <c r="T14" s="954" t="e">
        <f>VLOOKUP(Q14,[90]Listas!$D$6:$E$10,2,0)</f>
        <v>#N/A</v>
      </c>
      <c r="U14" s="954" t="e">
        <f>HLOOKUP(R14,[90]Listas!$F$4:$J$5,2,0)</f>
        <v>#N/A</v>
      </c>
      <c r="V14" s="1902"/>
      <c r="W14" s="324"/>
      <c r="X14" s="2326" t="s">
        <v>786</v>
      </c>
      <c r="Y14" s="2326"/>
      <c r="Z14" s="2326"/>
      <c r="AA14" s="2335"/>
      <c r="AB14" s="938" t="s">
        <v>2880</v>
      </c>
      <c r="AC14" s="2327"/>
      <c r="AD14" s="1320"/>
      <c r="AE14" s="1356"/>
      <c r="AF14" s="324"/>
      <c r="AG14" s="954">
        <f t="shared" si="0"/>
        <v>0</v>
      </c>
      <c r="AH14" s="955" t="e">
        <f t="shared" si="1"/>
        <v>#N/A</v>
      </c>
      <c r="AI14" s="2293"/>
      <c r="AJ14" s="955" t="e">
        <f t="shared" si="2"/>
        <v>#N/A</v>
      </c>
      <c r="AK14" s="2293"/>
      <c r="AL14" s="953" t="e">
        <f t="shared" si="3"/>
        <v>#N/A</v>
      </c>
      <c r="AM14" s="1902"/>
      <c r="AN14" s="2346"/>
      <c r="AO14" s="2349"/>
      <c r="AP14" s="2352"/>
      <c r="AQ14" s="2343"/>
      <c r="AR14" s="2343"/>
      <c r="AS14" s="1888"/>
      <c r="AT14" s="1327"/>
      <c r="AU14" s="1327"/>
      <c r="AV14" s="1327"/>
      <c r="AW14" s="1327"/>
      <c r="AX14" s="1327"/>
      <c r="AY14" s="262"/>
    </row>
    <row r="15" spans="1:1027" s="260" customFormat="1" ht="57.75" customHeight="1">
      <c r="A15" s="2328" t="s">
        <v>0</v>
      </c>
      <c r="B15" s="2329" t="s">
        <v>2068</v>
      </c>
      <c r="C15" s="2330" t="s">
        <v>1</v>
      </c>
      <c r="D15" s="2330"/>
      <c r="E15" s="2330"/>
      <c r="F15" s="1356" t="s">
        <v>2872</v>
      </c>
      <c r="G15" s="2331" t="s">
        <v>1666</v>
      </c>
      <c r="H15" s="2331"/>
      <c r="I15" s="2331"/>
      <c r="J15" s="2332" t="s">
        <v>2</v>
      </c>
      <c r="K15" s="2332"/>
      <c r="L15" s="2332"/>
      <c r="M15" s="1320"/>
      <c r="N15" s="1320"/>
      <c r="O15" s="1320" t="s">
        <v>8</v>
      </c>
      <c r="P15" s="1320"/>
      <c r="Q15" s="1404" t="s">
        <v>655</v>
      </c>
      <c r="R15" s="1404" t="s">
        <v>643</v>
      </c>
      <c r="S15" s="324"/>
      <c r="T15" s="954">
        <f>VLOOKUP(Q15,[90]Listas!$D$6:$E$10,2,0)</f>
        <v>2</v>
      </c>
      <c r="U15" s="954">
        <f>HLOOKUP(R15,[90]Listas!$F$4:$J$5,2,0)</f>
        <v>2</v>
      </c>
      <c r="V15" s="1902" t="str">
        <f>INDEX([90]Listas!$F$6:$J$10,MATCH(Q15,[90]Listas!$D$6:$D$10,0),MATCH(R15,[90]Listas!$F$4:$J$4,0))</f>
        <v>4
INFERIOR</v>
      </c>
      <c r="W15" s="324"/>
      <c r="X15" s="2326" t="s">
        <v>787</v>
      </c>
      <c r="Y15" s="2326"/>
      <c r="Z15" s="2326"/>
      <c r="AA15" s="2333" t="s">
        <v>4220</v>
      </c>
      <c r="AB15" s="938" t="s">
        <v>1667</v>
      </c>
      <c r="AC15" s="2327" t="s">
        <v>788</v>
      </c>
      <c r="AD15" s="1320">
        <v>87</v>
      </c>
      <c r="AE15" s="1356" t="s">
        <v>152</v>
      </c>
      <c r="AF15" s="324"/>
      <c r="AG15" s="954">
        <f t="shared" si="0"/>
        <v>2</v>
      </c>
      <c r="AH15" s="955">
        <f t="shared" si="1"/>
        <v>0</v>
      </c>
      <c r="AI15" s="2293" t="str">
        <f>IF(AH15&lt;=1,"Remota",VLOOKUP(AH15,[90]Listas!$C$6:$D$10,2,0))</f>
        <v>Remota</v>
      </c>
      <c r="AJ15" s="955">
        <f t="shared" si="2"/>
        <v>0</v>
      </c>
      <c r="AK15" s="2293" t="str">
        <f>IF(AJ15&lt;=1,"Insignificante",HLOOKUP(AJ15,[90]Listas!$F$3:$J$4,2,0))</f>
        <v>Insignificante</v>
      </c>
      <c r="AL15" s="953">
        <f t="shared" si="3"/>
        <v>0</v>
      </c>
      <c r="AM15" s="1902" t="str">
        <f>INDEX([90]Listas!$F$6:$J$10,MATCH(AI15,[90]Listas!$D$6:$D$10,0),MATCH(AK15,[90]Listas!$F$4:$J$4,0))</f>
        <v>1
INFERIOR</v>
      </c>
      <c r="AN15" s="2326" t="s">
        <v>2881</v>
      </c>
      <c r="AO15" s="2332" t="s">
        <v>3584</v>
      </c>
      <c r="AP15" s="2353">
        <v>0</v>
      </c>
      <c r="AQ15" s="2341" t="s">
        <v>4114</v>
      </c>
      <c r="AR15" s="2341" t="s">
        <v>3590</v>
      </c>
      <c r="AS15" s="1886" t="s">
        <v>36</v>
      </c>
      <c r="AT15" s="1325"/>
      <c r="AU15" s="1325"/>
      <c r="AV15" s="1325"/>
      <c r="AW15" s="1325"/>
      <c r="AX15" s="1325"/>
      <c r="AY15" s="262"/>
    </row>
    <row r="16" spans="1:1027" s="260" customFormat="1" ht="53.25" customHeight="1">
      <c r="A16" s="2328"/>
      <c r="B16" s="2329"/>
      <c r="C16" s="2330"/>
      <c r="D16" s="2330"/>
      <c r="E16" s="2330"/>
      <c r="F16" s="1356"/>
      <c r="G16" s="2339" t="s">
        <v>1668</v>
      </c>
      <c r="H16" s="2339"/>
      <c r="I16" s="2339"/>
      <c r="J16" s="2332"/>
      <c r="K16" s="2332"/>
      <c r="L16" s="2332"/>
      <c r="M16" s="1320"/>
      <c r="N16" s="1320"/>
      <c r="O16" s="1320"/>
      <c r="P16" s="1320"/>
      <c r="Q16" s="1404"/>
      <c r="R16" s="1404"/>
      <c r="S16" s="324"/>
      <c r="T16" s="954" t="e">
        <f>VLOOKUP(Q16,[90]Listas!$D$6:$E$10,2,0)</f>
        <v>#N/A</v>
      </c>
      <c r="U16" s="954" t="e">
        <f>HLOOKUP(R16,[90]Listas!$F$4:$J$5,2,0)</f>
        <v>#N/A</v>
      </c>
      <c r="V16" s="1902"/>
      <c r="W16" s="324"/>
      <c r="X16" s="2326" t="s">
        <v>789</v>
      </c>
      <c r="Y16" s="2326"/>
      <c r="Z16" s="2326"/>
      <c r="AA16" s="2334"/>
      <c r="AB16" s="1356" t="s">
        <v>1669</v>
      </c>
      <c r="AC16" s="2327"/>
      <c r="AD16" s="1320"/>
      <c r="AE16" s="1356"/>
      <c r="AF16" s="324"/>
      <c r="AG16" s="954">
        <f t="shared" si="0"/>
        <v>0</v>
      </c>
      <c r="AH16" s="955" t="e">
        <f t="shared" si="1"/>
        <v>#N/A</v>
      </c>
      <c r="AI16" s="2293"/>
      <c r="AJ16" s="955" t="e">
        <f t="shared" si="2"/>
        <v>#N/A</v>
      </c>
      <c r="AK16" s="2293"/>
      <c r="AL16" s="953" t="e">
        <f t="shared" si="3"/>
        <v>#N/A</v>
      </c>
      <c r="AM16" s="1902"/>
      <c r="AN16" s="2326"/>
      <c r="AO16" s="2332"/>
      <c r="AP16" s="2354"/>
      <c r="AQ16" s="2342"/>
      <c r="AR16" s="2342" t="s">
        <v>2877</v>
      </c>
      <c r="AS16" s="1887"/>
      <c r="AT16" s="1326"/>
      <c r="AU16" s="1326"/>
      <c r="AV16" s="1326"/>
      <c r="AW16" s="1326"/>
      <c r="AX16" s="1326"/>
      <c r="AY16" s="262"/>
    </row>
    <row r="17" spans="1:51" s="260" customFormat="1" ht="56.25" customHeight="1">
      <c r="A17" s="2328"/>
      <c r="B17" s="2329"/>
      <c r="C17" s="2330"/>
      <c r="D17" s="2330"/>
      <c r="E17" s="2330"/>
      <c r="F17" s="1356"/>
      <c r="G17" s="2331" t="s">
        <v>1670</v>
      </c>
      <c r="H17" s="2331"/>
      <c r="I17" s="2331"/>
      <c r="J17" s="2332"/>
      <c r="K17" s="2332"/>
      <c r="L17" s="2332"/>
      <c r="M17" s="1320"/>
      <c r="N17" s="1320"/>
      <c r="O17" s="1320"/>
      <c r="P17" s="1320"/>
      <c r="Q17" s="1404"/>
      <c r="R17" s="1404"/>
      <c r="S17" s="324"/>
      <c r="T17" s="954" t="e">
        <f>VLOOKUP(Q17,[90]Listas!$D$6:$E$10,2,0)</f>
        <v>#N/A</v>
      </c>
      <c r="U17" s="954" t="e">
        <f>HLOOKUP(R17,[90]Listas!$F$4:$J$5,2,0)</f>
        <v>#N/A</v>
      </c>
      <c r="V17" s="1902"/>
      <c r="W17" s="324"/>
      <c r="X17" s="2326" t="s">
        <v>790</v>
      </c>
      <c r="Y17" s="2326"/>
      <c r="Z17" s="2326"/>
      <c r="AA17" s="2335"/>
      <c r="AB17" s="1356"/>
      <c r="AC17" s="2327"/>
      <c r="AD17" s="1320"/>
      <c r="AE17" s="1356"/>
      <c r="AF17" s="324"/>
      <c r="AG17" s="954">
        <f t="shared" si="0"/>
        <v>0</v>
      </c>
      <c r="AH17" s="955" t="e">
        <f t="shared" si="1"/>
        <v>#N/A</v>
      </c>
      <c r="AI17" s="2293"/>
      <c r="AJ17" s="955" t="e">
        <f t="shared" si="2"/>
        <v>#N/A</v>
      </c>
      <c r="AK17" s="2293"/>
      <c r="AL17" s="953" t="e">
        <f t="shared" si="3"/>
        <v>#N/A</v>
      </c>
      <c r="AM17" s="1902"/>
      <c r="AN17" s="2326"/>
      <c r="AO17" s="2332"/>
      <c r="AP17" s="2355"/>
      <c r="AQ17" s="2343"/>
      <c r="AR17" s="2343" t="s">
        <v>2877</v>
      </c>
      <c r="AS17" s="1888"/>
      <c r="AT17" s="1327"/>
      <c r="AU17" s="1327"/>
      <c r="AV17" s="1327"/>
      <c r="AW17" s="1327"/>
      <c r="AX17" s="1327"/>
      <c r="AY17" s="262"/>
    </row>
    <row r="18" spans="1:51" s="260" customFormat="1" ht="93.75" customHeight="1">
      <c r="A18" s="2328" t="s">
        <v>3</v>
      </c>
      <c r="B18" s="2329" t="s">
        <v>2069</v>
      </c>
      <c r="C18" s="2330" t="s">
        <v>2882</v>
      </c>
      <c r="D18" s="2330"/>
      <c r="E18" s="2330"/>
      <c r="F18" s="1356" t="s">
        <v>2872</v>
      </c>
      <c r="G18" s="2331" t="s">
        <v>2883</v>
      </c>
      <c r="H18" s="2331"/>
      <c r="I18" s="2331"/>
      <c r="J18" s="2332" t="s">
        <v>4</v>
      </c>
      <c r="K18" s="2332"/>
      <c r="L18" s="2332"/>
      <c r="M18" s="1320"/>
      <c r="N18" s="1320">
        <v>5</v>
      </c>
      <c r="O18" s="1320"/>
      <c r="P18" s="1320"/>
      <c r="Q18" s="1404" t="s">
        <v>655</v>
      </c>
      <c r="R18" s="1404" t="s">
        <v>274</v>
      </c>
      <c r="S18" s="324"/>
      <c r="T18" s="954">
        <f>VLOOKUP(Q18,[90]Listas!$D$6:$E$10,2,0)</f>
        <v>2</v>
      </c>
      <c r="U18" s="954">
        <f>HLOOKUP(R18,[90]Listas!$F$4:$J$5,2,0)</f>
        <v>3</v>
      </c>
      <c r="V18" s="1902" t="str">
        <f>INDEX([90]Listas!$F$6:$J$10,MATCH(Q18,[90]Listas!$D$6:$D$10,0),MATCH(R18,[90]Listas!$F$4:$J$4,0))</f>
        <v>6
MODERADO</v>
      </c>
      <c r="W18" s="324"/>
      <c r="X18" s="2326" t="s">
        <v>1671</v>
      </c>
      <c r="Y18" s="2326"/>
      <c r="Z18" s="2326"/>
      <c r="AA18" s="2333" t="s">
        <v>4013</v>
      </c>
      <c r="AB18" s="938" t="s">
        <v>1672</v>
      </c>
      <c r="AC18" s="2327" t="s">
        <v>1673</v>
      </c>
      <c r="AD18" s="1320">
        <v>87</v>
      </c>
      <c r="AE18" s="1356" t="s">
        <v>152</v>
      </c>
      <c r="AF18" s="324"/>
      <c r="AG18" s="954">
        <f t="shared" si="0"/>
        <v>2</v>
      </c>
      <c r="AH18" s="955">
        <f t="shared" si="1"/>
        <v>0</v>
      </c>
      <c r="AI18" s="2293" t="str">
        <f>IF(AH18&lt;=1,"Remota",VLOOKUP(AH18,[90]Listas!$C$6:$D$10,2,0))</f>
        <v>Remota</v>
      </c>
      <c r="AJ18" s="955">
        <f t="shared" si="2"/>
        <v>1</v>
      </c>
      <c r="AK18" s="2293" t="str">
        <f>IF(AJ18&lt;=1,"Insignificante",HLOOKUP(AJ18,[90]Listas!$F$3:$J$4,2,0))</f>
        <v>Insignificante</v>
      </c>
      <c r="AL18" s="953">
        <f t="shared" si="3"/>
        <v>0</v>
      </c>
      <c r="AM18" s="1902" t="str">
        <f>INDEX([90]Listas!$F$6:$J$10,MATCH(AI18,[90]Listas!$D$6:$D$10,0),MATCH(AK18,[90]Listas!$F$4:$J$4,0))</f>
        <v>1
INFERIOR</v>
      </c>
      <c r="AN18" s="2326" t="s">
        <v>2884</v>
      </c>
      <c r="AO18" s="2332" t="s">
        <v>2885</v>
      </c>
      <c r="AP18" s="2353">
        <v>0</v>
      </c>
      <c r="AQ18" s="2341" t="s">
        <v>4115</v>
      </c>
      <c r="AR18" s="2341" t="s">
        <v>3590</v>
      </c>
      <c r="AS18" s="1886" t="s">
        <v>36</v>
      </c>
      <c r="AT18" s="1325"/>
      <c r="AU18" s="1325"/>
      <c r="AV18" s="1325"/>
      <c r="AW18" s="1325"/>
      <c r="AX18" s="1325"/>
      <c r="AY18" s="262"/>
    </row>
    <row r="19" spans="1:51" s="260" customFormat="1" ht="63" customHeight="1">
      <c r="A19" s="2328"/>
      <c r="B19" s="2329"/>
      <c r="C19" s="2330"/>
      <c r="D19" s="2330"/>
      <c r="E19" s="2330"/>
      <c r="F19" s="1356"/>
      <c r="G19" s="2339" t="s">
        <v>2886</v>
      </c>
      <c r="H19" s="2339"/>
      <c r="I19" s="2339"/>
      <c r="J19" s="2332"/>
      <c r="K19" s="2332"/>
      <c r="L19" s="2332"/>
      <c r="M19" s="1320"/>
      <c r="N19" s="1320"/>
      <c r="O19" s="1320"/>
      <c r="P19" s="1320"/>
      <c r="Q19" s="1404"/>
      <c r="R19" s="1404"/>
      <c r="S19" s="324"/>
      <c r="T19" s="954" t="e">
        <f>VLOOKUP(Q19,[90]Listas!$D$6:$E$10,2,0)</f>
        <v>#N/A</v>
      </c>
      <c r="U19" s="954" t="e">
        <f>HLOOKUP(R19,[90]Listas!$F$4:$J$5,2,0)</f>
        <v>#N/A</v>
      </c>
      <c r="V19" s="1902"/>
      <c r="W19" s="324"/>
      <c r="X19" s="2326" t="s">
        <v>1674</v>
      </c>
      <c r="Y19" s="2326"/>
      <c r="Z19" s="2326"/>
      <c r="AA19" s="2334"/>
      <c r="AB19" s="938" t="s">
        <v>1667</v>
      </c>
      <c r="AC19" s="2327"/>
      <c r="AD19" s="1320"/>
      <c r="AE19" s="1356"/>
      <c r="AF19" s="324"/>
      <c r="AG19" s="954">
        <f t="shared" si="0"/>
        <v>0</v>
      </c>
      <c r="AH19" s="955" t="e">
        <f t="shared" si="1"/>
        <v>#N/A</v>
      </c>
      <c r="AI19" s="2293"/>
      <c r="AJ19" s="955" t="e">
        <f t="shared" si="2"/>
        <v>#N/A</v>
      </c>
      <c r="AK19" s="2293"/>
      <c r="AL19" s="953" t="e">
        <f t="shared" si="3"/>
        <v>#N/A</v>
      </c>
      <c r="AM19" s="1902"/>
      <c r="AN19" s="2326"/>
      <c r="AO19" s="2332"/>
      <c r="AP19" s="2354"/>
      <c r="AQ19" s="2342"/>
      <c r="AR19" s="2342" t="s">
        <v>2877</v>
      </c>
      <c r="AS19" s="1887"/>
      <c r="AT19" s="1326"/>
      <c r="AU19" s="1326"/>
      <c r="AV19" s="1326"/>
      <c r="AW19" s="1326"/>
      <c r="AX19" s="1326"/>
      <c r="AY19" s="262"/>
    </row>
    <row r="20" spans="1:51" s="260" customFormat="1" ht="121.5" customHeight="1">
      <c r="A20" s="2328"/>
      <c r="B20" s="2329"/>
      <c r="C20" s="2330"/>
      <c r="D20" s="2330"/>
      <c r="E20" s="2330"/>
      <c r="F20" s="1356"/>
      <c r="G20" s="2331" t="s">
        <v>2887</v>
      </c>
      <c r="H20" s="2331"/>
      <c r="I20" s="2331"/>
      <c r="J20" s="2332"/>
      <c r="K20" s="2332"/>
      <c r="L20" s="2332"/>
      <c r="M20" s="1320"/>
      <c r="N20" s="1320"/>
      <c r="O20" s="1320"/>
      <c r="P20" s="1320"/>
      <c r="Q20" s="1404"/>
      <c r="R20" s="1404"/>
      <c r="S20" s="324"/>
      <c r="T20" s="954" t="e">
        <f>VLOOKUP(Q20,[90]Listas!$D$6:$E$10,2,0)</f>
        <v>#N/A</v>
      </c>
      <c r="U20" s="954" t="e">
        <f>HLOOKUP(R20,[90]Listas!$F$4:$J$5,2,0)</f>
        <v>#N/A</v>
      </c>
      <c r="V20" s="1902"/>
      <c r="W20" s="324"/>
      <c r="X20" s="2326" t="s">
        <v>791</v>
      </c>
      <c r="Y20" s="2326"/>
      <c r="Z20" s="2326"/>
      <c r="AA20" s="2334"/>
      <c r="AB20" s="1321" t="s">
        <v>1672</v>
      </c>
      <c r="AC20" s="2327"/>
      <c r="AD20" s="1320"/>
      <c r="AE20" s="1356"/>
      <c r="AF20" s="324"/>
      <c r="AG20" s="954">
        <f t="shared" si="0"/>
        <v>0</v>
      </c>
      <c r="AH20" s="955" t="e">
        <f t="shared" si="1"/>
        <v>#N/A</v>
      </c>
      <c r="AI20" s="2293"/>
      <c r="AJ20" s="955" t="e">
        <f t="shared" si="2"/>
        <v>#N/A</v>
      </c>
      <c r="AK20" s="2293"/>
      <c r="AL20" s="953" t="e">
        <f t="shared" si="3"/>
        <v>#N/A</v>
      </c>
      <c r="AM20" s="1902"/>
      <c r="AN20" s="2326"/>
      <c r="AO20" s="2332"/>
      <c r="AP20" s="2354"/>
      <c r="AQ20" s="2342"/>
      <c r="AR20" s="2342" t="s">
        <v>2877</v>
      </c>
      <c r="AS20" s="1887"/>
      <c r="AT20" s="1326"/>
      <c r="AU20" s="1326"/>
      <c r="AV20" s="1326"/>
      <c r="AW20" s="1326"/>
      <c r="AX20" s="1326"/>
      <c r="AY20" s="262"/>
    </row>
    <row r="21" spans="1:51" s="260" customFormat="1" ht="88.5" customHeight="1">
      <c r="A21" s="2328"/>
      <c r="B21" s="2329"/>
      <c r="C21" s="2330"/>
      <c r="D21" s="2330"/>
      <c r="E21" s="2330"/>
      <c r="F21" s="1356"/>
      <c r="G21" s="2331" t="s">
        <v>2888</v>
      </c>
      <c r="H21" s="2331"/>
      <c r="I21" s="2331"/>
      <c r="J21" s="2332"/>
      <c r="K21" s="2332"/>
      <c r="L21" s="2332"/>
      <c r="M21" s="1320"/>
      <c r="N21" s="1320"/>
      <c r="O21" s="1320"/>
      <c r="P21" s="1320"/>
      <c r="Q21" s="1404"/>
      <c r="R21" s="1404"/>
      <c r="S21" s="324"/>
      <c r="T21" s="954" t="e">
        <f>VLOOKUP(Q21,[90]Listas!$D$6:$E$10,2,0)</f>
        <v>#N/A</v>
      </c>
      <c r="U21" s="954" t="e">
        <f>HLOOKUP(R21,[90]Listas!$F$4:$J$5,2,0)</f>
        <v>#N/A</v>
      </c>
      <c r="V21" s="1902"/>
      <c r="W21" s="324"/>
      <c r="X21" s="2326" t="s">
        <v>792</v>
      </c>
      <c r="Y21" s="2326"/>
      <c r="Z21" s="2326"/>
      <c r="AA21" s="2335"/>
      <c r="AB21" s="1515"/>
      <c r="AC21" s="2327"/>
      <c r="AD21" s="1320"/>
      <c r="AE21" s="1356"/>
      <c r="AF21" s="324"/>
      <c r="AG21" s="954">
        <f t="shared" si="0"/>
        <v>0</v>
      </c>
      <c r="AH21" s="955" t="e">
        <f t="shared" si="1"/>
        <v>#N/A</v>
      </c>
      <c r="AI21" s="2293"/>
      <c r="AJ21" s="955" t="e">
        <f t="shared" si="2"/>
        <v>#N/A</v>
      </c>
      <c r="AK21" s="2293"/>
      <c r="AL21" s="953" t="e">
        <f t="shared" si="3"/>
        <v>#N/A</v>
      </c>
      <c r="AM21" s="1902"/>
      <c r="AN21" s="2326"/>
      <c r="AO21" s="2332"/>
      <c r="AP21" s="2355"/>
      <c r="AQ21" s="2343"/>
      <c r="AR21" s="2343" t="s">
        <v>2877</v>
      </c>
      <c r="AS21" s="1888"/>
      <c r="AT21" s="1327"/>
      <c r="AU21" s="1327"/>
      <c r="AV21" s="1327"/>
      <c r="AW21" s="1327"/>
      <c r="AX21" s="1327"/>
      <c r="AY21" s="262"/>
    </row>
    <row r="22" spans="1:51" s="260" customFormat="1" ht="76.5" customHeight="1">
      <c r="A22" s="2328" t="s">
        <v>3</v>
      </c>
      <c r="B22" s="2329" t="s">
        <v>2070</v>
      </c>
      <c r="C22" s="2330" t="s">
        <v>793</v>
      </c>
      <c r="D22" s="2330"/>
      <c r="E22" s="2330"/>
      <c r="F22" s="1356" t="s">
        <v>2872</v>
      </c>
      <c r="G22" s="2331" t="s">
        <v>2889</v>
      </c>
      <c r="H22" s="2331"/>
      <c r="I22" s="2331"/>
      <c r="J22" s="2332" t="s">
        <v>794</v>
      </c>
      <c r="K22" s="2332"/>
      <c r="L22" s="2332"/>
      <c r="M22" s="1320"/>
      <c r="N22" s="1320"/>
      <c r="O22" s="1320"/>
      <c r="P22" s="1320"/>
      <c r="Q22" s="1404" t="s">
        <v>655</v>
      </c>
      <c r="R22" s="1404" t="s">
        <v>274</v>
      </c>
      <c r="S22" s="324"/>
      <c r="T22" s="954">
        <f>VLOOKUP(Q22,[90]Listas!$D$6:$E$10,2,0)</f>
        <v>2</v>
      </c>
      <c r="U22" s="954">
        <f>HLOOKUP(R22,[90]Listas!$F$4:$J$5,2,0)</f>
        <v>3</v>
      </c>
      <c r="V22" s="1902" t="str">
        <f>INDEX([90]Listas!$F$6:$J$10,MATCH(Q22,[90]Listas!$D$6:$D$10,0),MATCH(R22,[90]Listas!$F$4:$J$4,0))</f>
        <v>6
MODERADO</v>
      </c>
      <c r="W22" s="324"/>
      <c r="X22" s="2331" t="s">
        <v>2890</v>
      </c>
      <c r="Y22" s="2331"/>
      <c r="Z22" s="2331"/>
      <c r="AA22" s="2392" t="s">
        <v>4013</v>
      </c>
      <c r="AB22" s="1356" t="s">
        <v>1675</v>
      </c>
      <c r="AC22" s="961" t="s">
        <v>1676</v>
      </c>
      <c r="AD22" s="1320">
        <v>87</v>
      </c>
      <c r="AE22" s="1356" t="s">
        <v>152</v>
      </c>
      <c r="AF22" s="324"/>
      <c r="AG22" s="954">
        <f t="shared" si="0"/>
        <v>2</v>
      </c>
      <c r="AH22" s="955">
        <f t="shared" si="1"/>
        <v>0</v>
      </c>
      <c r="AI22" s="2293" t="str">
        <f>IF(AH22&lt;=1,"Remota",VLOOKUP(AH22,[90]Listas!$C$6:$D$10,2,0))</f>
        <v>Remota</v>
      </c>
      <c r="AJ22" s="955">
        <f t="shared" si="2"/>
        <v>1</v>
      </c>
      <c r="AK22" s="2293" t="str">
        <f>IF(AJ22&lt;=1,"Insignificante",HLOOKUP(AJ22,[90]Listas!$F$3:$J$4,2,0))</f>
        <v>Insignificante</v>
      </c>
      <c r="AL22" s="953">
        <f t="shared" si="3"/>
        <v>0</v>
      </c>
      <c r="AM22" s="1902" t="str">
        <f>INDEX([90]Listas!$F$6:$J$10,MATCH(AI22,[90]Listas!$D$6:$D$10,0),MATCH(AK22,[90]Listas!$F$4:$J$4,0))</f>
        <v>1
INFERIOR</v>
      </c>
      <c r="AN22" s="2326" t="s">
        <v>2891</v>
      </c>
      <c r="AO22" s="2332" t="s">
        <v>2892</v>
      </c>
      <c r="AP22" s="1353">
        <v>1</v>
      </c>
      <c r="AQ22" s="2341" t="s">
        <v>4116</v>
      </c>
      <c r="AR22" s="2341" t="s">
        <v>3590</v>
      </c>
      <c r="AS22" s="1886" t="s">
        <v>36</v>
      </c>
      <c r="AT22" s="1325"/>
      <c r="AU22" s="1325"/>
      <c r="AV22" s="1325"/>
      <c r="AW22" s="1325"/>
      <c r="AX22" s="1325"/>
      <c r="AY22" s="262"/>
    </row>
    <row r="23" spans="1:51" s="260" customFormat="1" ht="118.5" customHeight="1">
      <c r="A23" s="2328"/>
      <c r="B23" s="2329"/>
      <c r="C23" s="2330"/>
      <c r="D23" s="2330"/>
      <c r="E23" s="2330"/>
      <c r="F23" s="1356"/>
      <c r="G23" s="2357" t="s">
        <v>2893</v>
      </c>
      <c r="H23" s="2357"/>
      <c r="I23" s="2357"/>
      <c r="J23" s="2332"/>
      <c r="K23" s="2332"/>
      <c r="L23" s="2332"/>
      <c r="M23" s="1320"/>
      <c r="N23" s="1320"/>
      <c r="O23" s="1320"/>
      <c r="P23" s="1320"/>
      <c r="Q23" s="1404"/>
      <c r="R23" s="1404"/>
      <c r="S23" s="324"/>
      <c r="T23" s="954" t="e">
        <f>VLOOKUP(Q23,[90]Listas!$D$6:$E$10,2,0)</f>
        <v>#N/A</v>
      </c>
      <c r="U23" s="954" t="e">
        <f>HLOOKUP(R23,[90]Listas!$F$4:$J$5,2,0)</f>
        <v>#N/A</v>
      </c>
      <c r="V23" s="1902"/>
      <c r="W23" s="324"/>
      <c r="X23" s="2331" t="s">
        <v>795</v>
      </c>
      <c r="Y23" s="2331"/>
      <c r="Z23" s="2331"/>
      <c r="AA23" s="2393"/>
      <c r="AB23" s="1356"/>
      <c r="AC23" s="961" t="s">
        <v>796</v>
      </c>
      <c r="AD23" s="1320"/>
      <c r="AE23" s="1356"/>
      <c r="AF23" s="324"/>
      <c r="AG23" s="954">
        <f t="shared" si="0"/>
        <v>0</v>
      </c>
      <c r="AH23" s="955" t="e">
        <f t="shared" si="1"/>
        <v>#N/A</v>
      </c>
      <c r="AI23" s="2293"/>
      <c r="AJ23" s="955" t="e">
        <f t="shared" si="2"/>
        <v>#N/A</v>
      </c>
      <c r="AK23" s="2293"/>
      <c r="AL23" s="953" t="e">
        <f t="shared" si="3"/>
        <v>#N/A</v>
      </c>
      <c r="AM23" s="1902"/>
      <c r="AN23" s="2326"/>
      <c r="AO23" s="2332"/>
      <c r="AP23" s="1354"/>
      <c r="AQ23" s="2342"/>
      <c r="AR23" s="2342" t="s">
        <v>2877</v>
      </c>
      <c r="AS23" s="1887"/>
      <c r="AT23" s="1326"/>
      <c r="AU23" s="1326"/>
      <c r="AV23" s="1326"/>
      <c r="AW23" s="1326"/>
      <c r="AX23" s="1326"/>
      <c r="AY23" s="262"/>
    </row>
    <row r="24" spans="1:51" s="260" customFormat="1" ht="44.25" customHeight="1">
      <c r="A24" s="2328"/>
      <c r="B24" s="2329"/>
      <c r="C24" s="2330"/>
      <c r="D24" s="2330"/>
      <c r="E24" s="2330"/>
      <c r="F24" s="1356"/>
      <c r="G24" s="2331" t="s">
        <v>2894</v>
      </c>
      <c r="H24" s="2331"/>
      <c r="I24" s="2331"/>
      <c r="J24" s="2332"/>
      <c r="K24" s="2332"/>
      <c r="L24" s="2332"/>
      <c r="M24" s="1320"/>
      <c r="N24" s="1320"/>
      <c r="O24" s="1320"/>
      <c r="P24" s="1320"/>
      <c r="Q24" s="1404"/>
      <c r="R24" s="1404"/>
      <c r="S24" s="324"/>
      <c r="T24" s="954" t="e">
        <f>VLOOKUP(Q24,[90]Listas!$D$6:$E$10,2,0)</f>
        <v>#N/A</v>
      </c>
      <c r="U24" s="954" t="e">
        <f>HLOOKUP(R24,[90]Listas!$F$4:$J$5,2,0)</f>
        <v>#N/A</v>
      </c>
      <c r="V24" s="1902"/>
      <c r="W24" s="324"/>
      <c r="X24" s="2331" t="s">
        <v>797</v>
      </c>
      <c r="Y24" s="2331"/>
      <c r="Z24" s="2331"/>
      <c r="AA24" s="2393"/>
      <c r="AB24" s="1356"/>
      <c r="AC24" s="2358" t="s">
        <v>798</v>
      </c>
      <c r="AD24" s="1320"/>
      <c r="AE24" s="1356"/>
      <c r="AF24" s="324"/>
      <c r="AG24" s="954">
        <f t="shared" si="0"/>
        <v>0</v>
      </c>
      <c r="AH24" s="955" t="e">
        <f t="shared" si="1"/>
        <v>#N/A</v>
      </c>
      <c r="AI24" s="2293"/>
      <c r="AJ24" s="955" t="e">
        <f t="shared" si="2"/>
        <v>#N/A</v>
      </c>
      <c r="AK24" s="2293"/>
      <c r="AL24" s="953" t="e">
        <f t="shared" si="3"/>
        <v>#N/A</v>
      </c>
      <c r="AM24" s="1902"/>
      <c r="AN24" s="2326"/>
      <c r="AO24" s="2332"/>
      <c r="AP24" s="1354"/>
      <c r="AQ24" s="2342"/>
      <c r="AR24" s="2342" t="s">
        <v>2877</v>
      </c>
      <c r="AS24" s="1887"/>
      <c r="AT24" s="1326"/>
      <c r="AU24" s="1326"/>
      <c r="AV24" s="1326"/>
      <c r="AW24" s="1326"/>
      <c r="AX24" s="1326"/>
      <c r="AY24" s="262"/>
    </row>
    <row r="25" spans="1:51" s="260" customFormat="1" ht="35.25" customHeight="1">
      <c r="A25" s="2328"/>
      <c r="B25" s="2329"/>
      <c r="C25" s="2330"/>
      <c r="D25" s="2330"/>
      <c r="E25" s="2330"/>
      <c r="F25" s="1356"/>
      <c r="G25" s="2331" t="s">
        <v>2895</v>
      </c>
      <c r="H25" s="2331"/>
      <c r="I25" s="2331"/>
      <c r="J25" s="2332"/>
      <c r="K25" s="2332"/>
      <c r="L25" s="2332"/>
      <c r="M25" s="1320"/>
      <c r="N25" s="1320"/>
      <c r="O25" s="1320"/>
      <c r="P25" s="1320"/>
      <c r="Q25" s="1404"/>
      <c r="R25" s="1404"/>
      <c r="S25" s="324"/>
      <c r="T25" s="954" t="e">
        <f>VLOOKUP(Q25,[90]Listas!$D$6:$E$10,2,0)</f>
        <v>#N/A</v>
      </c>
      <c r="U25" s="954" t="e">
        <f>HLOOKUP(R25,[90]Listas!$F$4:$J$5,2,0)</f>
        <v>#N/A</v>
      </c>
      <c r="V25" s="1902"/>
      <c r="W25" s="324"/>
      <c r="X25" s="2331" t="s">
        <v>799</v>
      </c>
      <c r="Y25" s="2331"/>
      <c r="Z25" s="2331"/>
      <c r="AA25" s="2394"/>
      <c r="AB25" s="1356"/>
      <c r="AC25" s="2358"/>
      <c r="AD25" s="1320"/>
      <c r="AE25" s="1356"/>
      <c r="AF25" s="324"/>
      <c r="AG25" s="954">
        <f t="shared" si="0"/>
        <v>0</v>
      </c>
      <c r="AH25" s="955" t="e">
        <f t="shared" si="1"/>
        <v>#N/A</v>
      </c>
      <c r="AI25" s="2293"/>
      <c r="AJ25" s="955" t="e">
        <f t="shared" si="2"/>
        <v>#N/A</v>
      </c>
      <c r="AK25" s="2293"/>
      <c r="AL25" s="953" t="e">
        <f t="shared" si="3"/>
        <v>#N/A</v>
      </c>
      <c r="AM25" s="1902"/>
      <c r="AN25" s="2326"/>
      <c r="AO25" s="2332"/>
      <c r="AP25" s="1355"/>
      <c r="AQ25" s="2343"/>
      <c r="AR25" s="2343" t="s">
        <v>2877</v>
      </c>
      <c r="AS25" s="1888"/>
      <c r="AT25" s="1327"/>
      <c r="AU25" s="1327"/>
      <c r="AV25" s="1327"/>
      <c r="AW25" s="1327"/>
      <c r="AX25" s="1327"/>
      <c r="AY25" s="262"/>
    </row>
    <row r="26" spans="1:51" s="260" customFormat="1" ht="198.75" customHeight="1">
      <c r="A26" s="2328" t="s">
        <v>3</v>
      </c>
      <c r="B26" s="2329" t="s">
        <v>2071</v>
      </c>
      <c r="C26" s="2330" t="s">
        <v>201</v>
      </c>
      <c r="D26" s="2330"/>
      <c r="E26" s="2330"/>
      <c r="F26" s="1356" t="s">
        <v>2872</v>
      </c>
      <c r="G26" s="2339" t="s">
        <v>2896</v>
      </c>
      <c r="H26" s="2339"/>
      <c r="I26" s="2339"/>
      <c r="J26" s="2356" t="s">
        <v>1677</v>
      </c>
      <c r="K26" s="2356"/>
      <c r="L26" s="2356"/>
      <c r="M26" s="1320"/>
      <c r="N26" s="1320">
        <v>6</v>
      </c>
      <c r="O26" s="2301" t="s">
        <v>8</v>
      </c>
      <c r="P26" s="1320"/>
      <c r="Q26" s="1404" t="s">
        <v>654</v>
      </c>
      <c r="R26" s="1404" t="s">
        <v>643</v>
      </c>
      <c r="S26" s="324"/>
      <c r="T26" s="954">
        <f>VLOOKUP(Q26,[90]Listas!$D$6:$E$10,2,0)</f>
        <v>1</v>
      </c>
      <c r="U26" s="954">
        <f>HLOOKUP(R26,[90]Listas!$F$4:$J$5,2,0)</f>
        <v>2</v>
      </c>
      <c r="V26" s="1902" t="str">
        <f>INDEX([90]Listas!$F$6:$J$10,MATCH(Q26,[90]Listas!$D$6:$D$10,0),MATCH(R26,[90]Listas!$F$4:$J$4,0))</f>
        <v>2
INFERIOR</v>
      </c>
      <c r="W26" s="324"/>
      <c r="X26" s="2339" t="s">
        <v>2897</v>
      </c>
      <c r="Y26" s="2339"/>
      <c r="Z26" s="2339"/>
      <c r="AA26" s="2395" t="s">
        <v>4221</v>
      </c>
      <c r="AB26" s="938" t="s">
        <v>1678</v>
      </c>
      <c r="AC26" s="87" t="s">
        <v>2898</v>
      </c>
      <c r="AD26" s="1320">
        <v>87</v>
      </c>
      <c r="AE26" s="1356" t="s">
        <v>152</v>
      </c>
      <c r="AF26" s="324"/>
      <c r="AG26" s="954">
        <f t="shared" si="0"/>
        <v>2</v>
      </c>
      <c r="AH26" s="955">
        <f t="shared" si="1"/>
        <v>-1</v>
      </c>
      <c r="AI26" s="2293" t="str">
        <f>IF(AH26&lt;=1,"Remota",VLOOKUP(AH26,[90]Listas!$C$6:$D$10,2,0))</f>
        <v>Remota</v>
      </c>
      <c r="AJ26" s="955">
        <f t="shared" si="2"/>
        <v>0</v>
      </c>
      <c r="AK26" s="2293" t="str">
        <f>IF(AJ26&lt;=1,"Insignificante",HLOOKUP(AJ26,[90]Listas!$F$3:$J$4,2,0))</f>
        <v>Insignificante</v>
      </c>
      <c r="AL26" s="953">
        <f t="shared" si="3"/>
        <v>0</v>
      </c>
      <c r="AM26" s="1902" t="str">
        <f>INDEX([90]Listas!$F$6:$J$10,MATCH(AI26,[90]Listas!$D$6:$D$10,0),MATCH(AK26,[90]Listas!$F$4:$J$4,0))</f>
        <v>1
INFERIOR</v>
      </c>
      <c r="AN26" s="2326" t="s">
        <v>2899</v>
      </c>
      <c r="AO26" s="2332" t="s">
        <v>2900</v>
      </c>
      <c r="AP26" s="2353">
        <v>0</v>
      </c>
      <c r="AQ26" s="2341" t="s">
        <v>4117</v>
      </c>
      <c r="AR26" s="2341" t="s">
        <v>3590</v>
      </c>
      <c r="AS26" s="1886" t="s">
        <v>36</v>
      </c>
      <c r="AT26" s="1325"/>
      <c r="AU26" s="1325"/>
      <c r="AV26" s="1325"/>
      <c r="AW26" s="1325"/>
      <c r="AX26" s="1325"/>
      <c r="AY26" s="262"/>
    </row>
    <row r="27" spans="1:51" s="260" customFormat="1" ht="189" customHeight="1">
      <c r="A27" s="2328"/>
      <c r="B27" s="2329"/>
      <c r="C27" s="2330"/>
      <c r="D27" s="2330"/>
      <c r="E27" s="2330"/>
      <c r="F27" s="1356"/>
      <c r="G27" s="2331" t="s">
        <v>2901</v>
      </c>
      <c r="H27" s="2331"/>
      <c r="I27" s="2331"/>
      <c r="J27" s="2356"/>
      <c r="K27" s="2356"/>
      <c r="L27" s="2356"/>
      <c r="M27" s="1320"/>
      <c r="N27" s="1320"/>
      <c r="O27" s="2301"/>
      <c r="P27" s="1320"/>
      <c r="Q27" s="1404"/>
      <c r="R27" s="1404"/>
      <c r="S27" s="324"/>
      <c r="T27" s="954" t="e">
        <f>VLOOKUP(Q27,[90]Listas!$D$6:$E$10,2,0)</f>
        <v>#N/A</v>
      </c>
      <c r="U27" s="954" t="e">
        <f>HLOOKUP(R27,[90]Listas!$F$4:$J$5,2,0)</f>
        <v>#N/A</v>
      </c>
      <c r="V27" s="1902"/>
      <c r="W27" s="324"/>
      <c r="X27" s="2331" t="s">
        <v>1679</v>
      </c>
      <c r="Y27" s="2331"/>
      <c r="Z27" s="2331"/>
      <c r="AA27" s="2396"/>
      <c r="AB27" s="938" t="s">
        <v>1680</v>
      </c>
      <c r="AC27" s="88" t="s">
        <v>1681</v>
      </c>
      <c r="AD27" s="1320"/>
      <c r="AE27" s="1356"/>
      <c r="AF27" s="324"/>
      <c r="AG27" s="954">
        <f t="shared" si="0"/>
        <v>0</v>
      </c>
      <c r="AH27" s="955" t="e">
        <f t="shared" si="1"/>
        <v>#N/A</v>
      </c>
      <c r="AI27" s="2293"/>
      <c r="AJ27" s="955" t="e">
        <f t="shared" si="2"/>
        <v>#N/A</v>
      </c>
      <c r="AK27" s="2293"/>
      <c r="AL27" s="953" t="e">
        <f t="shared" si="3"/>
        <v>#N/A</v>
      </c>
      <c r="AM27" s="1902"/>
      <c r="AN27" s="2326"/>
      <c r="AO27" s="2332"/>
      <c r="AP27" s="2355"/>
      <c r="AQ27" s="2343"/>
      <c r="AR27" s="2343" t="s">
        <v>2877</v>
      </c>
      <c r="AS27" s="1888"/>
      <c r="AT27" s="1327"/>
      <c r="AU27" s="1327"/>
      <c r="AV27" s="1327"/>
      <c r="AW27" s="1327"/>
      <c r="AX27" s="1327"/>
      <c r="AY27" s="262"/>
    </row>
    <row r="28" spans="1:51" s="260" customFormat="1" ht="173.25" customHeight="1">
      <c r="A28" s="960" t="s">
        <v>5</v>
      </c>
      <c r="B28" s="957" t="s">
        <v>2072</v>
      </c>
      <c r="C28" s="2330" t="s">
        <v>6</v>
      </c>
      <c r="D28" s="2330"/>
      <c r="E28" s="2330"/>
      <c r="F28" s="938" t="s">
        <v>2872</v>
      </c>
      <c r="G28" s="2331" t="s">
        <v>2902</v>
      </c>
      <c r="H28" s="2331"/>
      <c r="I28" s="2331"/>
      <c r="J28" s="2356" t="s">
        <v>800</v>
      </c>
      <c r="K28" s="2356"/>
      <c r="L28" s="2356"/>
      <c r="M28" s="936"/>
      <c r="N28" s="936"/>
      <c r="O28" s="936"/>
      <c r="P28" s="936" t="s">
        <v>8</v>
      </c>
      <c r="Q28" s="939" t="s">
        <v>654</v>
      </c>
      <c r="R28" s="939" t="s">
        <v>274</v>
      </c>
      <c r="S28" s="324"/>
      <c r="T28" s="954">
        <f>VLOOKUP(Q28,[90]Listas!$D$6:$E$10,2,0)</f>
        <v>1</v>
      </c>
      <c r="U28" s="954">
        <f>HLOOKUP(R28,[90]Listas!$F$4:$J$5,2,0)</f>
        <v>3</v>
      </c>
      <c r="V28" s="947" t="str">
        <f>INDEX([90]Listas!$F$6:$J$10,MATCH(Q28,[90]Listas!$D$6:$D$10,0),MATCH(R28,[90]Listas!$F$4:$J$4,0))</f>
        <v>3
INFERIOR</v>
      </c>
      <c r="W28" s="324"/>
      <c r="X28" s="2339" t="s">
        <v>2903</v>
      </c>
      <c r="Y28" s="2339"/>
      <c r="Z28" s="2339"/>
      <c r="AA28" s="1127" t="s">
        <v>4013</v>
      </c>
      <c r="AB28" s="938" t="s">
        <v>2874</v>
      </c>
      <c r="AC28" s="58" t="s">
        <v>2904</v>
      </c>
      <c r="AD28" s="936">
        <v>87</v>
      </c>
      <c r="AE28" s="938" t="s">
        <v>152</v>
      </c>
      <c r="AF28" s="324"/>
      <c r="AG28" s="954">
        <f>IF(AD28&lt;=33,0,IF(AD28&gt;81,2,1))</f>
        <v>2</v>
      </c>
      <c r="AH28" s="955">
        <f>IF(OR(AE28="Probabilidad",AE28="Ambos"),T28-AG28,T28)</f>
        <v>-1</v>
      </c>
      <c r="AI28" s="952" t="str">
        <f>IF(AH28&lt;=1,"Remota",VLOOKUP(AH28,[90]Listas!$C$6:$D$10,2,0))</f>
        <v>Remota</v>
      </c>
      <c r="AJ28" s="955">
        <f>IF(OR(AE28="Impacto",AE28="Ambos"),U28-AG28,U28)</f>
        <v>1</v>
      </c>
      <c r="AK28" s="952" t="str">
        <f>IF(AJ28&lt;=1,"Insignificante",HLOOKUP(AJ28,[90]Listas!$F$3:$J$4,2,0))</f>
        <v>Insignificante</v>
      </c>
      <c r="AL28" s="953">
        <f>AH28*AJ28</f>
        <v>-1</v>
      </c>
      <c r="AM28" s="947" t="str">
        <f>INDEX([90]Listas!$F$6:$J$10,MATCH(AI28,[90]Listas!$D$6:$D$10,0),MATCH(AK28,[90]Listas!$F$4:$J$4,0))</f>
        <v>1
INFERIOR</v>
      </c>
      <c r="AN28" s="959" t="s">
        <v>2905</v>
      </c>
      <c r="AO28" s="958" t="s">
        <v>2906</v>
      </c>
      <c r="AP28" s="937">
        <v>0</v>
      </c>
      <c r="AQ28" s="263" t="s">
        <v>4118</v>
      </c>
      <c r="AR28" s="263" t="s">
        <v>3590</v>
      </c>
      <c r="AS28" s="263" t="s">
        <v>36</v>
      </c>
      <c r="AT28" s="259"/>
      <c r="AU28" s="259"/>
      <c r="AV28" s="259"/>
      <c r="AW28" s="259"/>
      <c r="AX28" s="259"/>
      <c r="AY28" s="262"/>
    </row>
    <row r="29" spans="1:51" s="260" customFormat="1" ht="84.75" customHeight="1">
      <c r="A29" s="2328" t="s">
        <v>5</v>
      </c>
      <c r="B29" s="2329" t="s">
        <v>2073</v>
      </c>
      <c r="C29" s="2330" t="s">
        <v>801</v>
      </c>
      <c r="D29" s="2330"/>
      <c r="E29" s="2330"/>
      <c r="F29" s="1356" t="s">
        <v>2872</v>
      </c>
      <c r="G29" s="2339" t="s">
        <v>2907</v>
      </c>
      <c r="H29" s="2339"/>
      <c r="I29" s="2339"/>
      <c r="J29" s="2359" t="s">
        <v>802</v>
      </c>
      <c r="K29" s="2359"/>
      <c r="L29" s="2359"/>
      <c r="M29" s="1320"/>
      <c r="N29" s="1320"/>
      <c r="O29" s="2301"/>
      <c r="P29" s="1320" t="s">
        <v>8</v>
      </c>
      <c r="Q29" s="1404" t="s">
        <v>655</v>
      </c>
      <c r="R29" s="1404" t="s">
        <v>274</v>
      </c>
      <c r="S29" s="324"/>
      <c r="T29" s="954">
        <f>VLOOKUP(Q29,[90]Listas!$D$6:$E$10,2,0)</f>
        <v>2</v>
      </c>
      <c r="U29" s="954">
        <f>HLOOKUP(R29,[90]Listas!$F$4:$J$5,2,0)</f>
        <v>3</v>
      </c>
      <c r="V29" s="1902" t="str">
        <f>INDEX([90]Listas!$F$6:$J$10,MATCH(Q29,[90]Listas!$D$6:$D$10,0),MATCH(R29,[90]Listas!$F$4:$J$4,0))</f>
        <v>6
MODERADO</v>
      </c>
      <c r="W29" s="324"/>
      <c r="X29" s="2339" t="s">
        <v>2908</v>
      </c>
      <c r="Y29" s="2339"/>
      <c r="Z29" s="2339"/>
      <c r="AA29" s="2395" t="s">
        <v>4219</v>
      </c>
      <c r="AB29" s="938" t="s">
        <v>1682</v>
      </c>
      <c r="AC29" s="961" t="s">
        <v>2909</v>
      </c>
      <c r="AD29" s="1320">
        <v>87</v>
      </c>
      <c r="AE29" s="1356" t="s">
        <v>152</v>
      </c>
      <c r="AF29" s="324"/>
      <c r="AG29" s="954">
        <f t="shared" ref="AG29:AG39" si="4">IF(AD29&lt;=33,0,IF(AD29&gt;81,2,1))</f>
        <v>2</v>
      </c>
      <c r="AH29" s="955">
        <f t="shared" ref="AH29:AH39" si="5">IF(OR(AE29="Probabilidad",AE29="Ambos"),T29-AG29,T29)</f>
        <v>0</v>
      </c>
      <c r="AI29" s="2293" t="str">
        <f>IF(AH29&lt;=1,"Remota",VLOOKUP(AH29,[90]Listas!$C$6:$D$10,2,0))</f>
        <v>Remota</v>
      </c>
      <c r="AJ29" s="955">
        <f t="shared" ref="AJ29:AJ39" si="6">IF(OR(AE29="Impacto",AE29="Ambos"),U29-AG29,U29)</f>
        <v>1</v>
      </c>
      <c r="AK29" s="2293" t="str">
        <f>IF(AJ29&lt;=1,"Insignificante",HLOOKUP(AJ29,[90]Listas!$F$3:$J$4,2,0))</f>
        <v>Insignificante</v>
      </c>
      <c r="AL29" s="953">
        <f t="shared" ref="AL29:AL39" si="7">AH29*AJ29</f>
        <v>0</v>
      </c>
      <c r="AM29" s="1902" t="str">
        <f>INDEX([90]Listas!$F$6:$J$10,MATCH(AI29,[90]Listas!$D$6:$D$10,0),MATCH(AK29,[90]Listas!$F$4:$J$4,0))</f>
        <v>1
INFERIOR</v>
      </c>
      <c r="AN29" s="2326" t="s">
        <v>2910</v>
      </c>
      <c r="AO29" s="2332" t="s">
        <v>2911</v>
      </c>
      <c r="AP29" s="2353">
        <v>0</v>
      </c>
      <c r="AQ29" s="2341" t="s">
        <v>4119</v>
      </c>
      <c r="AR29" s="2341" t="s">
        <v>3590</v>
      </c>
      <c r="AS29" s="1886" t="s">
        <v>36</v>
      </c>
      <c r="AT29" s="1325"/>
      <c r="AU29" s="1325"/>
      <c r="AV29" s="1325"/>
      <c r="AW29" s="1325"/>
      <c r="AX29" s="1325"/>
      <c r="AY29" s="262"/>
    </row>
    <row r="30" spans="1:51" s="260" customFormat="1" ht="138.75" customHeight="1">
      <c r="A30" s="2328"/>
      <c r="B30" s="2329"/>
      <c r="C30" s="2330"/>
      <c r="D30" s="2330"/>
      <c r="E30" s="2330"/>
      <c r="F30" s="1356"/>
      <c r="G30" s="2339" t="s">
        <v>2912</v>
      </c>
      <c r="H30" s="2339"/>
      <c r="I30" s="2339"/>
      <c r="J30" s="2359"/>
      <c r="K30" s="2359"/>
      <c r="L30" s="2359"/>
      <c r="M30" s="1320"/>
      <c r="N30" s="1320"/>
      <c r="O30" s="2301"/>
      <c r="P30" s="1320"/>
      <c r="Q30" s="1404"/>
      <c r="R30" s="1404"/>
      <c r="S30" s="324"/>
      <c r="T30" s="954" t="e">
        <f>VLOOKUP(Q30,[90]Listas!$D$6:$E$10,2,0)</f>
        <v>#N/A</v>
      </c>
      <c r="U30" s="954" t="e">
        <f>HLOOKUP(R30,[90]Listas!$F$4:$J$5,2,0)</f>
        <v>#N/A</v>
      </c>
      <c r="V30" s="1902"/>
      <c r="W30" s="324"/>
      <c r="X30" s="2360" t="s">
        <v>2913</v>
      </c>
      <c r="Y30" s="2360"/>
      <c r="Z30" s="2360"/>
      <c r="AA30" s="2397"/>
      <c r="AB30" s="938" t="s">
        <v>1667</v>
      </c>
      <c r="AC30" s="961" t="s">
        <v>454</v>
      </c>
      <c r="AD30" s="1320"/>
      <c r="AE30" s="1356"/>
      <c r="AF30" s="324"/>
      <c r="AG30" s="954">
        <f t="shared" si="4"/>
        <v>0</v>
      </c>
      <c r="AH30" s="955" t="e">
        <f t="shared" si="5"/>
        <v>#N/A</v>
      </c>
      <c r="AI30" s="2293"/>
      <c r="AJ30" s="955" t="e">
        <f t="shared" si="6"/>
        <v>#N/A</v>
      </c>
      <c r="AK30" s="2293"/>
      <c r="AL30" s="953" t="e">
        <f t="shared" si="7"/>
        <v>#N/A</v>
      </c>
      <c r="AM30" s="1902"/>
      <c r="AN30" s="2326"/>
      <c r="AO30" s="2332"/>
      <c r="AP30" s="2354"/>
      <c r="AQ30" s="2342"/>
      <c r="AR30" s="2342" t="s">
        <v>2877</v>
      </c>
      <c r="AS30" s="1887"/>
      <c r="AT30" s="1326"/>
      <c r="AU30" s="1326"/>
      <c r="AV30" s="1326"/>
      <c r="AW30" s="1326"/>
      <c r="AX30" s="1326"/>
      <c r="AY30" s="262"/>
    </row>
    <row r="31" spans="1:51" s="260" customFormat="1" ht="55.5" customHeight="1">
      <c r="A31" s="2328"/>
      <c r="B31" s="2329"/>
      <c r="C31" s="2330"/>
      <c r="D31" s="2330"/>
      <c r="E31" s="2330"/>
      <c r="F31" s="1356"/>
      <c r="G31" s="2339" t="s">
        <v>2914</v>
      </c>
      <c r="H31" s="2339"/>
      <c r="I31" s="2339"/>
      <c r="J31" s="2359"/>
      <c r="K31" s="2359"/>
      <c r="L31" s="2359"/>
      <c r="M31" s="1320"/>
      <c r="N31" s="1320"/>
      <c r="O31" s="2301"/>
      <c r="P31" s="1320"/>
      <c r="Q31" s="1404"/>
      <c r="R31" s="1404"/>
      <c r="S31" s="324"/>
      <c r="T31" s="954" t="e">
        <f>VLOOKUP(Q31,[90]Listas!$D$6:$E$10,2,0)</f>
        <v>#N/A</v>
      </c>
      <c r="U31" s="954" t="e">
        <f>HLOOKUP(R31,[90]Listas!$F$4:$J$5,2,0)</f>
        <v>#N/A</v>
      </c>
      <c r="V31" s="1902"/>
      <c r="W31" s="324"/>
      <c r="X31" s="2339" t="s">
        <v>803</v>
      </c>
      <c r="Y31" s="2339"/>
      <c r="Z31" s="2339"/>
      <c r="AA31" s="2397"/>
      <c r="AB31" s="1356" t="s">
        <v>1683</v>
      </c>
      <c r="AC31" s="961" t="s">
        <v>1684</v>
      </c>
      <c r="AD31" s="1320"/>
      <c r="AE31" s="1356"/>
      <c r="AF31" s="324"/>
      <c r="AG31" s="954">
        <f t="shared" si="4"/>
        <v>0</v>
      </c>
      <c r="AH31" s="955" t="e">
        <f t="shared" si="5"/>
        <v>#N/A</v>
      </c>
      <c r="AI31" s="2293"/>
      <c r="AJ31" s="955" t="e">
        <f t="shared" si="6"/>
        <v>#N/A</v>
      </c>
      <c r="AK31" s="2293"/>
      <c r="AL31" s="953" t="e">
        <f t="shared" si="7"/>
        <v>#N/A</v>
      </c>
      <c r="AM31" s="1902"/>
      <c r="AN31" s="2326"/>
      <c r="AO31" s="2332"/>
      <c r="AP31" s="2354"/>
      <c r="AQ31" s="2342"/>
      <c r="AR31" s="2342" t="s">
        <v>2877</v>
      </c>
      <c r="AS31" s="1887"/>
      <c r="AT31" s="1326"/>
      <c r="AU31" s="1326"/>
      <c r="AV31" s="1326"/>
      <c r="AW31" s="1326"/>
      <c r="AX31" s="1326"/>
      <c r="AY31" s="262"/>
    </row>
    <row r="32" spans="1:51" s="260" customFormat="1" ht="42.75" customHeight="1">
      <c r="A32" s="2328"/>
      <c r="B32" s="2329"/>
      <c r="C32" s="2330"/>
      <c r="D32" s="2330"/>
      <c r="E32" s="2330"/>
      <c r="F32" s="1356"/>
      <c r="G32" s="2339" t="s">
        <v>2915</v>
      </c>
      <c r="H32" s="2339"/>
      <c r="I32" s="2339"/>
      <c r="J32" s="2359"/>
      <c r="K32" s="2359"/>
      <c r="L32" s="2359"/>
      <c r="M32" s="1320"/>
      <c r="N32" s="1320"/>
      <c r="O32" s="2301"/>
      <c r="P32" s="1320"/>
      <c r="Q32" s="1404"/>
      <c r="R32" s="1404"/>
      <c r="S32" s="324"/>
      <c r="T32" s="954" t="e">
        <f>VLOOKUP(Q32,[90]Listas!$D$6:$E$10,2,0)</f>
        <v>#N/A</v>
      </c>
      <c r="U32" s="954" t="e">
        <f>HLOOKUP(R32,[90]Listas!$F$4:$J$5,2,0)</f>
        <v>#N/A</v>
      </c>
      <c r="V32" s="1902"/>
      <c r="W32" s="324"/>
      <c r="X32" s="2339" t="s">
        <v>804</v>
      </c>
      <c r="Y32" s="2339"/>
      <c r="Z32" s="2339"/>
      <c r="AA32" s="2397"/>
      <c r="AB32" s="1356"/>
      <c r="AC32" s="961" t="s">
        <v>455</v>
      </c>
      <c r="AD32" s="1320"/>
      <c r="AE32" s="1356"/>
      <c r="AF32" s="324"/>
      <c r="AG32" s="954">
        <f t="shared" si="4"/>
        <v>0</v>
      </c>
      <c r="AH32" s="955" t="e">
        <f t="shared" si="5"/>
        <v>#N/A</v>
      </c>
      <c r="AI32" s="2293"/>
      <c r="AJ32" s="955" t="e">
        <f t="shared" si="6"/>
        <v>#N/A</v>
      </c>
      <c r="AK32" s="2293"/>
      <c r="AL32" s="953" t="e">
        <f t="shared" si="7"/>
        <v>#N/A</v>
      </c>
      <c r="AM32" s="1902"/>
      <c r="AN32" s="2326"/>
      <c r="AO32" s="2332"/>
      <c r="AP32" s="2354"/>
      <c r="AQ32" s="2342"/>
      <c r="AR32" s="2342" t="s">
        <v>2877</v>
      </c>
      <c r="AS32" s="1887"/>
      <c r="AT32" s="1326"/>
      <c r="AU32" s="1326"/>
      <c r="AV32" s="1326"/>
      <c r="AW32" s="1326"/>
      <c r="AX32" s="1326"/>
      <c r="AY32" s="262"/>
    </row>
    <row r="33" spans="1:51" s="260" customFormat="1" ht="41.25" customHeight="1">
      <c r="A33" s="2328"/>
      <c r="B33" s="2329"/>
      <c r="C33" s="2330"/>
      <c r="D33" s="2330"/>
      <c r="E33" s="2330"/>
      <c r="F33" s="1356"/>
      <c r="G33" s="2339" t="s">
        <v>2916</v>
      </c>
      <c r="H33" s="2339"/>
      <c r="I33" s="2339"/>
      <c r="J33" s="2359"/>
      <c r="K33" s="2359"/>
      <c r="L33" s="2359"/>
      <c r="M33" s="1320"/>
      <c r="N33" s="1320"/>
      <c r="O33" s="2301"/>
      <c r="P33" s="1320"/>
      <c r="Q33" s="1404"/>
      <c r="R33" s="1404"/>
      <c r="S33" s="324"/>
      <c r="T33" s="954" t="e">
        <f>VLOOKUP(Q33,[90]Listas!$D$6:$E$10,2,0)</f>
        <v>#N/A</v>
      </c>
      <c r="U33" s="954" t="e">
        <f>HLOOKUP(R33,[90]Listas!$F$4:$J$5,2,0)</f>
        <v>#N/A</v>
      </c>
      <c r="V33" s="1902"/>
      <c r="W33" s="324"/>
      <c r="X33" s="2339" t="s">
        <v>2917</v>
      </c>
      <c r="Y33" s="2339"/>
      <c r="Z33" s="2339"/>
      <c r="AA33" s="2397"/>
      <c r="AB33" s="1356"/>
      <c r="AC33" s="961" t="s">
        <v>1684</v>
      </c>
      <c r="AD33" s="1320"/>
      <c r="AE33" s="1356"/>
      <c r="AF33" s="324"/>
      <c r="AG33" s="954">
        <f t="shared" si="4"/>
        <v>0</v>
      </c>
      <c r="AH33" s="955" t="e">
        <f t="shared" si="5"/>
        <v>#N/A</v>
      </c>
      <c r="AI33" s="2293"/>
      <c r="AJ33" s="955" t="e">
        <f t="shared" si="6"/>
        <v>#N/A</v>
      </c>
      <c r="AK33" s="2293"/>
      <c r="AL33" s="953" t="e">
        <f t="shared" si="7"/>
        <v>#N/A</v>
      </c>
      <c r="AM33" s="1902"/>
      <c r="AN33" s="2326"/>
      <c r="AO33" s="2332"/>
      <c r="AP33" s="2354"/>
      <c r="AQ33" s="2342"/>
      <c r="AR33" s="2342" t="s">
        <v>2877</v>
      </c>
      <c r="AS33" s="1887"/>
      <c r="AT33" s="1326"/>
      <c r="AU33" s="1326"/>
      <c r="AV33" s="1326"/>
      <c r="AW33" s="1326"/>
      <c r="AX33" s="1326"/>
      <c r="AY33" s="262"/>
    </row>
    <row r="34" spans="1:51" s="260" customFormat="1" ht="46.5" customHeight="1">
      <c r="A34" s="2328"/>
      <c r="B34" s="2329"/>
      <c r="C34" s="2330"/>
      <c r="D34" s="2330"/>
      <c r="E34" s="2330"/>
      <c r="F34" s="1356"/>
      <c r="G34" s="2339" t="s">
        <v>2918</v>
      </c>
      <c r="H34" s="2339"/>
      <c r="I34" s="2339"/>
      <c r="J34" s="2359"/>
      <c r="K34" s="2359"/>
      <c r="L34" s="2359"/>
      <c r="M34" s="1320"/>
      <c r="N34" s="1320"/>
      <c r="O34" s="2301"/>
      <c r="P34" s="1320"/>
      <c r="Q34" s="1404"/>
      <c r="R34" s="1404"/>
      <c r="S34" s="324"/>
      <c r="T34" s="954" t="e">
        <f>VLOOKUP(Q34,[90]Listas!$D$6:$E$10,2,0)</f>
        <v>#N/A</v>
      </c>
      <c r="U34" s="954" t="e">
        <f>HLOOKUP(R34,[90]Listas!$F$4:$J$5,2,0)</f>
        <v>#N/A</v>
      </c>
      <c r="V34" s="1902"/>
      <c r="W34" s="324"/>
      <c r="X34" s="2339" t="s">
        <v>805</v>
      </c>
      <c r="Y34" s="2339"/>
      <c r="Z34" s="2339"/>
      <c r="AA34" s="2397"/>
      <c r="AB34" s="1356"/>
      <c r="AC34" s="961" t="s">
        <v>2919</v>
      </c>
      <c r="AD34" s="1320"/>
      <c r="AE34" s="1356"/>
      <c r="AF34" s="324"/>
      <c r="AG34" s="954">
        <f t="shared" si="4"/>
        <v>0</v>
      </c>
      <c r="AH34" s="955" t="e">
        <f t="shared" si="5"/>
        <v>#N/A</v>
      </c>
      <c r="AI34" s="2293"/>
      <c r="AJ34" s="955" t="e">
        <f t="shared" si="6"/>
        <v>#N/A</v>
      </c>
      <c r="AK34" s="2293"/>
      <c r="AL34" s="953" t="e">
        <f t="shared" si="7"/>
        <v>#N/A</v>
      </c>
      <c r="AM34" s="1902"/>
      <c r="AN34" s="2326"/>
      <c r="AO34" s="2332"/>
      <c r="AP34" s="2354"/>
      <c r="AQ34" s="2342"/>
      <c r="AR34" s="2342" t="s">
        <v>2877</v>
      </c>
      <c r="AS34" s="1887"/>
      <c r="AT34" s="1326"/>
      <c r="AU34" s="1326"/>
      <c r="AV34" s="1326"/>
      <c r="AW34" s="1326"/>
      <c r="AX34" s="1326"/>
      <c r="AY34" s="262"/>
    </row>
    <row r="35" spans="1:51" s="260" customFormat="1" ht="34.5" customHeight="1">
      <c r="A35" s="2328"/>
      <c r="B35" s="2329"/>
      <c r="C35" s="2330"/>
      <c r="D35" s="2330"/>
      <c r="E35" s="2330"/>
      <c r="F35" s="1356"/>
      <c r="G35" s="2339" t="s">
        <v>2920</v>
      </c>
      <c r="H35" s="2339"/>
      <c r="I35" s="2339"/>
      <c r="J35" s="2359"/>
      <c r="K35" s="2359"/>
      <c r="L35" s="2359"/>
      <c r="M35" s="1320"/>
      <c r="N35" s="1320"/>
      <c r="O35" s="2301"/>
      <c r="P35" s="1320"/>
      <c r="Q35" s="1404"/>
      <c r="R35" s="1404"/>
      <c r="S35" s="324"/>
      <c r="T35" s="954" t="e">
        <f>VLOOKUP(Q35,[90]Listas!$D$6:$E$10,2,0)</f>
        <v>#N/A</v>
      </c>
      <c r="U35" s="954" t="e">
        <f>HLOOKUP(R35,[90]Listas!$F$4:$J$5,2,0)</f>
        <v>#N/A</v>
      </c>
      <c r="V35" s="1902"/>
      <c r="W35" s="324"/>
      <c r="X35" s="2339" t="s">
        <v>806</v>
      </c>
      <c r="Y35" s="2339"/>
      <c r="Z35" s="2339"/>
      <c r="AA35" s="2396"/>
      <c r="AB35" s="1356"/>
      <c r="AC35" s="961" t="s">
        <v>456</v>
      </c>
      <c r="AD35" s="1320"/>
      <c r="AE35" s="1356"/>
      <c r="AF35" s="324"/>
      <c r="AG35" s="954">
        <f t="shared" si="4"/>
        <v>0</v>
      </c>
      <c r="AH35" s="955" t="e">
        <f t="shared" si="5"/>
        <v>#N/A</v>
      </c>
      <c r="AI35" s="2293"/>
      <c r="AJ35" s="955" t="e">
        <f t="shared" si="6"/>
        <v>#N/A</v>
      </c>
      <c r="AK35" s="2293"/>
      <c r="AL35" s="953" t="e">
        <f t="shared" si="7"/>
        <v>#N/A</v>
      </c>
      <c r="AM35" s="1902"/>
      <c r="AN35" s="2326"/>
      <c r="AO35" s="2332"/>
      <c r="AP35" s="2355"/>
      <c r="AQ35" s="2343"/>
      <c r="AR35" s="2343" t="s">
        <v>2877</v>
      </c>
      <c r="AS35" s="1888"/>
      <c r="AT35" s="1327"/>
      <c r="AU35" s="1327"/>
      <c r="AV35" s="1327"/>
      <c r="AW35" s="1327"/>
      <c r="AX35" s="1327"/>
      <c r="AY35" s="262"/>
    </row>
    <row r="36" spans="1:51" s="260" customFormat="1" ht="61.5" customHeight="1">
      <c r="A36" s="2328" t="s">
        <v>5</v>
      </c>
      <c r="B36" s="2329" t="s">
        <v>2074</v>
      </c>
      <c r="C36" s="2330" t="s">
        <v>202</v>
      </c>
      <c r="D36" s="2330"/>
      <c r="E36" s="2330"/>
      <c r="F36" s="1356" t="s">
        <v>2872</v>
      </c>
      <c r="G36" s="2331" t="s">
        <v>2921</v>
      </c>
      <c r="H36" s="2331"/>
      <c r="I36" s="2331"/>
      <c r="J36" s="2356" t="s">
        <v>1685</v>
      </c>
      <c r="K36" s="2356"/>
      <c r="L36" s="2356"/>
      <c r="M36" s="1320"/>
      <c r="N36" s="1320"/>
      <c r="O36" s="2301"/>
      <c r="P36" s="1320" t="s">
        <v>8</v>
      </c>
      <c r="Q36" s="1404" t="s">
        <v>64</v>
      </c>
      <c r="R36" s="1404" t="s">
        <v>274</v>
      </c>
      <c r="S36" s="324"/>
      <c r="T36" s="954">
        <f>VLOOKUP(Q36,[90]Listas!$D$6:$E$10,2,0)</f>
        <v>3</v>
      </c>
      <c r="U36" s="954">
        <f>HLOOKUP(R36,[90]Listas!$F$4:$J$5,2,0)</f>
        <v>3</v>
      </c>
      <c r="V36" s="1902" t="str">
        <f>INDEX([90]Listas!$F$6:$J$10,MATCH(Q36,[90]Listas!$D$6:$D$10,0),MATCH(R36,[90]Listas!$F$4:$J$4,0))</f>
        <v>9
MODERADO</v>
      </c>
      <c r="W36" s="324"/>
      <c r="X36" s="2361" t="s">
        <v>1686</v>
      </c>
      <c r="Y36" s="2361"/>
      <c r="Z36" s="2361"/>
      <c r="AA36" s="2392" t="s">
        <v>4222</v>
      </c>
      <c r="AB36" s="1321" t="s">
        <v>1687</v>
      </c>
      <c r="AC36" s="961" t="s">
        <v>2922</v>
      </c>
      <c r="AD36" s="1320">
        <v>87</v>
      </c>
      <c r="AE36" s="1356" t="s">
        <v>152</v>
      </c>
      <c r="AF36" s="324"/>
      <c r="AG36" s="954">
        <f t="shared" si="4"/>
        <v>2</v>
      </c>
      <c r="AH36" s="955">
        <f t="shared" si="5"/>
        <v>1</v>
      </c>
      <c r="AI36" s="2293" t="str">
        <f>IF(AH36&lt;=1,"Remota",VLOOKUP(AH36,[90]Listas!$C$6:$D$10,2,0))</f>
        <v>Remota</v>
      </c>
      <c r="AJ36" s="955">
        <f t="shared" si="6"/>
        <v>1</v>
      </c>
      <c r="AK36" s="2293" t="str">
        <f>IF(AJ36&lt;=1,"Insignificante",HLOOKUP(AJ36,[90]Listas!$F$3:$J$4,2,0))</f>
        <v>Insignificante</v>
      </c>
      <c r="AL36" s="953">
        <f t="shared" si="7"/>
        <v>1</v>
      </c>
      <c r="AM36" s="1902" t="str">
        <f>INDEX([90]Listas!$F$6:$J$10,MATCH(AI36,[90]Listas!$D$6:$D$10,0),MATCH(AK36,[90]Listas!$F$4:$J$4,0))</f>
        <v>1
INFERIOR</v>
      </c>
      <c r="AN36" s="2326" t="s">
        <v>2923</v>
      </c>
      <c r="AO36" s="2332" t="s">
        <v>2924</v>
      </c>
      <c r="AP36" s="2353">
        <v>0</v>
      </c>
      <c r="AQ36" s="2341" t="s">
        <v>4120</v>
      </c>
      <c r="AR36" s="2341" t="s">
        <v>3590</v>
      </c>
      <c r="AS36" s="1886" t="s">
        <v>36</v>
      </c>
      <c r="AT36" s="1325"/>
      <c r="AU36" s="1325"/>
      <c r="AV36" s="1325"/>
      <c r="AW36" s="1325"/>
      <c r="AX36" s="1325"/>
      <c r="AY36" s="262"/>
    </row>
    <row r="37" spans="1:51" s="260" customFormat="1" ht="86.25" customHeight="1">
      <c r="A37" s="2328"/>
      <c r="B37" s="2329"/>
      <c r="C37" s="2330"/>
      <c r="D37" s="2330"/>
      <c r="E37" s="2330"/>
      <c r="F37" s="1356"/>
      <c r="G37" s="2331" t="s">
        <v>2925</v>
      </c>
      <c r="H37" s="2331"/>
      <c r="I37" s="2331"/>
      <c r="J37" s="2356"/>
      <c r="K37" s="2356"/>
      <c r="L37" s="2356"/>
      <c r="M37" s="1320"/>
      <c r="N37" s="1320"/>
      <c r="O37" s="1320"/>
      <c r="P37" s="1320"/>
      <c r="Q37" s="1404"/>
      <c r="R37" s="1404"/>
      <c r="S37" s="324"/>
      <c r="T37" s="954" t="e">
        <f>VLOOKUP(Q37,[90]Listas!$D$6:$E$10,2,0)</f>
        <v>#N/A</v>
      </c>
      <c r="U37" s="954" t="e">
        <f>HLOOKUP(R37,[90]Listas!$F$4:$J$5,2,0)</f>
        <v>#N/A</v>
      </c>
      <c r="V37" s="1902"/>
      <c r="W37" s="324"/>
      <c r="X37" s="2361" t="s">
        <v>2926</v>
      </c>
      <c r="Y37" s="2361"/>
      <c r="Z37" s="2361"/>
      <c r="AA37" s="2393"/>
      <c r="AB37" s="1322"/>
      <c r="AC37" s="961" t="s">
        <v>807</v>
      </c>
      <c r="AD37" s="1320"/>
      <c r="AE37" s="1356"/>
      <c r="AF37" s="324"/>
      <c r="AG37" s="954">
        <f t="shared" si="4"/>
        <v>0</v>
      </c>
      <c r="AH37" s="955" t="e">
        <f t="shared" si="5"/>
        <v>#N/A</v>
      </c>
      <c r="AI37" s="2293"/>
      <c r="AJ37" s="955" t="e">
        <f t="shared" si="6"/>
        <v>#N/A</v>
      </c>
      <c r="AK37" s="2293"/>
      <c r="AL37" s="953" t="e">
        <f t="shared" si="7"/>
        <v>#N/A</v>
      </c>
      <c r="AM37" s="1902"/>
      <c r="AN37" s="2326"/>
      <c r="AO37" s="2332"/>
      <c r="AP37" s="2354"/>
      <c r="AQ37" s="2342"/>
      <c r="AR37" s="2342" t="s">
        <v>2877</v>
      </c>
      <c r="AS37" s="1887"/>
      <c r="AT37" s="1326"/>
      <c r="AU37" s="1326"/>
      <c r="AV37" s="1326"/>
      <c r="AW37" s="1326"/>
      <c r="AX37" s="1326"/>
      <c r="AY37" s="262"/>
    </row>
    <row r="38" spans="1:51" s="260" customFormat="1" ht="110.25" customHeight="1">
      <c r="A38" s="2328"/>
      <c r="B38" s="2329"/>
      <c r="C38" s="2330"/>
      <c r="D38" s="2330"/>
      <c r="E38" s="2330"/>
      <c r="F38" s="1356"/>
      <c r="G38" s="2339" t="s">
        <v>2927</v>
      </c>
      <c r="H38" s="2339"/>
      <c r="I38" s="2339"/>
      <c r="J38" s="2356"/>
      <c r="K38" s="2356"/>
      <c r="L38" s="2356"/>
      <c r="M38" s="1320"/>
      <c r="N38" s="1320"/>
      <c r="O38" s="1320"/>
      <c r="P38" s="1320"/>
      <c r="Q38" s="1404"/>
      <c r="R38" s="1404"/>
      <c r="S38" s="324"/>
      <c r="T38" s="954" t="e">
        <f>VLOOKUP(Q38,[90]Listas!$D$6:$E$10,2,0)</f>
        <v>#N/A</v>
      </c>
      <c r="U38" s="954" t="e">
        <f>HLOOKUP(R38,[90]Listas!$F$4:$J$5,2,0)</f>
        <v>#N/A</v>
      </c>
      <c r="V38" s="1902"/>
      <c r="W38" s="324"/>
      <c r="X38" s="2360" t="s">
        <v>3585</v>
      </c>
      <c r="Y38" s="2360"/>
      <c r="Z38" s="2360"/>
      <c r="AA38" s="2393"/>
      <c r="AB38" s="1322"/>
      <c r="AC38" s="58" t="s">
        <v>2928</v>
      </c>
      <c r="AD38" s="1320"/>
      <c r="AE38" s="1356"/>
      <c r="AF38" s="324"/>
      <c r="AG38" s="954">
        <f t="shared" si="4"/>
        <v>0</v>
      </c>
      <c r="AH38" s="955" t="e">
        <f t="shared" si="5"/>
        <v>#N/A</v>
      </c>
      <c r="AI38" s="2293"/>
      <c r="AJ38" s="955" t="e">
        <f t="shared" si="6"/>
        <v>#N/A</v>
      </c>
      <c r="AK38" s="2293"/>
      <c r="AL38" s="953" t="e">
        <f t="shared" si="7"/>
        <v>#N/A</v>
      </c>
      <c r="AM38" s="1902"/>
      <c r="AN38" s="2326"/>
      <c r="AO38" s="2332"/>
      <c r="AP38" s="2354"/>
      <c r="AQ38" s="2342"/>
      <c r="AR38" s="2342" t="s">
        <v>2877</v>
      </c>
      <c r="AS38" s="1887"/>
      <c r="AT38" s="1326"/>
      <c r="AU38" s="1326"/>
      <c r="AV38" s="1326"/>
      <c r="AW38" s="1326"/>
      <c r="AX38" s="1326"/>
      <c r="AY38" s="262"/>
    </row>
    <row r="39" spans="1:51" s="260" customFormat="1" ht="53.25" customHeight="1">
      <c r="A39" s="2328"/>
      <c r="B39" s="2329"/>
      <c r="C39" s="2330"/>
      <c r="D39" s="2330"/>
      <c r="E39" s="2330"/>
      <c r="F39" s="1356"/>
      <c r="G39" s="2331" t="s">
        <v>2929</v>
      </c>
      <c r="H39" s="2331"/>
      <c r="I39" s="2331"/>
      <c r="J39" s="2356"/>
      <c r="K39" s="2356"/>
      <c r="L39" s="2356"/>
      <c r="M39" s="1320"/>
      <c r="N39" s="1320"/>
      <c r="O39" s="1320"/>
      <c r="P39" s="1320"/>
      <c r="Q39" s="1404"/>
      <c r="R39" s="1404"/>
      <c r="S39" s="324"/>
      <c r="T39" s="954" t="e">
        <f>VLOOKUP(Q39,[90]Listas!$D$6:$E$10,2,0)</f>
        <v>#N/A</v>
      </c>
      <c r="U39" s="954" t="e">
        <f>HLOOKUP(R39,[90]Listas!$F$4:$J$5,2,0)</f>
        <v>#N/A</v>
      </c>
      <c r="V39" s="1902"/>
      <c r="W39" s="324"/>
      <c r="X39" s="2361" t="s">
        <v>2930</v>
      </c>
      <c r="Y39" s="2361"/>
      <c r="Z39" s="2361"/>
      <c r="AA39" s="2394"/>
      <c r="AB39" s="1515"/>
      <c r="AC39" s="961" t="s">
        <v>457</v>
      </c>
      <c r="AD39" s="1320"/>
      <c r="AE39" s="1356"/>
      <c r="AF39" s="324"/>
      <c r="AG39" s="954">
        <f t="shared" si="4"/>
        <v>0</v>
      </c>
      <c r="AH39" s="955" t="e">
        <f t="shared" si="5"/>
        <v>#N/A</v>
      </c>
      <c r="AI39" s="2293"/>
      <c r="AJ39" s="955" t="e">
        <f t="shared" si="6"/>
        <v>#N/A</v>
      </c>
      <c r="AK39" s="2293"/>
      <c r="AL39" s="953" t="e">
        <f t="shared" si="7"/>
        <v>#N/A</v>
      </c>
      <c r="AM39" s="1902"/>
      <c r="AN39" s="2326"/>
      <c r="AO39" s="2332"/>
      <c r="AP39" s="2355"/>
      <c r="AQ39" s="2343"/>
      <c r="AR39" s="2343" t="s">
        <v>2877</v>
      </c>
      <c r="AS39" s="1888"/>
      <c r="AT39" s="1327"/>
      <c r="AU39" s="1327"/>
      <c r="AV39" s="1327"/>
      <c r="AW39" s="1327"/>
      <c r="AX39" s="1327"/>
      <c r="AY39" s="262"/>
    </row>
    <row r="40" spans="1:51" s="262" customFormat="1" ht="50.25" customHeight="1">
      <c r="A40" s="2362" t="s">
        <v>82</v>
      </c>
      <c r="B40" s="2329" t="s">
        <v>2075</v>
      </c>
      <c r="C40" s="2363" t="s">
        <v>203</v>
      </c>
      <c r="D40" s="2363"/>
      <c r="E40" s="2363"/>
      <c r="F40" s="1903" t="s">
        <v>2931</v>
      </c>
      <c r="G40" s="2364" t="s">
        <v>2932</v>
      </c>
      <c r="H40" s="2364"/>
      <c r="I40" s="2364"/>
      <c r="J40" s="2359" t="s">
        <v>458</v>
      </c>
      <c r="K40" s="2359"/>
      <c r="L40" s="2359"/>
      <c r="M40" s="2152"/>
      <c r="N40" s="1890">
        <v>6</v>
      </c>
      <c r="O40" s="2152" t="s">
        <v>8</v>
      </c>
      <c r="P40" s="1890"/>
      <c r="Q40" s="1891" t="s">
        <v>64</v>
      </c>
      <c r="R40" s="1891" t="s">
        <v>643</v>
      </c>
      <c r="S40" s="344"/>
      <c r="T40" s="956">
        <f>VLOOKUP(Q40,[90]Listas!$D$6:$E$10,2,0)</f>
        <v>3</v>
      </c>
      <c r="U40" s="956">
        <f>HLOOKUP(R40,[90]Listas!$F$4:$J$5,2,0)</f>
        <v>2</v>
      </c>
      <c r="V40" s="1889" t="str">
        <f>INDEX([90]Listas!$F$6:$J$10,MATCH(Q40,[90]Listas!$D$6:$D$10,0),MATCH(R40,[90]Listas!$F$4:$J$4,0))</f>
        <v>6
MODERADO</v>
      </c>
      <c r="W40" s="344"/>
      <c r="X40" s="2366" t="s">
        <v>2933</v>
      </c>
      <c r="Y40" s="2366"/>
      <c r="Z40" s="2366"/>
      <c r="AA40" s="2398" t="s">
        <v>4223</v>
      </c>
      <c r="AB40" s="2155" t="s">
        <v>1688</v>
      </c>
      <c r="AC40" s="2370" t="s">
        <v>1689</v>
      </c>
      <c r="AD40" s="1890">
        <v>70</v>
      </c>
      <c r="AE40" s="1903" t="s">
        <v>152</v>
      </c>
      <c r="AF40" s="344"/>
      <c r="AG40" s="956">
        <f>IF(AD40&lt;=33,0,IF(AD40&gt;81,2,1))</f>
        <v>1</v>
      </c>
      <c r="AH40" s="345">
        <f>IF(OR(AE40="Probabilidad",AE40="Ambos"),T40-AG40,T40)</f>
        <v>2</v>
      </c>
      <c r="AI40" s="2365" t="str">
        <f>IF(AH40&lt;=1,"Remota",VLOOKUP(AH40,[90]Listas!$C$6:$D$10,2,0))</f>
        <v>Baja</v>
      </c>
      <c r="AJ40" s="345">
        <f>IF(OR(AE40="Impacto",AE40="Ambos"),U40-AG40,U40)</f>
        <v>1</v>
      </c>
      <c r="AK40" s="2365" t="str">
        <f>IF(AJ40&lt;=1,"Insignificante",HLOOKUP(AJ40,[90]Listas!$F$3:$J$4,2,0))</f>
        <v>Insignificante</v>
      </c>
      <c r="AL40" s="346">
        <f>AH40*AJ40</f>
        <v>2</v>
      </c>
      <c r="AM40" s="1889" t="str">
        <f>INDEX([90]Listas!$F$6:$J$10,MATCH(AI40,[90]Listas!$D$6:$D$10,0),MATCH(AK40,[90]Listas!$F$4:$J$4,0))</f>
        <v>2
INFERIOR</v>
      </c>
      <c r="AN40" s="2366" t="s">
        <v>2934</v>
      </c>
      <c r="AO40" s="2332" t="s">
        <v>2935</v>
      </c>
      <c r="AP40" s="2367">
        <v>0</v>
      </c>
      <c r="AQ40" s="2341" t="s">
        <v>4121</v>
      </c>
      <c r="AR40" s="2341" t="s">
        <v>3590</v>
      </c>
      <c r="AS40" s="1886" t="s">
        <v>36</v>
      </c>
      <c r="AT40" s="1886"/>
      <c r="AU40" s="1886"/>
      <c r="AV40" s="1886"/>
      <c r="AW40" s="1886"/>
      <c r="AX40" s="1886"/>
    </row>
    <row r="41" spans="1:51" s="262" customFormat="1" ht="43.5" customHeight="1">
      <c r="A41" s="2362"/>
      <c r="B41" s="2329"/>
      <c r="C41" s="2363"/>
      <c r="D41" s="2363"/>
      <c r="E41" s="2363"/>
      <c r="F41" s="1903"/>
      <c r="G41" s="2364" t="s">
        <v>2936</v>
      </c>
      <c r="H41" s="2364"/>
      <c r="I41" s="2364"/>
      <c r="J41" s="2359"/>
      <c r="K41" s="2359"/>
      <c r="L41" s="2359"/>
      <c r="M41" s="2153"/>
      <c r="N41" s="1890"/>
      <c r="O41" s="2153"/>
      <c r="P41" s="1890"/>
      <c r="Q41" s="1891"/>
      <c r="R41" s="1891"/>
      <c r="S41" s="344"/>
      <c r="T41" s="956" t="e">
        <f>VLOOKUP(Q41,[90]Listas!$D$6:$E$10,2,0)</f>
        <v>#N/A</v>
      </c>
      <c r="U41" s="956" t="e">
        <f>HLOOKUP(R41,[90]Listas!$F$4:$J$5,2,0)</f>
        <v>#N/A</v>
      </c>
      <c r="V41" s="1889"/>
      <c r="W41" s="344"/>
      <c r="X41" s="2366"/>
      <c r="Y41" s="2366"/>
      <c r="Z41" s="2366"/>
      <c r="AA41" s="2399"/>
      <c r="AB41" s="2156"/>
      <c r="AC41" s="2370"/>
      <c r="AD41" s="1890"/>
      <c r="AE41" s="1903"/>
      <c r="AF41" s="344"/>
      <c r="AG41" s="956">
        <f>IF(AD41&lt;=33,0,IF(AD41&gt;81,2,1))</f>
        <v>0</v>
      </c>
      <c r="AH41" s="345" t="e">
        <f>IF(OR(AE41="Probabilidad",AE41="Ambos"),T41-AG41,T41)</f>
        <v>#N/A</v>
      </c>
      <c r="AI41" s="2365"/>
      <c r="AJ41" s="345" t="e">
        <f>IF(OR(AE41="Impacto",AE41="Ambos"),U41-AG41,U41)</f>
        <v>#N/A</v>
      </c>
      <c r="AK41" s="2365"/>
      <c r="AL41" s="346" t="e">
        <f>AH41*AJ41</f>
        <v>#N/A</v>
      </c>
      <c r="AM41" s="1889"/>
      <c r="AN41" s="2366"/>
      <c r="AO41" s="2332"/>
      <c r="AP41" s="2368"/>
      <c r="AQ41" s="2342"/>
      <c r="AR41" s="2342" t="s">
        <v>2877</v>
      </c>
      <c r="AS41" s="1887"/>
      <c r="AT41" s="1887"/>
      <c r="AU41" s="1887"/>
      <c r="AV41" s="1887"/>
      <c r="AW41" s="1887"/>
      <c r="AX41" s="1887"/>
    </row>
    <row r="42" spans="1:51" s="262" customFormat="1" ht="69.75" customHeight="1">
      <c r="A42" s="2362"/>
      <c r="B42" s="2329"/>
      <c r="C42" s="2363"/>
      <c r="D42" s="2363"/>
      <c r="E42" s="2363"/>
      <c r="F42" s="1903"/>
      <c r="G42" s="2364" t="s">
        <v>2937</v>
      </c>
      <c r="H42" s="2364"/>
      <c r="I42" s="2364"/>
      <c r="J42" s="2359"/>
      <c r="K42" s="2359"/>
      <c r="L42" s="2359"/>
      <c r="M42" s="2154"/>
      <c r="N42" s="1890"/>
      <c r="O42" s="2154"/>
      <c r="P42" s="1890"/>
      <c r="Q42" s="1891"/>
      <c r="R42" s="1891"/>
      <c r="S42" s="344"/>
      <c r="T42" s="956" t="e">
        <f>VLOOKUP(Q42,[90]Listas!$D$6:$E$10,2,0)</f>
        <v>#N/A</v>
      </c>
      <c r="U42" s="956" t="e">
        <f>HLOOKUP(R42,[90]Listas!$F$4:$J$5,2,0)</f>
        <v>#N/A</v>
      </c>
      <c r="V42" s="1889"/>
      <c r="W42" s="344"/>
      <c r="X42" s="2366"/>
      <c r="Y42" s="2366"/>
      <c r="Z42" s="2366"/>
      <c r="AA42" s="2400"/>
      <c r="AB42" s="2157"/>
      <c r="AC42" s="2370"/>
      <c r="AD42" s="1890"/>
      <c r="AE42" s="1903"/>
      <c r="AF42" s="344"/>
      <c r="AG42" s="956">
        <f>IF(AD42&lt;=33,0,IF(AD42&gt;81,2,1))</f>
        <v>0</v>
      </c>
      <c r="AH42" s="345" t="e">
        <f>IF(OR(AE42="Probabilidad",AE42="Ambos"),T42-AG42,T42)</f>
        <v>#N/A</v>
      </c>
      <c r="AI42" s="2365"/>
      <c r="AJ42" s="345" t="e">
        <f>IF(OR(AE42="Impacto",AE42="Ambos"),U42-AG42,U42)</f>
        <v>#N/A</v>
      </c>
      <c r="AK42" s="2365"/>
      <c r="AL42" s="346" t="e">
        <f>AH42*AJ42</f>
        <v>#N/A</v>
      </c>
      <c r="AM42" s="1889"/>
      <c r="AN42" s="2366"/>
      <c r="AO42" s="2332"/>
      <c r="AP42" s="2369"/>
      <c r="AQ42" s="2343"/>
      <c r="AR42" s="2343" t="s">
        <v>2877</v>
      </c>
      <c r="AS42" s="1888"/>
      <c r="AT42" s="1888"/>
      <c r="AU42" s="1888"/>
      <c r="AV42" s="1888"/>
      <c r="AW42" s="1888"/>
      <c r="AX42" s="1888"/>
    </row>
    <row r="43" spans="1:51" s="262" customFormat="1" ht="39" customHeight="1">
      <c r="A43" s="2362" t="s">
        <v>82</v>
      </c>
      <c r="B43" s="2329" t="s">
        <v>2076</v>
      </c>
      <c r="C43" s="2363" t="s">
        <v>808</v>
      </c>
      <c r="D43" s="2363"/>
      <c r="E43" s="2363"/>
      <c r="F43" s="1903" t="s">
        <v>2931</v>
      </c>
      <c r="G43" s="2364" t="s">
        <v>2938</v>
      </c>
      <c r="H43" s="2364"/>
      <c r="I43" s="2364"/>
      <c r="J43" s="2359" t="s">
        <v>1690</v>
      </c>
      <c r="K43" s="2359"/>
      <c r="L43" s="2359"/>
      <c r="M43" s="1890"/>
      <c r="N43" s="1890">
        <v>6</v>
      </c>
      <c r="O43" s="1890" t="s">
        <v>8</v>
      </c>
      <c r="P43" s="1890"/>
      <c r="Q43" s="1891" t="s">
        <v>64</v>
      </c>
      <c r="R43" s="1891" t="s">
        <v>643</v>
      </c>
      <c r="S43" s="344"/>
      <c r="T43" s="956">
        <f>VLOOKUP(Q43,[90]Listas!$D$6:$E$10,2,0)</f>
        <v>3</v>
      </c>
      <c r="U43" s="956">
        <f>HLOOKUP(R43,[90]Listas!$F$4:$J$5,2,0)</f>
        <v>2</v>
      </c>
      <c r="V43" s="1889" t="str">
        <f>INDEX([90]Listas!$F$6:$J$10,MATCH(Q43,[90]Listas!$D$6:$D$10,0),MATCH(R43,[90]Listas!$F$4:$J$4,0))</f>
        <v>6
MODERADO</v>
      </c>
      <c r="W43" s="344"/>
      <c r="X43" s="2366" t="s">
        <v>2939</v>
      </c>
      <c r="Y43" s="2366"/>
      <c r="Z43" s="2366"/>
      <c r="AA43" s="2398" t="s">
        <v>4223</v>
      </c>
      <c r="AB43" s="1903" t="s">
        <v>1688</v>
      </c>
      <c r="AC43" s="2370" t="s">
        <v>2940</v>
      </c>
      <c r="AD43" s="1890">
        <v>72</v>
      </c>
      <c r="AE43" s="1903" t="s">
        <v>152</v>
      </c>
      <c r="AF43" s="344"/>
      <c r="AG43" s="956">
        <f>IF(AD43&lt;=33,0,IF(AD43&gt;81,2,1))</f>
        <v>1</v>
      </c>
      <c r="AH43" s="345">
        <f>IF(OR(AE43="Probabilidad",AE43="Ambos"),T43-AG43,T43)</f>
        <v>2</v>
      </c>
      <c r="AI43" s="2365" t="str">
        <f>IF(AH43&lt;=1,"Remota",VLOOKUP(AH43,[90]Listas!$C$6:$D$10,2,0))</f>
        <v>Baja</v>
      </c>
      <c r="AJ43" s="345">
        <f>IF(OR(AE43="Impacto",AE43="Ambos"),U43-AG43,U43)</f>
        <v>1</v>
      </c>
      <c r="AK43" s="2365" t="str">
        <f>IF(AJ43&lt;=1,"Insignificante",HLOOKUP(AJ43,[90]Listas!$F$3:$J$4,2,0))</f>
        <v>Insignificante</v>
      </c>
      <c r="AL43" s="346">
        <f>AH43*AJ43</f>
        <v>2</v>
      </c>
      <c r="AM43" s="1889" t="str">
        <f>INDEX([90]Listas!$F$6:$J$10,MATCH(AI43,[90]Listas!$D$6:$D$10,0),MATCH(AK43,[90]Listas!$F$4:$J$4,0))</f>
        <v>2
INFERIOR</v>
      </c>
      <c r="AN43" s="2366" t="s">
        <v>2941</v>
      </c>
      <c r="AO43" s="2332" t="s">
        <v>2942</v>
      </c>
      <c r="AP43" s="2371">
        <v>0</v>
      </c>
      <c r="AQ43" s="2341" t="s">
        <v>4122</v>
      </c>
      <c r="AR43" s="2341" t="s">
        <v>3590</v>
      </c>
      <c r="AS43" s="1886" t="s">
        <v>36</v>
      </c>
      <c r="AT43" s="1886"/>
      <c r="AU43" s="1886"/>
      <c r="AV43" s="1886"/>
      <c r="AW43" s="1886"/>
      <c r="AX43" s="1886"/>
    </row>
    <row r="44" spans="1:51" s="262" customFormat="1" ht="38.25" customHeight="1">
      <c r="A44" s="2362"/>
      <c r="B44" s="2329"/>
      <c r="C44" s="2363"/>
      <c r="D44" s="2363"/>
      <c r="E44" s="2363"/>
      <c r="F44" s="1903"/>
      <c r="G44" s="2364" t="s">
        <v>2943</v>
      </c>
      <c r="H44" s="2364"/>
      <c r="I44" s="2364"/>
      <c r="J44" s="2359"/>
      <c r="K44" s="2359"/>
      <c r="L44" s="2359"/>
      <c r="M44" s="1890"/>
      <c r="N44" s="1890"/>
      <c r="O44" s="1890"/>
      <c r="P44" s="1890"/>
      <c r="Q44" s="1891"/>
      <c r="R44" s="1891"/>
      <c r="S44" s="344"/>
      <c r="T44" s="956" t="e">
        <f>VLOOKUP(Q44,[90]Listas!$D$6:$E$10,2,0)</f>
        <v>#N/A</v>
      </c>
      <c r="U44" s="956" t="e">
        <f>HLOOKUP(R44,[90]Listas!$F$4:$J$5,2,0)</f>
        <v>#N/A</v>
      </c>
      <c r="V44" s="1889"/>
      <c r="W44" s="344"/>
      <c r="X44" s="2366"/>
      <c r="Y44" s="2366"/>
      <c r="Z44" s="2366"/>
      <c r="AA44" s="2399"/>
      <c r="AB44" s="1903"/>
      <c r="AC44" s="2370"/>
      <c r="AD44" s="1890"/>
      <c r="AE44" s="1903"/>
      <c r="AF44" s="344"/>
      <c r="AG44" s="956">
        <f t="shared" ref="AG44:AG51" si="8">IF(AD44&lt;=33,0,IF(AD44&gt;81,2,1))</f>
        <v>0</v>
      </c>
      <c r="AH44" s="345" t="e">
        <f t="shared" ref="AH44:AH51" si="9">IF(OR(AE44="Probabilidad",AE44="Ambos"),T44-AG44,T44)</f>
        <v>#N/A</v>
      </c>
      <c r="AI44" s="2365"/>
      <c r="AJ44" s="345" t="e">
        <f t="shared" ref="AJ44:AJ51" si="10">IF(OR(AE44="Impacto",AE44="Ambos"),U44-AG44,U44)</f>
        <v>#N/A</v>
      </c>
      <c r="AK44" s="2365"/>
      <c r="AL44" s="346" t="e">
        <f t="shared" ref="AL44:AL51" si="11">AH44*AJ44</f>
        <v>#N/A</v>
      </c>
      <c r="AM44" s="1889"/>
      <c r="AN44" s="2366"/>
      <c r="AO44" s="2332"/>
      <c r="AP44" s="2372"/>
      <c r="AQ44" s="2342"/>
      <c r="AR44" s="2342" t="s">
        <v>2877</v>
      </c>
      <c r="AS44" s="1887"/>
      <c r="AT44" s="1887"/>
      <c r="AU44" s="1887"/>
      <c r="AV44" s="1887"/>
      <c r="AW44" s="1887"/>
      <c r="AX44" s="1887"/>
    </row>
    <row r="45" spans="1:51" s="262" customFormat="1" ht="22.5" customHeight="1">
      <c r="A45" s="2362"/>
      <c r="B45" s="2329"/>
      <c r="C45" s="2363"/>
      <c r="D45" s="2363"/>
      <c r="E45" s="2363"/>
      <c r="F45" s="1903"/>
      <c r="G45" s="2364" t="s">
        <v>2944</v>
      </c>
      <c r="H45" s="2364"/>
      <c r="I45" s="2364"/>
      <c r="J45" s="2359"/>
      <c r="K45" s="2359"/>
      <c r="L45" s="2359"/>
      <c r="M45" s="1890"/>
      <c r="N45" s="1890"/>
      <c r="O45" s="1890"/>
      <c r="P45" s="1890"/>
      <c r="Q45" s="1891"/>
      <c r="R45" s="1891"/>
      <c r="S45" s="344"/>
      <c r="T45" s="956" t="e">
        <f>VLOOKUP(Q45,[90]Listas!$D$6:$E$10,2,0)</f>
        <v>#N/A</v>
      </c>
      <c r="U45" s="956" t="e">
        <f>HLOOKUP(R45,[90]Listas!$F$4:$J$5,2,0)</f>
        <v>#N/A</v>
      </c>
      <c r="V45" s="1889"/>
      <c r="W45" s="344"/>
      <c r="X45" s="2366"/>
      <c r="Y45" s="2366"/>
      <c r="Z45" s="2366"/>
      <c r="AA45" s="2399"/>
      <c r="AB45" s="1903"/>
      <c r="AC45" s="2370"/>
      <c r="AD45" s="1890"/>
      <c r="AE45" s="1903"/>
      <c r="AF45" s="344"/>
      <c r="AG45" s="956">
        <f t="shared" si="8"/>
        <v>0</v>
      </c>
      <c r="AH45" s="345" t="e">
        <f t="shared" si="9"/>
        <v>#N/A</v>
      </c>
      <c r="AI45" s="2365"/>
      <c r="AJ45" s="345" t="e">
        <f t="shared" si="10"/>
        <v>#N/A</v>
      </c>
      <c r="AK45" s="2365"/>
      <c r="AL45" s="346" t="e">
        <f t="shared" si="11"/>
        <v>#N/A</v>
      </c>
      <c r="AM45" s="1889"/>
      <c r="AN45" s="2366"/>
      <c r="AO45" s="2332"/>
      <c r="AP45" s="2372"/>
      <c r="AQ45" s="2342"/>
      <c r="AR45" s="2342" t="s">
        <v>2877</v>
      </c>
      <c r="AS45" s="1887"/>
      <c r="AT45" s="1887"/>
      <c r="AU45" s="1887"/>
      <c r="AV45" s="1887"/>
      <c r="AW45" s="1887"/>
      <c r="AX45" s="1887"/>
    </row>
    <row r="46" spans="1:51" s="262" customFormat="1" ht="30.75" customHeight="1">
      <c r="A46" s="2362"/>
      <c r="B46" s="2329"/>
      <c r="C46" s="2363"/>
      <c r="D46" s="2363"/>
      <c r="E46" s="2363"/>
      <c r="F46" s="1903"/>
      <c r="G46" s="2364" t="s">
        <v>2945</v>
      </c>
      <c r="H46" s="2364"/>
      <c r="I46" s="2364"/>
      <c r="J46" s="2359"/>
      <c r="K46" s="2359"/>
      <c r="L46" s="2359"/>
      <c r="M46" s="1890"/>
      <c r="N46" s="1890"/>
      <c r="O46" s="1890"/>
      <c r="P46" s="1890"/>
      <c r="Q46" s="1891"/>
      <c r="R46" s="1891"/>
      <c r="S46" s="344"/>
      <c r="T46" s="956" t="e">
        <f>VLOOKUP(Q46,[90]Listas!$D$6:$E$10,2,0)</f>
        <v>#N/A</v>
      </c>
      <c r="U46" s="956" t="e">
        <f>HLOOKUP(R46,[90]Listas!$F$4:$J$5,2,0)</f>
        <v>#N/A</v>
      </c>
      <c r="V46" s="1889"/>
      <c r="W46" s="344"/>
      <c r="X46" s="2366"/>
      <c r="Y46" s="2366"/>
      <c r="Z46" s="2366"/>
      <c r="AA46" s="2399"/>
      <c r="AB46" s="1903"/>
      <c r="AC46" s="2370"/>
      <c r="AD46" s="1890"/>
      <c r="AE46" s="1903"/>
      <c r="AF46" s="344"/>
      <c r="AG46" s="956">
        <f t="shared" si="8"/>
        <v>0</v>
      </c>
      <c r="AH46" s="345" t="e">
        <f t="shared" si="9"/>
        <v>#N/A</v>
      </c>
      <c r="AI46" s="2365"/>
      <c r="AJ46" s="345" t="e">
        <f t="shared" si="10"/>
        <v>#N/A</v>
      </c>
      <c r="AK46" s="2365"/>
      <c r="AL46" s="346" t="e">
        <f t="shared" si="11"/>
        <v>#N/A</v>
      </c>
      <c r="AM46" s="1889"/>
      <c r="AN46" s="2366"/>
      <c r="AO46" s="2332"/>
      <c r="AP46" s="2372"/>
      <c r="AQ46" s="2342"/>
      <c r="AR46" s="2342" t="s">
        <v>2877</v>
      </c>
      <c r="AS46" s="1887"/>
      <c r="AT46" s="1887"/>
      <c r="AU46" s="1887"/>
      <c r="AV46" s="1887"/>
      <c r="AW46" s="1887"/>
      <c r="AX46" s="1887"/>
    </row>
    <row r="47" spans="1:51" s="262" customFormat="1" ht="60.75" customHeight="1">
      <c r="A47" s="2362"/>
      <c r="B47" s="2329"/>
      <c r="C47" s="2363"/>
      <c r="D47" s="2363"/>
      <c r="E47" s="2363"/>
      <c r="F47" s="1903"/>
      <c r="G47" s="2364" t="s">
        <v>2946</v>
      </c>
      <c r="H47" s="2364"/>
      <c r="I47" s="2364"/>
      <c r="J47" s="2359"/>
      <c r="K47" s="2359"/>
      <c r="L47" s="2359"/>
      <c r="M47" s="1890"/>
      <c r="N47" s="1890"/>
      <c r="O47" s="1890"/>
      <c r="P47" s="1890"/>
      <c r="Q47" s="1891"/>
      <c r="R47" s="1891"/>
      <c r="S47" s="344"/>
      <c r="T47" s="956" t="e">
        <f>VLOOKUP(Q47,[90]Listas!$D$6:$E$10,2,0)</f>
        <v>#N/A</v>
      </c>
      <c r="U47" s="956" t="e">
        <f>HLOOKUP(R47,[90]Listas!$F$4:$J$5,2,0)</f>
        <v>#N/A</v>
      </c>
      <c r="V47" s="1889"/>
      <c r="W47" s="344"/>
      <c r="X47" s="2366"/>
      <c r="Y47" s="2366"/>
      <c r="Z47" s="2366"/>
      <c r="AA47" s="2400"/>
      <c r="AB47" s="948" t="s">
        <v>1691</v>
      </c>
      <c r="AC47" s="2370"/>
      <c r="AD47" s="1890"/>
      <c r="AE47" s="1903"/>
      <c r="AF47" s="344"/>
      <c r="AG47" s="956">
        <f t="shared" si="8"/>
        <v>0</v>
      </c>
      <c r="AH47" s="345" t="e">
        <f t="shared" si="9"/>
        <v>#N/A</v>
      </c>
      <c r="AI47" s="2365"/>
      <c r="AJ47" s="345" t="e">
        <f t="shared" si="10"/>
        <v>#N/A</v>
      </c>
      <c r="AK47" s="2365"/>
      <c r="AL47" s="346" t="e">
        <f t="shared" si="11"/>
        <v>#N/A</v>
      </c>
      <c r="AM47" s="1889"/>
      <c r="AN47" s="2366"/>
      <c r="AO47" s="2332"/>
      <c r="AP47" s="2373"/>
      <c r="AQ47" s="2343"/>
      <c r="AR47" s="2343" t="s">
        <v>2877</v>
      </c>
      <c r="AS47" s="1888"/>
      <c r="AT47" s="1888"/>
      <c r="AU47" s="1888"/>
      <c r="AV47" s="1888"/>
      <c r="AW47" s="1888"/>
      <c r="AX47" s="1888"/>
    </row>
    <row r="48" spans="1:51" s="262" customFormat="1" ht="28.5" customHeight="1">
      <c r="A48" s="2362" t="s">
        <v>82</v>
      </c>
      <c r="B48" s="2329" t="s">
        <v>2077</v>
      </c>
      <c r="C48" s="2363" t="s">
        <v>459</v>
      </c>
      <c r="D48" s="2363"/>
      <c r="E48" s="2363"/>
      <c r="F48" s="1903" t="s">
        <v>2931</v>
      </c>
      <c r="G48" s="2364" t="s">
        <v>2947</v>
      </c>
      <c r="H48" s="2364"/>
      <c r="I48" s="2364"/>
      <c r="J48" s="2359" t="s">
        <v>460</v>
      </c>
      <c r="K48" s="2359"/>
      <c r="L48" s="2359"/>
      <c r="M48" s="1890"/>
      <c r="N48" s="1890">
        <v>6</v>
      </c>
      <c r="O48" s="1890" t="s">
        <v>8</v>
      </c>
      <c r="P48" s="1890"/>
      <c r="Q48" s="1891" t="s">
        <v>64</v>
      </c>
      <c r="R48" s="1891" t="s">
        <v>661</v>
      </c>
      <c r="S48" s="344"/>
      <c r="T48" s="956">
        <f>VLOOKUP(Q48,[90]Listas!$D$6:$E$10,2,0)</f>
        <v>3</v>
      </c>
      <c r="U48" s="956">
        <f>HLOOKUP(R48,[90]Listas!$F$4:$J$5,2,0)</f>
        <v>1</v>
      </c>
      <c r="V48" s="1889" t="str">
        <f>INDEX([90]Listas!$F$6:$J$10,MATCH(Q48,[90]Listas!$D$6:$D$10,0),MATCH(R48,[90]Listas!$F$4:$J$4,0))</f>
        <v>3
INFERIOR</v>
      </c>
      <c r="W48" s="344"/>
      <c r="X48" s="2366" t="s">
        <v>2948</v>
      </c>
      <c r="Y48" s="2366"/>
      <c r="Z48" s="2366"/>
      <c r="AA48" s="2398" t="s">
        <v>4224</v>
      </c>
      <c r="AB48" s="1903" t="s">
        <v>1688</v>
      </c>
      <c r="AC48" s="2370" t="s">
        <v>1692</v>
      </c>
      <c r="AD48" s="1890">
        <v>70</v>
      </c>
      <c r="AE48" s="1903" t="s">
        <v>152</v>
      </c>
      <c r="AF48" s="344"/>
      <c r="AG48" s="956">
        <f t="shared" si="8"/>
        <v>1</v>
      </c>
      <c r="AH48" s="345">
        <f t="shared" si="9"/>
        <v>2</v>
      </c>
      <c r="AI48" s="2365" t="str">
        <f>IF(AH48&lt;=1,"Remota",VLOOKUP(AH48,[90]Listas!$C$6:$D$10,2,0))</f>
        <v>Baja</v>
      </c>
      <c r="AJ48" s="345">
        <f t="shared" si="10"/>
        <v>0</v>
      </c>
      <c r="AK48" s="2365" t="str">
        <f>IF(AJ48&lt;=1,"Insignificante",HLOOKUP(AJ48,[90]Listas!$F$3:$J$4,2,0))</f>
        <v>Insignificante</v>
      </c>
      <c r="AL48" s="346">
        <f t="shared" si="11"/>
        <v>0</v>
      </c>
      <c r="AM48" s="1889" t="str">
        <f>INDEX([90]Listas!$F$6:$J$10,MATCH(AI48,[90]Listas!$D$6:$D$10,0),MATCH(AK48,[90]Listas!$F$4:$J$4,0))</f>
        <v>2
INFERIOR</v>
      </c>
      <c r="AN48" s="2366" t="s">
        <v>2941</v>
      </c>
      <c r="AO48" s="2377" t="s">
        <v>2949</v>
      </c>
      <c r="AP48" s="2371">
        <v>0</v>
      </c>
      <c r="AQ48" s="2341" t="s">
        <v>4123</v>
      </c>
      <c r="AR48" s="2341" t="s">
        <v>3590</v>
      </c>
      <c r="AS48" s="1886" t="s">
        <v>36</v>
      </c>
      <c r="AT48" s="1886"/>
      <c r="AU48" s="1886"/>
      <c r="AV48" s="1886"/>
      <c r="AW48" s="1886"/>
      <c r="AX48" s="1886"/>
    </row>
    <row r="49" spans="1:50" s="262" customFormat="1" ht="39" customHeight="1">
      <c r="A49" s="2362"/>
      <c r="B49" s="2329"/>
      <c r="C49" s="2363"/>
      <c r="D49" s="2363"/>
      <c r="E49" s="2363"/>
      <c r="F49" s="1903"/>
      <c r="G49" s="2364" t="s">
        <v>2950</v>
      </c>
      <c r="H49" s="2364"/>
      <c r="I49" s="2364"/>
      <c r="J49" s="2359"/>
      <c r="K49" s="2359"/>
      <c r="L49" s="2359"/>
      <c r="M49" s="1890"/>
      <c r="N49" s="1890"/>
      <c r="O49" s="1890"/>
      <c r="P49" s="1890"/>
      <c r="Q49" s="1891"/>
      <c r="R49" s="1891"/>
      <c r="S49" s="344"/>
      <c r="T49" s="956" t="e">
        <f>VLOOKUP(Q49,[90]Listas!$D$6:$E$10,2,0)</f>
        <v>#N/A</v>
      </c>
      <c r="U49" s="956" t="e">
        <f>HLOOKUP(R49,[90]Listas!$F$4:$J$5,2,0)</f>
        <v>#N/A</v>
      </c>
      <c r="V49" s="1889"/>
      <c r="W49" s="344"/>
      <c r="X49" s="2366"/>
      <c r="Y49" s="2366"/>
      <c r="Z49" s="2366"/>
      <c r="AA49" s="2399"/>
      <c r="AB49" s="1903"/>
      <c r="AC49" s="2370"/>
      <c r="AD49" s="1890"/>
      <c r="AE49" s="1903"/>
      <c r="AF49" s="344"/>
      <c r="AG49" s="956">
        <f t="shared" si="8"/>
        <v>0</v>
      </c>
      <c r="AH49" s="345" t="e">
        <f t="shared" si="9"/>
        <v>#N/A</v>
      </c>
      <c r="AI49" s="2365"/>
      <c r="AJ49" s="345" t="e">
        <f t="shared" si="10"/>
        <v>#N/A</v>
      </c>
      <c r="AK49" s="2365"/>
      <c r="AL49" s="346" t="e">
        <f t="shared" si="11"/>
        <v>#N/A</v>
      </c>
      <c r="AM49" s="1889"/>
      <c r="AN49" s="2366"/>
      <c r="AO49" s="2377"/>
      <c r="AP49" s="2372"/>
      <c r="AQ49" s="2342"/>
      <c r="AR49" s="2342" t="s">
        <v>2877</v>
      </c>
      <c r="AS49" s="1887"/>
      <c r="AT49" s="1887"/>
      <c r="AU49" s="1887"/>
      <c r="AV49" s="1887"/>
      <c r="AW49" s="1887"/>
      <c r="AX49" s="1887"/>
    </row>
    <row r="50" spans="1:50" s="262" customFormat="1" ht="32.25" customHeight="1">
      <c r="A50" s="2362"/>
      <c r="B50" s="2329"/>
      <c r="C50" s="2363"/>
      <c r="D50" s="2363"/>
      <c r="E50" s="2363"/>
      <c r="F50" s="1903"/>
      <c r="G50" s="2364" t="s">
        <v>2951</v>
      </c>
      <c r="H50" s="2364"/>
      <c r="I50" s="2364"/>
      <c r="J50" s="2359"/>
      <c r="K50" s="2359"/>
      <c r="L50" s="2359"/>
      <c r="M50" s="1890"/>
      <c r="N50" s="1890"/>
      <c r="O50" s="1890"/>
      <c r="P50" s="1890"/>
      <c r="Q50" s="1891"/>
      <c r="R50" s="1891"/>
      <c r="S50" s="344"/>
      <c r="T50" s="956" t="e">
        <f>VLOOKUP(Q50,[90]Listas!$D$6:$E$10,2,0)</f>
        <v>#N/A</v>
      </c>
      <c r="U50" s="956" t="e">
        <f>HLOOKUP(R50,[90]Listas!$F$4:$J$5,2,0)</f>
        <v>#N/A</v>
      </c>
      <c r="V50" s="1889"/>
      <c r="W50" s="344"/>
      <c r="X50" s="2366"/>
      <c r="Y50" s="2366"/>
      <c r="Z50" s="2366"/>
      <c r="AA50" s="2399"/>
      <c r="AB50" s="1903"/>
      <c r="AC50" s="2370"/>
      <c r="AD50" s="1890"/>
      <c r="AE50" s="1903"/>
      <c r="AF50" s="344"/>
      <c r="AG50" s="956">
        <f t="shared" si="8"/>
        <v>0</v>
      </c>
      <c r="AH50" s="345" t="e">
        <f t="shared" si="9"/>
        <v>#N/A</v>
      </c>
      <c r="AI50" s="2365"/>
      <c r="AJ50" s="345" t="e">
        <f t="shared" si="10"/>
        <v>#N/A</v>
      </c>
      <c r="AK50" s="2365"/>
      <c r="AL50" s="346" t="e">
        <f t="shared" si="11"/>
        <v>#N/A</v>
      </c>
      <c r="AM50" s="1889"/>
      <c r="AN50" s="2366"/>
      <c r="AO50" s="2377"/>
      <c r="AP50" s="2372"/>
      <c r="AQ50" s="2342"/>
      <c r="AR50" s="2342" t="s">
        <v>2877</v>
      </c>
      <c r="AS50" s="1887"/>
      <c r="AT50" s="1887"/>
      <c r="AU50" s="1887"/>
      <c r="AV50" s="1887"/>
      <c r="AW50" s="1887"/>
      <c r="AX50" s="1887"/>
    </row>
    <row r="51" spans="1:50" s="262" customFormat="1" ht="52.5" customHeight="1">
      <c r="A51" s="2362"/>
      <c r="B51" s="2329"/>
      <c r="C51" s="2363"/>
      <c r="D51" s="2363"/>
      <c r="E51" s="2363"/>
      <c r="F51" s="1903"/>
      <c r="G51" s="2364" t="s">
        <v>2952</v>
      </c>
      <c r="H51" s="2364"/>
      <c r="I51" s="2364"/>
      <c r="J51" s="2359"/>
      <c r="K51" s="2359"/>
      <c r="L51" s="2359"/>
      <c r="M51" s="1890"/>
      <c r="N51" s="1890"/>
      <c r="O51" s="1890"/>
      <c r="P51" s="1890"/>
      <c r="Q51" s="1891"/>
      <c r="R51" s="1891"/>
      <c r="S51" s="344"/>
      <c r="T51" s="956" t="e">
        <f>VLOOKUP(Q51,[90]Listas!$D$6:$E$10,2,0)</f>
        <v>#N/A</v>
      </c>
      <c r="U51" s="956" t="e">
        <f>HLOOKUP(R51,[90]Listas!$F$4:$J$5,2,0)</f>
        <v>#N/A</v>
      </c>
      <c r="V51" s="1889"/>
      <c r="W51" s="344"/>
      <c r="X51" s="2366"/>
      <c r="Y51" s="2366"/>
      <c r="Z51" s="2366"/>
      <c r="AA51" s="2400"/>
      <c r="AB51" s="1903"/>
      <c r="AC51" s="2370"/>
      <c r="AD51" s="1890"/>
      <c r="AE51" s="1903"/>
      <c r="AF51" s="344"/>
      <c r="AG51" s="956">
        <f t="shared" si="8"/>
        <v>0</v>
      </c>
      <c r="AH51" s="345" t="e">
        <f t="shared" si="9"/>
        <v>#N/A</v>
      </c>
      <c r="AI51" s="2365"/>
      <c r="AJ51" s="345" t="e">
        <f t="shared" si="10"/>
        <v>#N/A</v>
      </c>
      <c r="AK51" s="2365"/>
      <c r="AL51" s="346" t="e">
        <f t="shared" si="11"/>
        <v>#N/A</v>
      </c>
      <c r="AM51" s="1889"/>
      <c r="AN51" s="2366"/>
      <c r="AO51" s="2377"/>
      <c r="AP51" s="2373"/>
      <c r="AQ51" s="2343"/>
      <c r="AR51" s="2343" t="s">
        <v>2877</v>
      </c>
      <c r="AS51" s="1888"/>
      <c r="AT51" s="1888"/>
      <c r="AU51" s="1888"/>
      <c r="AV51" s="1888"/>
      <c r="AW51" s="1888"/>
      <c r="AX51" s="1888"/>
    </row>
    <row r="52" spans="1:50" s="262" customFormat="1" ht="35.25" customHeight="1">
      <c r="A52" s="2374" t="s">
        <v>1693</v>
      </c>
      <c r="B52" s="2375" t="s">
        <v>1694</v>
      </c>
      <c r="C52" s="2376" t="s">
        <v>1695</v>
      </c>
      <c r="D52" s="2376"/>
      <c r="E52" s="2376"/>
      <c r="F52" s="2155" t="s">
        <v>1696</v>
      </c>
      <c r="G52" s="1999" t="s">
        <v>1746</v>
      </c>
      <c r="H52" s="1999"/>
      <c r="I52" s="1999"/>
      <c r="J52" s="2383" t="s">
        <v>993</v>
      </c>
      <c r="K52" s="2383"/>
      <c r="L52" s="2383"/>
      <c r="M52" s="1890"/>
      <c r="N52" s="1890"/>
      <c r="O52" s="1890" t="s">
        <v>8</v>
      </c>
      <c r="P52" s="1890"/>
      <c r="Q52" s="1891" t="s">
        <v>64</v>
      </c>
      <c r="R52" s="1891" t="s">
        <v>643</v>
      </c>
      <c r="S52" s="344"/>
      <c r="T52" s="956">
        <f>VLOOKUP(Q52,[91]Listas!$D$6:$E$10,2,0)</f>
        <v>3</v>
      </c>
      <c r="U52" s="956">
        <f>HLOOKUP(R52,[91]Listas!$F$4:$J$5,2,0)</f>
        <v>2</v>
      </c>
      <c r="V52" s="1889" t="str">
        <f>INDEX([91]Listas!$F$6:$J$10,MATCH(Q52,[91]Listas!$D$6:$D$10,0),MATCH(R52,[91]Listas!$F$4:$J$4,0))</f>
        <v>6
MODERADO</v>
      </c>
      <c r="W52" s="344"/>
      <c r="X52" s="1999" t="s">
        <v>1697</v>
      </c>
      <c r="Y52" s="1999"/>
      <c r="Z52" s="1999"/>
      <c r="AA52" s="1993" t="s">
        <v>4225</v>
      </c>
      <c r="AB52" s="2155" t="s">
        <v>1698</v>
      </c>
      <c r="AC52" s="2382" t="s">
        <v>1699</v>
      </c>
      <c r="AD52" s="1890">
        <v>62</v>
      </c>
      <c r="AE52" s="1903" t="s">
        <v>153</v>
      </c>
      <c r="AF52" s="344"/>
      <c r="AG52" s="956">
        <f t="shared" si="0"/>
        <v>1</v>
      </c>
      <c r="AH52" s="345">
        <f t="shared" si="1"/>
        <v>2</v>
      </c>
      <c r="AI52" s="2365" t="str">
        <f>IF(AH52&lt;=1,"Remota",VLOOKUP(AH52,[91]Listas!$C$6:$D$10,2,0))</f>
        <v>Baja</v>
      </c>
      <c r="AJ52" s="345">
        <f t="shared" si="2"/>
        <v>2</v>
      </c>
      <c r="AK52" s="2365" t="str">
        <f>IF(AJ52&lt;=1,"Insignificante",HLOOKUP(AJ52,[91]Listas!$F$3:$J$4,2,0))</f>
        <v>Menor</v>
      </c>
      <c r="AL52" s="346">
        <f t="shared" si="3"/>
        <v>4</v>
      </c>
      <c r="AM52" s="1889" t="str">
        <f>INDEX([91]Listas!$F$6:$J$10,MATCH(AI52,[91]Listas!$D$6:$D$10,0),MATCH(AK52,[91]Listas!$F$4:$J$4,0))</f>
        <v>4
INFERIOR</v>
      </c>
      <c r="AN52" s="1999" t="s">
        <v>2953</v>
      </c>
      <c r="AO52" s="2381" t="s">
        <v>2954</v>
      </c>
      <c r="AP52" s="2378">
        <v>0</v>
      </c>
      <c r="AQ52" s="2341" t="s">
        <v>4124</v>
      </c>
      <c r="AR52" s="2341" t="s">
        <v>3590</v>
      </c>
      <c r="AS52" s="1886" t="s">
        <v>36</v>
      </c>
      <c r="AT52" s="1886"/>
      <c r="AU52" s="1886"/>
      <c r="AV52" s="1886"/>
      <c r="AW52" s="1886"/>
      <c r="AX52" s="1886"/>
    </row>
    <row r="53" spans="1:50" s="262" customFormat="1" ht="36" customHeight="1">
      <c r="A53" s="2374"/>
      <c r="B53" s="2375"/>
      <c r="C53" s="2376"/>
      <c r="D53" s="2376"/>
      <c r="E53" s="2376"/>
      <c r="F53" s="2156"/>
      <c r="G53" s="1999" t="s">
        <v>1751</v>
      </c>
      <c r="H53" s="1999"/>
      <c r="I53" s="1999"/>
      <c r="J53" s="2383"/>
      <c r="K53" s="2383"/>
      <c r="L53" s="2383"/>
      <c r="M53" s="1890"/>
      <c r="N53" s="1890"/>
      <c r="O53" s="1890"/>
      <c r="P53" s="1890"/>
      <c r="Q53" s="1891"/>
      <c r="R53" s="1891"/>
      <c r="S53" s="344"/>
      <c r="T53" s="956" t="e">
        <f>VLOOKUP(Q53,[91]Listas!$D$6:$E$10,2,0)</f>
        <v>#N/A</v>
      </c>
      <c r="U53" s="956" t="e">
        <f>HLOOKUP(R53,[91]Listas!$F$4:$J$5,2,0)</f>
        <v>#N/A</v>
      </c>
      <c r="V53" s="1889"/>
      <c r="W53" s="344"/>
      <c r="X53" s="1999" t="s">
        <v>1700</v>
      </c>
      <c r="Y53" s="1999"/>
      <c r="Z53" s="1999"/>
      <c r="AA53" s="1994"/>
      <c r="AB53" s="2156"/>
      <c r="AC53" s="2382"/>
      <c r="AD53" s="1890"/>
      <c r="AE53" s="1903"/>
      <c r="AF53" s="344"/>
      <c r="AG53" s="956">
        <f t="shared" si="0"/>
        <v>0</v>
      </c>
      <c r="AH53" s="345" t="e">
        <f t="shared" si="1"/>
        <v>#N/A</v>
      </c>
      <c r="AI53" s="2365"/>
      <c r="AJ53" s="345" t="e">
        <f t="shared" si="2"/>
        <v>#N/A</v>
      </c>
      <c r="AK53" s="2365"/>
      <c r="AL53" s="346" t="e">
        <f t="shared" si="3"/>
        <v>#N/A</v>
      </c>
      <c r="AM53" s="1889"/>
      <c r="AN53" s="1999"/>
      <c r="AO53" s="2382"/>
      <c r="AP53" s="2379"/>
      <c r="AQ53" s="2342"/>
      <c r="AR53" s="2342" t="s">
        <v>2877</v>
      </c>
      <c r="AS53" s="1887"/>
      <c r="AT53" s="1887"/>
      <c r="AU53" s="1887"/>
      <c r="AV53" s="1887"/>
      <c r="AW53" s="1887"/>
      <c r="AX53" s="1887"/>
    </row>
    <row r="54" spans="1:50" s="262" customFormat="1" ht="30" customHeight="1">
      <c r="A54" s="2374"/>
      <c r="B54" s="2375"/>
      <c r="C54" s="2376"/>
      <c r="D54" s="2376"/>
      <c r="E54" s="2376"/>
      <c r="F54" s="2156"/>
      <c r="G54" s="1999" t="s">
        <v>1752</v>
      </c>
      <c r="H54" s="1999"/>
      <c r="I54" s="1999"/>
      <c r="J54" s="2383"/>
      <c r="K54" s="2383"/>
      <c r="L54" s="2383"/>
      <c r="M54" s="1890"/>
      <c r="N54" s="1890"/>
      <c r="O54" s="1890"/>
      <c r="P54" s="1890"/>
      <c r="Q54" s="1891"/>
      <c r="R54" s="1891"/>
      <c r="S54" s="344"/>
      <c r="T54" s="956" t="e">
        <f>VLOOKUP(Q54,[91]Listas!$D$6:$E$10,2,0)</f>
        <v>#N/A</v>
      </c>
      <c r="U54" s="956" t="e">
        <f>HLOOKUP(R54,[91]Listas!$F$4:$J$5,2,0)</f>
        <v>#N/A</v>
      </c>
      <c r="V54" s="1889"/>
      <c r="W54" s="344"/>
      <c r="X54" s="1999" t="s">
        <v>2955</v>
      </c>
      <c r="Y54" s="1999"/>
      <c r="Z54" s="1999"/>
      <c r="AA54" s="1994"/>
      <c r="AB54" s="2156"/>
      <c r="AC54" s="2382"/>
      <c r="AD54" s="1890"/>
      <c r="AE54" s="1903"/>
      <c r="AF54" s="344"/>
      <c r="AG54" s="956">
        <f t="shared" si="0"/>
        <v>0</v>
      </c>
      <c r="AH54" s="345" t="e">
        <f t="shared" si="1"/>
        <v>#N/A</v>
      </c>
      <c r="AI54" s="2365"/>
      <c r="AJ54" s="345" t="e">
        <f t="shared" si="2"/>
        <v>#N/A</v>
      </c>
      <c r="AK54" s="2365"/>
      <c r="AL54" s="346" t="e">
        <f t="shared" si="3"/>
        <v>#N/A</v>
      </c>
      <c r="AM54" s="1889"/>
      <c r="AN54" s="1999"/>
      <c r="AO54" s="2382"/>
      <c r="AP54" s="2379"/>
      <c r="AQ54" s="2342"/>
      <c r="AR54" s="2342" t="s">
        <v>2877</v>
      </c>
      <c r="AS54" s="1887"/>
      <c r="AT54" s="1887"/>
      <c r="AU54" s="1887"/>
      <c r="AV54" s="1887"/>
      <c r="AW54" s="1887"/>
      <c r="AX54" s="1887"/>
    </row>
    <row r="55" spans="1:50" s="262" customFormat="1" ht="30" customHeight="1">
      <c r="A55" s="2374"/>
      <c r="B55" s="2375"/>
      <c r="C55" s="2376"/>
      <c r="D55" s="2376"/>
      <c r="E55" s="2376"/>
      <c r="F55" s="2156"/>
      <c r="G55" s="1999" t="s">
        <v>2435</v>
      </c>
      <c r="H55" s="1999"/>
      <c r="I55" s="1999"/>
      <c r="J55" s="2383"/>
      <c r="K55" s="2383"/>
      <c r="L55" s="2383"/>
      <c r="M55" s="1890"/>
      <c r="N55" s="1890"/>
      <c r="O55" s="1890"/>
      <c r="P55" s="1890"/>
      <c r="Q55" s="1891"/>
      <c r="R55" s="1891"/>
      <c r="S55" s="344"/>
      <c r="T55" s="956" t="e">
        <f>VLOOKUP(Q55,[91]Listas!$D$6:$E$10,2,0)</f>
        <v>#N/A</v>
      </c>
      <c r="U55" s="956" t="e">
        <f>HLOOKUP(R55,[91]Listas!$F$4:$J$5,2,0)</f>
        <v>#N/A</v>
      </c>
      <c r="V55" s="1889"/>
      <c r="W55" s="344"/>
      <c r="X55" s="1999" t="s">
        <v>1701</v>
      </c>
      <c r="Y55" s="1999"/>
      <c r="Z55" s="1999"/>
      <c r="AA55" s="1994"/>
      <c r="AB55" s="2156"/>
      <c r="AC55" s="2382"/>
      <c r="AD55" s="1890"/>
      <c r="AE55" s="1903"/>
      <c r="AF55" s="344"/>
      <c r="AG55" s="956">
        <f t="shared" si="0"/>
        <v>0</v>
      </c>
      <c r="AH55" s="345" t="e">
        <f t="shared" si="1"/>
        <v>#N/A</v>
      </c>
      <c r="AI55" s="2365"/>
      <c r="AJ55" s="345" t="e">
        <f t="shared" si="2"/>
        <v>#N/A</v>
      </c>
      <c r="AK55" s="2365"/>
      <c r="AL55" s="346" t="e">
        <f t="shared" si="3"/>
        <v>#N/A</v>
      </c>
      <c r="AM55" s="1889"/>
      <c r="AN55" s="1999"/>
      <c r="AO55" s="2382"/>
      <c r="AP55" s="2379"/>
      <c r="AQ55" s="2342"/>
      <c r="AR55" s="2342" t="s">
        <v>2877</v>
      </c>
      <c r="AS55" s="1887"/>
      <c r="AT55" s="1887"/>
      <c r="AU55" s="1887"/>
      <c r="AV55" s="1887"/>
      <c r="AW55" s="1887"/>
      <c r="AX55" s="1887"/>
    </row>
    <row r="56" spans="1:50" s="262" customFormat="1" ht="34.5" customHeight="1">
      <c r="A56" s="2374"/>
      <c r="B56" s="2375"/>
      <c r="C56" s="2376"/>
      <c r="D56" s="2376"/>
      <c r="E56" s="2376"/>
      <c r="F56" s="2156"/>
      <c r="G56" s="1999" t="s">
        <v>2437</v>
      </c>
      <c r="H56" s="1999"/>
      <c r="I56" s="1999"/>
      <c r="J56" s="2383"/>
      <c r="K56" s="2383"/>
      <c r="L56" s="2383"/>
      <c r="M56" s="1890"/>
      <c r="N56" s="1890"/>
      <c r="O56" s="1890"/>
      <c r="P56" s="1890"/>
      <c r="Q56" s="1891"/>
      <c r="R56" s="1891"/>
      <c r="S56" s="344"/>
      <c r="T56" s="956" t="e">
        <f>VLOOKUP(Q56,[91]Listas!$D$6:$E$10,2,0)</f>
        <v>#N/A</v>
      </c>
      <c r="U56" s="956" t="e">
        <f>HLOOKUP(R56,[91]Listas!$F$4:$J$5,2,0)</f>
        <v>#N/A</v>
      </c>
      <c r="V56" s="1889"/>
      <c r="W56" s="344"/>
      <c r="X56" s="1999" t="s">
        <v>2956</v>
      </c>
      <c r="Y56" s="1999"/>
      <c r="Z56" s="1999"/>
      <c r="AA56" s="1994"/>
      <c r="AB56" s="2156"/>
      <c r="AC56" s="2382"/>
      <c r="AD56" s="1890"/>
      <c r="AE56" s="1903"/>
      <c r="AF56" s="344"/>
      <c r="AG56" s="956">
        <f t="shared" si="0"/>
        <v>0</v>
      </c>
      <c r="AH56" s="345" t="e">
        <f t="shared" si="1"/>
        <v>#N/A</v>
      </c>
      <c r="AI56" s="2365"/>
      <c r="AJ56" s="345" t="e">
        <f t="shared" si="2"/>
        <v>#N/A</v>
      </c>
      <c r="AK56" s="2365"/>
      <c r="AL56" s="346" t="e">
        <f t="shared" si="3"/>
        <v>#N/A</v>
      </c>
      <c r="AM56" s="1889"/>
      <c r="AN56" s="1999"/>
      <c r="AO56" s="2382"/>
      <c r="AP56" s="2379"/>
      <c r="AQ56" s="2342"/>
      <c r="AR56" s="2342" t="s">
        <v>2877</v>
      </c>
      <c r="AS56" s="1887"/>
      <c r="AT56" s="1887"/>
      <c r="AU56" s="1887"/>
      <c r="AV56" s="1887"/>
      <c r="AW56" s="1887"/>
      <c r="AX56" s="1887"/>
    </row>
    <row r="57" spans="1:50" s="262" customFormat="1" ht="47.25" customHeight="1">
      <c r="A57" s="2374"/>
      <c r="B57" s="2375"/>
      <c r="C57" s="2376"/>
      <c r="D57" s="2376"/>
      <c r="E57" s="2376"/>
      <c r="F57" s="2156"/>
      <c r="G57" s="1999" t="s">
        <v>2438</v>
      </c>
      <c r="H57" s="1999"/>
      <c r="I57" s="1999"/>
      <c r="J57" s="2383"/>
      <c r="K57" s="2383"/>
      <c r="L57" s="2383"/>
      <c r="M57" s="1890"/>
      <c r="N57" s="1890"/>
      <c r="O57" s="1890"/>
      <c r="P57" s="1890"/>
      <c r="Q57" s="1891"/>
      <c r="R57" s="1891"/>
      <c r="S57" s="344"/>
      <c r="T57" s="956" t="e">
        <f>VLOOKUP(Q57,[91]Listas!$D$6:$E$10,2,0)</f>
        <v>#N/A</v>
      </c>
      <c r="U57" s="956" t="e">
        <f>HLOOKUP(R57,[91]Listas!$F$4:$J$5,2,0)</f>
        <v>#N/A</v>
      </c>
      <c r="V57" s="1889"/>
      <c r="W57" s="344"/>
      <c r="X57" s="1999" t="s">
        <v>2956</v>
      </c>
      <c r="Y57" s="1999"/>
      <c r="Z57" s="1999"/>
      <c r="AA57" s="1994"/>
      <c r="AB57" s="2156"/>
      <c r="AC57" s="2382"/>
      <c r="AD57" s="1890"/>
      <c r="AE57" s="1903"/>
      <c r="AF57" s="344"/>
      <c r="AG57" s="956">
        <f t="shared" si="0"/>
        <v>0</v>
      </c>
      <c r="AH57" s="345" t="e">
        <f t="shared" si="1"/>
        <v>#N/A</v>
      </c>
      <c r="AI57" s="2365"/>
      <c r="AJ57" s="345" t="e">
        <f t="shared" si="2"/>
        <v>#N/A</v>
      </c>
      <c r="AK57" s="2365"/>
      <c r="AL57" s="346" t="e">
        <f t="shared" si="3"/>
        <v>#N/A</v>
      </c>
      <c r="AM57" s="1889"/>
      <c r="AN57" s="1999"/>
      <c r="AO57" s="2382"/>
      <c r="AP57" s="2379"/>
      <c r="AQ57" s="2342"/>
      <c r="AR57" s="2342" t="s">
        <v>2877</v>
      </c>
      <c r="AS57" s="1887"/>
      <c r="AT57" s="1887"/>
      <c r="AU57" s="1887"/>
      <c r="AV57" s="1887"/>
      <c r="AW57" s="1887"/>
      <c r="AX57" s="1887"/>
    </row>
    <row r="58" spans="1:50" s="262" customFormat="1" ht="24.75" customHeight="1">
      <c r="A58" s="2374"/>
      <c r="B58" s="2375"/>
      <c r="C58" s="2376"/>
      <c r="D58" s="2376"/>
      <c r="E58" s="2376"/>
      <c r="F58" s="2156"/>
      <c r="G58" s="1999" t="s">
        <v>1763</v>
      </c>
      <c r="H58" s="1999"/>
      <c r="I58" s="1999"/>
      <c r="J58" s="2383"/>
      <c r="K58" s="2383"/>
      <c r="L58" s="2383"/>
      <c r="M58" s="1890"/>
      <c r="N58" s="1890"/>
      <c r="O58" s="1890"/>
      <c r="P58" s="1890"/>
      <c r="Q58" s="1891"/>
      <c r="R58" s="1891"/>
      <c r="S58" s="344"/>
      <c r="T58" s="956" t="e">
        <f>VLOOKUP(Q58,[91]Listas!$D$6:$E$10,2,0)</f>
        <v>#N/A</v>
      </c>
      <c r="U58" s="956" t="e">
        <f>HLOOKUP(R58,[91]Listas!$F$4:$J$5,2,0)</f>
        <v>#N/A</v>
      </c>
      <c r="V58" s="1889"/>
      <c r="W58" s="344"/>
      <c r="X58" s="1999" t="s">
        <v>2957</v>
      </c>
      <c r="Y58" s="1999"/>
      <c r="Z58" s="1999"/>
      <c r="AA58" s="1994"/>
      <c r="AB58" s="2156"/>
      <c r="AC58" s="2382"/>
      <c r="AD58" s="1890"/>
      <c r="AE58" s="1903"/>
      <c r="AF58" s="344"/>
      <c r="AG58" s="956">
        <f t="shared" si="0"/>
        <v>0</v>
      </c>
      <c r="AH58" s="345" t="e">
        <f t="shared" si="1"/>
        <v>#N/A</v>
      </c>
      <c r="AI58" s="2365"/>
      <c r="AJ58" s="345" t="e">
        <f t="shared" si="2"/>
        <v>#N/A</v>
      </c>
      <c r="AK58" s="2365"/>
      <c r="AL58" s="346" t="e">
        <f t="shared" si="3"/>
        <v>#N/A</v>
      </c>
      <c r="AM58" s="1889"/>
      <c r="AN58" s="1999"/>
      <c r="AO58" s="2382"/>
      <c r="AP58" s="2379"/>
      <c r="AQ58" s="2342"/>
      <c r="AR58" s="2342" t="s">
        <v>2877</v>
      </c>
      <c r="AS58" s="1887"/>
      <c r="AT58" s="1887"/>
      <c r="AU58" s="1887"/>
      <c r="AV58" s="1887"/>
      <c r="AW58" s="1887"/>
      <c r="AX58" s="1887"/>
    </row>
    <row r="59" spans="1:50" s="262" customFormat="1" ht="30.75" customHeight="1">
      <c r="A59" s="2374"/>
      <c r="B59" s="2375"/>
      <c r="C59" s="2376"/>
      <c r="D59" s="2376"/>
      <c r="E59" s="2376"/>
      <c r="F59" s="2156"/>
      <c r="G59" s="1999" t="s">
        <v>2958</v>
      </c>
      <c r="H59" s="1999"/>
      <c r="I59" s="1999"/>
      <c r="J59" s="2383"/>
      <c r="K59" s="2383"/>
      <c r="L59" s="2383"/>
      <c r="M59" s="1890"/>
      <c r="N59" s="1890"/>
      <c r="O59" s="1890"/>
      <c r="P59" s="1890"/>
      <c r="Q59" s="1891"/>
      <c r="R59" s="1891"/>
      <c r="S59" s="344"/>
      <c r="T59" s="956" t="e">
        <f>VLOOKUP(Q59,[91]Listas!$D$6:$E$10,2,0)</f>
        <v>#N/A</v>
      </c>
      <c r="U59" s="956" t="e">
        <f>HLOOKUP(R59,[91]Listas!$F$4:$J$5,2,0)</f>
        <v>#N/A</v>
      </c>
      <c r="V59" s="1889"/>
      <c r="W59" s="344"/>
      <c r="X59" s="1999" t="s">
        <v>2959</v>
      </c>
      <c r="Y59" s="1999"/>
      <c r="Z59" s="1999"/>
      <c r="AA59" s="1994"/>
      <c r="AB59" s="2156"/>
      <c r="AC59" s="2382"/>
      <c r="AD59" s="1890"/>
      <c r="AE59" s="1903"/>
      <c r="AF59" s="344"/>
      <c r="AG59" s="956">
        <f t="shared" si="0"/>
        <v>0</v>
      </c>
      <c r="AH59" s="345" t="e">
        <f t="shared" si="1"/>
        <v>#N/A</v>
      </c>
      <c r="AI59" s="2365"/>
      <c r="AJ59" s="345" t="e">
        <f t="shared" si="2"/>
        <v>#N/A</v>
      </c>
      <c r="AK59" s="2365"/>
      <c r="AL59" s="346" t="e">
        <f t="shared" si="3"/>
        <v>#N/A</v>
      </c>
      <c r="AM59" s="1889"/>
      <c r="AN59" s="1999"/>
      <c r="AO59" s="2382"/>
      <c r="AP59" s="2379"/>
      <c r="AQ59" s="2342"/>
      <c r="AR59" s="2342" t="s">
        <v>2877</v>
      </c>
      <c r="AS59" s="1887"/>
      <c r="AT59" s="1887"/>
      <c r="AU59" s="1887"/>
      <c r="AV59" s="1887"/>
      <c r="AW59" s="1887"/>
      <c r="AX59" s="1887"/>
    </row>
    <row r="60" spans="1:50" s="262" customFormat="1" ht="35.25" customHeight="1">
      <c r="A60" s="2374"/>
      <c r="B60" s="2375"/>
      <c r="C60" s="2376"/>
      <c r="D60" s="2376"/>
      <c r="E60" s="2376"/>
      <c r="F60" s="2156"/>
      <c r="G60" s="1999" t="s">
        <v>2960</v>
      </c>
      <c r="H60" s="1999"/>
      <c r="I60" s="1999"/>
      <c r="J60" s="2383"/>
      <c r="K60" s="2383"/>
      <c r="L60" s="2383"/>
      <c r="M60" s="1890"/>
      <c r="N60" s="1890"/>
      <c r="O60" s="1890"/>
      <c r="P60" s="1890"/>
      <c r="Q60" s="1891"/>
      <c r="R60" s="1891"/>
      <c r="S60" s="344"/>
      <c r="T60" s="956" t="e">
        <f>VLOOKUP(Q60,[91]Listas!$D$6:$E$10,2,0)</f>
        <v>#N/A</v>
      </c>
      <c r="U60" s="956" t="e">
        <f>HLOOKUP(R60,[91]Listas!$F$4:$J$5,2,0)</f>
        <v>#N/A</v>
      </c>
      <c r="V60" s="1889"/>
      <c r="W60" s="344"/>
      <c r="X60" s="1999" t="s">
        <v>2961</v>
      </c>
      <c r="Y60" s="1999"/>
      <c r="Z60" s="1999"/>
      <c r="AA60" s="1994"/>
      <c r="AB60" s="2156"/>
      <c r="AC60" s="2382"/>
      <c r="AD60" s="1890"/>
      <c r="AE60" s="1903"/>
      <c r="AF60" s="344"/>
      <c r="AG60" s="956">
        <f t="shared" si="0"/>
        <v>0</v>
      </c>
      <c r="AH60" s="345" t="e">
        <f t="shared" si="1"/>
        <v>#N/A</v>
      </c>
      <c r="AI60" s="2365"/>
      <c r="AJ60" s="345" t="e">
        <f t="shared" si="2"/>
        <v>#N/A</v>
      </c>
      <c r="AK60" s="2365"/>
      <c r="AL60" s="346" t="e">
        <f t="shared" si="3"/>
        <v>#N/A</v>
      </c>
      <c r="AM60" s="1889"/>
      <c r="AN60" s="1999"/>
      <c r="AO60" s="2382"/>
      <c r="AP60" s="2379"/>
      <c r="AQ60" s="2342"/>
      <c r="AR60" s="2342" t="s">
        <v>2877</v>
      </c>
      <c r="AS60" s="1887"/>
      <c r="AT60" s="1887"/>
      <c r="AU60" s="1887"/>
      <c r="AV60" s="1887"/>
      <c r="AW60" s="1887"/>
      <c r="AX60" s="1887"/>
    </row>
    <row r="61" spans="1:50" s="262" customFormat="1" ht="33.75" customHeight="1">
      <c r="A61" s="2374"/>
      <c r="B61" s="2375"/>
      <c r="C61" s="2376"/>
      <c r="D61" s="2376"/>
      <c r="E61" s="2376"/>
      <c r="F61" s="2156"/>
      <c r="G61" s="1999" t="s">
        <v>2962</v>
      </c>
      <c r="H61" s="1999"/>
      <c r="I61" s="1999"/>
      <c r="J61" s="2383"/>
      <c r="K61" s="2383"/>
      <c r="L61" s="2383"/>
      <c r="M61" s="1890"/>
      <c r="N61" s="1890"/>
      <c r="O61" s="1890"/>
      <c r="P61" s="1890"/>
      <c r="Q61" s="1891"/>
      <c r="R61" s="1891"/>
      <c r="S61" s="344"/>
      <c r="T61" s="956" t="e">
        <f>VLOOKUP(Q61,[91]Listas!$D$6:$E$10,2,0)</f>
        <v>#N/A</v>
      </c>
      <c r="U61" s="956" t="e">
        <f>HLOOKUP(R61,[91]Listas!$F$4:$J$5,2,0)</f>
        <v>#N/A</v>
      </c>
      <c r="V61" s="1889"/>
      <c r="W61" s="344"/>
      <c r="X61" s="1999" t="s">
        <v>2963</v>
      </c>
      <c r="Y61" s="1999"/>
      <c r="Z61" s="1999"/>
      <c r="AA61" s="1994"/>
      <c r="AB61" s="2156"/>
      <c r="AC61" s="2382"/>
      <c r="AD61" s="1890"/>
      <c r="AE61" s="1903"/>
      <c r="AF61" s="344"/>
      <c r="AG61" s="956">
        <f t="shared" si="0"/>
        <v>0</v>
      </c>
      <c r="AH61" s="345" t="e">
        <f t="shared" si="1"/>
        <v>#N/A</v>
      </c>
      <c r="AI61" s="2365"/>
      <c r="AJ61" s="345" t="e">
        <f t="shared" si="2"/>
        <v>#N/A</v>
      </c>
      <c r="AK61" s="2365"/>
      <c r="AL61" s="346" t="e">
        <f t="shared" si="3"/>
        <v>#N/A</v>
      </c>
      <c r="AM61" s="1889"/>
      <c r="AN61" s="1999"/>
      <c r="AO61" s="2382"/>
      <c r="AP61" s="2379"/>
      <c r="AQ61" s="2342"/>
      <c r="AR61" s="2342" t="s">
        <v>2877</v>
      </c>
      <c r="AS61" s="1887"/>
      <c r="AT61" s="1887"/>
      <c r="AU61" s="1887"/>
      <c r="AV61" s="1887"/>
      <c r="AW61" s="1887"/>
      <c r="AX61" s="1887"/>
    </row>
    <row r="62" spans="1:50" s="262" customFormat="1" ht="28.5" customHeight="1">
      <c r="A62" s="2374"/>
      <c r="B62" s="2375"/>
      <c r="C62" s="2376"/>
      <c r="D62" s="2376"/>
      <c r="E62" s="2376"/>
      <c r="F62" s="2157"/>
      <c r="G62" s="1999" t="s">
        <v>2964</v>
      </c>
      <c r="H62" s="1999"/>
      <c r="I62" s="1999"/>
      <c r="J62" s="2383"/>
      <c r="K62" s="2383"/>
      <c r="L62" s="2383"/>
      <c r="M62" s="1890"/>
      <c r="N62" s="1890"/>
      <c r="O62" s="1890"/>
      <c r="P62" s="1890"/>
      <c r="Q62" s="1891"/>
      <c r="R62" s="1891"/>
      <c r="S62" s="344"/>
      <c r="T62" s="956" t="e">
        <f>VLOOKUP(Q62,[91]Listas!$D$6:$E$10,2,0)</f>
        <v>#N/A</v>
      </c>
      <c r="U62" s="956" t="e">
        <f>HLOOKUP(R62,[91]Listas!$F$4:$J$5,2,0)</f>
        <v>#N/A</v>
      </c>
      <c r="V62" s="1889"/>
      <c r="W62" s="344"/>
      <c r="X62" s="1999" t="s">
        <v>2956</v>
      </c>
      <c r="Y62" s="1999"/>
      <c r="Z62" s="1999"/>
      <c r="AA62" s="1995"/>
      <c r="AB62" s="2157"/>
      <c r="AC62" s="2382"/>
      <c r="AD62" s="1890"/>
      <c r="AE62" s="1903"/>
      <c r="AF62" s="344"/>
      <c r="AG62" s="956">
        <f t="shared" si="0"/>
        <v>0</v>
      </c>
      <c r="AH62" s="345" t="e">
        <f t="shared" si="1"/>
        <v>#N/A</v>
      </c>
      <c r="AI62" s="2365"/>
      <c r="AJ62" s="345" t="e">
        <f t="shared" si="2"/>
        <v>#N/A</v>
      </c>
      <c r="AK62" s="2365"/>
      <c r="AL62" s="346" t="e">
        <f t="shared" si="3"/>
        <v>#N/A</v>
      </c>
      <c r="AM62" s="1889"/>
      <c r="AN62" s="1999"/>
      <c r="AO62" s="2382"/>
      <c r="AP62" s="2380"/>
      <c r="AQ62" s="2343"/>
      <c r="AR62" s="2343" t="s">
        <v>2877</v>
      </c>
      <c r="AS62" s="1888"/>
      <c r="AT62" s="1888"/>
      <c r="AU62" s="1888"/>
      <c r="AV62" s="1888"/>
      <c r="AW62" s="1888"/>
      <c r="AX62" s="1888"/>
    </row>
    <row r="63" spans="1:50" s="262" customFormat="1" ht="92.25" customHeight="1">
      <c r="A63" s="2374" t="s">
        <v>81</v>
      </c>
      <c r="B63" s="2375" t="s">
        <v>1703</v>
      </c>
      <c r="C63" s="2376" t="s">
        <v>3586</v>
      </c>
      <c r="D63" s="2376"/>
      <c r="E63" s="2376"/>
      <c r="F63" s="2155" t="s">
        <v>1696</v>
      </c>
      <c r="G63" s="1999" t="s">
        <v>1779</v>
      </c>
      <c r="H63" s="1999"/>
      <c r="I63" s="1999"/>
      <c r="J63" s="2383" t="s">
        <v>980</v>
      </c>
      <c r="K63" s="2383"/>
      <c r="L63" s="2383"/>
      <c r="M63" s="1890"/>
      <c r="N63" s="1890"/>
      <c r="O63" s="1890" t="s">
        <v>8</v>
      </c>
      <c r="P63" s="1890"/>
      <c r="Q63" s="1891" t="s">
        <v>655</v>
      </c>
      <c r="R63" s="1891" t="s">
        <v>643</v>
      </c>
      <c r="S63" s="344"/>
      <c r="T63" s="956">
        <f>VLOOKUP(Q63,[91]Listas!$D$6:$E$10,2,0)</f>
        <v>2</v>
      </c>
      <c r="U63" s="956">
        <f>HLOOKUP(R63,[91]Listas!$F$4:$J$5,2,0)</f>
        <v>2</v>
      </c>
      <c r="V63" s="1889" t="str">
        <f>INDEX([91]Listas!$F$6:$J$10,MATCH(Q63,[91]Listas!$D$6:$D$10,0),MATCH(R63,[91]Listas!$F$4:$J$4,0))</f>
        <v>4
INFERIOR</v>
      </c>
      <c r="W63" s="344"/>
      <c r="X63" s="1999" t="s">
        <v>1435</v>
      </c>
      <c r="Y63" s="1999"/>
      <c r="Z63" s="1999"/>
      <c r="AA63" s="1993" t="s">
        <v>4226</v>
      </c>
      <c r="AB63" s="948" t="s">
        <v>1704</v>
      </c>
      <c r="AC63" s="2382" t="s">
        <v>1705</v>
      </c>
      <c r="AD63" s="1890">
        <v>74</v>
      </c>
      <c r="AE63" s="1903" t="s">
        <v>153</v>
      </c>
      <c r="AF63" s="344"/>
      <c r="AG63" s="956">
        <f t="shared" si="0"/>
        <v>1</v>
      </c>
      <c r="AH63" s="345">
        <f t="shared" si="1"/>
        <v>1</v>
      </c>
      <c r="AI63" s="2365" t="str">
        <f>IF(AH63&lt;=1,"Remota",VLOOKUP(AH63,[91]Listas!$C$6:$D$10,2,0))</f>
        <v>Remota</v>
      </c>
      <c r="AJ63" s="345">
        <f t="shared" si="2"/>
        <v>2</v>
      </c>
      <c r="AK63" s="2365" t="str">
        <f>IF(AJ63&lt;=1,"Insignificante",HLOOKUP(AJ63,[91]Listas!$F$3:$J$4,2,0))</f>
        <v>Menor</v>
      </c>
      <c r="AL63" s="346">
        <f t="shared" si="3"/>
        <v>2</v>
      </c>
      <c r="AM63" s="1889" t="str">
        <f>INDEX([91]Listas!$F$6:$J$10,MATCH(AI63,[91]Listas!$D$6:$D$10,0),MATCH(AK63,[91]Listas!$F$4:$J$4,0))</f>
        <v>2
INFERIOR</v>
      </c>
      <c r="AN63" s="1999" t="s">
        <v>2953</v>
      </c>
      <c r="AO63" s="2382" t="s">
        <v>2965</v>
      </c>
      <c r="AP63" s="2384">
        <v>0</v>
      </c>
      <c r="AQ63" s="2341" t="s">
        <v>4125</v>
      </c>
      <c r="AR63" s="2341" t="s">
        <v>3590</v>
      </c>
      <c r="AS63" s="1886" t="s">
        <v>36</v>
      </c>
      <c r="AT63" s="1886"/>
      <c r="AU63" s="1886"/>
      <c r="AV63" s="1886"/>
      <c r="AW63" s="1886"/>
      <c r="AX63" s="1886"/>
    </row>
    <row r="64" spans="1:50" s="262" customFormat="1" ht="29.25" customHeight="1">
      <c r="A64" s="2374"/>
      <c r="B64" s="2375" t="s">
        <v>473</v>
      </c>
      <c r="C64" s="2376"/>
      <c r="D64" s="2376"/>
      <c r="E64" s="2376"/>
      <c r="F64" s="2156"/>
      <c r="G64" s="1999" t="s">
        <v>2444</v>
      </c>
      <c r="H64" s="1999"/>
      <c r="I64" s="1999"/>
      <c r="J64" s="2383"/>
      <c r="K64" s="2383"/>
      <c r="L64" s="2383"/>
      <c r="M64" s="1890"/>
      <c r="N64" s="1890"/>
      <c r="O64" s="1890"/>
      <c r="P64" s="1890"/>
      <c r="Q64" s="1891"/>
      <c r="R64" s="1891"/>
      <c r="S64" s="344"/>
      <c r="T64" s="956" t="e">
        <f>VLOOKUP(Q64,[91]Listas!$D$6:$E$10,2,0)</f>
        <v>#N/A</v>
      </c>
      <c r="U64" s="956" t="e">
        <f>HLOOKUP(R64,[91]Listas!$F$4:$J$5,2,0)</f>
        <v>#N/A</v>
      </c>
      <c r="V64" s="1889"/>
      <c r="W64" s="344"/>
      <c r="X64" s="1999" t="s">
        <v>2966</v>
      </c>
      <c r="Y64" s="1999"/>
      <c r="Z64" s="1999"/>
      <c r="AA64" s="1994"/>
      <c r="AB64" s="2155" t="s">
        <v>1698</v>
      </c>
      <c r="AC64" s="2382"/>
      <c r="AD64" s="1890"/>
      <c r="AE64" s="1903"/>
      <c r="AF64" s="344"/>
      <c r="AG64" s="956">
        <f t="shared" si="0"/>
        <v>0</v>
      </c>
      <c r="AH64" s="345" t="e">
        <f t="shared" si="1"/>
        <v>#N/A</v>
      </c>
      <c r="AI64" s="2365"/>
      <c r="AJ64" s="345" t="e">
        <f t="shared" si="2"/>
        <v>#N/A</v>
      </c>
      <c r="AK64" s="2365"/>
      <c r="AL64" s="346" t="e">
        <f t="shared" si="3"/>
        <v>#N/A</v>
      </c>
      <c r="AM64" s="1889"/>
      <c r="AN64" s="1999"/>
      <c r="AO64" s="2382"/>
      <c r="AP64" s="2385"/>
      <c r="AQ64" s="2342"/>
      <c r="AR64" s="2342" t="s">
        <v>2877</v>
      </c>
      <c r="AS64" s="1887"/>
      <c r="AT64" s="1887"/>
      <c r="AU64" s="1887"/>
      <c r="AV64" s="1887"/>
      <c r="AW64" s="1887"/>
      <c r="AX64" s="1887"/>
    </row>
    <row r="65" spans="1:51" s="262" customFormat="1" ht="41.25" customHeight="1">
      <c r="A65" s="2374"/>
      <c r="B65" s="2375" t="s">
        <v>473</v>
      </c>
      <c r="C65" s="2376"/>
      <c r="D65" s="2376"/>
      <c r="E65" s="2376"/>
      <c r="F65" s="2157"/>
      <c r="G65" s="1999" t="s">
        <v>2967</v>
      </c>
      <c r="H65" s="1999"/>
      <c r="I65" s="1999"/>
      <c r="J65" s="2383"/>
      <c r="K65" s="2383"/>
      <c r="L65" s="2383"/>
      <c r="M65" s="1890"/>
      <c r="N65" s="1890"/>
      <c r="O65" s="1890"/>
      <c r="P65" s="1890"/>
      <c r="Q65" s="1891"/>
      <c r="R65" s="1891"/>
      <c r="S65" s="344"/>
      <c r="T65" s="956" t="e">
        <f>VLOOKUP(Q65,[91]Listas!$D$6:$E$10,2,0)</f>
        <v>#N/A</v>
      </c>
      <c r="U65" s="956" t="e">
        <f>HLOOKUP(R65,[91]Listas!$F$4:$J$5,2,0)</f>
        <v>#N/A</v>
      </c>
      <c r="V65" s="1889"/>
      <c r="W65" s="344"/>
      <c r="X65" s="1999" t="s">
        <v>2968</v>
      </c>
      <c r="Y65" s="1999"/>
      <c r="Z65" s="1999"/>
      <c r="AA65" s="1995"/>
      <c r="AB65" s="2157"/>
      <c r="AC65" s="2382"/>
      <c r="AD65" s="1890"/>
      <c r="AE65" s="1903"/>
      <c r="AF65" s="344"/>
      <c r="AG65" s="956">
        <f t="shared" si="0"/>
        <v>0</v>
      </c>
      <c r="AH65" s="345" t="e">
        <f t="shared" si="1"/>
        <v>#N/A</v>
      </c>
      <c r="AI65" s="2365"/>
      <c r="AJ65" s="345" t="e">
        <f t="shared" si="2"/>
        <v>#N/A</v>
      </c>
      <c r="AK65" s="2365"/>
      <c r="AL65" s="346" t="e">
        <f t="shared" si="3"/>
        <v>#N/A</v>
      </c>
      <c r="AM65" s="1889"/>
      <c r="AN65" s="1999"/>
      <c r="AO65" s="2382"/>
      <c r="AP65" s="2386"/>
      <c r="AQ65" s="2343"/>
      <c r="AR65" s="2343" t="s">
        <v>2877</v>
      </c>
      <c r="AS65" s="1888"/>
      <c r="AT65" s="1888"/>
      <c r="AU65" s="1888"/>
      <c r="AV65" s="1888"/>
      <c r="AW65" s="1888"/>
      <c r="AX65" s="1888"/>
    </row>
    <row r="66" spans="1:51" s="262" customFormat="1" ht="53.25" customHeight="1">
      <c r="A66" s="2374" t="s">
        <v>81</v>
      </c>
      <c r="B66" s="2375" t="s">
        <v>1707</v>
      </c>
      <c r="C66" s="2376" t="s">
        <v>1708</v>
      </c>
      <c r="D66" s="2376"/>
      <c r="E66" s="2376"/>
      <c r="F66" s="2155" t="s">
        <v>1696</v>
      </c>
      <c r="G66" s="1999" t="s">
        <v>2969</v>
      </c>
      <c r="H66" s="1999"/>
      <c r="I66" s="1999"/>
      <c r="J66" s="2383" t="s">
        <v>1073</v>
      </c>
      <c r="K66" s="2383"/>
      <c r="L66" s="2383"/>
      <c r="M66" s="1890"/>
      <c r="N66" s="1890"/>
      <c r="O66" s="1890" t="s">
        <v>8</v>
      </c>
      <c r="P66" s="1890"/>
      <c r="Q66" s="1891" t="s">
        <v>654</v>
      </c>
      <c r="R66" s="1891" t="s">
        <v>274</v>
      </c>
      <c r="S66" s="344"/>
      <c r="T66" s="956">
        <f>VLOOKUP(Q66,[91]Listas!$D$6:$E$10,2,0)</f>
        <v>1</v>
      </c>
      <c r="U66" s="956">
        <f>HLOOKUP(R66,[91]Listas!$F$4:$J$5,2,0)</f>
        <v>3</v>
      </c>
      <c r="V66" s="1889" t="str">
        <f>INDEX([91]Listas!$F$6:$J$10,MATCH(Q66,[91]Listas!$D$6:$D$10,0),MATCH(R66,[91]Listas!$F$4:$J$4,0))</f>
        <v>3
INFERIOR</v>
      </c>
      <c r="W66" s="344"/>
      <c r="X66" s="1999" t="s">
        <v>2970</v>
      </c>
      <c r="Y66" s="1999"/>
      <c r="Z66" s="1999"/>
      <c r="AA66" s="1993" t="s">
        <v>4227</v>
      </c>
      <c r="AB66" s="2155" t="s">
        <v>2971</v>
      </c>
      <c r="AC66" s="2382" t="s">
        <v>1710</v>
      </c>
      <c r="AD66" s="1890">
        <v>47</v>
      </c>
      <c r="AE66" s="1903" t="s">
        <v>153</v>
      </c>
      <c r="AF66" s="344"/>
      <c r="AG66" s="956"/>
      <c r="AH66" s="345"/>
      <c r="AI66" s="2365" t="str">
        <f>IF(AH66&lt;=1,"Remota",VLOOKUP(AH66,[91]Listas!$C$6:$D$10,2,0))</f>
        <v>Remota</v>
      </c>
      <c r="AJ66" s="345"/>
      <c r="AK66" s="2365" t="str">
        <f>IF(AJ66&lt;=1,"Insignificante",HLOOKUP(AJ66,[91]Listas!$F$3:$J$4,2,0))</f>
        <v>Insignificante</v>
      </c>
      <c r="AL66" s="346"/>
      <c r="AM66" s="1889" t="str">
        <f>INDEX([91]Listas!$F$6:$J$10,MATCH(AI66,[91]Listas!$D$6:$D$10,0),MATCH(AK66,[91]Listas!$F$4:$J$4,0))</f>
        <v>1
INFERIOR</v>
      </c>
      <c r="AN66" s="1999" t="s">
        <v>2972</v>
      </c>
      <c r="AO66" s="2382" t="s">
        <v>2973</v>
      </c>
      <c r="AP66" s="2384">
        <v>0</v>
      </c>
      <c r="AQ66" s="2341" t="s">
        <v>4126</v>
      </c>
      <c r="AR66" s="2341" t="s">
        <v>3590</v>
      </c>
      <c r="AS66" s="1886" t="s">
        <v>36</v>
      </c>
      <c r="AT66" s="1886"/>
      <c r="AU66" s="1886"/>
      <c r="AV66" s="1886"/>
      <c r="AW66" s="1886"/>
      <c r="AX66" s="1886"/>
    </row>
    <row r="67" spans="1:51" s="262" customFormat="1" ht="53.25" customHeight="1">
      <c r="A67" s="2374"/>
      <c r="B67" s="2375" t="s">
        <v>473</v>
      </c>
      <c r="C67" s="2376"/>
      <c r="D67" s="2376"/>
      <c r="E67" s="2376"/>
      <c r="F67" s="2156"/>
      <c r="G67" s="1999" t="s">
        <v>2974</v>
      </c>
      <c r="H67" s="1999"/>
      <c r="I67" s="1999"/>
      <c r="J67" s="2383"/>
      <c r="K67" s="2383"/>
      <c r="L67" s="2383"/>
      <c r="M67" s="1890"/>
      <c r="N67" s="1890"/>
      <c r="O67" s="1890"/>
      <c r="P67" s="1890"/>
      <c r="Q67" s="1891"/>
      <c r="R67" s="1891"/>
      <c r="S67" s="344"/>
      <c r="T67" s="956" t="e">
        <f>VLOOKUP(Q67,[91]Listas!$D$6:$E$10,2,0)</f>
        <v>#N/A</v>
      </c>
      <c r="U67" s="956" t="e">
        <f>HLOOKUP(R67,[91]Listas!$F$4:$J$5,2,0)</f>
        <v>#N/A</v>
      </c>
      <c r="V67" s="1889"/>
      <c r="W67" s="344"/>
      <c r="X67" s="1999" t="s">
        <v>1711</v>
      </c>
      <c r="Y67" s="1999"/>
      <c r="Z67" s="1999"/>
      <c r="AA67" s="1994"/>
      <c r="AB67" s="2156"/>
      <c r="AC67" s="2382"/>
      <c r="AD67" s="1890"/>
      <c r="AE67" s="1903"/>
      <c r="AF67" s="344"/>
      <c r="AG67" s="956"/>
      <c r="AH67" s="345"/>
      <c r="AI67" s="2365"/>
      <c r="AJ67" s="345"/>
      <c r="AK67" s="2365"/>
      <c r="AL67" s="346"/>
      <c r="AM67" s="1889"/>
      <c r="AN67" s="1999"/>
      <c r="AO67" s="2382"/>
      <c r="AP67" s="2385"/>
      <c r="AQ67" s="2342"/>
      <c r="AR67" s="2342" t="s">
        <v>2877</v>
      </c>
      <c r="AS67" s="1887"/>
      <c r="AT67" s="1887"/>
      <c r="AU67" s="1887"/>
      <c r="AV67" s="1887"/>
      <c r="AW67" s="1887"/>
      <c r="AX67" s="1887"/>
    </row>
    <row r="68" spans="1:51" s="262" customFormat="1" ht="53.25" customHeight="1">
      <c r="A68" s="2374"/>
      <c r="B68" s="2375" t="s">
        <v>473</v>
      </c>
      <c r="C68" s="2376"/>
      <c r="D68" s="2376"/>
      <c r="E68" s="2376"/>
      <c r="F68" s="2156"/>
      <c r="G68" s="1999" t="s">
        <v>2975</v>
      </c>
      <c r="H68" s="1999"/>
      <c r="I68" s="1999"/>
      <c r="J68" s="2383"/>
      <c r="K68" s="2383"/>
      <c r="L68" s="2383"/>
      <c r="M68" s="1890"/>
      <c r="N68" s="1890"/>
      <c r="O68" s="1890"/>
      <c r="P68" s="1890"/>
      <c r="Q68" s="1891"/>
      <c r="R68" s="1891"/>
      <c r="S68" s="344"/>
      <c r="T68" s="956" t="e">
        <f>VLOOKUP(Q68,[91]Listas!$D$6:$E$10,2,0)</f>
        <v>#N/A</v>
      </c>
      <c r="U68" s="956" t="e">
        <f>HLOOKUP(R68,[91]Listas!$F$4:$J$5,2,0)</f>
        <v>#N/A</v>
      </c>
      <c r="V68" s="1889"/>
      <c r="W68" s="344"/>
      <c r="X68" s="1999" t="s">
        <v>1711</v>
      </c>
      <c r="Y68" s="1999"/>
      <c r="Z68" s="1999"/>
      <c r="AA68" s="1994"/>
      <c r="AB68" s="2156"/>
      <c r="AC68" s="2382"/>
      <c r="AD68" s="1890"/>
      <c r="AE68" s="1903"/>
      <c r="AF68" s="344"/>
      <c r="AG68" s="956"/>
      <c r="AH68" s="345"/>
      <c r="AI68" s="2365"/>
      <c r="AJ68" s="345"/>
      <c r="AK68" s="2365"/>
      <c r="AL68" s="346"/>
      <c r="AM68" s="1889"/>
      <c r="AN68" s="1999"/>
      <c r="AO68" s="2382"/>
      <c r="AP68" s="2385"/>
      <c r="AQ68" s="2342"/>
      <c r="AR68" s="2342" t="s">
        <v>2877</v>
      </c>
      <c r="AS68" s="1887"/>
      <c r="AT68" s="1887"/>
      <c r="AU68" s="1887"/>
      <c r="AV68" s="1887"/>
      <c r="AW68" s="1887"/>
      <c r="AX68" s="1887"/>
    </row>
    <row r="69" spans="1:51" s="262" customFormat="1" ht="53.25" customHeight="1">
      <c r="A69" s="2374"/>
      <c r="B69" s="2375" t="s">
        <v>473</v>
      </c>
      <c r="C69" s="2376"/>
      <c r="D69" s="2376"/>
      <c r="E69" s="2376"/>
      <c r="F69" s="2157"/>
      <c r="G69" s="1999" t="s">
        <v>2976</v>
      </c>
      <c r="H69" s="1999"/>
      <c r="I69" s="1999"/>
      <c r="J69" s="2383"/>
      <c r="K69" s="2383"/>
      <c r="L69" s="2383"/>
      <c r="M69" s="1890"/>
      <c r="N69" s="1890"/>
      <c r="O69" s="1890"/>
      <c r="P69" s="1890"/>
      <c r="Q69" s="1891"/>
      <c r="R69" s="1891"/>
      <c r="S69" s="344"/>
      <c r="T69" s="956" t="e">
        <f>VLOOKUP(Q69,[91]Listas!$D$6:$E$10,2,0)</f>
        <v>#N/A</v>
      </c>
      <c r="U69" s="956" t="e">
        <f>HLOOKUP(R69,[91]Listas!$F$4:$J$5,2,0)</f>
        <v>#N/A</v>
      </c>
      <c r="V69" s="1889"/>
      <c r="W69" s="344"/>
      <c r="X69" s="1999" t="s">
        <v>1711</v>
      </c>
      <c r="Y69" s="1999"/>
      <c r="Z69" s="1999"/>
      <c r="AA69" s="1995"/>
      <c r="AB69" s="2157"/>
      <c r="AC69" s="2382"/>
      <c r="AD69" s="1890"/>
      <c r="AE69" s="1903"/>
      <c r="AF69" s="344"/>
      <c r="AG69" s="956"/>
      <c r="AH69" s="345"/>
      <c r="AI69" s="2365"/>
      <c r="AJ69" s="345"/>
      <c r="AK69" s="2365"/>
      <c r="AL69" s="346"/>
      <c r="AM69" s="1889"/>
      <c r="AN69" s="1999"/>
      <c r="AO69" s="2382"/>
      <c r="AP69" s="2386"/>
      <c r="AQ69" s="2343"/>
      <c r="AR69" s="2343" t="s">
        <v>2877</v>
      </c>
      <c r="AS69" s="1888"/>
      <c r="AT69" s="1888"/>
      <c r="AU69" s="1888"/>
      <c r="AV69" s="1888"/>
      <c r="AW69" s="1888"/>
      <c r="AX69" s="1888"/>
    </row>
    <row r="70" spans="1:51" s="262" customFormat="1" ht="81.75" customHeight="1">
      <c r="A70" s="2374" t="s">
        <v>81</v>
      </c>
      <c r="B70" s="2375" t="s">
        <v>1712</v>
      </c>
      <c r="C70" s="2376" t="s">
        <v>1198</v>
      </c>
      <c r="D70" s="2376"/>
      <c r="E70" s="2376"/>
      <c r="F70" s="2155" t="s">
        <v>1696</v>
      </c>
      <c r="G70" s="1999" t="s">
        <v>1815</v>
      </c>
      <c r="H70" s="1999"/>
      <c r="I70" s="1999"/>
      <c r="J70" s="2383" t="s">
        <v>1445</v>
      </c>
      <c r="K70" s="2383"/>
      <c r="L70" s="2383"/>
      <c r="M70" s="1890"/>
      <c r="N70" s="1890"/>
      <c r="O70" s="1890" t="s">
        <v>8</v>
      </c>
      <c r="P70" s="1891"/>
      <c r="Q70" s="1889" t="s">
        <v>655</v>
      </c>
      <c r="R70" s="2387" t="s">
        <v>643</v>
      </c>
      <c r="S70" s="956"/>
      <c r="T70" s="956"/>
      <c r="U70" s="1889" t="e">
        <f>INDEX([91]Listas!$F$6:$J$10,MATCH(P70,[91]Listas!$D$6:$D$10,0),MATCH(Q70,[91]Listas!$F$4:$J$4,0))</f>
        <v>#N/A</v>
      </c>
      <c r="V70" s="1889" t="s">
        <v>2977</v>
      </c>
      <c r="W70" s="344"/>
      <c r="X70" s="1999" t="s">
        <v>2978</v>
      </c>
      <c r="Y70" s="1999"/>
      <c r="Z70" s="1999"/>
      <c r="AA70" s="1993" t="s">
        <v>4185</v>
      </c>
      <c r="AB70" s="948" t="s">
        <v>1709</v>
      </c>
      <c r="AC70" s="2382" t="s">
        <v>1714</v>
      </c>
      <c r="AD70" s="1890">
        <v>76</v>
      </c>
      <c r="AE70" s="1903" t="s">
        <v>153</v>
      </c>
      <c r="AF70" s="344"/>
      <c r="AG70" s="956"/>
      <c r="AH70" s="956"/>
      <c r="AI70" s="1889" t="str">
        <f>IF(AH70&lt;=1,"Remota",VLOOKUP(AH70,[91]Listas!$C$6:$D$10,2,0))</f>
        <v>Remota</v>
      </c>
      <c r="AJ70" s="956"/>
      <c r="AK70" s="1889" t="str">
        <f>IF(AJ70&lt;=1,"Insignificante",HLOOKUP(AJ70,[91]Listas!$F$3:$J$4,2,0))</f>
        <v>Insignificante</v>
      </c>
      <c r="AL70" s="346"/>
      <c r="AM70" s="1889" t="str">
        <f>INDEX([91]Listas!$F$6:$J$10,MATCH(AI70,[91]Listas!$D$6:$D$10,0),MATCH(AK70,[91]Listas!$F$4:$J$4,0))</f>
        <v>1
INFERIOR</v>
      </c>
      <c r="AN70" s="1999" t="s">
        <v>2953</v>
      </c>
      <c r="AO70" s="2382" t="s">
        <v>2973</v>
      </c>
      <c r="AP70" s="2384">
        <v>0</v>
      </c>
      <c r="AQ70" s="2341" t="s">
        <v>4127</v>
      </c>
      <c r="AR70" s="2341" t="s">
        <v>4128</v>
      </c>
      <c r="AS70" s="1886" t="s">
        <v>36</v>
      </c>
      <c r="AT70" s="1886"/>
      <c r="AU70" s="1886"/>
      <c r="AV70" s="1886"/>
      <c r="AW70" s="1886"/>
      <c r="AX70" s="1886"/>
    </row>
    <row r="71" spans="1:51" s="262" customFormat="1" ht="66" customHeight="1">
      <c r="A71" s="2374"/>
      <c r="B71" s="2375" t="s">
        <v>473</v>
      </c>
      <c r="C71" s="2376"/>
      <c r="D71" s="2376"/>
      <c r="E71" s="2376"/>
      <c r="F71" s="2156"/>
      <c r="G71" s="1999" t="s">
        <v>2979</v>
      </c>
      <c r="H71" s="1999"/>
      <c r="I71" s="1999"/>
      <c r="J71" s="2383"/>
      <c r="K71" s="2383"/>
      <c r="L71" s="2383"/>
      <c r="M71" s="1890"/>
      <c r="N71" s="1890"/>
      <c r="O71" s="1890"/>
      <c r="P71" s="1891"/>
      <c r="Q71" s="1889"/>
      <c r="R71" s="2388"/>
      <c r="S71" s="956"/>
      <c r="T71" s="956"/>
      <c r="U71" s="1889"/>
      <c r="V71" s="1889"/>
      <c r="W71" s="344"/>
      <c r="X71" s="1999" t="s">
        <v>2980</v>
      </c>
      <c r="Y71" s="1999"/>
      <c r="Z71" s="1999"/>
      <c r="AA71" s="1994"/>
      <c r="AB71" s="948" t="s">
        <v>1709</v>
      </c>
      <c r="AC71" s="2382"/>
      <c r="AD71" s="1890"/>
      <c r="AE71" s="1903"/>
      <c r="AF71" s="344"/>
      <c r="AG71" s="956"/>
      <c r="AH71" s="956"/>
      <c r="AI71" s="1889"/>
      <c r="AJ71" s="956"/>
      <c r="AK71" s="1889"/>
      <c r="AL71" s="346"/>
      <c r="AM71" s="1889"/>
      <c r="AN71" s="1999"/>
      <c r="AO71" s="2382"/>
      <c r="AP71" s="2385"/>
      <c r="AQ71" s="2342"/>
      <c r="AR71" s="2342" t="s">
        <v>2877</v>
      </c>
      <c r="AS71" s="1887"/>
      <c r="AT71" s="1887"/>
      <c r="AU71" s="1887"/>
      <c r="AV71" s="1887"/>
      <c r="AW71" s="1887"/>
      <c r="AX71" s="1887"/>
    </row>
    <row r="72" spans="1:51" s="262" customFormat="1" ht="39.75" customHeight="1">
      <c r="A72" s="2374"/>
      <c r="B72" s="2375" t="s">
        <v>473</v>
      </c>
      <c r="C72" s="2376"/>
      <c r="D72" s="2376"/>
      <c r="E72" s="2376"/>
      <c r="F72" s="2156"/>
      <c r="G72" s="1999" t="s">
        <v>1824</v>
      </c>
      <c r="H72" s="1999"/>
      <c r="I72" s="1999"/>
      <c r="J72" s="2383"/>
      <c r="K72" s="2383"/>
      <c r="L72" s="2383"/>
      <c r="M72" s="1890"/>
      <c r="N72" s="1890"/>
      <c r="O72" s="1890"/>
      <c r="P72" s="1891"/>
      <c r="Q72" s="1889"/>
      <c r="R72" s="2388"/>
      <c r="S72" s="956"/>
      <c r="T72" s="956"/>
      <c r="U72" s="1889"/>
      <c r="V72" s="1889"/>
      <c r="W72" s="344"/>
      <c r="X72" s="1999"/>
      <c r="Y72" s="1999"/>
      <c r="Z72" s="1999"/>
      <c r="AA72" s="1994"/>
      <c r="AB72" s="948"/>
      <c r="AC72" s="2382"/>
      <c r="AD72" s="1890"/>
      <c r="AE72" s="1903"/>
      <c r="AF72" s="344"/>
      <c r="AG72" s="956"/>
      <c r="AH72" s="956"/>
      <c r="AI72" s="1889"/>
      <c r="AJ72" s="956"/>
      <c r="AK72" s="1889"/>
      <c r="AL72" s="346"/>
      <c r="AM72" s="1889"/>
      <c r="AN72" s="1999"/>
      <c r="AO72" s="2382"/>
      <c r="AP72" s="2385"/>
      <c r="AQ72" s="2342"/>
      <c r="AR72" s="2342" t="s">
        <v>2877</v>
      </c>
      <c r="AS72" s="1887"/>
      <c r="AT72" s="1887"/>
      <c r="AU72" s="1887"/>
      <c r="AV72" s="1887"/>
      <c r="AW72" s="1887"/>
      <c r="AX72" s="1887"/>
    </row>
    <row r="73" spans="1:51" s="262" customFormat="1" ht="92.25" customHeight="1">
      <c r="A73" s="2374"/>
      <c r="B73" s="2375" t="s">
        <v>473</v>
      </c>
      <c r="C73" s="2376"/>
      <c r="D73" s="2376"/>
      <c r="E73" s="2376"/>
      <c r="F73" s="2156"/>
      <c r="G73" s="1999" t="s">
        <v>1828</v>
      </c>
      <c r="H73" s="1999"/>
      <c r="I73" s="1999"/>
      <c r="J73" s="2383"/>
      <c r="K73" s="2383"/>
      <c r="L73" s="2383"/>
      <c r="M73" s="1890"/>
      <c r="N73" s="1890"/>
      <c r="O73" s="1890"/>
      <c r="P73" s="1891"/>
      <c r="Q73" s="1889"/>
      <c r="R73" s="2388"/>
      <c r="S73" s="956"/>
      <c r="T73" s="956"/>
      <c r="U73" s="1889"/>
      <c r="V73" s="1889"/>
      <c r="W73" s="344"/>
      <c r="X73" s="1999" t="s">
        <v>2981</v>
      </c>
      <c r="Y73" s="1999"/>
      <c r="Z73" s="1999"/>
      <c r="AA73" s="1994"/>
      <c r="AB73" s="948" t="s">
        <v>1704</v>
      </c>
      <c r="AC73" s="2382"/>
      <c r="AD73" s="1890"/>
      <c r="AE73" s="1903"/>
      <c r="AF73" s="344"/>
      <c r="AG73" s="956"/>
      <c r="AH73" s="956"/>
      <c r="AI73" s="1889"/>
      <c r="AJ73" s="956"/>
      <c r="AK73" s="1889"/>
      <c r="AL73" s="346"/>
      <c r="AM73" s="1889"/>
      <c r="AN73" s="1999"/>
      <c r="AO73" s="2382"/>
      <c r="AP73" s="2385"/>
      <c r="AQ73" s="2342"/>
      <c r="AR73" s="2342" t="s">
        <v>2877</v>
      </c>
      <c r="AS73" s="1887"/>
      <c r="AT73" s="1887"/>
      <c r="AU73" s="1887"/>
      <c r="AV73" s="1887"/>
      <c r="AW73" s="1887"/>
      <c r="AX73" s="1887"/>
    </row>
    <row r="74" spans="1:51" s="262" customFormat="1" ht="37.5" customHeight="1">
      <c r="A74" s="2374"/>
      <c r="B74" s="2375" t="s">
        <v>473</v>
      </c>
      <c r="C74" s="2376"/>
      <c r="D74" s="2376"/>
      <c r="E74" s="2376"/>
      <c r="F74" s="2157"/>
      <c r="G74" s="1999" t="s">
        <v>2982</v>
      </c>
      <c r="H74" s="1999"/>
      <c r="I74" s="1999"/>
      <c r="J74" s="2383"/>
      <c r="K74" s="2383"/>
      <c r="L74" s="2383"/>
      <c r="M74" s="1890"/>
      <c r="N74" s="1890"/>
      <c r="O74" s="1890"/>
      <c r="P74" s="1891"/>
      <c r="Q74" s="1889"/>
      <c r="R74" s="2388"/>
      <c r="S74" s="956"/>
      <c r="T74" s="956"/>
      <c r="U74" s="1889"/>
      <c r="V74" s="1889"/>
      <c r="W74" s="344"/>
      <c r="X74" s="1999"/>
      <c r="Y74" s="1999"/>
      <c r="Z74" s="1999"/>
      <c r="AA74" s="1995"/>
      <c r="AB74" s="948"/>
      <c r="AC74" s="2382"/>
      <c r="AD74" s="1890"/>
      <c r="AE74" s="1903"/>
      <c r="AF74" s="344"/>
      <c r="AG74" s="956"/>
      <c r="AH74" s="956"/>
      <c r="AI74" s="1889"/>
      <c r="AJ74" s="956"/>
      <c r="AK74" s="1889"/>
      <c r="AL74" s="346"/>
      <c r="AM74" s="1889"/>
      <c r="AN74" s="1999"/>
      <c r="AO74" s="2382"/>
      <c r="AP74" s="2386"/>
      <c r="AQ74" s="2343"/>
      <c r="AR74" s="2343" t="s">
        <v>2877</v>
      </c>
      <c r="AS74" s="1888"/>
      <c r="AT74" s="1888"/>
      <c r="AU74" s="1888"/>
      <c r="AV74" s="1888"/>
      <c r="AW74" s="1888"/>
      <c r="AX74" s="1888"/>
    </row>
    <row r="75" spans="1:51" s="260" customFormat="1" ht="103.5" hidden="1" customHeight="1">
      <c r="A75" s="936"/>
      <c r="B75" s="939"/>
      <c r="C75" s="1320"/>
      <c r="D75" s="1320"/>
      <c r="E75" s="1320"/>
      <c r="F75" s="938"/>
      <c r="G75" s="1320"/>
      <c r="H75" s="1320"/>
      <c r="I75" s="1320"/>
      <c r="J75" s="1320"/>
      <c r="K75" s="1320"/>
      <c r="L75" s="1320"/>
      <c r="M75" s="936"/>
      <c r="N75" s="936"/>
      <c r="O75" s="936"/>
      <c r="P75" s="936"/>
      <c r="Q75" s="939"/>
      <c r="R75" s="2389"/>
      <c r="S75" s="324"/>
      <c r="T75" s="954" t="e">
        <f>VLOOKUP(Q75,[90]Listas!$D$6:$E$10,2,0)</f>
        <v>#N/A</v>
      </c>
      <c r="U75" s="954" t="e">
        <f>HLOOKUP(R75,[90]Listas!$F$4:$J$5,2,0)</f>
        <v>#N/A</v>
      </c>
      <c r="V75" s="947" t="e">
        <f>INDEX([90]Listas!$F$6:$J$10,MATCH(Q75,[90]Listas!$D$6:$D$10,0),MATCH(R75,[90]Listas!$F$4:$J$4,0))</f>
        <v>#N/A</v>
      </c>
      <c r="W75" s="324"/>
      <c r="X75" s="1342"/>
      <c r="Y75" s="1343"/>
      <c r="Z75" s="1344"/>
      <c r="AA75" s="1071"/>
      <c r="AB75" s="938"/>
      <c r="AC75" s="946"/>
      <c r="AD75" s="936"/>
      <c r="AE75" s="938"/>
      <c r="AF75" s="324"/>
      <c r="AG75" s="954">
        <f t="shared" si="0"/>
        <v>0</v>
      </c>
      <c r="AH75" s="955" t="e">
        <f t="shared" si="1"/>
        <v>#N/A</v>
      </c>
      <c r="AI75" s="952" t="e">
        <f>IF(AH75&lt;=1,"Remota",VLOOKUP(AH75,[90]Listas!$C$6:$D$10,2,0))</f>
        <v>#N/A</v>
      </c>
      <c r="AJ75" s="955" t="e">
        <f t="shared" si="2"/>
        <v>#N/A</v>
      </c>
      <c r="AK75" s="952" t="e">
        <f>IF(AJ75&lt;=1,"Insignificante",HLOOKUP(AJ75,[90]Listas!$F$3:$J$4,2,0))</f>
        <v>#N/A</v>
      </c>
      <c r="AL75" s="953" t="e">
        <f t="shared" si="3"/>
        <v>#N/A</v>
      </c>
      <c r="AM75" s="947" t="e">
        <f>INDEX([90]Listas!$F$6:$J$10,MATCH(AI75,[90]Listas!$D$6:$D$10,0),MATCH(AK75,[90]Listas!$F$4:$J$4,0))</f>
        <v>#N/A</v>
      </c>
      <c r="AN75" s="259"/>
      <c r="AO75" s="259"/>
      <c r="AP75" s="937"/>
      <c r="AQ75" s="259"/>
      <c r="AR75" s="371" t="s">
        <v>2877</v>
      </c>
      <c r="AS75" s="935"/>
      <c r="AT75" s="259"/>
      <c r="AU75" s="259"/>
      <c r="AV75" s="261"/>
      <c r="AW75" s="261"/>
      <c r="AX75" s="935"/>
      <c r="AY75" s="262"/>
    </row>
    <row r="76" spans="1:51" s="260" customFormat="1" ht="103.5" hidden="1" customHeight="1">
      <c r="A76" s="936"/>
      <c r="B76" s="939"/>
      <c r="C76" s="1320"/>
      <c r="D76" s="1320"/>
      <c r="E76" s="1320"/>
      <c r="F76" s="938"/>
      <c r="G76" s="1320"/>
      <c r="H76" s="1320"/>
      <c r="I76" s="1320"/>
      <c r="J76" s="1320"/>
      <c r="K76" s="1320"/>
      <c r="L76" s="1320"/>
      <c r="M76" s="936"/>
      <c r="N76" s="936"/>
      <c r="O76" s="936"/>
      <c r="P76" s="936"/>
      <c r="Q76" s="939"/>
      <c r="R76" s="939"/>
      <c r="S76" s="324"/>
      <c r="T76" s="954" t="e">
        <f>VLOOKUP(Q76,[90]Listas!$D$6:$E$10,2,0)</f>
        <v>#N/A</v>
      </c>
      <c r="U76" s="954" t="e">
        <f>HLOOKUP(R76,[90]Listas!$F$4:$J$5,2,0)</f>
        <v>#N/A</v>
      </c>
      <c r="V76" s="947" t="e">
        <f>INDEX([90]Listas!$F$6:$J$10,MATCH(Q76,[90]Listas!$D$6:$D$10,0),MATCH(R76,[90]Listas!$F$4:$J$4,0))</f>
        <v>#N/A</v>
      </c>
      <c r="W76" s="324"/>
      <c r="X76" s="1342"/>
      <c r="Y76" s="1343"/>
      <c r="Z76" s="1344"/>
      <c r="AA76" s="1071"/>
      <c r="AB76" s="938"/>
      <c r="AC76" s="946"/>
      <c r="AD76" s="936"/>
      <c r="AE76" s="938"/>
      <c r="AF76" s="324"/>
      <c r="AG76" s="954">
        <f t="shared" si="0"/>
        <v>0</v>
      </c>
      <c r="AH76" s="955" t="e">
        <f t="shared" si="1"/>
        <v>#N/A</v>
      </c>
      <c r="AI76" s="952" t="e">
        <f>IF(AH76&lt;=1,"Remota",VLOOKUP(AH76,[90]Listas!$C$6:$D$10,2,0))</f>
        <v>#N/A</v>
      </c>
      <c r="AJ76" s="955" t="e">
        <f t="shared" si="2"/>
        <v>#N/A</v>
      </c>
      <c r="AK76" s="952" t="e">
        <f>IF(AJ76&lt;=1,"Insignificante",HLOOKUP(AJ76,[90]Listas!$F$3:$J$4,2,0))</f>
        <v>#N/A</v>
      </c>
      <c r="AL76" s="953" t="e">
        <f t="shared" si="3"/>
        <v>#N/A</v>
      </c>
      <c r="AM76" s="947" t="e">
        <f>INDEX([90]Listas!$F$6:$J$10,MATCH(AI76,[90]Listas!$D$6:$D$10,0),MATCH(AK76,[90]Listas!$F$4:$J$4,0))</f>
        <v>#N/A</v>
      </c>
      <c r="AN76" s="259"/>
      <c r="AO76" s="259"/>
      <c r="AP76" s="937"/>
      <c r="AQ76" s="259"/>
      <c r="AR76" s="371" t="s">
        <v>2877</v>
      </c>
      <c r="AS76" s="935"/>
      <c r="AT76" s="259"/>
      <c r="AU76" s="259"/>
      <c r="AV76" s="261"/>
      <c r="AW76" s="261"/>
      <c r="AX76" s="935"/>
      <c r="AY76" s="262"/>
    </row>
    <row r="77" spans="1:51" s="260" customFormat="1" ht="103.5" hidden="1" customHeight="1">
      <c r="A77" s="936"/>
      <c r="B77" s="939"/>
      <c r="C77" s="1320"/>
      <c r="D77" s="1320"/>
      <c r="E77" s="1320"/>
      <c r="F77" s="938"/>
      <c r="G77" s="1320"/>
      <c r="H77" s="1320"/>
      <c r="I77" s="1320"/>
      <c r="J77" s="1320"/>
      <c r="K77" s="1320"/>
      <c r="L77" s="1320"/>
      <c r="M77" s="936"/>
      <c r="N77" s="936"/>
      <c r="O77" s="936"/>
      <c r="P77" s="936"/>
      <c r="Q77" s="939"/>
      <c r="R77" s="939"/>
      <c r="S77" s="324"/>
      <c r="T77" s="954" t="e">
        <f>VLOOKUP(Q77,[90]Listas!$D$6:$E$10,2,0)</f>
        <v>#N/A</v>
      </c>
      <c r="U77" s="954" t="e">
        <f>HLOOKUP(R77,[90]Listas!$F$4:$J$5,2,0)</f>
        <v>#N/A</v>
      </c>
      <c r="V77" s="947" t="e">
        <f>INDEX([90]Listas!$F$6:$J$10,MATCH(Q77,[90]Listas!$D$6:$D$10,0),MATCH(R77,[90]Listas!$F$4:$J$4,0))</f>
        <v>#N/A</v>
      </c>
      <c r="W77" s="324"/>
      <c r="X77" s="1342"/>
      <c r="Y77" s="1343"/>
      <c r="Z77" s="1344"/>
      <c r="AA77" s="1071"/>
      <c r="AB77" s="938"/>
      <c r="AC77" s="946"/>
      <c r="AD77" s="936"/>
      <c r="AE77" s="938"/>
      <c r="AF77" s="324"/>
      <c r="AG77" s="954">
        <f t="shared" si="0"/>
        <v>0</v>
      </c>
      <c r="AH77" s="955" t="e">
        <f t="shared" si="1"/>
        <v>#N/A</v>
      </c>
      <c r="AI77" s="952" t="e">
        <f>IF(AH77&lt;=1,"Remota",VLOOKUP(AH77,[90]Listas!$C$6:$D$10,2,0))</f>
        <v>#N/A</v>
      </c>
      <c r="AJ77" s="955" t="e">
        <f t="shared" si="2"/>
        <v>#N/A</v>
      </c>
      <c r="AK77" s="952" t="e">
        <f>IF(AJ77&lt;=1,"Insignificante",HLOOKUP(AJ77,[90]Listas!$F$3:$J$4,2,0))</f>
        <v>#N/A</v>
      </c>
      <c r="AL77" s="953" t="e">
        <f t="shared" si="3"/>
        <v>#N/A</v>
      </c>
      <c r="AM77" s="947" t="e">
        <f>INDEX([90]Listas!$F$6:$J$10,MATCH(AI77,[90]Listas!$D$6:$D$10,0),MATCH(AK77,[90]Listas!$F$4:$J$4,0))</f>
        <v>#N/A</v>
      </c>
      <c r="AN77" s="259"/>
      <c r="AO77" s="259"/>
      <c r="AP77" s="937"/>
      <c r="AQ77" s="259"/>
      <c r="AR77" s="371" t="s">
        <v>2877</v>
      </c>
      <c r="AS77" s="935"/>
      <c r="AT77" s="259"/>
      <c r="AU77" s="259"/>
      <c r="AV77" s="261"/>
      <c r="AW77" s="261"/>
      <c r="AX77" s="935"/>
      <c r="AY77" s="262"/>
    </row>
    <row r="78" spans="1:51" s="260" customFormat="1" ht="103.5" hidden="1" customHeight="1">
      <c r="A78" s="936"/>
      <c r="B78" s="939"/>
      <c r="C78" s="1320"/>
      <c r="D78" s="1320"/>
      <c r="E78" s="1320"/>
      <c r="F78" s="938"/>
      <c r="G78" s="1320"/>
      <c r="H78" s="1320"/>
      <c r="I78" s="1320"/>
      <c r="J78" s="1320"/>
      <c r="K78" s="1320"/>
      <c r="L78" s="1320"/>
      <c r="M78" s="936"/>
      <c r="N78" s="936"/>
      <c r="O78" s="936"/>
      <c r="P78" s="936"/>
      <c r="Q78" s="939"/>
      <c r="R78" s="939"/>
      <c r="S78" s="324"/>
      <c r="T78" s="954" t="e">
        <f>VLOOKUP(Q78,[90]Listas!$D$6:$E$10,2,0)</f>
        <v>#N/A</v>
      </c>
      <c r="U78" s="954" t="e">
        <f>HLOOKUP(R78,[90]Listas!$F$4:$J$5,2,0)</f>
        <v>#N/A</v>
      </c>
      <c r="V78" s="947" t="e">
        <f>INDEX([90]Listas!$F$6:$J$10,MATCH(Q78,[90]Listas!$D$6:$D$10,0),MATCH(R78,[90]Listas!$F$4:$J$4,0))</f>
        <v>#N/A</v>
      </c>
      <c r="W78" s="324"/>
      <c r="X78" s="1342"/>
      <c r="Y78" s="1343"/>
      <c r="Z78" s="1344"/>
      <c r="AA78" s="1071"/>
      <c r="AB78" s="938"/>
      <c r="AC78" s="946"/>
      <c r="AD78" s="936"/>
      <c r="AE78" s="938"/>
      <c r="AF78" s="324"/>
      <c r="AG78" s="954">
        <f t="shared" si="0"/>
        <v>0</v>
      </c>
      <c r="AH78" s="955" t="e">
        <f t="shared" si="1"/>
        <v>#N/A</v>
      </c>
      <c r="AI78" s="952" t="e">
        <f>IF(AH78&lt;=1,"Remota",VLOOKUP(AH78,[90]Listas!$C$6:$D$10,2,0))</f>
        <v>#N/A</v>
      </c>
      <c r="AJ78" s="955" t="e">
        <f t="shared" si="2"/>
        <v>#N/A</v>
      </c>
      <c r="AK78" s="952" t="e">
        <f>IF(AJ78&lt;=1,"Insignificante",HLOOKUP(AJ78,[90]Listas!$F$3:$J$4,2,0))</f>
        <v>#N/A</v>
      </c>
      <c r="AL78" s="953" t="e">
        <f t="shared" si="3"/>
        <v>#N/A</v>
      </c>
      <c r="AM78" s="947" t="e">
        <f>INDEX([90]Listas!$F$6:$J$10,MATCH(AI78,[90]Listas!$D$6:$D$10,0),MATCH(AK78,[90]Listas!$F$4:$J$4,0))</f>
        <v>#N/A</v>
      </c>
      <c r="AN78" s="259"/>
      <c r="AO78" s="259"/>
      <c r="AP78" s="937"/>
      <c r="AQ78" s="259"/>
      <c r="AR78" s="372" t="s">
        <v>2877</v>
      </c>
      <c r="AS78" s="935"/>
      <c r="AT78" s="259"/>
      <c r="AU78" s="259"/>
      <c r="AV78" s="261"/>
      <c r="AW78" s="261"/>
      <c r="AX78" s="935"/>
      <c r="AY78" s="262"/>
    </row>
    <row r="79" spans="1:51" s="260" customFormat="1" ht="103.5" hidden="1" customHeight="1">
      <c r="A79" s="936"/>
      <c r="B79" s="939"/>
      <c r="C79" s="1320"/>
      <c r="D79" s="1320"/>
      <c r="E79" s="1320"/>
      <c r="F79" s="938"/>
      <c r="G79" s="1320"/>
      <c r="H79" s="1320"/>
      <c r="I79" s="1320"/>
      <c r="J79" s="1320"/>
      <c r="K79" s="1320"/>
      <c r="L79" s="1320"/>
      <c r="M79" s="936"/>
      <c r="N79" s="936"/>
      <c r="O79" s="936"/>
      <c r="P79" s="936"/>
      <c r="Q79" s="939"/>
      <c r="R79" s="939"/>
      <c r="S79" s="324"/>
      <c r="T79" s="954" t="e">
        <f>VLOOKUP(Q79,[90]Listas!$D$6:$E$10,2,0)</f>
        <v>#N/A</v>
      </c>
      <c r="U79" s="954" t="e">
        <f>HLOOKUP(R79,[90]Listas!$F$4:$J$5,2,0)</f>
        <v>#N/A</v>
      </c>
      <c r="V79" s="947" t="e">
        <f>INDEX([90]Listas!$F$6:$J$10,MATCH(Q79,[90]Listas!$D$6:$D$10,0),MATCH(R79,[90]Listas!$F$4:$J$4,0))</f>
        <v>#N/A</v>
      </c>
      <c r="W79" s="324"/>
      <c r="X79" s="1342"/>
      <c r="Y79" s="1343"/>
      <c r="Z79" s="1344"/>
      <c r="AA79" s="1071"/>
      <c r="AB79" s="938"/>
      <c r="AC79" s="946"/>
      <c r="AD79" s="936"/>
      <c r="AE79" s="938"/>
      <c r="AF79" s="324"/>
      <c r="AG79" s="954">
        <f t="shared" si="0"/>
        <v>0</v>
      </c>
      <c r="AH79" s="955" t="e">
        <f t="shared" si="1"/>
        <v>#N/A</v>
      </c>
      <c r="AI79" s="952" t="e">
        <f>IF(AH79&lt;=1,"Remota",VLOOKUP(AH79,[90]Listas!$C$6:$D$10,2,0))</f>
        <v>#N/A</v>
      </c>
      <c r="AJ79" s="955" t="e">
        <f t="shared" si="2"/>
        <v>#N/A</v>
      </c>
      <c r="AK79" s="952" t="e">
        <f>IF(AJ79&lt;=1,"Insignificante",HLOOKUP(AJ79,[90]Listas!$F$3:$J$4,2,0))</f>
        <v>#N/A</v>
      </c>
      <c r="AL79" s="953" t="e">
        <f t="shared" si="3"/>
        <v>#N/A</v>
      </c>
      <c r="AM79" s="947" t="e">
        <f>INDEX([90]Listas!$F$6:$J$10,MATCH(AI79,[90]Listas!$D$6:$D$10,0),MATCH(AK79,[90]Listas!$F$4:$J$4,0))</f>
        <v>#N/A</v>
      </c>
      <c r="AN79" s="259"/>
      <c r="AO79" s="259"/>
      <c r="AP79" s="937"/>
      <c r="AQ79" s="259"/>
      <c r="AR79" s="259" t="s">
        <v>2877</v>
      </c>
      <c r="AS79" s="935"/>
      <c r="AT79" s="259"/>
      <c r="AU79" s="259"/>
      <c r="AV79" s="261"/>
      <c r="AW79" s="261"/>
      <c r="AX79" s="935"/>
      <c r="AY79" s="262"/>
    </row>
    <row r="80" spans="1:51" s="260" customFormat="1" ht="103.5" hidden="1" customHeight="1">
      <c r="A80" s="936"/>
      <c r="B80" s="939"/>
      <c r="C80" s="1320"/>
      <c r="D80" s="1320"/>
      <c r="E80" s="1320"/>
      <c r="F80" s="938"/>
      <c r="G80" s="1320"/>
      <c r="H80" s="1320"/>
      <c r="I80" s="1320"/>
      <c r="J80" s="1320"/>
      <c r="K80" s="1320"/>
      <c r="L80" s="1320"/>
      <c r="M80" s="936"/>
      <c r="N80" s="936"/>
      <c r="O80" s="936"/>
      <c r="P80" s="936"/>
      <c r="Q80" s="939"/>
      <c r="R80" s="939"/>
      <c r="S80" s="324"/>
      <c r="T80" s="954" t="e">
        <f>VLOOKUP(Q80,[90]Listas!$D$6:$E$10,2,0)</f>
        <v>#N/A</v>
      </c>
      <c r="U80" s="954" t="e">
        <f>HLOOKUP(R80,[90]Listas!$F$4:$J$5,2,0)</f>
        <v>#N/A</v>
      </c>
      <c r="V80" s="947" t="e">
        <f>INDEX([90]Listas!$F$6:$J$10,MATCH(Q80,[90]Listas!$D$6:$D$10,0),MATCH(R80,[90]Listas!$F$4:$J$4,0))</f>
        <v>#N/A</v>
      </c>
      <c r="W80" s="324"/>
      <c r="X80" s="1342"/>
      <c r="Y80" s="1343"/>
      <c r="Z80" s="1344"/>
      <c r="AA80" s="1071"/>
      <c r="AB80" s="938"/>
      <c r="AC80" s="946"/>
      <c r="AD80" s="936"/>
      <c r="AE80" s="938"/>
      <c r="AF80" s="324"/>
      <c r="AG80" s="954">
        <f t="shared" si="0"/>
        <v>0</v>
      </c>
      <c r="AH80" s="955" t="e">
        <f t="shared" si="1"/>
        <v>#N/A</v>
      </c>
      <c r="AI80" s="952" t="e">
        <f>IF(AH80&lt;=1,"Remota",VLOOKUP(AH80,[90]Listas!$C$6:$D$10,2,0))</f>
        <v>#N/A</v>
      </c>
      <c r="AJ80" s="955" t="e">
        <f t="shared" si="2"/>
        <v>#N/A</v>
      </c>
      <c r="AK80" s="952" t="e">
        <f>IF(AJ80&lt;=1,"Insignificante",HLOOKUP(AJ80,[90]Listas!$F$3:$J$4,2,0))</f>
        <v>#N/A</v>
      </c>
      <c r="AL80" s="953" t="e">
        <f t="shared" si="3"/>
        <v>#N/A</v>
      </c>
      <c r="AM80" s="947" t="e">
        <f>INDEX([90]Listas!$F$6:$J$10,MATCH(AI80,[90]Listas!$D$6:$D$10,0),MATCH(AK80,[90]Listas!$F$4:$J$4,0))</f>
        <v>#N/A</v>
      </c>
      <c r="AN80" s="259"/>
      <c r="AO80" s="259"/>
      <c r="AP80" s="937"/>
      <c r="AQ80" s="259"/>
      <c r="AR80" s="259" t="s">
        <v>2877</v>
      </c>
      <c r="AS80" s="935"/>
      <c r="AT80" s="259"/>
      <c r="AU80" s="259"/>
      <c r="AV80" s="261"/>
      <c r="AW80" s="261"/>
      <c r="AX80" s="935"/>
      <c r="AY80" s="262"/>
    </row>
    <row r="81" spans="1:51" s="260" customFormat="1" ht="103.5" hidden="1" customHeight="1">
      <c r="A81" s="936"/>
      <c r="B81" s="939"/>
      <c r="C81" s="1320"/>
      <c r="D81" s="1320"/>
      <c r="E81" s="1320"/>
      <c r="F81" s="938"/>
      <c r="G81" s="1320"/>
      <c r="H81" s="1320"/>
      <c r="I81" s="1320"/>
      <c r="J81" s="1320"/>
      <c r="K81" s="1320"/>
      <c r="L81" s="1320"/>
      <c r="M81" s="936"/>
      <c r="N81" s="936"/>
      <c r="O81" s="936"/>
      <c r="P81" s="936"/>
      <c r="Q81" s="939"/>
      <c r="R81" s="939"/>
      <c r="S81" s="324"/>
      <c r="T81" s="954" t="e">
        <f>VLOOKUP(Q81,[90]Listas!$D$6:$E$10,2,0)</f>
        <v>#N/A</v>
      </c>
      <c r="U81" s="954" t="e">
        <f>HLOOKUP(R81,[90]Listas!$F$4:$J$5,2,0)</f>
        <v>#N/A</v>
      </c>
      <c r="V81" s="947" t="e">
        <f>INDEX([90]Listas!$F$6:$J$10,MATCH(Q81,[90]Listas!$D$6:$D$10,0),MATCH(R81,[90]Listas!$F$4:$J$4,0))</f>
        <v>#N/A</v>
      </c>
      <c r="W81" s="324"/>
      <c r="X81" s="1342"/>
      <c r="Y81" s="1343"/>
      <c r="Z81" s="1344"/>
      <c r="AA81" s="1071"/>
      <c r="AB81" s="938"/>
      <c r="AC81" s="946"/>
      <c r="AD81" s="936"/>
      <c r="AE81" s="938"/>
      <c r="AF81" s="324"/>
      <c r="AG81" s="954">
        <f t="shared" si="0"/>
        <v>0</v>
      </c>
      <c r="AH81" s="955" t="e">
        <f t="shared" si="1"/>
        <v>#N/A</v>
      </c>
      <c r="AI81" s="952" t="e">
        <f>IF(AH81&lt;=1,"Remota",VLOOKUP(AH81,[90]Listas!$C$6:$D$10,2,0))</f>
        <v>#N/A</v>
      </c>
      <c r="AJ81" s="955" t="e">
        <f t="shared" si="2"/>
        <v>#N/A</v>
      </c>
      <c r="AK81" s="952" t="e">
        <f>IF(AJ81&lt;=1,"Insignificante",HLOOKUP(AJ81,[90]Listas!$F$3:$J$4,2,0))</f>
        <v>#N/A</v>
      </c>
      <c r="AL81" s="953" t="e">
        <f t="shared" si="3"/>
        <v>#N/A</v>
      </c>
      <c r="AM81" s="947" t="e">
        <f>INDEX([90]Listas!$F$6:$J$10,MATCH(AI81,[90]Listas!$D$6:$D$10,0),MATCH(AK81,[90]Listas!$F$4:$J$4,0))</f>
        <v>#N/A</v>
      </c>
      <c r="AN81" s="259"/>
      <c r="AO81" s="259"/>
      <c r="AP81" s="937"/>
      <c r="AQ81" s="259"/>
      <c r="AR81" s="259" t="s">
        <v>2877</v>
      </c>
      <c r="AS81" s="935"/>
      <c r="AT81" s="259"/>
      <c r="AU81" s="259"/>
      <c r="AV81" s="261"/>
      <c r="AW81" s="261"/>
      <c r="AX81" s="935"/>
      <c r="AY81" s="262"/>
    </row>
    <row r="82" spans="1:51" s="260" customFormat="1" ht="103.5" hidden="1" customHeight="1">
      <c r="A82" s="936"/>
      <c r="B82" s="939"/>
      <c r="C82" s="1320"/>
      <c r="D82" s="1320"/>
      <c r="E82" s="1320"/>
      <c r="F82" s="938"/>
      <c r="G82" s="1320"/>
      <c r="H82" s="1320"/>
      <c r="I82" s="1320"/>
      <c r="J82" s="1320"/>
      <c r="K82" s="1320"/>
      <c r="L82" s="1320"/>
      <c r="M82" s="936"/>
      <c r="N82" s="936"/>
      <c r="O82" s="936"/>
      <c r="P82" s="936"/>
      <c r="Q82" s="939"/>
      <c r="R82" s="939"/>
      <c r="S82" s="324"/>
      <c r="T82" s="954" t="e">
        <f>VLOOKUP(Q82,[90]Listas!$D$6:$E$10,2,0)</f>
        <v>#N/A</v>
      </c>
      <c r="U82" s="954" t="e">
        <f>HLOOKUP(R82,[90]Listas!$F$4:$J$5,2,0)</f>
        <v>#N/A</v>
      </c>
      <c r="V82" s="947" t="e">
        <f>INDEX([90]Listas!$F$6:$J$10,MATCH(Q82,[90]Listas!$D$6:$D$10,0),MATCH(R82,[90]Listas!$F$4:$J$4,0))</f>
        <v>#N/A</v>
      </c>
      <c r="W82" s="324"/>
      <c r="X82" s="1342"/>
      <c r="Y82" s="1343"/>
      <c r="Z82" s="1344"/>
      <c r="AA82" s="1071"/>
      <c r="AB82" s="938"/>
      <c r="AC82" s="946"/>
      <c r="AD82" s="936"/>
      <c r="AE82" s="938"/>
      <c r="AF82" s="324"/>
      <c r="AG82" s="954">
        <f t="shared" si="0"/>
        <v>0</v>
      </c>
      <c r="AH82" s="955" t="e">
        <f t="shared" si="1"/>
        <v>#N/A</v>
      </c>
      <c r="AI82" s="952" t="e">
        <f>IF(AH82&lt;=1,"Remota",VLOOKUP(AH82,[90]Listas!$C$6:$D$10,2,0))</f>
        <v>#N/A</v>
      </c>
      <c r="AJ82" s="955" t="e">
        <f t="shared" si="2"/>
        <v>#N/A</v>
      </c>
      <c r="AK82" s="952" t="e">
        <f>IF(AJ82&lt;=1,"Insignificante",HLOOKUP(AJ82,[90]Listas!$F$3:$J$4,2,0))</f>
        <v>#N/A</v>
      </c>
      <c r="AL82" s="953" t="e">
        <f t="shared" si="3"/>
        <v>#N/A</v>
      </c>
      <c r="AM82" s="947" t="e">
        <f>INDEX([90]Listas!$F$6:$J$10,MATCH(AI82,[90]Listas!$D$6:$D$10,0),MATCH(AK82,[90]Listas!$F$4:$J$4,0))</f>
        <v>#N/A</v>
      </c>
      <c r="AN82" s="259"/>
      <c r="AO82" s="259"/>
      <c r="AP82" s="937"/>
      <c r="AQ82" s="259"/>
      <c r="AR82" s="259" t="s">
        <v>2877</v>
      </c>
      <c r="AS82" s="935"/>
      <c r="AT82" s="259"/>
      <c r="AU82" s="259"/>
      <c r="AV82" s="261"/>
      <c r="AW82" s="261"/>
      <c r="AX82" s="935"/>
      <c r="AY82" s="262"/>
    </row>
    <row r="83" spans="1:51" s="260" customFormat="1" ht="103.5" hidden="1" customHeight="1">
      <c r="A83" s="936"/>
      <c r="B83" s="939"/>
      <c r="C83" s="1320"/>
      <c r="D83" s="1320"/>
      <c r="E83" s="1320"/>
      <c r="F83" s="938"/>
      <c r="G83" s="1320"/>
      <c r="H83" s="1320"/>
      <c r="I83" s="1320"/>
      <c r="J83" s="1320"/>
      <c r="K83" s="1320"/>
      <c r="L83" s="1320"/>
      <c r="M83" s="936"/>
      <c r="N83" s="936"/>
      <c r="O83" s="936"/>
      <c r="P83" s="936"/>
      <c r="Q83" s="939"/>
      <c r="R83" s="939"/>
      <c r="S83" s="324"/>
      <c r="T83" s="954" t="e">
        <f>VLOOKUP(Q83,[90]Listas!$D$6:$E$10,2,0)</f>
        <v>#N/A</v>
      </c>
      <c r="U83" s="954" t="e">
        <f>HLOOKUP(R83,[90]Listas!$F$4:$J$5,2,0)</f>
        <v>#N/A</v>
      </c>
      <c r="V83" s="947" t="e">
        <f>INDEX([90]Listas!$F$6:$J$10,MATCH(Q83,[90]Listas!$D$6:$D$10,0),MATCH(R83,[90]Listas!$F$4:$J$4,0))</f>
        <v>#N/A</v>
      </c>
      <c r="W83" s="324"/>
      <c r="X83" s="1342"/>
      <c r="Y83" s="1343"/>
      <c r="Z83" s="1344"/>
      <c r="AA83" s="1071"/>
      <c r="AB83" s="938"/>
      <c r="AC83" s="946"/>
      <c r="AD83" s="936"/>
      <c r="AE83" s="938"/>
      <c r="AF83" s="324"/>
      <c r="AG83" s="954">
        <f t="shared" si="0"/>
        <v>0</v>
      </c>
      <c r="AH83" s="955" t="e">
        <f t="shared" si="1"/>
        <v>#N/A</v>
      </c>
      <c r="AI83" s="952" t="e">
        <f>IF(AH83&lt;=1,"Remota",VLOOKUP(AH83,[90]Listas!$C$6:$D$10,2,0))</f>
        <v>#N/A</v>
      </c>
      <c r="AJ83" s="955" t="e">
        <f t="shared" si="2"/>
        <v>#N/A</v>
      </c>
      <c r="AK83" s="952" t="e">
        <f>IF(AJ83&lt;=1,"Insignificante",HLOOKUP(AJ83,[90]Listas!$F$3:$J$4,2,0))</f>
        <v>#N/A</v>
      </c>
      <c r="AL83" s="953" t="e">
        <f t="shared" si="3"/>
        <v>#N/A</v>
      </c>
      <c r="AM83" s="947" t="e">
        <f>INDEX([90]Listas!$F$6:$J$10,MATCH(AI83,[90]Listas!$D$6:$D$10,0),MATCH(AK83,[90]Listas!$F$4:$J$4,0))</f>
        <v>#N/A</v>
      </c>
      <c r="AN83" s="259"/>
      <c r="AO83" s="259"/>
      <c r="AP83" s="937"/>
      <c r="AQ83" s="259"/>
      <c r="AR83" s="259" t="s">
        <v>2877</v>
      </c>
      <c r="AS83" s="935"/>
      <c r="AT83" s="259"/>
      <c r="AU83" s="259"/>
      <c r="AV83" s="261"/>
      <c r="AW83" s="261"/>
      <c r="AX83" s="935"/>
      <c r="AY83" s="262"/>
    </row>
    <row r="84" spans="1:51" s="260" customFormat="1" ht="103.5" hidden="1" customHeight="1">
      <c r="A84" s="936"/>
      <c r="B84" s="939"/>
      <c r="C84" s="1320"/>
      <c r="D84" s="1320"/>
      <c r="E84" s="1320"/>
      <c r="F84" s="938"/>
      <c r="G84" s="1320"/>
      <c r="H84" s="1320"/>
      <c r="I84" s="1320"/>
      <c r="J84" s="1320"/>
      <c r="K84" s="1320"/>
      <c r="L84" s="1320"/>
      <c r="M84" s="936"/>
      <c r="N84" s="936"/>
      <c r="O84" s="936"/>
      <c r="P84" s="936"/>
      <c r="Q84" s="939"/>
      <c r="R84" s="939"/>
      <c r="S84" s="324"/>
      <c r="T84" s="954" t="e">
        <f>VLOOKUP(Q84,[90]Listas!$D$6:$E$10,2,0)</f>
        <v>#N/A</v>
      </c>
      <c r="U84" s="954" t="e">
        <f>HLOOKUP(R84,[90]Listas!$F$4:$J$5,2,0)</f>
        <v>#N/A</v>
      </c>
      <c r="V84" s="947" t="e">
        <f>INDEX([90]Listas!$F$6:$J$10,MATCH(Q84,[90]Listas!$D$6:$D$10,0),MATCH(R84,[90]Listas!$F$4:$J$4,0))</f>
        <v>#N/A</v>
      </c>
      <c r="W84" s="324"/>
      <c r="X84" s="1342"/>
      <c r="Y84" s="1343"/>
      <c r="Z84" s="1344"/>
      <c r="AA84" s="1071"/>
      <c r="AB84" s="938"/>
      <c r="AC84" s="946"/>
      <c r="AD84" s="936"/>
      <c r="AE84" s="938"/>
      <c r="AF84" s="324"/>
      <c r="AG84" s="954">
        <f t="shared" si="0"/>
        <v>0</v>
      </c>
      <c r="AH84" s="955" t="e">
        <f t="shared" si="1"/>
        <v>#N/A</v>
      </c>
      <c r="AI84" s="952" t="e">
        <f>IF(AH84&lt;=1,"Remota",VLOOKUP(AH84,[90]Listas!$C$6:$D$10,2,0))</f>
        <v>#N/A</v>
      </c>
      <c r="AJ84" s="955" t="e">
        <f t="shared" si="2"/>
        <v>#N/A</v>
      </c>
      <c r="AK84" s="952" t="e">
        <f>IF(AJ84&lt;=1,"Insignificante",HLOOKUP(AJ84,[90]Listas!$F$3:$J$4,2,0))</f>
        <v>#N/A</v>
      </c>
      <c r="AL84" s="953" t="e">
        <f t="shared" si="3"/>
        <v>#N/A</v>
      </c>
      <c r="AM84" s="947" t="e">
        <f>INDEX([90]Listas!$F$6:$J$10,MATCH(AI84,[90]Listas!$D$6:$D$10,0),MATCH(AK84,[90]Listas!$F$4:$J$4,0))</f>
        <v>#N/A</v>
      </c>
      <c r="AN84" s="259"/>
      <c r="AO84" s="259"/>
      <c r="AP84" s="937"/>
      <c r="AQ84" s="259"/>
      <c r="AR84" s="259" t="s">
        <v>2877</v>
      </c>
      <c r="AS84" s="935"/>
      <c r="AU84" s="259"/>
      <c r="AV84" s="261"/>
      <c r="AW84" s="261"/>
      <c r="AX84" s="935"/>
      <c r="AY84" s="262"/>
    </row>
    <row r="85" spans="1:51" s="260" customFormat="1" ht="103.5" hidden="1" customHeight="1">
      <c r="A85" s="936"/>
      <c r="B85" s="939"/>
      <c r="C85" s="1320"/>
      <c r="D85" s="1320"/>
      <c r="E85" s="1320"/>
      <c r="F85" s="938"/>
      <c r="G85" s="1320"/>
      <c r="H85" s="1320"/>
      <c r="I85" s="1320"/>
      <c r="J85" s="1320"/>
      <c r="K85" s="1320"/>
      <c r="L85" s="1320"/>
      <c r="M85" s="936"/>
      <c r="N85" s="936"/>
      <c r="O85" s="936"/>
      <c r="P85" s="936"/>
      <c r="Q85" s="939"/>
      <c r="R85" s="939"/>
      <c r="S85" s="324"/>
      <c r="T85" s="954" t="e">
        <f>VLOOKUP(Q85,[90]Listas!$D$6:$E$10,2,0)</f>
        <v>#N/A</v>
      </c>
      <c r="U85" s="954" t="e">
        <f>HLOOKUP(R85,[90]Listas!$F$4:$J$5,2,0)</f>
        <v>#N/A</v>
      </c>
      <c r="V85" s="947" t="e">
        <f>INDEX([90]Listas!$F$6:$J$10,MATCH(Q85,[90]Listas!$D$6:$D$10,0),MATCH(R85,[90]Listas!$F$4:$J$4,0))</f>
        <v>#N/A</v>
      </c>
      <c r="W85" s="324"/>
      <c r="X85" s="1342"/>
      <c r="Y85" s="1343"/>
      <c r="Z85" s="1344"/>
      <c r="AA85" s="1071"/>
      <c r="AB85" s="938"/>
      <c r="AC85" s="946"/>
      <c r="AD85" s="936"/>
      <c r="AE85" s="938"/>
      <c r="AF85" s="324"/>
      <c r="AG85" s="954">
        <f t="shared" si="0"/>
        <v>0</v>
      </c>
      <c r="AH85" s="955" t="e">
        <f t="shared" si="1"/>
        <v>#N/A</v>
      </c>
      <c r="AI85" s="952" t="e">
        <f>IF(AH85&lt;=1,"Remota",VLOOKUP(AH85,[90]Listas!$C$6:$D$10,2,0))</f>
        <v>#N/A</v>
      </c>
      <c r="AJ85" s="955" t="e">
        <f t="shared" si="2"/>
        <v>#N/A</v>
      </c>
      <c r="AK85" s="952" t="e">
        <f>IF(AJ85&lt;=1,"Insignificante",HLOOKUP(AJ85,[90]Listas!$F$3:$J$4,2,0))</f>
        <v>#N/A</v>
      </c>
      <c r="AL85" s="953" t="e">
        <f t="shared" si="3"/>
        <v>#N/A</v>
      </c>
      <c r="AM85" s="947" t="e">
        <f>INDEX([90]Listas!$F$6:$J$10,MATCH(AI85,[90]Listas!$D$6:$D$10,0),MATCH(AK85,[90]Listas!$F$4:$J$4,0))</f>
        <v>#N/A</v>
      </c>
      <c r="AN85" s="259"/>
      <c r="AO85" s="259"/>
      <c r="AP85" s="937"/>
      <c r="AQ85" s="259"/>
      <c r="AR85" s="259" t="s">
        <v>2877</v>
      </c>
      <c r="AS85" s="935"/>
      <c r="AT85" s="259"/>
      <c r="AU85" s="259"/>
      <c r="AV85" s="261"/>
      <c r="AW85" s="261"/>
      <c r="AX85" s="935"/>
      <c r="AY85" s="262"/>
    </row>
    <row r="86" spans="1:51" s="260" customFormat="1" ht="103.5" hidden="1" customHeight="1">
      <c r="A86" s="936"/>
      <c r="B86" s="939"/>
      <c r="C86" s="1320"/>
      <c r="D86" s="1320"/>
      <c r="E86" s="1320"/>
      <c r="F86" s="938"/>
      <c r="G86" s="1320"/>
      <c r="H86" s="1320"/>
      <c r="I86" s="1320"/>
      <c r="J86" s="1320"/>
      <c r="K86" s="1320"/>
      <c r="L86" s="1320"/>
      <c r="M86" s="936"/>
      <c r="N86" s="936"/>
      <c r="O86" s="936"/>
      <c r="P86" s="936"/>
      <c r="Q86" s="939"/>
      <c r="R86" s="939"/>
      <c r="S86" s="324"/>
      <c r="T86" s="954" t="e">
        <f>VLOOKUP(Q86,[90]Listas!$D$6:$E$10,2,0)</f>
        <v>#N/A</v>
      </c>
      <c r="U86" s="954" t="e">
        <f>HLOOKUP(R86,[90]Listas!$F$4:$J$5,2,0)</f>
        <v>#N/A</v>
      </c>
      <c r="V86" s="947" t="e">
        <f>INDEX([90]Listas!$F$6:$J$10,MATCH(Q86,[90]Listas!$D$6:$D$10,0),MATCH(R86,[90]Listas!$F$4:$J$4,0))</f>
        <v>#N/A</v>
      </c>
      <c r="W86" s="324"/>
      <c r="X86" s="1342"/>
      <c r="Y86" s="1343"/>
      <c r="Z86" s="1344"/>
      <c r="AA86" s="1071"/>
      <c r="AB86" s="938"/>
      <c r="AC86" s="946"/>
      <c r="AD86" s="936"/>
      <c r="AE86" s="938"/>
      <c r="AF86" s="324"/>
      <c r="AG86" s="954">
        <f t="shared" si="0"/>
        <v>0</v>
      </c>
      <c r="AH86" s="955" t="e">
        <f t="shared" si="1"/>
        <v>#N/A</v>
      </c>
      <c r="AI86" s="952" t="e">
        <f>IF(AH86&lt;=1,"Remota",VLOOKUP(AH86,[90]Listas!$C$6:$D$10,2,0))</f>
        <v>#N/A</v>
      </c>
      <c r="AJ86" s="955" t="e">
        <f t="shared" si="2"/>
        <v>#N/A</v>
      </c>
      <c r="AK86" s="952" t="e">
        <f>IF(AJ86&lt;=1,"Insignificante",HLOOKUP(AJ86,[90]Listas!$F$3:$J$4,2,0))</f>
        <v>#N/A</v>
      </c>
      <c r="AL86" s="953" t="e">
        <f t="shared" si="3"/>
        <v>#N/A</v>
      </c>
      <c r="AM86" s="947" t="e">
        <f>INDEX([90]Listas!$F$6:$J$10,MATCH(AI86,[90]Listas!$D$6:$D$10,0),MATCH(AK86,[90]Listas!$F$4:$J$4,0))</f>
        <v>#N/A</v>
      </c>
      <c r="AN86" s="259"/>
      <c r="AO86" s="259"/>
      <c r="AP86" s="937"/>
      <c r="AQ86" s="259"/>
      <c r="AR86" s="259" t="s">
        <v>2877</v>
      </c>
      <c r="AS86" s="935"/>
      <c r="AT86" s="259"/>
      <c r="AU86" s="259"/>
      <c r="AV86" s="261"/>
      <c r="AW86" s="261"/>
      <c r="AX86" s="935"/>
      <c r="AY86" s="262"/>
    </row>
    <row r="87" spans="1:51" s="260" customFormat="1" ht="103.5" hidden="1" customHeight="1">
      <c r="A87" s="936"/>
      <c r="B87" s="939"/>
      <c r="C87" s="1320"/>
      <c r="D87" s="1320"/>
      <c r="E87" s="1320"/>
      <c r="F87" s="938"/>
      <c r="G87" s="1320"/>
      <c r="H87" s="1320"/>
      <c r="I87" s="1320"/>
      <c r="J87" s="1320"/>
      <c r="K87" s="1320"/>
      <c r="L87" s="1320"/>
      <c r="M87" s="936"/>
      <c r="N87" s="936"/>
      <c r="O87" s="936"/>
      <c r="P87" s="936"/>
      <c r="Q87" s="939"/>
      <c r="R87" s="939"/>
      <c r="S87" s="324"/>
      <c r="T87" s="954" t="e">
        <f>VLOOKUP(Q87,[90]Listas!$D$6:$E$10,2,0)</f>
        <v>#N/A</v>
      </c>
      <c r="U87" s="954" t="e">
        <f>HLOOKUP(R87,[90]Listas!$F$4:$J$5,2,0)</f>
        <v>#N/A</v>
      </c>
      <c r="V87" s="947" t="e">
        <f>INDEX([90]Listas!$F$6:$J$10,MATCH(Q87,[90]Listas!$D$6:$D$10,0),MATCH(R87,[90]Listas!$F$4:$J$4,0))</f>
        <v>#N/A</v>
      </c>
      <c r="W87" s="324"/>
      <c r="X87" s="1342"/>
      <c r="Y87" s="1343"/>
      <c r="Z87" s="1344"/>
      <c r="AA87" s="1071"/>
      <c r="AB87" s="938"/>
      <c r="AC87" s="946"/>
      <c r="AD87" s="936"/>
      <c r="AE87" s="938"/>
      <c r="AF87" s="324"/>
      <c r="AG87" s="954">
        <f t="shared" si="0"/>
        <v>0</v>
      </c>
      <c r="AH87" s="955" t="e">
        <f t="shared" si="1"/>
        <v>#N/A</v>
      </c>
      <c r="AI87" s="952" t="e">
        <f>IF(AH87&lt;=1,"Remota",VLOOKUP(AH87,[90]Listas!$C$6:$D$10,2,0))</f>
        <v>#N/A</v>
      </c>
      <c r="AJ87" s="955" t="e">
        <f t="shared" si="2"/>
        <v>#N/A</v>
      </c>
      <c r="AK87" s="952" t="e">
        <f>IF(AJ87&lt;=1,"Insignificante",HLOOKUP(AJ87,[90]Listas!$F$3:$J$4,2,0))</f>
        <v>#N/A</v>
      </c>
      <c r="AL87" s="953" t="e">
        <f t="shared" si="3"/>
        <v>#N/A</v>
      </c>
      <c r="AM87" s="947" t="e">
        <f>INDEX([90]Listas!$F$6:$J$10,MATCH(AI87,[90]Listas!$D$6:$D$10,0),MATCH(AK87,[90]Listas!$F$4:$J$4,0))</f>
        <v>#N/A</v>
      </c>
      <c r="AN87" s="259"/>
      <c r="AO87" s="259"/>
      <c r="AP87" s="937"/>
      <c r="AQ87" s="259"/>
      <c r="AR87" s="259" t="s">
        <v>2877</v>
      </c>
      <c r="AS87" s="935"/>
      <c r="AT87" s="259"/>
      <c r="AU87" s="259"/>
      <c r="AV87" s="261"/>
      <c r="AW87" s="261"/>
      <c r="AX87" s="935"/>
      <c r="AY87" s="262"/>
    </row>
    <row r="88" spans="1:51" s="260" customFormat="1" ht="103.5" hidden="1" customHeight="1">
      <c r="A88" s="936"/>
      <c r="B88" s="939"/>
      <c r="C88" s="1320"/>
      <c r="D88" s="1320"/>
      <c r="E88" s="1320"/>
      <c r="F88" s="938"/>
      <c r="G88" s="1320"/>
      <c r="H88" s="1320"/>
      <c r="I88" s="1320"/>
      <c r="J88" s="1320"/>
      <c r="K88" s="1320"/>
      <c r="L88" s="1320"/>
      <c r="M88" s="936"/>
      <c r="N88" s="936"/>
      <c r="O88" s="936"/>
      <c r="P88" s="936"/>
      <c r="Q88" s="939"/>
      <c r="R88" s="939"/>
      <c r="S88" s="324"/>
      <c r="T88" s="954" t="e">
        <f>VLOOKUP(Q88,[90]Listas!$D$6:$E$10,2,0)</f>
        <v>#N/A</v>
      </c>
      <c r="U88" s="954" t="e">
        <f>HLOOKUP(R88,[90]Listas!$F$4:$J$5,2,0)</f>
        <v>#N/A</v>
      </c>
      <c r="V88" s="947" t="e">
        <f>INDEX([90]Listas!$F$6:$J$10,MATCH(Q88,[90]Listas!$D$6:$D$10,0),MATCH(R88,[90]Listas!$F$4:$J$4,0))</f>
        <v>#N/A</v>
      </c>
      <c r="W88" s="324"/>
      <c r="X88" s="1342"/>
      <c r="Y88" s="1343"/>
      <c r="Z88" s="1344"/>
      <c r="AA88" s="1071"/>
      <c r="AB88" s="938"/>
      <c r="AC88" s="946"/>
      <c r="AD88" s="936"/>
      <c r="AE88" s="938"/>
      <c r="AF88" s="324"/>
      <c r="AG88" s="954">
        <f t="shared" si="0"/>
        <v>0</v>
      </c>
      <c r="AH88" s="955" t="e">
        <f t="shared" si="1"/>
        <v>#N/A</v>
      </c>
      <c r="AI88" s="952" t="e">
        <f>IF(AH88&lt;=1,"Remota",VLOOKUP(AH88,[90]Listas!$C$6:$D$10,2,0))</f>
        <v>#N/A</v>
      </c>
      <c r="AJ88" s="955" t="e">
        <f t="shared" si="2"/>
        <v>#N/A</v>
      </c>
      <c r="AK88" s="952" t="e">
        <f>IF(AJ88&lt;=1,"Insignificante",HLOOKUP(AJ88,[90]Listas!$F$3:$J$4,2,0))</f>
        <v>#N/A</v>
      </c>
      <c r="AL88" s="953" t="e">
        <f t="shared" si="3"/>
        <v>#N/A</v>
      </c>
      <c r="AM88" s="947" t="e">
        <f>INDEX([90]Listas!$F$6:$J$10,MATCH(AI88,[90]Listas!$D$6:$D$10,0),MATCH(AK88,[90]Listas!$F$4:$J$4,0))</f>
        <v>#N/A</v>
      </c>
      <c r="AN88" s="259"/>
      <c r="AO88" s="259"/>
      <c r="AP88" s="937"/>
      <c r="AQ88" s="259"/>
      <c r="AR88" s="259" t="s">
        <v>2877</v>
      </c>
      <c r="AS88" s="935"/>
      <c r="AT88" s="259"/>
      <c r="AU88" s="259"/>
      <c r="AV88" s="261"/>
      <c r="AW88" s="261"/>
      <c r="AX88" s="935"/>
      <c r="AY88" s="262"/>
    </row>
    <row r="89" spans="1:51" s="260" customFormat="1" ht="103.5" hidden="1" customHeight="1">
      <c r="A89" s="936"/>
      <c r="B89" s="939"/>
      <c r="C89" s="1320"/>
      <c r="D89" s="1320"/>
      <c r="E89" s="1320"/>
      <c r="F89" s="938"/>
      <c r="G89" s="1320"/>
      <c r="H89" s="1320"/>
      <c r="I89" s="1320"/>
      <c r="J89" s="1320"/>
      <c r="K89" s="1320"/>
      <c r="L89" s="1320"/>
      <c r="M89" s="936"/>
      <c r="N89" s="936"/>
      <c r="O89" s="936"/>
      <c r="P89" s="936"/>
      <c r="Q89" s="939"/>
      <c r="R89" s="939"/>
      <c r="S89" s="324"/>
      <c r="T89" s="954" t="e">
        <f>VLOOKUP(Q89,[90]Listas!$D$6:$E$10,2,0)</f>
        <v>#N/A</v>
      </c>
      <c r="U89" s="954" t="e">
        <f>HLOOKUP(R89,[90]Listas!$F$4:$J$5,2,0)</f>
        <v>#N/A</v>
      </c>
      <c r="V89" s="947" t="e">
        <f>INDEX([90]Listas!$F$6:$J$10,MATCH(Q89,[90]Listas!$D$6:$D$10,0),MATCH(R89,[90]Listas!$F$4:$J$4,0))</f>
        <v>#N/A</v>
      </c>
      <c r="W89" s="324"/>
      <c r="X89" s="1342"/>
      <c r="Y89" s="1343"/>
      <c r="Z89" s="1344"/>
      <c r="AA89" s="1071"/>
      <c r="AB89" s="938"/>
      <c r="AC89" s="946"/>
      <c r="AD89" s="936"/>
      <c r="AE89" s="938"/>
      <c r="AF89" s="324"/>
      <c r="AG89" s="954">
        <f t="shared" si="0"/>
        <v>0</v>
      </c>
      <c r="AH89" s="955" t="e">
        <f t="shared" si="1"/>
        <v>#N/A</v>
      </c>
      <c r="AI89" s="952" t="e">
        <f>IF(AH89&lt;=1,"Remota",VLOOKUP(AH89,[90]Listas!$C$6:$D$10,2,0))</f>
        <v>#N/A</v>
      </c>
      <c r="AJ89" s="955" t="e">
        <f t="shared" si="2"/>
        <v>#N/A</v>
      </c>
      <c r="AK89" s="952" t="e">
        <f>IF(AJ89&lt;=1,"Insignificante",HLOOKUP(AJ89,[90]Listas!$F$3:$J$4,2,0))</f>
        <v>#N/A</v>
      </c>
      <c r="AL89" s="953" t="e">
        <f t="shared" si="3"/>
        <v>#N/A</v>
      </c>
      <c r="AM89" s="947" t="e">
        <f>INDEX([90]Listas!$F$6:$J$10,MATCH(AI89,[90]Listas!$D$6:$D$10,0),MATCH(AK89,[90]Listas!$F$4:$J$4,0))</f>
        <v>#N/A</v>
      </c>
      <c r="AN89" s="259"/>
      <c r="AO89" s="259"/>
      <c r="AP89" s="937"/>
      <c r="AQ89" s="259"/>
      <c r="AR89" s="259" t="s">
        <v>2877</v>
      </c>
      <c r="AS89" s="935"/>
      <c r="AT89" s="259"/>
      <c r="AU89" s="259"/>
      <c r="AV89" s="261"/>
      <c r="AW89" s="261"/>
      <c r="AX89" s="935"/>
      <c r="AY89" s="262"/>
    </row>
    <row r="90" spans="1:51" s="260" customFormat="1" ht="103.5" hidden="1" customHeight="1">
      <c r="A90" s="936"/>
      <c r="B90" s="939"/>
      <c r="C90" s="1320"/>
      <c r="D90" s="1320"/>
      <c r="E90" s="1320"/>
      <c r="F90" s="938"/>
      <c r="G90" s="1320"/>
      <c r="H90" s="1320"/>
      <c r="I90" s="1320"/>
      <c r="J90" s="1320"/>
      <c r="K90" s="1320"/>
      <c r="L90" s="1320"/>
      <c r="M90" s="936"/>
      <c r="N90" s="936"/>
      <c r="O90" s="936"/>
      <c r="P90" s="936"/>
      <c r="Q90" s="939"/>
      <c r="R90" s="939"/>
      <c r="S90" s="324"/>
      <c r="T90" s="954" t="e">
        <f>VLOOKUP(Q90,[90]Listas!$D$6:$E$10,2,0)</f>
        <v>#N/A</v>
      </c>
      <c r="U90" s="954" t="e">
        <f>HLOOKUP(R90,[90]Listas!$F$4:$J$5,2,0)</f>
        <v>#N/A</v>
      </c>
      <c r="V90" s="947" t="e">
        <f>INDEX([90]Listas!$F$6:$J$10,MATCH(Q90,[90]Listas!$D$6:$D$10,0),MATCH(R90,[90]Listas!$F$4:$J$4,0))</f>
        <v>#N/A</v>
      </c>
      <c r="W90" s="324"/>
      <c r="X90" s="1342"/>
      <c r="Y90" s="1343"/>
      <c r="Z90" s="1344"/>
      <c r="AA90" s="1071"/>
      <c r="AB90" s="938"/>
      <c r="AC90" s="946"/>
      <c r="AD90" s="936"/>
      <c r="AE90" s="938"/>
      <c r="AF90" s="324"/>
      <c r="AG90" s="954">
        <f t="shared" si="0"/>
        <v>0</v>
      </c>
      <c r="AH90" s="955" t="e">
        <f t="shared" si="1"/>
        <v>#N/A</v>
      </c>
      <c r="AI90" s="952" t="e">
        <f>IF(AH90&lt;=1,"Remota",VLOOKUP(AH90,[90]Listas!$C$6:$D$10,2,0))</f>
        <v>#N/A</v>
      </c>
      <c r="AJ90" s="955" t="e">
        <f t="shared" si="2"/>
        <v>#N/A</v>
      </c>
      <c r="AK90" s="952" t="e">
        <f>IF(AJ90&lt;=1,"Insignificante",HLOOKUP(AJ90,[90]Listas!$F$3:$J$4,2,0))</f>
        <v>#N/A</v>
      </c>
      <c r="AL90" s="953" t="e">
        <f t="shared" si="3"/>
        <v>#N/A</v>
      </c>
      <c r="AM90" s="947" t="e">
        <f>INDEX([90]Listas!$F$6:$J$10,MATCH(AI90,[90]Listas!$D$6:$D$10,0),MATCH(AK90,[90]Listas!$F$4:$J$4,0))</f>
        <v>#N/A</v>
      </c>
      <c r="AN90" s="259"/>
      <c r="AO90" s="259"/>
      <c r="AP90" s="937"/>
      <c r="AQ90" s="259"/>
      <c r="AR90" s="259" t="s">
        <v>2877</v>
      </c>
      <c r="AS90" s="935"/>
      <c r="AT90" s="259"/>
      <c r="AU90" s="259"/>
      <c r="AV90" s="261"/>
      <c r="AW90" s="261"/>
      <c r="AX90" s="935"/>
      <c r="AY90" s="262"/>
    </row>
    <row r="91" spans="1:51" s="260" customFormat="1" ht="103.5" hidden="1" customHeight="1">
      <c r="A91" s="936"/>
      <c r="B91" s="939"/>
      <c r="C91" s="1320"/>
      <c r="D91" s="1320"/>
      <c r="E91" s="1320"/>
      <c r="F91" s="938"/>
      <c r="G91" s="1320"/>
      <c r="H91" s="1320"/>
      <c r="I91" s="1320"/>
      <c r="J91" s="1320"/>
      <c r="K91" s="1320"/>
      <c r="L91" s="1320"/>
      <c r="M91" s="936"/>
      <c r="N91" s="936"/>
      <c r="O91" s="936"/>
      <c r="P91" s="936"/>
      <c r="Q91" s="939"/>
      <c r="R91" s="939"/>
      <c r="S91" s="324"/>
      <c r="T91" s="954" t="e">
        <f>VLOOKUP(Q91,[90]Listas!$D$6:$E$10,2,0)</f>
        <v>#N/A</v>
      </c>
      <c r="U91" s="954" t="e">
        <f>HLOOKUP(R91,[90]Listas!$F$4:$J$5,2,0)</f>
        <v>#N/A</v>
      </c>
      <c r="V91" s="947" t="e">
        <f>INDEX([90]Listas!$F$6:$J$10,MATCH(Q91,[90]Listas!$D$6:$D$10,0),MATCH(R91,[90]Listas!$F$4:$J$4,0))</f>
        <v>#N/A</v>
      </c>
      <c r="W91" s="324"/>
      <c r="X91" s="1342"/>
      <c r="Y91" s="1343"/>
      <c r="Z91" s="1344"/>
      <c r="AA91" s="1071"/>
      <c r="AB91" s="938"/>
      <c r="AC91" s="946"/>
      <c r="AD91" s="936"/>
      <c r="AE91" s="938"/>
      <c r="AF91" s="324"/>
      <c r="AG91" s="954">
        <f t="shared" si="0"/>
        <v>0</v>
      </c>
      <c r="AH91" s="955" t="e">
        <f t="shared" si="1"/>
        <v>#N/A</v>
      </c>
      <c r="AI91" s="952" t="e">
        <f>IF(AH91&lt;=1,"Remota",VLOOKUP(AH91,[90]Listas!$C$6:$D$10,2,0))</f>
        <v>#N/A</v>
      </c>
      <c r="AJ91" s="955" t="e">
        <f t="shared" si="2"/>
        <v>#N/A</v>
      </c>
      <c r="AK91" s="952" t="e">
        <f>IF(AJ91&lt;=1,"Insignificante",HLOOKUP(AJ91,[90]Listas!$F$3:$J$4,2,0))</f>
        <v>#N/A</v>
      </c>
      <c r="AL91" s="953" t="e">
        <f t="shared" si="3"/>
        <v>#N/A</v>
      </c>
      <c r="AM91" s="947" t="e">
        <f>INDEX([90]Listas!$F$6:$J$10,MATCH(AI91,[90]Listas!$D$6:$D$10,0),MATCH(AK91,[90]Listas!$F$4:$J$4,0))</f>
        <v>#N/A</v>
      </c>
      <c r="AN91" s="259"/>
      <c r="AO91" s="259"/>
      <c r="AP91" s="937"/>
      <c r="AQ91" s="259"/>
      <c r="AR91" s="259" t="s">
        <v>2877</v>
      </c>
      <c r="AS91" s="935"/>
      <c r="AT91" s="259"/>
      <c r="AU91" s="259"/>
      <c r="AV91" s="261"/>
      <c r="AW91" s="261"/>
      <c r="AX91" s="935"/>
      <c r="AY91" s="262"/>
    </row>
    <row r="92" spans="1:51" s="260" customFormat="1" ht="103.5" hidden="1" customHeight="1">
      <c r="A92" s="936"/>
      <c r="B92" s="939"/>
      <c r="C92" s="1320"/>
      <c r="D92" s="1320"/>
      <c r="E92" s="1320"/>
      <c r="F92" s="938"/>
      <c r="G92" s="1320"/>
      <c r="H92" s="1320"/>
      <c r="I92" s="1320"/>
      <c r="J92" s="1320"/>
      <c r="K92" s="1320"/>
      <c r="L92" s="1320"/>
      <c r="M92" s="936"/>
      <c r="N92" s="936"/>
      <c r="O92" s="936"/>
      <c r="P92" s="936"/>
      <c r="Q92" s="939"/>
      <c r="R92" s="939"/>
      <c r="S92" s="324"/>
      <c r="T92" s="954" t="e">
        <f>VLOOKUP(Q92,[90]Listas!$D$6:$E$10,2,0)</f>
        <v>#N/A</v>
      </c>
      <c r="U92" s="954" t="e">
        <f>HLOOKUP(R92,[90]Listas!$F$4:$J$5,2,0)</f>
        <v>#N/A</v>
      </c>
      <c r="V92" s="947" t="e">
        <f>INDEX([90]Listas!$F$6:$J$10,MATCH(Q92,[90]Listas!$D$6:$D$10,0),MATCH(R92,[90]Listas!$F$4:$J$4,0))</f>
        <v>#N/A</v>
      </c>
      <c r="W92" s="324"/>
      <c r="X92" s="1342"/>
      <c r="Y92" s="1343"/>
      <c r="Z92" s="1344"/>
      <c r="AA92" s="1071"/>
      <c r="AB92" s="938"/>
      <c r="AC92" s="946"/>
      <c r="AD92" s="936"/>
      <c r="AE92" s="938"/>
      <c r="AF92" s="324"/>
      <c r="AG92" s="954">
        <f t="shared" si="0"/>
        <v>0</v>
      </c>
      <c r="AH92" s="955" t="e">
        <f t="shared" si="1"/>
        <v>#N/A</v>
      </c>
      <c r="AI92" s="952" t="e">
        <f>IF(AH92&lt;=1,"Remota",VLOOKUP(AH92,[90]Listas!$C$6:$D$10,2,0))</f>
        <v>#N/A</v>
      </c>
      <c r="AJ92" s="955" t="e">
        <f t="shared" si="2"/>
        <v>#N/A</v>
      </c>
      <c r="AK92" s="952" t="e">
        <f>IF(AJ92&lt;=1,"Insignificante",HLOOKUP(AJ92,[90]Listas!$F$3:$J$4,2,0))</f>
        <v>#N/A</v>
      </c>
      <c r="AL92" s="953" t="e">
        <f t="shared" si="3"/>
        <v>#N/A</v>
      </c>
      <c r="AM92" s="947" t="e">
        <f>INDEX([90]Listas!$F$6:$J$10,MATCH(AI92,[90]Listas!$D$6:$D$10,0),MATCH(AK92,[90]Listas!$F$4:$J$4,0))</f>
        <v>#N/A</v>
      </c>
      <c r="AN92" s="259"/>
      <c r="AO92" s="259"/>
      <c r="AP92" s="937"/>
      <c r="AQ92" s="259"/>
      <c r="AR92" s="259" t="s">
        <v>2877</v>
      </c>
      <c r="AS92" s="935"/>
      <c r="AT92" s="259"/>
      <c r="AU92" s="259"/>
      <c r="AV92" s="261"/>
      <c r="AW92" s="261"/>
      <c r="AX92" s="935"/>
      <c r="AY92" s="262"/>
    </row>
    <row r="93" spans="1:51" s="260" customFormat="1" ht="103.5" hidden="1" customHeight="1">
      <c r="A93" s="936"/>
      <c r="B93" s="939"/>
      <c r="C93" s="1320"/>
      <c r="D93" s="1320"/>
      <c r="E93" s="1320"/>
      <c r="F93" s="938"/>
      <c r="G93" s="1320"/>
      <c r="H93" s="1320"/>
      <c r="I93" s="1320"/>
      <c r="J93" s="1320"/>
      <c r="K93" s="1320"/>
      <c r="L93" s="1320"/>
      <c r="M93" s="936"/>
      <c r="N93" s="936"/>
      <c r="O93" s="936"/>
      <c r="P93" s="936"/>
      <c r="Q93" s="939"/>
      <c r="R93" s="939"/>
      <c r="S93" s="324"/>
      <c r="T93" s="954" t="e">
        <f>VLOOKUP(Q93,[90]Listas!$D$6:$E$10,2,0)</f>
        <v>#N/A</v>
      </c>
      <c r="U93" s="954" t="e">
        <f>HLOOKUP(R93,[90]Listas!$F$4:$J$5,2,0)</f>
        <v>#N/A</v>
      </c>
      <c r="V93" s="947" t="e">
        <f>INDEX([90]Listas!$F$6:$J$10,MATCH(Q93,[90]Listas!$D$6:$D$10,0),MATCH(R93,[90]Listas!$F$4:$J$4,0))</f>
        <v>#N/A</v>
      </c>
      <c r="W93" s="324"/>
      <c r="X93" s="1320"/>
      <c r="Y93" s="1320"/>
      <c r="Z93" s="1320"/>
      <c r="AA93" s="1068"/>
      <c r="AB93" s="938"/>
      <c r="AC93" s="946"/>
      <c r="AD93" s="936"/>
      <c r="AE93" s="938"/>
      <c r="AF93" s="324"/>
      <c r="AG93" s="954">
        <f t="shared" si="0"/>
        <v>0</v>
      </c>
      <c r="AH93" s="955" t="e">
        <f t="shared" si="1"/>
        <v>#N/A</v>
      </c>
      <c r="AI93" s="952" t="e">
        <f>IF(AH93&lt;=1,"Remota",VLOOKUP(AH93,[90]Listas!$C$6:$D$10,2,0))</f>
        <v>#N/A</v>
      </c>
      <c r="AJ93" s="955" t="e">
        <f t="shared" si="2"/>
        <v>#N/A</v>
      </c>
      <c r="AK93" s="952" t="e">
        <f>IF(AJ93&lt;=1,"Insignificante",HLOOKUP(AJ93,[90]Listas!$F$3:$J$4,2,0))</f>
        <v>#N/A</v>
      </c>
      <c r="AL93" s="953" t="e">
        <f t="shared" si="3"/>
        <v>#N/A</v>
      </c>
      <c r="AM93" s="947" t="e">
        <f>INDEX([90]Listas!$F$6:$J$10,MATCH(AI93,[90]Listas!$D$6:$D$10,0),MATCH(AK93,[90]Listas!$F$4:$J$4,0))</f>
        <v>#N/A</v>
      </c>
      <c r="AN93" s="259"/>
      <c r="AO93" s="259"/>
      <c r="AP93" s="937"/>
      <c r="AQ93" s="259"/>
      <c r="AR93" s="259" t="s">
        <v>2877</v>
      </c>
      <c r="AS93" s="935"/>
      <c r="AT93" s="259"/>
      <c r="AU93" s="259"/>
      <c r="AV93" s="261"/>
      <c r="AW93" s="261"/>
      <c r="AX93" s="935"/>
      <c r="AY93" s="262"/>
    </row>
    <row r="94" spans="1:51" s="260" customFormat="1" ht="103.5" hidden="1" customHeight="1">
      <c r="A94" s="936"/>
      <c r="B94" s="939"/>
      <c r="C94" s="1320"/>
      <c r="D94" s="1320"/>
      <c r="E94" s="1320"/>
      <c r="F94" s="938"/>
      <c r="G94" s="1320"/>
      <c r="H94" s="1320"/>
      <c r="I94" s="1320"/>
      <c r="J94" s="1320"/>
      <c r="K94" s="1320"/>
      <c r="L94" s="1320"/>
      <c r="M94" s="936"/>
      <c r="N94" s="936"/>
      <c r="O94" s="936"/>
      <c r="P94" s="936"/>
      <c r="Q94" s="939"/>
      <c r="R94" s="939"/>
      <c r="S94" s="324"/>
      <c r="T94" s="954" t="e">
        <f>VLOOKUP(Q94,[90]Listas!$D$6:$E$10,2,0)</f>
        <v>#N/A</v>
      </c>
      <c r="U94" s="954" t="e">
        <f>HLOOKUP(R94,[90]Listas!$F$4:$J$5,2,0)</f>
        <v>#N/A</v>
      </c>
      <c r="V94" s="947" t="e">
        <f>INDEX([90]Listas!$F$6:$J$10,MATCH(Q94,[90]Listas!$D$6:$D$10,0),MATCH(R94,[90]Listas!$F$4:$J$4,0))</f>
        <v>#N/A</v>
      </c>
      <c r="W94" s="324"/>
      <c r="X94" s="1320"/>
      <c r="Y94" s="1320"/>
      <c r="Z94" s="1320"/>
      <c r="AA94" s="1068"/>
      <c r="AB94" s="938"/>
      <c r="AC94" s="946"/>
      <c r="AD94" s="936"/>
      <c r="AE94" s="938"/>
      <c r="AF94" s="324"/>
      <c r="AG94" s="954">
        <f t="shared" si="0"/>
        <v>0</v>
      </c>
      <c r="AH94" s="955" t="e">
        <f t="shared" si="1"/>
        <v>#N/A</v>
      </c>
      <c r="AI94" s="952" t="e">
        <f>IF(AH94&lt;=1,"Remota",VLOOKUP(AH94,[90]Listas!$C$6:$D$10,2,0))</f>
        <v>#N/A</v>
      </c>
      <c r="AJ94" s="955" t="e">
        <f t="shared" si="2"/>
        <v>#N/A</v>
      </c>
      <c r="AK94" s="952" t="e">
        <f>IF(AJ94&lt;=1,"Insignificante",HLOOKUP(AJ94,[90]Listas!$F$3:$J$4,2,0))</f>
        <v>#N/A</v>
      </c>
      <c r="AL94" s="953" t="e">
        <f t="shared" si="3"/>
        <v>#N/A</v>
      </c>
      <c r="AM94" s="947" t="e">
        <f>INDEX([90]Listas!$F$6:$J$10,MATCH(AI94,[90]Listas!$D$6:$D$10,0),MATCH(AK94,[90]Listas!$F$4:$J$4,0))</f>
        <v>#N/A</v>
      </c>
      <c r="AN94" s="259"/>
      <c r="AO94" s="259"/>
      <c r="AP94" s="937"/>
      <c r="AQ94" s="259"/>
      <c r="AR94" s="259" t="s">
        <v>2877</v>
      </c>
      <c r="AS94" s="935"/>
      <c r="AT94" s="259"/>
      <c r="AU94" s="259"/>
      <c r="AV94" s="261"/>
      <c r="AW94" s="261"/>
      <c r="AX94" s="935"/>
      <c r="AY94" s="262"/>
    </row>
    <row r="95" spans="1:51" s="260" customFormat="1" ht="103.5" hidden="1" customHeight="1">
      <c r="A95" s="936"/>
      <c r="B95" s="939"/>
      <c r="C95" s="1320"/>
      <c r="D95" s="1320"/>
      <c r="E95" s="1320"/>
      <c r="F95" s="938"/>
      <c r="G95" s="1320"/>
      <c r="H95" s="1320"/>
      <c r="I95" s="1320"/>
      <c r="J95" s="1320"/>
      <c r="K95" s="1320"/>
      <c r="L95" s="1320"/>
      <c r="M95" s="936"/>
      <c r="N95" s="936"/>
      <c r="O95" s="936"/>
      <c r="P95" s="936"/>
      <c r="Q95" s="939"/>
      <c r="R95" s="939"/>
      <c r="S95" s="324"/>
      <c r="T95" s="954" t="e">
        <f>VLOOKUP(Q95,[90]Listas!$D$6:$E$10,2,0)</f>
        <v>#N/A</v>
      </c>
      <c r="U95" s="954" t="e">
        <f>HLOOKUP(R95,[90]Listas!$F$4:$J$5,2,0)</f>
        <v>#N/A</v>
      </c>
      <c r="V95" s="947" t="e">
        <f>INDEX([90]Listas!$F$6:$J$10,MATCH(Q95,[90]Listas!$D$6:$D$10,0),MATCH(R95,[90]Listas!$F$4:$J$4,0))</f>
        <v>#N/A</v>
      </c>
      <c r="W95" s="324"/>
      <c r="X95" s="1320"/>
      <c r="Y95" s="1320"/>
      <c r="Z95" s="1320"/>
      <c r="AA95" s="1068"/>
      <c r="AB95" s="938"/>
      <c r="AC95" s="946"/>
      <c r="AD95" s="936"/>
      <c r="AE95" s="938"/>
      <c r="AF95" s="324"/>
      <c r="AG95" s="954">
        <f t="shared" si="0"/>
        <v>0</v>
      </c>
      <c r="AH95" s="955" t="e">
        <f t="shared" si="1"/>
        <v>#N/A</v>
      </c>
      <c r="AI95" s="952" t="e">
        <f>IF(AH95&lt;=1,"Remota",VLOOKUP(AH95,[90]Listas!$C$6:$D$10,2,0))</f>
        <v>#N/A</v>
      </c>
      <c r="AJ95" s="955" t="e">
        <f t="shared" si="2"/>
        <v>#N/A</v>
      </c>
      <c r="AK95" s="952" t="e">
        <f>IF(AJ95&lt;=1,"Insignificante",HLOOKUP(AJ95,[90]Listas!$F$3:$J$4,2,0))</f>
        <v>#N/A</v>
      </c>
      <c r="AL95" s="953" t="e">
        <f t="shared" si="3"/>
        <v>#N/A</v>
      </c>
      <c r="AM95" s="947" t="e">
        <f>INDEX([90]Listas!$F$6:$J$10,MATCH(AI95,[90]Listas!$D$6:$D$10,0),MATCH(AK95,[90]Listas!$F$4:$J$4,0))</f>
        <v>#N/A</v>
      </c>
      <c r="AN95" s="259"/>
      <c r="AO95" s="259"/>
      <c r="AP95" s="937"/>
      <c r="AQ95" s="259"/>
      <c r="AR95" s="259" t="s">
        <v>2877</v>
      </c>
      <c r="AS95" s="935"/>
      <c r="AT95" s="259"/>
      <c r="AU95" s="259"/>
      <c r="AV95" s="261"/>
      <c r="AW95" s="261"/>
      <c r="AX95" s="935"/>
      <c r="AY95" s="262"/>
    </row>
    <row r="96" spans="1:51" s="260" customFormat="1" ht="103.5" hidden="1" customHeight="1">
      <c r="A96" s="936"/>
      <c r="B96" s="939"/>
      <c r="C96" s="1320"/>
      <c r="D96" s="1320"/>
      <c r="E96" s="1320"/>
      <c r="F96" s="938"/>
      <c r="G96" s="1320"/>
      <c r="H96" s="1320"/>
      <c r="I96" s="1320"/>
      <c r="J96" s="1320"/>
      <c r="K96" s="1320"/>
      <c r="L96" s="1320"/>
      <c r="M96" s="936"/>
      <c r="N96" s="936"/>
      <c r="O96" s="936"/>
      <c r="P96" s="936"/>
      <c r="Q96" s="939"/>
      <c r="R96" s="939"/>
      <c r="S96" s="324"/>
      <c r="T96" s="954" t="e">
        <f>VLOOKUP(Q96,[90]Listas!$D$6:$E$10,2,0)</f>
        <v>#N/A</v>
      </c>
      <c r="U96" s="954" t="e">
        <f>HLOOKUP(R96,[90]Listas!$F$4:$J$5,2,0)</f>
        <v>#N/A</v>
      </c>
      <c r="V96" s="947" t="e">
        <f>INDEX([90]Listas!$F$6:$J$10,MATCH(Q96,[90]Listas!$D$6:$D$10,0),MATCH(R96,[90]Listas!$F$4:$J$4,0))</f>
        <v>#N/A</v>
      </c>
      <c r="W96" s="324"/>
      <c r="X96" s="1320"/>
      <c r="Y96" s="1320"/>
      <c r="Z96" s="1320"/>
      <c r="AA96" s="1068"/>
      <c r="AB96" s="938"/>
      <c r="AC96" s="946"/>
      <c r="AD96" s="936"/>
      <c r="AE96" s="938"/>
      <c r="AF96" s="324"/>
      <c r="AG96" s="954">
        <f t="shared" si="0"/>
        <v>0</v>
      </c>
      <c r="AH96" s="955" t="e">
        <f t="shared" si="1"/>
        <v>#N/A</v>
      </c>
      <c r="AI96" s="952" t="e">
        <f>IF(AH96&lt;=1,"Remota",VLOOKUP(AH96,[90]Listas!$C$6:$D$10,2,0))</f>
        <v>#N/A</v>
      </c>
      <c r="AJ96" s="955" t="e">
        <f t="shared" si="2"/>
        <v>#N/A</v>
      </c>
      <c r="AK96" s="952" t="e">
        <f>IF(AJ96&lt;=1,"Insignificante",HLOOKUP(AJ96,[90]Listas!$F$3:$J$4,2,0))</f>
        <v>#N/A</v>
      </c>
      <c r="AL96" s="953" t="e">
        <f t="shared" si="3"/>
        <v>#N/A</v>
      </c>
      <c r="AM96" s="947" t="e">
        <f>INDEX([90]Listas!$F$6:$J$10,MATCH(AI96,[90]Listas!$D$6:$D$10,0),MATCH(AK96,[90]Listas!$F$4:$J$4,0))</f>
        <v>#N/A</v>
      </c>
      <c r="AN96" s="259"/>
      <c r="AO96" s="259"/>
      <c r="AP96" s="937"/>
      <c r="AQ96" s="259"/>
      <c r="AR96" s="259" t="s">
        <v>2877</v>
      </c>
      <c r="AS96" s="935"/>
      <c r="AT96" s="259"/>
      <c r="AU96" s="259"/>
      <c r="AV96" s="261"/>
      <c r="AW96" s="261"/>
      <c r="AX96" s="935"/>
      <c r="AY96" s="262"/>
    </row>
    <row r="97" spans="1:51" s="260" customFormat="1" ht="103.5" hidden="1" customHeight="1">
      <c r="A97" s="936"/>
      <c r="B97" s="939"/>
      <c r="C97" s="1320"/>
      <c r="D97" s="1320"/>
      <c r="E97" s="1320"/>
      <c r="F97" s="938"/>
      <c r="G97" s="1320"/>
      <c r="H97" s="1320"/>
      <c r="I97" s="1320"/>
      <c r="J97" s="1320"/>
      <c r="K97" s="1320"/>
      <c r="L97" s="1320"/>
      <c r="M97" s="936"/>
      <c r="N97" s="936"/>
      <c r="O97" s="936"/>
      <c r="P97" s="936"/>
      <c r="Q97" s="939"/>
      <c r="R97" s="939"/>
      <c r="S97" s="324"/>
      <c r="T97" s="954" t="e">
        <f>VLOOKUP(Q97,[90]Listas!$D$6:$E$10,2,0)</f>
        <v>#N/A</v>
      </c>
      <c r="U97" s="954" t="e">
        <f>HLOOKUP(R97,[90]Listas!$F$4:$J$5,2,0)</f>
        <v>#N/A</v>
      </c>
      <c r="V97" s="947" t="e">
        <f>INDEX([90]Listas!$F$6:$J$10,MATCH(Q97,[90]Listas!$D$6:$D$10,0),MATCH(R97,[90]Listas!$F$4:$J$4,0))</f>
        <v>#N/A</v>
      </c>
      <c r="W97" s="324"/>
      <c r="X97" s="1320"/>
      <c r="Y97" s="1320"/>
      <c r="Z97" s="1320"/>
      <c r="AA97" s="1068"/>
      <c r="AB97" s="938"/>
      <c r="AC97" s="946"/>
      <c r="AD97" s="936"/>
      <c r="AE97" s="938"/>
      <c r="AF97" s="324"/>
      <c r="AG97" s="954">
        <f t="shared" si="0"/>
        <v>0</v>
      </c>
      <c r="AH97" s="955" t="e">
        <f t="shared" si="1"/>
        <v>#N/A</v>
      </c>
      <c r="AI97" s="952" t="e">
        <f>IF(AH97&lt;=1,"Remota",VLOOKUP(AH97,[90]Listas!$C$6:$D$10,2,0))</f>
        <v>#N/A</v>
      </c>
      <c r="AJ97" s="955" t="e">
        <f t="shared" si="2"/>
        <v>#N/A</v>
      </c>
      <c r="AK97" s="952" t="e">
        <f>IF(AJ97&lt;=1,"Insignificante",HLOOKUP(AJ97,[90]Listas!$F$3:$J$4,2,0))</f>
        <v>#N/A</v>
      </c>
      <c r="AL97" s="953" t="e">
        <f t="shared" si="3"/>
        <v>#N/A</v>
      </c>
      <c r="AM97" s="947" t="e">
        <f>INDEX([90]Listas!$F$6:$J$10,MATCH(AI97,[90]Listas!$D$6:$D$10,0),MATCH(AK97,[90]Listas!$F$4:$J$4,0))</f>
        <v>#N/A</v>
      </c>
      <c r="AN97" s="259"/>
      <c r="AO97" s="259"/>
      <c r="AP97" s="937"/>
      <c r="AQ97" s="259"/>
      <c r="AR97" s="259" t="s">
        <v>2877</v>
      </c>
      <c r="AS97" s="935"/>
      <c r="AT97" s="259"/>
      <c r="AU97" s="259"/>
      <c r="AV97" s="261"/>
      <c r="AW97" s="261"/>
      <c r="AX97" s="935"/>
      <c r="AY97" s="262"/>
    </row>
    <row r="98" spans="1:51" s="260" customFormat="1" ht="103.5" hidden="1" customHeight="1">
      <c r="A98" s="936"/>
      <c r="B98" s="939"/>
      <c r="C98" s="1320"/>
      <c r="D98" s="1320"/>
      <c r="E98" s="1320"/>
      <c r="F98" s="938"/>
      <c r="G98" s="1320"/>
      <c r="H98" s="1320"/>
      <c r="I98" s="1320"/>
      <c r="J98" s="1320"/>
      <c r="K98" s="1320"/>
      <c r="L98" s="1320"/>
      <c r="M98" s="936"/>
      <c r="N98" s="936"/>
      <c r="O98" s="936"/>
      <c r="P98" s="936"/>
      <c r="Q98" s="939"/>
      <c r="R98" s="939"/>
      <c r="S98" s="324"/>
      <c r="T98" s="954" t="e">
        <f>VLOOKUP(Q98,[90]Listas!$D$6:$E$10,2,0)</f>
        <v>#N/A</v>
      </c>
      <c r="U98" s="954" t="e">
        <f>HLOOKUP(R98,[90]Listas!$F$4:$J$5,2,0)</f>
        <v>#N/A</v>
      </c>
      <c r="V98" s="947" t="e">
        <f>INDEX([90]Listas!$F$6:$J$10,MATCH(Q98,[90]Listas!$D$6:$D$10,0),MATCH(R98,[90]Listas!$F$4:$J$4,0))</f>
        <v>#N/A</v>
      </c>
      <c r="W98" s="324"/>
      <c r="X98" s="1320"/>
      <c r="Y98" s="1320"/>
      <c r="Z98" s="1320"/>
      <c r="AA98" s="1068"/>
      <c r="AB98" s="938"/>
      <c r="AC98" s="946"/>
      <c r="AD98" s="936"/>
      <c r="AE98" s="938"/>
      <c r="AF98" s="324"/>
      <c r="AG98" s="954">
        <f t="shared" si="0"/>
        <v>0</v>
      </c>
      <c r="AH98" s="955" t="e">
        <f t="shared" si="1"/>
        <v>#N/A</v>
      </c>
      <c r="AI98" s="952" t="e">
        <f>IF(AH98&lt;=1,"Remota",VLOOKUP(AH98,[90]Listas!$C$6:$D$10,2,0))</f>
        <v>#N/A</v>
      </c>
      <c r="AJ98" s="955" t="e">
        <f t="shared" si="2"/>
        <v>#N/A</v>
      </c>
      <c r="AK98" s="952" t="e">
        <f>IF(AJ98&lt;=1,"Insignificante",HLOOKUP(AJ98,[90]Listas!$F$3:$J$4,2,0))</f>
        <v>#N/A</v>
      </c>
      <c r="AL98" s="953" t="e">
        <f t="shared" si="3"/>
        <v>#N/A</v>
      </c>
      <c r="AM98" s="947" t="e">
        <f>INDEX([90]Listas!$F$6:$J$10,MATCH(AI98,[90]Listas!$D$6:$D$10,0),MATCH(AK98,[90]Listas!$F$4:$J$4,0))</f>
        <v>#N/A</v>
      </c>
      <c r="AN98" s="259"/>
      <c r="AO98" s="259"/>
      <c r="AP98" s="937"/>
      <c r="AQ98" s="259"/>
      <c r="AR98" s="259" t="s">
        <v>2877</v>
      </c>
      <c r="AS98" s="935"/>
      <c r="AT98" s="259"/>
      <c r="AU98" s="259"/>
      <c r="AV98" s="261"/>
      <c r="AW98" s="261"/>
      <c r="AX98" s="935"/>
      <c r="AY98" s="262"/>
    </row>
    <row r="99" spans="1:51" s="260" customFormat="1" ht="103.5" hidden="1" customHeight="1">
      <c r="A99" s="936"/>
      <c r="B99" s="939"/>
      <c r="C99" s="1320"/>
      <c r="D99" s="1320"/>
      <c r="E99" s="1320"/>
      <c r="F99" s="938"/>
      <c r="G99" s="1320"/>
      <c r="H99" s="1320"/>
      <c r="I99" s="1320"/>
      <c r="J99" s="1320"/>
      <c r="K99" s="1320"/>
      <c r="L99" s="1320"/>
      <c r="M99" s="936"/>
      <c r="N99" s="936"/>
      <c r="O99" s="936"/>
      <c r="P99" s="936"/>
      <c r="Q99" s="939"/>
      <c r="R99" s="939"/>
      <c r="S99" s="324"/>
      <c r="T99" s="954" t="e">
        <f>VLOOKUP(Q99,[90]Listas!$D$6:$E$10,2,0)</f>
        <v>#N/A</v>
      </c>
      <c r="U99" s="954" t="e">
        <f>HLOOKUP(R99,[90]Listas!$F$4:$J$5,2,0)</f>
        <v>#N/A</v>
      </c>
      <c r="V99" s="947" t="e">
        <f>INDEX([90]Listas!$F$6:$J$10,MATCH(Q99,[90]Listas!$D$6:$D$10,0),MATCH(R99,[90]Listas!$F$4:$J$4,0))</f>
        <v>#N/A</v>
      </c>
      <c r="W99" s="324"/>
      <c r="X99" s="1320"/>
      <c r="Y99" s="1320"/>
      <c r="Z99" s="1320"/>
      <c r="AA99" s="1068"/>
      <c r="AB99" s="938"/>
      <c r="AC99" s="946"/>
      <c r="AD99" s="936"/>
      <c r="AE99" s="938"/>
      <c r="AF99" s="324"/>
      <c r="AG99" s="954">
        <f t="shared" si="0"/>
        <v>0</v>
      </c>
      <c r="AH99" s="955" t="e">
        <f t="shared" si="1"/>
        <v>#N/A</v>
      </c>
      <c r="AI99" s="952" t="e">
        <f>IF(AH99&lt;=1,"Remota",VLOOKUP(AH99,[90]Listas!$C$6:$D$10,2,0))</f>
        <v>#N/A</v>
      </c>
      <c r="AJ99" s="955" t="e">
        <f t="shared" si="2"/>
        <v>#N/A</v>
      </c>
      <c r="AK99" s="952" t="e">
        <f>IF(AJ99&lt;=1,"Insignificante",HLOOKUP(AJ99,[90]Listas!$F$3:$J$4,2,0))</f>
        <v>#N/A</v>
      </c>
      <c r="AL99" s="953" t="e">
        <f t="shared" si="3"/>
        <v>#N/A</v>
      </c>
      <c r="AM99" s="947" t="e">
        <f>INDEX([90]Listas!$F$6:$J$10,MATCH(AI99,[90]Listas!$D$6:$D$10,0),MATCH(AK99,[90]Listas!$F$4:$J$4,0))</f>
        <v>#N/A</v>
      </c>
      <c r="AN99" s="259"/>
      <c r="AO99" s="259"/>
      <c r="AP99" s="937"/>
      <c r="AQ99" s="259"/>
      <c r="AR99" s="259" t="s">
        <v>2877</v>
      </c>
      <c r="AS99" s="935"/>
      <c r="AT99" s="259"/>
      <c r="AU99" s="259"/>
      <c r="AV99" s="261"/>
      <c r="AW99" s="261"/>
      <c r="AX99" s="935"/>
      <c r="AY99" s="262"/>
    </row>
    <row r="100" spans="1:51" s="260" customFormat="1" ht="103.5" hidden="1" customHeight="1">
      <c r="A100" s="936"/>
      <c r="B100" s="939"/>
      <c r="C100" s="1320"/>
      <c r="D100" s="1320"/>
      <c r="E100" s="1320"/>
      <c r="F100" s="938"/>
      <c r="G100" s="1320"/>
      <c r="H100" s="1320"/>
      <c r="I100" s="1320"/>
      <c r="J100" s="1320"/>
      <c r="K100" s="1320"/>
      <c r="L100" s="1320"/>
      <c r="M100" s="936"/>
      <c r="N100" s="936"/>
      <c r="O100" s="936"/>
      <c r="P100" s="936"/>
      <c r="Q100" s="939"/>
      <c r="R100" s="939"/>
      <c r="S100" s="324"/>
      <c r="T100" s="954" t="e">
        <f>VLOOKUP(Q100,[90]Listas!$D$6:$E$10,2,0)</f>
        <v>#N/A</v>
      </c>
      <c r="U100" s="954" t="e">
        <f>HLOOKUP(R100,[90]Listas!$F$4:$J$5,2,0)</f>
        <v>#N/A</v>
      </c>
      <c r="V100" s="947" t="e">
        <f>INDEX([90]Listas!$F$6:$J$10,MATCH(Q100,[90]Listas!$D$6:$D$10,0),MATCH(R100,[90]Listas!$F$4:$J$4,0))</f>
        <v>#N/A</v>
      </c>
      <c r="W100" s="324"/>
      <c r="X100" s="1320"/>
      <c r="Y100" s="1320"/>
      <c r="Z100" s="1320"/>
      <c r="AA100" s="1068"/>
      <c r="AB100" s="938"/>
      <c r="AC100" s="946"/>
      <c r="AD100" s="936"/>
      <c r="AE100" s="938"/>
      <c r="AF100" s="324"/>
      <c r="AG100" s="954">
        <f t="shared" ref="AG100:AG129" si="12">IF(AD100&lt;=33,0,IF(AD100&gt;81,2,1))</f>
        <v>0</v>
      </c>
      <c r="AH100" s="955" t="e">
        <f t="shared" ref="AH100:AH129" si="13">IF(OR(AE100="Probabilidad",AE100="Ambos"),T100-AG100,T100)</f>
        <v>#N/A</v>
      </c>
      <c r="AI100" s="952" t="e">
        <f>IF(AH100&lt;=1,"Remota",VLOOKUP(AH100,[90]Listas!$C$6:$D$10,2,0))</f>
        <v>#N/A</v>
      </c>
      <c r="AJ100" s="955" t="e">
        <f t="shared" ref="AJ100:AJ129" si="14">IF(OR(AE100="Impacto",AE100="Ambos"),U100-AG100,U100)</f>
        <v>#N/A</v>
      </c>
      <c r="AK100" s="952" t="e">
        <f>IF(AJ100&lt;=1,"Insignificante",HLOOKUP(AJ100,[90]Listas!$F$3:$J$4,2,0))</f>
        <v>#N/A</v>
      </c>
      <c r="AL100" s="953" t="e">
        <f t="shared" ref="AL100:AL129" si="15">AH100*AJ100</f>
        <v>#N/A</v>
      </c>
      <c r="AM100" s="947" t="e">
        <f>INDEX([90]Listas!$F$6:$J$10,MATCH(AI100,[90]Listas!$D$6:$D$10,0),MATCH(AK100,[90]Listas!$F$4:$J$4,0))</f>
        <v>#N/A</v>
      </c>
      <c r="AN100" s="259"/>
      <c r="AO100" s="259"/>
      <c r="AP100" s="937"/>
      <c r="AQ100" s="259"/>
      <c r="AR100" s="259" t="s">
        <v>2877</v>
      </c>
      <c r="AS100" s="935"/>
      <c r="AT100" s="259"/>
      <c r="AU100" s="259"/>
      <c r="AV100" s="261"/>
      <c r="AW100" s="261"/>
      <c r="AX100" s="935"/>
      <c r="AY100" s="262"/>
    </row>
    <row r="101" spans="1:51" s="260" customFormat="1" ht="103.5" hidden="1" customHeight="1">
      <c r="A101" s="936"/>
      <c r="B101" s="939"/>
      <c r="C101" s="1320"/>
      <c r="D101" s="1320"/>
      <c r="E101" s="1320"/>
      <c r="F101" s="938"/>
      <c r="G101" s="1320"/>
      <c r="H101" s="1320"/>
      <c r="I101" s="1320"/>
      <c r="J101" s="1320"/>
      <c r="K101" s="1320"/>
      <c r="L101" s="1320"/>
      <c r="M101" s="936"/>
      <c r="N101" s="936"/>
      <c r="O101" s="936"/>
      <c r="P101" s="936"/>
      <c r="Q101" s="939"/>
      <c r="R101" s="939"/>
      <c r="S101" s="324"/>
      <c r="T101" s="954" t="e">
        <f>VLOOKUP(Q101,[90]Listas!$D$6:$E$10,2,0)</f>
        <v>#N/A</v>
      </c>
      <c r="U101" s="954" t="e">
        <f>HLOOKUP(R101,[90]Listas!$F$4:$J$5,2,0)</f>
        <v>#N/A</v>
      </c>
      <c r="V101" s="947" t="e">
        <f>INDEX([90]Listas!$F$6:$J$10,MATCH(Q101,[90]Listas!$D$6:$D$10,0),MATCH(R101,[90]Listas!$F$4:$J$4,0))</f>
        <v>#N/A</v>
      </c>
      <c r="W101" s="324"/>
      <c r="X101" s="1320"/>
      <c r="Y101" s="1320"/>
      <c r="Z101" s="1320"/>
      <c r="AA101" s="1068"/>
      <c r="AB101" s="938"/>
      <c r="AC101" s="946"/>
      <c r="AD101" s="936"/>
      <c r="AE101" s="938"/>
      <c r="AF101" s="324"/>
      <c r="AG101" s="954">
        <f t="shared" si="12"/>
        <v>0</v>
      </c>
      <c r="AH101" s="955" t="e">
        <f t="shared" si="13"/>
        <v>#N/A</v>
      </c>
      <c r="AI101" s="952" t="e">
        <f>IF(AH101&lt;=1,"Remota",VLOOKUP(AH101,[90]Listas!$C$6:$D$10,2,0))</f>
        <v>#N/A</v>
      </c>
      <c r="AJ101" s="955" t="e">
        <f t="shared" si="14"/>
        <v>#N/A</v>
      </c>
      <c r="AK101" s="952" t="e">
        <f>IF(AJ101&lt;=1,"Insignificante",HLOOKUP(AJ101,[90]Listas!$F$3:$J$4,2,0))</f>
        <v>#N/A</v>
      </c>
      <c r="AL101" s="953" t="e">
        <f t="shared" si="15"/>
        <v>#N/A</v>
      </c>
      <c r="AM101" s="947" t="e">
        <f>INDEX([90]Listas!$F$6:$J$10,MATCH(AI101,[90]Listas!$D$6:$D$10,0),MATCH(AK101,[90]Listas!$F$4:$J$4,0))</f>
        <v>#N/A</v>
      </c>
      <c r="AN101" s="259"/>
      <c r="AO101" s="259"/>
      <c r="AP101" s="937"/>
      <c r="AQ101" s="259"/>
      <c r="AR101" s="259" t="s">
        <v>2877</v>
      </c>
      <c r="AS101" s="935"/>
      <c r="AT101" s="259"/>
      <c r="AU101" s="259"/>
      <c r="AV101" s="261"/>
      <c r="AW101" s="261"/>
      <c r="AX101" s="935"/>
      <c r="AY101" s="262"/>
    </row>
    <row r="102" spans="1:51" s="260" customFormat="1" ht="103.5" hidden="1" customHeight="1">
      <c r="A102" s="936"/>
      <c r="B102" s="939"/>
      <c r="C102" s="1320"/>
      <c r="D102" s="1320"/>
      <c r="E102" s="1320"/>
      <c r="F102" s="938"/>
      <c r="G102" s="1320"/>
      <c r="H102" s="1320"/>
      <c r="I102" s="1320"/>
      <c r="J102" s="1320"/>
      <c r="K102" s="1320"/>
      <c r="L102" s="1320"/>
      <c r="M102" s="936"/>
      <c r="N102" s="936"/>
      <c r="O102" s="936"/>
      <c r="P102" s="936"/>
      <c r="Q102" s="939"/>
      <c r="R102" s="939"/>
      <c r="S102" s="324"/>
      <c r="T102" s="954" t="e">
        <f>VLOOKUP(Q102,[90]Listas!$D$6:$E$10,2,0)</f>
        <v>#N/A</v>
      </c>
      <c r="U102" s="954" t="e">
        <f>HLOOKUP(R102,[90]Listas!$F$4:$J$5,2,0)</f>
        <v>#N/A</v>
      </c>
      <c r="V102" s="947" t="e">
        <f>INDEX([90]Listas!$F$6:$J$10,MATCH(Q102,[90]Listas!$D$6:$D$10,0),MATCH(R102,[90]Listas!$F$4:$J$4,0))</f>
        <v>#N/A</v>
      </c>
      <c r="W102" s="324"/>
      <c r="X102" s="1320"/>
      <c r="Y102" s="1320"/>
      <c r="Z102" s="1320"/>
      <c r="AA102" s="1068"/>
      <c r="AB102" s="938"/>
      <c r="AC102" s="946"/>
      <c r="AD102" s="936"/>
      <c r="AE102" s="938"/>
      <c r="AF102" s="324"/>
      <c r="AG102" s="954">
        <f t="shared" si="12"/>
        <v>0</v>
      </c>
      <c r="AH102" s="955" t="e">
        <f t="shared" si="13"/>
        <v>#N/A</v>
      </c>
      <c r="AI102" s="952" t="e">
        <f>IF(AH102&lt;=1,"Remota",VLOOKUP(AH102,[90]Listas!$C$6:$D$10,2,0))</f>
        <v>#N/A</v>
      </c>
      <c r="AJ102" s="955" t="e">
        <f t="shared" si="14"/>
        <v>#N/A</v>
      </c>
      <c r="AK102" s="952" t="e">
        <f>IF(AJ102&lt;=1,"Insignificante",HLOOKUP(AJ102,[90]Listas!$F$3:$J$4,2,0))</f>
        <v>#N/A</v>
      </c>
      <c r="AL102" s="953" t="e">
        <f t="shared" si="15"/>
        <v>#N/A</v>
      </c>
      <c r="AM102" s="947" t="e">
        <f>INDEX([90]Listas!$F$6:$J$10,MATCH(AI102,[90]Listas!$D$6:$D$10,0),MATCH(AK102,[90]Listas!$F$4:$J$4,0))</f>
        <v>#N/A</v>
      </c>
      <c r="AN102" s="259"/>
      <c r="AO102" s="259"/>
      <c r="AP102" s="937"/>
      <c r="AQ102" s="259"/>
      <c r="AR102" s="259" t="s">
        <v>2877</v>
      </c>
      <c r="AS102" s="935"/>
      <c r="AT102" s="259"/>
      <c r="AU102" s="259"/>
      <c r="AV102" s="261"/>
      <c r="AW102" s="261"/>
      <c r="AX102" s="935"/>
      <c r="AY102" s="262"/>
    </row>
    <row r="103" spans="1:51" s="260" customFormat="1" ht="103.5" hidden="1" customHeight="1">
      <c r="A103" s="936"/>
      <c r="B103" s="939"/>
      <c r="C103" s="1320"/>
      <c r="D103" s="1320"/>
      <c r="E103" s="1320"/>
      <c r="F103" s="938"/>
      <c r="G103" s="1320"/>
      <c r="H103" s="1320"/>
      <c r="I103" s="1320"/>
      <c r="J103" s="1320"/>
      <c r="K103" s="1320"/>
      <c r="L103" s="1320"/>
      <c r="M103" s="936"/>
      <c r="N103" s="936"/>
      <c r="O103" s="936"/>
      <c r="P103" s="936"/>
      <c r="Q103" s="939"/>
      <c r="R103" s="939"/>
      <c r="S103" s="324"/>
      <c r="T103" s="954" t="e">
        <f>VLOOKUP(Q103,[90]Listas!$D$6:$E$10,2,0)</f>
        <v>#N/A</v>
      </c>
      <c r="U103" s="954" t="e">
        <f>HLOOKUP(R103,[90]Listas!$F$4:$J$5,2,0)</f>
        <v>#N/A</v>
      </c>
      <c r="V103" s="947" t="e">
        <f>INDEX([90]Listas!$F$6:$J$10,MATCH(Q103,[90]Listas!$D$6:$D$10,0),MATCH(R103,[90]Listas!$F$4:$J$4,0))</f>
        <v>#N/A</v>
      </c>
      <c r="W103" s="324"/>
      <c r="X103" s="1320"/>
      <c r="Y103" s="1320"/>
      <c r="Z103" s="1320"/>
      <c r="AA103" s="1068"/>
      <c r="AB103" s="938"/>
      <c r="AC103" s="946"/>
      <c r="AD103" s="936"/>
      <c r="AE103" s="938"/>
      <c r="AF103" s="324"/>
      <c r="AG103" s="954">
        <f t="shared" si="12"/>
        <v>0</v>
      </c>
      <c r="AH103" s="955" t="e">
        <f t="shared" si="13"/>
        <v>#N/A</v>
      </c>
      <c r="AI103" s="952" t="e">
        <f>IF(AH103&lt;=1,"Remota",VLOOKUP(AH103,[90]Listas!$C$6:$D$10,2,0))</f>
        <v>#N/A</v>
      </c>
      <c r="AJ103" s="955" t="e">
        <f t="shared" si="14"/>
        <v>#N/A</v>
      </c>
      <c r="AK103" s="952" t="e">
        <f>IF(AJ103&lt;=1,"Insignificante",HLOOKUP(AJ103,[90]Listas!$F$3:$J$4,2,0))</f>
        <v>#N/A</v>
      </c>
      <c r="AL103" s="953" t="e">
        <f t="shared" si="15"/>
        <v>#N/A</v>
      </c>
      <c r="AM103" s="947" t="e">
        <f>INDEX([90]Listas!$F$6:$J$10,MATCH(AI103,[90]Listas!$D$6:$D$10,0),MATCH(AK103,[90]Listas!$F$4:$J$4,0))</f>
        <v>#N/A</v>
      </c>
      <c r="AN103" s="259"/>
      <c r="AO103" s="259"/>
      <c r="AP103" s="937"/>
      <c r="AQ103" s="259"/>
      <c r="AR103" s="259" t="s">
        <v>2877</v>
      </c>
      <c r="AS103" s="935"/>
      <c r="AT103" s="259"/>
      <c r="AU103" s="259"/>
      <c r="AV103" s="261"/>
      <c r="AW103" s="261"/>
      <c r="AX103" s="935"/>
      <c r="AY103" s="262"/>
    </row>
    <row r="104" spans="1:51" s="260" customFormat="1" ht="103.5" hidden="1" customHeight="1">
      <c r="A104" s="936"/>
      <c r="B104" s="939"/>
      <c r="C104" s="1320"/>
      <c r="D104" s="1320"/>
      <c r="E104" s="1320"/>
      <c r="F104" s="938"/>
      <c r="G104" s="1320"/>
      <c r="H104" s="1320"/>
      <c r="I104" s="1320"/>
      <c r="J104" s="1320"/>
      <c r="K104" s="1320"/>
      <c r="L104" s="1320"/>
      <c r="M104" s="936"/>
      <c r="N104" s="936"/>
      <c r="O104" s="936"/>
      <c r="P104" s="936"/>
      <c r="Q104" s="939"/>
      <c r="R104" s="939"/>
      <c r="S104" s="324"/>
      <c r="T104" s="954" t="e">
        <f>VLOOKUP(Q104,[90]Listas!$D$6:$E$10,2,0)</f>
        <v>#N/A</v>
      </c>
      <c r="U104" s="954" t="e">
        <f>HLOOKUP(R104,[90]Listas!$F$4:$J$5,2,0)</f>
        <v>#N/A</v>
      </c>
      <c r="V104" s="947" t="e">
        <f>INDEX([90]Listas!$F$6:$J$10,MATCH(Q104,[90]Listas!$D$6:$D$10,0),MATCH(R104,[90]Listas!$F$4:$J$4,0))</f>
        <v>#N/A</v>
      </c>
      <c r="W104" s="324"/>
      <c r="X104" s="1320"/>
      <c r="Y104" s="1320"/>
      <c r="Z104" s="1320"/>
      <c r="AA104" s="1068"/>
      <c r="AB104" s="938"/>
      <c r="AC104" s="946"/>
      <c r="AD104" s="936"/>
      <c r="AE104" s="938"/>
      <c r="AF104" s="324"/>
      <c r="AG104" s="954">
        <f t="shared" si="12"/>
        <v>0</v>
      </c>
      <c r="AH104" s="955" t="e">
        <f t="shared" si="13"/>
        <v>#N/A</v>
      </c>
      <c r="AI104" s="952" t="e">
        <f>IF(AH104&lt;=1,"Remota",VLOOKUP(AH104,[90]Listas!$C$6:$D$10,2,0))</f>
        <v>#N/A</v>
      </c>
      <c r="AJ104" s="955" t="e">
        <f t="shared" si="14"/>
        <v>#N/A</v>
      </c>
      <c r="AK104" s="952" t="e">
        <f>IF(AJ104&lt;=1,"Insignificante",HLOOKUP(AJ104,[90]Listas!$F$3:$J$4,2,0))</f>
        <v>#N/A</v>
      </c>
      <c r="AL104" s="953" t="e">
        <f t="shared" si="15"/>
        <v>#N/A</v>
      </c>
      <c r="AM104" s="947" t="e">
        <f>INDEX([90]Listas!$F$6:$J$10,MATCH(AI104,[90]Listas!$D$6:$D$10,0),MATCH(AK104,[90]Listas!$F$4:$J$4,0))</f>
        <v>#N/A</v>
      </c>
      <c r="AN104" s="259"/>
      <c r="AO104" s="259"/>
      <c r="AP104" s="937"/>
      <c r="AQ104" s="259"/>
      <c r="AR104" s="259" t="s">
        <v>2877</v>
      </c>
      <c r="AS104" s="935"/>
      <c r="AT104" s="259"/>
      <c r="AU104" s="259"/>
      <c r="AV104" s="261"/>
      <c r="AW104" s="261"/>
      <c r="AX104" s="935"/>
      <c r="AY104" s="262"/>
    </row>
    <row r="105" spans="1:51" s="260" customFormat="1" ht="103.5" hidden="1" customHeight="1">
      <c r="A105" s="936"/>
      <c r="B105" s="939"/>
      <c r="C105" s="1320"/>
      <c r="D105" s="1320"/>
      <c r="E105" s="1320"/>
      <c r="F105" s="938"/>
      <c r="G105" s="1320"/>
      <c r="H105" s="1320"/>
      <c r="I105" s="1320"/>
      <c r="J105" s="1320"/>
      <c r="K105" s="1320"/>
      <c r="L105" s="1320"/>
      <c r="M105" s="936"/>
      <c r="N105" s="936"/>
      <c r="O105" s="936"/>
      <c r="P105" s="936"/>
      <c r="Q105" s="939"/>
      <c r="R105" s="939"/>
      <c r="S105" s="324"/>
      <c r="T105" s="954" t="e">
        <f>VLOOKUP(Q105,[90]Listas!$D$6:$E$10,2,0)</f>
        <v>#N/A</v>
      </c>
      <c r="U105" s="954" t="e">
        <f>HLOOKUP(R105,[90]Listas!$F$4:$J$5,2,0)</f>
        <v>#N/A</v>
      </c>
      <c r="V105" s="947" t="e">
        <f>INDEX([90]Listas!$F$6:$J$10,MATCH(Q105,[90]Listas!$D$6:$D$10,0),MATCH(R105,[90]Listas!$F$4:$J$4,0))</f>
        <v>#N/A</v>
      </c>
      <c r="W105" s="324"/>
      <c r="X105" s="1320"/>
      <c r="Y105" s="1320"/>
      <c r="Z105" s="1320"/>
      <c r="AA105" s="1068"/>
      <c r="AB105" s="938"/>
      <c r="AC105" s="946"/>
      <c r="AD105" s="936"/>
      <c r="AE105" s="938"/>
      <c r="AF105" s="324"/>
      <c r="AG105" s="954">
        <f t="shared" si="12"/>
        <v>0</v>
      </c>
      <c r="AH105" s="955" t="e">
        <f t="shared" si="13"/>
        <v>#N/A</v>
      </c>
      <c r="AI105" s="952" t="e">
        <f>IF(AH105&lt;=1,"Remota",VLOOKUP(AH105,[90]Listas!$C$6:$D$10,2,0))</f>
        <v>#N/A</v>
      </c>
      <c r="AJ105" s="955" t="e">
        <f t="shared" si="14"/>
        <v>#N/A</v>
      </c>
      <c r="AK105" s="952" t="e">
        <f>IF(AJ105&lt;=1,"Insignificante",HLOOKUP(AJ105,[90]Listas!$F$3:$J$4,2,0))</f>
        <v>#N/A</v>
      </c>
      <c r="AL105" s="953" t="e">
        <f t="shared" si="15"/>
        <v>#N/A</v>
      </c>
      <c r="AM105" s="947" t="e">
        <f>INDEX([90]Listas!$F$6:$J$10,MATCH(AI105,[90]Listas!$D$6:$D$10,0),MATCH(AK105,[90]Listas!$F$4:$J$4,0))</f>
        <v>#N/A</v>
      </c>
      <c r="AN105" s="259"/>
      <c r="AO105" s="259"/>
      <c r="AP105" s="937"/>
      <c r="AQ105" s="259"/>
      <c r="AR105" s="259" t="s">
        <v>2877</v>
      </c>
      <c r="AS105" s="935"/>
      <c r="AT105" s="259"/>
      <c r="AU105" s="259"/>
      <c r="AV105" s="261"/>
      <c r="AW105" s="261"/>
      <c r="AX105" s="935"/>
      <c r="AY105" s="262"/>
    </row>
    <row r="106" spans="1:51" s="260" customFormat="1" ht="103.5" hidden="1" customHeight="1">
      <c r="A106" s="936"/>
      <c r="B106" s="939"/>
      <c r="C106" s="1320"/>
      <c r="D106" s="1320"/>
      <c r="E106" s="1320"/>
      <c r="F106" s="938"/>
      <c r="G106" s="1320"/>
      <c r="H106" s="1320"/>
      <c r="I106" s="1320"/>
      <c r="J106" s="1320"/>
      <c r="K106" s="1320"/>
      <c r="L106" s="1320"/>
      <c r="M106" s="936"/>
      <c r="N106" s="936"/>
      <c r="O106" s="936"/>
      <c r="P106" s="936"/>
      <c r="Q106" s="939"/>
      <c r="R106" s="939"/>
      <c r="S106" s="324"/>
      <c r="T106" s="954" t="e">
        <f>VLOOKUP(Q106,[90]Listas!$D$6:$E$10,2,0)</f>
        <v>#N/A</v>
      </c>
      <c r="U106" s="954" t="e">
        <f>HLOOKUP(R106,[90]Listas!$F$4:$J$5,2,0)</f>
        <v>#N/A</v>
      </c>
      <c r="V106" s="947" t="e">
        <f>INDEX([90]Listas!$F$6:$J$10,MATCH(Q106,[90]Listas!$D$6:$D$10,0),MATCH(R106,[90]Listas!$F$4:$J$4,0))</f>
        <v>#N/A</v>
      </c>
      <c r="W106" s="324"/>
      <c r="X106" s="1320"/>
      <c r="Y106" s="1320"/>
      <c r="Z106" s="1320"/>
      <c r="AA106" s="1068"/>
      <c r="AB106" s="938"/>
      <c r="AC106" s="946"/>
      <c r="AD106" s="936"/>
      <c r="AE106" s="938"/>
      <c r="AF106" s="324"/>
      <c r="AG106" s="954">
        <f t="shared" si="12"/>
        <v>0</v>
      </c>
      <c r="AH106" s="955" t="e">
        <f t="shared" si="13"/>
        <v>#N/A</v>
      </c>
      <c r="AI106" s="952" t="e">
        <f>IF(AH106&lt;=1,"Remota",VLOOKUP(AH106,[90]Listas!$C$6:$D$10,2,0))</f>
        <v>#N/A</v>
      </c>
      <c r="AJ106" s="955" t="e">
        <f t="shared" si="14"/>
        <v>#N/A</v>
      </c>
      <c r="AK106" s="952" t="e">
        <f>IF(AJ106&lt;=1,"Insignificante",HLOOKUP(AJ106,[90]Listas!$F$3:$J$4,2,0))</f>
        <v>#N/A</v>
      </c>
      <c r="AL106" s="953" t="e">
        <f t="shared" si="15"/>
        <v>#N/A</v>
      </c>
      <c r="AM106" s="947" t="e">
        <f>INDEX([90]Listas!$F$6:$J$10,MATCH(AI106,[90]Listas!$D$6:$D$10,0),MATCH(AK106,[90]Listas!$F$4:$J$4,0))</f>
        <v>#N/A</v>
      </c>
      <c r="AN106" s="259"/>
      <c r="AO106" s="259"/>
      <c r="AP106" s="937"/>
      <c r="AQ106" s="259"/>
      <c r="AR106" s="259" t="s">
        <v>2877</v>
      </c>
      <c r="AS106" s="935"/>
      <c r="AT106" s="259"/>
      <c r="AU106" s="259"/>
      <c r="AV106" s="261"/>
      <c r="AW106" s="261"/>
      <c r="AX106" s="935"/>
      <c r="AY106" s="262"/>
    </row>
    <row r="107" spans="1:51" s="260" customFormat="1" ht="103.5" hidden="1" customHeight="1">
      <c r="A107" s="936"/>
      <c r="B107" s="939"/>
      <c r="C107" s="1320"/>
      <c r="D107" s="1320"/>
      <c r="E107" s="1320"/>
      <c r="F107" s="938"/>
      <c r="G107" s="1320"/>
      <c r="H107" s="1320"/>
      <c r="I107" s="1320"/>
      <c r="J107" s="1320"/>
      <c r="K107" s="1320"/>
      <c r="L107" s="1320"/>
      <c r="M107" s="936"/>
      <c r="N107" s="936"/>
      <c r="O107" s="936"/>
      <c r="P107" s="936"/>
      <c r="Q107" s="939"/>
      <c r="R107" s="939"/>
      <c r="S107" s="324"/>
      <c r="T107" s="954" t="e">
        <f>VLOOKUP(Q107,[90]Listas!$D$6:$E$10,2,0)</f>
        <v>#N/A</v>
      </c>
      <c r="U107" s="954" t="e">
        <f>HLOOKUP(R107,[90]Listas!$F$4:$J$5,2,0)</f>
        <v>#N/A</v>
      </c>
      <c r="V107" s="947" t="e">
        <f>INDEX([90]Listas!$F$6:$J$10,MATCH(Q107,[90]Listas!$D$6:$D$10,0),MATCH(R107,[90]Listas!$F$4:$J$4,0))</f>
        <v>#N/A</v>
      </c>
      <c r="W107" s="324"/>
      <c r="X107" s="1320"/>
      <c r="Y107" s="1320"/>
      <c r="Z107" s="1320"/>
      <c r="AA107" s="1068"/>
      <c r="AB107" s="938"/>
      <c r="AC107" s="946"/>
      <c r="AD107" s="936"/>
      <c r="AE107" s="938"/>
      <c r="AF107" s="324"/>
      <c r="AG107" s="954">
        <f t="shared" si="12"/>
        <v>0</v>
      </c>
      <c r="AH107" s="955" t="e">
        <f t="shared" si="13"/>
        <v>#N/A</v>
      </c>
      <c r="AI107" s="952" t="e">
        <f>IF(AH107&lt;=1,"Remota",VLOOKUP(AH107,[90]Listas!$C$6:$D$10,2,0))</f>
        <v>#N/A</v>
      </c>
      <c r="AJ107" s="955" t="e">
        <f t="shared" si="14"/>
        <v>#N/A</v>
      </c>
      <c r="AK107" s="952" t="e">
        <f>IF(AJ107&lt;=1,"Insignificante",HLOOKUP(AJ107,[90]Listas!$F$3:$J$4,2,0))</f>
        <v>#N/A</v>
      </c>
      <c r="AL107" s="953" t="e">
        <f t="shared" si="15"/>
        <v>#N/A</v>
      </c>
      <c r="AM107" s="947" t="e">
        <f>INDEX([90]Listas!$F$6:$J$10,MATCH(AI107,[90]Listas!$D$6:$D$10,0),MATCH(AK107,[90]Listas!$F$4:$J$4,0))</f>
        <v>#N/A</v>
      </c>
      <c r="AN107" s="259"/>
      <c r="AO107" s="259"/>
      <c r="AP107" s="937"/>
      <c r="AQ107" s="259"/>
      <c r="AR107" s="259" t="s">
        <v>2877</v>
      </c>
      <c r="AS107" s="935"/>
      <c r="AT107" s="259"/>
      <c r="AU107" s="259"/>
      <c r="AV107" s="261"/>
      <c r="AW107" s="261"/>
      <c r="AX107" s="935"/>
      <c r="AY107" s="262"/>
    </row>
    <row r="108" spans="1:51" s="260" customFormat="1" ht="103.5" hidden="1" customHeight="1">
      <c r="A108" s="936"/>
      <c r="B108" s="939"/>
      <c r="C108" s="1320"/>
      <c r="D108" s="1320"/>
      <c r="E108" s="1320"/>
      <c r="F108" s="938"/>
      <c r="G108" s="1320"/>
      <c r="H108" s="1320"/>
      <c r="I108" s="1320"/>
      <c r="J108" s="1320"/>
      <c r="K108" s="1320"/>
      <c r="L108" s="1320"/>
      <c r="M108" s="936"/>
      <c r="N108" s="936"/>
      <c r="O108" s="936"/>
      <c r="P108" s="936"/>
      <c r="Q108" s="939"/>
      <c r="R108" s="939"/>
      <c r="S108" s="324"/>
      <c r="T108" s="954" t="e">
        <f>VLOOKUP(Q108,[90]Listas!$D$6:$E$10,2,0)</f>
        <v>#N/A</v>
      </c>
      <c r="U108" s="954" t="e">
        <f>HLOOKUP(R108,[90]Listas!$F$4:$J$5,2,0)</f>
        <v>#N/A</v>
      </c>
      <c r="V108" s="947" t="e">
        <f>INDEX([90]Listas!$F$6:$J$10,MATCH(Q108,[90]Listas!$D$6:$D$10,0),MATCH(R108,[90]Listas!$F$4:$J$4,0))</f>
        <v>#N/A</v>
      </c>
      <c r="W108" s="324"/>
      <c r="X108" s="1320"/>
      <c r="Y108" s="1320"/>
      <c r="Z108" s="1320"/>
      <c r="AA108" s="1068"/>
      <c r="AB108" s="938"/>
      <c r="AC108" s="946"/>
      <c r="AD108" s="936"/>
      <c r="AE108" s="938"/>
      <c r="AF108" s="324"/>
      <c r="AG108" s="954">
        <f t="shared" si="12"/>
        <v>0</v>
      </c>
      <c r="AH108" s="955" t="e">
        <f t="shared" si="13"/>
        <v>#N/A</v>
      </c>
      <c r="AI108" s="952" t="e">
        <f>IF(AH108&lt;=1,"Remota",VLOOKUP(AH108,[90]Listas!$C$6:$D$10,2,0))</f>
        <v>#N/A</v>
      </c>
      <c r="AJ108" s="955" t="e">
        <f t="shared" si="14"/>
        <v>#N/A</v>
      </c>
      <c r="AK108" s="952" t="e">
        <f>IF(AJ108&lt;=1,"Insignificante",HLOOKUP(AJ108,[90]Listas!$F$3:$J$4,2,0))</f>
        <v>#N/A</v>
      </c>
      <c r="AL108" s="953" t="e">
        <f t="shared" si="15"/>
        <v>#N/A</v>
      </c>
      <c r="AM108" s="947" t="e">
        <f>INDEX([90]Listas!$F$6:$J$10,MATCH(AI108,[90]Listas!$D$6:$D$10,0),MATCH(AK108,[90]Listas!$F$4:$J$4,0))</f>
        <v>#N/A</v>
      </c>
      <c r="AN108" s="259"/>
      <c r="AO108" s="259"/>
      <c r="AP108" s="937"/>
      <c r="AQ108" s="259"/>
      <c r="AR108" s="259" t="s">
        <v>2877</v>
      </c>
      <c r="AS108" s="935"/>
      <c r="AT108" s="259"/>
      <c r="AU108" s="259"/>
      <c r="AV108" s="261"/>
      <c r="AW108" s="261"/>
      <c r="AX108" s="935"/>
      <c r="AY108" s="262"/>
    </row>
    <row r="109" spans="1:51" s="260" customFormat="1" ht="103.5" hidden="1" customHeight="1">
      <c r="A109" s="936"/>
      <c r="B109" s="939"/>
      <c r="C109" s="1320"/>
      <c r="D109" s="1320"/>
      <c r="E109" s="1320"/>
      <c r="F109" s="938"/>
      <c r="G109" s="1320"/>
      <c r="H109" s="1320"/>
      <c r="I109" s="1320"/>
      <c r="J109" s="1320"/>
      <c r="K109" s="1320"/>
      <c r="L109" s="1320"/>
      <c r="M109" s="936"/>
      <c r="N109" s="936"/>
      <c r="O109" s="936"/>
      <c r="P109" s="936"/>
      <c r="Q109" s="939"/>
      <c r="R109" s="939"/>
      <c r="S109" s="324"/>
      <c r="T109" s="954" t="e">
        <f>VLOOKUP(Q109,[90]Listas!$D$6:$E$10,2,0)</f>
        <v>#N/A</v>
      </c>
      <c r="U109" s="954" t="e">
        <f>HLOOKUP(R109,[90]Listas!$F$4:$J$5,2,0)</f>
        <v>#N/A</v>
      </c>
      <c r="V109" s="947" t="e">
        <f>INDEX([90]Listas!$F$6:$J$10,MATCH(Q109,[90]Listas!$D$6:$D$10,0),MATCH(R109,[90]Listas!$F$4:$J$4,0))</f>
        <v>#N/A</v>
      </c>
      <c r="W109" s="324"/>
      <c r="X109" s="1320"/>
      <c r="Y109" s="1320"/>
      <c r="Z109" s="1320"/>
      <c r="AA109" s="1068"/>
      <c r="AB109" s="938"/>
      <c r="AC109" s="946"/>
      <c r="AD109" s="936"/>
      <c r="AE109" s="938"/>
      <c r="AF109" s="324"/>
      <c r="AG109" s="954">
        <f t="shared" si="12"/>
        <v>0</v>
      </c>
      <c r="AH109" s="955" t="e">
        <f t="shared" si="13"/>
        <v>#N/A</v>
      </c>
      <c r="AI109" s="952" t="e">
        <f>IF(AH109&lt;=1,"Remota",VLOOKUP(AH109,[90]Listas!$C$6:$D$10,2,0))</f>
        <v>#N/A</v>
      </c>
      <c r="AJ109" s="955" t="e">
        <f t="shared" si="14"/>
        <v>#N/A</v>
      </c>
      <c r="AK109" s="952" t="e">
        <f>IF(AJ109&lt;=1,"Insignificante",HLOOKUP(AJ109,[90]Listas!$F$3:$J$4,2,0))</f>
        <v>#N/A</v>
      </c>
      <c r="AL109" s="953" t="e">
        <f t="shared" si="15"/>
        <v>#N/A</v>
      </c>
      <c r="AM109" s="947" t="e">
        <f>INDEX([90]Listas!$F$6:$J$10,MATCH(AI109,[90]Listas!$D$6:$D$10,0),MATCH(AK109,[90]Listas!$F$4:$J$4,0))</f>
        <v>#N/A</v>
      </c>
      <c r="AN109" s="259"/>
      <c r="AO109" s="259"/>
      <c r="AP109" s="937"/>
      <c r="AQ109" s="259"/>
      <c r="AR109" s="259" t="s">
        <v>2877</v>
      </c>
      <c r="AS109" s="935"/>
      <c r="AT109" s="259"/>
      <c r="AU109" s="259"/>
      <c r="AV109" s="261"/>
      <c r="AW109" s="261"/>
      <c r="AX109" s="935"/>
      <c r="AY109" s="262"/>
    </row>
    <row r="110" spans="1:51" s="260" customFormat="1" ht="103.5" hidden="1" customHeight="1">
      <c r="A110" s="936"/>
      <c r="B110" s="939"/>
      <c r="C110" s="1320"/>
      <c r="D110" s="1320"/>
      <c r="E110" s="1320"/>
      <c r="F110" s="938"/>
      <c r="G110" s="1320"/>
      <c r="H110" s="1320"/>
      <c r="I110" s="1320"/>
      <c r="J110" s="1320"/>
      <c r="K110" s="1320"/>
      <c r="L110" s="1320"/>
      <c r="M110" s="936"/>
      <c r="N110" s="936"/>
      <c r="O110" s="936"/>
      <c r="P110" s="936"/>
      <c r="Q110" s="939"/>
      <c r="R110" s="939"/>
      <c r="S110" s="324"/>
      <c r="T110" s="954" t="e">
        <f>VLOOKUP(Q110,[90]Listas!$D$6:$E$10,2,0)</f>
        <v>#N/A</v>
      </c>
      <c r="U110" s="954" t="e">
        <f>HLOOKUP(R110,[90]Listas!$F$4:$J$5,2,0)</f>
        <v>#N/A</v>
      </c>
      <c r="V110" s="947" t="e">
        <f>INDEX([90]Listas!$F$6:$J$10,MATCH(Q110,[90]Listas!$D$6:$D$10,0),MATCH(R110,[90]Listas!$F$4:$J$4,0))</f>
        <v>#N/A</v>
      </c>
      <c r="W110" s="324"/>
      <c r="X110" s="1320"/>
      <c r="Y110" s="1320"/>
      <c r="Z110" s="1320"/>
      <c r="AA110" s="1068"/>
      <c r="AB110" s="938"/>
      <c r="AC110" s="946"/>
      <c r="AD110" s="936"/>
      <c r="AE110" s="938"/>
      <c r="AF110" s="324"/>
      <c r="AG110" s="954">
        <f t="shared" si="12"/>
        <v>0</v>
      </c>
      <c r="AH110" s="955" t="e">
        <f t="shared" si="13"/>
        <v>#N/A</v>
      </c>
      <c r="AI110" s="952" t="e">
        <f>IF(AH110&lt;=1,"Remota",VLOOKUP(AH110,[90]Listas!$C$6:$D$10,2,0))</f>
        <v>#N/A</v>
      </c>
      <c r="AJ110" s="955" t="e">
        <f t="shared" si="14"/>
        <v>#N/A</v>
      </c>
      <c r="AK110" s="952" t="e">
        <f>IF(AJ110&lt;=1,"Insignificante",HLOOKUP(AJ110,[90]Listas!$F$3:$J$4,2,0))</f>
        <v>#N/A</v>
      </c>
      <c r="AL110" s="953" t="e">
        <f t="shared" si="15"/>
        <v>#N/A</v>
      </c>
      <c r="AM110" s="947" t="e">
        <f>INDEX([90]Listas!$F$6:$J$10,MATCH(AI110,[90]Listas!$D$6:$D$10,0),MATCH(AK110,[90]Listas!$F$4:$J$4,0))</f>
        <v>#N/A</v>
      </c>
      <c r="AN110" s="259"/>
      <c r="AO110" s="259"/>
      <c r="AP110" s="937"/>
      <c r="AQ110" s="259"/>
      <c r="AR110" s="259" t="s">
        <v>2877</v>
      </c>
      <c r="AS110" s="935"/>
      <c r="AT110" s="259"/>
      <c r="AU110" s="259"/>
      <c r="AV110" s="261"/>
      <c r="AW110" s="261"/>
      <c r="AX110" s="935"/>
      <c r="AY110" s="262"/>
    </row>
    <row r="111" spans="1:51" s="260" customFormat="1" ht="103.5" hidden="1" customHeight="1">
      <c r="A111" s="936"/>
      <c r="B111" s="939"/>
      <c r="C111" s="1320"/>
      <c r="D111" s="1320"/>
      <c r="E111" s="1320"/>
      <c r="F111" s="938"/>
      <c r="G111" s="1320"/>
      <c r="H111" s="1320"/>
      <c r="I111" s="1320"/>
      <c r="J111" s="1320"/>
      <c r="K111" s="1320"/>
      <c r="L111" s="1320"/>
      <c r="M111" s="936"/>
      <c r="N111" s="936"/>
      <c r="O111" s="936"/>
      <c r="P111" s="936"/>
      <c r="Q111" s="939"/>
      <c r="R111" s="939"/>
      <c r="S111" s="324"/>
      <c r="T111" s="954" t="e">
        <f>VLOOKUP(Q111,[90]Listas!$D$6:$E$10,2,0)</f>
        <v>#N/A</v>
      </c>
      <c r="U111" s="954" t="e">
        <f>HLOOKUP(R111,[90]Listas!$F$4:$J$5,2,0)</f>
        <v>#N/A</v>
      </c>
      <c r="V111" s="947" t="e">
        <f>INDEX([90]Listas!$F$6:$J$10,MATCH(Q111,[90]Listas!$D$6:$D$10,0),MATCH(R111,[90]Listas!$F$4:$J$4,0))</f>
        <v>#N/A</v>
      </c>
      <c r="W111" s="324"/>
      <c r="X111" s="1320"/>
      <c r="Y111" s="1320"/>
      <c r="Z111" s="1320"/>
      <c r="AA111" s="1068"/>
      <c r="AB111" s="938"/>
      <c r="AC111" s="946"/>
      <c r="AD111" s="936"/>
      <c r="AE111" s="938"/>
      <c r="AF111" s="324"/>
      <c r="AG111" s="954">
        <f t="shared" si="12"/>
        <v>0</v>
      </c>
      <c r="AH111" s="955" t="e">
        <f t="shared" si="13"/>
        <v>#N/A</v>
      </c>
      <c r="AI111" s="952" t="e">
        <f>IF(AH111&lt;=1,"Remota",VLOOKUP(AH111,[90]Listas!$C$6:$D$10,2,0))</f>
        <v>#N/A</v>
      </c>
      <c r="AJ111" s="955" t="e">
        <f t="shared" si="14"/>
        <v>#N/A</v>
      </c>
      <c r="AK111" s="952" t="e">
        <f>IF(AJ111&lt;=1,"Insignificante",HLOOKUP(AJ111,[90]Listas!$F$3:$J$4,2,0))</f>
        <v>#N/A</v>
      </c>
      <c r="AL111" s="953" t="e">
        <f t="shared" si="15"/>
        <v>#N/A</v>
      </c>
      <c r="AM111" s="947" t="e">
        <f>INDEX([90]Listas!$F$6:$J$10,MATCH(AI111,[90]Listas!$D$6:$D$10,0),MATCH(AK111,[90]Listas!$F$4:$J$4,0))</f>
        <v>#N/A</v>
      </c>
      <c r="AN111" s="259"/>
      <c r="AO111" s="259"/>
      <c r="AP111" s="937"/>
      <c r="AQ111" s="259"/>
      <c r="AR111" s="259" t="s">
        <v>2877</v>
      </c>
      <c r="AS111" s="935"/>
      <c r="AT111" s="259"/>
      <c r="AU111" s="259"/>
      <c r="AV111" s="261"/>
      <c r="AW111" s="261"/>
      <c r="AX111" s="935"/>
      <c r="AY111" s="262"/>
    </row>
    <row r="112" spans="1:51" s="260" customFormat="1" ht="103.5" hidden="1" customHeight="1">
      <c r="A112" s="936"/>
      <c r="B112" s="939"/>
      <c r="C112" s="1320"/>
      <c r="D112" s="1320"/>
      <c r="E112" s="1320"/>
      <c r="F112" s="938"/>
      <c r="G112" s="1320"/>
      <c r="H112" s="1320"/>
      <c r="I112" s="1320"/>
      <c r="J112" s="1320"/>
      <c r="K112" s="1320"/>
      <c r="L112" s="1320"/>
      <c r="M112" s="936"/>
      <c r="N112" s="936"/>
      <c r="O112" s="936"/>
      <c r="P112" s="936"/>
      <c r="Q112" s="939"/>
      <c r="R112" s="939"/>
      <c r="S112" s="324"/>
      <c r="T112" s="954" t="e">
        <f>VLOOKUP(Q112,[90]Listas!$D$6:$E$10,2,0)</f>
        <v>#N/A</v>
      </c>
      <c r="U112" s="954" t="e">
        <f>HLOOKUP(R112,[90]Listas!$F$4:$J$5,2,0)</f>
        <v>#N/A</v>
      </c>
      <c r="V112" s="947" t="e">
        <f>INDEX([90]Listas!$F$6:$J$10,MATCH(Q112,[90]Listas!$D$6:$D$10,0),MATCH(R112,[90]Listas!$F$4:$J$4,0))</f>
        <v>#N/A</v>
      </c>
      <c r="W112" s="324"/>
      <c r="X112" s="1320"/>
      <c r="Y112" s="1320"/>
      <c r="Z112" s="1320"/>
      <c r="AA112" s="1068"/>
      <c r="AB112" s="938"/>
      <c r="AC112" s="946"/>
      <c r="AD112" s="936"/>
      <c r="AE112" s="938"/>
      <c r="AF112" s="324"/>
      <c r="AG112" s="954">
        <f t="shared" si="12"/>
        <v>0</v>
      </c>
      <c r="AH112" s="955" t="e">
        <f t="shared" si="13"/>
        <v>#N/A</v>
      </c>
      <c r="AI112" s="952" t="e">
        <f>IF(AH112&lt;=1,"Remota",VLOOKUP(AH112,[90]Listas!$C$6:$D$10,2,0))</f>
        <v>#N/A</v>
      </c>
      <c r="AJ112" s="955" t="e">
        <f t="shared" si="14"/>
        <v>#N/A</v>
      </c>
      <c r="AK112" s="952" t="e">
        <f>IF(AJ112&lt;=1,"Insignificante",HLOOKUP(AJ112,[90]Listas!$F$3:$J$4,2,0))</f>
        <v>#N/A</v>
      </c>
      <c r="AL112" s="953" t="e">
        <f t="shared" si="15"/>
        <v>#N/A</v>
      </c>
      <c r="AM112" s="947" t="e">
        <f>INDEX([90]Listas!$F$6:$J$10,MATCH(AI112,[90]Listas!$D$6:$D$10,0),MATCH(AK112,[90]Listas!$F$4:$J$4,0))</f>
        <v>#N/A</v>
      </c>
      <c r="AN112" s="259"/>
      <c r="AO112" s="259"/>
      <c r="AP112" s="937"/>
      <c r="AQ112" s="259"/>
      <c r="AR112" s="259" t="s">
        <v>2877</v>
      </c>
      <c r="AS112" s="935"/>
      <c r="AT112" s="259"/>
      <c r="AU112" s="259"/>
      <c r="AV112" s="261"/>
      <c r="AW112" s="261"/>
      <c r="AX112" s="935"/>
      <c r="AY112" s="262"/>
    </row>
    <row r="113" spans="1:51" s="260" customFormat="1" ht="103.5" hidden="1" customHeight="1">
      <c r="A113" s="936"/>
      <c r="B113" s="939"/>
      <c r="C113" s="1320"/>
      <c r="D113" s="1320"/>
      <c r="E113" s="1320"/>
      <c r="F113" s="938"/>
      <c r="G113" s="1320"/>
      <c r="H113" s="1320"/>
      <c r="I113" s="1320"/>
      <c r="J113" s="1320"/>
      <c r="K113" s="1320"/>
      <c r="L113" s="1320"/>
      <c r="M113" s="936"/>
      <c r="N113" s="936"/>
      <c r="O113" s="936"/>
      <c r="P113" s="936"/>
      <c r="Q113" s="939"/>
      <c r="R113" s="939"/>
      <c r="S113" s="324"/>
      <c r="T113" s="954" t="e">
        <f>VLOOKUP(Q113,[90]Listas!$D$6:$E$10,2,0)</f>
        <v>#N/A</v>
      </c>
      <c r="U113" s="954" t="e">
        <f>HLOOKUP(R113,[90]Listas!$F$4:$J$5,2,0)</f>
        <v>#N/A</v>
      </c>
      <c r="V113" s="947" t="e">
        <f>INDEX([90]Listas!$F$6:$J$10,MATCH(Q113,[90]Listas!$D$6:$D$10,0),MATCH(R113,[90]Listas!$F$4:$J$4,0))</f>
        <v>#N/A</v>
      </c>
      <c r="W113" s="324"/>
      <c r="X113" s="1320"/>
      <c r="Y113" s="1320"/>
      <c r="Z113" s="1320"/>
      <c r="AA113" s="1068"/>
      <c r="AB113" s="938"/>
      <c r="AC113" s="946"/>
      <c r="AD113" s="936"/>
      <c r="AE113" s="938"/>
      <c r="AF113" s="324"/>
      <c r="AG113" s="954">
        <f t="shared" si="12"/>
        <v>0</v>
      </c>
      <c r="AH113" s="955" t="e">
        <f t="shared" si="13"/>
        <v>#N/A</v>
      </c>
      <c r="AI113" s="952" t="e">
        <f>IF(AH113&lt;=1,"Remota",VLOOKUP(AH113,[90]Listas!$C$6:$D$10,2,0))</f>
        <v>#N/A</v>
      </c>
      <c r="AJ113" s="955" t="e">
        <f t="shared" si="14"/>
        <v>#N/A</v>
      </c>
      <c r="AK113" s="952" t="e">
        <f>IF(AJ113&lt;=1,"Insignificante",HLOOKUP(AJ113,[90]Listas!$F$3:$J$4,2,0))</f>
        <v>#N/A</v>
      </c>
      <c r="AL113" s="953" t="e">
        <f t="shared" si="15"/>
        <v>#N/A</v>
      </c>
      <c r="AM113" s="947" t="e">
        <f>INDEX([90]Listas!$F$6:$J$10,MATCH(AI113,[90]Listas!$D$6:$D$10,0),MATCH(AK113,[90]Listas!$F$4:$J$4,0))</f>
        <v>#N/A</v>
      </c>
      <c r="AN113" s="259"/>
      <c r="AO113" s="259"/>
      <c r="AP113" s="937"/>
      <c r="AQ113" s="259"/>
      <c r="AR113" s="259" t="s">
        <v>2877</v>
      </c>
      <c r="AS113" s="935"/>
      <c r="AT113" s="259"/>
      <c r="AU113" s="259"/>
      <c r="AV113" s="261"/>
      <c r="AW113" s="261"/>
      <c r="AX113" s="935"/>
      <c r="AY113" s="262"/>
    </row>
    <row r="114" spans="1:51" s="260" customFormat="1" ht="103.5" hidden="1" customHeight="1">
      <c r="A114" s="936"/>
      <c r="B114" s="939"/>
      <c r="C114" s="1320"/>
      <c r="D114" s="1320"/>
      <c r="E114" s="1320"/>
      <c r="F114" s="938"/>
      <c r="G114" s="1320"/>
      <c r="H114" s="1320"/>
      <c r="I114" s="1320"/>
      <c r="J114" s="1320"/>
      <c r="K114" s="1320"/>
      <c r="L114" s="1320"/>
      <c r="M114" s="936"/>
      <c r="N114" s="936"/>
      <c r="O114" s="936"/>
      <c r="P114" s="936"/>
      <c r="Q114" s="939"/>
      <c r="R114" s="939"/>
      <c r="S114" s="324"/>
      <c r="T114" s="954" t="e">
        <f>VLOOKUP(Q114,[90]Listas!$D$6:$E$10,2,0)</f>
        <v>#N/A</v>
      </c>
      <c r="U114" s="954" t="e">
        <f>HLOOKUP(R114,[90]Listas!$F$4:$J$5,2,0)</f>
        <v>#N/A</v>
      </c>
      <c r="V114" s="947" t="e">
        <f>INDEX([90]Listas!$F$6:$J$10,MATCH(Q114,[90]Listas!$D$6:$D$10,0),MATCH(R114,[90]Listas!$F$4:$J$4,0))</f>
        <v>#N/A</v>
      </c>
      <c r="W114" s="324"/>
      <c r="X114" s="1320"/>
      <c r="Y114" s="1320"/>
      <c r="Z114" s="1320"/>
      <c r="AA114" s="1068"/>
      <c r="AB114" s="938"/>
      <c r="AC114" s="946"/>
      <c r="AD114" s="936"/>
      <c r="AE114" s="938"/>
      <c r="AF114" s="324"/>
      <c r="AG114" s="954">
        <f t="shared" si="12"/>
        <v>0</v>
      </c>
      <c r="AH114" s="955" t="e">
        <f t="shared" si="13"/>
        <v>#N/A</v>
      </c>
      <c r="AI114" s="952" t="e">
        <f>IF(AH114&lt;=1,"Remota",VLOOKUP(AH114,[90]Listas!$C$6:$D$10,2,0))</f>
        <v>#N/A</v>
      </c>
      <c r="AJ114" s="955" t="e">
        <f t="shared" si="14"/>
        <v>#N/A</v>
      </c>
      <c r="AK114" s="952" t="e">
        <f>IF(AJ114&lt;=1,"Insignificante",HLOOKUP(AJ114,[90]Listas!$F$3:$J$4,2,0))</f>
        <v>#N/A</v>
      </c>
      <c r="AL114" s="953" t="e">
        <f t="shared" si="15"/>
        <v>#N/A</v>
      </c>
      <c r="AM114" s="947" t="e">
        <f>INDEX([90]Listas!$F$6:$J$10,MATCH(AI114,[90]Listas!$D$6:$D$10,0),MATCH(AK114,[90]Listas!$F$4:$J$4,0))</f>
        <v>#N/A</v>
      </c>
      <c r="AN114" s="259"/>
      <c r="AO114" s="259"/>
      <c r="AP114" s="937"/>
      <c r="AQ114" s="259"/>
      <c r="AR114" s="259" t="s">
        <v>2877</v>
      </c>
      <c r="AS114" s="935"/>
      <c r="AT114" s="259"/>
      <c r="AU114" s="259"/>
      <c r="AV114" s="261"/>
      <c r="AW114" s="261"/>
      <c r="AX114" s="935"/>
      <c r="AY114" s="262"/>
    </row>
    <row r="115" spans="1:51" s="260" customFormat="1" ht="103.5" hidden="1" customHeight="1">
      <c r="A115" s="2390" t="s">
        <v>1693</v>
      </c>
      <c r="B115" s="2391" t="s">
        <v>1694</v>
      </c>
      <c r="C115" s="2374" t="s">
        <v>1695</v>
      </c>
      <c r="D115" s="2374"/>
      <c r="E115" s="2374"/>
      <c r="F115" s="1321" t="s">
        <v>1696</v>
      </c>
      <c r="G115" s="2382" t="s">
        <v>994</v>
      </c>
      <c r="H115" s="2382"/>
      <c r="I115" s="2382"/>
      <c r="J115" s="2374" t="s">
        <v>993</v>
      </c>
      <c r="K115" s="2374"/>
      <c r="L115" s="2374"/>
      <c r="M115" s="1320"/>
      <c r="N115" s="1320"/>
      <c r="O115" s="1320" t="s">
        <v>8</v>
      </c>
      <c r="P115" s="1320"/>
      <c r="Q115" s="1404" t="s">
        <v>64</v>
      </c>
      <c r="R115" s="1404" t="s">
        <v>643</v>
      </c>
      <c r="S115" s="324"/>
      <c r="T115" s="954">
        <f>VLOOKUP(Q115,[91]Listas!$D$6:$E$10,2,0)</f>
        <v>3</v>
      </c>
      <c r="U115" s="954">
        <f>HLOOKUP(R115,[91]Listas!$F$4:$J$5,2,0)</f>
        <v>2</v>
      </c>
      <c r="V115" s="1902" t="str">
        <f>INDEX([91]Listas!$F$6:$J$10,MATCH(Q115,[91]Listas!$D$6:$D$10,0),MATCH(R115,[91]Listas!$F$4:$J$4,0))</f>
        <v>6
MODERADO</v>
      </c>
      <c r="W115" s="324"/>
      <c r="X115" s="1999" t="s">
        <v>1697</v>
      </c>
      <c r="Y115" s="1999"/>
      <c r="Z115" s="1999"/>
      <c r="AA115" s="1102"/>
      <c r="AB115" s="1356" t="s">
        <v>1698</v>
      </c>
      <c r="AC115" s="2374" t="s">
        <v>1699</v>
      </c>
      <c r="AD115" s="1320">
        <v>46</v>
      </c>
      <c r="AE115" s="1356" t="s">
        <v>153</v>
      </c>
      <c r="AF115" s="324"/>
      <c r="AG115" s="954">
        <f t="shared" si="12"/>
        <v>1</v>
      </c>
      <c r="AH115" s="955">
        <f t="shared" si="13"/>
        <v>2</v>
      </c>
      <c r="AI115" s="2293" t="str">
        <f>IF(AH115&lt;=1,"Remota",VLOOKUP(AH115,[91]Listas!$C$6:$D$10,2,0))</f>
        <v>Baja</v>
      </c>
      <c r="AJ115" s="955">
        <f t="shared" si="14"/>
        <v>2</v>
      </c>
      <c r="AK115" s="2293" t="str">
        <f>IF(AJ115&lt;=1,"Insignificante",HLOOKUP(AJ115,[91]Listas!$F$3:$J$4,2,0))</f>
        <v>Menor</v>
      </c>
      <c r="AL115" s="953">
        <f t="shared" si="15"/>
        <v>4</v>
      </c>
      <c r="AM115" s="1902" t="str">
        <f>INDEX([91]Listas!$F$6:$J$10,MATCH(AI115,[91]Listas!$D$6:$D$10,0),MATCH(AK115,[91]Listas!$F$4:$J$4,0))</f>
        <v>4
INFERIOR</v>
      </c>
      <c r="AN115" s="259"/>
      <c r="AO115" s="259"/>
      <c r="AP115" s="937"/>
      <c r="AQ115" s="259"/>
      <c r="AR115" s="259" t="s">
        <v>2877</v>
      </c>
      <c r="AS115" s="935"/>
      <c r="AT115" s="259"/>
      <c r="AU115" s="259"/>
      <c r="AV115" s="261"/>
      <c r="AW115" s="261"/>
      <c r="AX115" s="935"/>
      <c r="AY115" s="262"/>
    </row>
    <row r="116" spans="1:51" s="260" customFormat="1" ht="103.5" hidden="1" customHeight="1">
      <c r="A116" s="2390"/>
      <c r="B116" s="2391"/>
      <c r="C116" s="2374"/>
      <c r="D116" s="2374"/>
      <c r="E116" s="2374"/>
      <c r="F116" s="1322"/>
      <c r="G116" s="2382" t="s">
        <v>992</v>
      </c>
      <c r="H116" s="2382"/>
      <c r="I116" s="2382"/>
      <c r="J116" s="2374"/>
      <c r="K116" s="2374"/>
      <c r="L116" s="2374"/>
      <c r="M116" s="1320"/>
      <c r="N116" s="1320"/>
      <c r="O116" s="1320"/>
      <c r="P116" s="1320"/>
      <c r="Q116" s="1404"/>
      <c r="R116" s="1404"/>
      <c r="S116" s="324"/>
      <c r="T116" s="954" t="e">
        <f>VLOOKUP(Q116,[91]Listas!$D$6:$E$10,2,0)</f>
        <v>#N/A</v>
      </c>
      <c r="U116" s="954" t="e">
        <f>HLOOKUP(R116,[91]Listas!$F$4:$J$5,2,0)</f>
        <v>#N/A</v>
      </c>
      <c r="V116" s="1902"/>
      <c r="W116" s="324"/>
      <c r="X116" s="1999" t="s">
        <v>1700</v>
      </c>
      <c r="Y116" s="1999"/>
      <c r="Z116" s="1999"/>
      <c r="AA116" s="1102"/>
      <c r="AB116" s="1356"/>
      <c r="AC116" s="2374"/>
      <c r="AD116" s="1320"/>
      <c r="AE116" s="1356"/>
      <c r="AF116" s="324"/>
      <c r="AG116" s="954">
        <f t="shared" si="12"/>
        <v>0</v>
      </c>
      <c r="AH116" s="955" t="e">
        <f t="shared" si="13"/>
        <v>#N/A</v>
      </c>
      <c r="AI116" s="2293"/>
      <c r="AJ116" s="955" t="e">
        <f t="shared" si="14"/>
        <v>#N/A</v>
      </c>
      <c r="AK116" s="2293"/>
      <c r="AL116" s="953" t="e">
        <f t="shared" si="15"/>
        <v>#N/A</v>
      </c>
      <c r="AM116" s="1902"/>
      <c r="AN116" s="259"/>
      <c r="AO116" s="259"/>
      <c r="AP116" s="937"/>
      <c r="AQ116" s="259"/>
      <c r="AR116" s="259" t="s">
        <v>2877</v>
      </c>
      <c r="AS116" s="935"/>
      <c r="AT116" s="259"/>
      <c r="AU116" s="259"/>
      <c r="AV116" s="261"/>
      <c r="AW116" s="261"/>
      <c r="AX116" s="935"/>
      <c r="AY116" s="262"/>
    </row>
    <row r="117" spans="1:51" s="260" customFormat="1" ht="103.5" hidden="1" customHeight="1">
      <c r="A117" s="2390"/>
      <c r="B117" s="2391"/>
      <c r="C117" s="2374"/>
      <c r="D117" s="2374"/>
      <c r="E117" s="2374"/>
      <c r="F117" s="1322"/>
      <c r="G117" s="2382" t="s">
        <v>1096</v>
      </c>
      <c r="H117" s="2382"/>
      <c r="I117" s="2382"/>
      <c r="J117" s="2374"/>
      <c r="K117" s="2374"/>
      <c r="L117" s="2374"/>
      <c r="M117" s="1320"/>
      <c r="N117" s="1320"/>
      <c r="O117" s="1320"/>
      <c r="P117" s="1320"/>
      <c r="Q117" s="1404"/>
      <c r="R117" s="1404"/>
      <c r="S117" s="324"/>
      <c r="T117" s="954" t="e">
        <f>VLOOKUP(Q117,[91]Listas!$D$6:$E$10,2,0)</f>
        <v>#N/A</v>
      </c>
      <c r="U117" s="954" t="e">
        <f>HLOOKUP(R117,[91]Listas!$F$4:$J$5,2,0)</f>
        <v>#N/A</v>
      </c>
      <c r="V117" s="1902"/>
      <c r="W117" s="324"/>
      <c r="X117" s="1999"/>
      <c r="Y117" s="1999"/>
      <c r="Z117" s="1999"/>
      <c r="AA117" s="1102"/>
      <c r="AB117" s="1356"/>
      <c r="AC117" s="2374"/>
      <c r="AD117" s="1320"/>
      <c r="AE117" s="1356"/>
      <c r="AF117" s="324"/>
      <c r="AG117" s="954">
        <f t="shared" si="12"/>
        <v>0</v>
      </c>
      <c r="AH117" s="955" t="e">
        <f t="shared" si="13"/>
        <v>#N/A</v>
      </c>
      <c r="AI117" s="2293"/>
      <c r="AJ117" s="955" t="e">
        <f t="shared" si="14"/>
        <v>#N/A</v>
      </c>
      <c r="AK117" s="2293"/>
      <c r="AL117" s="953" t="e">
        <f t="shared" si="15"/>
        <v>#N/A</v>
      </c>
      <c r="AM117" s="1902"/>
      <c r="AN117" s="259"/>
      <c r="AO117" s="259"/>
      <c r="AP117" s="937"/>
      <c r="AQ117" s="259"/>
      <c r="AR117" s="259" t="s">
        <v>2877</v>
      </c>
      <c r="AS117" s="935"/>
      <c r="AT117" s="259"/>
      <c r="AU117" s="259"/>
      <c r="AV117" s="261"/>
      <c r="AW117" s="261"/>
      <c r="AX117" s="935"/>
      <c r="AY117" s="262"/>
    </row>
    <row r="118" spans="1:51" s="260" customFormat="1" ht="103.5" hidden="1" customHeight="1">
      <c r="A118" s="2390"/>
      <c r="B118" s="2391"/>
      <c r="C118" s="2374"/>
      <c r="D118" s="2374"/>
      <c r="E118" s="2374"/>
      <c r="F118" s="1322"/>
      <c r="G118" s="2382" t="s">
        <v>1098</v>
      </c>
      <c r="H118" s="2382"/>
      <c r="I118" s="2382"/>
      <c r="J118" s="2374"/>
      <c r="K118" s="2374"/>
      <c r="L118" s="2374"/>
      <c r="M118" s="1320"/>
      <c r="N118" s="1320"/>
      <c r="O118" s="1320"/>
      <c r="P118" s="1320"/>
      <c r="Q118" s="1404"/>
      <c r="R118" s="1404"/>
      <c r="S118" s="324"/>
      <c r="T118" s="954" t="e">
        <f>VLOOKUP(Q118,[91]Listas!$D$6:$E$10,2,0)</f>
        <v>#N/A</v>
      </c>
      <c r="U118" s="954" t="e">
        <f>HLOOKUP(R118,[91]Listas!$F$4:$J$5,2,0)</f>
        <v>#N/A</v>
      </c>
      <c r="V118" s="1902"/>
      <c r="W118" s="324"/>
      <c r="X118" s="1999" t="s">
        <v>1701</v>
      </c>
      <c r="Y118" s="1999"/>
      <c r="Z118" s="1999"/>
      <c r="AA118" s="1102"/>
      <c r="AB118" s="1356"/>
      <c r="AC118" s="2374"/>
      <c r="AD118" s="1320"/>
      <c r="AE118" s="1356"/>
      <c r="AF118" s="324"/>
      <c r="AG118" s="954">
        <f t="shared" si="12"/>
        <v>0</v>
      </c>
      <c r="AH118" s="955" t="e">
        <f t="shared" si="13"/>
        <v>#N/A</v>
      </c>
      <c r="AI118" s="2293"/>
      <c r="AJ118" s="955" t="e">
        <f t="shared" si="14"/>
        <v>#N/A</v>
      </c>
      <c r="AK118" s="2293"/>
      <c r="AL118" s="953" t="e">
        <f t="shared" si="15"/>
        <v>#N/A</v>
      </c>
      <c r="AM118" s="1902"/>
      <c r="AN118" s="259"/>
      <c r="AO118" s="259"/>
      <c r="AP118" s="937"/>
      <c r="AQ118" s="259"/>
      <c r="AR118" s="259" t="s">
        <v>2877</v>
      </c>
      <c r="AS118" s="935"/>
      <c r="AT118" s="259"/>
      <c r="AU118" s="259"/>
      <c r="AV118" s="261"/>
      <c r="AW118" s="261"/>
      <c r="AX118" s="935"/>
      <c r="AY118" s="262"/>
    </row>
    <row r="119" spans="1:51" s="260" customFormat="1" ht="103.5" hidden="1" customHeight="1">
      <c r="A119" s="2390"/>
      <c r="B119" s="2391"/>
      <c r="C119" s="2374"/>
      <c r="D119" s="2374"/>
      <c r="E119" s="2374"/>
      <c r="F119" s="1322"/>
      <c r="G119" s="2382" t="s">
        <v>1702</v>
      </c>
      <c r="H119" s="2382"/>
      <c r="I119" s="2382"/>
      <c r="J119" s="2374"/>
      <c r="K119" s="2374"/>
      <c r="L119" s="2374"/>
      <c r="M119" s="1320"/>
      <c r="N119" s="1320"/>
      <c r="O119" s="1320"/>
      <c r="P119" s="1320"/>
      <c r="Q119" s="1404"/>
      <c r="R119" s="1404"/>
      <c r="S119" s="324"/>
      <c r="T119" s="954" t="e">
        <f>VLOOKUP(Q119,[91]Listas!$D$6:$E$10,2,0)</f>
        <v>#N/A</v>
      </c>
      <c r="U119" s="954" t="e">
        <f>HLOOKUP(R119,[91]Listas!$F$4:$J$5,2,0)</f>
        <v>#N/A</v>
      </c>
      <c r="V119" s="1902"/>
      <c r="W119" s="324"/>
      <c r="X119" s="1999"/>
      <c r="Y119" s="1999"/>
      <c r="Z119" s="1999"/>
      <c r="AA119" s="1102"/>
      <c r="AB119" s="938"/>
      <c r="AC119" s="2374"/>
      <c r="AD119" s="1320"/>
      <c r="AE119" s="1356"/>
      <c r="AF119" s="324"/>
      <c r="AG119" s="954">
        <f t="shared" si="12"/>
        <v>0</v>
      </c>
      <c r="AH119" s="955" t="e">
        <f t="shared" si="13"/>
        <v>#N/A</v>
      </c>
      <c r="AI119" s="2293"/>
      <c r="AJ119" s="955" t="e">
        <f t="shared" si="14"/>
        <v>#N/A</v>
      </c>
      <c r="AK119" s="2293"/>
      <c r="AL119" s="953" t="e">
        <f t="shared" si="15"/>
        <v>#N/A</v>
      </c>
      <c r="AM119" s="1902"/>
      <c r="AN119" s="259"/>
      <c r="AO119" s="259"/>
      <c r="AP119" s="937"/>
      <c r="AQ119" s="259"/>
      <c r="AR119" s="259" t="s">
        <v>2877</v>
      </c>
      <c r="AS119" s="935"/>
      <c r="AT119" s="259"/>
      <c r="AU119" s="259"/>
      <c r="AV119" s="261"/>
      <c r="AW119" s="261"/>
      <c r="AX119" s="935"/>
      <c r="AY119" s="262"/>
    </row>
    <row r="120" spans="1:51" s="260" customFormat="1" ht="103.5" hidden="1" customHeight="1">
      <c r="A120" s="2390"/>
      <c r="B120" s="2391"/>
      <c r="C120" s="2374"/>
      <c r="D120" s="2374"/>
      <c r="E120" s="2374"/>
      <c r="F120" s="1322"/>
      <c r="G120" s="2382" t="s">
        <v>991</v>
      </c>
      <c r="H120" s="2382"/>
      <c r="I120" s="2382"/>
      <c r="J120" s="2374"/>
      <c r="K120" s="2374"/>
      <c r="L120" s="2374"/>
      <c r="M120" s="1320"/>
      <c r="N120" s="1320"/>
      <c r="O120" s="1320"/>
      <c r="P120" s="1320"/>
      <c r="Q120" s="1404"/>
      <c r="R120" s="1404"/>
      <c r="S120" s="324"/>
      <c r="T120" s="954" t="e">
        <f>VLOOKUP(Q120,[91]Listas!$D$6:$E$10,2,0)</f>
        <v>#N/A</v>
      </c>
      <c r="U120" s="954" t="e">
        <f>HLOOKUP(R120,[91]Listas!$F$4:$J$5,2,0)</f>
        <v>#N/A</v>
      </c>
      <c r="V120" s="1902"/>
      <c r="W120" s="324"/>
      <c r="X120" s="1999"/>
      <c r="Y120" s="1999"/>
      <c r="Z120" s="1999"/>
      <c r="AA120" s="1102"/>
      <c r="AB120" s="938"/>
      <c r="AC120" s="2374"/>
      <c r="AD120" s="1320"/>
      <c r="AE120" s="1356"/>
      <c r="AF120" s="324"/>
      <c r="AG120" s="954">
        <f t="shared" si="12"/>
        <v>0</v>
      </c>
      <c r="AH120" s="955" t="e">
        <f t="shared" si="13"/>
        <v>#N/A</v>
      </c>
      <c r="AI120" s="2293"/>
      <c r="AJ120" s="955" t="e">
        <f t="shared" si="14"/>
        <v>#N/A</v>
      </c>
      <c r="AK120" s="2293"/>
      <c r="AL120" s="953" t="e">
        <f t="shared" si="15"/>
        <v>#N/A</v>
      </c>
      <c r="AM120" s="1902"/>
      <c r="AN120" s="259"/>
      <c r="AO120" s="259"/>
      <c r="AP120" s="937"/>
      <c r="AQ120" s="259"/>
      <c r="AR120" s="259" t="s">
        <v>2877</v>
      </c>
      <c r="AS120" s="935"/>
      <c r="AT120" s="259"/>
      <c r="AU120" s="259"/>
      <c r="AV120" s="261"/>
      <c r="AW120" s="261"/>
      <c r="AX120" s="935"/>
      <c r="AY120" s="262"/>
    </row>
    <row r="121" spans="1:51" s="260" customFormat="1" ht="103.5" hidden="1" customHeight="1">
      <c r="A121" s="2390"/>
      <c r="B121" s="2391"/>
      <c r="C121" s="2374"/>
      <c r="D121" s="2374"/>
      <c r="E121" s="2374"/>
      <c r="F121" s="1322"/>
      <c r="G121" s="2382" t="s">
        <v>990</v>
      </c>
      <c r="H121" s="2382"/>
      <c r="I121" s="2382"/>
      <c r="J121" s="2374"/>
      <c r="K121" s="2374"/>
      <c r="L121" s="2374"/>
      <c r="M121" s="1320"/>
      <c r="N121" s="1320"/>
      <c r="O121" s="1320"/>
      <c r="P121" s="1320"/>
      <c r="Q121" s="1404"/>
      <c r="R121" s="1404"/>
      <c r="S121" s="324"/>
      <c r="T121" s="954" t="e">
        <f>VLOOKUP(Q121,[91]Listas!$D$6:$E$10,2,0)</f>
        <v>#N/A</v>
      </c>
      <c r="U121" s="954" t="e">
        <f>HLOOKUP(R121,[91]Listas!$F$4:$J$5,2,0)</f>
        <v>#N/A</v>
      </c>
      <c r="V121" s="1902"/>
      <c r="W121" s="324"/>
      <c r="X121" s="1999"/>
      <c r="Y121" s="1999"/>
      <c r="Z121" s="1999"/>
      <c r="AA121" s="1102"/>
      <c r="AB121" s="938"/>
      <c r="AC121" s="2374"/>
      <c r="AD121" s="1320"/>
      <c r="AE121" s="1356"/>
      <c r="AF121" s="324"/>
      <c r="AG121" s="954">
        <f t="shared" si="12"/>
        <v>0</v>
      </c>
      <c r="AH121" s="955" t="e">
        <f t="shared" si="13"/>
        <v>#N/A</v>
      </c>
      <c r="AI121" s="2293"/>
      <c r="AJ121" s="955" t="e">
        <f t="shared" si="14"/>
        <v>#N/A</v>
      </c>
      <c r="AK121" s="2293"/>
      <c r="AL121" s="953" t="e">
        <f t="shared" si="15"/>
        <v>#N/A</v>
      </c>
      <c r="AM121" s="1902"/>
      <c r="AN121" s="259"/>
      <c r="AO121" s="259"/>
      <c r="AP121" s="937"/>
      <c r="AQ121" s="259"/>
      <c r="AR121" s="259" t="s">
        <v>2877</v>
      </c>
      <c r="AS121" s="935"/>
      <c r="AT121" s="259"/>
      <c r="AU121" s="259"/>
      <c r="AV121" s="261"/>
      <c r="AW121" s="261"/>
      <c r="AX121" s="935"/>
      <c r="AY121" s="262"/>
    </row>
    <row r="122" spans="1:51" s="260" customFormat="1" ht="103.5" hidden="1" customHeight="1">
      <c r="A122" s="2390"/>
      <c r="B122" s="2391"/>
      <c r="C122" s="2374"/>
      <c r="D122" s="2374"/>
      <c r="E122" s="2374"/>
      <c r="F122" s="1322"/>
      <c r="G122" s="2382" t="s">
        <v>989</v>
      </c>
      <c r="H122" s="2382"/>
      <c r="I122" s="2382"/>
      <c r="J122" s="2374"/>
      <c r="K122" s="2374"/>
      <c r="L122" s="2374"/>
      <c r="M122" s="1320"/>
      <c r="N122" s="1320"/>
      <c r="O122" s="1320"/>
      <c r="P122" s="1320"/>
      <c r="Q122" s="1404"/>
      <c r="R122" s="1404"/>
      <c r="S122" s="324"/>
      <c r="T122" s="954" t="e">
        <f>VLOOKUP(Q122,[91]Listas!$D$6:$E$10,2,0)</f>
        <v>#N/A</v>
      </c>
      <c r="U122" s="954" t="e">
        <f>HLOOKUP(R122,[91]Listas!$F$4:$J$5,2,0)</f>
        <v>#N/A</v>
      </c>
      <c r="V122" s="1902"/>
      <c r="W122" s="324"/>
      <c r="X122" s="1999"/>
      <c r="Y122" s="1999"/>
      <c r="Z122" s="1999"/>
      <c r="AA122" s="1102"/>
      <c r="AB122" s="938"/>
      <c r="AC122" s="2374"/>
      <c r="AD122" s="1320"/>
      <c r="AE122" s="1356"/>
      <c r="AF122" s="324"/>
      <c r="AG122" s="954">
        <f t="shared" si="12"/>
        <v>0</v>
      </c>
      <c r="AH122" s="955" t="e">
        <f t="shared" si="13"/>
        <v>#N/A</v>
      </c>
      <c r="AI122" s="2293"/>
      <c r="AJ122" s="955" t="e">
        <f t="shared" si="14"/>
        <v>#N/A</v>
      </c>
      <c r="AK122" s="2293"/>
      <c r="AL122" s="953" t="e">
        <f t="shared" si="15"/>
        <v>#N/A</v>
      </c>
      <c r="AM122" s="1902"/>
      <c r="AN122" s="259"/>
      <c r="AO122" s="259"/>
      <c r="AP122" s="937"/>
      <c r="AQ122" s="259"/>
      <c r="AR122" s="259" t="s">
        <v>2877</v>
      </c>
      <c r="AS122" s="935"/>
      <c r="AT122" s="259"/>
      <c r="AU122" s="259"/>
      <c r="AV122" s="261"/>
      <c r="AW122" s="261"/>
      <c r="AX122" s="935"/>
      <c r="AY122" s="262"/>
    </row>
    <row r="123" spans="1:51" s="260" customFormat="1" ht="103.5" hidden="1" customHeight="1">
      <c r="A123" s="2390"/>
      <c r="B123" s="2391"/>
      <c r="C123" s="2374"/>
      <c r="D123" s="2374"/>
      <c r="E123" s="2374"/>
      <c r="F123" s="1322"/>
      <c r="G123" s="2382" t="s">
        <v>987</v>
      </c>
      <c r="H123" s="2382"/>
      <c r="I123" s="2382"/>
      <c r="J123" s="2374"/>
      <c r="K123" s="2374"/>
      <c r="L123" s="2374"/>
      <c r="M123" s="1320"/>
      <c r="N123" s="1320"/>
      <c r="O123" s="1320"/>
      <c r="P123" s="1320"/>
      <c r="Q123" s="1404"/>
      <c r="R123" s="1404"/>
      <c r="S123" s="324"/>
      <c r="T123" s="954" t="e">
        <f>VLOOKUP(Q123,[91]Listas!$D$6:$E$10,2,0)</f>
        <v>#N/A</v>
      </c>
      <c r="U123" s="954" t="e">
        <f>HLOOKUP(R123,[91]Listas!$F$4:$J$5,2,0)</f>
        <v>#N/A</v>
      </c>
      <c r="V123" s="1902"/>
      <c r="W123" s="324"/>
      <c r="X123" s="1999"/>
      <c r="Y123" s="1999"/>
      <c r="Z123" s="1999"/>
      <c r="AA123" s="1102"/>
      <c r="AB123" s="938"/>
      <c r="AC123" s="2374"/>
      <c r="AD123" s="1320"/>
      <c r="AE123" s="1356"/>
      <c r="AF123" s="324"/>
      <c r="AG123" s="954">
        <f t="shared" si="12"/>
        <v>0</v>
      </c>
      <c r="AH123" s="955" t="e">
        <f t="shared" si="13"/>
        <v>#N/A</v>
      </c>
      <c r="AI123" s="2293"/>
      <c r="AJ123" s="955" t="e">
        <f t="shared" si="14"/>
        <v>#N/A</v>
      </c>
      <c r="AK123" s="2293"/>
      <c r="AL123" s="953" t="e">
        <f t="shared" si="15"/>
        <v>#N/A</v>
      </c>
      <c r="AM123" s="1902"/>
      <c r="AN123" s="259"/>
      <c r="AO123" s="259"/>
      <c r="AP123" s="937"/>
      <c r="AQ123" s="259"/>
      <c r="AR123" s="259" t="s">
        <v>2877</v>
      </c>
      <c r="AS123" s="935"/>
      <c r="AT123" s="259"/>
      <c r="AU123" s="259"/>
      <c r="AV123" s="261"/>
      <c r="AW123" s="261"/>
      <c r="AX123" s="935"/>
      <c r="AY123" s="262"/>
    </row>
    <row r="124" spans="1:51" s="260" customFormat="1" ht="103.5" hidden="1" customHeight="1">
      <c r="A124" s="2390"/>
      <c r="B124" s="2391"/>
      <c r="C124" s="2374"/>
      <c r="D124" s="2374"/>
      <c r="E124" s="2374"/>
      <c r="F124" s="1322"/>
      <c r="G124" s="2382" t="s">
        <v>985</v>
      </c>
      <c r="H124" s="2382"/>
      <c r="I124" s="2382"/>
      <c r="J124" s="2374"/>
      <c r="K124" s="2374"/>
      <c r="L124" s="2374"/>
      <c r="M124" s="1320"/>
      <c r="N124" s="1320"/>
      <c r="O124" s="1320"/>
      <c r="P124" s="1320"/>
      <c r="Q124" s="1404"/>
      <c r="R124" s="1404"/>
      <c r="S124" s="324"/>
      <c r="T124" s="954" t="e">
        <f>VLOOKUP(Q124,[91]Listas!$D$6:$E$10,2,0)</f>
        <v>#N/A</v>
      </c>
      <c r="U124" s="954" t="e">
        <f>HLOOKUP(R124,[91]Listas!$F$4:$J$5,2,0)</f>
        <v>#N/A</v>
      </c>
      <c r="V124" s="1902"/>
      <c r="W124" s="324"/>
      <c r="X124" s="1999" t="s">
        <v>1431</v>
      </c>
      <c r="Y124" s="1999"/>
      <c r="Z124" s="1999"/>
      <c r="AA124" s="1102"/>
      <c r="AB124" s="938"/>
      <c r="AC124" s="2374"/>
      <c r="AD124" s="1320"/>
      <c r="AE124" s="1356"/>
      <c r="AF124" s="324"/>
      <c r="AG124" s="954">
        <f t="shared" si="12"/>
        <v>0</v>
      </c>
      <c r="AH124" s="955" t="e">
        <f t="shared" si="13"/>
        <v>#N/A</v>
      </c>
      <c r="AI124" s="2293"/>
      <c r="AJ124" s="955" t="e">
        <f t="shared" si="14"/>
        <v>#N/A</v>
      </c>
      <c r="AK124" s="2293"/>
      <c r="AL124" s="953" t="e">
        <f t="shared" si="15"/>
        <v>#N/A</v>
      </c>
      <c r="AM124" s="1902"/>
      <c r="AN124" s="259"/>
      <c r="AO124" s="259"/>
      <c r="AP124" s="937"/>
      <c r="AQ124" s="259"/>
      <c r="AR124" s="259" t="s">
        <v>2877</v>
      </c>
      <c r="AS124" s="935"/>
      <c r="AT124" s="259"/>
      <c r="AU124" s="259"/>
      <c r="AV124" s="261"/>
      <c r="AW124" s="261"/>
      <c r="AX124" s="935"/>
      <c r="AY124" s="262"/>
    </row>
    <row r="125" spans="1:51" s="260" customFormat="1" ht="103.5" hidden="1" customHeight="1">
      <c r="A125" s="2390"/>
      <c r="B125" s="2391"/>
      <c r="C125" s="2374"/>
      <c r="D125" s="2374"/>
      <c r="E125" s="2374"/>
      <c r="F125" s="1322"/>
      <c r="G125" s="2382" t="s">
        <v>1061</v>
      </c>
      <c r="H125" s="2382"/>
      <c r="I125" s="2382"/>
      <c r="J125" s="2374"/>
      <c r="K125" s="2374"/>
      <c r="L125" s="2374"/>
      <c r="M125" s="1320"/>
      <c r="N125" s="1320"/>
      <c r="O125" s="1320"/>
      <c r="P125" s="1320"/>
      <c r="Q125" s="1404"/>
      <c r="R125" s="1404"/>
      <c r="S125" s="324"/>
      <c r="T125" s="954" t="e">
        <f>VLOOKUP(Q125,[91]Listas!$D$6:$E$10,2,0)</f>
        <v>#N/A</v>
      </c>
      <c r="U125" s="954" t="e">
        <f>HLOOKUP(R125,[91]Listas!$F$4:$J$5,2,0)</f>
        <v>#N/A</v>
      </c>
      <c r="V125" s="1902"/>
      <c r="W125" s="324"/>
      <c r="X125" s="1999"/>
      <c r="Y125" s="1999"/>
      <c r="Z125" s="1999"/>
      <c r="AA125" s="1102"/>
      <c r="AB125" s="938"/>
      <c r="AC125" s="2374"/>
      <c r="AD125" s="1320"/>
      <c r="AE125" s="1356"/>
      <c r="AF125" s="324"/>
      <c r="AG125" s="954">
        <f t="shared" si="12"/>
        <v>0</v>
      </c>
      <c r="AH125" s="955" t="e">
        <f t="shared" si="13"/>
        <v>#N/A</v>
      </c>
      <c r="AI125" s="2293"/>
      <c r="AJ125" s="955" t="e">
        <f t="shared" si="14"/>
        <v>#N/A</v>
      </c>
      <c r="AK125" s="2293"/>
      <c r="AL125" s="953" t="e">
        <f t="shared" si="15"/>
        <v>#N/A</v>
      </c>
      <c r="AM125" s="1902"/>
      <c r="AN125" s="259"/>
      <c r="AO125" s="259"/>
      <c r="AP125" s="937"/>
      <c r="AQ125" s="259"/>
      <c r="AR125" s="259" t="s">
        <v>2877</v>
      </c>
      <c r="AS125" s="935"/>
      <c r="AT125" s="259"/>
      <c r="AU125" s="259"/>
      <c r="AV125" s="261"/>
      <c r="AW125" s="261"/>
      <c r="AX125" s="935"/>
      <c r="AY125" s="262"/>
    </row>
    <row r="126" spans="1:51" s="260" customFormat="1" ht="103.5" hidden="1" customHeight="1">
      <c r="A126" s="2390"/>
      <c r="B126" s="2391"/>
      <c r="C126" s="2374"/>
      <c r="D126" s="2374"/>
      <c r="E126" s="2374"/>
      <c r="F126" s="1515"/>
      <c r="G126" s="2382" t="s">
        <v>983</v>
      </c>
      <c r="H126" s="2382"/>
      <c r="I126" s="2382"/>
      <c r="J126" s="2374"/>
      <c r="K126" s="2374"/>
      <c r="L126" s="2374"/>
      <c r="M126" s="1320"/>
      <c r="N126" s="1320"/>
      <c r="O126" s="1320"/>
      <c r="P126" s="1320"/>
      <c r="Q126" s="1404"/>
      <c r="R126" s="1404"/>
      <c r="S126" s="324"/>
      <c r="T126" s="954" t="e">
        <f>VLOOKUP(Q126,[91]Listas!$D$6:$E$10,2,0)</f>
        <v>#N/A</v>
      </c>
      <c r="U126" s="954" t="e">
        <f>HLOOKUP(R126,[91]Listas!$F$4:$J$5,2,0)</f>
        <v>#N/A</v>
      </c>
      <c r="V126" s="1902"/>
      <c r="W126" s="324"/>
      <c r="X126" s="1999"/>
      <c r="Y126" s="1999"/>
      <c r="Z126" s="1999"/>
      <c r="AA126" s="1102"/>
      <c r="AB126" s="938"/>
      <c r="AC126" s="2374"/>
      <c r="AD126" s="1320"/>
      <c r="AE126" s="1356"/>
      <c r="AF126" s="324"/>
      <c r="AG126" s="954">
        <f t="shared" si="12"/>
        <v>0</v>
      </c>
      <c r="AH126" s="955" t="e">
        <f t="shared" si="13"/>
        <v>#N/A</v>
      </c>
      <c r="AI126" s="2293"/>
      <c r="AJ126" s="955" t="e">
        <f t="shared" si="14"/>
        <v>#N/A</v>
      </c>
      <c r="AK126" s="2293"/>
      <c r="AL126" s="953" t="e">
        <f t="shared" si="15"/>
        <v>#N/A</v>
      </c>
      <c r="AM126" s="1902"/>
      <c r="AN126" s="259"/>
      <c r="AO126" s="259"/>
      <c r="AP126" s="937"/>
      <c r="AQ126" s="259"/>
      <c r="AR126" s="259" t="s">
        <v>2877</v>
      </c>
      <c r="AS126" s="935"/>
      <c r="AT126" s="259"/>
      <c r="AU126" s="259"/>
      <c r="AV126" s="261"/>
      <c r="AW126" s="261"/>
      <c r="AX126" s="935"/>
      <c r="AY126" s="262"/>
    </row>
    <row r="127" spans="1:51" s="260" customFormat="1" ht="103.5" hidden="1" customHeight="1">
      <c r="A127" s="2374" t="s">
        <v>81</v>
      </c>
      <c r="B127" s="2391" t="s">
        <v>1703</v>
      </c>
      <c r="C127" s="2374" t="s">
        <v>982</v>
      </c>
      <c r="D127" s="2374"/>
      <c r="E127" s="2374"/>
      <c r="F127" s="1321" t="s">
        <v>1696</v>
      </c>
      <c r="G127" s="2382" t="s">
        <v>981</v>
      </c>
      <c r="H127" s="2382"/>
      <c r="I127" s="2382"/>
      <c r="J127" s="2374" t="s">
        <v>980</v>
      </c>
      <c r="K127" s="2374"/>
      <c r="L127" s="2374"/>
      <c r="M127" s="1320"/>
      <c r="N127" s="1320"/>
      <c r="O127" s="1320" t="s">
        <v>8</v>
      </c>
      <c r="P127" s="1320"/>
      <c r="Q127" s="1404" t="s">
        <v>655</v>
      </c>
      <c r="R127" s="1404" t="s">
        <v>643</v>
      </c>
      <c r="S127" s="324"/>
      <c r="T127" s="954">
        <f>VLOOKUP(Q127,[91]Listas!$D$6:$E$10,2,0)</f>
        <v>2</v>
      </c>
      <c r="U127" s="954">
        <f>HLOOKUP(R127,[91]Listas!$F$4:$J$5,2,0)</f>
        <v>2</v>
      </c>
      <c r="V127" s="1902" t="str">
        <f>INDEX([91]Listas!$F$6:$J$10,MATCH(Q127,[91]Listas!$D$6:$D$10,0),MATCH(R127,[91]Listas!$F$4:$J$4,0))</f>
        <v>4
INFERIOR</v>
      </c>
      <c r="W127" s="324"/>
      <c r="X127" s="1999" t="s">
        <v>1435</v>
      </c>
      <c r="Y127" s="1999"/>
      <c r="Z127" s="1999"/>
      <c r="AA127" s="1102"/>
      <c r="AB127" s="938" t="s">
        <v>1704</v>
      </c>
      <c r="AC127" s="2374" t="s">
        <v>1705</v>
      </c>
      <c r="AD127" s="1320">
        <v>71</v>
      </c>
      <c r="AE127" s="1356" t="s">
        <v>153</v>
      </c>
      <c r="AF127" s="324"/>
      <c r="AG127" s="954">
        <f t="shared" si="12"/>
        <v>1</v>
      </c>
      <c r="AH127" s="955">
        <f t="shared" si="13"/>
        <v>1</v>
      </c>
      <c r="AI127" s="2293" t="str">
        <f>IF(AH127&lt;=1,"Remota",VLOOKUP(AH127,[91]Listas!$C$6:$D$10,2,0))</f>
        <v>Remota</v>
      </c>
      <c r="AJ127" s="955">
        <f t="shared" si="14"/>
        <v>2</v>
      </c>
      <c r="AK127" s="2293" t="str">
        <f>IF(AJ127&lt;=1,"Insignificante",HLOOKUP(AJ127,[91]Listas!$F$3:$J$4,2,0))</f>
        <v>Menor</v>
      </c>
      <c r="AL127" s="953">
        <f t="shared" si="15"/>
        <v>2</v>
      </c>
      <c r="AM127" s="1902" t="str">
        <f>INDEX([91]Listas!$F$6:$J$10,MATCH(AI127,[91]Listas!$D$6:$D$10,0),MATCH(AK127,[91]Listas!$F$4:$J$4,0))</f>
        <v>2
INFERIOR</v>
      </c>
      <c r="AN127" s="259"/>
      <c r="AO127" s="259"/>
      <c r="AP127" s="937"/>
      <c r="AQ127" s="259"/>
      <c r="AR127" s="259" t="s">
        <v>2877</v>
      </c>
      <c r="AS127" s="935"/>
      <c r="AT127" s="259"/>
      <c r="AU127" s="259"/>
      <c r="AV127" s="261"/>
      <c r="AW127" s="261"/>
      <c r="AX127" s="935"/>
      <c r="AY127" s="262"/>
    </row>
    <row r="128" spans="1:51" s="260" customFormat="1" ht="103.5" hidden="1" customHeight="1">
      <c r="A128" s="2374"/>
      <c r="B128" s="2391" t="s">
        <v>473</v>
      </c>
      <c r="C128" s="2374"/>
      <c r="D128" s="2374"/>
      <c r="E128" s="2374"/>
      <c r="F128" s="1322"/>
      <c r="G128" s="2382" t="s">
        <v>976</v>
      </c>
      <c r="H128" s="2382"/>
      <c r="I128" s="2382"/>
      <c r="J128" s="2374"/>
      <c r="K128" s="2374"/>
      <c r="L128" s="2374"/>
      <c r="M128" s="1320"/>
      <c r="N128" s="1320"/>
      <c r="O128" s="1320"/>
      <c r="P128" s="1320"/>
      <c r="Q128" s="1404"/>
      <c r="R128" s="1404"/>
      <c r="S128" s="324"/>
      <c r="T128" s="954" t="e">
        <f>VLOOKUP(Q128,[91]Listas!$D$6:$E$10,2,0)</f>
        <v>#N/A</v>
      </c>
      <c r="U128" s="954" t="e">
        <f>HLOOKUP(R128,[91]Listas!$F$4:$J$5,2,0)</f>
        <v>#N/A</v>
      </c>
      <c r="V128" s="1902"/>
      <c r="W128" s="324"/>
      <c r="X128" s="1999" t="s">
        <v>1437</v>
      </c>
      <c r="Y128" s="1999"/>
      <c r="Z128" s="1999"/>
      <c r="AA128" s="1102"/>
      <c r="AB128" s="938" t="s">
        <v>1698</v>
      </c>
      <c r="AC128" s="2374"/>
      <c r="AD128" s="1320"/>
      <c r="AE128" s="1356"/>
      <c r="AF128" s="324"/>
      <c r="AG128" s="954">
        <f t="shared" si="12"/>
        <v>0</v>
      </c>
      <c r="AH128" s="955" t="e">
        <f t="shared" si="13"/>
        <v>#N/A</v>
      </c>
      <c r="AI128" s="2293"/>
      <c r="AJ128" s="955" t="e">
        <f t="shared" si="14"/>
        <v>#N/A</v>
      </c>
      <c r="AK128" s="2293"/>
      <c r="AL128" s="953" t="e">
        <f t="shared" si="15"/>
        <v>#N/A</v>
      </c>
      <c r="AM128" s="1902"/>
      <c r="AN128" s="259"/>
      <c r="AO128" s="259"/>
      <c r="AP128" s="937"/>
      <c r="AQ128" s="259"/>
      <c r="AR128" s="259" t="s">
        <v>2877</v>
      </c>
      <c r="AS128" s="935"/>
      <c r="AT128" s="259"/>
      <c r="AU128" s="259"/>
      <c r="AV128" s="261"/>
      <c r="AW128" s="261"/>
      <c r="AX128" s="935"/>
      <c r="AY128" s="262"/>
    </row>
    <row r="129" spans="1:51" s="260" customFormat="1" ht="103.5" hidden="1" customHeight="1">
      <c r="A129" s="2374"/>
      <c r="B129" s="2391" t="s">
        <v>473</v>
      </c>
      <c r="C129" s="2374"/>
      <c r="D129" s="2374"/>
      <c r="E129" s="2374"/>
      <c r="F129" s="1515"/>
      <c r="G129" s="2382" t="s">
        <v>974</v>
      </c>
      <c r="H129" s="2382"/>
      <c r="I129" s="2382"/>
      <c r="J129" s="2374"/>
      <c r="K129" s="2374"/>
      <c r="L129" s="2374"/>
      <c r="M129" s="1320"/>
      <c r="N129" s="1320"/>
      <c r="O129" s="1320"/>
      <c r="P129" s="1320"/>
      <c r="Q129" s="1404"/>
      <c r="R129" s="1404"/>
      <c r="S129" s="324"/>
      <c r="T129" s="954" t="e">
        <f>VLOOKUP(Q129,[91]Listas!$D$6:$E$10,2,0)</f>
        <v>#N/A</v>
      </c>
      <c r="U129" s="954" t="e">
        <f>HLOOKUP(R129,[91]Listas!$F$4:$J$5,2,0)</f>
        <v>#N/A</v>
      </c>
      <c r="V129" s="1902"/>
      <c r="W129" s="324"/>
      <c r="X129" s="1999" t="s">
        <v>1706</v>
      </c>
      <c r="Y129" s="1999"/>
      <c r="Z129" s="1999"/>
      <c r="AA129" s="1102"/>
      <c r="AB129" s="938"/>
      <c r="AC129" s="2374"/>
      <c r="AD129" s="1320"/>
      <c r="AE129" s="1356"/>
      <c r="AF129" s="324"/>
      <c r="AG129" s="954">
        <f t="shared" si="12"/>
        <v>0</v>
      </c>
      <c r="AH129" s="955" t="e">
        <f t="shared" si="13"/>
        <v>#N/A</v>
      </c>
      <c r="AI129" s="2293"/>
      <c r="AJ129" s="955" t="e">
        <f t="shared" si="14"/>
        <v>#N/A</v>
      </c>
      <c r="AK129" s="2293"/>
      <c r="AL129" s="953" t="e">
        <f t="shared" si="15"/>
        <v>#N/A</v>
      </c>
      <c r="AM129" s="1902"/>
      <c r="AN129" s="259"/>
      <c r="AO129" s="259"/>
      <c r="AP129" s="937"/>
      <c r="AQ129" s="259"/>
      <c r="AR129" s="259" t="s">
        <v>2877</v>
      </c>
      <c r="AS129" s="935"/>
      <c r="AT129" s="259"/>
      <c r="AU129" s="259"/>
      <c r="AV129" s="261"/>
      <c r="AW129" s="261"/>
      <c r="AX129" s="935"/>
      <c r="AY129" s="262"/>
    </row>
    <row r="130" spans="1:51" s="260" customFormat="1" ht="103.5" hidden="1" customHeight="1">
      <c r="A130" s="2374" t="s">
        <v>81</v>
      </c>
      <c r="B130" s="2391" t="s">
        <v>1707</v>
      </c>
      <c r="C130" s="2374" t="s">
        <v>1708</v>
      </c>
      <c r="D130" s="2374"/>
      <c r="E130" s="2374"/>
      <c r="F130" s="1321" t="s">
        <v>1696</v>
      </c>
      <c r="G130" s="2382" t="s">
        <v>1072</v>
      </c>
      <c r="H130" s="2382"/>
      <c r="I130" s="2382"/>
      <c r="J130" s="2374" t="s">
        <v>1073</v>
      </c>
      <c r="K130" s="2374"/>
      <c r="L130" s="2374"/>
      <c r="M130" s="1320"/>
      <c r="N130" s="1320"/>
      <c r="O130" s="1320" t="s">
        <v>8</v>
      </c>
      <c r="P130" s="1320"/>
      <c r="Q130" s="1404" t="s">
        <v>654</v>
      </c>
      <c r="R130" s="1404" t="s">
        <v>274</v>
      </c>
      <c r="S130" s="324"/>
      <c r="T130" s="954">
        <f>VLOOKUP(Q130,[91]Listas!$D$6:$E$10,2,0)</f>
        <v>1</v>
      </c>
      <c r="U130" s="954">
        <f>HLOOKUP(R130,[91]Listas!$F$4:$J$5,2,0)</f>
        <v>3</v>
      </c>
      <c r="V130" s="1902" t="str">
        <f>INDEX([91]Listas!$F$6:$J$10,MATCH(Q130,[91]Listas!$D$6:$D$10,0),MATCH(R130,[91]Listas!$F$4:$J$4,0))</f>
        <v>3
INFERIOR</v>
      </c>
      <c r="W130" s="324"/>
      <c r="X130" s="1999" t="s">
        <v>1441</v>
      </c>
      <c r="Y130" s="1999"/>
      <c r="Z130" s="1999"/>
      <c r="AA130" s="1107"/>
      <c r="AB130" s="1321" t="s">
        <v>1709</v>
      </c>
      <c r="AC130" s="2374" t="s">
        <v>1710</v>
      </c>
      <c r="AD130" s="1320">
        <v>47</v>
      </c>
      <c r="AE130" s="1356" t="s">
        <v>153</v>
      </c>
      <c r="AF130" s="324"/>
      <c r="AG130" s="954"/>
      <c r="AH130" s="955"/>
      <c r="AI130" s="2293" t="str">
        <f>IF(AH130&lt;=1,"Remota",VLOOKUP(AH130,[91]Listas!$C$6:$D$10,2,0))</f>
        <v>Remota</v>
      </c>
      <c r="AJ130" s="955"/>
      <c r="AK130" s="2293" t="str">
        <f>IF(AJ130&lt;=1,"Insignificante",HLOOKUP(AJ130,[91]Listas!$F$3:$J$4,2,0))</f>
        <v>Insignificante</v>
      </c>
      <c r="AL130" s="953"/>
      <c r="AM130" s="1902" t="str">
        <f>INDEX([91]Listas!$F$6:$J$10,MATCH(AI130,[91]Listas!$D$6:$D$10,0),MATCH(AK130,[91]Listas!$F$4:$J$4,0))</f>
        <v>1
INFERIOR</v>
      </c>
      <c r="AN130" s="259"/>
      <c r="AO130" s="259"/>
      <c r="AP130" s="937"/>
      <c r="AQ130" s="259"/>
      <c r="AR130" s="259" t="s">
        <v>2877</v>
      </c>
      <c r="AS130" s="935"/>
      <c r="AT130" s="259"/>
      <c r="AU130" s="259"/>
      <c r="AV130" s="261"/>
      <c r="AW130" s="261"/>
      <c r="AX130" s="935"/>
      <c r="AY130" s="262"/>
    </row>
    <row r="131" spans="1:51" s="260" customFormat="1" ht="103.5" hidden="1" customHeight="1">
      <c r="A131" s="2374"/>
      <c r="B131" s="2391" t="s">
        <v>473</v>
      </c>
      <c r="C131" s="2374"/>
      <c r="D131" s="2374"/>
      <c r="E131" s="2374"/>
      <c r="F131" s="1322"/>
      <c r="G131" s="2382" t="s">
        <v>1077</v>
      </c>
      <c r="H131" s="2382"/>
      <c r="I131" s="2382"/>
      <c r="J131" s="2374"/>
      <c r="K131" s="2374"/>
      <c r="L131" s="2374"/>
      <c r="M131" s="1320"/>
      <c r="N131" s="1320"/>
      <c r="O131" s="1320"/>
      <c r="P131" s="1320"/>
      <c r="Q131" s="1404"/>
      <c r="R131" s="1404"/>
      <c r="S131" s="324"/>
      <c r="T131" s="954" t="e">
        <f>VLOOKUP(Q131,[91]Listas!$D$6:$E$10,2,0)</f>
        <v>#N/A</v>
      </c>
      <c r="U131" s="954" t="e">
        <f>HLOOKUP(R131,[91]Listas!$F$4:$J$5,2,0)</f>
        <v>#N/A</v>
      </c>
      <c r="V131" s="1902"/>
      <c r="W131" s="324"/>
      <c r="X131" s="1999" t="s">
        <v>1711</v>
      </c>
      <c r="Y131" s="1999"/>
      <c r="Z131" s="1999"/>
      <c r="AA131" s="1108"/>
      <c r="AB131" s="1322"/>
      <c r="AC131" s="2374"/>
      <c r="AD131" s="1320"/>
      <c r="AE131" s="1356"/>
      <c r="AF131" s="324"/>
      <c r="AG131" s="954"/>
      <c r="AH131" s="955"/>
      <c r="AI131" s="2293"/>
      <c r="AJ131" s="955"/>
      <c r="AK131" s="2293"/>
      <c r="AL131" s="953"/>
      <c r="AM131" s="1902"/>
      <c r="AN131" s="259"/>
      <c r="AO131" s="259"/>
      <c r="AP131" s="937"/>
      <c r="AQ131" s="259"/>
      <c r="AR131" s="259" t="s">
        <v>2877</v>
      </c>
      <c r="AS131" s="935"/>
      <c r="AT131" s="259"/>
      <c r="AU131" s="259"/>
      <c r="AV131" s="261"/>
      <c r="AW131" s="261"/>
      <c r="AX131" s="935"/>
      <c r="AY131" s="262"/>
    </row>
    <row r="132" spans="1:51" s="260" customFormat="1" ht="103.5" hidden="1" customHeight="1">
      <c r="A132" s="2374"/>
      <c r="B132" s="2391" t="s">
        <v>473</v>
      </c>
      <c r="C132" s="2374"/>
      <c r="D132" s="2374"/>
      <c r="E132" s="2374"/>
      <c r="F132" s="1322"/>
      <c r="G132" s="2382" t="s">
        <v>1308</v>
      </c>
      <c r="H132" s="2382"/>
      <c r="I132" s="2382"/>
      <c r="J132" s="2374"/>
      <c r="K132" s="2374"/>
      <c r="L132" s="2374"/>
      <c r="M132" s="1320"/>
      <c r="N132" s="1320"/>
      <c r="O132" s="1320"/>
      <c r="P132" s="1320"/>
      <c r="Q132" s="1404"/>
      <c r="R132" s="1404"/>
      <c r="S132" s="324"/>
      <c r="T132" s="954" t="e">
        <f>VLOOKUP(Q132,[91]Listas!$D$6:$E$10,2,0)</f>
        <v>#N/A</v>
      </c>
      <c r="U132" s="954" t="e">
        <f>HLOOKUP(R132,[91]Listas!$F$4:$J$5,2,0)</f>
        <v>#N/A</v>
      </c>
      <c r="V132" s="1902"/>
      <c r="W132" s="324"/>
      <c r="X132" s="1999" t="s">
        <v>1711</v>
      </c>
      <c r="Y132" s="1999"/>
      <c r="Z132" s="1999"/>
      <c r="AA132" s="1108"/>
      <c r="AB132" s="1322"/>
      <c r="AC132" s="2374"/>
      <c r="AD132" s="1320"/>
      <c r="AE132" s="1356"/>
      <c r="AF132" s="324"/>
      <c r="AG132" s="954"/>
      <c r="AH132" s="955"/>
      <c r="AI132" s="2293"/>
      <c r="AJ132" s="955"/>
      <c r="AK132" s="2293"/>
      <c r="AL132" s="953"/>
      <c r="AM132" s="1902"/>
      <c r="AN132" s="259"/>
      <c r="AO132" s="259"/>
      <c r="AP132" s="937"/>
      <c r="AQ132" s="259"/>
      <c r="AR132" s="259" t="s">
        <v>2877</v>
      </c>
      <c r="AS132" s="935"/>
      <c r="AT132" s="259"/>
      <c r="AU132" s="259"/>
      <c r="AV132" s="261"/>
      <c r="AW132" s="261"/>
      <c r="AX132" s="935"/>
      <c r="AY132" s="262"/>
    </row>
    <row r="133" spans="1:51" s="260" customFormat="1" ht="103.5" hidden="1" customHeight="1">
      <c r="A133" s="2374"/>
      <c r="B133" s="2391" t="s">
        <v>473</v>
      </c>
      <c r="C133" s="2374"/>
      <c r="D133" s="2374"/>
      <c r="E133" s="2374"/>
      <c r="F133" s="1515"/>
      <c r="G133" s="2382" t="s">
        <v>1079</v>
      </c>
      <c r="H133" s="2382"/>
      <c r="I133" s="2382"/>
      <c r="J133" s="2374"/>
      <c r="K133" s="2374"/>
      <c r="L133" s="2374"/>
      <c r="M133" s="1320"/>
      <c r="N133" s="1320"/>
      <c r="O133" s="1320"/>
      <c r="P133" s="1320"/>
      <c r="Q133" s="1404"/>
      <c r="R133" s="1404"/>
      <c r="S133" s="324"/>
      <c r="T133" s="954" t="e">
        <f>VLOOKUP(Q133,[91]Listas!$D$6:$E$10,2,0)</f>
        <v>#N/A</v>
      </c>
      <c r="U133" s="954" t="e">
        <f>HLOOKUP(R133,[91]Listas!$F$4:$J$5,2,0)</f>
        <v>#N/A</v>
      </c>
      <c r="V133" s="1902"/>
      <c r="W133" s="324"/>
      <c r="X133" s="1999" t="s">
        <v>1711</v>
      </c>
      <c r="Y133" s="1999"/>
      <c r="Z133" s="1999"/>
      <c r="AA133" s="1109"/>
      <c r="AB133" s="1515"/>
      <c r="AC133" s="2374"/>
      <c r="AD133" s="1320"/>
      <c r="AE133" s="1356"/>
      <c r="AF133" s="324"/>
      <c r="AG133" s="954"/>
      <c r="AH133" s="955"/>
      <c r="AI133" s="2293"/>
      <c r="AJ133" s="955"/>
      <c r="AK133" s="2293"/>
      <c r="AL133" s="953"/>
      <c r="AM133" s="1902"/>
      <c r="AN133" s="259"/>
      <c r="AO133" s="259"/>
      <c r="AP133" s="937"/>
      <c r="AQ133" s="259"/>
      <c r="AR133" s="259" t="s">
        <v>2877</v>
      </c>
      <c r="AS133" s="935"/>
      <c r="AT133" s="259"/>
      <c r="AU133" s="259"/>
      <c r="AV133" s="261"/>
      <c r="AW133" s="261"/>
      <c r="AX133" s="935"/>
      <c r="AY133" s="262"/>
    </row>
    <row r="134" spans="1:51" s="260" customFormat="1" ht="103.5" hidden="1" customHeight="1">
      <c r="A134" s="2374" t="s">
        <v>81</v>
      </c>
      <c r="B134" s="2391" t="s">
        <v>1712</v>
      </c>
      <c r="C134" s="2374" t="s">
        <v>1198</v>
      </c>
      <c r="D134" s="2374"/>
      <c r="E134" s="2374"/>
      <c r="F134" s="1321" t="s">
        <v>1696</v>
      </c>
      <c r="G134" s="2382" t="s">
        <v>1199</v>
      </c>
      <c r="H134" s="2382"/>
      <c r="I134" s="2382"/>
      <c r="J134" s="2374" t="s">
        <v>1445</v>
      </c>
      <c r="K134" s="2374"/>
      <c r="L134" s="2374"/>
      <c r="M134" s="1320"/>
      <c r="N134" s="1320"/>
      <c r="O134" s="1320" t="s">
        <v>8</v>
      </c>
      <c r="P134" s="1320"/>
      <c r="Q134" s="1404" t="s">
        <v>654</v>
      </c>
      <c r="R134" s="1404" t="s">
        <v>661</v>
      </c>
      <c r="S134" s="324"/>
      <c r="T134" s="954"/>
      <c r="U134" s="954"/>
      <c r="V134" s="1902" t="str">
        <f>INDEX([91]Listas!$F$6:$J$10,MATCH(Q134,[91]Listas!$D$6:$D$10,0),MATCH(R134,[91]Listas!$F$4:$J$4,0))</f>
        <v>1
INFERIOR</v>
      </c>
      <c r="W134" s="324"/>
      <c r="X134" s="1999" t="s">
        <v>1713</v>
      </c>
      <c r="Y134" s="1999"/>
      <c r="Z134" s="1999"/>
      <c r="AA134" s="1102"/>
      <c r="AB134" s="938" t="s">
        <v>1709</v>
      </c>
      <c r="AC134" s="2374" t="s">
        <v>1714</v>
      </c>
      <c r="AD134" s="1320">
        <v>41</v>
      </c>
      <c r="AE134" s="1356" t="s">
        <v>153</v>
      </c>
      <c r="AF134" s="324"/>
      <c r="AG134" s="954"/>
      <c r="AH134" s="955"/>
      <c r="AI134" s="2293" t="str">
        <f>IF(AH134&lt;=1,"Remota",VLOOKUP(AH134,[91]Listas!$C$6:$D$10,2,0))</f>
        <v>Remota</v>
      </c>
      <c r="AJ134" s="955"/>
      <c r="AK134" s="2293" t="str">
        <f>IF(AJ134&lt;=1,"Insignificante",HLOOKUP(AJ134,[91]Listas!$F$3:$J$4,2,0))</f>
        <v>Insignificante</v>
      </c>
      <c r="AL134" s="953"/>
      <c r="AM134" s="1902" t="str">
        <f>INDEX([91]Listas!$F$6:$J$10,MATCH(AI134,[91]Listas!$D$6:$D$10,0),MATCH(AK134,[91]Listas!$F$4:$J$4,0))</f>
        <v>1
INFERIOR</v>
      </c>
      <c r="AN134" s="259"/>
      <c r="AO134" s="259"/>
      <c r="AP134" s="937"/>
      <c r="AQ134" s="259"/>
      <c r="AR134" s="259" t="s">
        <v>2877</v>
      </c>
      <c r="AS134" s="935"/>
      <c r="AT134" s="259"/>
      <c r="AU134" s="259"/>
      <c r="AV134" s="261"/>
      <c r="AW134" s="261"/>
      <c r="AX134" s="935"/>
      <c r="AY134" s="262"/>
    </row>
    <row r="135" spans="1:51" s="260" customFormat="1" ht="103.5" hidden="1" customHeight="1">
      <c r="A135" s="2374"/>
      <c r="B135" s="2391" t="s">
        <v>473</v>
      </c>
      <c r="C135" s="2374"/>
      <c r="D135" s="2374"/>
      <c r="E135" s="2374"/>
      <c r="F135" s="1322"/>
      <c r="G135" s="2382" t="s">
        <v>1201</v>
      </c>
      <c r="H135" s="2382"/>
      <c r="I135" s="2382"/>
      <c r="J135" s="2374"/>
      <c r="K135" s="2374"/>
      <c r="L135" s="2374"/>
      <c r="M135" s="1320"/>
      <c r="N135" s="1320"/>
      <c r="O135" s="1320"/>
      <c r="P135" s="1320"/>
      <c r="Q135" s="1404"/>
      <c r="R135" s="1404"/>
      <c r="S135" s="324"/>
      <c r="T135" s="954"/>
      <c r="U135" s="954"/>
      <c r="V135" s="1902"/>
      <c r="W135" s="324"/>
      <c r="X135" s="1999"/>
      <c r="Y135" s="1999"/>
      <c r="Z135" s="1999"/>
      <c r="AA135" s="1102"/>
      <c r="AB135" s="938"/>
      <c r="AC135" s="2374"/>
      <c r="AD135" s="1320"/>
      <c r="AE135" s="1356"/>
      <c r="AF135" s="324"/>
      <c r="AG135" s="954"/>
      <c r="AH135" s="955"/>
      <c r="AI135" s="2293"/>
      <c r="AJ135" s="955"/>
      <c r="AK135" s="2293"/>
      <c r="AL135" s="953"/>
      <c r="AM135" s="1902"/>
      <c r="AN135" s="259"/>
      <c r="AO135" s="259"/>
      <c r="AP135" s="937"/>
      <c r="AQ135" s="259"/>
      <c r="AR135" s="259" t="s">
        <v>2877</v>
      </c>
      <c r="AS135" s="935"/>
      <c r="AT135" s="259"/>
      <c r="AU135" s="259"/>
      <c r="AV135" s="261"/>
      <c r="AW135" s="261"/>
      <c r="AX135" s="935"/>
      <c r="AY135" s="262"/>
    </row>
    <row r="136" spans="1:51" s="260" customFormat="1" ht="103.5" hidden="1" customHeight="1">
      <c r="A136" s="2374"/>
      <c r="B136" s="2391" t="s">
        <v>473</v>
      </c>
      <c r="C136" s="2374"/>
      <c r="D136" s="2374"/>
      <c r="E136" s="2374"/>
      <c r="F136" s="1322"/>
      <c r="G136" s="2382" t="s">
        <v>1449</v>
      </c>
      <c r="H136" s="2382"/>
      <c r="I136" s="2382"/>
      <c r="J136" s="2374"/>
      <c r="K136" s="2374"/>
      <c r="L136" s="2374"/>
      <c r="M136" s="1320"/>
      <c r="N136" s="1320"/>
      <c r="O136" s="1320"/>
      <c r="P136" s="1320"/>
      <c r="Q136" s="1404"/>
      <c r="R136" s="1404"/>
      <c r="S136" s="324"/>
      <c r="T136" s="954"/>
      <c r="U136" s="954"/>
      <c r="V136" s="1902"/>
      <c r="W136" s="324"/>
      <c r="X136" s="1999"/>
      <c r="Y136" s="1999"/>
      <c r="Z136" s="1999"/>
      <c r="AA136" s="1102"/>
      <c r="AB136" s="938"/>
      <c r="AC136" s="2374"/>
      <c r="AD136" s="1320"/>
      <c r="AE136" s="1356"/>
      <c r="AF136" s="324"/>
      <c r="AG136" s="954"/>
      <c r="AH136" s="955"/>
      <c r="AI136" s="2293"/>
      <c r="AJ136" s="955"/>
      <c r="AK136" s="2293"/>
      <c r="AL136" s="953"/>
      <c r="AM136" s="1902"/>
      <c r="AN136" s="259"/>
      <c r="AO136" s="259"/>
      <c r="AP136" s="937"/>
      <c r="AQ136" s="259"/>
      <c r="AR136" s="259" t="s">
        <v>2877</v>
      </c>
      <c r="AS136" s="935"/>
      <c r="AT136" s="259"/>
      <c r="AU136" s="259"/>
      <c r="AV136" s="261"/>
      <c r="AW136" s="261"/>
      <c r="AX136" s="935"/>
      <c r="AY136" s="262"/>
    </row>
    <row r="137" spans="1:51" s="260" customFormat="1" ht="103.5" hidden="1" customHeight="1">
      <c r="A137" s="2374"/>
      <c r="B137" s="2391" t="s">
        <v>473</v>
      </c>
      <c r="C137" s="2374"/>
      <c r="D137" s="2374"/>
      <c r="E137" s="2374"/>
      <c r="F137" s="1322"/>
      <c r="G137" s="2382" t="s">
        <v>1202</v>
      </c>
      <c r="H137" s="2382"/>
      <c r="I137" s="2382"/>
      <c r="J137" s="2374"/>
      <c r="K137" s="2374"/>
      <c r="L137" s="2374"/>
      <c r="M137" s="1320"/>
      <c r="N137" s="1320"/>
      <c r="O137" s="1320"/>
      <c r="P137" s="1320"/>
      <c r="Q137" s="1404"/>
      <c r="R137" s="1404"/>
      <c r="S137" s="324"/>
      <c r="T137" s="954"/>
      <c r="U137" s="954"/>
      <c r="V137" s="1902"/>
      <c r="W137" s="324"/>
      <c r="X137" s="1999"/>
      <c r="Y137" s="1999"/>
      <c r="Z137" s="1999"/>
      <c r="AA137" s="1102"/>
      <c r="AB137" s="938"/>
      <c r="AC137" s="2374"/>
      <c r="AD137" s="1320"/>
      <c r="AE137" s="1356"/>
      <c r="AF137" s="324"/>
      <c r="AG137" s="954"/>
      <c r="AH137" s="955"/>
      <c r="AI137" s="2293"/>
      <c r="AJ137" s="955"/>
      <c r="AK137" s="2293"/>
      <c r="AL137" s="953"/>
      <c r="AM137" s="1902"/>
      <c r="AN137" s="259"/>
      <c r="AO137" s="259"/>
      <c r="AP137" s="937"/>
      <c r="AQ137" s="259"/>
      <c r="AR137" s="259" t="s">
        <v>2877</v>
      </c>
      <c r="AS137" s="935"/>
      <c r="AT137" s="259"/>
      <c r="AU137" s="259"/>
      <c r="AV137" s="261"/>
      <c r="AW137" s="261"/>
      <c r="AX137" s="935"/>
      <c r="AY137" s="262"/>
    </row>
    <row r="138" spans="1:51" s="260" customFormat="1" ht="103.5" hidden="1" customHeight="1">
      <c r="A138" s="2374"/>
      <c r="B138" s="2391" t="s">
        <v>473</v>
      </c>
      <c r="C138" s="2374"/>
      <c r="D138" s="2374"/>
      <c r="E138" s="2374"/>
      <c r="F138" s="1515"/>
      <c r="G138" s="2382" t="s">
        <v>1043</v>
      </c>
      <c r="H138" s="2382"/>
      <c r="I138" s="2382"/>
      <c r="J138" s="2374"/>
      <c r="K138" s="2374"/>
      <c r="L138" s="2374"/>
      <c r="M138" s="1320"/>
      <c r="N138" s="1320"/>
      <c r="O138" s="1320"/>
      <c r="P138" s="1320"/>
      <c r="Q138" s="1404"/>
      <c r="R138" s="1404"/>
      <c r="S138" s="324"/>
      <c r="T138" s="954"/>
      <c r="U138" s="954"/>
      <c r="V138" s="1902"/>
      <c r="W138" s="324"/>
      <c r="X138" s="1999"/>
      <c r="Y138" s="1999"/>
      <c r="Z138" s="1999"/>
      <c r="AA138" s="1102"/>
      <c r="AB138" s="938"/>
      <c r="AC138" s="2374"/>
      <c r="AD138" s="1320"/>
      <c r="AE138" s="1356"/>
      <c r="AF138" s="324"/>
      <c r="AG138" s="954"/>
      <c r="AH138" s="955"/>
      <c r="AI138" s="2293"/>
      <c r="AJ138" s="955"/>
      <c r="AK138" s="2293"/>
      <c r="AL138" s="953"/>
      <c r="AM138" s="1902"/>
      <c r="AN138" s="259"/>
      <c r="AO138" s="259"/>
      <c r="AP138" s="937"/>
      <c r="AQ138" s="259"/>
      <c r="AR138" s="259" t="s">
        <v>2877</v>
      </c>
      <c r="AS138" s="935"/>
      <c r="AT138" s="259"/>
      <c r="AU138" s="259"/>
      <c r="AV138" s="261"/>
      <c r="AW138" s="261"/>
      <c r="AX138" s="935"/>
      <c r="AY138" s="262"/>
    </row>
    <row r="139" spans="1:51" s="260" customFormat="1" ht="103.5" hidden="1" customHeight="1">
      <c r="A139" s="935"/>
      <c r="B139" s="266"/>
      <c r="C139" s="1399"/>
      <c r="D139" s="1408"/>
      <c r="E139" s="1400"/>
      <c r="F139" s="267"/>
      <c r="G139" s="1399"/>
      <c r="H139" s="1408"/>
      <c r="I139" s="1400"/>
      <c r="J139" s="1380"/>
      <c r="K139" s="1380"/>
      <c r="L139" s="1380"/>
      <c r="M139" s="935"/>
      <c r="N139" s="935"/>
      <c r="O139" s="935"/>
      <c r="P139" s="935"/>
      <c r="Q139" s="266"/>
      <c r="R139" s="266"/>
      <c r="S139" s="268"/>
      <c r="T139" s="269" t="e">
        <f>VLOOKUP(Q139,[71]Listas!$D$6:$E$10,2,0)</f>
        <v>#N/A</v>
      </c>
      <c r="U139" s="269" t="e">
        <f>HLOOKUP(R139,[71]Listas!$F$4:$J$5,2,0)</f>
        <v>#N/A</v>
      </c>
      <c r="V139" s="270" t="e">
        <f>INDEX([71]Listas!$F$6:$J$10,MATCH(Q139,[71]Listas!$D$6:$D$10,0),MATCH(R139,[71]Listas!$F$4:$J$4,0))</f>
        <v>#N/A</v>
      </c>
      <c r="W139" s="268"/>
      <c r="X139" s="1399"/>
      <c r="Y139" s="1408"/>
      <c r="Z139" s="1400"/>
      <c r="AA139" s="1063"/>
      <c r="AB139" s="267"/>
      <c r="AC139" s="259"/>
      <c r="AD139" s="935"/>
      <c r="AE139" s="267"/>
      <c r="AF139" s="268"/>
      <c r="AG139" s="269">
        <f t="shared" ref="AG139:AG166" si="16">IF(AD139&lt;=33,0,IF(AD139&gt;81,2,1))</f>
        <v>0</v>
      </c>
      <c r="AH139" s="271" t="e">
        <f t="shared" ref="AH139:AH166" si="17">IF(OR(AE139="Probabilidad",AE139="Ambos"),T139-AG139,T139)</f>
        <v>#N/A</v>
      </c>
      <c r="AI139" s="272" t="e">
        <f>IF(AH139&lt;=1,"Remota",VLOOKUP(AH139,[71]Listas!$C$6:$D$10,2,0))</f>
        <v>#N/A</v>
      </c>
      <c r="AJ139" s="271" t="e">
        <f t="shared" ref="AJ139:AJ166" si="18">IF(OR(AE139="Impacto",AE139="Ambos"),U139-AG139,U139)</f>
        <v>#N/A</v>
      </c>
      <c r="AK139" s="272" t="e">
        <f>IF(AJ139&lt;=1,"Insignificante",HLOOKUP(AJ139,[71]Listas!$F$3:$J$4,2,0))</f>
        <v>#N/A</v>
      </c>
      <c r="AL139" s="273" t="e">
        <f t="shared" ref="AL139:AL166" si="19">AH139*AJ139</f>
        <v>#N/A</v>
      </c>
      <c r="AM139" s="270" t="e">
        <f>INDEX([71]Listas!$F$6:$J$10,MATCH(AI139,[71]Listas!$D$6:$D$10,0),MATCH(AK139,[71]Listas!$F$4:$J$4,0))</f>
        <v>#N/A</v>
      </c>
      <c r="AN139" s="259"/>
      <c r="AO139" s="259"/>
      <c r="AP139" s="937"/>
      <c r="AQ139" s="259"/>
      <c r="AR139" s="259" t="s">
        <v>2877</v>
      </c>
      <c r="AS139" s="935"/>
      <c r="AT139" s="259"/>
      <c r="AU139" s="259"/>
      <c r="AV139" s="261"/>
      <c r="AW139" s="261"/>
      <c r="AX139" s="935"/>
      <c r="AY139" s="262"/>
    </row>
    <row r="140" spans="1:51" s="260" customFormat="1" ht="103.5" hidden="1" customHeight="1">
      <c r="A140" s="935"/>
      <c r="B140" s="266"/>
      <c r="C140" s="1399"/>
      <c r="D140" s="1408"/>
      <c r="E140" s="1400"/>
      <c r="F140" s="267"/>
      <c r="G140" s="1399"/>
      <c r="H140" s="1408"/>
      <c r="I140" s="1400"/>
      <c r="J140" s="1380"/>
      <c r="K140" s="1380"/>
      <c r="L140" s="1380"/>
      <c r="M140" s="935"/>
      <c r="N140" s="935"/>
      <c r="O140" s="935"/>
      <c r="P140" s="935"/>
      <c r="Q140" s="266"/>
      <c r="R140" s="266"/>
      <c r="S140" s="268"/>
      <c r="T140" s="269" t="e">
        <f>VLOOKUP(Q140,[71]Listas!$D$6:$E$10,2,0)</f>
        <v>#N/A</v>
      </c>
      <c r="U140" s="269" t="e">
        <f>HLOOKUP(R140,[71]Listas!$F$4:$J$5,2,0)</f>
        <v>#N/A</v>
      </c>
      <c r="V140" s="270" t="e">
        <f>INDEX([71]Listas!$F$6:$J$10,MATCH(Q140,[71]Listas!$D$6:$D$10,0),MATCH(R140,[71]Listas!$F$4:$J$4,0))</f>
        <v>#N/A</v>
      </c>
      <c r="W140" s="268"/>
      <c r="X140" s="1399"/>
      <c r="Y140" s="1408"/>
      <c r="Z140" s="1400"/>
      <c r="AA140" s="1063"/>
      <c r="AB140" s="267"/>
      <c r="AC140" s="259"/>
      <c r="AD140" s="935"/>
      <c r="AE140" s="267"/>
      <c r="AF140" s="268"/>
      <c r="AG140" s="269">
        <f t="shared" si="16"/>
        <v>0</v>
      </c>
      <c r="AH140" s="271" t="e">
        <f t="shared" si="17"/>
        <v>#N/A</v>
      </c>
      <c r="AI140" s="272" t="e">
        <f>IF(AH140&lt;=1,"Remota",VLOOKUP(AH140,[71]Listas!$C$6:$D$10,2,0))</f>
        <v>#N/A</v>
      </c>
      <c r="AJ140" s="271" t="e">
        <f t="shared" si="18"/>
        <v>#N/A</v>
      </c>
      <c r="AK140" s="272" t="e">
        <f>IF(AJ140&lt;=1,"Insignificante",HLOOKUP(AJ140,[71]Listas!$F$3:$J$4,2,0))</f>
        <v>#N/A</v>
      </c>
      <c r="AL140" s="273" t="e">
        <f t="shared" si="19"/>
        <v>#N/A</v>
      </c>
      <c r="AM140" s="270" t="e">
        <f>INDEX([71]Listas!$F$6:$J$10,MATCH(AI140,[71]Listas!$D$6:$D$10,0),MATCH(AK140,[71]Listas!$F$4:$J$4,0))</f>
        <v>#N/A</v>
      </c>
      <c r="AN140" s="259"/>
      <c r="AO140" s="259"/>
      <c r="AP140" s="937"/>
      <c r="AQ140" s="259"/>
      <c r="AR140" s="259" t="s">
        <v>2877</v>
      </c>
      <c r="AS140" s="935"/>
      <c r="AT140" s="259"/>
      <c r="AU140" s="259"/>
      <c r="AV140" s="261"/>
      <c r="AW140" s="261"/>
      <c r="AX140" s="935"/>
      <c r="AY140" s="262"/>
    </row>
    <row r="141" spans="1:51" s="260" customFormat="1" ht="103.5" hidden="1" customHeight="1">
      <c r="A141" s="935"/>
      <c r="B141" s="266"/>
      <c r="C141" s="1399"/>
      <c r="D141" s="1408"/>
      <c r="E141" s="1400"/>
      <c r="F141" s="267"/>
      <c r="G141" s="1399"/>
      <c r="H141" s="1408"/>
      <c r="I141" s="1400"/>
      <c r="J141" s="1380"/>
      <c r="K141" s="1380"/>
      <c r="L141" s="1380"/>
      <c r="M141" s="935"/>
      <c r="N141" s="935"/>
      <c r="O141" s="935"/>
      <c r="P141" s="935"/>
      <c r="Q141" s="266"/>
      <c r="R141" s="266"/>
      <c r="S141" s="268"/>
      <c r="T141" s="269" t="e">
        <f>VLOOKUP(Q141,[71]Listas!$D$6:$E$10,2,0)</f>
        <v>#N/A</v>
      </c>
      <c r="U141" s="269" t="e">
        <f>HLOOKUP(R141,[71]Listas!$F$4:$J$5,2,0)</f>
        <v>#N/A</v>
      </c>
      <c r="V141" s="270" t="e">
        <f>INDEX([71]Listas!$F$6:$J$10,MATCH(Q141,[71]Listas!$D$6:$D$10,0),MATCH(R141,[71]Listas!$F$4:$J$4,0))</f>
        <v>#N/A</v>
      </c>
      <c r="W141" s="268"/>
      <c r="X141" s="1399"/>
      <c r="Y141" s="1408"/>
      <c r="Z141" s="1400"/>
      <c r="AA141" s="1063"/>
      <c r="AB141" s="267"/>
      <c r="AC141" s="259"/>
      <c r="AD141" s="935"/>
      <c r="AE141" s="267"/>
      <c r="AF141" s="268"/>
      <c r="AG141" s="269">
        <f t="shared" si="16"/>
        <v>0</v>
      </c>
      <c r="AH141" s="271" t="e">
        <f t="shared" si="17"/>
        <v>#N/A</v>
      </c>
      <c r="AI141" s="272" t="e">
        <f>IF(AH141&lt;=1,"Remota",VLOOKUP(AH141,[71]Listas!$C$6:$D$10,2,0))</f>
        <v>#N/A</v>
      </c>
      <c r="AJ141" s="271" t="e">
        <f t="shared" si="18"/>
        <v>#N/A</v>
      </c>
      <c r="AK141" s="272" t="e">
        <f>IF(AJ141&lt;=1,"Insignificante",HLOOKUP(AJ141,[71]Listas!$F$3:$J$4,2,0))</f>
        <v>#N/A</v>
      </c>
      <c r="AL141" s="273" t="e">
        <f t="shared" si="19"/>
        <v>#N/A</v>
      </c>
      <c r="AM141" s="270" t="e">
        <f>INDEX([71]Listas!$F$6:$J$10,MATCH(AI141,[71]Listas!$D$6:$D$10,0),MATCH(AK141,[71]Listas!$F$4:$J$4,0))</f>
        <v>#N/A</v>
      </c>
      <c r="AN141" s="259"/>
      <c r="AO141" s="259"/>
      <c r="AP141" s="937"/>
      <c r="AQ141" s="259"/>
      <c r="AR141" s="259" t="s">
        <v>2877</v>
      </c>
      <c r="AS141" s="935"/>
      <c r="AT141" s="259"/>
      <c r="AU141" s="259"/>
      <c r="AV141" s="261"/>
      <c r="AW141" s="261"/>
      <c r="AX141" s="935"/>
      <c r="AY141" s="262"/>
    </row>
    <row r="142" spans="1:51" s="260" customFormat="1" ht="103.5" hidden="1" customHeight="1">
      <c r="A142" s="935"/>
      <c r="B142" s="266"/>
      <c r="C142" s="1399"/>
      <c r="D142" s="1408"/>
      <c r="E142" s="1400"/>
      <c r="F142" s="267"/>
      <c r="G142" s="1399"/>
      <c r="H142" s="1408"/>
      <c r="I142" s="1400"/>
      <c r="J142" s="1380"/>
      <c r="K142" s="1380"/>
      <c r="L142" s="1380"/>
      <c r="M142" s="935"/>
      <c r="N142" s="935"/>
      <c r="O142" s="935"/>
      <c r="P142" s="935"/>
      <c r="Q142" s="266"/>
      <c r="R142" s="266"/>
      <c r="S142" s="268"/>
      <c r="T142" s="269" t="e">
        <f>VLOOKUP(Q142,[71]Listas!$D$6:$E$10,2,0)</f>
        <v>#N/A</v>
      </c>
      <c r="U142" s="269" t="e">
        <f>HLOOKUP(R142,[71]Listas!$F$4:$J$5,2,0)</f>
        <v>#N/A</v>
      </c>
      <c r="V142" s="270" t="e">
        <f>INDEX([71]Listas!$F$6:$J$10,MATCH(Q142,[71]Listas!$D$6:$D$10,0),MATCH(R142,[71]Listas!$F$4:$J$4,0))</f>
        <v>#N/A</v>
      </c>
      <c r="W142" s="268"/>
      <c r="X142" s="1399"/>
      <c r="Y142" s="1408"/>
      <c r="Z142" s="1400"/>
      <c r="AA142" s="1063"/>
      <c r="AB142" s="267"/>
      <c r="AC142" s="259"/>
      <c r="AD142" s="935"/>
      <c r="AE142" s="267"/>
      <c r="AF142" s="268"/>
      <c r="AG142" s="269">
        <f t="shared" si="16"/>
        <v>0</v>
      </c>
      <c r="AH142" s="271" t="e">
        <f t="shared" si="17"/>
        <v>#N/A</v>
      </c>
      <c r="AI142" s="272" t="e">
        <f>IF(AH142&lt;=1,"Remota",VLOOKUP(AH142,[71]Listas!$C$6:$D$10,2,0))</f>
        <v>#N/A</v>
      </c>
      <c r="AJ142" s="271" t="e">
        <f t="shared" si="18"/>
        <v>#N/A</v>
      </c>
      <c r="AK142" s="272" t="e">
        <f>IF(AJ142&lt;=1,"Insignificante",HLOOKUP(AJ142,[71]Listas!$F$3:$J$4,2,0))</f>
        <v>#N/A</v>
      </c>
      <c r="AL142" s="273" t="e">
        <f t="shared" si="19"/>
        <v>#N/A</v>
      </c>
      <c r="AM142" s="270" t="e">
        <f>INDEX([71]Listas!$F$6:$J$10,MATCH(AI142,[71]Listas!$D$6:$D$10,0),MATCH(AK142,[71]Listas!$F$4:$J$4,0))</f>
        <v>#N/A</v>
      </c>
      <c r="AN142" s="259"/>
      <c r="AO142" s="259"/>
      <c r="AP142" s="937"/>
      <c r="AQ142" s="259"/>
      <c r="AR142" s="259" t="s">
        <v>2877</v>
      </c>
      <c r="AS142" s="935"/>
      <c r="AT142" s="259"/>
      <c r="AU142" s="259"/>
      <c r="AV142" s="261"/>
      <c r="AW142" s="261"/>
      <c r="AX142" s="935"/>
      <c r="AY142" s="262"/>
    </row>
    <row r="143" spans="1:51" s="260" customFormat="1" ht="103.5" hidden="1" customHeight="1">
      <c r="A143" s="935"/>
      <c r="B143" s="266"/>
      <c r="C143" s="1399"/>
      <c r="D143" s="1408"/>
      <c r="E143" s="1400"/>
      <c r="F143" s="267"/>
      <c r="G143" s="1399"/>
      <c r="H143" s="1408"/>
      <c r="I143" s="1400"/>
      <c r="J143" s="1380"/>
      <c r="K143" s="1380"/>
      <c r="L143" s="1380"/>
      <c r="M143" s="935"/>
      <c r="N143" s="935"/>
      <c r="O143" s="935"/>
      <c r="P143" s="935"/>
      <c r="Q143" s="266"/>
      <c r="R143" s="266"/>
      <c r="S143" s="268"/>
      <c r="T143" s="269" t="e">
        <f>VLOOKUP(Q143,[71]Listas!$D$6:$E$10,2,0)</f>
        <v>#N/A</v>
      </c>
      <c r="U143" s="269" t="e">
        <f>HLOOKUP(R143,[71]Listas!$F$4:$J$5,2,0)</f>
        <v>#N/A</v>
      </c>
      <c r="V143" s="270" t="e">
        <f>INDEX([71]Listas!$F$6:$J$10,MATCH(Q143,[71]Listas!$D$6:$D$10,0),MATCH(R143,[71]Listas!$F$4:$J$4,0))</f>
        <v>#N/A</v>
      </c>
      <c r="W143" s="268"/>
      <c r="X143" s="1399"/>
      <c r="Y143" s="1408"/>
      <c r="Z143" s="1400"/>
      <c r="AA143" s="1063"/>
      <c r="AB143" s="267"/>
      <c r="AC143" s="259"/>
      <c r="AD143" s="935"/>
      <c r="AE143" s="267"/>
      <c r="AF143" s="268"/>
      <c r="AG143" s="269">
        <f t="shared" si="16"/>
        <v>0</v>
      </c>
      <c r="AH143" s="271" t="e">
        <f t="shared" si="17"/>
        <v>#N/A</v>
      </c>
      <c r="AI143" s="272" t="e">
        <f>IF(AH143&lt;=1,"Remota",VLOOKUP(AH143,[71]Listas!$C$6:$D$10,2,0))</f>
        <v>#N/A</v>
      </c>
      <c r="AJ143" s="271" t="e">
        <f t="shared" si="18"/>
        <v>#N/A</v>
      </c>
      <c r="AK143" s="272" t="e">
        <f>IF(AJ143&lt;=1,"Insignificante",HLOOKUP(AJ143,[71]Listas!$F$3:$J$4,2,0))</f>
        <v>#N/A</v>
      </c>
      <c r="AL143" s="273" t="e">
        <f t="shared" si="19"/>
        <v>#N/A</v>
      </c>
      <c r="AM143" s="270" t="e">
        <f>INDEX([71]Listas!$F$6:$J$10,MATCH(AI143,[71]Listas!$D$6:$D$10,0),MATCH(AK143,[71]Listas!$F$4:$J$4,0))</f>
        <v>#N/A</v>
      </c>
      <c r="AN143" s="259"/>
      <c r="AO143" s="259"/>
      <c r="AP143" s="937"/>
      <c r="AQ143" s="259"/>
      <c r="AR143" s="259" t="s">
        <v>2877</v>
      </c>
      <c r="AS143" s="935"/>
      <c r="AT143" s="259"/>
      <c r="AU143" s="259"/>
      <c r="AV143" s="261"/>
      <c r="AW143" s="261"/>
      <c r="AX143" s="935"/>
      <c r="AY143" s="262"/>
    </row>
    <row r="144" spans="1:51" s="260" customFormat="1" ht="103.5" hidden="1" customHeight="1">
      <c r="A144" s="935"/>
      <c r="B144" s="266"/>
      <c r="C144" s="1399"/>
      <c r="D144" s="1408"/>
      <c r="E144" s="1400"/>
      <c r="F144" s="267"/>
      <c r="G144" s="1399"/>
      <c r="H144" s="1408"/>
      <c r="I144" s="1400"/>
      <c r="J144" s="1380"/>
      <c r="K144" s="1380"/>
      <c r="L144" s="1380"/>
      <c r="M144" s="935"/>
      <c r="N144" s="935"/>
      <c r="O144" s="935"/>
      <c r="P144" s="935"/>
      <c r="Q144" s="266"/>
      <c r="R144" s="266"/>
      <c r="S144" s="268"/>
      <c r="T144" s="269" t="e">
        <f>VLOOKUP(Q144,[71]Listas!$D$6:$E$10,2,0)</f>
        <v>#N/A</v>
      </c>
      <c r="U144" s="269" t="e">
        <f>HLOOKUP(R144,[71]Listas!$F$4:$J$5,2,0)</f>
        <v>#N/A</v>
      </c>
      <c r="V144" s="270" t="e">
        <f>INDEX([71]Listas!$F$6:$J$10,MATCH(Q144,[71]Listas!$D$6:$D$10,0),MATCH(R144,[71]Listas!$F$4:$J$4,0))</f>
        <v>#N/A</v>
      </c>
      <c r="W144" s="268"/>
      <c r="X144" s="1399"/>
      <c r="Y144" s="1408"/>
      <c r="Z144" s="1400"/>
      <c r="AA144" s="1063"/>
      <c r="AB144" s="267"/>
      <c r="AC144" s="259"/>
      <c r="AD144" s="935"/>
      <c r="AE144" s="267"/>
      <c r="AF144" s="268"/>
      <c r="AG144" s="269">
        <f t="shared" si="16"/>
        <v>0</v>
      </c>
      <c r="AH144" s="271" t="e">
        <f t="shared" si="17"/>
        <v>#N/A</v>
      </c>
      <c r="AI144" s="272" t="e">
        <f>IF(AH144&lt;=1,"Remota",VLOOKUP(AH144,[71]Listas!$C$6:$D$10,2,0))</f>
        <v>#N/A</v>
      </c>
      <c r="AJ144" s="271" t="e">
        <f t="shared" si="18"/>
        <v>#N/A</v>
      </c>
      <c r="AK144" s="272" t="e">
        <f>IF(AJ144&lt;=1,"Insignificante",HLOOKUP(AJ144,[71]Listas!$F$3:$J$4,2,0))</f>
        <v>#N/A</v>
      </c>
      <c r="AL144" s="273" t="e">
        <f t="shared" si="19"/>
        <v>#N/A</v>
      </c>
      <c r="AM144" s="270" t="e">
        <f>INDEX([71]Listas!$F$6:$J$10,MATCH(AI144,[71]Listas!$D$6:$D$10,0),MATCH(AK144,[71]Listas!$F$4:$J$4,0))</f>
        <v>#N/A</v>
      </c>
      <c r="AN144" s="259"/>
      <c r="AO144" s="259"/>
      <c r="AP144" s="937"/>
      <c r="AQ144" s="259"/>
      <c r="AR144" s="259" t="s">
        <v>2877</v>
      </c>
      <c r="AS144" s="935"/>
      <c r="AT144" s="259"/>
      <c r="AU144" s="259"/>
      <c r="AV144" s="261"/>
      <c r="AW144" s="261"/>
      <c r="AX144" s="935"/>
      <c r="AY144" s="262"/>
    </row>
    <row r="145" spans="1:51" s="260" customFormat="1" ht="103.5" hidden="1" customHeight="1">
      <c r="A145" s="935"/>
      <c r="B145" s="266"/>
      <c r="C145" s="1399"/>
      <c r="D145" s="1408"/>
      <c r="E145" s="1400"/>
      <c r="F145" s="267"/>
      <c r="G145" s="1399"/>
      <c r="H145" s="1408"/>
      <c r="I145" s="1400"/>
      <c r="J145" s="1380"/>
      <c r="K145" s="1380"/>
      <c r="L145" s="1380"/>
      <c r="M145" s="935"/>
      <c r="N145" s="935"/>
      <c r="O145" s="935"/>
      <c r="P145" s="935"/>
      <c r="Q145" s="266"/>
      <c r="R145" s="266"/>
      <c r="S145" s="268"/>
      <c r="T145" s="269" t="e">
        <f>VLOOKUP(Q145,[71]Listas!$D$6:$E$10,2,0)</f>
        <v>#N/A</v>
      </c>
      <c r="U145" s="269" t="e">
        <f>HLOOKUP(R145,[71]Listas!$F$4:$J$5,2,0)</f>
        <v>#N/A</v>
      </c>
      <c r="V145" s="270" t="e">
        <f>INDEX([71]Listas!$F$6:$J$10,MATCH(Q145,[71]Listas!$D$6:$D$10,0),MATCH(R145,[71]Listas!$F$4:$J$4,0))</f>
        <v>#N/A</v>
      </c>
      <c r="W145" s="268"/>
      <c r="X145" s="1399"/>
      <c r="Y145" s="1408"/>
      <c r="Z145" s="1400"/>
      <c r="AA145" s="1063"/>
      <c r="AB145" s="267"/>
      <c r="AC145" s="259"/>
      <c r="AD145" s="935"/>
      <c r="AE145" s="267"/>
      <c r="AF145" s="268"/>
      <c r="AG145" s="269">
        <f t="shared" si="16"/>
        <v>0</v>
      </c>
      <c r="AH145" s="271" t="e">
        <f t="shared" si="17"/>
        <v>#N/A</v>
      </c>
      <c r="AI145" s="272" t="e">
        <f>IF(AH145&lt;=1,"Remota",VLOOKUP(AH145,[71]Listas!$C$6:$D$10,2,0))</f>
        <v>#N/A</v>
      </c>
      <c r="AJ145" s="271" t="e">
        <f t="shared" si="18"/>
        <v>#N/A</v>
      </c>
      <c r="AK145" s="272" t="e">
        <f>IF(AJ145&lt;=1,"Insignificante",HLOOKUP(AJ145,[71]Listas!$F$3:$J$4,2,0))</f>
        <v>#N/A</v>
      </c>
      <c r="AL145" s="273" t="e">
        <f t="shared" si="19"/>
        <v>#N/A</v>
      </c>
      <c r="AM145" s="270" t="e">
        <f>INDEX([71]Listas!$F$6:$J$10,MATCH(AI145,[71]Listas!$D$6:$D$10,0),MATCH(AK145,[71]Listas!$F$4:$J$4,0))</f>
        <v>#N/A</v>
      </c>
      <c r="AN145" s="259"/>
      <c r="AO145" s="259"/>
      <c r="AP145" s="937"/>
      <c r="AQ145" s="259"/>
      <c r="AR145" s="259" t="s">
        <v>2877</v>
      </c>
      <c r="AS145" s="935"/>
      <c r="AT145" s="259"/>
      <c r="AU145" s="259"/>
      <c r="AV145" s="261"/>
      <c r="AW145" s="261"/>
      <c r="AX145" s="935"/>
      <c r="AY145" s="262"/>
    </row>
    <row r="146" spans="1:51" s="260" customFormat="1" ht="103.5" hidden="1" customHeight="1">
      <c r="A146" s="935"/>
      <c r="B146" s="266"/>
      <c r="C146" s="1399"/>
      <c r="D146" s="1408"/>
      <c r="E146" s="1400"/>
      <c r="F146" s="267"/>
      <c r="G146" s="1399"/>
      <c r="H146" s="1408"/>
      <c r="I146" s="1400"/>
      <c r="J146" s="1380"/>
      <c r="K146" s="1380"/>
      <c r="L146" s="1380"/>
      <c r="M146" s="935"/>
      <c r="N146" s="935"/>
      <c r="O146" s="935"/>
      <c r="P146" s="935"/>
      <c r="Q146" s="266"/>
      <c r="R146" s="266"/>
      <c r="S146" s="268"/>
      <c r="T146" s="269" t="e">
        <f>VLOOKUP(Q146,[71]Listas!$D$6:$E$10,2,0)</f>
        <v>#N/A</v>
      </c>
      <c r="U146" s="269" t="e">
        <f>HLOOKUP(R146,[71]Listas!$F$4:$J$5,2,0)</f>
        <v>#N/A</v>
      </c>
      <c r="V146" s="270" t="e">
        <f>INDEX([71]Listas!$F$6:$J$10,MATCH(Q146,[71]Listas!$D$6:$D$10,0),MATCH(R146,[71]Listas!$F$4:$J$4,0))</f>
        <v>#N/A</v>
      </c>
      <c r="W146" s="268"/>
      <c r="X146" s="1399"/>
      <c r="Y146" s="1408"/>
      <c r="Z146" s="1400"/>
      <c r="AA146" s="1063"/>
      <c r="AB146" s="267"/>
      <c r="AC146" s="259"/>
      <c r="AD146" s="935"/>
      <c r="AE146" s="267"/>
      <c r="AF146" s="268"/>
      <c r="AG146" s="269">
        <f t="shared" si="16"/>
        <v>0</v>
      </c>
      <c r="AH146" s="271" t="e">
        <f t="shared" si="17"/>
        <v>#N/A</v>
      </c>
      <c r="AI146" s="272" t="e">
        <f>IF(AH146&lt;=1,"Remota",VLOOKUP(AH146,[71]Listas!$C$6:$D$10,2,0))</f>
        <v>#N/A</v>
      </c>
      <c r="AJ146" s="271" t="e">
        <f t="shared" si="18"/>
        <v>#N/A</v>
      </c>
      <c r="AK146" s="272" t="e">
        <f>IF(AJ146&lt;=1,"Insignificante",HLOOKUP(AJ146,[71]Listas!$F$3:$J$4,2,0))</f>
        <v>#N/A</v>
      </c>
      <c r="AL146" s="273" t="e">
        <f t="shared" si="19"/>
        <v>#N/A</v>
      </c>
      <c r="AM146" s="270" t="e">
        <f>INDEX([71]Listas!$F$6:$J$10,MATCH(AI146,[71]Listas!$D$6:$D$10,0),MATCH(AK146,[71]Listas!$F$4:$J$4,0))</f>
        <v>#N/A</v>
      </c>
      <c r="AN146" s="259"/>
      <c r="AO146" s="259"/>
      <c r="AP146" s="937"/>
      <c r="AQ146" s="259"/>
      <c r="AR146" s="259" t="s">
        <v>2877</v>
      </c>
      <c r="AS146" s="935"/>
      <c r="AT146" s="259"/>
      <c r="AU146" s="259"/>
      <c r="AV146" s="261"/>
      <c r="AW146" s="261"/>
      <c r="AX146" s="935"/>
      <c r="AY146" s="262"/>
    </row>
    <row r="147" spans="1:51" s="260" customFormat="1" ht="103.5" hidden="1" customHeight="1">
      <c r="A147" s="935"/>
      <c r="B147" s="266"/>
      <c r="C147" s="1399"/>
      <c r="D147" s="1408"/>
      <c r="E147" s="1400"/>
      <c r="F147" s="267"/>
      <c r="G147" s="1399"/>
      <c r="H147" s="1408"/>
      <c r="I147" s="1400"/>
      <c r="J147" s="1380"/>
      <c r="K147" s="1380"/>
      <c r="L147" s="1380"/>
      <c r="M147" s="935"/>
      <c r="N147" s="935"/>
      <c r="O147" s="935"/>
      <c r="P147" s="935"/>
      <c r="Q147" s="266"/>
      <c r="R147" s="266"/>
      <c r="S147" s="268"/>
      <c r="T147" s="269" t="e">
        <f>VLOOKUP(Q147,[71]Listas!$D$6:$E$10,2,0)</f>
        <v>#N/A</v>
      </c>
      <c r="U147" s="269" t="e">
        <f>HLOOKUP(R147,[71]Listas!$F$4:$J$5,2,0)</f>
        <v>#N/A</v>
      </c>
      <c r="V147" s="270" t="e">
        <f>INDEX([71]Listas!$F$6:$J$10,MATCH(Q147,[71]Listas!$D$6:$D$10,0),MATCH(R147,[71]Listas!$F$4:$J$4,0))</f>
        <v>#N/A</v>
      </c>
      <c r="W147" s="268"/>
      <c r="X147" s="1399"/>
      <c r="Y147" s="1408"/>
      <c r="Z147" s="1400"/>
      <c r="AA147" s="1063"/>
      <c r="AB147" s="267"/>
      <c r="AC147" s="259"/>
      <c r="AD147" s="935"/>
      <c r="AE147" s="267"/>
      <c r="AF147" s="268"/>
      <c r="AG147" s="269">
        <f t="shared" si="16"/>
        <v>0</v>
      </c>
      <c r="AH147" s="271" t="e">
        <f t="shared" si="17"/>
        <v>#N/A</v>
      </c>
      <c r="AI147" s="272" t="e">
        <f>IF(AH147&lt;=1,"Remota",VLOOKUP(AH147,[71]Listas!$C$6:$D$10,2,0))</f>
        <v>#N/A</v>
      </c>
      <c r="AJ147" s="271" t="e">
        <f t="shared" si="18"/>
        <v>#N/A</v>
      </c>
      <c r="AK147" s="272" t="e">
        <f>IF(AJ147&lt;=1,"Insignificante",HLOOKUP(AJ147,[71]Listas!$F$3:$J$4,2,0))</f>
        <v>#N/A</v>
      </c>
      <c r="AL147" s="273" t="e">
        <f t="shared" si="19"/>
        <v>#N/A</v>
      </c>
      <c r="AM147" s="270" t="e">
        <f>INDEX([71]Listas!$F$6:$J$10,MATCH(AI147,[71]Listas!$D$6:$D$10,0),MATCH(AK147,[71]Listas!$F$4:$J$4,0))</f>
        <v>#N/A</v>
      </c>
      <c r="AN147" s="259"/>
      <c r="AO147" s="259"/>
      <c r="AP147" s="937"/>
      <c r="AQ147" s="259"/>
      <c r="AR147" s="259" t="s">
        <v>2877</v>
      </c>
      <c r="AS147" s="935"/>
      <c r="AT147" s="259"/>
      <c r="AU147" s="259"/>
      <c r="AV147" s="261"/>
      <c r="AW147" s="261"/>
      <c r="AX147" s="935"/>
      <c r="AY147" s="262"/>
    </row>
    <row r="148" spans="1:51" s="260" customFormat="1" ht="103.5" hidden="1" customHeight="1">
      <c r="A148" s="935"/>
      <c r="B148" s="266"/>
      <c r="C148" s="1399"/>
      <c r="D148" s="1408"/>
      <c r="E148" s="1400"/>
      <c r="F148" s="267"/>
      <c r="G148" s="1399"/>
      <c r="H148" s="1408"/>
      <c r="I148" s="1400"/>
      <c r="J148" s="1380"/>
      <c r="K148" s="1380"/>
      <c r="L148" s="1380"/>
      <c r="M148" s="935"/>
      <c r="N148" s="935"/>
      <c r="O148" s="935"/>
      <c r="P148" s="935"/>
      <c r="Q148" s="266"/>
      <c r="R148" s="266"/>
      <c r="S148" s="268"/>
      <c r="T148" s="269" t="e">
        <f>VLOOKUP(Q148,[71]Listas!$D$6:$E$10,2,0)</f>
        <v>#N/A</v>
      </c>
      <c r="U148" s="269" t="e">
        <f>HLOOKUP(R148,[71]Listas!$F$4:$J$5,2,0)</f>
        <v>#N/A</v>
      </c>
      <c r="V148" s="270" t="e">
        <f>INDEX([71]Listas!$F$6:$J$10,MATCH(Q148,[71]Listas!$D$6:$D$10,0),MATCH(R148,[71]Listas!$F$4:$J$4,0))</f>
        <v>#N/A</v>
      </c>
      <c r="W148" s="268"/>
      <c r="X148" s="1399"/>
      <c r="Y148" s="1408"/>
      <c r="Z148" s="1400"/>
      <c r="AA148" s="1063"/>
      <c r="AB148" s="267"/>
      <c r="AC148" s="259"/>
      <c r="AD148" s="935"/>
      <c r="AE148" s="267"/>
      <c r="AF148" s="268"/>
      <c r="AG148" s="269">
        <f t="shared" si="16"/>
        <v>0</v>
      </c>
      <c r="AH148" s="271" t="e">
        <f t="shared" si="17"/>
        <v>#N/A</v>
      </c>
      <c r="AI148" s="272" t="e">
        <f>IF(AH148&lt;=1,"Remota",VLOOKUP(AH148,[71]Listas!$C$6:$D$10,2,0))</f>
        <v>#N/A</v>
      </c>
      <c r="AJ148" s="271" t="e">
        <f t="shared" si="18"/>
        <v>#N/A</v>
      </c>
      <c r="AK148" s="272" t="e">
        <f>IF(AJ148&lt;=1,"Insignificante",HLOOKUP(AJ148,[71]Listas!$F$3:$J$4,2,0))</f>
        <v>#N/A</v>
      </c>
      <c r="AL148" s="273" t="e">
        <f t="shared" si="19"/>
        <v>#N/A</v>
      </c>
      <c r="AM148" s="270" t="e">
        <f>INDEX([71]Listas!$F$6:$J$10,MATCH(AI148,[71]Listas!$D$6:$D$10,0),MATCH(AK148,[71]Listas!$F$4:$J$4,0))</f>
        <v>#N/A</v>
      </c>
      <c r="AN148" s="259"/>
      <c r="AO148" s="259"/>
      <c r="AP148" s="937"/>
      <c r="AQ148" s="259"/>
      <c r="AR148" s="259" t="s">
        <v>2877</v>
      </c>
      <c r="AS148" s="935"/>
      <c r="AT148" s="259"/>
      <c r="AU148" s="259"/>
      <c r="AV148" s="261"/>
      <c r="AW148" s="261"/>
      <c r="AX148" s="935"/>
      <c r="AY148" s="262"/>
    </row>
    <row r="149" spans="1:51" s="260" customFormat="1" ht="103.5" hidden="1" customHeight="1">
      <c r="A149" s="935"/>
      <c r="B149" s="266"/>
      <c r="C149" s="1399"/>
      <c r="D149" s="1408"/>
      <c r="E149" s="1400"/>
      <c r="F149" s="267"/>
      <c r="G149" s="1399"/>
      <c r="H149" s="1408"/>
      <c r="I149" s="1400"/>
      <c r="J149" s="1380"/>
      <c r="K149" s="1380"/>
      <c r="L149" s="1380"/>
      <c r="M149" s="935"/>
      <c r="N149" s="935"/>
      <c r="O149" s="935"/>
      <c r="P149" s="935"/>
      <c r="Q149" s="266"/>
      <c r="R149" s="266"/>
      <c r="S149" s="268"/>
      <c r="T149" s="269" t="e">
        <f>VLOOKUP(Q149,[71]Listas!$D$6:$E$10,2,0)</f>
        <v>#N/A</v>
      </c>
      <c r="U149" s="269" t="e">
        <f>HLOOKUP(R149,[71]Listas!$F$4:$J$5,2,0)</f>
        <v>#N/A</v>
      </c>
      <c r="V149" s="270" t="e">
        <f>INDEX([71]Listas!$F$6:$J$10,MATCH(Q149,[71]Listas!$D$6:$D$10,0),MATCH(R149,[71]Listas!$F$4:$J$4,0))</f>
        <v>#N/A</v>
      </c>
      <c r="W149" s="268"/>
      <c r="X149" s="1399"/>
      <c r="Y149" s="1408"/>
      <c r="Z149" s="1400"/>
      <c r="AA149" s="1063"/>
      <c r="AB149" s="267"/>
      <c r="AC149" s="259"/>
      <c r="AD149" s="935"/>
      <c r="AE149" s="267"/>
      <c r="AF149" s="268"/>
      <c r="AG149" s="269">
        <f t="shared" si="16"/>
        <v>0</v>
      </c>
      <c r="AH149" s="271" t="e">
        <f t="shared" si="17"/>
        <v>#N/A</v>
      </c>
      <c r="AI149" s="272" t="e">
        <f>IF(AH149&lt;=1,"Remota",VLOOKUP(AH149,[71]Listas!$C$6:$D$10,2,0))</f>
        <v>#N/A</v>
      </c>
      <c r="AJ149" s="271" t="e">
        <f t="shared" si="18"/>
        <v>#N/A</v>
      </c>
      <c r="AK149" s="272" t="e">
        <f>IF(AJ149&lt;=1,"Insignificante",HLOOKUP(AJ149,[71]Listas!$F$3:$J$4,2,0))</f>
        <v>#N/A</v>
      </c>
      <c r="AL149" s="273" t="e">
        <f t="shared" si="19"/>
        <v>#N/A</v>
      </c>
      <c r="AM149" s="270" t="e">
        <f>INDEX([71]Listas!$F$6:$J$10,MATCH(AI149,[71]Listas!$D$6:$D$10,0),MATCH(AK149,[71]Listas!$F$4:$J$4,0))</f>
        <v>#N/A</v>
      </c>
      <c r="AN149" s="259"/>
      <c r="AO149" s="259"/>
      <c r="AP149" s="937"/>
      <c r="AQ149" s="259"/>
      <c r="AR149" s="259" t="s">
        <v>2877</v>
      </c>
      <c r="AS149" s="935"/>
      <c r="AT149" s="259"/>
      <c r="AU149" s="259"/>
      <c r="AV149" s="261"/>
      <c r="AW149" s="261"/>
      <c r="AX149" s="935"/>
      <c r="AY149" s="262"/>
    </row>
    <row r="150" spans="1:51" s="260" customFormat="1" ht="103.5" hidden="1" customHeight="1">
      <c r="A150" s="935"/>
      <c r="B150" s="266"/>
      <c r="C150" s="1399"/>
      <c r="D150" s="1408"/>
      <c r="E150" s="1400"/>
      <c r="F150" s="267"/>
      <c r="G150" s="1399"/>
      <c r="H150" s="1408"/>
      <c r="I150" s="1400"/>
      <c r="J150" s="1380"/>
      <c r="K150" s="1380"/>
      <c r="L150" s="1380"/>
      <c r="M150" s="935"/>
      <c r="N150" s="935"/>
      <c r="O150" s="935"/>
      <c r="P150" s="935"/>
      <c r="Q150" s="266"/>
      <c r="R150" s="266"/>
      <c r="S150" s="268"/>
      <c r="T150" s="269" t="e">
        <f>VLOOKUP(Q150,[71]Listas!$D$6:$E$10,2,0)</f>
        <v>#N/A</v>
      </c>
      <c r="U150" s="269" t="e">
        <f>HLOOKUP(R150,[71]Listas!$F$4:$J$5,2,0)</f>
        <v>#N/A</v>
      </c>
      <c r="V150" s="270" t="e">
        <f>INDEX([71]Listas!$F$6:$J$10,MATCH(Q150,[71]Listas!$D$6:$D$10,0),MATCH(R150,[71]Listas!$F$4:$J$4,0))</f>
        <v>#N/A</v>
      </c>
      <c r="W150" s="268"/>
      <c r="X150" s="1399"/>
      <c r="Y150" s="1408"/>
      <c r="Z150" s="1400"/>
      <c r="AA150" s="1063"/>
      <c r="AB150" s="267"/>
      <c r="AC150" s="259"/>
      <c r="AD150" s="935"/>
      <c r="AE150" s="267"/>
      <c r="AF150" s="268"/>
      <c r="AG150" s="269">
        <f t="shared" si="16"/>
        <v>0</v>
      </c>
      <c r="AH150" s="271" t="e">
        <f t="shared" si="17"/>
        <v>#N/A</v>
      </c>
      <c r="AI150" s="272" t="e">
        <f>IF(AH150&lt;=1,"Remota",VLOOKUP(AH150,[71]Listas!$C$6:$D$10,2,0))</f>
        <v>#N/A</v>
      </c>
      <c r="AJ150" s="271" t="e">
        <f t="shared" si="18"/>
        <v>#N/A</v>
      </c>
      <c r="AK150" s="272" t="e">
        <f>IF(AJ150&lt;=1,"Insignificante",HLOOKUP(AJ150,[71]Listas!$F$3:$J$4,2,0))</f>
        <v>#N/A</v>
      </c>
      <c r="AL150" s="273" t="e">
        <f t="shared" si="19"/>
        <v>#N/A</v>
      </c>
      <c r="AM150" s="270" t="e">
        <f>INDEX([71]Listas!$F$6:$J$10,MATCH(AI150,[71]Listas!$D$6:$D$10,0),MATCH(AK150,[71]Listas!$F$4:$J$4,0))</f>
        <v>#N/A</v>
      </c>
      <c r="AN150" s="259"/>
      <c r="AO150" s="259"/>
      <c r="AP150" s="937"/>
      <c r="AQ150" s="259"/>
      <c r="AR150" s="259" t="s">
        <v>2877</v>
      </c>
      <c r="AS150" s="935"/>
      <c r="AT150" s="259"/>
      <c r="AU150" s="259"/>
      <c r="AV150" s="261"/>
      <c r="AW150" s="261"/>
      <c r="AX150" s="935"/>
      <c r="AY150" s="262"/>
    </row>
    <row r="151" spans="1:51" s="260" customFormat="1" ht="103.5" hidden="1" customHeight="1">
      <c r="A151" s="935"/>
      <c r="B151" s="266"/>
      <c r="C151" s="1399"/>
      <c r="D151" s="1408"/>
      <c r="E151" s="1400"/>
      <c r="F151" s="267"/>
      <c r="G151" s="1399"/>
      <c r="H151" s="1408"/>
      <c r="I151" s="1400"/>
      <c r="J151" s="1380"/>
      <c r="K151" s="1380"/>
      <c r="L151" s="1380"/>
      <c r="M151" s="935"/>
      <c r="N151" s="935"/>
      <c r="O151" s="935"/>
      <c r="P151" s="935"/>
      <c r="Q151" s="266"/>
      <c r="R151" s="266"/>
      <c r="S151" s="268"/>
      <c r="T151" s="269" t="e">
        <f>VLOOKUP(Q151,[71]Listas!$D$6:$E$10,2,0)</f>
        <v>#N/A</v>
      </c>
      <c r="U151" s="269" t="e">
        <f>HLOOKUP(R151,[71]Listas!$F$4:$J$5,2,0)</f>
        <v>#N/A</v>
      </c>
      <c r="V151" s="270" t="e">
        <f>INDEX([71]Listas!$F$6:$J$10,MATCH(Q151,[71]Listas!$D$6:$D$10,0),MATCH(R151,[71]Listas!$F$4:$J$4,0))</f>
        <v>#N/A</v>
      </c>
      <c r="W151" s="268"/>
      <c r="X151" s="1399"/>
      <c r="Y151" s="1408"/>
      <c r="Z151" s="1400"/>
      <c r="AA151" s="1063"/>
      <c r="AB151" s="267"/>
      <c r="AC151" s="259"/>
      <c r="AD151" s="935"/>
      <c r="AE151" s="267"/>
      <c r="AF151" s="268"/>
      <c r="AG151" s="269">
        <f t="shared" si="16"/>
        <v>0</v>
      </c>
      <c r="AH151" s="271" t="e">
        <f t="shared" si="17"/>
        <v>#N/A</v>
      </c>
      <c r="AI151" s="272" t="e">
        <f>IF(AH151&lt;=1,"Remota",VLOOKUP(AH151,[71]Listas!$C$6:$D$10,2,0))</f>
        <v>#N/A</v>
      </c>
      <c r="AJ151" s="271" t="e">
        <f t="shared" si="18"/>
        <v>#N/A</v>
      </c>
      <c r="AK151" s="272" t="e">
        <f>IF(AJ151&lt;=1,"Insignificante",HLOOKUP(AJ151,[71]Listas!$F$3:$J$4,2,0))</f>
        <v>#N/A</v>
      </c>
      <c r="AL151" s="273" t="e">
        <f t="shared" si="19"/>
        <v>#N/A</v>
      </c>
      <c r="AM151" s="270" t="e">
        <f>INDEX([71]Listas!$F$6:$J$10,MATCH(AI151,[71]Listas!$D$6:$D$10,0),MATCH(AK151,[71]Listas!$F$4:$J$4,0))</f>
        <v>#N/A</v>
      </c>
      <c r="AN151" s="259"/>
      <c r="AO151" s="259"/>
      <c r="AP151" s="937"/>
      <c r="AQ151" s="259"/>
      <c r="AR151" s="259" t="s">
        <v>2877</v>
      </c>
      <c r="AS151" s="935"/>
      <c r="AT151" s="259"/>
      <c r="AU151" s="259"/>
      <c r="AV151" s="261"/>
      <c r="AW151" s="261"/>
      <c r="AX151" s="935"/>
      <c r="AY151" s="262"/>
    </row>
    <row r="152" spans="1:51" s="260" customFormat="1" ht="103.5" hidden="1" customHeight="1">
      <c r="A152" s="935"/>
      <c r="B152" s="266"/>
      <c r="C152" s="1399"/>
      <c r="D152" s="1408"/>
      <c r="E152" s="1400"/>
      <c r="F152" s="267"/>
      <c r="G152" s="1399"/>
      <c r="H152" s="1408"/>
      <c r="I152" s="1400"/>
      <c r="J152" s="1380"/>
      <c r="K152" s="1380"/>
      <c r="L152" s="1380"/>
      <c r="M152" s="935"/>
      <c r="N152" s="935"/>
      <c r="O152" s="935"/>
      <c r="P152" s="935"/>
      <c r="Q152" s="266"/>
      <c r="R152" s="266"/>
      <c r="S152" s="268"/>
      <c r="T152" s="269" t="e">
        <f>VLOOKUP(Q152,[71]Listas!$D$6:$E$10,2,0)</f>
        <v>#N/A</v>
      </c>
      <c r="U152" s="269" t="e">
        <f>HLOOKUP(R152,[71]Listas!$F$4:$J$5,2,0)</f>
        <v>#N/A</v>
      </c>
      <c r="V152" s="270" t="e">
        <f>INDEX([71]Listas!$F$6:$J$10,MATCH(Q152,[71]Listas!$D$6:$D$10,0),MATCH(R152,[71]Listas!$F$4:$J$4,0))</f>
        <v>#N/A</v>
      </c>
      <c r="W152" s="268"/>
      <c r="X152" s="1399"/>
      <c r="Y152" s="1408"/>
      <c r="Z152" s="1400"/>
      <c r="AA152" s="1063"/>
      <c r="AB152" s="267"/>
      <c r="AC152" s="259"/>
      <c r="AD152" s="935"/>
      <c r="AE152" s="267"/>
      <c r="AF152" s="268"/>
      <c r="AG152" s="269">
        <f t="shared" si="16"/>
        <v>0</v>
      </c>
      <c r="AH152" s="271" t="e">
        <f t="shared" si="17"/>
        <v>#N/A</v>
      </c>
      <c r="AI152" s="272" t="e">
        <f>IF(AH152&lt;=1,"Remota",VLOOKUP(AH152,[71]Listas!$C$6:$D$10,2,0))</f>
        <v>#N/A</v>
      </c>
      <c r="AJ152" s="271" t="e">
        <f t="shared" si="18"/>
        <v>#N/A</v>
      </c>
      <c r="AK152" s="272" t="e">
        <f>IF(AJ152&lt;=1,"Insignificante",HLOOKUP(AJ152,[71]Listas!$F$3:$J$4,2,0))</f>
        <v>#N/A</v>
      </c>
      <c r="AL152" s="273" t="e">
        <f t="shared" si="19"/>
        <v>#N/A</v>
      </c>
      <c r="AM152" s="270" t="e">
        <f>INDEX([71]Listas!$F$6:$J$10,MATCH(AI152,[71]Listas!$D$6:$D$10,0),MATCH(AK152,[71]Listas!$F$4:$J$4,0))</f>
        <v>#N/A</v>
      </c>
      <c r="AN152" s="259"/>
      <c r="AO152" s="259"/>
      <c r="AP152" s="937"/>
      <c r="AQ152" s="259"/>
      <c r="AR152" s="259" t="s">
        <v>2877</v>
      </c>
      <c r="AS152" s="935"/>
      <c r="AT152" s="259"/>
      <c r="AU152" s="259"/>
      <c r="AV152" s="261"/>
      <c r="AW152" s="261"/>
      <c r="AX152" s="935"/>
      <c r="AY152" s="262"/>
    </row>
    <row r="153" spans="1:51" s="260" customFormat="1" ht="103.5" hidden="1" customHeight="1">
      <c r="A153" s="935"/>
      <c r="B153" s="266"/>
      <c r="C153" s="1399"/>
      <c r="D153" s="1408"/>
      <c r="E153" s="1400"/>
      <c r="F153" s="267"/>
      <c r="G153" s="1399"/>
      <c r="H153" s="1408"/>
      <c r="I153" s="1400"/>
      <c r="J153" s="1380"/>
      <c r="K153" s="1380"/>
      <c r="L153" s="1380"/>
      <c r="M153" s="935"/>
      <c r="N153" s="935"/>
      <c r="O153" s="935"/>
      <c r="P153" s="935"/>
      <c r="Q153" s="266"/>
      <c r="R153" s="266"/>
      <c r="S153" s="268"/>
      <c r="T153" s="269" t="e">
        <f>VLOOKUP(Q153,[71]Listas!$D$6:$E$10,2,0)</f>
        <v>#N/A</v>
      </c>
      <c r="U153" s="269" t="e">
        <f>HLOOKUP(R153,[71]Listas!$F$4:$J$5,2,0)</f>
        <v>#N/A</v>
      </c>
      <c r="V153" s="270" t="e">
        <f>INDEX([71]Listas!$F$6:$J$10,MATCH(Q153,[71]Listas!$D$6:$D$10,0),MATCH(R153,[71]Listas!$F$4:$J$4,0))</f>
        <v>#N/A</v>
      </c>
      <c r="W153" s="268"/>
      <c r="X153" s="1399"/>
      <c r="Y153" s="1408"/>
      <c r="Z153" s="1400"/>
      <c r="AA153" s="1063"/>
      <c r="AB153" s="267"/>
      <c r="AC153" s="259"/>
      <c r="AD153" s="935"/>
      <c r="AE153" s="267"/>
      <c r="AF153" s="268"/>
      <c r="AG153" s="269">
        <f t="shared" si="16"/>
        <v>0</v>
      </c>
      <c r="AH153" s="271" t="e">
        <f t="shared" si="17"/>
        <v>#N/A</v>
      </c>
      <c r="AI153" s="272" t="e">
        <f>IF(AH153&lt;=1,"Remota",VLOOKUP(AH153,[71]Listas!$C$6:$D$10,2,0))</f>
        <v>#N/A</v>
      </c>
      <c r="AJ153" s="271" t="e">
        <f t="shared" si="18"/>
        <v>#N/A</v>
      </c>
      <c r="AK153" s="272" t="e">
        <f>IF(AJ153&lt;=1,"Insignificante",HLOOKUP(AJ153,[71]Listas!$F$3:$J$4,2,0))</f>
        <v>#N/A</v>
      </c>
      <c r="AL153" s="273" t="e">
        <f t="shared" si="19"/>
        <v>#N/A</v>
      </c>
      <c r="AM153" s="270" t="e">
        <f>INDEX([71]Listas!$F$6:$J$10,MATCH(AI153,[71]Listas!$D$6:$D$10,0),MATCH(AK153,[71]Listas!$F$4:$J$4,0))</f>
        <v>#N/A</v>
      </c>
      <c r="AN153" s="259"/>
      <c r="AO153" s="259"/>
      <c r="AP153" s="937"/>
      <c r="AQ153" s="259"/>
      <c r="AR153" s="259" t="s">
        <v>2877</v>
      </c>
      <c r="AS153" s="935"/>
      <c r="AT153" s="259"/>
      <c r="AU153" s="259"/>
      <c r="AV153" s="261"/>
      <c r="AW153" s="261"/>
      <c r="AX153" s="935"/>
      <c r="AY153" s="262"/>
    </row>
    <row r="154" spans="1:51" s="260" customFormat="1" ht="103.5" hidden="1" customHeight="1">
      <c r="A154" s="935"/>
      <c r="B154" s="266"/>
      <c r="C154" s="1399"/>
      <c r="D154" s="1408"/>
      <c r="E154" s="1400"/>
      <c r="F154" s="267"/>
      <c r="G154" s="1399"/>
      <c r="H154" s="1408"/>
      <c r="I154" s="1400"/>
      <c r="J154" s="1380"/>
      <c r="K154" s="1380"/>
      <c r="L154" s="1380"/>
      <c r="M154" s="935"/>
      <c r="N154" s="935"/>
      <c r="O154" s="935"/>
      <c r="P154" s="935"/>
      <c r="Q154" s="266"/>
      <c r="R154" s="266"/>
      <c r="S154" s="268"/>
      <c r="T154" s="269" t="e">
        <f>VLOOKUP(Q154,[71]Listas!$D$6:$E$10,2,0)</f>
        <v>#N/A</v>
      </c>
      <c r="U154" s="269" t="e">
        <f>HLOOKUP(R154,[71]Listas!$F$4:$J$5,2,0)</f>
        <v>#N/A</v>
      </c>
      <c r="V154" s="270" t="e">
        <f>INDEX([71]Listas!$F$6:$J$10,MATCH(Q154,[71]Listas!$D$6:$D$10,0),MATCH(R154,[71]Listas!$F$4:$J$4,0))</f>
        <v>#N/A</v>
      </c>
      <c r="W154" s="268"/>
      <c r="X154" s="1399"/>
      <c r="Y154" s="1408"/>
      <c r="Z154" s="1400"/>
      <c r="AA154" s="1063"/>
      <c r="AB154" s="267"/>
      <c r="AC154" s="259"/>
      <c r="AD154" s="935"/>
      <c r="AE154" s="267"/>
      <c r="AF154" s="268"/>
      <c r="AG154" s="269">
        <f t="shared" si="16"/>
        <v>0</v>
      </c>
      <c r="AH154" s="271" t="e">
        <f t="shared" si="17"/>
        <v>#N/A</v>
      </c>
      <c r="AI154" s="272" t="e">
        <f>IF(AH154&lt;=1,"Remota",VLOOKUP(AH154,[71]Listas!$C$6:$D$10,2,0))</f>
        <v>#N/A</v>
      </c>
      <c r="AJ154" s="271" t="e">
        <f t="shared" si="18"/>
        <v>#N/A</v>
      </c>
      <c r="AK154" s="272" t="e">
        <f>IF(AJ154&lt;=1,"Insignificante",HLOOKUP(AJ154,[71]Listas!$F$3:$J$4,2,0))</f>
        <v>#N/A</v>
      </c>
      <c r="AL154" s="273" t="e">
        <f t="shared" si="19"/>
        <v>#N/A</v>
      </c>
      <c r="AM154" s="270" t="e">
        <f>INDEX([71]Listas!$F$6:$J$10,MATCH(AI154,[71]Listas!$D$6:$D$10,0),MATCH(AK154,[71]Listas!$F$4:$J$4,0))</f>
        <v>#N/A</v>
      </c>
      <c r="AN154" s="259"/>
      <c r="AO154" s="259"/>
      <c r="AP154" s="937"/>
      <c r="AQ154" s="259"/>
      <c r="AR154" s="259" t="s">
        <v>2877</v>
      </c>
      <c r="AS154" s="935"/>
      <c r="AT154" s="259"/>
      <c r="AU154" s="259"/>
      <c r="AV154" s="261"/>
      <c r="AW154" s="261"/>
      <c r="AX154" s="935"/>
      <c r="AY154" s="262"/>
    </row>
    <row r="155" spans="1:51" s="260" customFormat="1" ht="103.5" hidden="1" customHeight="1">
      <c r="A155" s="935"/>
      <c r="B155" s="266"/>
      <c r="C155" s="1399"/>
      <c r="D155" s="1408"/>
      <c r="E155" s="1400"/>
      <c r="F155" s="267"/>
      <c r="G155" s="1399"/>
      <c r="H155" s="1408"/>
      <c r="I155" s="1400"/>
      <c r="J155" s="1380"/>
      <c r="K155" s="1380"/>
      <c r="L155" s="1380"/>
      <c r="M155" s="935"/>
      <c r="N155" s="935"/>
      <c r="O155" s="935"/>
      <c r="P155" s="935"/>
      <c r="Q155" s="266"/>
      <c r="R155" s="266"/>
      <c r="S155" s="268"/>
      <c r="T155" s="269" t="e">
        <f>VLOOKUP(Q155,[71]Listas!$D$6:$E$10,2,0)</f>
        <v>#N/A</v>
      </c>
      <c r="U155" s="269" t="e">
        <f>HLOOKUP(R155,[71]Listas!$F$4:$J$5,2,0)</f>
        <v>#N/A</v>
      </c>
      <c r="V155" s="270" t="e">
        <f>INDEX([71]Listas!$F$6:$J$10,MATCH(Q155,[71]Listas!$D$6:$D$10,0),MATCH(R155,[71]Listas!$F$4:$J$4,0))</f>
        <v>#N/A</v>
      </c>
      <c r="W155" s="268"/>
      <c r="X155" s="1399"/>
      <c r="Y155" s="1408"/>
      <c r="Z155" s="1400"/>
      <c r="AA155" s="1063"/>
      <c r="AB155" s="267"/>
      <c r="AC155" s="259"/>
      <c r="AD155" s="935"/>
      <c r="AE155" s="267"/>
      <c r="AF155" s="268"/>
      <c r="AG155" s="269">
        <f t="shared" si="16"/>
        <v>0</v>
      </c>
      <c r="AH155" s="271" t="e">
        <f t="shared" si="17"/>
        <v>#N/A</v>
      </c>
      <c r="AI155" s="272" t="e">
        <f>IF(AH155&lt;=1,"Remota",VLOOKUP(AH155,[71]Listas!$C$6:$D$10,2,0))</f>
        <v>#N/A</v>
      </c>
      <c r="AJ155" s="271" t="e">
        <f t="shared" si="18"/>
        <v>#N/A</v>
      </c>
      <c r="AK155" s="272" t="e">
        <f>IF(AJ155&lt;=1,"Insignificante",HLOOKUP(AJ155,[71]Listas!$F$3:$J$4,2,0))</f>
        <v>#N/A</v>
      </c>
      <c r="AL155" s="273" t="e">
        <f t="shared" si="19"/>
        <v>#N/A</v>
      </c>
      <c r="AM155" s="270" t="e">
        <f>INDEX([71]Listas!$F$6:$J$10,MATCH(AI155,[71]Listas!$D$6:$D$10,0),MATCH(AK155,[71]Listas!$F$4:$J$4,0))</f>
        <v>#N/A</v>
      </c>
      <c r="AN155" s="259"/>
      <c r="AO155" s="259"/>
      <c r="AP155" s="937"/>
      <c r="AQ155" s="259"/>
      <c r="AR155" s="259" t="s">
        <v>2877</v>
      </c>
      <c r="AS155" s="935"/>
      <c r="AT155" s="259"/>
      <c r="AU155" s="259"/>
      <c r="AV155" s="261"/>
      <c r="AW155" s="261"/>
      <c r="AX155" s="935"/>
      <c r="AY155" s="262"/>
    </row>
    <row r="156" spans="1:51" s="260" customFormat="1" ht="103.5" hidden="1" customHeight="1">
      <c r="A156" s="935"/>
      <c r="B156" s="266"/>
      <c r="C156" s="1399"/>
      <c r="D156" s="1408"/>
      <c r="E156" s="1400"/>
      <c r="F156" s="267"/>
      <c r="G156" s="1399"/>
      <c r="H156" s="1408"/>
      <c r="I156" s="1400"/>
      <c r="J156" s="1380"/>
      <c r="K156" s="1380"/>
      <c r="L156" s="1380"/>
      <c r="M156" s="935"/>
      <c r="N156" s="935"/>
      <c r="O156" s="935"/>
      <c r="P156" s="935"/>
      <c r="Q156" s="266"/>
      <c r="R156" s="266"/>
      <c r="S156" s="268"/>
      <c r="T156" s="269" t="e">
        <f>VLOOKUP(Q156,[71]Listas!$D$6:$E$10,2,0)</f>
        <v>#N/A</v>
      </c>
      <c r="U156" s="269" t="e">
        <f>HLOOKUP(R156,[71]Listas!$F$4:$J$5,2,0)</f>
        <v>#N/A</v>
      </c>
      <c r="V156" s="270" t="e">
        <f>INDEX([71]Listas!$F$6:$J$10,MATCH(Q156,[71]Listas!$D$6:$D$10,0),MATCH(R156,[71]Listas!$F$4:$J$4,0))</f>
        <v>#N/A</v>
      </c>
      <c r="W156" s="268"/>
      <c r="X156" s="1399"/>
      <c r="Y156" s="1408"/>
      <c r="Z156" s="1400"/>
      <c r="AA156" s="1063"/>
      <c r="AB156" s="267"/>
      <c r="AC156" s="259"/>
      <c r="AD156" s="935"/>
      <c r="AE156" s="267"/>
      <c r="AF156" s="268"/>
      <c r="AG156" s="269">
        <f t="shared" si="16"/>
        <v>0</v>
      </c>
      <c r="AH156" s="271" t="e">
        <f t="shared" si="17"/>
        <v>#N/A</v>
      </c>
      <c r="AI156" s="272" t="e">
        <f>IF(AH156&lt;=1,"Remota",VLOOKUP(AH156,[71]Listas!$C$6:$D$10,2,0))</f>
        <v>#N/A</v>
      </c>
      <c r="AJ156" s="271" t="e">
        <f t="shared" si="18"/>
        <v>#N/A</v>
      </c>
      <c r="AK156" s="272" t="e">
        <f>IF(AJ156&lt;=1,"Insignificante",HLOOKUP(AJ156,[71]Listas!$F$3:$J$4,2,0))</f>
        <v>#N/A</v>
      </c>
      <c r="AL156" s="273" t="e">
        <f t="shared" si="19"/>
        <v>#N/A</v>
      </c>
      <c r="AM156" s="270" t="e">
        <f>INDEX([71]Listas!$F$6:$J$10,MATCH(AI156,[71]Listas!$D$6:$D$10,0),MATCH(AK156,[71]Listas!$F$4:$J$4,0))</f>
        <v>#N/A</v>
      </c>
      <c r="AN156" s="259"/>
      <c r="AO156" s="259"/>
      <c r="AP156" s="937"/>
      <c r="AQ156" s="259"/>
      <c r="AR156" s="259" t="s">
        <v>2877</v>
      </c>
      <c r="AS156" s="935"/>
      <c r="AT156" s="259"/>
      <c r="AU156" s="259"/>
      <c r="AV156" s="261"/>
      <c r="AW156" s="261"/>
      <c r="AX156" s="935"/>
      <c r="AY156" s="262"/>
    </row>
    <row r="157" spans="1:51" s="260" customFormat="1" ht="103.5" hidden="1" customHeight="1">
      <c r="A157" s="935"/>
      <c r="B157" s="266"/>
      <c r="C157" s="1399"/>
      <c r="D157" s="1408"/>
      <c r="E157" s="1400"/>
      <c r="F157" s="267"/>
      <c r="G157" s="1399"/>
      <c r="H157" s="1408"/>
      <c r="I157" s="1400"/>
      <c r="J157" s="1380"/>
      <c r="K157" s="1380"/>
      <c r="L157" s="1380"/>
      <c r="M157" s="935"/>
      <c r="N157" s="935"/>
      <c r="O157" s="935"/>
      <c r="P157" s="935"/>
      <c r="Q157" s="266"/>
      <c r="R157" s="266"/>
      <c r="S157" s="268"/>
      <c r="T157" s="269" t="e">
        <f>VLOOKUP(Q157,[71]Listas!$D$6:$E$10,2,0)</f>
        <v>#N/A</v>
      </c>
      <c r="U157" s="269" t="e">
        <f>HLOOKUP(R157,[71]Listas!$F$4:$J$5,2,0)</f>
        <v>#N/A</v>
      </c>
      <c r="V157" s="270" t="e">
        <f>INDEX([71]Listas!$F$6:$J$10,MATCH(Q157,[71]Listas!$D$6:$D$10,0),MATCH(R157,[71]Listas!$F$4:$J$4,0))</f>
        <v>#N/A</v>
      </c>
      <c r="W157" s="268"/>
      <c r="X157" s="1399"/>
      <c r="Y157" s="1408"/>
      <c r="Z157" s="1400"/>
      <c r="AA157" s="1063"/>
      <c r="AB157" s="267"/>
      <c r="AC157" s="259"/>
      <c r="AD157" s="935"/>
      <c r="AE157" s="267"/>
      <c r="AF157" s="268"/>
      <c r="AG157" s="269">
        <f t="shared" si="16"/>
        <v>0</v>
      </c>
      <c r="AH157" s="271" t="e">
        <f t="shared" si="17"/>
        <v>#N/A</v>
      </c>
      <c r="AI157" s="272" t="e">
        <f>IF(AH157&lt;=1,"Remota",VLOOKUP(AH157,[71]Listas!$C$6:$D$10,2,0))</f>
        <v>#N/A</v>
      </c>
      <c r="AJ157" s="271" t="e">
        <f t="shared" si="18"/>
        <v>#N/A</v>
      </c>
      <c r="AK157" s="272" t="e">
        <f>IF(AJ157&lt;=1,"Insignificante",HLOOKUP(AJ157,[71]Listas!$F$3:$J$4,2,0))</f>
        <v>#N/A</v>
      </c>
      <c r="AL157" s="273" t="e">
        <f t="shared" si="19"/>
        <v>#N/A</v>
      </c>
      <c r="AM157" s="270" t="e">
        <f>INDEX([71]Listas!$F$6:$J$10,MATCH(AI157,[71]Listas!$D$6:$D$10,0),MATCH(AK157,[71]Listas!$F$4:$J$4,0))</f>
        <v>#N/A</v>
      </c>
      <c r="AN157" s="259"/>
      <c r="AO157" s="259"/>
      <c r="AP157" s="937"/>
      <c r="AQ157" s="259"/>
      <c r="AR157" s="259" t="s">
        <v>2877</v>
      </c>
      <c r="AS157" s="935"/>
      <c r="AT157" s="259"/>
      <c r="AU157" s="259"/>
      <c r="AV157" s="261"/>
      <c r="AW157" s="261"/>
      <c r="AX157" s="935"/>
      <c r="AY157" s="262"/>
    </row>
    <row r="158" spans="1:51" s="260" customFormat="1" ht="103.5" hidden="1" customHeight="1">
      <c r="A158" s="935"/>
      <c r="B158" s="266"/>
      <c r="C158" s="1399"/>
      <c r="D158" s="1408"/>
      <c r="E158" s="1400"/>
      <c r="F158" s="267"/>
      <c r="G158" s="1399"/>
      <c r="H158" s="1408"/>
      <c r="I158" s="1400"/>
      <c r="J158" s="1380"/>
      <c r="K158" s="1380"/>
      <c r="L158" s="1380"/>
      <c r="M158" s="935"/>
      <c r="N158" s="935"/>
      <c r="O158" s="935"/>
      <c r="P158" s="935"/>
      <c r="Q158" s="266"/>
      <c r="R158" s="266"/>
      <c r="S158" s="268"/>
      <c r="T158" s="269" t="e">
        <f>VLOOKUP(Q158,[71]Listas!$D$6:$E$10,2,0)</f>
        <v>#N/A</v>
      </c>
      <c r="U158" s="269" t="e">
        <f>HLOOKUP(R158,[71]Listas!$F$4:$J$5,2,0)</f>
        <v>#N/A</v>
      </c>
      <c r="V158" s="270" t="e">
        <f>INDEX([71]Listas!$F$6:$J$10,MATCH(Q158,[71]Listas!$D$6:$D$10,0),MATCH(R158,[71]Listas!$F$4:$J$4,0))</f>
        <v>#N/A</v>
      </c>
      <c r="W158" s="268"/>
      <c r="X158" s="1399"/>
      <c r="Y158" s="1408"/>
      <c r="Z158" s="1400"/>
      <c r="AA158" s="1063"/>
      <c r="AB158" s="267"/>
      <c r="AC158" s="259"/>
      <c r="AD158" s="935"/>
      <c r="AE158" s="267"/>
      <c r="AF158" s="268"/>
      <c r="AG158" s="269">
        <f t="shared" si="16"/>
        <v>0</v>
      </c>
      <c r="AH158" s="271" t="e">
        <f t="shared" si="17"/>
        <v>#N/A</v>
      </c>
      <c r="AI158" s="272" t="e">
        <f>IF(AH158&lt;=1,"Remota",VLOOKUP(AH158,[71]Listas!$C$6:$D$10,2,0))</f>
        <v>#N/A</v>
      </c>
      <c r="AJ158" s="271" t="e">
        <f t="shared" si="18"/>
        <v>#N/A</v>
      </c>
      <c r="AK158" s="272" t="e">
        <f>IF(AJ158&lt;=1,"Insignificante",HLOOKUP(AJ158,[71]Listas!$F$3:$J$4,2,0))</f>
        <v>#N/A</v>
      </c>
      <c r="AL158" s="273" t="e">
        <f t="shared" si="19"/>
        <v>#N/A</v>
      </c>
      <c r="AM158" s="270" t="e">
        <f>INDEX([71]Listas!$F$6:$J$10,MATCH(AI158,[71]Listas!$D$6:$D$10,0),MATCH(AK158,[71]Listas!$F$4:$J$4,0))</f>
        <v>#N/A</v>
      </c>
      <c r="AN158" s="259"/>
      <c r="AO158" s="259"/>
      <c r="AP158" s="937"/>
      <c r="AQ158" s="259"/>
      <c r="AR158" s="259" t="s">
        <v>2877</v>
      </c>
      <c r="AS158" s="935"/>
      <c r="AT158" s="259"/>
      <c r="AU158" s="259"/>
      <c r="AV158" s="261"/>
      <c r="AW158" s="261"/>
      <c r="AX158" s="935"/>
      <c r="AY158" s="262"/>
    </row>
    <row r="159" spans="1:51" s="260" customFormat="1" ht="103.5" hidden="1" customHeight="1">
      <c r="A159" s="935"/>
      <c r="B159" s="266"/>
      <c r="C159" s="1399"/>
      <c r="D159" s="1408"/>
      <c r="E159" s="1400"/>
      <c r="F159" s="267"/>
      <c r="G159" s="1399"/>
      <c r="H159" s="1408"/>
      <c r="I159" s="1400"/>
      <c r="J159" s="1380"/>
      <c r="K159" s="1380"/>
      <c r="L159" s="1380"/>
      <c r="M159" s="935"/>
      <c r="N159" s="935"/>
      <c r="O159" s="935"/>
      <c r="P159" s="935"/>
      <c r="Q159" s="266"/>
      <c r="R159" s="266"/>
      <c r="S159" s="268"/>
      <c r="T159" s="269" t="e">
        <f>VLOOKUP(Q159,[71]Listas!$D$6:$E$10,2,0)</f>
        <v>#N/A</v>
      </c>
      <c r="U159" s="269" t="e">
        <f>HLOOKUP(R159,[71]Listas!$F$4:$J$5,2,0)</f>
        <v>#N/A</v>
      </c>
      <c r="V159" s="270" t="e">
        <f>INDEX([71]Listas!$F$6:$J$10,MATCH(Q159,[71]Listas!$D$6:$D$10,0),MATCH(R159,[71]Listas!$F$4:$J$4,0))</f>
        <v>#N/A</v>
      </c>
      <c r="W159" s="268"/>
      <c r="X159" s="1399"/>
      <c r="Y159" s="1408"/>
      <c r="Z159" s="1400"/>
      <c r="AA159" s="1063"/>
      <c r="AB159" s="267"/>
      <c r="AC159" s="259"/>
      <c r="AD159" s="935"/>
      <c r="AE159" s="267"/>
      <c r="AF159" s="268"/>
      <c r="AG159" s="269">
        <f t="shared" si="16"/>
        <v>0</v>
      </c>
      <c r="AH159" s="271" t="e">
        <f t="shared" si="17"/>
        <v>#N/A</v>
      </c>
      <c r="AI159" s="272" t="e">
        <f>IF(AH159&lt;=1,"Remota",VLOOKUP(AH159,[71]Listas!$C$6:$D$10,2,0))</f>
        <v>#N/A</v>
      </c>
      <c r="AJ159" s="271" t="e">
        <f t="shared" si="18"/>
        <v>#N/A</v>
      </c>
      <c r="AK159" s="272" t="e">
        <f>IF(AJ159&lt;=1,"Insignificante",HLOOKUP(AJ159,[71]Listas!$F$3:$J$4,2,0))</f>
        <v>#N/A</v>
      </c>
      <c r="AL159" s="273" t="e">
        <f t="shared" si="19"/>
        <v>#N/A</v>
      </c>
      <c r="AM159" s="270" t="e">
        <f>INDEX([71]Listas!$F$6:$J$10,MATCH(AI159,[71]Listas!$D$6:$D$10,0),MATCH(AK159,[71]Listas!$F$4:$J$4,0))</f>
        <v>#N/A</v>
      </c>
      <c r="AN159" s="259"/>
      <c r="AO159" s="259"/>
      <c r="AP159" s="937"/>
      <c r="AQ159" s="259"/>
      <c r="AR159" s="259" t="s">
        <v>2877</v>
      </c>
      <c r="AS159" s="935"/>
      <c r="AT159" s="259"/>
      <c r="AU159" s="259"/>
      <c r="AV159" s="261"/>
      <c r="AW159" s="261"/>
      <c r="AX159" s="935"/>
      <c r="AY159" s="262"/>
    </row>
    <row r="160" spans="1:51" s="260" customFormat="1" ht="103.5" hidden="1" customHeight="1">
      <c r="A160" s="935"/>
      <c r="B160" s="266"/>
      <c r="C160" s="1399"/>
      <c r="D160" s="1408"/>
      <c r="E160" s="1400"/>
      <c r="F160" s="267"/>
      <c r="G160" s="1399"/>
      <c r="H160" s="1408"/>
      <c r="I160" s="1400"/>
      <c r="J160" s="1380"/>
      <c r="K160" s="1380"/>
      <c r="L160" s="1380"/>
      <c r="M160" s="935"/>
      <c r="N160" s="935"/>
      <c r="O160" s="935"/>
      <c r="P160" s="935"/>
      <c r="Q160" s="266"/>
      <c r="R160" s="266"/>
      <c r="S160" s="268"/>
      <c r="T160" s="269" t="e">
        <f>VLOOKUP(Q160,[71]Listas!$D$6:$E$10,2,0)</f>
        <v>#N/A</v>
      </c>
      <c r="U160" s="269" t="e">
        <f>HLOOKUP(R160,[71]Listas!$F$4:$J$5,2,0)</f>
        <v>#N/A</v>
      </c>
      <c r="V160" s="270" t="e">
        <f>INDEX([71]Listas!$F$6:$J$10,MATCH(Q160,[71]Listas!$D$6:$D$10,0),MATCH(R160,[71]Listas!$F$4:$J$4,0))</f>
        <v>#N/A</v>
      </c>
      <c r="W160" s="268"/>
      <c r="X160" s="1399"/>
      <c r="Y160" s="1408"/>
      <c r="Z160" s="1400"/>
      <c r="AA160" s="1063"/>
      <c r="AB160" s="267"/>
      <c r="AC160" s="259"/>
      <c r="AD160" s="935"/>
      <c r="AE160" s="267"/>
      <c r="AF160" s="268"/>
      <c r="AG160" s="269">
        <f t="shared" si="16"/>
        <v>0</v>
      </c>
      <c r="AH160" s="271" t="e">
        <f t="shared" si="17"/>
        <v>#N/A</v>
      </c>
      <c r="AI160" s="272" t="e">
        <f>IF(AH160&lt;=1,"Remota",VLOOKUP(AH160,[71]Listas!$C$6:$D$10,2,0))</f>
        <v>#N/A</v>
      </c>
      <c r="AJ160" s="271" t="e">
        <f t="shared" si="18"/>
        <v>#N/A</v>
      </c>
      <c r="AK160" s="272" t="e">
        <f>IF(AJ160&lt;=1,"Insignificante",HLOOKUP(AJ160,[71]Listas!$F$3:$J$4,2,0))</f>
        <v>#N/A</v>
      </c>
      <c r="AL160" s="273" t="e">
        <f t="shared" si="19"/>
        <v>#N/A</v>
      </c>
      <c r="AM160" s="270" t="e">
        <f>INDEX([71]Listas!$F$6:$J$10,MATCH(AI160,[71]Listas!$D$6:$D$10,0),MATCH(AK160,[71]Listas!$F$4:$J$4,0))</f>
        <v>#N/A</v>
      </c>
      <c r="AN160" s="259"/>
      <c r="AO160" s="259"/>
      <c r="AP160" s="937"/>
      <c r="AQ160" s="259"/>
      <c r="AR160" s="259" t="s">
        <v>2877</v>
      </c>
      <c r="AS160" s="935"/>
      <c r="AT160" s="259"/>
      <c r="AU160" s="259"/>
      <c r="AV160" s="261"/>
      <c r="AW160" s="261"/>
      <c r="AX160" s="935"/>
      <c r="AY160" s="262"/>
    </row>
    <row r="161" spans="1:1027" s="260" customFormat="1" ht="103.5" hidden="1" customHeight="1">
      <c r="A161" s="935"/>
      <c r="B161" s="266"/>
      <c r="C161" s="1399"/>
      <c r="D161" s="1408"/>
      <c r="E161" s="1400"/>
      <c r="F161" s="267"/>
      <c r="G161" s="1399"/>
      <c r="H161" s="1408"/>
      <c r="I161" s="1400"/>
      <c r="J161" s="1380"/>
      <c r="K161" s="1380"/>
      <c r="L161" s="1380"/>
      <c r="M161" s="935"/>
      <c r="N161" s="935"/>
      <c r="O161" s="935"/>
      <c r="P161" s="935"/>
      <c r="Q161" s="266"/>
      <c r="R161" s="266"/>
      <c r="S161" s="268"/>
      <c r="T161" s="269" t="e">
        <f>VLOOKUP(Q161,[71]Listas!$D$6:$E$10,2,0)</f>
        <v>#N/A</v>
      </c>
      <c r="U161" s="269" t="e">
        <f>HLOOKUP(R161,[71]Listas!$F$4:$J$5,2,0)</f>
        <v>#N/A</v>
      </c>
      <c r="V161" s="270" t="e">
        <f>INDEX([71]Listas!$F$6:$J$10,MATCH(Q161,[71]Listas!$D$6:$D$10,0),MATCH(R161,[71]Listas!$F$4:$J$4,0))</f>
        <v>#N/A</v>
      </c>
      <c r="W161" s="268"/>
      <c r="X161" s="1399"/>
      <c r="Y161" s="1408"/>
      <c r="Z161" s="1400"/>
      <c r="AA161" s="1063"/>
      <c r="AB161" s="267"/>
      <c r="AC161" s="259"/>
      <c r="AD161" s="935"/>
      <c r="AE161" s="267"/>
      <c r="AF161" s="268"/>
      <c r="AG161" s="269">
        <f t="shared" si="16"/>
        <v>0</v>
      </c>
      <c r="AH161" s="271" t="e">
        <f t="shared" si="17"/>
        <v>#N/A</v>
      </c>
      <c r="AI161" s="272" t="e">
        <f>IF(AH161&lt;=1,"Remota",VLOOKUP(AH161,[71]Listas!$C$6:$D$10,2,0))</f>
        <v>#N/A</v>
      </c>
      <c r="AJ161" s="271" t="e">
        <f t="shared" si="18"/>
        <v>#N/A</v>
      </c>
      <c r="AK161" s="272" t="e">
        <f>IF(AJ161&lt;=1,"Insignificante",HLOOKUP(AJ161,[71]Listas!$F$3:$J$4,2,0))</f>
        <v>#N/A</v>
      </c>
      <c r="AL161" s="273" t="e">
        <f t="shared" si="19"/>
        <v>#N/A</v>
      </c>
      <c r="AM161" s="270" t="e">
        <f>INDEX([71]Listas!$F$6:$J$10,MATCH(AI161,[71]Listas!$D$6:$D$10,0),MATCH(AK161,[71]Listas!$F$4:$J$4,0))</f>
        <v>#N/A</v>
      </c>
      <c r="AN161" s="259"/>
      <c r="AO161" s="259"/>
      <c r="AP161" s="937"/>
      <c r="AQ161" s="259"/>
      <c r="AR161" s="259" t="s">
        <v>2877</v>
      </c>
      <c r="AS161" s="935"/>
      <c r="AT161" s="259"/>
      <c r="AU161" s="259"/>
      <c r="AV161" s="261"/>
      <c r="AW161" s="261"/>
      <c r="AX161" s="935"/>
      <c r="AY161" s="262"/>
    </row>
    <row r="162" spans="1:1027" s="260" customFormat="1" ht="103.5" hidden="1" customHeight="1">
      <c r="A162" s="935"/>
      <c r="B162" s="266"/>
      <c r="C162" s="1399"/>
      <c r="D162" s="1408"/>
      <c r="E162" s="1400"/>
      <c r="F162" s="267"/>
      <c r="G162" s="1399"/>
      <c r="H162" s="1408"/>
      <c r="I162" s="1400"/>
      <c r="J162" s="1380"/>
      <c r="K162" s="1380"/>
      <c r="L162" s="1380"/>
      <c r="M162" s="935"/>
      <c r="N162" s="935"/>
      <c r="O162" s="935"/>
      <c r="P162" s="935"/>
      <c r="Q162" s="266"/>
      <c r="R162" s="266"/>
      <c r="S162" s="268"/>
      <c r="T162" s="269" t="e">
        <f>VLOOKUP(Q162,[71]Listas!$D$6:$E$10,2,0)</f>
        <v>#N/A</v>
      </c>
      <c r="U162" s="269" t="e">
        <f>HLOOKUP(R162,[71]Listas!$F$4:$J$5,2,0)</f>
        <v>#N/A</v>
      </c>
      <c r="V162" s="270" t="e">
        <f>INDEX([71]Listas!$F$6:$J$10,MATCH(Q162,[71]Listas!$D$6:$D$10,0),MATCH(R162,[71]Listas!$F$4:$J$4,0))</f>
        <v>#N/A</v>
      </c>
      <c r="W162" s="268"/>
      <c r="X162" s="1399"/>
      <c r="Y162" s="1408"/>
      <c r="Z162" s="1400"/>
      <c r="AA162" s="1063"/>
      <c r="AB162" s="267"/>
      <c r="AC162" s="259"/>
      <c r="AD162" s="935"/>
      <c r="AE162" s="267"/>
      <c r="AF162" s="268"/>
      <c r="AG162" s="269">
        <f t="shared" si="16"/>
        <v>0</v>
      </c>
      <c r="AH162" s="271" t="e">
        <f t="shared" si="17"/>
        <v>#N/A</v>
      </c>
      <c r="AI162" s="272" t="e">
        <f>IF(AH162&lt;=1,"Remota",VLOOKUP(AH162,[71]Listas!$C$6:$D$10,2,0))</f>
        <v>#N/A</v>
      </c>
      <c r="AJ162" s="271" t="e">
        <f t="shared" si="18"/>
        <v>#N/A</v>
      </c>
      <c r="AK162" s="272" t="e">
        <f>IF(AJ162&lt;=1,"Insignificante",HLOOKUP(AJ162,[71]Listas!$F$3:$J$4,2,0))</f>
        <v>#N/A</v>
      </c>
      <c r="AL162" s="273" t="e">
        <f t="shared" si="19"/>
        <v>#N/A</v>
      </c>
      <c r="AM162" s="270" t="e">
        <f>INDEX([71]Listas!$F$6:$J$10,MATCH(AI162,[71]Listas!$D$6:$D$10,0),MATCH(AK162,[71]Listas!$F$4:$J$4,0))</f>
        <v>#N/A</v>
      </c>
      <c r="AN162" s="259"/>
      <c r="AO162" s="259"/>
      <c r="AP162" s="937"/>
      <c r="AQ162" s="259"/>
      <c r="AR162" s="259" t="s">
        <v>2877</v>
      </c>
      <c r="AS162" s="935"/>
      <c r="AT162" s="259"/>
      <c r="AU162" s="259"/>
      <c r="AV162" s="261"/>
      <c r="AW162" s="261"/>
      <c r="AX162" s="935"/>
      <c r="AY162" s="262"/>
    </row>
    <row r="163" spans="1:1027" s="260" customFormat="1" ht="103.5" hidden="1" customHeight="1">
      <c r="A163" s="935"/>
      <c r="B163" s="266"/>
      <c r="C163" s="1399"/>
      <c r="D163" s="1408"/>
      <c r="E163" s="1400"/>
      <c r="F163" s="267"/>
      <c r="G163" s="1399"/>
      <c r="H163" s="1408"/>
      <c r="I163" s="1400"/>
      <c r="J163" s="1380"/>
      <c r="K163" s="1380"/>
      <c r="L163" s="1380"/>
      <c r="M163" s="935"/>
      <c r="N163" s="935"/>
      <c r="O163" s="935"/>
      <c r="P163" s="935"/>
      <c r="Q163" s="266"/>
      <c r="R163" s="266"/>
      <c r="S163" s="268"/>
      <c r="T163" s="269" t="e">
        <f>VLOOKUP(Q163,[71]Listas!$D$6:$E$10,2,0)</f>
        <v>#N/A</v>
      </c>
      <c r="U163" s="269" t="e">
        <f>HLOOKUP(R163,[71]Listas!$F$4:$J$5,2,0)</f>
        <v>#N/A</v>
      </c>
      <c r="V163" s="270" t="e">
        <f>INDEX([71]Listas!$F$6:$J$10,MATCH(Q163,[71]Listas!$D$6:$D$10,0),MATCH(R163,[71]Listas!$F$4:$J$4,0))</f>
        <v>#N/A</v>
      </c>
      <c r="W163" s="268"/>
      <c r="X163" s="1399"/>
      <c r="Y163" s="1408"/>
      <c r="Z163" s="1400"/>
      <c r="AA163" s="1063"/>
      <c r="AB163" s="267"/>
      <c r="AC163" s="259"/>
      <c r="AD163" s="935"/>
      <c r="AE163" s="267"/>
      <c r="AF163" s="268"/>
      <c r="AG163" s="269">
        <f t="shared" si="16"/>
        <v>0</v>
      </c>
      <c r="AH163" s="271" t="e">
        <f t="shared" si="17"/>
        <v>#N/A</v>
      </c>
      <c r="AI163" s="272" t="e">
        <f>IF(AH163&lt;=1,"Remota",VLOOKUP(AH163,[71]Listas!$C$6:$D$10,2,0))</f>
        <v>#N/A</v>
      </c>
      <c r="AJ163" s="271" t="e">
        <f t="shared" si="18"/>
        <v>#N/A</v>
      </c>
      <c r="AK163" s="272" t="e">
        <f>IF(AJ163&lt;=1,"Insignificante",HLOOKUP(AJ163,[71]Listas!$F$3:$J$4,2,0))</f>
        <v>#N/A</v>
      </c>
      <c r="AL163" s="273" t="e">
        <f t="shared" si="19"/>
        <v>#N/A</v>
      </c>
      <c r="AM163" s="270" t="e">
        <f>INDEX([71]Listas!$F$6:$J$10,MATCH(AI163,[71]Listas!$D$6:$D$10,0),MATCH(AK163,[71]Listas!$F$4:$J$4,0))</f>
        <v>#N/A</v>
      </c>
      <c r="AN163" s="259"/>
      <c r="AO163" s="259"/>
      <c r="AP163" s="937"/>
      <c r="AQ163" s="259"/>
      <c r="AR163" s="259" t="s">
        <v>2877</v>
      </c>
      <c r="AS163" s="935"/>
      <c r="AT163" s="259"/>
      <c r="AU163" s="259"/>
      <c r="AV163" s="261"/>
      <c r="AW163" s="261"/>
      <c r="AX163" s="935"/>
      <c r="AY163" s="262"/>
    </row>
    <row r="164" spans="1:1027" s="260" customFormat="1" ht="103.5" hidden="1" customHeight="1">
      <c r="A164" s="935"/>
      <c r="B164" s="266"/>
      <c r="C164" s="1399"/>
      <c r="D164" s="1408"/>
      <c r="E164" s="1400"/>
      <c r="F164" s="267"/>
      <c r="G164" s="1399"/>
      <c r="H164" s="1408"/>
      <c r="I164" s="1400"/>
      <c r="J164" s="1380"/>
      <c r="K164" s="1380"/>
      <c r="L164" s="1380"/>
      <c r="M164" s="935"/>
      <c r="N164" s="935"/>
      <c r="O164" s="935"/>
      <c r="P164" s="935"/>
      <c r="Q164" s="266"/>
      <c r="R164" s="266"/>
      <c r="S164" s="268"/>
      <c r="T164" s="269" t="e">
        <f>VLOOKUP(Q164,[71]Listas!$D$6:$E$10,2,0)</f>
        <v>#N/A</v>
      </c>
      <c r="U164" s="269" t="e">
        <f>HLOOKUP(R164,[71]Listas!$F$4:$J$5,2,0)</f>
        <v>#N/A</v>
      </c>
      <c r="V164" s="270" t="e">
        <f>INDEX([71]Listas!$F$6:$J$10,MATCH(Q164,[71]Listas!$D$6:$D$10,0),MATCH(R164,[71]Listas!$F$4:$J$4,0))</f>
        <v>#N/A</v>
      </c>
      <c r="W164" s="268"/>
      <c r="X164" s="1399"/>
      <c r="Y164" s="1408"/>
      <c r="Z164" s="1400"/>
      <c r="AA164" s="1063"/>
      <c r="AB164" s="267"/>
      <c r="AC164" s="259"/>
      <c r="AD164" s="935"/>
      <c r="AE164" s="267"/>
      <c r="AF164" s="268"/>
      <c r="AG164" s="269">
        <f t="shared" si="16"/>
        <v>0</v>
      </c>
      <c r="AH164" s="271" t="e">
        <f t="shared" si="17"/>
        <v>#N/A</v>
      </c>
      <c r="AI164" s="272" t="e">
        <f>IF(AH164&lt;=1,"Remota",VLOOKUP(AH164,[71]Listas!$C$6:$D$10,2,0))</f>
        <v>#N/A</v>
      </c>
      <c r="AJ164" s="271" t="e">
        <f t="shared" si="18"/>
        <v>#N/A</v>
      </c>
      <c r="AK164" s="272" t="e">
        <f>IF(AJ164&lt;=1,"Insignificante",HLOOKUP(AJ164,[71]Listas!$F$3:$J$4,2,0))</f>
        <v>#N/A</v>
      </c>
      <c r="AL164" s="273" t="e">
        <f t="shared" si="19"/>
        <v>#N/A</v>
      </c>
      <c r="AM164" s="270" t="e">
        <f>INDEX([71]Listas!$F$6:$J$10,MATCH(AI164,[71]Listas!$D$6:$D$10,0),MATCH(AK164,[71]Listas!$F$4:$J$4,0))</f>
        <v>#N/A</v>
      </c>
      <c r="AN164" s="259"/>
      <c r="AO164" s="259"/>
      <c r="AP164" s="937"/>
      <c r="AQ164" s="259"/>
      <c r="AR164" s="259" t="s">
        <v>2877</v>
      </c>
      <c r="AS164" s="935"/>
      <c r="AT164" s="259"/>
      <c r="AU164" s="259"/>
      <c r="AV164" s="261"/>
      <c r="AW164" s="261"/>
      <c r="AX164" s="935"/>
      <c r="AY164" s="262"/>
    </row>
    <row r="165" spans="1:1027" s="260" customFormat="1" ht="103.5" hidden="1" customHeight="1">
      <c r="A165" s="935"/>
      <c r="B165" s="266"/>
      <c r="C165" s="1399"/>
      <c r="D165" s="1408"/>
      <c r="E165" s="1400"/>
      <c r="F165" s="267"/>
      <c r="G165" s="1399"/>
      <c r="H165" s="1408"/>
      <c r="I165" s="1400"/>
      <c r="J165" s="1380"/>
      <c r="K165" s="1380"/>
      <c r="L165" s="1380"/>
      <c r="M165" s="935"/>
      <c r="N165" s="935"/>
      <c r="O165" s="935"/>
      <c r="P165" s="935"/>
      <c r="Q165" s="266"/>
      <c r="R165" s="266"/>
      <c r="S165" s="268"/>
      <c r="T165" s="269" t="e">
        <f>VLOOKUP(Q165,[71]Listas!$D$6:$E$10,2,0)</f>
        <v>#N/A</v>
      </c>
      <c r="U165" s="269" t="e">
        <f>HLOOKUP(R165,[71]Listas!$F$4:$J$5,2,0)</f>
        <v>#N/A</v>
      </c>
      <c r="V165" s="270" t="e">
        <f>INDEX([71]Listas!$F$6:$J$10,MATCH(Q165,[71]Listas!$D$6:$D$10,0),MATCH(R165,[71]Listas!$F$4:$J$4,0))</f>
        <v>#N/A</v>
      </c>
      <c r="W165" s="268"/>
      <c r="X165" s="1399"/>
      <c r="Y165" s="1408"/>
      <c r="Z165" s="1400"/>
      <c r="AA165" s="1063"/>
      <c r="AB165" s="267"/>
      <c r="AC165" s="259"/>
      <c r="AD165" s="935"/>
      <c r="AE165" s="267"/>
      <c r="AF165" s="268"/>
      <c r="AG165" s="269">
        <f t="shared" si="16"/>
        <v>0</v>
      </c>
      <c r="AH165" s="271" t="e">
        <f t="shared" si="17"/>
        <v>#N/A</v>
      </c>
      <c r="AI165" s="272" t="e">
        <f>IF(AH165&lt;=1,"Remota",VLOOKUP(AH165,[71]Listas!$C$6:$D$10,2,0))</f>
        <v>#N/A</v>
      </c>
      <c r="AJ165" s="271" t="e">
        <f t="shared" si="18"/>
        <v>#N/A</v>
      </c>
      <c r="AK165" s="272" t="e">
        <f>IF(AJ165&lt;=1,"Insignificante",HLOOKUP(AJ165,[71]Listas!$F$3:$J$4,2,0))</f>
        <v>#N/A</v>
      </c>
      <c r="AL165" s="273" t="e">
        <f t="shared" si="19"/>
        <v>#N/A</v>
      </c>
      <c r="AM165" s="270" t="e">
        <f>INDEX([71]Listas!$F$6:$J$10,MATCH(AI165,[71]Listas!$D$6:$D$10,0),MATCH(AK165,[71]Listas!$F$4:$J$4,0))</f>
        <v>#N/A</v>
      </c>
      <c r="AN165" s="259"/>
      <c r="AO165" s="259"/>
      <c r="AP165" s="937"/>
      <c r="AQ165" s="259"/>
      <c r="AR165" s="259" t="s">
        <v>2877</v>
      </c>
      <c r="AS165" s="935"/>
      <c r="AT165" s="259"/>
      <c r="AU165" s="259"/>
      <c r="AV165" s="261"/>
      <c r="AW165" s="261"/>
      <c r="AX165" s="935"/>
      <c r="AY165" s="262"/>
    </row>
    <row r="166" spans="1:1027" s="260" customFormat="1" ht="103.5" hidden="1" customHeight="1">
      <c r="A166" s="935"/>
      <c r="B166" s="266"/>
      <c r="C166" s="1399"/>
      <c r="D166" s="1408"/>
      <c r="E166" s="1400"/>
      <c r="F166" s="267"/>
      <c r="G166" s="1399"/>
      <c r="H166" s="1408"/>
      <c r="I166" s="1400"/>
      <c r="J166" s="1380"/>
      <c r="K166" s="1380"/>
      <c r="L166" s="1380"/>
      <c r="M166" s="935"/>
      <c r="N166" s="935"/>
      <c r="O166" s="935"/>
      <c r="P166" s="935"/>
      <c r="Q166" s="266"/>
      <c r="R166" s="266"/>
      <c r="S166" s="268"/>
      <c r="T166" s="269" t="e">
        <f>VLOOKUP(Q166,[71]Listas!$D$6:$E$10,2,0)</f>
        <v>#N/A</v>
      </c>
      <c r="U166" s="269" t="e">
        <f>HLOOKUP(R166,[71]Listas!$F$4:$J$5,2,0)</f>
        <v>#N/A</v>
      </c>
      <c r="V166" s="270" t="e">
        <f>INDEX([71]Listas!$F$6:$J$10,MATCH(Q166,[71]Listas!$D$6:$D$10,0),MATCH(R166,[71]Listas!$F$4:$J$4,0))</f>
        <v>#N/A</v>
      </c>
      <c r="W166" s="268"/>
      <c r="X166" s="1399"/>
      <c r="Y166" s="1408"/>
      <c r="Z166" s="1400"/>
      <c r="AA166" s="1063"/>
      <c r="AB166" s="267"/>
      <c r="AC166" s="259"/>
      <c r="AD166" s="935"/>
      <c r="AE166" s="267"/>
      <c r="AF166" s="268"/>
      <c r="AG166" s="269">
        <f t="shared" si="16"/>
        <v>0</v>
      </c>
      <c r="AH166" s="271" t="e">
        <f t="shared" si="17"/>
        <v>#N/A</v>
      </c>
      <c r="AI166" s="272" t="e">
        <f>IF(AH166&lt;=1,"Remota",VLOOKUP(AH166,[71]Listas!$C$6:$D$10,2,0))</f>
        <v>#N/A</v>
      </c>
      <c r="AJ166" s="271" t="e">
        <f t="shared" si="18"/>
        <v>#N/A</v>
      </c>
      <c r="AK166" s="272" t="e">
        <f>IF(AJ166&lt;=1,"Insignificante",HLOOKUP(AJ166,[71]Listas!$F$3:$J$4,2,0))</f>
        <v>#N/A</v>
      </c>
      <c r="AL166" s="273" t="e">
        <f t="shared" si="19"/>
        <v>#N/A</v>
      </c>
      <c r="AM166" s="270" t="e">
        <f>INDEX([71]Listas!$F$6:$J$10,MATCH(AI166,[71]Listas!$D$6:$D$10,0),MATCH(AK166,[71]Listas!$F$4:$J$4,0))</f>
        <v>#N/A</v>
      </c>
      <c r="AN166" s="259"/>
      <c r="AO166" s="259"/>
      <c r="AP166" s="937"/>
      <c r="AQ166" s="259"/>
      <c r="AR166" s="259" t="s">
        <v>2877</v>
      </c>
      <c r="AS166" s="935"/>
      <c r="AT166" s="259"/>
      <c r="AU166" s="259"/>
      <c r="AV166" s="261"/>
      <c r="AW166" s="261"/>
      <c r="AX166" s="935"/>
      <c r="AY166" s="262"/>
    </row>
    <row r="167" spans="1:1027" ht="5.25" customHeight="1">
      <c r="A167" s="275"/>
      <c r="B167" s="276"/>
      <c r="C167" s="276"/>
      <c r="D167" s="276"/>
      <c r="E167" s="275"/>
      <c r="F167" s="275"/>
      <c r="G167" s="277"/>
      <c r="H167" s="277"/>
      <c r="I167" s="277"/>
      <c r="J167" s="275"/>
      <c r="K167" s="275"/>
      <c r="L167" s="278"/>
      <c r="M167" s="278"/>
      <c r="N167" s="278"/>
      <c r="O167" s="278"/>
      <c r="P167" s="278"/>
      <c r="Q167" s="278"/>
      <c r="R167" s="278"/>
      <c r="S167" s="278"/>
      <c r="T167" s="278"/>
      <c r="U167" s="278"/>
      <c r="V167" s="275"/>
      <c r="W167" s="275"/>
      <c r="X167" s="277"/>
      <c r="Y167" s="277"/>
      <c r="Z167" s="277"/>
      <c r="AA167" s="275"/>
      <c r="AB167" s="277"/>
      <c r="AC167" s="277"/>
      <c r="AD167" s="275"/>
      <c r="AE167" s="275"/>
      <c r="AF167" s="275"/>
      <c r="AG167" s="275"/>
      <c r="AH167" s="275"/>
      <c r="AI167" s="275"/>
      <c r="AJ167" s="275"/>
      <c r="AK167" s="275"/>
      <c r="AL167" s="275"/>
      <c r="AM167" s="279"/>
      <c r="AN167" s="262"/>
      <c r="AO167" s="262"/>
      <c r="AP167" s="262"/>
      <c r="AQ167" s="262"/>
      <c r="AR167" s="262"/>
      <c r="AS167" s="262"/>
      <c r="AT167" s="262"/>
      <c r="AU167" s="262"/>
      <c r="AV167" s="262"/>
      <c r="AW167" s="262"/>
      <c r="AX167" s="262"/>
      <c r="AY167" s="262"/>
      <c r="AZ167" s="236"/>
      <c r="BA167" s="236"/>
      <c r="BB167" s="236"/>
      <c r="BC167" s="236"/>
      <c r="BD167" s="236"/>
      <c r="BE167" s="236"/>
      <c r="BF167" s="236"/>
      <c r="BG167" s="236"/>
      <c r="BH167" s="236"/>
      <c r="BI167" s="236"/>
      <c r="BJ167" s="236"/>
      <c r="BK167" s="236"/>
      <c r="BL167" s="236"/>
      <c r="BM167" s="236"/>
      <c r="BN167" s="236"/>
      <c r="BO167" s="236"/>
      <c r="BP167" s="236"/>
      <c r="BQ167" s="236"/>
      <c r="BR167" s="236"/>
      <c r="BS167" s="236"/>
      <c r="BT167" s="236"/>
      <c r="BU167" s="236"/>
      <c r="BV167" s="236"/>
      <c r="BW167" s="236"/>
      <c r="BX167" s="236"/>
      <c r="BY167" s="236"/>
      <c r="BZ167" s="236"/>
      <c r="CA167" s="236"/>
      <c r="CB167" s="236"/>
      <c r="CC167" s="236"/>
      <c r="CD167" s="236"/>
      <c r="CE167" s="236"/>
      <c r="CF167" s="236"/>
      <c r="CG167" s="236"/>
      <c r="CH167" s="236"/>
      <c r="CI167" s="236"/>
      <c r="CJ167" s="236"/>
      <c r="CK167" s="236"/>
      <c r="CL167" s="236"/>
      <c r="CM167" s="236"/>
      <c r="CN167" s="236"/>
      <c r="CO167" s="236"/>
      <c r="CP167" s="236"/>
      <c r="CQ167" s="236"/>
      <c r="CR167" s="236"/>
      <c r="CS167" s="236"/>
      <c r="CT167" s="236"/>
      <c r="CU167" s="236"/>
      <c r="CV167" s="236"/>
      <c r="CW167" s="236"/>
      <c r="CX167" s="236"/>
      <c r="CY167" s="236"/>
      <c r="CZ167" s="236"/>
      <c r="DA167" s="236"/>
      <c r="DB167" s="236"/>
      <c r="DC167" s="236"/>
      <c r="DD167" s="236"/>
      <c r="DE167" s="236"/>
      <c r="DF167" s="236"/>
      <c r="DG167" s="236"/>
      <c r="DH167" s="236"/>
      <c r="DI167" s="236"/>
      <c r="DJ167" s="236"/>
      <c r="DK167" s="236"/>
      <c r="DL167" s="236"/>
      <c r="DM167" s="236"/>
      <c r="DN167" s="236"/>
      <c r="DO167" s="236"/>
      <c r="DP167" s="236"/>
      <c r="DQ167" s="236"/>
      <c r="DR167" s="236"/>
      <c r="DS167" s="236"/>
      <c r="DT167" s="236"/>
      <c r="DU167" s="236"/>
      <c r="DV167" s="236"/>
      <c r="DW167" s="236"/>
      <c r="DX167" s="236"/>
      <c r="DY167" s="236"/>
      <c r="DZ167" s="236"/>
      <c r="EA167" s="236"/>
      <c r="EB167" s="236"/>
      <c r="EC167" s="236"/>
      <c r="ED167" s="236"/>
      <c r="EE167" s="236"/>
      <c r="EF167" s="236"/>
      <c r="EG167" s="236"/>
      <c r="EH167" s="236"/>
      <c r="EI167" s="236"/>
      <c r="EJ167" s="236"/>
      <c r="EK167" s="236"/>
      <c r="EL167" s="236"/>
      <c r="EM167" s="236"/>
      <c r="EN167" s="236"/>
      <c r="EO167" s="236"/>
      <c r="EP167" s="236"/>
      <c r="EQ167" s="236"/>
      <c r="ER167" s="236"/>
      <c r="ES167" s="236"/>
      <c r="ET167" s="236"/>
      <c r="EU167" s="236"/>
      <c r="EV167" s="236"/>
      <c r="EW167" s="236"/>
      <c r="EX167" s="236"/>
      <c r="EY167" s="236"/>
      <c r="EZ167" s="236"/>
      <c r="FA167" s="236"/>
      <c r="FB167" s="236"/>
      <c r="FC167" s="236"/>
      <c r="FD167" s="236"/>
      <c r="FE167" s="236"/>
      <c r="FF167" s="236"/>
      <c r="FG167" s="236"/>
      <c r="FH167" s="236"/>
      <c r="FI167" s="236"/>
      <c r="FJ167" s="236"/>
      <c r="FK167" s="236"/>
      <c r="FL167" s="236"/>
      <c r="FM167" s="236"/>
      <c r="FN167" s="236"/>
      <c r="FO167" s="236"/>
      <c r="FP167" s="236"/>
      <c r="FQ167" s="236"/>
      <c r="FR167" s="236"/>
      <c r="FS167" s="236"/>
      <c r="FT167" s="236"/>
      <c r="FU167" s="236"/>
      <c r="FV167" s="236"/>
      <c r="FW167" s="236"/>
      <c r="FX167" s="236"/>
      <c r="FY167" s="236"/>
      <c r="FZ167" s="236"/>
      <c r="GA167" s="236"/>
      <c r="GB167" s="236"/>
      <c r="GC167" s="236"/>
      <c r="GD167" s="236"/>
      <c r="GE167" s="236"/>
      <c r="GF167" s="236"/>
      <c r="GG167" s="236"/>
      <c r="GH167" s="236"/>
      <c r="GI167" s="236"/>
      <c r="GJ167" s="236"/>
      <c r="GK167" s="236"/>
      <c r="GL167" s="236"/>
      <c r="GM167" s="236"/>
      <c r="GN167" s="236"/>
      <c r="GO167" s="236"/>
      <c r="GP167" s="236"/>
      <c r="GQ167" s="236"/>
      <c r="GR167" s="236"/>
      <c r="GS167" s="236"/>
      <c r="GT167" s="236"/>
      <c r="GU167" s="236"/>
      <c r="GV167" s="236"/>
      <c r="GW167" s="236"/>
      <c r="GX167" s="236"/>
      <c r="GY167" s="236"/>
      <c r="GZ167" s="236"/>
      <c r="HA167" s="236"/>
      <c r="HB167" s="236"/>
      <c r="HC167" s="236"/>
      <c r="HD167" s="236"/>
      <c r="HE167" s="236"/>
      <c r="HF167" s="236"/>
      <c r="HG167" s="236"/>
      <c r="HH167" s="236"/>
      <c r="HI167" s="236"/>
      <c r="HJ167" s="236"/>
      <c r="HK167" s="236"/>
      <c r="HL167" s="236"/>
      <c r="HM167" s="236"/>
      <c r="HN167" s="236"/>
      <c r="HO167" s="236"/>
      <c r="HP167" s="236"/>
      <c r="HQ167" s="236"/>
      <c r="HR167" s="236"/>
      <c r="HS167" s="236"/>
      <c r="HT167" s="236"/>
      <c r="HU167" s="236"/>
      <c r="HV167" s="236"/>
      <c r="HW167" s="236"/>
      <c r="HX167" s="236"/>
      <c r="HY167" s="236"/>
      <c r="HZ167" s="236"/>
      <c r="IA167" s="236"/>
      <c r="IB167" s="236"/>
      <c r="IC167" s="236"/>
      <c r="ID167" s="236"/>
      <c r="IE167" s="236"/>
      <c r="IF167" s="236"/>
      <c r="IG167" s="236"/>
      <c r="IH167" s="236"/>
      <c r="II167" s="236"/>
      <c r="IJ167" s="236"/>
      <c r="IK167" s="236"/>
      <c r="IL167" s="236"/>
      <c r="IM167" s="236"/>
      <c r="IN167" s="236"/>
      <c r="IO167" s="236"/>
      <c r="IP167" s="236"/>
      <c r="IQ167" s="236"/>
      <c r="IR167" s="236"/>
      <c r="IS167" s="236"/>
      <c r="IT167" s="236"/>
      <c r="IU167" s="236"/>
      <c r="IV167" s="236"/>
      <c r="IW167" s="236"/>
      <c r="IX167" s="236"/>
      <c r="IY167" s="236"/>
      <c r="IZ167" s="236"/>
      <c r="JA167" s="236"/>
      <c r="JB167" s="236"/>
      <c r="JC167" s="236"/>
      <c r="JD167" s="236"/>
      <c r="JE167" s="236"/>
      <c r="JF167" s="236"/>
      <c r="JG167" s="236"/>
      <c r="JH167" s="236"/>
      <c r="JI167" s="236"/>
      <c r="JJ167" s="236"/>
      <c r="JK167" s="236"/>
      <c r="JL167" s="236"/>
      <c r="JM167" s="236"/>
      <c r="JN167" s="236"/>
      <c r="JO167" s="236"/>
      <c r="JP167" s="236"/>
      <c r="JQ167" s="236"/>
      <c r="JR167" s="236"/>
      <c r="JS167" s="236"/>
      <c r="JT167" s="236"/>
      <c r="JU167" s="236"/>
      <c r="JV167" s="236"/>
      <c r="JW167" s="236"/>
      <c r="JX167" s="236"/>
      <c r="JY167" s="236"/>
      <c r="JZ167" s="236"/>
      <c r="KA167" s="236"/>
      <c r="KB167" s="236"/>
      <c r="KC167" s="236"/>
      <c r="KD167" s="236"/>
      <c r="KE167" s="236"/>
      <c r="KF167" s="236"/>
      <c r="KG167" s="236"/>
      <c r="KH167" s="236"/>
      <c r="KI167" s="236"/>
      <c r="KJ167" s="236"/>
      <c r="KK167" s="236"/>
      <c r="KL167" s="236"/>
      <c r="KM167" s="236"/>
      <c r="KN167" s="236"/>
      <c r="KO167" s="236"/>
      <c r="KP167" s="236"/>
      <c r="KQ167" s="236"/>
      <c r="KR167" s="236"/>
      <c r="KS167" s="236"/>
      <c r="KT167" s="236"/>
      <c r="KU167" s="236"/>
      <c r="KV167" s="236"/>
      <c r="KW167" s="236"/>
      <c r="KX167" s="236"/>
      <c r="KY167" s="236"/>
      <c r="KZ167" s="236"/>
      <c r="LA167" s="236"/>
      <c r="LB167" s="236"/>
      <c r="LC167" s="236"/>
      <c r="LD167" s="236"/>
      <c r="LE167" s="236"/>
      <c r="LF167" s="236"/>
      <c r="LG167" s="236"/>
      <c r="LH167" s="236"/>
      <c r="LI167" s="236"/>
      <c r="LJ167" s="236"/>
      <c r="LK167" s="236"/>
      <c r="LL167" s="236"/>
      <c r="LM167" s="236"/>
      <c r="LN167" s="236"/>
      <c r="LO167" s="236"/>
      <c r="LP167" s="236"/>
      <c r="LQ167" s="236"/>
      <c r="LR167" s="236"/>
      <c r="LS167" s="236"/>
      <c r="LT167" s="236"/>
      <c r="LU167" s="236"/>
      <c r="LV167" s="236"/>
      <c r="LW167" s="236"/>
      <c r="LX167" s="236"/>
      <c r="LY167" s="236"/>
      <c r="LZ167" s="236"/>
      <c r="MA167" s="236"/>
      <c r="MB167" s="236"/>
      <c r="MC167" s="236"/>
      <c r="MD167" s="236"/>
      <c r="ME167" s="236"/>
      <c r="MF167" s="236"/>
      <c r="MG167" s="236"/>
      <c r="MH167" s="236"/>
      <c r="MI167" s="236"/>
      <c r="MJ167" s="236"/>
      <c r="MK167" s="236"/>
      <c r="ML167" s="236"/>
      <c r="MM167" s="236"/>
      <c r="MN167" s="236"/>
      <c r="MO167" s="236"/>
      <c r="MP167" s="236"/>
      <c r="MQ167" s="236"/>
      <c r="MR167" s="236"/>
      <c r="MS167" s="236"/>
      <c r="MT167" s="236"/>
      <c r="MU167" s="236"/>
      <c r="MV167" s="236"/>
      <c r="MW167" s="236"/>
      <c r="MX167" s="236"/>
      <c r="MY167" s="236"/>
      <c r="MZ167" s="236"/>
      <c r="NA167" s="236"/>
      <c r="NB167" s="236"/>
      <c r="NC167" s="236"/>
      <c r="ND167" s="236"/>
      <c r="NE167" s="236"/>
      <c r="NF167" s="236"/>
      <c r="NG167" s="236"/>
      <c r="NH167" s="236"/>
      <c r="NI167" s="236"/>
      <c r="NJ167" s="236"/>
      <c r="NK167" s="236"/>
      <c r="NL167" s="236"/>
      <c r="NM167" s="236"/>
      <c r="NN167" s="236"/>
      <c r="NO167" s="236"/>
      <c r="NP167" s="236"/>
      <c r="NQ167" s="236"/>
      <c r="NR167" s="236"/>
      <c r="NS167" s="236"/>
      <c r="NT167" s="236"/>
      <c r="NU167" s="236"/>
      <c r="NV167" s="236"/>
      <c r="NW167" s="236"/>
      <c r="NX167" s="236"/>
      <c r="NY167" s="236"/>
      <c r="NZ167" s="236"/>
      <c r="OA167" s="236"/>
      <c r="OB167" s="236"/>
      <c r="OC167" s="236"/>
      <c r="OD167" s="236"/>
      <c r="OE167" s="236"/>
      <c r="OF167" s="236"/>
      <c r="OG167" s="236"/>
      <c r="OH167" s="236"/>
      <c r="OI167" s="236"/>
      <c r="OJ167" s="236"/>
      <c r="OK167" s="236"/>
      <c r="OL167" s="236"/>
      <c r="OM167" s="236"/>
      <c r="ON167" s="236"/>
      <c r="OO167" s="236"/>
      <c r="OP167" s="236"/>
      <c r="OQ167" s="236"/>
      <c r="OR167" s="236"/>
      <c r="OS167" s="236"/>
      <c r="OT167" s="236"/>
      <c r="OU167" s="236"/>
      <c r="OV167" s="236"/>
      <c r="OW167" s="236"/>
      <c r="OX167" s="236"/>
      <c r="OY167" s="236"/>
      <c r="OZ167" s="236"/>
      <c r="PA167" s="236"/>
      <c r="PB167" s="236"/>
      <c r="PC167" s="236"/>
      <c r="PD167" s="236"/>
      <c r="PE167" s="236"/>
      <c r="PF167" s="236"/>
      <c r="PG167" s="236"/>
      <c r="PH167" s="236"/>
      <c r="PI167" s="236"/>
      <c r="PJ167" s="236"/>
      <c r="PK167" s="236"/>
      <c r="PL167" s="236"/>
      <c r="PM167" s="236"/>
      <c r="PN167" s="236"/>
      <c r="PO167" s="236"/>
      <c r="PP167" s="236"/>
      <c r="PQ167" s="236"/>
      <c r="PR167" s="236"/>
      <c r="PS167" s="236"/>
      <c r="PT167" s="236"/>
      <c r="PU167" s="236"/>
      <c r="PV167" s="236"/>
      <c r="PW167" s="236"/>
      <c r="PX167" s="236"/>
      <c r="PY167" s="236"/>
      <c r="PZ167" s="236"/>
      <c r="QA167" s="236"/>
      <c r="QB167" s="236"/>
      <c r="QC167" s="236"/>
      <c r="QD167" s="236"/>
      <c r="QE167" s="236"/>
      <c r="QF167" s="236"/>
      <c r="QG167" s="236"/>
      <c r="QH167" s="236"/>
      <c r="QI167" s="236"/>
      <c r="QJ167" s="236"/>
      <c r="QK167" s="236"/>
      <c r="QL167" s="236"/>
      <c r="QM167" s="236"/>
      <c r="QN167" s="236"/>
      <c r="QO167" s="236"/>
      <c r="QP167" s="236"/>
      <c r="QQ167" s="236"/>
      <c r="QR167" s="236"/>
      <c r="QS167" s="236"/>
      <c r="QT167" s="236"/>
      <c r="QU167" s="236"/>
      <c r="QV167" s="236"/>
      <c r="QW167" s="236"/>
      <c r="QX167" s="236"/>
      <c r="QY167" s="236"/>
      <c r="QZ167" s="236"/>
      <c r="RA167" s="236"/>
      <c r="RB167" s="236"/>
      <c r="RC167" s="236"/>
      <c r="RD167" s="236"/>
      <c r="RE167" s="236"/>
      <c r="RF167" s="236"/>
      <c r="RG167" s="236"/>
      <c r="RH167" s="236"/>
      <c r="RI167" s="236"/>
      <c r="RJ167" s="236"/>
      <c r="RK167" s="236"/>
      <c r="RL167" s="236"/>
      <c r="RM167" s="236"/>
      <c r="RN167" s="236"/>
      <c r="RO167" s="236"/>
      <c r="RP167" s="236"/>
      <c r="RQ167" s="236"/>
      <c r="RR167" s="236"/>
      <c r="RS167" s="236"/>
      <c r="RT167" s="236"/>
      <c r="RU167" s="236"/>
      <c r="RV167" s="236"/>
      <c r="RW167" s="236"/>
      <c r="RX167" s="236"/>
      <c r="RY167" s="236"/>
      <c r="RZ167" s="236"/>
      <c r="SA167" s="236"/>
      <c r="SB167" s="236"/>
      <c r="SC167" s="236"/>
      <c r="SD167" s="236"/>
      <c r="SE167" s="236"/>
      <c r="SF167" s="236"/>
      <c r="SG167" s="236"/>
      <c r="SH167" s="236"/>
      <c r="SI167" s="236"/>
      <c r="SJ167" s="236"/>
      <c r="SK167" s="236"/>
      <c r="SL167" s="236"/>
      <c r="SM167" s="236"/>
      <c r="SN167" s="236"/>
      <c r="SO167" s="236"/>
      <c r="SP167" s="236"/>
      <c r="SQ167" s="236"/>
      <c r="SR167" s="236"/>
      <c r="SS167" s="236"/>
      <c r="ST167" s="236"/>
      <c r="SU167" s="236"/>
      <c r="SV167" s="236"/>
      <c r="SW167" s="236"/>
      <c r="SX167" s="236"/>
      <c r="SY167" s="236"/>
      <c r="SZ167" s="236"/>
      <c r="TA167" s="236"/>
      <c r="TB167" s="236"/>
      <c r="TC167" s="236"/>
      <c r="TD167" s="236"/>
      <c r="TE167" s="236"/>
      <c r="TF167" s="236"/>
      <c r="TG167" s="236"/>
      <c r="TH167" s="236"/>
      <c r="TI167" s="236"/>
      <c r="TJ167" s="236"/>
      <c r="TK167" s="236"/>
      <c r="TL167" s="236"/>
      <c r="TM167" s="236"/>
      <c r="TN167" s="236"/>
      <c r="TO167" s="236"/>
      <c r="TP167" s="236"/>
      <c r="TQ167" s="236"/>
      <c r="TR167" s="236"/>
      <c r="TS167" s="236"/>
      <c r="TT167" s="236"/>
      <c r="TU167" s="236"/>
      <c r="TV167" s="236"/>
      <c r="TW167" s="236"/>
      <c r="TX167" s="236"/>
      <c r="TY167" s="236"/>
      <c r="TZ167" s="236"/>
      <c r="UA167" s="236"/>
      <c r="UB167" s="236"/>
      <c r="UC167" s="236"/>
      <c r="UD167" s="236"/>
      <c r="UE167" s="236"/>
      <c r="UF167" s="236"/>
      <c r="UG167" s="236"/>
      <c r="UH167" s="236"/>
      <c r="UI167" s="236"/>
      <c r="UJ167" s="236"/>
      <c r="UK167" s="236"/>
      <c r="UL167" s="236"/>
      <c r="UM167" s="236"/>
      <c r="UN167" s="236"/>
      <c r="UO167" s="236"/>
      <c r="UP167" s="236"/>
      <c r="UQ167" s="236"/>
      <c r="UR167" s="236"/>
      <c r="US167" s="236"/>
      <c r="UT167" s="236"/>
      <c r="UU167" s="236"/>
      <c r="UV167" s="236"/>
      <c r="UW167" s="236"/>
      <c r="UX167" s="236"/>
      <c r="UY167" s="236"/>
      <c r="UZ167" s="236"/>
      <c r="VA167" s="236"/>
      <c r="VB167" s="236"/>
      <c r="VC167" s="236"/>
      <c r="VD167" s="236"/>
      <c r="VE167" s="236"/>
      <c r="VF167" s="236"/>
      <c r="VG167" s="236"/>
      <c r="VH167" s="236"/>
      <c r="VI167" s="236"/>
      <c r="VJ167" s="236"/>
      <c r="VK167" s="236"/>
      <c r="VL167" s="236"/>
      <c r="VM167" s="236"/>
      <c r="VN167" s="236"/>
      <c r="VO167" s="236"/>
      <c r="VP167" s="236"/>
      <c r="VQ167" s="236"/>
      <c r="VR167" s="236"/>
      <c r="VS167" s="236"/>
      <c r="VT167" s="236"/>
      <c r="VU167" s="236"/>
      <c r="VV167" s="236"/>
      <c r="VW167" s="236"/>
      <c r="VX167" s="236"/>
      <c r="VY167" s="236"/>
      <c r="VZ167" s="236"/>
      <c r="WA167" s="236"/>
      <c r="WB167" s="236"/>
      <c r="WC167" s="236"/>
      <c r="WD167" s="236"/>
      <c r="WE167" s="236"/>
      <c r="WF167" s="236"/>
      <c r="WG167" s="236"/>
      <c r="WH167" s="236"/>
      <c r="WI167" s="236"/>
      <c r="WJ167" s="236"/>
      <c r="WK167" s="236"/>
      <c r="WL167" s="236"/>
      <c r="WM167" s="236"/>
      <c r="WN167" s="236"/>
      <c r="WO167" s="236"/>
      <c r="WP167" s="236"/>
      <c r="WQ167" s="236"/>
      <c r="WR167" s="236"/>
      <c r="WS167" s="236"/>
      <c r="WT167" s="236"/>
      <c r="WU167" s="236"/>
      <c r="WV167" s="236"/>
      <c r="WW167" s="236"/>
      <c r="WX167" s="236"/>
      <c r="WY167" s="236"/>
      <c r="WZ167" s="236"/>
      <c r="XA167" s="236"/>
      <c r="XB167" s="236"/>
      <c r="XC167" s="236"/>
      <c r="XD167" s="236"/>
      <c r="XE167" s="236"/>
      <c r="XF167" s="236"/>
      <c r="XG167" s="236"/>
      <c r="XH167" s="236"/>
      <c r="XI167" s="236"/>
      <c r="XJ167" s="236"/>
      <c r="XK167" s="236"/>
      <c r="XL167" s="236"/>
      <c r="XM167" s="236"/>
      <c r="XN167" s="236"/>
      <c r="XO167" s="236"/>
      <c r="XP167" s="236"/>
      <c r="XQ167" s="236"/>
      <c r="XR167" s="236"/>
      <c r="XS167" s="236"/>
      <c r="XT167" s="236"/>
      <c r="XU167" s="236"/>
      <c r="XV167" s="236"/>
      <c r="XW167" s="236"/>
      <c r="XX167" s="236"/>
      <c r="XY167" s="236"/>
      <c r="XZ167" s="236"/>
      <c r="YA167" s="236"/>
      <c r="YB167" s="236"/>
      <c r="YC167" s="236"/>
      <c r="YD167" s="236"/>
      <c r="YE167" s="236"/>
      <c r="YF167" s="236"/>
      <c r="YG167" s="236"/>
      <c r="YH167" s="236"/>
      <c r="YI167" s="236"/>
      <c r="YJ167" s="236"/>
      <c r="YK167" s="236"/>
      <c r="YL167" s="236"/>
      <c r="YM167" s="236"/>
      <c r="YN167" s="236"/>
      <c r="YO167" s="236"/>
      <c r="YP167" s="236"/>
      <c r="YQ167" s="236"/>
      <c r="YR167" s="236"/>
      <c r="YS167" s="236"/>
      <c r="YT167" s="236"/>
      <c r="YU167" s="236"/>
      <c r="YV167" s="236"/>
      <c r="YW167" s="236"/>
      <c r="YX167" s="236"/>
      <c r="YY167" s="236"/>
      <c r="YZ167" s="236"/>
      <c r="ZA167" s="236"/>
      <c r="ZB167" s="236"/>
      <c r="ZC167" s="236"/>
      <c r="ZD167" s="236"/>
      <c r="ZE167" s="236"/>
      <c r="ZF167" s="236"/>
      <c r="ZG167" s="236"/>
      <c r="ZH167" s="236"/>
      <c r="ZI167" s="236"/>
      <c r="ZJ167" s="236"/>
      <c r="ZK167" s="236"/>
      <c r="ZL167" s="236"/>
      <c r="ZM167" s="236"/>
      <c r="ZN167" s="236"/>
      <c r="ZO167" s="236"/>
      <c r="ZP167" s="236"/>
      <c r="ZQ167" s="236"/>
      <c r="ZR167" s="236"/>
      <c r="ZS167" s="236"/>
      <c r="ZT167" s="236"/>
      <c r="ZU167" s="236"/>
      <c r="ZV167" s="236"/>
      <c r="ZW167" s="236"/>
      <c r="ZX167" s="236"/>
      <c r="ZY167" s="236"/>
      <c r="ZZ167" s="236"/>
      <c r="AAA167" s="236"/>
      <c r="AAB167" s="236"/>
      <c r="AAC167" s="236"/>
      <c r="AAD167" s="236"/>
      <c r="AAE167" s="236"/>
      <c r="AAF167" s="236"/>
      <c r="AAG167" s="236"/>
      <c r="AAH167" s="236"/>
      <c r="AAI167" s="236"/>
      <c r="AAJ167" s="236"/>
      <c r="AAK167" s="236"/>
      <c r="AAL167" s="236"/>
      <c r="AAM167" s="236"/>
      <c r="AAN167" s="236"/>
      <c r="AAO167" s="236"/>
      <c r="AAP167" s="236"/>
      <c r="AAQ167" s="236"/>
      <c r="AAR167" s="236"/>
      <c r="AAS167" s="236"/>
      <c r="AAT167" s="236"/>
      <c r="AAU167" s="236"/>
      <c r="AAV167" s="236"/>
      <c r="AAW167" s="236"/>
      <c r="AAX167" s="236"/>
      <c r="AAY167" s="236"/>
      <c r="AAZ167" s="236"/>
      <c r="ABA167" s="236"/>
      <c r="ABB167" s="236"/>
      <c r="ABC167" s="236"/>
      <c r="ABD167" s="236"/>
      <c r="ABE167" s="236"/>
      <c r="ABF167" s="236"/>
      <c r="ABG167" s="236"/>
      <c r="ABH167" s="236"/>
      <c r="ABI167" s="236"/>
      <c r="ABJ167" s="236"/>
      <c r="ABK167" s="236"/>
      <c r="ABL167" s="236"/>
      <c r="ABM167" s="236"/>
      <c r="ABN167" s="236"/>
      <c r="ABO167" s="236"/>
      <c r="ABP167" s="236"/>
      <c r="ABQ167" s="236"/>
      <c r="ABR167" s="236"/>
      <c r="ABS167" s="236"/>
      <c r="ABT167" s="236"/>
      <c r="ABU167" s="236"/>
      <c r="ABV167" s="236"/>
      <c r="ABW167" s="236"/>
      <c r="ABX167" s="236"/>
      <c r="ABY167" s="236"/>
      <c r="ABZ167" s="236"/>
      <c r="ACA167" s="236"/>
      <c r="ACB167" s="236"/>
      <c r="ACC167" s="236"/>
      <c r="ACD167" s="236"/>
      <c r="ACE167" s="236"/>
      <c r="ACF167" s="236"/>
      <c r="ACG167" s="236"/>
      <c r="ACH167" s="236"/>
      <c r="ACI167" s="236"/>
      <c r="ACJ167" s="236"/>
      <c r="ACK167" s="236"/>
      <c r="ACL167" s="236"/>
      <c r="ACM167" s="236"/>
      <c r="ACN167" s="236"/>
      <c r="ACO167" s="236"/>
      <c r="ACP167" s="236"/>
      <c r="ACQ167" s="236"/>
      <c r="ACR167" s="236"/>
      <c r="ACS167" s="236"/>
      <c r="ACT167" s="236"/>
      <c r="ACU167" s="236"/>
      <c r="ACV167" s="236"/>
      <c r="ACW167" s="236"/>
      <c r="ACX167" s="236"/>
      <c r="ACY167" s="236"/>
      <c r="ACZ167" s="236"/>
      <c r="ADA167" s="236"/>
      <c r="ADB167" s="236"/>
      <c r="ADC167" s="236"/>
      <c r="ADD167" s="236"/>
      <c r="ADE167" s="236"/>
      <c r="ADF167" s="236"/>
      <c r="ADG167" s="236"/>
      <c r="ADH167" s="236"/>
      <c r="ADI167" s="236"/>
      <c r="ADJ167" s="236"/>
      <c r="ADK167" s="236"/>
      <c r="ADL167" s="236"/>
      <c r="ADM167" s="236"/>
      <c r="ADN167" s="236"/>
      <c r="ADO167" s="236"/>
      <c r="ADP167" s="236"/>
      <c r="ADQ167" s="236"/>
      <c r="ADR167" s="236"/>
      <c r="ADS167" s="236"/>
      <c r="ADT167" s="236"/>
      <c r="ADU167" s="236"/>
      <c r="ADV167" s="236"/>
      <c r="ADW167" s="236"/>
      <c r="ADX167" s="236"/>
      <c r="ADY167" s="236"/>
      <c r="ADZ167" s="236"/>
      <c r="AEA167" s="236"/>
      <c r="AEB167" s="236"/>
      <c r="AEC167" s="236"/>
      <c r="AED167" s="236"/>
      <c r="AEE167" s="236"/>
      <c r="AEF167" s="236"/>
      <c r="AEG167" s="236"/>
      <c r="AEH167" s="236"/>
      <c r="AEI167" s="236"/>
      <c r="AEJ167" s="236"/>
      <c r="AEK167" s="236"/>
      <c r="AEL167" s="236"/>
      <c r="AEM167" s="236"/>
      <c r="AEN167" s="236"/>
      <c r="AEO167" s="236"/>
      <c r="AEP167" s="236"/>
      <c r="AEQ167" s="236"/>
      <c r="AER167" s="236"/>
      <c r="AES167" s="236"/>
      <c r="AET167" s="236"/>
      <c r="AEU167" s="236"/>
      <c r="AEV167" s="236"/>
      <c r="AEW167" s="236"/>
      <c r="AEX167" s="236"/>
      <c r="AEY167" s="236"/>
      <c r="AEZ167" s="236"/>
      <c r="AFA167" s="236"/>
      <c r="AFB167" s="236"/>
      <c r="AFC167" s="236"/>
      <c r="AFD167" s="236"/>
      <c r="AFE167" s="236"/>
      <c r="AFF167" s="236"/>
      <c r="AFG167" s="236"/>
      <c r="AFH167" s="236"/>
      <c r="AFI167" s="236"/>
      <c r="AFJ167" s="236"/>
      <c r="AFK167" s="236"/>
      <c r="AFL167" s="236"/>
      <c r="AFM167" s="236"/>
      <c r="AFN167" s="236"/>
      <c r="AFO167" s="236"/>
      <c r="AFP167" s="236"/>
      <c r="AFQ167" s="236"/>
      <c r="AFR167" s="236"/>
      <c r="AFS167" s="236"/>
      <c r="AFT167" s="236"/>
      <c r="AFU167" s="236"/>
      <c r="AFV167" s="236"/>
      <c r="AFW167" s="236"/>
      <c r="AFX167" s="236"/>
      <c r="AFY167" s="236"/>
      <c r="AFZ167" s="236"/>
      <c r="AGA167" s="236"/>
      <c r="AGB167" s="236"/>
      <c r="AGC167" s="236"/>
      <c r="AGD167" s="236"/>
      <c r="AGE167" s="236"/>
      <c r="AGF167" s="236"/>
      <c r="AGG167" s="236"/>
      <c r="AGH167" s="236"/>
      <c r="AGI167" s="236"/>
      <c r="AGJ167" s="236"/>
      <c r="AGK167" s="236"/>
      <c r="AGL167" s="236"/>
      <c r="AGM167" s="236"/>
      <c r="AGN167" s="236"/>
      <c r="AGO167" s="236"/>
      <c r="AGP167" s="236"/>
      <c r="AGQ167" s="236"/>
      <c r="AGR167" s="236"/>
      <c r="AGS167" s="236"/>
      <c r="AGT167" s="236"/>
      <c r="AGU167" s="236"/>
      <c r="AGV167" s="236"/>
      <c r="AGW167" s="236"/>
      <c r="AGX167" s="236"/>
      <c r="AGY167" s="236"/>
      <c r="AGZ167" s="236"/>
      <c r="AHA167" s="236"/>
      <c r="AHB167" s="236"/>
      <c r="AHC167" s="236"/>
      <c r="AHD167" s="236"/>
      <c r="AHE167" s="236"/>
      <c r="AHF167" s="236"/>
      <c r="AHG167" s="236"/>
      <c r="AHH167" s="236"/>
      <c r="AHI167" s="236"/>
      <c r="AHJ167" s="236"/>
      <c r="AHK167" s="236"/>
      <c r="AHL167" s="236"/>
      <c r="AHM167" s="236"/>
      <c r="AHN167" s="236"/>
      <c r="AHO167" s="236"/>
      <c r="AHP167" s="236"/>
      <c r="AHQ167" s="236"/>
      <c r="AHR167" s="236"/>
      <c r="AHS167" s="236"/>
      <c r="AHT167" s="236"/>
      <c r="AHU167" s="236"/>
      <c r="AHV167" s="236"/>
      <c r="AHW167" s="236"/>
      <c r="AHX167" s="236"/>
      <c r="AHY167" s="236"/>
      <c r="AHZ167" s="236"/>
      <c r="AIA167" s="236"/>
      <c r="AIB167" s="236"/>
      <c r="AIC167" s="236"/>
      <c r="AID167" s="236"/>
      <c r="AIE167" s="236"/>
      <c r="AIF167" s="236"/>
      <c r="AIG167" s="236"/>
      <c r="AIH167" s="236"/>
      <c r="AII167" s="236"/>
      <c r="AIJ167" s="236"/>
      <c r="AIK167" s="236"/>
      <c r="AIL167" s="236"/>
      <c r="AIM167" s="236"/>
      <c r="AIN167" s="236"/>
      <c r="AIO167" s="236"/>
      <c r="AIP167" s="236"/>
      <c r="AIQ167" s="236"/>
      <c r="AIR167" s="236"/>
      <c r="AIS167" s="236"/>
      <c r="AIT167" s="236"/>
      <c r="AIU167" s="236"/>
      <c r="AIV167" s="236"/>
      <c r="AIW167" s="236"/>
      <c r="AIX167" s="236"/>
      <c r="AIY167" s="236"/>
      <c r="AIZ167" s="236"/>
      <c r="AJA167" s="236"/>
      <c r="AJB167" s="236"/>
      <c r="AJC167" s="236"/>
      <c r="AJD167" s="236"/>
      <c r="AJE167" s="236"/>
      <c r="AJF167" s="236"/>
      <c r="AJG167" s="236"/>
      <c r="AJH167" s="236"/>
      <c r="AJI167" s="236"/>
      <c r="AJJ167" s="236"/>
      <c r="AJK167" s="236"/>
      <c r="AJL167" s="236"/>
      <c r="AJM167" s="236"/>
      <c r="AJN167" s="236"/>
      <c r="AJO167" s="236"/>
      <c r="AJP167" s="236"/>
      <c r="AJQ167" s="236"/>
      <c r="AJR167" s="236"/>
      <c r="AJS167" s="236"/>
      <c r="AJT167" s="236"/>
      <c r="AJU167" s="236"/>
      <c r="AJV167" s="236"/>
      <c r="AJW167" s="236"/>
      <c r="AJX167" s="236"/>
      <c r="AJY167" s="236"/>
      <c r="AJZ167" s="236"/>
      <c r="AKA167" s="236"/>
      <c r="AKB167" s="236"/>
      <c r="AKC167" s="236"/>
      <c r="AKD167" s="236"/>
      <c r="AKE167" s="236"/>
      <c r="AKF167" s="236"/>
      <c r="AKG167" s="236"/>
      <c r="AKH167" s="236"/>
      <c r="AKI167" s="236"/>
      <c r="AKJ167" s="236"/>
      <c r="AKK167" s="236"/>
      <c r="AKL167" s="236"/>
      <c r="AKM167" s="236"/>
      <c r="AKN167" s="236"/>
      <c r="AKO167" s="236"/>
      <c r="AKP167" s="236"/>
      <c r="AKQ167" s="236"/>
      <c r="AKR167" s="236"/>
      <c r="AKS167" s="236"/>
      <c r="AKT167" s="236"/>
      <c r="AKU167" s="236"/>
      <c r="AKV167" s="236"/>
      <c r="AKW167" s="236"/>
      <c r="AKX167" s="236"/>
      <c r="AKY167" s="236"/>
      <c r="AKZ167" s="236"/>
      <c r="ALA167" s="236"/>
      <c r="ALB167" s="236"/>
      <c r="ALC167" s="236"/>
      <c r="ALD167" s="236"/>
      <c r="ALE167" s="236"/>
      <c r="ALF167" s="236"/>
      <c r="ALG167" s="236"/>
      <c r="ALH167" s="236"/>
      <c r="ALI167" s="236"/>
      <c r="ALJ167" s="236"/>
      <c r="ALK167" s="236"/>
      <c r="ALL167" s="236"/>
      <c r="ALM167" s="236"/>
      <c r="ALN167" s="236"/>
      <c r="ALO167" s="236"/>
      <c r="ALP167" s="236"/>
      <c r="ALQ167" s="236"/>
      <c r="ALR167" s="236"/>
      <c r="ALS167" s="236"/>
      <c r="ALT167" s="236"/>
      <c r="ALU167" s="236"/>
      <c r="ALV167" s="236"/>
      <c r="ALW167" s="236"/>
      <c r="ALX167" s="236"/>
      <c r="ALY167" s="236"/>
      <c r="ALZ167" s="236"/>
      <c r="AMA167" s="236"/>
      <c r="AMB167" s="236"/>
      <c r="AMC167" s="236"/>
      <c r="AMD167" s="236"/>
      <c r="AME167" s="236"/>
      <c r="AMF167" s="236"/>
      <c r="AMG167" s="236"/>
      <c r="AMH167" s="236"/>
      <c r="AMI167" s="236"/>
      <c r="AMJ167" s="236"/>
      <c r="AMK167" s="236"/>
      <c r="AML167" s="236"/>
      <c r="AMM167" s="236"/>
    </row>
    <row r="168" spans="1:1027" ht="11.25" customHeight="1">
      <c r="A168" s="1386" t="s">
        <v>656</v>
      </c>
      <c r="B168" s="1387"/>
      <c r="C168" s="1387"/>
      <c r="D168" s="1387"/>
      <c r="E168" s="1387"/>
      <c r="F168" s="1387"/>
      <c r="G168" s="1387"/>
      <c r="H168" s="1387"/>
      <c r="I168" s="1387"/>
      <c r="J168" s="1387"/>
      <c r="K168" s="1387"/>
      <c r="L168" s="1388"/>
      <c r="M168" s="275"/>
      <c r="N168" s="280" t="s">
        <v>650</v>
      </c>
      <c r="O168" s="280"/>
      <c r="P168" s="281"/>
      <c r="Q168" s="281"/>
      <c r="R168" s="281"/>
      <c r="S168" s="281"/>
      <c r="T168" s="281"/>
      <c r="U168" s="281"/>
      <c r="V168" s="281"/>
      <c r="W168" s="281"/>
      <c r="X168" s="282"/>
      <c r="Y168" s="282"/>
      <c r="Z168" s="282"/>
      <c r="AA168" s="281"/>
      <c r="AB168" s="282"/>
      <c r="AC168" s="282"/>
      <c r="AD168" s="281"/>
      <c r="AE168" s="281"/>
      <c r="AF168" s="281"/>
      <c r="AG168" s="281"/>
      <c r="AH168" s="281"/>
      <c r="AI168" s="281"/>
      <c r="AJ168" s="275"/>
      <c r="AK168" s="275"/>
      <c r="AL168" s="275"/>
      <c r="AM168" s="279"/>
      <c r="AN168" s="262"/>
      <c r="AO168" s="262"/>
      <c r="AP168" s="262"/>
      <c r="AQ168" s="262"/>
      <c r="AR168" s="262"/>
      <c r="AS168" s="262"/>
      <c r="AT168" s="262"/>
      <c r="AU168" s="262"/>
      <c r="AV168" s="262"/>
      <c r="AW168" s="262"/>
      <c r="AX168" s="262"/>
      <c r="AY168" s="236"/>
      <c r="AZ168" s="236"/>
      <c r="BA168" s="236"/>
      <c r="BB168" s="236"/>
      <c r="BC168" s="236"/>
      <c r="BD168" s="236"/>
      <c r="BE168" s="236"/>
      <c r="BF168" s="236"/>
      <c r="BG168" s="236"/>
      <c r="BH168" s="236"/>
      <c r="BI168" s="236"/>
      <c r="BJ168" s="236"/>
      <c r="BK168" s="236"/>
      <c r="BL168" s="236"/>
      <c r="BM168" s="236"/>
      <c r="BN168" s="236"/>
      <c r="BO168" s="236"/>
      <c r="BP168" s="236"/>
      <c r="BQ168" s="236"/>
      <c r="BR168" s="236"/>
      <c r="BS168" s="236"/>
      <c r="BT168" s="236"/>
      <c r="BU168" s="236"/>
      <c r="BV168" s="236"/>
      <c r="BW168" s="236"/>
      <c r="BX168" s="236"/>
      <c r="BY168" s="236"/>
      <c r="BZ168" s="236"/>
      <c r="CA168" s="236"/>
      <c r="CB168" s="236"/>
      <c r="CC168" s="236"/>
      <c r="CD168" s="236"/>
      <c r="CE168" s="236"/>
      <c r="CF168" s="236"/>
      <c r="CG168" s="236"/>
      <c r="CH168" s="236"/>
      <c r="CI168" s="236"/>
      <c r="CJ168" s="236"/>
      <c r="CK168" s="236"/>
      <c r="CL168" s="236"/>
      <c r="CM168" s="236"/>
      <c r="CN168" s="236"/>
      <c r="CO168" s="236"/>
      <c r="CP168" s="236"/>
      <c r="CQ168" s="236"/>
      <c r="CR168" s="236"/>
      <c r="CS168" s="236"/>
      <c r="CT168" s="236"/>
      <c r="CU168" s="236"/>
      <c r="CV168" s="236"/>
      <c r="CW168" s="236"/>
      <c r="CX168" s="236"/>
      <c r="CY168" s="236"/>
      <c r="CZ168" s="236"/>
      <c r="DA168" s="236"/>
      <c r="DB168" s="236"/>
      <c r="DC168" s="236"/>
      <c r="DD168" s="236"/>
      <c r="DE168" s="236"/>
      <c r="DF168" s="236"/>
      <c r="DG168" s="236"/>
      <c r="DH168" s="236"/>
      <c r="DI168" s="236"/>
      <c r="DJ168" s="236"/>
      <c r="DK168" s="236"/>
      <c r="DL168" s="236"/>
      <c r="DM168" s="236"/>
      <c r="DN168" s="236"/>
      <c r="DO168" s="236"/>
      <c r="DP168" s="236"/>
      <c r="DQ168" s="236"/>
      <c r="DR168" s="236"/>
      <c r="DS168" s="236"/>
      <c r="DT168" s="236"/>
      <c r="DU168" s="236"/>
      <c r="DV168" s="236"/>
      <c r="DW168" s="236"/>
      <c r="DX168" s="236"/>
      <c r="DY168" s="236"/>
      <c r="DZ168" s="236"/>
      <c r="EA168" s="236"/>
      <c r="EB168" s="236"/>
      <c r="EC168" s="236"/>
      <c r="ED168" s="236"/>
      <c r="EE168" s="236"/>
      <c r="EF168" s="236"/>
      <c r="EG168" s="236"/>
      <c r="EH168" s="236"/>
      <c r="EI168" s="236"/>
      <c r="EJ168" s="236"/>
      <c r="EK168" s="236"/>
      <c r="EL168" s="236"/>
      <c r="EM168" s="236"/>
      <c r="EN168" s="236"/>
      <c r="EO168" s="236"/>
      <c r="EP168" s="236"/>
      <c r="EQ168" s="236"/>
      <c r="ER168" s="236"/>
      <c r="ES168" s="236"/>
      <c r="ET168" s="236"/>
      <c r="EU168" s="236"/>
      <c r="EV168" s="236"/>
      <c r="EW168" s="236"/>
      <c r="EX168" s="236"/>
      <c r="EY168" s="236"/>
      <c r="EZ168" s="236"/>
      <c r="FA168" s="236"/>
      <c r="FB168" s="236"/>
      <c r="FC168" s="236"/>
      <c r="FD168" s="236"/>
      <c r="FE168" s="236"/>
      <c r="FF168" s="236"/>
      <c r="FG168" s="236"/>
      <c r="FH168" s="236"/>
      <c r="FI168" s="236"/>
      <c r="FJ168" s="236"/>
      <c r="FK168" s="236"/>
      <c r="FL168" s="236"/>
      <c r="FM168" s="236"/>
      <c r="FN168" s="236"/>
      <c r="FO168" s="236"/>
      <c r="FP168" s="236"/>
      <c r="FQ168" s="236"/>
      <c r="FR168" s="236"/>
      <c r="FS168" s="236"/>
      <c r="FT168" s="236"/>
      <c r="FU168" s="236"/>
      <c r="FV168" s="236"/>
      <c r="FW168" s="236"/>
      <c r="FX168" s="236"/>
      <c r="FY168" s="236"/>
      <c r="FZ168" s="236"/>
      <c r="GA168" s="236"/>
      <c r="GB168" s="236"/>
      <c r="GC168" s="236"/>
      <c r="GD168" s="236"/>
      <c r="GE168" s="236"/>
      <c r="GF168" s="236"/>
      <c r="GG168" s="236"/>
      <c r="GH168" s="236"/>
      <c r="GI168" s="236"/>
      <c r="GJ168" s="236"/>
      <c r="GK168" s="236"/>
      <c r="GL168" s="236"/>
      <c r="GM168" s="236"/>
      <c r="GN168" s="236"/>
      <c r="GO168" s="236"/>
      <c r="GP168" s="236"/>
      <c r="GQ168" s="236"/>
      <c r="GR168" s="236"/>
      <c r="GS168" s="236"/>
      <c r="GT168" s="236"/>
      <c r="GU168" s="236"/>
      <c r="GV168" s="236"/>
      <c r="GW168" s="236"/>
      <c r="GX168" s="236"/>
      <c r="GY168" s="236"/>
      <c r="GZ168" s="236"/>
      <c r="HA168" s="236"/>
      <c r="HB168" s="236"/>
      <c r="HC168" s="236"/>
      <c r="HD168" s="236"/>
      <c r="HE168" s="236"/>
      <c r="HF168" s="236"/>
      <c r="HG168" s="236"/>
      <c r="HH168" s="236"/>
      <c r="HI168" s="236"/>
      <c r="HJ168" s="236"/>
      <c r="HK168" s="236"/>
      <c r="HL168" s="236"/>
      <c r="HM168" s="236"/>
      <c r="HN168" s="236"/>
      <c r="HO168" s="236"/>
      <c r="HP168" s="236"/>
      <c r="HQ168" s="236"/>
      <c r="HR168" s="236"/>
      <c r="HS168" s="236"/>
      <c r="HT168" s="236"/>
      <c r="HU168" s="236"/>
      <c r="HV168" s="236"/>
      <c r="HW168" s="236"/>
      <c r="HX168" s="236"/>
      <c r="HY168" s="236"/>
      <c r="HZ168" s="236"/>
      <c r="IA168" s="236"/>
      <c r="IB168" s="236"/>
      <c r="IC168" s="236"/>
      <c r="ID168" s="236"/>
      <c r="IE168" s="236"/>
      <c r="IF168" s="236"/>
      <c r="IG168" s="236"/>
      <c r="IH168" s="236"/>
      <c r="II168" s="236"/>
      <c r="IJ168" s="236"/>
      <c r="IK168" s="236"/>
      <c r="IL168" s="236"/>
      <c r="IM168" s="236"/>
      <c r="IN168" s="236"/>
      <c r="IO168" s="236"/>
      <c r="IP168" s="236"/>
      <c r="IQ168" s="236"/>
      <c r="IR168" s="236"/>
      <c r="IS168" s="236"/>
      <c r="IT168" s="236"/>
      <c r="IU168" s="236"/>
      <c r="IV168" s="236"/>
      <c r="IW168" s="236"/>
      <c r="IX168" s="236"/>
      <c r="IY168" s="236"/>
      <c r="IZ168" s="236"/>
      <c r="JA168" s="236"/>
      <c r="JB168" s="236"/>
      <c r="JC168" s="236"/>
      <c r="JD168" s="236"/>
      <c r="JE168" s="236"/>
      <c r="JF168" s="236"/>
      <c r="JG168" s="236"/>
      <c r="JH168" s="236"/>
      <c r="JI168" s="236"/>
      <c r="JJ168" s="236"/>
      <c r="JK168" s="236"/>
      <c r="JL168" s="236"/>
      <c r="JM168" s="236"/>
      <c r="JN168" s="236"/>
      <c r="JO168" s="236"/>
      <c r="JP168" s="236"/>
      <c r="JQ168" s="236"/>
      <c r="JR168" s="236"/>
      <c r="JS168" s="236"/>
      <c r="JT168" s="236"/>
      <c r="JU168" s="236"/>
      <c r="JV168" s="236"/>
      <c r="JW168" s="236"/>
      <c r="JX168" s="236"/>
      <c r="JY168" s="236"/>
      <c r="JZ168" s="236"/>
      <c r="KA168" s="236"/>
      <c r="KB168" s="236"/>
      <c r="KC168" s="236"/>
      <c r="KD168" s="236"/>
      <c r="KE168" s="236"/>
      <c r="KF168" s="236"/>
      <c r="KG168" s="236"/>
      <c r="KH168" s="236"/>
      <c r="KI168" s="236"/>
      <c r="KJ168" s="236"/>
      <c r="KK168" s="236"/>
      <c r="KL168" s="236"/>
      <c r="KM168" s="236"/>
      <c r="KN168" s="236"/>
      <c r="KO168" s="236"/>
      <c r="KP168" s="236"/>
      <c r="KQ168" s="236"/>
      <c r="KR168" s="236"/>
      <c r="KS168" s="236"/>
      <c r="KT168" s="236"/>
      <c r="KU168" s="236"/>
      <c r="KV168" s="236"/>
      <c r="KW168" s="236"/>
      <c r="KX168" s="236"/>
      <c r="KY168" s="236"/>
      <c r="KZ168" s="236"/>
      <c r="LA168" s="236"/>
      <c r="LB168" s="236"/>
      <c r="LC168" s="236"/>
      <c r="LD168" s="236"/>
      <c r="LE168" s="236"/>
      <c r="LF168" s="236"/>
      <c r="LG168" s="236"/>
      <c r="LH168" s="236"/>
      <c r="LI168" s="236"/>
      <c r="LJ168" s="236"/>
      <c r="LK168" s="236"/>
      <c r="LL168" s="236"/>
      <c r="LM168" s="236"/>
      <c r="LN168" s="236"/>
      <c r="LO168" s="236"/>
      <c r="LP168" s="236"/>
      <c r="LQ168" s="236"/>
      <c r="LR168" s="236"/>
      <c r="LS168" s="236"/>
      <c r="LT168" s="236"/>
      <c r="LU168" s="236"/>
      <c r="LV168" s="236"/>
      <c r="LW168" s="236"/>
      <c r="LX168" s="236"/>
      <c r="LY168" s="236"/>
      <c r="LZ168" s="236"/>
      <c r="MA168" s="236"/>
      <c r="MB168" s="236"/>
      <c r="MC168" s="236"/>
      <c r="MD168" s="236"/>
      <c r="ME168" s="236"/>
      <c r="MF168" s="236"/>
      <c r="MG168" s="236"/>
      <c r="MH168" s="236"/>
      <c r="MI168" s="236"/>
      <c r="MJ168" s="236"/>
      <c r="MK168" s="236"/>
      <c r="ML168" s="236"/>
      <c r="MM168" s="236"/>
      <c r="MN168" s="236"/>
      <c r="MO168" s="236"/>
      <c r="MP168" s="236"/>
      <c r="MQ168" s="236"/>
      <c r="MR168" s="236"/>
      <c r="MS168" s="236"/>
      <c r="MT168" s="236"/>
      <c r="MU168" s="236"/>
      <c r="MV168" s="236"/>
      <c r="MW168" s="236"/>
      <c r="MX168" s="236"/>
      <c r="MY168" s="236"/>
      <c r="MZ168" s="236"/>
      <c r="NA168" s="236"/>
      <c r="NB168" s="236"/>
      <c r="NC168" s="236"/>
      <c r="ND168" s="236"/>
      <c r="NE168" s="236"/>
      <c r="NF168" s="236"/>
      <c r="NG168" s="236"/>
      <c r="NH168" s="236"/>
      <c r="NI168" s="236"/>
      <c r="NJ168" s="236"/>
      <c r="NK168" s="236"/>
      <c r="NL168" s="236"/>
      <c r="NM168" s="236"/>
      <c r="NN168" s="236"/>
      <c r="NO168" s="236"/>
      <c r="NP168" s="236"/>
      <c r="NQ168" s="236"/>
      <c r="NR168" s="236"/>
      <c r="NS168" s="236"/>
      <c r="NT168" s="236"/>
      <c r="NU168" s="236"/>
      <c r="NV168" s="236"/>
      <c r="NW168" s="236"/>
      <c r="NX168" s="236"/>
      <c r="NY168" s="236"/>
      <c r="NZ168" s="236"/>
      <c r="OA168" s="236"/>
      <c r="OB168" s="236"/>
      <c r="OC168" s="236"/>
      <c r="OD168" s="236"/>
      <c r="OE168" s="236"/>
      <c r="OF168" s="236"/>
      <c r="OG168" s="236"/>
      <c r="OH168" s="236"/>
      <c r="OI168" s="236"/>
      <c r="OJ168" s="236"/>
      <c r="OK168" s="236"/>
      <c r="OL168" s="236"/>
      <c r="OM168" s="236"/>
      <c r="ON168" s="236"/>
      <c r="OO168" s="236"/>
      <c r="OP168" s="236"/>
      <c r="OQ168" s="236"/>
      <c r="OR168" s="236"/>
      <c r="OS168" s="236"/>
      <c r="OT168" s="236"/>
      <c r="OU168" s="236"/>
      <c r="OV168" s="236"/>
      <c r="OW168" s="236"/>
      <c r="OX168" s="236"/>
      <c r="OY168" s="236"/>
      <c r="OZ168" s="236"/>
      <c r="PA168" s="236"/>
      <c r="PB168" s="236"/>
      <c r="PC168" s="236"/>
      <c r="PD168" s="236"/>
      <c r="PE168" s="236"/>
      <c r="PF168" s="236"/>
      <c r="PG168" s="236"/>
      <c r="PH168" s="236"/>
      <c r="PI168" s="236"/>
      <c r="PJ168" s="236"/>
      <c r="PK168" s="236"/>
      <c r="PL168" s="236"/>
      <c r="PM168" s="236"/>
      <c r="PN168" s="236"/>
      <c r="PO168" s="236"/>
      <c r="PP168" s="236"/>
      <c r="PQ168" s="236"/>
      <c r="PR168" s="236"/>
      <c r="PS168" s="236"/>
      <c r="PT168" s="236"/>
      <c r="PU168" s="236"/>
      <c r="PV168" s="236"/>
      <c r="PW168" s="236"/>
      <c r="PX168" s="236"/>
      <c r="PY168" s="236"/>
      <c r="PZ168" s="236"/>
      <c r="QA168" s="236"/>
      <c r="QB168" s="236"/>
      <c r="QC168" s="236"/>
      <c r="QD168" s="236"/>
      <c r="QE168" s="236"/>
      <c r="QF168" s="236"/>
      <c r="QG168" s="236"/>
      <c r="QH168" s="236"/>
      <c r="QI168" s="236"/>
      <c r="QJ168" s="236"/>
      <c r="QK168" s="236"/>
      <c r="QL168" s="236"/>
      <c r="QM168" s="236"/>
      <c r="QN168" s="236"/>
      <c r="QO168" s="236"/>
      <c r="QP168" s="236"/>
      <c r="QQ168" s="236"/>
      <c r="QR168" s="236"/>
      <c r="QS168" s="236"/>
      <c r="QT168" s="236"/>
      <c r="QU168" s="236"/>
      <c r="QV168" s="236"/>
      <c r="QW168" s="236"/>
      <c r="QX168" s="236"/>
      <c r="QY168" s="236"/>
      <c r="QZ168" s="236"/>
      <c r="RA168" s="236"/>
      <c r="RB168" s="236"/>
      <c r="RC168" s="236"/>
      <c r="RD168" s="236"/>
      <c r="RE168" s="236"/>
      <c r="RF168" s="236"/>
      <c r="RG168" s="236"/>
      <c r="RH168" s="236"/>
      <c r="RI168" s="236"/>
      <c r="RJ168" s="236"/>
      <c r="RK168" s="236"/>
      <c r="RL168" s="236"/>
      <c r="RM168" s="236"/>
      <c r="RN168" s="236"/>
      <c r="RO168" s="236"/>
      <c r="RP168" s="236"/>
      <c r="RQ168" s="236"/>
      <c r="RR168" s="236"/>
      <c r="RS168" s="236"/>
      <c r="RT168" s="236"/>
      <c r="RU168" s="236"/>
      <c r="RV168" s="236"/>
      <c r="RW168" s="236"/>
      <c r="RX168" s="236"/>
      <c r="RY168" s="236"/>
      <c r="RZ168" s="236"/>
      <c r="SA168" s="236"/>
      <c r="SB168" s="236"/>
      <c r="SC168" s="236"/>
      <c r="SD168" s="236"/>
      <c r="SE168" s="236"/>
      <c r="SF168" s="236"/>
      <c r="SG168" s="236"/>
      <c r="SH168" s="236"/>
      <c r="SI168" s="236"/>
      <c r="SJ168" s="236"/>
      <c r="SK168" s="236"/>
      <c r="SL168" s="236"/>
      <c r="SM168" s="236"/>
      <c r="SN168" s="236"/>
      <c r="SO168" s="236"/>
      <c r="SP168" s="236"/>
      <c r="SQ168" s="236"/>
      <c r="SR168" s="236"/>
      <c r="SS168" s="236"/>
      <c r="ST168" s="236"/>
      <c r="SU168" s="236"/>
      <c r="SV168" s="236"/>
      <c r="SW168" s="236"/>
      <c r="SX168" s="236"/>
      <c r="SY168" s="236"/>
      <c r="SZ168" s="236"/>
      <c r="TA168" s="236"/>
      <c r="TB168" s="236"/>
      <c r="TC168" s="236"/>
      <c r="TD168" s="236"/>
      <c r="TE168" s="236"/>
      <c r="TF168" s="236"/>
      <c r="TG168" s="236"/>
      <c r="TH168" s="236"/>
      <c r="TI168" s="236"/>
      <c r="TJ168" s="236"/>
      <c r="TK168" s="236"/>
      <c r="TL168" s="236"/>
      <c r="TM168" s="236"/>
      <c r="TN168" s="236"/>
      <c r="TO168" s="236"/>
      <c r="TP168" s="236"/>
      <c r="TQ168" s="236"/>
      <c r="TR168" s="236"/>
      <c r="TS168" s="236"/>
      <c r="TT168" s="236"/>
      <c r="TU168" s="236"/>
      <c r="TV168" s="236"/>
      <c r="TW168" s="236"/>
      <c r="TX168" s="236"/>
      <c r="TY168" s="236"/>
      <c r="TZ168" s="236"/>
      <c r="UA168" s="236"/>
      <c r="UB168" s="236"/>
      <c r="UC168" s="236"/>
      <c r="UD168" s="236"/>
      <c r="UE168" s="236"/>
      <c r="UF168" s="236"/>
      <c r="UG168" s="236"/>
      <c r="UH168" s="236"/>
      <c r="UI168" s="236"/>
      <c r="UJ168" s="236"/>
      <c r="UK168" s="236"/>
      <c r="UL168" s="236"/>
      <c r="UM168" s="236"/>
      <c r="UN168" s="236"/>
      <c r="UO168" s="236"/>
      <c r="UP168" s="236"/>
      <c r="UQ168" s="236"/>
      <c r="UR168" s="236"/>
      <c r="US168" s="236"/>
      <c r="UT168" s="236"/>
      <c r="UU168" s="236"/>
      <c r="UV168" s="236"/>
      <c r="UW168" s="236"/>
      <c r="UX168" s="236"/>
      <c r="UY168" s="236"/>
      <c r="UZ168" s="236"/>
      <c r="VA168" s="236"/>
      <c r="VB168" s="236"/>
      <c r="VC168" s="236"/>
      <c r="VD168" s="236"/>
      <c r="VE168" s="236"/>
      <c r="VF168" s="236"/>
      <c r="VG168" s="236"/>
      <c r="VH168" s="236"/>
      <c r="VI168" s="236"/>
      <c r="VJ168" s="236"/>
      <c r="VK168" s="236"/>
      <c r="VL168" s="236"/>
      <c r="VM168" s="236"/>
      <c r="VN168" s="236"/>
      <c r="VO168" s="236"/>
      <c r="VP168" s="236"/>
      <c r="VQ168" s="236"/>
      <c r="VR168" s="236"/>
      <c r="VS168" s="236"/>
      <c r="VT168" s="236"/>
      <c r="VU168" s="236"/>
      <c r="VV168" s="236"/>
      <c r="VW168" s="236"/>
      <c r="VX168" s="236"/>
      <c r="VY168" s="236"/>
      <c r="VZ168" s="236"/>
      <c r="WA168" s="236"/>
      <c r="WB168" s="236"/>
      <c r="WC168" s="236"/>
      <c r="WD168" s="236"/>
      <c r="WE168" s="236"/>
      <c r="WF168" s="236"/>
      <c r="WG168" s="236"/>
      <c r="WH168" s="236"/>
      <c r="WI168" s="236"/>
      <c r="WJ168" s="236"/>
      <c r="WK168" s="236"/>
      <c r="WL168" s="236"/>
      <c r="WM168" s="236"/>
      <c r="WN168" s="236"/>
      <c r="WO168" s="236"/>
      <c r="WP168" s="236"/>
      <c r="WQ168" s="236"/>
      <c r="WR168" s="236"/>
      <c r="WS168" s="236"/>
      <c r="WT168" s="236"/>
      <c r="WU168" s="236"/>
      <c r="WV168" s="236"/>
      <c r="WW168" s="236"/>
      <c r="WX168" s="236"/>
      <c r="WY168" s="236"/>
      <c r="WZ168" s="236"/>
      <c r="XA168" s="236"/>
      <c r="XB168" s="236"/>
      <c r="XC168" s="236"/>
      <c r="XD168" s="236"/>
      <c r="XE168" s="236"/>
      <c r="XF168" s="236"/>
      <c r="XG168" s="236"/>
      <c r="XH168" s="236"/>
      <c r="XI168" s="236"/>
      <c r="XJ168" s="236"/>
      <c r="XK168" s="236"/>
      <c r="XL168" s="236"/>
      <c r="XM168" s="236"/>
      <c r="XN168" s="236"/>
      <c r="XO168" s="236"/>
      <c r="XP168" s="236"/>
      <c r="XQ168" s="236"/>
      <c r="XR168" s="236"/>
      <c r="XS168" s="236"/>
      <c r="XT168" s="236"/>
      <c r="XU168" s="236"/>
      <c r="XV168" s="236"/>
      <c r="XW168" s="236"/>
      <c r="XX168" s="236"/>
      <c r="XY168" s="236"/>
      <c r="XZ168" s="236"/>
      <c r="YA168" s="236"/>
      <c r="YB168" s="236"/>
      <c r="YC168" s="236"/>
      <c r="YD168" s="236"/>
      <c r="YE168" s="236"/>
      <c r="YF168" s="236"/>
      <c r="YG168" s="236"/>
      <c r="YH168" s="236"/>
      <c r="YI168" s="236"/>
      <c r="YJ168" s="236"/>
      <c r="YK168" s="236"/>
      <c r="YL168" s="236"/>
      <c r="YM168" s="236"/>
      <c r="YN168" s="236"/>
      <c r="YO168" s="236"/>
      <c r="YP168" s="236"/>
      <c r="YQ168" s="236"/>
      <c r="YR168" s="236"/>
      <c r="YS168" s="236"/>
      <c r="YT168" s="236"/>
      <c r="YU168" s="236"/>
      <c r="YV168" s="236"/>
      <c r="YW168" s="236"/>
      <c r="YX168" s="236"/>
      <c r="YY168" s="236"/>
      <c r="YZ168" s="236"/>
      <c r="ZA168" s="236"/>
      <c r="ZB168" s="236"/>
      <c r="ZC168" s="236"/>
      <c r="ZD168" s="236"/>
      <c r="ZE168" s="236"/>
      <c r="ZF168" s="236"/>
      <c r="ZG168" s="236"/>
      <c r="ZH168" s="236"/>
      <c r="ZI168" s="236"/>
      <c r="ZJ168" s="236"/>
      <c r="ZK168" s="236"/>
      <c r="ZL168" s="236"/>
      <c r="ZM168" s="236"/>
      <c r="ZN168" s="236"/>
      <c r="ZO168" s="236"/>
      <c r="ZP168" s="236"/>
      <c r="ZQ168" s="236"/>
      <c r="ZR168" s="236"/>
      <c r="ZS168" s="236"/>
      <c r="ZT168" s="236"/>
      <c r="ZU168" s="236"/>
      <c r="ZV168" s="236"/>
      <c r="ZW168" s="236"/>
      <c r="ZX168" s="236"/>
      <c r="ZY168" s="236"/>
      <c r="ZZ168" s="236"/>
      <c r="AAA168" s="236"/>
      <c r="AAB168" s="236"/>
      <c r="AAC168" s="236"/>
      <c r="AAD168" s="236"/>
      <c r="AAE168" s="236"/>
      <c r="AAF168" s="236"/>
      <c r="AAG168" s="236"/>
      <c r="AAH168" s="236"/>
      <c r="AAI168" s="236"/>
      <c r="AAJ168" s="236"/>
      <c r="AAK168" s="236"/>
      <c r="AAL168" s="236"/>
      <c r="AAM168" s="236"/>
      <c r="AAN168" s="236"/>
      <c r="AAO168" s="236"/>
      <c r="AAP168" s="236"/>
      <c r="AAQ168" s="236"/>
      <c r="AAR168" s="236"/>
      <c r="AAS168" s="236"/>
      <c r="AAT168" s="236"/>
      <c r="AAU168" s="236"/>
      <c r="AAV168" s="236"/>
      <c r="AAW168" s="236"/>
      <c r="AAX168" s="236"/>
      <c r="AAY168" s="236"/>
      <c r="AAZ168" s="236"/>
      <c r="ABA168" s="236"/>
      <c r="ABB168" s="236"/>
      <c r="ABC168" s="236"/>
      <c r="ABD168" s="236"/>
      <c r="ABE168" s="236"/>
      <c r="ABF168" s="236"/>
      <c r="ABG168" s="236"/>
      <c r="ABH168" s="236"/>
      <c r="ABI168" s="236"/>
      <c r="ABJ168" s="236"/>
      <c r="ABK168" s="236"/>
      <c r="ABL168" s="236"/>
      <c r="ABM168" s="236"/>
      <c r="ABN168" s="236"/>
      <c r="ABO168" s="236"/>
      <c r="ABP168" s="236"/>
      <c r="ABQ168" s="236"/>
      <c r="ABR168" s="236"/>
      <c r="ABS168" s="236"/>
      <c r="ABT168" s="236"/>
      <c r="ABU168" s="236"/>
      <c r="ABV168" s="236"/>
      <c r="ABW168" s="236"/>
      <c r="ABX168" s="236"/>
      <c r="ABY168" s="236"/>
      <c r="ABZ168" s="236"/>
      <c r="ACA168" s="236"/>
      <c r="ACB168" s="236"/>
      <c r="ACC168" s="236"/>
      <c r="ACD168" s="236"/>
      <c r="ACE168" s="236"/>
      <c r="ACF168" s="236"/>
      <c r="ACG168" s="236"/>
      <c r="ACH168" s="236"/>
      <c r="ACI168" s="236"/>
      <c r="ACJ168" s="236"/>
      <c r="ACK168" s="236"/>
      <c r="ACL168" s="236"/>
      <c r="ACM168" s="236"/>
      <c r="ACN168" s="236"/>
      <c r="ACO168" s="236"/>
      <c r="ACP168" s="236"/>
      <c r="ACQ168" s="236"/>
      <c r="ACR168" s="236"/>
      <c r="ACS168" s="236"/>
      <c r="ACT168" s="236"/>
      <c r="ACU168" s="236"/>
      <c r="ACV168" s="236"/>
      <c r="ACW168" s="236"/>
      <c r="ACX168" s="236"/>
      <c r="ACY168" s="236"/>
      <c r="ACZ168" s="236"/>
      <c r="ADA168" s="236"/>
      <c r="ADB168" s="236"/>
      <c r="ADC168" s="236"/>
      <c r="ADD168" s="236"/>
      <c r="ADE168" s="236"/>
      <c r="ADF168" s="236"/>
      <c r="ADG168" s="236"/>
      <c r="ADH168" s="236"/>
      <c r="ADI168" s="236"/>
      <c r="ADJ168" s="236"/>
      <c r="ADK168" s="236"/>
      <c r="ADL168" s="236"/>
      <c r="ADM168" s="236"/>
      <c r="ADN168" s="236"/>
      <c r="ADO168" s="236"/>
      <c r="ADP168" s="236"/>
      <c r="ADQ168" s="236"/>
      <c r="ADR168" s="236"/>
      <c r="ADS168" s="236"/>
      <c r="ADT168" s="236"/>
      <c r="ADU168" s="236"/>
      <c r="ADV168" s="236"/>
      <c r="ADW168" s="236"/>
      <c r="ADX168" s="236"/>
      <c r="ADY168" s="236"/>
      <c r="ADZ168" s="236"/>
      <c r="AEA168" s="236"/>
      <c r="AEB168" s="236"/>
      <c r="AEC168" s="236"/>
      <c r="AED168" s="236"/>
      <c r="AEE168" s="236"/>
      <c r="AEF168" s="236"/>
      <c r="AEG168" s="236"/>
      <c r="AEH168" s="236"/>
      <c r="AEI168" s="236"/>
      <c r="AEJ168" s="236"/>
      <c r="AEK168" s="236"/>
      <c r="AEL168" s="236"/>
      <c r="AEM168" s="236"/>
      <c r="AEN168" s="236"/>
      <c r="AEO168" s="236"/>
      <c r="AEP168" s="236"/>
      <c r="AEQ168" s="236"/>
      <c r="AER168" s="236"/>
      <c r="AES168" s="236"/>
      <c r="AET168" s="236"/>
      <c r="AEU168" s="236"/>
      <c r="AEV168" s="236"/>
      <c r="AEW168" s="236"/>
      <c r="AEX168" s="236"/>
      <c r="AEY168" s="236"/>
      <c r="AEZ168" s="236"/>
      <c r="AFA168" s="236"/>
      <c r="AFB168" s="236"/>
      <c r="AFC168" s="236"/>
      <c r="AFD168" s="236"/>
      <c r="AFE168" s="236"/>
      <c r="AFF168" s="236"/>
      <c r="AFG168" s="236"/>
      <c r="AFH168" s="236"/>
      <c r="AFI168" s="236"/>
      <c r="AFJ168" s="236"/>
      <c r="AFK168" s="236"/>
      <c r="AFL168" s="236"/>
      <c r="AFM168" s="236"/>
      <c r="AFN168" s="236"/>
      <c r="AFO168" s="236"/>
      <c r="AFP168" s="236"/>
      <c r="AFQ168" s="236"/>
      <c r="AFR168" s="236"/>
      <c r="AFS168" s="236"/>
      <c r="AFT168" s="236"/>
      <c r="AFU168" s="236"/>
      <c r="AFV168" s="236"/>
      <c r="AFW168" s="236"/>
      <c r="AFX168" s="236"/>
      <c r="AFY168" s="236"/>
      <c r="AFZ168" s="236"/>
      <c r="AGA168" s="236"/>
      <c r="AGB168" s="236"/>
      <c r="AGC168" s="236"/>
      <c r="AGD168" s="236"/>
      <c r="AGE168" s="236"/>
      <c r="AGF168" s="236"/>
      <c r="AGG168" s="236"/>
      <c r="AGH168" s="236"/>
      <c r="AGI168" s="236"/>
      <c r="AGJ168" s="236"/>
      <c r="AGK168" s="236"/>
      <c r="AGL168" s="236"/>
      <c r="AGM168" s="236"/>
      <c r="AGN168" s="236"/>
      <c r="AGO168" s="236"/>
      <c r="AGP168" s="236"/>
      <c r="AGQ168" s="236"/>
      <c r="AGR168" s="236"/>
      <c r="AGS168" s="236"/>
      <c r="AGT168" s="236"/>
      <c r="AGU168" s="236"/>
      <c r="AGV168" s="236"/>
      <c r="AGW168" s="236"/>
      <c r="AGX168" s="236"/>
      <c r="AGY168" s="236"/>
      <c r="AGZ168" s="236"/>
      <c r="AHA168" s="236"/>
      <c r="AHB168" s="236"/>
      <c r="AHC168" s="236"/>
      <c r="AHD168" s="236"/>
      <c r="AHE168" s="236"/>
      <c r="AHF168" s="236"/>
      <c r="AHG168" s="236"/>
      <c r="AHH168" s="236"/>
      <c r="AHI168" s="236"/>
      <c r="AHJ168" s="236"/>
      <c r="AHK168" s="236"/>
      <c r="AHL168" s="236"/>
      <c r="AHM168" s="236"/>
      <c r="AHN168" s="236"/>
      <c r="AHO168" s="236"/>
      <c r="AHP168" s="236"/>
      <c r="AHQ168" s="236"/>
      <c r="AHR168" s="236"/>
      <c r="AHS168" s="236"/>
      <c r="AHT168" s="236"/>
      <c r="AHU168" s="236"/>
      <c r="AHV168" s="236"/>
      <c r="AHW168" s="236"/>
      <c r="AHX168" s="236"/>
      <c r="AHY168" s="236"/>
      <c r="AHZ168" s="236"/>
      <c r="AIA168" s="236"/>
      <c r="AIB168" s="236"/>
      <c r="AIC168" s="236"/>
      <c r="AID168" s="236"/>
      <c r="AIE168" s="236"/>
      <c r="AIF168" s="236"/>
      <c r="AIG168" s="236"/>
      <c r="AIH168" s="236"/>
      <c r="AII168" s="236"/>
      <c r="AIJ168" s="236"/>
      <c r="AIK168" s="236"/>
      <c r="AIL168" s="236"/>
      <c r="AIM168" s="236"/>
      <c r="AIN168" s="236"/>
      <c r="AIO168" s="236"/>
      <c r="AIP168" s="236"/>
      <c r="AIQ168" s="236"/>
      <c r="AIR168" s="236"/>
      <c r="AIS168" s="236"/>
      <c r="AIT168" s="236"/>
      <c r="AIU168" s="236"/>
      <c r="AIV168" s="236"/>
      <c r="AIW168" s="236"/>
      <c r="AIX168" s="236"/>
      <c r="AIY168" s="236"/>
      <c r="AIZ168" s="236"/>
      <c r="AJA168" s="236"/>
      <c r="AJB168" s="236"/>
      <c r="AJC168" s="236"/>
      <c r="AJD168" s="236"/>
      <c r="AJE168" s="236"/>
      <c r="AJF168" s="236"/>
      <c r="AJG168" s="236"/>
      <c r="AJH168" s="236"/>
      <c r="AJI168" s="236"/>
      <c r="AJJ168" s="236"/>
      <c r="AJK168" s="236"/>
      <c r="AJL168" s="236"/>
      <c r="AJM168" s="236"/>
      <c r="AJN168" s="236"/>
      <c r="AJO168" s="236"/>
      <c r="AJP168" s="236"/>
      <c r="AJQ168" s="236"/>
      <c r="AJR168" s="236"/>
      <c r="AJS168" s="236"/>
      <c r="AJT168" s="236"/>
      <c r="AJU168" s="236"/>
      <c r="AJV168" s="236"/>
      <c r="AJW168" s="236"/>
      <c r="AJX168" s="236"/>
      <c r="AJY168" s="236"/>
      <c r="AJZ168" s="236"/>
      <c r="AKA168" s="236"/>
      <c r="AKB168" s="236"/>
      <c r="AKC168" s="236"/>
      <c r="AKD168" s="236"/>
      <c r="AKE168" s="236"/>
      <c r="AKF168" s="236"/>
      <c r="AKG168" s="236"/>
      <c r="AKH168" s="236"/>
      <c r="AKI168" s="236"/>
      <c r="AKJ168" s="236"/>
      <c r="AKK168" s="236"/>
      <c r="AKL168" s="236"/>
      <c r="AKM168" s="236"/>
      <c r="AKN168" s="236"/>
      <c r="AKO168" s="236"/>
      <c r="AKP168" s="236"/>
      <c r="AKQ168" s="236"/>
      <c r="AKR168" s="236"/>
      <c r="AKS168" s="236"/>
      <c r="AKT168" s="236"/>
      <c r="AKU168" s="236"/>
      <c r="AKV168" s="236"/>
      <c r="AKW168" s="236"/>
      <c r="AKX168" s="236"/>
      <c r="AKY168" s="236"/>
      <c r="AKZ168" s="236"/>
      <c r="ALA168" s="236"/>
      <c r="ALB168" s="236"/>
      <c r="ALC168" s="236"/>
      <c r="ALD168" s="236"/>
      <c r="ALE168" s="236"/>
      <c r="ALF168" s="236"/>
      <c r="ALG168" s="236"/>
      <c r="ALH168" s="236"/>
      <c r="ALI168" s="236"/>
      <c r="ALJ168" s="236"/>
      <c r="ALK168" s="236"/>
      <c r="ALL168" s="236"/>
      <c r="ALM168" s="236"/>
      <c r="ALN168" s="236"/>
      <c r="ALO168" s="236"/>
      <c r="ALP168" s="236"/>
      <c r="ALQ168" s="236"/>
      <c r="ALR168" s="236"/>
      <c r="ALS168" s="236"/>
      <c r="ALT168" s="236"/>
      <c r="ALU168" s="236"/>
      <c r="ALV168" s="236"/>
      <c r="ALW168" s="236"/>
      <c r="ALX168" s="236"/>
      <c r="ALY168" s="236"/>
      <c r="ALZ168" s="236"/>
      <c r="AMA168" s="236"/>
      <c r="AMB168" s="236"/>
      <c r="AMC168" s="236"/>
      <c r="AMD168" s="236"/>
      <c r="AME168" s="236"/>
      <c r="AMF168" s="236"/>
      <c r="AMG168" s="236"/>
      <c r="AMH168" s="236"/>
      <c r="AMI168" s="236"/>
      <c r="AMJ168" s="236"/>
      <c r="AMK168" s="236"/>
      <c r="AML168" s="236"/>
      <c r="AMM168" s="236"/>
    </row>
    <row r="169" spans="1:1027">
      <c r="A169" s="1418"/>
      <c r="B169" s="1419"/>
      <c r="C169" s="1419"/>
      <c r="D169" s="1419"/>
      <c r="E169" s="1419"/>
      <c r="F169" s="1419"/>
      <c r="G169" s="1419"/>
      <c r="H169" s="1419"/>
      <c r="I169" s="1419"/>
      <c r="J169" s="1419"/>
      <c r="K169" s="1419"/>
      <c r="L169" s="1420"/>
      <c r="M169" s="283"/>
      <c r="N169" s="1392" t="s">
        <v>278</v>
      </c>
      <c r="O169" s="1393"/>
      <c r="P169" s="1393"/>
      <c r="Q169" s="1393"/>
      <c r="R169" s="1394"/>
      <c r="S169" s="284"/>
      <c r="T169" s="284"/>
      <c r="U169" s="284"/>
      <c r="V169" s="1392" t="s">
        <v>170</v>
      </c>
      <c r="W169" s="1393"/>
      <c r="X169" s="1393"/>
      <c r="Y169" s="1393"/>
      <c r="Z169" s="1394"/>
      <c r="AA169" s="1065"/>
      <c r="AB169" s="1392" t="s">
        <v>171</v>
      </c>
      <c r="AC169" s="1394"/>
      <c r="AD169" s="1392" t="s">
        <v>172</v>
      </c>
      <c r="AE169" s="1393"/>
      <c r="AF169" s="1393"/>
      <c r="AG169" s="1393"/>
      <c r="AH169" s="1393"/>
      <c r="AI169" s="1393"/>
      <c r="AJ169" s="1393"/>
      <c r="AK169" s="1393"/>
      <c r="AL169" s="1393"/>
      <c r="AM169" s="1394"/>
      <c r="AN169" s="262"/>
      <c r="AO169" s="262"/>
      <c r="AP169" s="262"/>
      <c r="AQ169" s="262"/>
      <c r="AR169" s="262"/>
      <c r="AS169" s="262"/>
      <c r="AT169" s="262"/>
      <c r="AU169" s="262"/>
      <c r="AV169" s="262"/>
      <c r="AW169" s="262"/>
      <c r="AX169" s="262"/>
      <c r="AY169" s="236"/>
      <c r="AZ169" s="236"/>
      <c r="BA169" s="236"/>
      <c r="BB169" s="236"/>
      <c r="BC169" s="236"/>
      <c r="BD169" s="236"/>
      <c r="BE169" s="236"/>
      <c r="BF169" s="236"/>
      <c r="BG169" s="236"/>
      <c r="BH169" s="236"/>
      <c r="BI169" s="236"/>
      <c r="BJ169" s="236"/>
      <c r="BK169" s="236"/>
      <c r="BL169" s="236"/>
      <c r="BM169" s="236"/>
      <c r="BN169" s="236"/>
      <c r="BO169" s="236"/>
      <c r="BP169" s="236"/>
      <c r="BQ169" s="236"/>
      <c r="BR169" s="236"/>
      <c r="BS169" s="236"/>
      <c r="BT169" s="236"/>
      <c r="BU169" s="236"/>
      <c r="BV169" s="236"/>
      <c r="BW169" s="236"/>
      <c r="BX169" s="236"/>
      <c r="BY169" s="236"/>
      <c r="BZ169" s="236"/>
      <c r="CA169" s="236"/>
      <c r="CB169" s="236"/>
      <c r="CC169" s="236"/>
      <c r="CD169" s="236"/>
      <c r="CE169" s="236"/>
      <c r="CF169" s="236"/>
      <c r="CG169" s="236"/>
      <c r="CH169" s="236"/>
      <c r="CI169" s="236"/>
      <c r="CJ169" s="236"/>
      <c r="CK169" s="236"/>
      <c r="CL169" s="236"/>
      <c r="CM169" s="236"/>
      <c r="CN169" s="236"/>
      <c r="CO169" s="236"/>
      <c r="CP169" s="236"/>
      <c r="CQ169" s="236"/>
      <c r="CR169" s="236"/>
      <c r="CS169" s="236"/>
      <c r="CT169" s="236"/>
      <c r="CU169" s="236"/>
      <c r="CV169" s="236"/>
      <c r="CW169" s="236"/>
      <c r="CX169" s="236"/>
      <c r="CY169" s="236"/>
      <c r="CZ169" s="236"/>
      <c r="DA169" s="236"/>
      <c r="DB169" s="236"/>
      <c r="DC169" s="236"/>
      <c r="DD169" s="236"/>
      <c r="DE169" s="236"/>
      <c r="DF169" s="236"/>
      <c r="DG169" s="236"/>
      <c r="DH169" s="236"/>
      <c r="DI169" s="236"/>
      <c r="DJ169" s="236"/>
      <c r="DK169" s="236"/>
      <c r="DL169" s="236"/>
      <c r="DM169" s="236"/>
      <c r="DN169" s="236"/>
      <c r="DO169" s="236"/>
      <c r="DP169" s="236"/>
      <c r="DQ169" s="236"/>
      <c r="DR169" s="236"/>
      <c r="DS169" s="236"/>
      <c r="DT169" s="236"/>
      <c r="DU169" s="236"/>
      <c r="DV169" s="236"/>
      <c r="DW169" s="236"/>
      <c r="DX169" s="236"/>
      <c r="DY169" s="236"/>
      <c r="DZ169" s="236"/>
      <c r="EA169" s="236"/>
      <c r="EB169" s="236"/>
      <c r="EC169" s="236"/>
      <c r="ED169" s="236"/>
      <c r="EE169" s="236"/>
      <c r="EF169" s="236"/>
      <c r="EG169" s="236"/>
      <c r="EH169" s="236"/>
      <c r="EI169" s="236"/>
      <c r="EJ169" s="236"/>
      <c r="EK169" s="236"/>
      <c r="EL169" s="236"/>
      <c r="EM169" s="236"/>
      <c r="EN169" s="236"/>
      <c r="EO169" s="236"/>
      <c r="EP169" s="236"/>
      <c r="EQ169" s="236"/>
      <c r="ER169" s="236"/>
      <c r="ES169" s="236"/>
      <c r="ET169" s="236"/>
      <c r="EU169" s="236"/>
      <c r="EV169" s="236"/>
      <c r="EW169" s="236"/>
      <c r="EX169" s="236"/>
      <c r="EY169" s="236"/>
      <c r="EZ169" s="236"/>
      <c r="FA169" s="236"/>
      <c r="FB169" s="236"/>
      <c r="FC169" s="236"/>
      <c r="FD169" s="236"/>
      <c r="FE169" s="236"/>
      <c r="FF169" s="236"/>
      <c r="FG169" s="236"/>
      <c r="FH169" s="236"/>
      <c r="FI169" s="236"/>
      <c r="FJ169" s="236"/>
      <c r="FK169" s="236"/>
      <c r="FL169" s="236"/>
      <c r="FM169" s="236"/>
      <c r="FN169" s="236"/>
      <c r="FO169" s="236"/>
      <c r="FP169" s="236"/>
      <c r="FQ169" s="236"/>
      <c r="FR169" s="236"/>
      <c r="FS169" s="236"/>
      <c r="FT169" s="236"/>
      <c r="FU169" s="236"/>
      <c r="FV169" s="236"/>
      <c r="FW169" s="236"/>
      <c r="FX169" s="236"/>
      <c r="FY169" s="236"/>
      <c r="FZ169" s="236"/>
      <c r="GA169" s="236"/>
      <c r="GB169" s="236"/>
      <c r="GC169" s="236"/>
      <c r="GD169" s="236"/>
      <c r="GE169" s="236"/>
      <c r="GF169" s="236"/>
      <c r="GG169" s="236"/>
      <c r="GH169" s="236"/>
      <c r="GI169" s="236"/>
      <c r="GJ169" s="236"/>
      <c r="GK169" s="236"/>
      <c r="GL169" s="236"/>
      <c r="GM169" s="236"/>
      <c r="GN169" s="236"/>
      <c r="GO169" s="236"/>
      <c r="GP169" s="236"/>
      <c r="GQ169" s="236"/>
      <c r="GR169" s="236"/>
      <c r="GS169" s="236"/>
      <c r="GT169" s="236"/>
      <c r="GU169" s="236"/>
      <c r="GV169" s="236"/>
      <c r="GW169" s="236"/>
      <c r="GX169" s="236"/>
      <c r="GY169" s="236"/>
      <c r="GZ169" s="236"/>
      <c r="HA169" s="236"/>
      <c r="HB169" s="236"/>
      <c r="HC169" s="236"/>
      <c r="HD169" s="236"/>
      <c r="HE169" s="236"/>
      <c r="HF169" s="236"/>
      <c r="HG169" s="236"/>
      <c r="HH169" s="236"/>
      <c r="HI169" s="236"/>
      <c r="HJ169" s="236"/>
      <c r="HK169" s="236"/>
      <c r="HL169" s="236"/>
      <c r="HM169" s="236"/>
      <c r="HN169" s="236"/>
      <c r="HO169" s="236"/>
      <c r="HP169" s="236"/>
      <c r="HQ169" s="236"/>
      <c r="HR169" s="236"/>
      <c r="HS169" s="236"/>
      <c r="HT169" s="236"/>
      <c r="HU169" s="236"/>
      <c r="HV169" s="236"/>
      <c r="HW169" s="236"/>
      <c r="HX169" s="236"/>
      <c r="HY169" s="236"/>
      <c r="HZ169" s="236"/>
      <c r="IA169" s="236"/>
      <c r="IB169" s="236"/>
      <c r="IC169" s="236"/>
      <c r="ID169" s="236"/>
      <c r="IE169" s="236"/>
      <c r="IF169" s="236"/>
      <c r="IG169" s="236"/>
      <c r="IH169" s="236"/>
      <c r="II169" s="236"/>
      <c r="IJ169" s="236"/>
      <c r="IK169" s="236"/>
      <c r="IL169" s="236"/>
      <c r="IM169" s="236"/>
      <c r="IN169" s="236"/>
      <c r="IO169" s="236"/>
      <c r="IP169" s="236"/>
      <c r="IQ169" s="236"/>
      <c r="IR169" s="236"/>
      <c r="IS169" s="236"/>
      <c r="IT169" s="236"/>
      <c r="IU169" s="236"/>
      <c r="IV169" s="236"/>
      <c r="IW169" s="236"/>
      <c r="IX169" s="236"/>
      <c r="IY169" s="236"/>
      <c r="IZ169" s="236"/>
      <c r="JA169" s="236"/>
      <c r="JB169" s="236"/>
      <c r="JC169" s="236"/>
      <c r="JD169" s="236"/>
      <c r="JE169" s="236"/>
      <c r="JF169" s="236"/>
      <c r="JG169" s="236"/>
      <c r="JH169" s="236"/>
      <c r="JI169" s="236"/>
      <c r="JJ169" s="236"/>
      <c r="JK169" s="236"/>
      <c r="JL169" s="236"/>
      <c r="JM169" s="236"/>
      <c r="JN169" s="236"/>
      <c r="JO169" s="236"/>
      <c r="JP169" s="236"/>
      <c r="JQ169" s="236"/>
      <c r="JR169" s="236"/>
      <c r="JS169" s="236"/>
      <c r="JT169" s="236"/>
      <c r="JU169" s="236"/>
      <c r="JV169" s="236"/>
      <c r="JW169" s="236"/>
      <c r="JX169" s="236"/>
      <c r="JY169" s="236"/>
      <c r="JZ169" s="236"/>
      <c r="KA169" s="236"/>
      <c r="KB169" s="236"/>
      <c r="KC169" s="236"/>
      <c r="KD169" s="236"/>
      <c r="KE169" s="236"/>
      <c r="KF169" s="236"/>
      <c r="KG169" s="236"/>
      <c r="KH169" s="236"/>
      <c r="KI169" s="236"/>
      <c r="KJ169" s="236"/>
      <c r="KK169" s="236"/>
      <c r="KL169" s="236"/>
      <c r="KM169" s="236"/>
      <c r="KN169" s="236"/>
      <c r="KO169" s="236"/>
      <c r="KP169" s="236"/>
      <c r="KQ169" s="236"/>
      <c r="KR169" s="236"/>
      <c r="KS169" s="236"/>
      <c r="KT169" s="236"/>
      <c r="KU169" s="236"/>
      <c r="KV169" s="236"/>
      <c r="KW169" s="236"/>
      <c r="KX169" s="236"/>
      <c r="KY169" s="236"/>
      <c r="KZ169" s="236"/>
      <c r="LA169" s="236"/>
      <c r="LB169" s="236"/>
      <c r="LC169" s="236"/>
      <c r="LD169" s="236"/>
      <c r="LE169" s="236"/>
      <c r="LF169" s="236"/>
      <c r="LG169" s="236"/>
      <c r="LH169" s="236"/>
      <c r="LI169" s="236"/>
      <c r="LJ169" s="236"/>
      <c r="LK169" s="236"/>
      <c r="LL169" s="236"/>
      <c r="LM169" s="236"/>
      <c r="LN169" s="236"/>
      <c r="LO169" s="236"/>
      <c r="LP169" s="236"/>
      <c r="LQ169" s="236"/>
      <c r="LR169" s="236"/>
      <c r="LS169" s="236"/>
      <c r="LT169" s="236"/>
      <c r="LU169" s="236"/>
      <c r="LV169" s="236"/>
      <c r="LW169" s="236"/>
      <c r="LX169" s="236"/>
      <c r="LY169" s="236"/>
      <c r="LZ169" s="236"/>
      <c r="MA169" s="236"/>
      <c r="MB169" s="236"/>
      <c r="MC169" s="236"/>
      <c r="MD169" s="236"/>
      <c r="ME169" s="236"/>
      <c r="MF169" s="236"/>
      <c r="MG169" s="236"/>
      <c r="MH169" s="236"/>
      <c r="MI169" s="236"/>
      <c r="MJ169" s="236"/>
      <c r="MK169" s="236"/>
      <c r="ML169" s="236"/>
      <c r="MM169" s="236"/>
      <c r="MN169" s="236"/>
      <c r="MO169" s="236"/>
      <c r="MP169" s="236"/>
      <c r="MQ169" s="236"/>
      <c r="MR169" s="236"/>
      <c r="MS169" s="236"/>
      <c r="MT169" s="236"/>
      <c r="MU169" s="236"/>
      <c r="MV169" s="236"/>
      <c r="MW169" s="236"/>
      <c r="MX169" s="236"/>
      <c r="MY169" s="236"/>
      <c r="MZ169" s="236"/>
      <c r="NA169" s="236"/>
      <c r="NB169" s="236"/>
      <c r="NC169" s="236"/>
      <c r="ND169" s="236"/>
      <c r="NE169" s="236"/>
      <c r="NF169" s="236"/>
      <c r="NG169" s="236"/>
      <c r="NH169" s="236"/>
      <c r="NI169" s="236"/>
      <c r="NJ169" s="236"/>
      <c r="NK169" s="236"/>
      <c r="NL169" s="236"/>
      <c r="NM169" s="236"/>
      <c r="NN169" s="236"/>
      <c r="NO169" s="236"/>
      <c r="NP169" s="236"/>
      <c r="NQ169" s="236"/>
      <c r="NR169" s="236"/>
      <c r="NS169" s="236"/>
      <c r="NT169" s="236"/>
      <c r="NU169" s="236"/>
      <c r="NV169" s="236"/>
      <c r="NW169" s="236"/>
      <c r="NX169" s="236"/>
      <c r="NY169" s="236"/>
      <c r="NZ169" s="236"/>
      <c r="OA169" s="236"/>
      <c r="OB169" s="236"/>
      <c r="OC169" s="236"/>
      <c r="OD169" s="236"/>
      <c r="OE169" s="236"/>
      <c r="OF169" s="236"/>
      <c r="OG169" s="236"/>
      <c r="OH169" s="236"/>
      <c r="OI169" s="236"/>
      <c r="OJ169" s="236"/>
      <c r="OK169" s="236"/>
      <c r="OL169" s="236"/>
      <c r="OM169" s="236"/>
      <c r="ON169" s="236"/>
      <c r="OO169" s="236"/>
      <c r="OP169" s="236"/>
      <c r="OQ169" s="236"/>
      <c r="OR169" s="236"/>
      <c r="OS169" s="236"/>
      <c r="OT169" s="236"/>
      <c r="OU169" s="236"/>
      <c r="OV169" s="236"/>
      <c r="OW169" s="236"/>
      <c r="OX169" s="236"/>
      <c r="OY169" s="236"/>
      <c r="OZ169" s="236"/>
      <c r="PA169" s="236"/>
      <c r="PB169" s="236"/>
      <c r="PC169" s="236"/>
      <c r="PD169" s="236"/>
      <c r="PE169" s="236"/>
      <c r="PF169" s="236"/>
      <c r="PG169" s="236"/>
      <c r="PH169" s="236"/>
      <c r="PI169" s="236"/>
      <c r="PJ169" s="236"/>
      <c r="PK169" s="236"/>
      <c r="PL169" s="236"/>
      <c r="PM169" s="236"/>
      <c r="PN169" s="236"/>
      <c r="PO169" s="236"/>
      <c r="PP169" s="236"/>
      <c r="PQ169" s="236"/>
      <c r="PR169" s="236"/>
      <c r="PS169" s="236"/>
      <c r="PT169" s="236"/>
      <c r="PU169" s="236"/>
      <c r="PV169" s="236"/>
      <c r="PW169" s="236"/>
      <c r="PX169" s="236"/>
      <c r="PY169" s="236"/>
      <c r="PZ169" s="236"/>
      <c r="QA169" s="236"/>
      <c r="QB169" s="236"/>
      <c r="QC169" s="236"/>
      <c r="QD169" s="236"/>
      <c r="QE169" s="236"/>
      <c r="QF169" s="236"/>
      <c r="QG169" s="236"/>
      <c r="QH169" s="236"/>
      <c r="QI169" s="236"/>
      <c r="QJ169" s="236"/>
      <c r="QK169" s="236"/>
      <c r="QL169" s="236"/>
      <c r="QM169" s="236"/>
      <c r="QN169" s="236"/>
      <c r="QO169" s="236"/>
      <c r="QP169" s="236"/>
      <c r="QQ169" s="236"/>
      <c r="QR169" s="236"/>
      <c r="QS169" s="236"/>
      <c r="QT169" s="236"/>
      <c r="QU169" s="236"/>
      <c r="QV169" s="236"/>
      <c r="QW169" s="236"/>
      <c r="QX169" s="236"/>
      <c r="QY169" s="236"/>
      <c r="QZ169" s="236"/>
      <c r="RA169" s="236"/>
      <c r="RB169" s="236"/>
      <c r="RC169" s="236"/>
      <c r="RD169" s="236"/>
      <c r="RE169" s="236"/>
      <c r="RF169" s="236"/>
      <c r="RG169" s="236"/>
      <c r="RH169" s="236"/>
      <c r="RI169" s="236"/>
      <c r="RJ169" s="236"/>
      <c r="RK169" s="236"/>
      <c r="RL169" s="236"/>
      <c r="RM169" s="236"/>
      <c r="RN169" s="236"/>
      <c r="RO169" s="236"/>
      <c r="RP169" s="236"/>
      <c r="RQ169" s="236"/>
      <c r="RR169" s="236"/>
      <c r="RS169" s="236"/>
      <c r="RT169" s="236"/>
      <c r="RU169" s="236"/>
      <c r="RV169" s="236"/>
      <c r="RW169" s="236"/>
      <c r="RX169" s="236"/>
      <c r="RY169" s="236"/>
      <c r="RZ169" s="236"/>
      <c r="SA169" s="236"/>
      <c r="SB169" s="236"/>
      <c r="SC169" s="236"/>
      <c r="SD169" s="236"/>
      <c r="SE169" s="236"/>
      <c r="SF169" s="236"/>
      <c r="SG169" s="236"/>
      <c r="SH169" s="236"/>
      <c r="SI169" s="236"/>
      <c r="SJ169" s="236"/>
      <c r="SK169" s="236"/>
      <c r="SL169" s="236"/>
      <c r="SM169" s="236"/>
      <c r="SN169" s="236"/>
      <c r="SO169" s="236"/>
      <c r="SP169" s="236"/>
      <c r="SQ169" s="236"/>
      <c r="SR169" s="236"/>
      <c r="SS169" s="236"/>
      <c r="ST169" s="236"/>
      <c r="SU169" s="236"/>
      <c r="SV169" s="236"/>
      <c r="SW169" s="236"/>
      <c r="SX169" s="236"/>
      <c r="SY169" s="236"/>
      <c r="SZ169" s="236"/>
      <c r="TA169" s="236"/>
      <c r="TB169" s="236"/>
      <c r="TC169" s="236"/>
      <c r="TD169" s="236"/>
      <c r="TE169" s="236"/>
      <c r="TF169" s="236"/>
      <c r="TG169" s="236"/>
      <c r="TH169" s="236"/>
      <c r="TI169" s="236"/>
      <c r="TJ169" s="236"/>
      <c r="TK169" s="236"/>
      <c r="TL169" s="236"/>
      <c r="TM169" s="236"/>
      <c r="TN169" s="236"/>
      <c r="TO169" s="236"/>
      <c r="TP169" s="236"/>
      <c r="TQ169" s="236"/>
      <c r="TR169" s="236"/>
      <c r="TS169" s="236"/>
      <c r="TT169" s="236"/>
      <c r="TU169" s="236"/>
      <c r="TV169" s="236"/>
      <c r="TW169" s="236"/>
      <c r="TX169" s="236"/>
      <c r="TY169" s="236"/>
      <c r="TZ169" s="236"/>
      <c r="UA169" s="236"/>
      <c r="UB169" s="236"/>
      <c r="UC169" s="236"/>
      <c r="UD169" s="236"/>
      <c r="UE169" s="236"/>
      <c r="UF169" s="236"/>
      <c r="UG169" s="236"/>
      <c r="UH169" s="236"/>
      <c r="UI169" s="236"/>
      <c r="UJ169" s="236"/>
      <c r="UK169" s="236"/>
      <c r="UL169" s="236"/>
      <c r="UM169" s="236"/>
      <c r="UN169" s="236"/>
      <c r="UO169" s="236"/>
      <c r="UP169" s="236"/>
      <c r="UQ169" s="236"/>
      <c r="UR169" s="236"/>
      <c r="US169" s="236"/>
      <c r="UT169" s="236"/>
      <c r="UU169" s="236"/>
      <c r="UV169" s="236"/>
      <c r="UW169" s="236"/>
      <c r="UX169" s="236"/>
      <c r="UY169" s="236"/>
      <c r="UZ169" s="236"/>
      <c r="VA169" s="236"/>
      <c r="VB169" s="236"/>
      <c r="VC169" s="236"/>
      <c r="VD169" s="236"/>
      <c r="VE169" s="236"/>
      <c r="VF169" s="236"/>
      <c r="VG169" s="236"/>
      <c r="VH169" s="236"/>
      <c r="VI169" s="236"/>
      <c r="VJ169" s="236"/>
      <c r="VK169" s="236"/>
      <c r="VL169" s="236"/>
      <c r="VM169" s="236"/>
      <c r="VN169" s="236"/>
      <c r="VO169" s="236"/>
      <c r="VP169" s="236"/>
      <c r="VQ169" s="236"/>
      <c r="VR169" s="236"/>
      <c r="VS169" s="236"/>
      <c r="VT169" s="236"/>
      <c r="VU169" s="236"/>
      <c r="VV169" s="236"/>
      <c r="VW169" s="236"/>
      <c r="VX169" s="236"/>
      <c r="VY169" s="236"/>
      <c r="VZ169" s="236"/>
      <c r="WA169" s="236"/>
      <c r="WB169" s="236"/>
      <c r="WC169" s="236"/>
      <c r="WD169" s="236"/>
      <c r="WE169" s="236"/>
      <c r="WF169" s="236"/>
      <c r="WG169" s="236"/>
      <c r="WH169" s="236"/>
      <c r="WI169" s="236"/>
      <c r="WJ169" s="236"/>
      <c r="WK169" s="236"/>
      <c r="WL169" s="236"/>
      <c r="WM169" s="236"/>
      <c r="WN169" s="236"/>
      <c r="WO169" s="236"/>
      <c r="WP169" s="236"/>
      <c r="WQ169" s="236"/>
      <c r="WR169" s="236"/>
      <c r="WS169" s="236"/>
      <c r="WT169" s="236"/>
      <c r="WU169" s="236"/>
      <c r="WV169" s="236"/>
      <c r="WW169" s="236"/>
      <c r="WX169" s="236"/>
      <c r="WY169" s="236"/>
      <c r="WZ169" s="236"/>
      <c r="XA169" s="236"/>
      <c r="XB169" s="236"/>
      <c r="XC169" s="236"/>
      <c r="XD169" s="236"/>
      <c r="XE169" s="236"/>
      <c r="XF169" s="236"/>
      <c r="XG169" s="236"/>
      <c r="XH169" s="236"/>
      <c r="XI169" s="236"/>
      <c r="XJ169" s="236"/>
      <c r="XK169" s="236"/>
      <c r="XL169" s="236"/>
      <c r="XM169" s="236"/>
      <c r="XN169" s="236"/>
      <c r="XO169" s="236"/>
      <c r="XP169" s="236"/>
      <c r="XQ169" s="236"/>
      <c r="XR169" s="236"/>
      <c r="XS169" s="236"/>
      <c r="XT169" s="236"/>
      <c r="XU169" s="236"/>
      <c r="XV169" s="236"/>
      <c r="XW169" s="236"/>
      <c r="XX169" s="236"/>
      <c r="XY169" s="236"/>
      <c r="XZ169" s="236"/>
      <c r="YA169" s="236"/>
      <c r="YB169" s="236"/>
      <c r="YC169" s="236"/>
      <c r="YD169" s="236"/>
      <c r="YE169" s="236"/>
      <c r="YF169" s="236"/>
      <c r="YG169" s="236"/>
      <c r="YH169" s="236"/>
      <c r="YI169" s="236"/>
      <c r="YJ169" s="236"/>
      <c r="YK169" s="236"/>
      <c r="YL169" s="236"/>
      <c r="YM169" s="236"/>
      <c r="YN169" s="236"/>
      <c r="YO169" s="236"/>
      <c r="YP169" s="236"/>
      <c r="YQ169" s="236"/>
      <c r="YR169" s="236"/>
      <c r="YS169" s="236"/>
      <c r="YT169" s="236"/>
      <c r="YU169" s="236"/>
      <c r="YV169" s="236"/>
      <c r="YW169" s="236"/>
      <c r="YX169" s="236"/>
      <c r="YY169" s="236"/>
      <c r="YZ169" s="236"/>
      <c r="ZA169" s="236"/>
      <c r="ZB169" s="236"/>
      <c r="ZC169" s="236"/>
      <c r="ZD169" s="236"/>
      <c r="ZE169" s="236"/>
      <c r="ZF169" s="236"/>
      <c r="ZG169" s="236"/>
      <c r="ZH169" s="236"/>
      <c r="ZI169" s="236"/>
      <c r="ZJ169" s="236"/>
      <c r="ZK169" s="236"/>
      <c r="ZL169" s="236"/>
      <c r="ZM169" s="236"/>
      <c r="ZN169" s="236"/>
      <c r="ZO169" s="236"/>
      <c r="ZP169" s="236"/>
      <c r="ZQ169" s="236"/>
      <c r="ZR169" s="236"/>
      <c r="ZS169" s="236"/>
      <c r="ZT169" s="236"/>
      <c r="ZU169" s="236"/>
      <c r="ZV169" s="236"/>
      <c r="ZW169" s="236"/>
      <c r="ZX169" s="236"/>
      <c r="ZY169" s="236"/>
      <c r="ZZ169" s="236"/>
      <c r="AAA169" s="236"/>
      <c r="AAB169" s="236"/>
      <c r="AAC169" s="236"/>
      <c r="AAD169" s="236"/>
      <c r="AAE169" s="236"/>
      <c r="AAF169" s="236"/>
      <c r="AAG169" s="236"/>
      <c r="AAH169" s="236"/>
      <c r="AAI169" s="236"/>
      <c r="AAJ169" s="236"/>
      <c r="AAK169" s="236"/>
      <c r="AAL169" s="236"/>
      <c r="AAM169" s="236"/>
      <c r="AAN169" s="236"/>
      <c r="AAO169" s="236"/>
      <c r="AAP169" s="236"/>
      <c r="AAQ169" s="236"/>
      <c r="AAR169" s="236"/>
      <c r="AAS169" s="236"/>
      <c r="AAT169" s="236"/>
      <c r="AAU169" s="236"/>
      <c r="AAV169" s="236"/>
      <c r="AAW169" s="236"/>
      <c r="AAX169" s="236"/>
      <c r="AAY169" s="236"/>
      <c r="AAZ169" s="236"/>
      <c r="ABA169" s="236"/>
      <c r="ABB169" s="236"/>
      <c r="ABC169" s="236"/>
      <c r="ABD169" s="236"/>
      <c r="ABE169" s="236"/>
      <c r="ABF169" s="236"/>
      <c r="ABG169" s="236"/>
      <c r="ABH169" s="236"/>
      <c r="ABI169" s="236"/>
      <c r="ABJ169" s="236"/>
      <c r="ABK169" s="236"/>
      <c r="ABL169" s="236"/>
      <c r="ABM169" s="236"/>
      <c r="ABN169" s="236"/>
      <c r="ABO169" s="236"/>
      <c r="ABP169" s="236"/>
      <c r="ABQ169" s="236"/>
      <c r="ABR169" s="236"/>
      <c r="ABS169" s="236"/>
      <c r="ABT169" s="236"/>
      <c r="ABU169" s="236"/>
      <c r="ABV169" s="236"/>
      <c r="ABW169" s="236"/>
      <c r="ABX169" s="236"/>
      <c r="ABY169" s="236"/>
      <c r="ABZ169" s="236"/>
      <c r="ACA169" s="236"/>
      <c r="ACB169" s="236"/>
      <c r="ACC169" s="236"/>
      <c r="ACD169" s="236"/>
      <c r="ACE169" s="236"/>
      <c r="ACF169" s="236"/>
      <c r="ACG169" s="236"/>
      <c r="ACH169" s="236"/>
      <c r="ACI169" s="236"/>
      <c r="ACJ169" s="236"/>
      <c r="ACK169" s="236"/>
      <c r="ACL169" s="236"/>
      <c r="ACM169" s="236"/>
      <c r="ACN169" s="236"/>
      <c r="ACO169" s="236"/>
      <c r="ACP169" s="236"/>
      <c r="ACQ169" s="236"/>
      <c r="ACR169" s="236"/>
      <c r="ACS169" s="236"/>
      <c r="ACT169" s="236"/>
      <c r="ACU169" s="236"/>
      <c r="ACV169" s="236"/>
      <c r="ACW169" s="236"/>
      <c r="ACX169" s="236"/>
      <c r="ACY169" s="236"/>
      <c r="ACZ169" s="236"/>
      <c r="ADA169" s="236"/>
      <c r="ADB169" s="236"/>
      <c r="ADC169" s="236"/>
      <c r="ADD169" s="236"/>
      <c r="ADE169" s="236"/>
      <c r="ADF169" s="236"/>
      <c r="ADG169" s="236"/>
      <c r="ADH169" s="236"/>
      <c r="ADI169" s="236"/>
      <c r="ADJ169" s="236"/>
      <c r="ADK169" s="236"/>
      <c r="ADL169" s="236"/>
      <c r="ADM169" s="236"/>
      <c r="ADN169" s="236"/>
      <c r="ADO169" s="236"/>
      <c r="ADP169" s="236"/>
      <c r="ADQ169" s="236"/>
      <c r="ADR169" s="236"/>
      <c r="ADS169" s="236"/>
      <c r="ADT169" s="236"/>
      <c r="ADU169" s="236"/>
      <c r="ADV169" s="236"/>
      <c r="ADW169" s="236"/>
      <c r="ADX169" s="236"/>
      <c r="ADY169" s="236"/>
      <c r="ADZ169" s="236"/>
      <c r="AEA169" s="236"/>
      <c r="AEB169" s="236"/>
      <c r="AEC169" s="236"/>
      <c r="AED169" s="236"/>
      <c r="AEE169" s="236"/>
      <c r="AEF169" s="236"/>
      <c r="AEG169" s="236"/>
      <c r="AEH169" s="236"/>
      <c r="AEI169" s="236"/>
      <c r="AEJ169" s="236"/>
      <c r="AEK169" s="236"/>
      <c r="AEL169" s="236"/>
      <c r="AEM169" s="236"/>
      <c r="AEN169" s="236"/>
      <c r="AEO169" s="236"/>
      <c r="AEP169" s="236"/>
      <c r="AEQ169" s="236"/>
      <c r="AER169" s="236"/>
      <c r="AES169" s="236"/>
      <c r="AET169" s="236"/>
      <c r="AEU169" s="236"/>
      <c r="AEV169" s="236"/>
      <c r="AEW169" s="236"/>
      <c r="AEX169" s="236"/>
      <c r="AEY169" s="236"/>
      <c r="AEZ169" s="236"/>
      <c r="AFA169" s="236"/>
      <c r="AFB169" s="236"/>
      <c r="AFC169" s="236"/>
      <c r="AFD169" s="236"/>
      <c r="AFE169" s="236"/>
      <c r="AFF169" s="236"/>
      <c r="AFG169" s="236"/>
      <c r="AFH169" s="236"/>
      <c r="AFI169" s="236"/>
      <c r="AFJ169" s="236"/>
      <c r="AFK169" s="236"/>
      <c r="AFL169" s="236"/>
      <c r="AFM169" s="236"/>
      <c r="AFN169" s="236"/>
      <c r="AFO169" s="236"/>
      <c r="AFP169" s="236"/>
      <c r="AFQ169" s="236"/>
      <c r="AFR169" s="236"/>
      <c r="AFS169" s="236"/>
      <c r="AFT169" s="236"/>
      <c r="AFU169" s="236"/>
      <c r="AFV169" s="236"/>
      <c r="AFW169" s="236"/>
      <c r="AFX169" s="236"/>
      <c r="AFY169" s="236"/>
      <c r="AFZ169" s="236"/>
      <c r="AGA169" s="236"/>
      <c r="AGB169" s="236"/>
      <c r="AGC169" s="236"/>
      <c r="AGD169" s="236"/>
      <c r="AGE169" s="236"/>
      <c r="AGF169" s="236"/>
      <c r="AGG169" s="236"/>
      <c r="AGH169" s="236"/>
      <c r="AGI169" s="236"/>
      <c r="AGJ169" s="236"/>
      <c r="AGK169" s="236"/>
      <c r="AGL169" s="236"/>
      <c r="AGM169" s="236"/>
      <c r="AGN169" s="236"/>
      <c r="AGO169" s="236"/>
      <c r="AGP169" s="236"/>
      <c r="AGQ169" s="236"/>
      <c r="AGR169" s="236"/>
      <c r="AGS169" s="236"/>
      <c r="AGT169" s="236"/>
      <c r="AGU169" s="236"/>
      <c r="AGV169" s="236"/>
      <c r="AGW169" s="236"/>
      <c r="AGX169" s="236"/>
      <c r="AGY169" s="236"/>
      <c r="AGZ169" s="236"/>
      <c r="AHA169" s="236"/>
      <c r="AHB169" s="236"/>
      <c r="AHC169" s="236"/>
      <c r="AHD169" s="236"/>
      <c r="AHE169" s="236"/>
      <c r="AHF169" s="236"/>
      <c r="AHG169" s="236"/>
      <c r="AHH169" s="236"/>
      <c r="AHI169" s="236"/>
      <c r="AHJ169" s="236"/>
      <c r="AHK169" s="236"/>
      <c r="AHL169" s="236"/>
      <c r="AHM169" s="236"/>
      <c r="AHN169" s="236"/>
      <c r="AHO169" s="236"/>
      <c r="AHP169" s="236"/>
      <c r="AHQ169" s="236"/>
      <c r="AHR169" s="236"/>
      <c r="AHS169" s="236"/>
      <c r="AHT169" s="236"/>
      <c r="AHU169" s="236"/>
      <c r="AHV169" s="236"/>
      <c r="AHW169" s="236"/>
      <c r="AHX169" s="236"/>
      <c r="AHY169" s="236"/>
      <c r="AHZ169" s="236"/>
      <c r="AIA169" s="236"/>
      <c r="AIB169" s="236"/>
      <c r="AIC169" s="236"/>
      <c r="AID169" s="236"/>
      <c r="AIE169" s="236"/>
      <c r="AIF169" s="236"/>
      <c r="AIG169" s="236"/>
      <c r="AIH169" s="236"/>
      <c r="AII169" s="236"/>
      <c r="AIJ169" s="236"/>
      <c r="AIK169" s="236"/>
      <c r="AIL169" s="236"/>
      <c r="AIM169" s="236"/>
      <c r="AIN169" s="236"/>
      <c r="AIO169" s="236"/>
      <c r="AIP169" s="236"/>
      <c r="AIQ169" s="236"/>
      <c r="AIR169" s="236"/>
      <c r="AIS169" s="236"/>
      <c r="AIT169" s="236"/>
      <c r="AIU169" s="236"/>
      <c r="AIV169" s="236"/>
      <c r="AIW169" s="236"/>
      <c r="AIX169" s="236"/>
      <c r="AIY169" s="236"/>
      <c r="AIZ169" s="236"/>
      <c r="AJA169" s="236"/>
      <c r="AJB169" s="236"/>
      <c r="AJC169" s="236"/>
      <c r="AJD169" s="236"/>
      <c r="AJE169" s="236"/>
      <c r="AJF169" s="236"/>
      <c r="AJG169" s="236"/>
      <c r="AJH169" s="236"/>
      <c r="AJI169" s="236"/>
      <c r="AJJ169" s="236"/>
      <c r="AJK169" s="236"/>
      <c r="AJL169" s="236"/>
      <c r="AJM169" s="236"/>
      <c r="AJN169" s="236"/>
      <c r="AJO169" s="236"/>
      <c r="AJP169" s="236"/>
      <c r="AJQ169" s="236"/>
      <c r="AJR169" s="236"/>
      <c r="AJS169" s="236"/>
      <c r="AJT169" s="236"/>
      <c r="AJU169" s="236"/>
      <c r="AJV169" s="236"/>
      <c r="AJW169" s="236"/>
      <c r="AJX169" s="236"/>
      <c r="AJY169" s="236"/>
      <c r="AJZ169" s="236"/>
      <c r="AKA169" s="236"/>
      <c r="AKB169" s="236"/>
      <c r="AKC169" s="236"/>
      <c r="AKD169" s="236"/>
      <c r="AKE169" s="236"/>
      <c r="AKF169" s="236"/>
      <c r="AKG169" s="236"/>
      <c r="AKH169" s="236"/>
      <c r="AKI169" s="236"/>
      <c r="AKJ169" s="236"/>
      <c r="AKK169" s="236"/>
      <c r="AKL169" s="236"/>
      <c r="AKM169" s="236"/>
      <c r="AKN169" s="236"/>
      <c r="AKO169" s="236"/>
      <c r="AKP169" s="236"/>
      <c r="AKQ169" s="236"/>
      <c r="AKR169" s="236"/>
      <c r="AKS169" s="236"/>
      <c r="AKT169" s="236"/>
      <c r="AKU169" s="236"/>
      <c r="AKV169" s="236"/>
      <c r="AKW169" s="236"/>
      <c r="AKX169" s="236"/>
      <c r="AKY169" s="236"/>
      <c r="AKZ169" s="236"/>
      <c r="ALA169" s="236"/>
      <c r="ALB169" s="236"/>
      <c r="ALC169" s="236"/>
      <c r="ALD169" s="236"/>
      <c r="ALE169" s="236"/>
      <c r="ALF169" s="236"/>
      <c r="ALG169" s="236"/>
      <c r="ALH169" s="236"/>
      <c r="ALI169" s="236"/>
      <c r="ALJ169" s="236"/>
      <c r="ALK169" s="236"/>
      <c r="ALL169" s="236"/>
      <c r="ALM169" s="236"/>
      <c r="ALN169" s="236"/>
      <c r="ALO169" s="236"/>
      <c r="ALP169" s="236"/>
      <c r="ALQ169" s="236"/>
      <c r="ALR169" s="236"/>
      <c r="ALS169" s="236"/>
      <c r="ALT169" s="236"/>
      <c r="ALU169" s="236"/>
      <c r="ALV169" s="236"/>
      <c r="ALW169" s="236"/>
      <c r="ALX169" s="236"/>
      <c r="ALY169" s="236"/>
      <c r="ALZ169" s="236"/>
      <c r="AMA169" s="236"/>
      <c r="AMB169" s="236"/>
      <c r="AMC169" s="236"/>
      <c r="AMD169" s="236"/>
      <c r="AME169" s="236"/>
      <c r="AMF169" s="236"/>
      <c r="AMG169" s="236"/>
      <c r="AMH169" s="236"/>
      <c r="AMI169" s="236"/>
      <c r="AMJ169" s="236"/>
      <c r="AMK169" s="236"/>
      <c r="AML169" s="236"/>
      <c r="AMM169" s="236"/>
    </row>
    <row r="170" spans="1:1027" s="243" customFormat="1" ht="30" customHeight="1">
      <c r="A170" s="1832"/>
      <c r="B170" s="1833"/>
      <c r="C170" s="1833"/>
      <c r="D170" s="1833"/>
      <c r="E170" s="1833"/>
      <c r="F170" s="1833"/>
      <c r="G170" s="1833"/>
      <c r="H170" s="1833"/>
      <c r="I170" s="1833"/>
      <c r="J170" s="1833"/>
      <c r="K170" s="1833"/>
      <c r="L170" s="1834"/>
      <c r="M170" s="285"/>
      <c r="N170" s="1409" t="s">
        <v>198</v>
      </c>
      <c r="O170" s="1410"/>
      <c r="P170" s="1410"/>
      <c r="Q170" s="1410"/>
      <c r="R170" s="1411"/>
      <c r="S170" s="341"/>
      <c r="T170" s="341"/>
      <c r="U170" s="341"/>
      <c r="V170" s="1409" t="s">
        <v>3552</v>
      </c>
      <c r="W170" s="1410"/>
      <c r="X170" s="1410"/>
      <c r="Y170" s="1410"/>
      <c r="Z170" s="1411"/>
      <c r="AA170" s="1077"/>
      <c r="AB170" s="1342" t="s">
        <v>3587</v>
      </c>
      <c r="AC170" s="1344"/>
      <c r="AD170" s="1396"/>
      <c r="AE170" s="1397"/>
      <c r="AF170" s="1397"/>
      <c r="AG170" s="1397"/>
      <c r="AH170" s="1397"/>
      <c r="AI170" s="1397"/>
      <c r="AJ170" s="1397"/>
      <c r="AK170" s="1397"/>
      <c r="AL170" s="1397"/>
      <c r="AM170" s="1398"/>
      <c r="AN170" s="245"/>
      <c r="AO170" s="245"/>
      <c r="AP170" s="245"/>
      <c r="AQ170" s="245"/>
      <c r="AR170" s="245"/>
      <c r="AS170" s="245"/>
      <c r="AT170" s="245"/>
      <c r="AU170" s="245"/>
      <c r="AV170" s="245"/>
      <c r="AW170" s="245"/>
      <c r="AX170" s="245"/>
    </row>
    <row r="171" spans="1:1027" s="243" customFormat="1" ht="30" customHeight="1">
      <c r="A171" s="1832"/>
      <c r="B171" s="1833"/>
      <c r="C171" s="1833"/>
      <c r="D171" s="1833"/>
      <c r="E171" s="1833"/>
      <c r="F171" s="1833"/>
      <c r="G171" s="1833"/>
      <c r="H171" s="1833"/>
      <c r="I171" s="1833"/>
      <c r="J171" s="1833"/>
      <c r="K171" s="1833"/>
      <c r="L171" s="1834"/>
      <c r="M171" s="285"/>
      <c r="N171" s="1409" t="s">
        <v>199</v>
      </c>
      <c r="O171" s="1410"/>
      <c r="P171" s="1410"/>
      <c r="Q171" s="1410"/>
      <c r="R171" s="1411"/>
      <c r="S171" s="341"/>
      <c r="T171" s="341"/>
      <c r="U171" s="341"/>
      <c r="V171" s="1409" t="s">
        <v>851</v>
      </c>
      <c r="W171" s="1410"/>
      <c r="X171" s="1410"/>
      <c r="Y171" s="1410"/>
      <c r="Z171" s="1411"/>
      <c r="AA171" s="1077"/>
      <c r="AB171" s="1342" t="s">
        <v>2983</v>
      </c>
      <c r="AC171" s="1344"/>
      <c r="AD171" s="1396"/>
      <c r="AE171" s="1397"/>
      <c r="AF171" s="1397"/>
      <c r="AG171" s="1397"/>
      <c r="AH171" s="1397"/>
      <c r="AI171" s="1397"/>
      <c r="AJ171" s="1397"/>
      <c r="AK171" s="1397"/>
      <c r="AL171" s="1397"/>
      <c r="AM171" s="1398"/>
      <c r="AN171" s="245"/>
      <c r="AO171" s="245"/>
      <c r="AP171" s="245"/>
      <c r="AQ171" s="245"/>
      <c r="AR171" s="245"/>
      <c r="AS171" s="245"/>
      <c r="AT171" s="245"/>
      <c r="AU171" s="245"/>
      <c r="AV171" s="245"/>
      <c r="AW171" s="245"/>
      <c r="AX171" s="245"/>
    </row>
    <row r="172" spans="1:1027" s="243" customFormat="1" ht="30" customHeight="1">
      <c r="A172" s="1832"/>
      <c r="B172" s="1833"/>
      <c r="C172" s="1833"/>
      <c r="D172" s="1833"/>
      <c r="E172" s="1833"/>
      <c r="F172" s="1833"/>
      <c r="G172" s="1833"/>
      <c r="H172" s="1833"/>
      <c r="I172" s="1833"/>
      <c r="J172" s="1833"/>
      <c r="K172" s="1833"/>
      <c r="L172" s="1834"/>
      <c r="M172" s="285"/>
      <c r="N172" s="1409" t="s">
        <v>204</v>
      </c>
      <c r="O172" s="1410"/>
      <c r="P172" s="1410"/>
      <c r="Q172" s="1410"/>
      <c r="R172" s="1411"/>
      <c r="S172" s="341"/>
      <c r="T172" s="341"/>
      <c r="U172" s="341"/>
      <c r="V172" s="1409" t="s">
        <v>809</v>
      </c>
      <c r="W172" s="1410"/>
      <c r="X172" s="1410"/>
      <c r="Y172" s="1410"/>
      <c r="Z172" s="1411"/>
      <c r="AA172" s="1077"/>
      <c r="AB172" s="1342" t="s">
        <v>406</v>
      </c>
      <c r="AC172" s="1344"/>
      <c r="AD172" s="1396"/>
      <c r="AE172" s="1397"/>
      <c r="AF172" s="1397"/>
      <c r="AG172" s="1397"/>
      <c r="AH172" s="1397"/>
      <c r="AI172" s="1397"/>
      <c r="AJ172" s="1397"/>
      <c r="AK172" s="1397"/>
      <c r="AL172" s="1397"/>
      <c r="AM172" s="1398"/>
      <c r="AN172" s="245"/>
      <c r="AO172" s="245"/>
      <c r="AP172" s="245"/>
      <c r="AQ172" s="245"/>
      <c r="AR172" s="245"/>
      <c r="AS172" s="245"/>
      <c r="AT172" s="245"/>
      <c r="AU172" s="245"/>
      <c r="AV172" s="245"/>
      <c r="AW172" s="245"/>
      <c r="AX172" s="245"/>
    </row>
    <row r="173" spans="1:1027" s="243" customFormat="1" ht="30" customHeight="1">
      <c r="A173" s="1835"/>
      <c r="B173" s="1836"/>
      <c r="C173" s="1836"/>
      <c r="D173" s="1836"/>
      <c r="E173" s="1836"/>
      <c r="F173" s="1836"/>
      <c r="G173" s="1836"/>
      <c r="H173" s="1836"/>
      <c r="I173" s="1836"/>
      <c r="J173" s="1836"/>
      <c r="K173" s="1836"/>
      <c r="L173" s="1837"/>
      <c r="M173" s="285"/>
      <c r="N173" s="1409" t="s">
        <v>205</v>
      </c>
      <c r="O173" s="1410"/>
      <c r="P173" s="1410"/>
      <c r="Q173" s="1410"/>
      <c r="R173" s="1411"/>
      <c r="S173" s="341"/>
      <c r="T173" s="341"/>
      <c r="U173" s="341"/>
      <c r="V173" s="1409" t="s">
        <v>810</v>
      </c>
      <c r="W173" s="1410"/>
      <c r="X173" s="1410"/>
      <c r="Y173" s="1410"/>
      <c r="Z173" s="1411"/>
      <c r="AA173" s="1077"/>
      <c r="AB173" s="1342" t="s">
        <v>2984</v>
      </c>
      <c r="AC173" s="1344"/>
      <c r="AD173" s="1396"/>
      <c r="AE173" s="1397"/>
      <c r="AF173" s="1397"/>
      <c r="AG173" s="1397"/>
      <c r="AH173" s="1397"/>
      <c r="AI173" s="1397"/>
      <c r="AJ173" s="1397"/>
      <c r="AK173" s="1397"/>
      <c r="AL173" s="1397"/>
      <c r="AM173" s="1398"/>
      <c r="AN173" s="245"/>
      <c r="AO173" s="245"/>
      <c r="AP173" s="245"/>
      <c r="AQ173" s="245"/>
      <c r="AR173" s="245"/>
      <c r="AS173" s="245"/>
      <c r="AT173" s="245"/>
      <c r="AU173" s="245"/>
      <c r="AV173" s="245"/>
      <c r="AW173" s="245"/>
      <c r="AX173" s="245"/>
    </row>
    <row r="174" spans="1:1027" s="243" customFormat="1" ht="30" customHeight="1">
      <c r="A174" s="300"/>
      <c r="B174" s="300"/>
      <c r="C174" s="300"/>
      <c r="D174" s="300"/>
      <c r="E174" s="300"/>
      <c r="F174" s="300"/>
      <c r="G174" s="300"/>
      <c r="H174" s="300"/>
      <c r="I174" s="300"/>
      <c r="J174" s="300"/>
      <c r="K174" s="300"/>
      <c r="L174" s="300"/>
      <c r="M174" s="285"/>
      <c r="N174" s="1403"/>
      <c r="O174" s="1403"/>
      <c r="P174" s="1403"/>
      <c r="Q174" s="1403"/>
      <c r="R174" s="1403"/>
      <c r="S174" s="288"/>
      <c r="T174" s="288"/>
      <c r="U174" s="288"/>
      <c r="V174" s="1403"/>
      <c r="W174" s="1403"/>
      <c r="X174" s="1403"/>
      <c r="Y174" s="1403"/>
      <c r="Z174" s="1403"/>
      <c r="AA174" s="1064"/>
      <c r="AB174" s="934"/>
      <c r="AC174" s="934"/>
      <c r="AD174" s="288"/>
      <c r="AE174" s="288"/>
      <c r="AF174" s="288"/>
      <c r="AG174" s="288"/>
      <c r="AH174" s="288"/>
      <c r="AI174" s="288"/>
      <c r="AJ174" s="288"/>
      <c r="AK174" s="288"/>
      <c r="AL174" s="288"/>
      <c r="AM174" s="288"/>
      <c r="AN174" s="245"/>
      <c r="AO174" s="245"/>
      <c r="AP174" s="245"/>
      <c r="AQ174" s="245"/>
      <c r="AR174" s="245"/>
      <c r="AS174" s="245"/>
      <c r="AT174" s="245"/>
      <c r="AU174" s="245"/>
      <c r="AV174" s="245"/>
      <c r="AW174" s="245"/>
      <c r="AX174" s="245"/>
    </row>
    <row r="175" spans="1:1027">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1076"/>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row>
    <row r="176" spans="1:1027">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1076"/>
      <c r="AB176" s="233"/>
      <c r="AC176" s="233"/>
      <c r="AD176" s="233"/>
      <c r="AE176" s="233"/>
      <c r="AF176" s="233"/>
      <c r="AG176" s="233"/>
      <c r="AH176" s="233"/>
      <c r="AI176" s="233"/>
      <c r="AJ176" s="233"/>
      <c r="AK176" s="233"/>
      <c r="AL176" s="233"/>
      <c r="AM176" s="233"/>
    </row>
  </sheetData>
  <sheetProtection formatCells="0" formatColumns="0" formatRows="0" insertRows="0" deleteColumns="0" sort="0" autoFilter="0"/>
  <mergeCells count="1027">
    <mergeCell ref="AA22:AA25"/>
    <mergeCell ref="AA26:AA27"/>
    <mergeCell ref="AA29:AA35"/>
    <mergeCell ref="AA36:AA39"/>
    <mergeCell ref="AA40:AA42"/>
    <mergeCell ref="AA43:AA47"/>
    <mergeCell ref="AA48:AA51"/>
    <mergeCell ref="AA52:AA62"/>
    <mergeCell ref="AA63:AA65"/>
    <mergeCell ref="AA66:AA69"/>
    <mergeCell ref="AA70:AA74"/>
    <mergeCell ref="N173:R173"/>
    <mergeCell ref="V173:Z173"/>
    <mergeCell ref="AB173:AC173"/>
    <mergeCell ref="AD173:AM173"/>
    <mergeCell ref="N174:R174"/>
    <mergeCell ref="V174:Z174"/>
    <mergeCell ref="N171:R171"/>
    <mergeCell ref="V171:Z171"/>
    <mergeCell ref="AB171:AC171"/>
    <mergeCell ref="AD171:AM171"/>
    <mergeCell ref="N172:R172"/>
    <mergeCell ref="V172:Z172"/>
    <mergeCell ref="AB172:AC172"/>
    <mergeCell ref="AD172:AM172"/>
    <mergeCell ref="X122:Z122"/>
    <mergeCell ref="X113:Z113"/>
    <mergeCell ref="X114:Z114"/>
    <mergeCell ref="V70:V74"/>
    <mergeCell ref="X70:Z70"/>
    <mergeCell ref="AC70:AC74"/>
    <mergeCell ref="AD70:AD74"/>
    <mergeCell ref="A168:L169"/>
    <mergeCell ref="N169:R169"/>
    <mergeCell ref="V169:Z169"/>
    <mergeCell ref="AB169:AC169"/>
    <mergeCell ref="AD169:AM169"/>
    <mergeCell ref="A170:L173"/>
    <mergeCell ref="N170:R170"/>
    <mergeCell ref="V170:Z170"/>
    <mergeCell ref="AB170:AC170"/>
    <mergeCell ref="AD170:AM170"/>
    <mergeCell ref="C165:E165"/>
    <mergeCell ref="G165:I165"/>
    <mergeCell ref="J165:L165"/>
    <mergeCell ref="X165:Z165"/>
    <mergeCell ref="C166:E166"/>
    <mergeCell ref="G166:I166"/>
    <mergeCell ref="J166:L166"/>
    <mergeCell ref="X166:Z166"/>
    <mergeCell ref="C163:E163"/>
    <mergeCell ref="G163:I163"/>
    <mergeCell ref="J163:L163"/>
    <mergeCell ref="X163:Z163"/>
    <mergeCell ref="C164:E164"/>
    <mergeCell ref="G164:I164"/>
    <mergeCell ref="J164:L164"/>
    <mergeCell ref="X164:Z164"/>
    <mergeCell ref="C161:E161"/>
    <mergeCell ref="G161:I161"/>
    <mergeCell ref="J161:L161"/>
    <mergeCell ref="X161:Z161"/>
    <mergeCell ref="C162:E162"/>
    <mergeCell ref="G162:I162"/>
    <mergeCell ref="J162:L162"/>
    <mergeCell ref="X162:Z162"/>
    <mergeCell ref="C159:E159"/>
    <mergeCell ref="G159:I159"/>
    <mergeCell ref="J159:L159"/>
    <mergeCell ref="X159:Z159"/>
    <mergeCell ref="C160:E160"/>
    <mergeCell ref="G160:I160"/>
    <mergeCell ref="J160:L160"/>
    <mergeCell ref="X160:Z160"/>
    <mergeCell ref="C157:E157"/>
    <mergeCell ref="G157:I157"/>
    <mergeCell ref="J157:L157"/>
    <mergeCell ref="X157:Z157"/>
    <mergeCell ref="C158:E158"/>
    <mergeCell ref="G158:I158"/>
    <mergeCell ref="J158:L158"/>
    <mergeCell ref="X158:Z158"/>
    <mergeCell ref="C155:E155"/>
    <mergeCell ref="G155:I155"/>
    <mergeCell ref="J155:L155"/>
    <mergeCell ref="X155:Z155"/>
    <mergeCell ref="C156:E156"/>
    <mergeCell ref="G156:I156"/>
    <mergeCell ref="J156:L156"/>
    <mergeCell ref="X156:Z156"/>
    <mergeCell ref="C153:E153"/>
    <mergeCell ref="G153:I153"/>
    <mergeCell ref="J153:L153"/>
    <mergeCell ref="X153:Z153"/>
    <mergeCell ref="C154:E154"/>
    <mergeCell ref="G154:I154"/>
    <mergeCell ref="J154:L154"/>
    <mergeCell ref="X154:Z154"/>
    <mergeCell ref="C151:E151"/>
    <mergeCell ref="G151:I151"/>
    <mergeCell ref="J151:L151"/>
    <mergeCell ref="X151:Z151"/>
    <mergeCell ref="C152:E152"/>
    <mergeCell ref="G152:I152"/>
    <mergeCell ref="J152:L152"/>
    <mergeCell ref="X152:Z152"/>
    <mergeCell ref="C149:E149"/>
    <mergeCell ref="G149:I149"/>
    <mergeCell ref="J149:L149"/>
    <mergeCell ref="X149:Z149"/>
    <mergeCell ref="C150:E150"/>
    <mergeCell ref="G150:I150"/>
    <mergeCell ref="J150:L150"/>
    <mergeCell ref="X150:Z150"/>
    <mergeCell ref="C147:E147"/>
    <mergeCell ref="G147:I147"/>
    <mergeCell ref="J147:L147"/>
    <mergeCell ref="X147:Z147"/>
    <mergeCell ref="C148:E148"/>
    <mergeCell ref="G148:I148"/>
    <mergeCell ref="J148:L148"/>
    <mergeCell ref="X148:Z148"/>
    <mergeCell ref="C145:E145"/>
    <mergeCell ref="G145:I145"/>
    <mergeCell ref="J145:L145"/>
    <mergeCell ref="X145:Z145"/>
    <mergeCell ref="C146:E146"/>
    <mergeCell ref="G146:I146"/>
    <mergeCell ref="J146:L146"/>
    <mergeCell ref="X146:Z146"/>
    <mergeCell ref="C143:E143"/>
    <mergeCell ref="G143:I143"/>
    <mergeCell ref="J143:L143"/>
    <mergeCell ref="X143:Z143"/>
    <mergeCell ref="C144:E144"/>
    <mergeCell ref="G144:I144"/>
    <mergeCell ref="J144:L144"/>
    <mergeCell ref="X144:Z144"/>
    <mergeCell ref="C141:E141"/>
    <mergeCell ref="G141:I141"/>
    <mergeCell ref="J141:L141"/>
    <mergeCell ref="X141:Z141"/>
    <mergeCell ref="C142:E142"/>
    <mergeCell ref="G142:I142"/>
    <mergeCell ref="J142:L142"/>
    <mergeCell ref="X142:Z142"/>
    <mergeCell ref="C139:E139"/>
    <mergeCell ref="G139:I139"/>
    <mergeCell ref="J139:L139"/>
    <mergeCell ref="X139:Z139"/>
    <mergeCell ref="C140:E140"/>
    <mergeCell ref="G140:I140"/>
    <mergeCell ref="J140:L140"/>
    <mergeCell ref="X140:Z140"/>
    <mergeCell ref="AK134:AK138"/>
    <mergeCell ref="AM134:AM138"/>
    <mergeCell ref="G135:I135"/>
    <mergeCell ref="X135:Z135"/>
    <mergeCell ref="G136:I136"/>
    <mergeCell ref="X136:Z136"/>
    <mergeCell ref="G137:I137"/>
    <mergeCell ref="X137:Z137"/>
    <mergeCell ref="G138:I138"/>
    <mergeCell ref="X138:Z138"/>
    <mergeCell ref="V134:V138"/>
    <mergeCell ref="X134:Z134"/>
    <mergeCell ref="AC134:AC138"/>
    <mergeCell ref="AD134:AD138"/>
    <mergeCell ref="AE134:AE138"/>
    <mergeCell ref="AI134:AI138"/>
    <mergeCell ref="M134:M138"/>
    <mergeCell ref="N134:N138"/>
    <mergeCell ref="O134:O138"/>
    <mergeCell ref="P134:P138"/>
    <mergeCell ref="Q134:Q138"/>
    <mergeCell ref="R134:R138"/>
    <mergeCell ref="A134:A138"/>
    <mergeCell ref="B134:B138"/>
    <mergeCell ref="C134:E138"/>
    <mergeCell ref="F134:F138"/>
    <mergeCell ref="G134:I134"/>
    <mergeCell ref="J134:L138"/>
    <mergeCell ref="AI130:AI133"/>
    <mergeCell ref="AK130:AK133"/>
    <mergeCell ref="AM130:AM133"/>
    <mergeCell ref="G131:I131"/>
    <mergeCell ref="X131:Z131"/>
    <mergeCell ref="G132:I132"/>
    <mergeCell ref="X132:Z132"/>
    <mergeCell ref="G133:I133"/>
    <mergeCell ref="X133:Z133"/>
    <mergeCell ref="V130:V133"/>
    <mergeCell ref="X130:Z130"/>
    <mergeCell ref="AB130:AB133"/>
    <mergeCell ref="AC130:AC133"/>
    <mergeCell ref="AD130:AD133"/>
    <mergeCell ref="AE130:AE133"/>
    <mergeCell ref="M130:M133"/>
    <mergeCell ref="N130:N133"/>
    <mergeCell ref="O130:O133"/>
    <mergeCell ref="P130:P133"/>
    <mergeCell ref="Q130:Q133"/>
    <mergeCell ref="R130:R133"/>
    <mergeCell ref="A130:A133"/>
    <mergeCell ref="B130:B133"/>
    <mergeCell ref="C130:E133"/>
    <mergeCell ref="F130:F133"/>
    <mergeCell ref="G130:I130"/>
    <mergeCell ref="J130:L133"/>
    <mergeCell ref="AK127:AK129"/>
    <mergeCell ref="AM127:AM129"/>
    <mergeCell ref="G128:I128"/>
    <mergeCell ref="X128:Z128"/>
    <mergeCell ref="G129:I129"/>
    <mergeCell ref="X129:Z129"/>
    <mergeCell ref="V127:V129"/>
    <mergeCell ref="X127:Z127"/>
    <mergeCell ref="AC127:AC129"/>
    <mergeCell ref="AD127:AD129"/>
    <mergeCell ref="AE127:AE129"/>
    <mergeCell ref="AI127:AI129"/>
    <mergeCell ref="M127:M129"/>
    <mergeCell ref="N127:N129"/>
    <mergeCell ref="O127:O129"/>
    <mergeCell ref="P127:P129"/>
    <mergeCell ref="Q127:Q129"/>
    <mergeCell ref="R127:R129"/>
    <mergeCell ref="A127:A129"/>
    <mergeCell ref="B127:B129"/>
    <mergeCell ref="C127:E129"/>
    <mergeCell ref="F127:F129"/>
    <mergeCell ref="G127:I127"/>
    <mergeCell ref="J127:L129"/>
    <mergeCell ref="X123:Z123"/>
    <mergeCell ref="G124:I124"/>
    <mergeCell ref="X124:Z124"/>
    <mergeCell ref="G125:I125"/>
    <mergeCell ref="X125:Z125"/>
    <mergeCell ref="G126:I126"/>
    <mergeCell ref="X126:Z126"/>
    <mergeCell ref="AI115:AI126"/>
    <mergeCell ref="AK115:AK126"/>
    <mergeCell ref="AM115:AM126"/>
    <mergeCell ref="G116:I116"/>
    <mergeCell ref="X116:Z116"/>
    <mergeCell ref="G117:I117"/>
    <mergeCell ref="X117:Z117"/>
    <mergeCell ref="G118:I118"/>
    <mergeCell ref="X118:Z118"/>
    <mergeCell ref="G119:I119"/>
    <mergeCell ref="V115:V126"/>
    <mergeCell ref="X115:Z115"/>
    <mergeCell ref="AB115:AB118"/>
    <mergeCell ref="AC115:AC126"/>
    <mergeCell ref="AD115:AD126"/>
    <mergeCell ref="AE115:AE126"/>
    <mergeCell ref="X119:Z119"/>
    <mergeCell ref="X120:Z120"/>
    <mergeCell ref="X121:Z121"/>
    <mergeCell ref="M115:M126"/>
    <mergeCell ref="N115:N126"/>
    <mergeCell ref="O115:O126"/>
    <mergeCell ref="P115:P126"/>
    <mergeCell ref="Q115:Q126"/>
    <mergeCell ref="R115:R126"/>
    <mergeCell ref="A115:A126"/>
    <mergeCell ref="B115:B126"/>
    <mergeCell ref="C115:E126"/>
    <mergeCell ref="F115:F126"/>
    <mergeCell ref="G115:I115"/>
    <mergeCell ref="J115:L126"/>
    <mergeCell ref="G120:I120"/>
    <mergeCell ref="G121:I121"/>
    <mergeCell ref="G122:I122"/>
    <mergeCell ref="G123:I123"/>
    <mergeCell ref="C113:E113"/>
    <mergeCell ref="G113:I113"/>
    <mergeCell ref="J113:L113"/>
    <mergeCell ref="C114:E114"/>
    <mergeCell ref="G114:I114"/>
    <mergeCell ref="J114:L114"/>
    <mergeCell ref="C111:E111"/>
    <mergeCell ref="G111:I111"/>
    <mergeCell ref="J111:L111"/>
    <mergeCell ref="X111:Z111"/>
    <mergeCell ref="C112:E112"/>
    <mergeCell ref="G112:I112"/>
    <mergeCell ref="J112:L112"/>
    <mergeCell ref="X112:Z112"/>
    <mergeCell ref="C109:E109"/>
    <mergeCell ref="G109:I109"/>
    <mergeCell ref="J109:L109"/>
    <mergeCell ref="X109:Z109"/>
    <mergeCell ref="C110:E110"/>
    <mergeCell ref="G110:I110"/>
    <mergeCell ref="J110:L110"/>
    <mergeCell ref="X110:Z110"/>
    <mergeCell ref="C107:E107"/>
    <mergeCell ref="G107:I107"/>
    <mergeCell ref="J107:L107"/>
    <mergeCell ref="X107:Z107"/>
    <mergeCell ref="C108:E108"/>
    <mergeCell ref="G108:I108"/>
    <mergeCell ref="J108:L108"/>
    <mergeCell ref="X108:Z108"/>
    <mergeCell ref="C105:E105"/>
    <mergeCell ref="G105:I105"/>
    <mergeCell ref="J105:L105"/>
    <mergeCell ref="X105:Z105"/>
    <mergeCell ref="C106:E106"/>
    <mergeCell ref="G106:I106"/>
    <mergeCell ref="J106:L106"/>
    <mergeCell ref="X106:Z106"/>
    <mergeCell ref="C103:E103"/>
    <mergeCell ref="G103:I103"/>
    <mergeCell ref="J103:L103"/>
    <mergeCell ref="X103:Z103"/>
    <mergeCell ref="C104:E104"/>
    <mergeCell ref="G104:I104"/>
    <mergeCell ref="J104:L104"/>
    <mergeCell ref="X104:Z104"/>
    <mergeCell ref="C101:E101"/>
    <mergeCell ref="G101:I101"/>
    <mergeCell ref="J101:L101"/>
    <mergeCell ref="X101:Z101"/>
    <mergeCell ref="C102:E102"/>
    <mergeCell ref="G102:I102"/>
    <mergeCell ref="J102:L102"/>
    <mergeCell ref="X102:Z102"/>
    <mergeCell ref="C99:E99"/>
    <mergeCell ref="G99:I99"/>
    <mergeCell ref="J99:L99"/>
    <mergeCell ref="X99:Z99"/>
    <mergeCell ref="C100:E100"/>
    <mergeCell ref="G100:I100"/>
    <mergeCell ref="J100:L100"/>
    <mergeCell ref="X100:Z100"/>
    <mergeCell ref="C97:E97"/>
    <mergeCell ref="G97:I97"/>
    <mergeCell ref="J97:L97"/>
    <mergeCell ref="X97:Z97"/>
    <mergeCell ref="C98:E98"/>
    <mergeCell ref="G98:I98"/>
    <mergeCell ref="J98:L98"/>
    <mergeCell ref="X98:Z98"/>
    <mergeCell ref="C95:E95"/>
    <mergeCell ref="G95:I95"/>
    <mergeCell ref="J95:L95"/>
    <mergeCell ref="X95:Z95"/>
    <mergeCell ref="C96:E96"/>
    <mergeCell ref="G96:I96"/>
    <mergeCell ref="J96:L96"/>
    <mergeCell ref="X96:Z96"/>
    <mergeCell ref="C93:E93"/>
    <mergeCell ref="G93:I93"/>
    <mergeCell ref="J93:L93"/>
    <mergeCell ref="X93:Z93"/>
    <mergeCell ref="C94:E94"/>
    <mergeCell ref="G94:I94"/>
    <mergeCell ref="J94:L94"/>
    <mergeCell ref="X94:Z94"/>
    <mergeCell ref="C91:E91"/>
    <mergeCell ref="G91:I91"/>
    <mergeCell ref="J91:L91"/>
    <mergeCell ref="X91:Z91"/>
    <mergeCell ref="C92:E92"/>
    <mergeCell ref="G92:I92"/>
    <mergeCell ref="J92:L92"/>
    <mergeCell ref="X92:Z92"/>
    <mergeCell ref="C89:E89"/>
    <mergeCell ref="G89:I89"/>
    <mergeCell ref="J89:L89"/>
    <mergeCell ref="X89:Z89"/>
    <mergeCell ref="C90:E90"/>
    <mergeCell ref="G90:I90"/>
    <mergeCell ref="J90:L90"/>
    <mergeCell ref="X90:Z90"/>
    <mergeCell ref="C87:E87"/>
    <mergeCell ref="G87:I87"/>
    <mergeCell ref="J87:L87"/>
    <mergeCell ref="X87:Z87"/>
    <mergeCell ref="C88:E88"/>
    <mergeCell ref="G88:I88"/>
    <mergeCell ref="J88:L88"/>
    <mergeCell ref="X88:Z88"/>
    <mergeCell ref="C85:E85"/>
    <mergeCell ref="G85:I85"/>
    <mergeCell ref="J85:L85"/>
    <mergeCell ref="X85:Z85"/>
    <mergeCell ref="C86:E86"/>
    <mergeCell ref="G86:I86"/>
    <mergeCell ref="J86:L86"/>
    <mergeCell ref="X86:Z86"/>
    <mergeCell ref="C83:E83"/>
    <mergeCell ref="G83:I83"/>
    <mergeCell ref="J83:L83"/>
    <mergeCell ref="X83:Z83"/>
    <mergeCell ref="C84:E84"/>
    <mergeCell ref="G84:I84"/>
    <mergeCell ref="J84:L84"/>
    <mergeCell ref="X84:Z84"/>
    <mergeCell ref="C81:E81"/>
    <mergeCell ref="G81:I81"/>
    <mergeCell ref="J81:L81"/>
    <mergeCell ref="X81:Z81"/>
    <mergeCell ref="C82:E82"/>
    <mergeCell ref="G82:I82"/>
    <mergeCell ref="J82:L82"/>
    <mergeCell ref="X82:Z82"/>
    <mergeCell ref="C79:E79"/>
    <mergeCell ref="G79:I79"/>
    <mergeCell ref="J79:L79"/>
    <mergeCell ref="X79:Z79"/>
    <mergeCell ref="C80:E80"/>
    <mergeCell ref="G80:I80"/>
    <mergeCell ref="J80:L80"/>
    <mergeCell ref="X80:Z80"/>
    <mergeCell ref="C77:E77"/>
    <mergeCell ref="G77:I77"/>
    <mergeCell ref="J77:L77"/>
    <mergeCell ref="X77:Z77"/>
    <mergeCell ref="C78:E78"/>
    <mergeCell ref="G78:I78"/>
    <mergeCell ref="J78:L78"/>
    <mergeCell ref="X78:Z78"/>
    <mergeCell ref="C75:E75"/>
    <mergeCell ref="G75:I75"/>
    <mergeCell ref="J75:L75"/>
    <mergeCell ref="X75:Z75"/>
    <mergeCell ref="C76:E76"/>
    <mergeCell ref="G76:I76"/>
    <mergeCell ref="J76:L76"/>
    <mergeCell ref="X76:Z76"/>
    <mergeCell ref="AW70:AW74"/>
    <mergeCell ref="R70:R75"/>
    <mergeCell ref="AX70:AX74"/>
    <mergeCell ref="G71:I71"/>
    <mergeCell ref="X71:Z71"/>
    <mergeCell ref="G72:I72"/>
    <mergeCell ref="X72:Z72"/>
    <mergeCell ref="G73:I73"/>
    <mergeCell ref="X73:Z73"/>
    <mergeCell ref="G74:I74"/>
    <mergeCell ref="X74:Z74"/>
    <mergeCell ref="AQ70:AQ74"/>
    <mergeCell ref="AR70:AR74"/>
    <mergeCell ref="AS70:AS74"/>
    <mergeCell ref="AT70:AT74"/>
    <mergeCell ref="AU70:AU74"/>
    <mergeCell ref="AV70:AV74"/>
    <mergeCell ref="AI70:AI74"/>
    <mergeCell ref="AK70:AK74"/>
    <mergeCell ref="AM70:AM74"/>
    <mergeCell ref="AN70:AN74"/>
    <mergeCell ref="AO70:AO74"/>
    <mergeCell ref="AP70:AP74"/>
    <mergeCell ref="U70:U74"/>
    <mergeCell ref="AE70:AE74"/>
    <mergeCell ref="M70:M74"/>
    <mergeCell ref="N70:N74"/>
    <mergeCell ref="O70:O74"/>
    <mergeCell ref="P70:P74"/>
    <mergeCell ref="Q70:Q74"/>
    <mergeCell ref="A70:A74"/>
    <mergeCell ref="B70:B74"/>
    <mergeCell ref="C70:E74"/>
    <mergeCell ref="F70:F74"/>
    <mergeCell ref="G70:I70"/>
    <mergeCell ref="J70:L74"/>
    <mergeCell ref="AW66:AW69"/>
    <mergeCell ref="AX66:AX69"/>
    <mergeCell ref="G67:I67"/>
    <mergeCell ref="X67:Z67"/>
    <mergeCell ref="G68:I68"/>
    <mergeCell ref="X68:Z68"/>
    <mergeCell ref="G69:I69"/>
    <mergeCell ref="X69:Z69"/>
    <mergeCell ref="AQ66:AQ69"/>
    <mergeCell ref="AR66:AR69"/>
    <mergeCell ref="AS66:AS69"/>
    <mergeCell ref="AT66:AT69"/>
    <mergeCell ref="AU66:AU69"/>
    <mergeCell ref="AV66:AV69"/>
    <mergeCell ref="AI66:AI69"/>
    <mergeCell ref="AK66:AK69"/>
    <mergeCell ref="AM66:AM69"/>
    <mergeCell ref="AN66:AN69"/>
    <mergeCell ref="AO66:AO69"/>
    <mergeCell ref="AP66:AP69"/>
    <mergeCell ref="V66:V69"/>
    <mergeCell ref="X66:Z66"/>
    <mergeCell ref="AB66:AB69"/>
    <mergeCell ref="AC66:AC69"/>
    <mergeCell ref="AD66:AD69"/>
    <mergeCell ref="AE66:AE69"/>
    <mergeCell ref="M66:M69"/>
    <mergeCell ref="N66:N69"/>
    <mergeCell ref="O66:O69"/>
    <mergeCell ref="P66:P69"/>
    <mergeCell ref="Q66:Q69"/>
    <mergeCell ref="R66:R69"/>
    <mergeCell ref="A66:A69"/>
    <mergeCell ref="B66:B69"/>
    <mergeCell ref="C66:E69"/>
    <mergeCell ref="F66:F69"/>
    <mergeCell ref="G66:I66"/>
    <mergeCell ref="J66:L69"/>
    <mergeCell ref="AX63:AX65"/>
    <mergeCell ref="G64:I64"/>
    <mergeCell ref="X64:Z64"/>
    <mergeCell ref="AB64:AB65"/>
    <mergeCell ref="G65:I65"/>
    <mergeCell ref="X65:Z65"/>
    <mergeCell ref="AR63:AR65"/>
    <mergeCell ref="AS63:AS65"/>
    <mergeCell ref="AT63:AT65"/>
    <mergeCell ref="AU63:AU65"/>
    <mergeCell ref="AV63:AV65"/>
    <mergeCell ref="AW63:AW65"/>
    <mergeCell ref="AK63:AK65"/>
    <mergeCell ref="AM63:AM65"/>
    <mergeCell ref="AN63:AN65"/>
    <mergeCell ref="AO63:AO65"/>
    <mergeCell ref="AP63:AP65"/>
    <mergeCell ref="AQ63:AQ65"/>
    <mergeCell ref="V63:V65"/>
    <mergeCell ref="X63:Z63"/>
    <mergeCell ref="AC63:AC65"/>
    <mergeCell ref="AD63:AD65"/>
    <mergeCell ref="AE63:AE65"/>
    <mergeCell ref="AI63:AI65"/>
    <mergeCell ref="M63:M65"/>
    <mergeCell ref="N63:N65"/>
    <mergeCell ref="O63:O65"/>
    <mergeCell ref="P63:P65"/>
    <mergeCell ref="Q63:Q65"/>
    <mergeCell ref="R63:R65"/>
    <mergeCell ref="A63:A65"/>
    <mergeCell ref="B63:B65"/>
    <mergeCell ref="C63:E65"/>
    <mergeCell ref="F63:F65"/>
    <mergeCell ref="G63:I63"/>
    <mergeCell ref="J63:L65"/>
    <mergeCell ref="G60:I60"/>
    <mergeCell ref="X60:Z60"/>
    <mergeCell ref="G61:I61"/>
    <mergeCell ref="X61:Z61"/>
    <mergeCell ref="G62:I62"/>
    <mergeCell ref="X62:Z62"/>
    <mergeCell ref="AC52:AC62"/>
    <mergeCell ref="AD52:AD62"/>
    <mergeCell ref="X56:Z56"/>
    <mergeCell ref="J52:L62"/>
    <mergeCell ref="M52:M62"/>
    <mergeCell ref="N52:N62"/>
    <mergeCell ref="O52:O62"/>
    <mergeCell ref="P52:P62"/>
    <mergeCell ref="Q52:Q62"/>
    <mergeCell ref="G57:I57"/>
    <mergeCell ref="X57:Z57"/>
    <mergeCell ref="G58:I58"/>
    <mergeCell ref="X58:Z58"/>
    <mergeCell ref="G59:I59"/>
    <mergeCell ref="X59:Z59"/>
    <mergeCell ref="AV52:AV62"/>
    <mergeCell ref="AW52:AW62"/>
    <mergeCell ref="AX52:AX62"/>
    <mergeCell ref="G53:I53"/>
    <mergeCell ref="X53:Z53"/>
    <mergeCell ref="G54:I54"/>
    <mergeCell ref="X54:Z54"/>
    <mergeCell ref="G55:I55"/>
    <mergeCell ref="X55:Z55"/>
    <mergeCell ref="G56:I56"/>
    <mergeCell ref="AP52:AP62"/>
    <mergeCell ref="AQ52:AQ62"/>
    <mergeCell ref="AR52:AR62"/>
    <mergeCell ref="AS52:AS62"/>
    <mergeCell ref="AT52:AT62"/>
    <mergeCell ref="AU52:AU62"/>
    <mergeCell ref="AE52:AE62"/>
    <mergeCell ref="AI52:AI62"/>
    <mergeCell ref="AK52:AK62"/>
    <mergeCell ref="AM52:AM62"/>
    <mergeCell ref="AN52:AN62"/>
    <mergeCell ref="AO52:AO62"/>
    <mergeCell ref="R52:R62"/>
    <mergeCell ref="V52:V62"/>
    <mergeCell ref="X52:Z52"/>
    <mergeCell ref="AB52:AB62"/>
    <mergeCell ref="AW48:AW51"/>
    <mergeCell ref="AX48:AX51"/>
    <mergeCell ref="G49:I49"/>
    <mergeCell ref="G50:I50"/>
    <mergeCell ref="G51:I51"/>
    <mergeCell ref="A52:A62"/>
    <mergeCell ref="B52:B62"/>
    <mergeCell ref="C52:E62"/>
    <mergeCell ref="F52:F62"/>
    <mergeCell ref="G52:I52"/>
    <mergeCell ref="AQ48:AQ51"/>
    <mergeCell ref="AR48:AR51"/>
    <mergeCell ref="AS48:AS51"/>
    <mergeCell ref="AT48:AT51"/>
    <mergeCell ref="AU48:AU51"/>
    <mergeCell ref="AV48:AV51"/>
    <mergeCell ref="AI48:AI51"/>
    <mergeCell ref="AK48:AK51"/>
    <mergeCell ref="AM48:AM51"/>
    <mergeCell ref="AN48:AN51"/>
    <mergeCell ref="AO48:AO51"/>
    <mergeCell ref="AP48:AP51"/>
    <mergeCell ref="V48:V51"/>
    <mergeCell ref="X48:Z51"/>
    <mergeCell ref="AB48:AB51"/>
    <mergeCell ref="AC48:AC51"/>
    <mergeCell ref="AD48:AD51"/>
    <mergeCell ref="AE48:AE51"/>
    <mergeCell ref="M48:M51"/>
    <mergeCell ref="N48:N51"/>
    <mergeCell ref="O48:O51"/>
    <mergeCell ref="P48:P51"/>
    <mergeCell ref="Q48:Q51"/>
    <mergeCell ref="R48:R51"/>
    <mergeCell ref="A48:A51"/>
    <mergeCell ref="B48:B51"/>
    <mergeCell ref="C48:E51"/>
    <mergeCell ref="F48:F51"/>
    <mergeCell ref="G48:I48"/>
    <mergeCell ref="J48:L51"/>
    <mergeCell ref="AW43:AW47"/>
    <mergeCell ref="AX43:AX47"/>
    <mergeCell ref="G44:I44"/>
    <mergeCell ref="G45:I45"/>
    <mergeCell ref="G46:I46"/>
    <mergeCell ref="G47:I47"/>
    <mergeCell ref="AQ43:AQ47"/>
    <mergeCell ref="AR43:AR47"/>
    <mergeCell ref="AS43:AS47"/>
    <mergeCell ref="AT43:AT47"/>
    <mergeCell ref="AU43:AU47"/>
    <mergeCell ref="AV43:AV47"/>
    <mergeCell ref="AI43:AI47"/>
    <mergeCell ref="AK43:AK47"/>
    <mergeCell ref="AM43:AM47"/>
    <mergeCell ref="AN43:AN47"/>
    <mergeCell ref="AO43:AO47"/>
    <mergeCell ref="AP43:AP47"/>
    <mergeCell ref="V43:V47"/>
    <mergeCell ref="X43:Z47"/>
    <mergeCell ref="AB43:AB46"/>
    <mergeCell ref="AC43:AC47"/>
    <mergeCell ref="AD43:AD47"/>
    <mergeCell ref="AE43:AE47"/>
    <mergeCell ref="M43:M47"/>
    <mergeCell ref="N43:N47"/>
    <mergeCell ref="O43:O47"/>
    <mergeCell ref="P43:P47"/>
    <mergeCell ref="Q43:Q47"/>
    <mergeCell ref="R43:R47"/>
    <mergeCell ref="AW40:AW42"/>
    <mergeCell ref="AX40:AX42"/>
    <mergeCell ref="G41:I41"/>
    <mergeCell ref="G42:I42"/>
    <mergeCell ref="A43:A47"/>
    <mergeCell ref="B43:B47"/>
    <mergeCell ref="C43:E47"/>
    <mergeCell ref="F43:F47"/>
    <mergeCell ref="G43:I43"/>
    <mergeCell ref="J43:L47"/>
    <mergeCell ref="AQ40:AQ42"/>
    <mergeCell ref="AR40:AR42"/>
    <mergeCell ref="AS40:AS42"/>
    <mergeCell ref="AT40:AT42"/>
    <mergeCell ref="AU40:AU42"/>
    <mergeCell ref="AV40:AV42"/>
    <mergeCell ref="AI40:AI42"/>
    <mergeCell ref="AK40:AK42"/>
    <mergeCell ref="AM40:AM42"/>
    <mergeCell ref="AN40:AN42"/>
    <mergeCell ref="AO40:AO42"/>
    <mergeCell ref="AP40:AP42"/>
    <mergeCell ref="V40:V42"/>
    <mergeCell ref="X40:Z42"/>
    <mergeCell ref="AB40:AB42"/>
    <mergeCell ref="AC40:AC42"/>
    <mergeCell ref="AD40:AD42"/>
    <mergeCell ref="AE40:AE42"/>
    <mergeCell ref="M40:M42"/>
    <mergeCell ref="N40:N42"/>
    <mergeCell ref="O40:O42"/>
    <mergeCell ref="P40:P42"/>
    <mergeCell ref="Q40:Q42"/>
    <mergeCell ref="R40:R42"/>
    <mergeCell ref="A40:A42"/>
    <mergeCell ref="B40:B42"/>
    <mergeCell ref="C40:E42"/>
    <mergeCell ref="F40:F42"/>
    <mergeCell ref="G40:I40"/>
    <mergeCell ref="J40:L42"/>
    <mergeCell ref="AT36:AT39"/>
    <mergeCell ref="AU36:AU39"/>
    <mergeCell ref="AV36:AV39"/>
    <mergeCell ref="AW36:AW39"/>
    <mergeCell ref="AX36:AX39"/>
    <mergeCell ref="G37:I37"/>
    <mergeCell ref="X37:Z37"/>
    <mergeCell ref="G38:I38"/>
    <mergeCell ref="X38:Z38"/>
    <mergeCell ref="G39:I39"/>
    <mergeCell ref="AN36:AN39"/>
    <mergeCell ref="AO36:AO39"/>
    <mergeCell ref="AP36:AP39"/>
    <mergeCell ref="AQ36:AQ39"/>
    <mergeCell ref="AR36:AR39"/>
    <mergeCell ref="AS36:AS39"/>
    <mergeCell ref="AB36:AB39"/>
    <mergeCell ref="AD36:AD39"/>
    <mergeCell ref="AE36:AE39"/>
    <mergeCell ref="AI36:AI39"/>
    <mergeCell ref="AK36:AK39"/>
    <mergeCell ref="AM36:AM39"/>
    <mergeCell ref="O36:O39"/>
    <mergeCell ref="P36:P39"/>
    <mergeCell ref="Q36:Q39"/>
    <mergeCell ref="R36:R39"/>
    <mergeCell ref="V36:V39"/>
    <mergeCell ref="X36:Z36"/>
    <mergeCell ref="X39:Z39"/>
    <mergeCell ref="G35:I35"/>
    <mergeCell ref="X35:Z35"/>
    <mergeCell ref="A36:A39"/>
    <mergeCell ref="B36:B39"/>
    <mergeCell ref="C36:E39"/>
    <mergeCell ref="F36:F39"/>
    <mergeCell ref="G36:I36"/>
    <mergeCell ref="J36:L39"/>
    <mergeCell ref="M36:M39"/>
    <mergeCell ref="N36:N39"/>
    <mergeCell ref="G30:I30"/>
    <mergeCell ref="X30:Z30"/>
    <mergeCell ref="G31:I31"/>
    <mergeCell ref="X31:Z31"/>
    <mergeCell ref="AB31:AB35"/>
    <mergeCell ref="G32:I32"/>
    <mergeCell ref="X32:Z32"/>
    <mergeCell ref="G33:I33"/>
    <mergeCell ref="X33:Z33"/>
    <mergeCell ref="G34:I34"/>
    <mergeCell ref="M29:M35"/>
    <mergeCell ref="N29:N35"/>
    <mergeCell ref="O29:O35"/>
    <mergeCell ref="P29:P35"/>
    <mergeCell ref="Q29:Q35"/>
    <mergeCell ref="R29:R35"/>
    <mergeCell ref="AS29:AS35"/>
    <mergeCell ref="AT29:AT35"/>
    <mergeCell ref="AU29:AU35"/>
    <mergeCell ref="AV29:AV35"/>
    <mergeCell ref="AW29:AW35"/>
    <mergeCell ref="AX29:AX35"/>
    <mergeCell ref="AM29:AM35"/>
    <mergeCell ref="AN29:AN35"/>
    <mergeCell ref="AO29:AO35"/>
    <mergeCell ref="AP29:AP35"/>
    <mergeCell ref="AQ29:AQ35"/>
    <mergeCell ref="AR29:AR35"/>
    <mergeCell ref="V29:V35"/>
    <mergeCell ref="X29:Z29"/>
    <mergeCell ref="AD29:AD35"/>
    <mergeCell ref="AE29:AE35"/>
    <mergeCell ref="AI29:AI35"/>
    <mergeCell ref="AK29:AK35"/>
    <mergeCell ref="X34:Z34"/>
    <mergeCell ref="C28:E28"/>
    <mergeCell ref="G28:I28"/>
    <mergeCell ref="J28:L28"/>
    <mergeCell ref="X28:Z28"/>
    <mergeCell ref="A29:A35"/>
    <mergeCell ref="B29:B35"/>
    <mergeCell ref="C29:E35"/>
    <mergeCell ref="F29:F35"/>
    <mergeCell ref="G29:I29"/>
    <mergeCell ref="J29:L35"/>
    <mergeCell ref="AS26:AS27"/>
    <mergeCell ref="AT26:AT27"/>
    <mergeCell ref="AU26:AU27"/>
    <mergeCell ref="AV26:AV27"/>
    <mergeCell ref="AW26:AW27"/>
    <mergeCell ref="AX26:AX27"/>
    <mergeCell ref="AM26:AM27"/>
    <mergeCell ref="AN26:AN27"/>
    <mergeCell ref="AO26:AO27"/>
    <mergeCell ref="AP26:AP27"/>
    <mergeCell ref="AQ26:AQ27"/>
    <mergeCell ref="AR26:AR27"/>
    <mergeCell ref="V26:V27"/>
    <mergeCell ref="X26:Z26"/>
    <mergeCell ref="AD26:AD27"/>
    <mergeCell ref="AE26:AE27"/>
    <mergeCell ref="AI26:AI27"/>
    <mergeCell ref="AK26:AK27"/>
    <mergeCell ref="X27:Z27"/>
    <mergeCell ref="M26:M27"/>
    <mergeCell ref="N26:N27"/>
    <mergeCell ref="O26:O27"/>
    <mergeCell ref="P26:P27"/>
    <mergeCell ref="Q26:Q27"/>
    <mergeCell ref="R26:R27"/>
    <mergeCell ref="A26:A27"/>
    <mergeCell ref="B26:B27"/>
    <mergeCell ref="C26:E27"/>
    <mergeCell ref="F26:F27"/>
    <mergeCell ref="G26:I26"/>
    <mergeCell ref="J26:L27"/>
    <mergeCell ref="G27:I27"/>
    <mergeCell ref="AX22:AX25"/>
    <mergeCell ref="G23:I23"/>
    <mergeCell ref="X23:Z23"/>
    <mergeCell ref="G24:I24"/>
    <mergeCell ref="X24:Z24"/>
    <mergeCell ref="AC24:AC25"/>
    <mergeCell ref="G25:I25"/>
    <mergeCell ref="X25:Z25"/>
    <mergeCell ref="AR22:AR25"/>
    <mergeCell ref="AS22:AS25"/>
    <mergeCell ref="AT22:AT25"/>
    <mergeCell ref="AU22:AU25"/>
    <mergeCell ref="AV22:AV25"/>
    <mergeCell ref="AW22:AW25"/>
    <mergeCell ref="AK22:AK25"/>
    <mergeCell ref="AM22:AM25"/>
    <mergeCell ref="AN22:AN25"/>
    <mergeCell ref="AO22:AO25"/>
    <mergeCell ref="AP22:AP25"/>
    <mergeCell ref="AQ22:AQ25"/>
    <mergeCell ref="V22:V25"/>
    <mergeCell ref="X22:Z22"/>
    <mergeCell ref="AB22:AB25"/>
    <mergeCell ref="AD22:AD25"/>
    <mergeCell ref="AE22:AE25"/>
    <mergeCell ref="AI22:AI25"/>
    <mergeCell ref="M22:M25"/>
    <mergeCell ref="N22:N25"/>
    <mergeCell ref="O22:O25"/>
    <mergeCell ref="P22:P25"/>
    <mergeCell ref="Q22:Q25"/>
    <mergeCell ref="R22:R25"/>
    <mergeCell ref="A22:A25"/>
    <mergeCell ref="B22:B25"/>
    <mergeCell ref="C22:E25"/>
    <mergeCell ref="F22:F25"/>
    <mergeCell ref="G22:I22"/>
    <mergeCell ref="J22:L25"/>
    <mergeCell ref="AX18:AX21"/>
    <mergeCell ref="G19:I19"/>
    <mergeCell ref="X19:Z19"/>
    <mergeCell ref="G20:I20"/>
    <mergeCell ref="X20:Z20"/>
    <mergeCell ref="AB20:AB21"/>
    <mergeCell ref="G21:I21"/>
    <mergeCell ref="X21:Z21"/>
    <mergeCell ref="AR18:AR21"/>
    <mergeCell ref="AS18:AS21"/>
    <mergeCell ref="AT18:AT21"/>
    <mergeCell ref="AU18:AU21"/>
    <mergeCell ref="AV18:AV21"/>
    <mergeCell ref="AW18:AW21"/>
    <mergeCell ref="AK18:AK21"/>
    <mergeCell ref="AM18:AM21"/>
    <mergeCell ref="AN18:AN21"/>
    <mergeCell ref="AO18:AO21"/>
    <mergeCell ref="AP18:AP21"/>
    <mergeCell ref="AQ18:AQ21"/>
    <mergeCell ref="V18:V21"/>
    <mergeCell ref="X18:Z18"/>
    <mergeCell ref="AC18:AC21"/>
    <mergeCell ref="AD18:AD21"/>
    <mergeCell ref="AE18:AE21"/>
    <mergeCell ref="AI18:AI21"/>
    <mergeCell ref="M18:M21"/>
    <mergeCell ref="N18:N21"/>
    <mergeCell ref="O18:O21"/>
    <mergeCell ref="P18:P21"/>
    <mergeCell ref="Q18:Q21"/>
    <mergeCell ref="R18:R21"/>
    <mergeCell ref="A18:A21"/>
    <mergeCell ref="B18:B21"/>
    <mergeCell ref="C18:E21"/>
    <mergeCell ref="F18:F21"/>
    <mergeCell ref="G18:I18"/>
    <mergeCell ref="J18:L21"/>
    <mergeCell ref="AA18:AA21"/>
    <mergeCell ref="AV15:AV17"/>
    <mergeCell ref="AW15:AW17"/>
    <mergeCell ref="AX15:AX17"/>
    <mergeCell ref="G16:I16"/>
    <mergeCell ref="X16:Z16"/>
    <mergeCell ref="AB16:AB17"/>
    <mergeCell ref="G17:I17"/>
    <mergeCell ref="X17:Z17"/>
    <mergeCell ref="AN15:AN17"/>
    <mergeCell ref="AO15:AO17"/>
    <mergeCell ref="AP15:AP17"/>
    <mergeCell ref="AQ15:AQ17"/>
    <mergeCell ref="AR15:AR17"/>
    <mergeCell ref="AS15:AS17"/>
    <mergeCell ref="AC15:AC17"/>
    <mergeCell ref="AD15:AD17"/>
    <mergeCell ref="AE15:AE17"/>
    <mergeCell ref="AI15:AI17"/>
    <mergeCell ref="AK15:AK17"/>
    <mergeCell ref="AM15:AM17"/>
    <mergeCell ref="O15:O17"/>
    <mergeCell ref="P15:P17"/>
    <mergeCell ref="Q15:Q17"/>
    <mergeCell ref="R15:R17"/>
    <mergeCell ref="V15:V17"/>
    <mergeCell ref="X15:Z15"/>
    <mergeCell ref="AA15:AA17"/>
    <mergeCell ref="A15:A17"/>
    <mergeCell ref="B15:B17"/>
    <mergeCell ref="C15:E17"/>
    <mergeCell ref="F15:F17"/>
    <mergeCell ref="G15:I15"/>
    <mergeCell ref="J15:L17"/>
    <mergeCell ref="M15:M17"/>
    <mergeCell ref="N15:N17"/>
    <mergeCell ref="AX9:AX14"/>
    <mergeCell ref="G10:I10"/>
    <mergeCell ref="X10:Z10"/>
    <mergeCell ref="AB10:AB13"/>
    <mergeCell ref="G11:I11"/>
    <mergeCell ref="X11:Z11"/>
    <mergeCell ref="G12:I12"/>
    <mergeCell ref="X12:Z12"/>
    <mergeCell ref="G13:I13"/>
    <mergeCell ref="X13:Z13"/>
    <mergeCell ref="AR9:AR14"/>
    <mergeCell ref="AS9:AS14"/>
    <mergeCell ref="AT9:AT14"/>
    <mergeCell ref="AU9:AU14"/>
    <mergeCell ref="AV9:AV14"/>
    <mergeCell ref="AW9:AW14"/>
    <mergeCell ref="AK9:AK14"/>
    <mergeCell ref="AM9:AM14"/>
    <mergeCell ref="AN9:AN14"/>
    <mergeCell ref="AO9:AO14"/>
    <mergeCell ref="AP9:AP14"/>
    <mergeCell ref="AQ9:AQ14"/>
    <mergeCell ref="AT15:AT17"/>
    <mergeCell ref="AU15:AU17"/>
    <mergeCell ref="AU7:AU8"/>
    <mergeCell ref="AV7:AV8"/>
    <mergeCell ref="AW7:AW8"/>
    <mergeCell ref="AX7:AX8"/>
    <mergeCell ref="A9:A14"/>
    <mergeCell ref="B9:B14"/>
    <mergeCell ref="C9:E14"/>
    <mergeCell ref="F9:F14"/>
    <mergeCell ref="G9:I9"/>
    <mergeCell ref="J9:L14"/>
    <mergeCell ref="AO7:AO8"/>
    <mergeCell ref="AP7:AP8"/>
    <mergeCell ref="AQ7:AQ8"/>
    <mergeCell ref="AR7:AR8"/>
    <mergeCell ref="AS7:AS8"/>
    <mergeCell ref="AT7:AT8"/>
    <mergeCell ref="AB7:AB8"/>
    <mergeCell ref="AC7:AC8"/>
    <mergeCell ref="AD7:AD8"/>
    <mergeCell ref="AE7:AE8"/>
    <mergeCell ref="G14:I14"/>
    <mergeCell ref="X14:Z14"/>
    <mergeCell ref="AA7:AA8"/>
    <mergeCell ref="AA9:AA14"/>
    <mergeCell ref="Z3:AB4"/>
    <mergeCell ref="AC3:AC4"/>
    <mergeCell ref="G1:V1"/>
    <mergeCell ref="X1:Y4"/>
    <mergeCell ref="Z1:AB2"/>
    <mergeCell ref="V9:V14"/>
    <mergeCell ref="X9:Z9"/>
    <mergeCell ref="AC9:AC14"/>
    <mergeCell ref="AD9:AD14"/>
    <mergeCell ref="AE9:AE14"/>
    <mergeCell ref="AI9:AI14"/>
    <mergeCell ref="M9:M14"/>
    <mergeCell ref="N9:N14"/>
    <mergeCell ref="O9:O14"/>
    <mergeCell ref="P9:P14"/>
    <mergeCell ref="Q9:Q14"/>
    <mergeCell ref="R9:R14"/>
    <mergeCell ref="AC1:AC2"/>
    <mergeCell ref="AD1:AN2"/>
    <mergeCell ref="AP1:AS1"/>
    <mergeCell ref="AD3:AN4"/>
    <mergeCell ref="AP3:AQ3"/>
    <mergeCell ref="AR3:AS3"/>
    <mergeCell ref="G4:H4"/>
    <mergeCell ref="AI7:AM7"/>
    <mergeCell ref="AN7:AN8"/>
    <mergeCell ref="AT6:AX6"/>
    <mergeCell ref="A7:A8"/>
    <mergeCell ref="B7:B8"/>
    <mergeCell ref="C7:E8"/>
    <mergeCell ref="F7:F8"/>
    <mergeCell ref="G7:I8"/>
    <mergeCell ref="J7:L8"/>
    <mergeCell ref="M7:P7"/>
    <mergeCell ref="Q7:V7"/>
    <mergeCell ref="X7:Z8"/>
    <mergeCell ref="I4:N4"/>
    <mergeCell ref="O4:V4"/>
    <mergeCell ref="AP4:AQ4"/>
    <mergeCell ref="AR4:AS4"/>
    <mergeCell ref="A6:P6"/>
    <mergeCell ref="Q6:V6"/>
    <mergeCell ref="X6:AM6"/>
    <mergeCell ref="AW1:AX4"/>
    <mergeCell ref="G2:V2"/>
    <mergeCell ref="AP2:AQ2"/>
    <mergeCell ref="AR2:AS2"/>
    <mergeCell ref="A3:A4"/>
    <mergeCell ref="G3:H3"/>
    <mergeCell ref="I3:N3"/>
    <mergeCell ref="O3:V3"/>
  </mergeCells>
  <dataValidations count="6">
    <dataValidation type="whole" allowBlank="1" showInputMessage="1" showErrorMessage="1" sqref="AD139:AD166 AD9 AD40 AD15 AD22 AD48 AD18 AD26 AD28:AD29 AD36 AD43 AD134 AD127 AD130 AD75:AD115 UZF9:UZF166 VJB9:VJB166 VSX9:VSX166 WCT9:WCT166 WWL9:WWL166 WMP9:WMP166 JZ9:JZ166 TV9:TV166 ADR9:ADR166 ANN9:ANN166 AXJ9:AXJ166 BHF9:BHF166 BRB9:BRB166 CAX9:CAX166 CKT9:CKT166 CUP9:CUP166 DEL9:DEL166 DOH9:DOH166 DYD9:DYD166 EHZ9:EHZ166 ERV9:ERV166 FBR9:FBR166 FLN9:FLN166 FVJ9:FVJ166 GFF9:GFF166 GPB9:GPB166 GYX9:GYX166 HIT9:HIT166 HSP9:HSP166 ICL9:ICL166 IMH9:IMH166 IWD9:IWD166 JFZ9:JFZ166 JPV9:JPV166 JZR9:JZR166 KJN9:KJN166 KTJ9:KTJ166 LDF9:LDF166 LNB9:LNB166 LWX9:LWX166 MGT9:MGT166 MQP9:MQP166 NAL9:NAL166 NKH9:NKH166 NUD9:NUD166 ODZ9:ODZ166 ONV9:ONV166 OXR9:OXR166 PHN9:PHN166 PRJ9:PRJ166 QBF9:QBF166 QLB9:QLB166 QUX9:QUX166 RET9:RET166 ROP9:ROP166 RYL9:RYL166 SIH9:SIH166 SSD9:SSD166 TBZ9:TBZ166 TLV9:TLV166 TVR9:TVR166 UFN9:UFN166 UPJ9:UPJ166 AD63 AD66 AD70 AD52">
      <formula1>0</formula1>
      <formula2>100</formula2>
    </dataValidation>
    <dataValidation showInputMessage="1" showErrorMessage="1" sqref="AG139:AK166 AI9 AK9 AK22 AI22 AK48 AI15 AK15 AI18 AK18 AI26 AK26 AI28:AI29 AK28:AK29 AI36 AK36 AK40 AI40 AI43 AK43 AI48 AG115:AH138 AI130 AI115 AK115 AI127 AK127 AK130 AI134 AK134 AJ115:AJ138 AG75:AK114 AI66 AI52 AK52 AI63 AK63 AK66 AI70 AK70 WWO9:WWS166 WMS9:WMW166 KC9:KG166 TY9:UC166 ADU9:ADY166 ANQ9:ANU166 AXM9:AXQ166 BHI9:BHM166 BRE9:BRI166 CBA9:CBE166 CKW9:CLA166 CUS9:CUW166 DEO9:DES166 DOK9:DOO166 DYG9:DYK166 EIC9:EIG166 ERY9:ESC166 FBU9:FBY166 FLQ9:FLU166 FVM9:FVQ166 GFI9:GFM166 GPE9:GPI166 GZA9:GZE166 HIW9:HJA166 HSS9:HSW166 ICO9:ICS166 IMK9:IMO166 IWG9:IWK166 JGC9:JGG166 JPY9:JQC166 JZU9:JZY166 KJQ9:KJU166 KTM9:KTQ166 LDI9:LDM166 LNE9:LNI166 LXA9:LXE166 MGW9:MHA166 MQS9:MQW166 NAO9:NAS166 NKK9:NKO166 NUG9:NUK166 OEC9:OEG166 ONY9:OOC166 OXU9:OXY166 PHQ9:PHU166 PRM9:PRQ166 QBI9:QBM166 QLE9:QLI166 QVA9:QVE166 REW9:RFA166 ROS9:ROW166 RYO9:RYS166 SIK9:SIO166 SSG9:SSK166 TCC9:TCG166 TLY9:TMC166 TVU9:TVY166 UFQ9:UFU166 UPM9:UPQ166 UZI9:UZM166 VJE9:VJI166 VTA9:VTE166 WCW9:WDA166 AG9:AH74 AJ9:AJ74"/>
    <dataValidation type="list" showInputMessage="1" showErrorMessage="1" errorTitle="Rechazado" error="Solo son validadas las opciones de la lista" sqref="AE139:AE166 AE9 AE43 AE15 AE22 AE48 AE18 AE26 AE28:AE29 AE36 AE40 AE134 AE127 AE130 AE75:AE115 AE63 AE66 AE70 AE52 WWM9:WWM166 WMQ9:WMQ166 KA9:KA166 TW9:TW166 ADS9:ADS166 ANO9:ANO166 AXK9:AXK166 BHG9:BHG166 BRC9:BRC166 CAY9:CAY166 CKU9:CKU166 CUQ9:CUQ166 DEM9:DEM166 DOI9:DOI166 DYE9:DYE166 EIA9:EIA166 ERW9:ERW166 FBS9:FBS166 FLO9:FLO166 FVK9:FVK166 GFG9:GFG166 GPC9:GPC166 GYY9:GYY166 HIU9:HIU166 HSQ9:HSQ166 ICM9:ICM166 IMI9:IMI166 IWE9:IWE166 JGA9:JGA166 JPW9:JPW166 JZS9:JZS166 KJO9:KJO166 KTK9:KTK166 LDG9:LDG166 LNC9:LNC166 LWY9:LWY166 MGU9:MGU166 MQQ9:MQQ166 NAM9:NAM166 NKI9:NKI166 NUE9:NUE166 OEA9:OEA166 ONW9:ONW166 OXS9:OXS166 PHO9:PHO166 PRK9:PRK166 QBG9:QBG166 QLC9:QLC166 QUY9:QUY166 REU9:REU166 ROQ9:ROQ166 RYM9:RYM166 SII9:SII166 SSE9:SSE166 TCA9:TCA166 TLW9:TLW166 TVS9:TVS166 UFO9:UFO166 UPK9:UPK166 UZG9:UZG166 VJC9:VJC166 VSY9:VSY166 WCU9:WCU166">
      <formula1>Efecto</formula1>
    </dataValidation>
    <dataValidation type="list" allowBlank="1" showInputMessage="1" showErrorMessage="1" sqref="R139:R166 R9 R15 R18 R22 R28:R29 R36 R40 R43 R48 R26 R134 R127 R130 R76:R115 UYU9:UYU166 VIQ9:VIQ166 VSM9:VSM166 WCI9:WCI166 WWA9:WWA166 WME9:WME166 JO9:JO166 TK9:TK166 ADG9:ADG166 ANC9:ANC166 AWY9:AWY166 BGU9:BGU166 BQQ9:BQQ166 CAM9:CAM166 CKI9:CKI166 CUE9:CUE166 DEA9:DEA166 DNW9:DNW166 DXS9:DXS166 EHO9:EHO166 ERK9:ERK166 FBG9:FBG166 FLC9:FLC166 FUY9:FUY166 GEU9:GEU166 GOQ9:GOQ166 GYM9:GYM166 HII9:HII166 HSE9:HSE166 ICA9:ICA166 ILW9:ILW166 IVS9:IVS166 JFO9:JFO166 JPK9:JPK166 JZG9:JZG166 KJC9:KJC166 KSY9:KSY166 LCU9:LCU166 LMQ9:LMQ166 LWM9:LWM166 MGI9:MGI166 MQE9:MQE166 NAA9:NAA166 NJW9:NJW166 NTS9:NTS166 ODO9:ODO166 ONK9:ONK166 OXG9:OXG166 PHC9:PHC166 PQY9:PQY166 QAU9:QAU166 QKQ9:QKQ166 QUM9:QUM166 REI9:REI166 ROE9:ROE166 RYA9:RYA166 SHW9:SHW166 SRS9:SRS166 TBO9:TBO166 TLK9:TLK166 TVG9:TVG166 UFC9:UFC166 UOY9:UOY166 R63 R66 R52">
      <formula1>IMPACTO</formula1>
    </dataValidation>
    <dataValidation type="list" allowBlank="1" showInputMessage="1" showErrorMessage="1" sqref="Q139:Q166 Q9 Q15 Q18 Q22 Q28:Q29 Q36 Q40 Q43 Q48 Q26 Q130 Q127 Q75:Q115 VIP9:VIP166 VSL9:VSL166 WCH9:WCH166 WVZ9:WVZ166 WMD9:WMD166 JN9:JN166 TJ9:TJ166 ADF9:ADF166 ANB9:ANB166 AWX9:AWX166 BGT9:BGT166 BQP9:BQP166 CAL9:CAL166 CKH9:CKH166 CUD9:CUD166 DDZ9:DDZ166 DNV9:DNV166 DXR9:DXR166 EHN9:EHN166 ERJ9:ERJ166 FBF9:FBF166 FLB9:FLB166 FUX9:FUX166 GET9:GET166 GOP9:GOP166 GYL9:GYL166 HIH9:HIH166 HSD9:HSD166 IBZ9:IBZ166 ILV9:ILV166 IVR9:IVR166 JFN9:JFN166 JPJ9:JPJ166 JZF9:JZF166 KJB9:KJB166 KSX9:KSX166 LCT9:LCT166 LMP9:LMP166 LWL9:LWL166 MGH9:MGH166 MQD9:MQD166 MZZ9:MZZ166 NJV9:NJV166 NTR9:NTR166 ODN9:ODN166 ONJ9:ONJ166 OXF9:OXF166 PHB9:PHB166 PQX9:PQX166 QAT9:QAT166 QKP9:QKP166 QUL9:QUL166 REH9:REH166 ROD9:ROD166 RXZ9:RXZ166 SHV9:SHV166 SRR9:SRR166 TBN9:TBN166 TLJ9:TLJ166 TVF9:TVF166 UFB9:UFB166 UOX9:UOX166 UYT9:UYT166 Q63 Q66 Q52">
      <formula1>PROBAB</formula1>
    </dataValidation>
    <dataValidation type="list" allowBlank="1" showInputMessage="1" showErrorMessage="1" sqref="WNE9:WNE166 WXA9:WXA166 KO9:KO166 UK9:UK166 AEG9:AEG166 AOC9:AOC166 AXY9:AXY166 BHU9:BHU166 BRQ9:BRQ166 CBM9:CBM166 CLI9:CLI166 CVE9:CVE166 DFA9:DFA166 DOW9:DOW166 DYS9:DYS166 EIO9:EIO166 ESK9:ESK166 FCG9:FCG166 FMC9:FMC166 FVY9:FVY166 GFU9:GFU166 GPQ9:GPQ166 GZM9:GZM166 HJI9:HJI166 HTE9:HTE166 IDA9:IDA166 IMW9:IMW166 IWS9:IWS166 JGO9:JGO166 JQK9:JQK166 KAG9:KAG166 KKC9:KKC166 KTY9:KTY166 LDU9:LDU166 LNQ9:LNQ166 LXM9:LXM166 MHI9:MHI166 MRE9:MRE166 NBA9:NBA166 NKW9:NKW166 NUS9:NUS166 OEO9:OEO166 OOK9:OOK166 OYG9:OYG166 PIC9:PIC166 PRY9:PRY166 QBU9:QBU166 QLQ9:QLQ166 QVM9:QVM166 RFI9:RFI166 RPE9:RPE166 RZA9:RZA166 SIW9:SIW166 SSS9:SSS166 TCO9:TCO166 TMK9:TMK166 TWG9:TWG166 UGC9:UGC166 UPY9:UPY166 UZU9:UZU166 VJQ9:VJQ166 VTM9:VTM166 WDI9:WDI166 AS9 AS15:AS166">
      <formula1>SINO</formula1>
    </dataValidation>
  </dataValidations>
  <printOptions horizontalCentered="1" verticalCentered="1"/>
  <pageMargins left="0.23622047244094491" right="0.23622047244094491" top="0.74803149606299213" bottom="0.74803149606299213" header="0.31496062992125984" footer="0.31496062992125984"/>
  <pageSetup paperSize="14" scale="35" firstPageNumber="0" fitToHeight="0" orientation="landscape" r:id="rId1"/>
  <headerFooter>
    <oddFooter>&amp;L&amp;9Formato: FO-AC-07 Versión: 3&amp;C&amp;9Página &amp;P</oddFooter>
  </headerFooter>
  <rowBreaks count="6" manualBreakCount="6">
    <brk id="17" max="48" man="1"/>
    <brk id="25" max="48" man="1"/>
    <brk id="28" max="48" man="1"/>
    <brk id="35" max="48" man="1"/>
    <brk id="51" max="48" man="1"/>
    <brk id="69" max="48" man="1"/>
  </rowBreaks>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M151"/>
  <sheetViews>
    <sheetView view="pageBreakPreview" zoomScale="90" zoomScaleNormal="118" zoomScaleSheetLayoutView="90" zoomScalePageLayoutView="95" workbookViewId="0">
      <pane xSplit="5" ySplit="8" topLeftCell="F9" activePane="bottomRight" state="frozen"/>
      <selection pane="topRight" activeCell="F1" sqref="F1"/>
      <selection pane="bottomLeft" activeCell="A9" sqref="A9"/>
      <selection pane="bottomRight"/>
    </sheetView>
  </sheetViews>
  <sheetFormatPr baseColWidth="10" defaultRowHeight="12.75"/>
  <cols>
    <col min="1" max="1" width="14.28515625" style="235" customWidth="1"/>
    <col min="2" max="2" width="2.7109375" style="235" customWidth="1"/>
    <col min="3" max="4" width="6.5703125" style="235" customWidth="1"/>
    <col min="5" max="5" width="3.28515625" style="235" customWidth="1"/>
    <col min="6" max="6" width="8.28515625" style="235" customWidth="1"/>
    <col min="7" max="8" width="8.42578125" style="235" customWidth="1"/>
    <col min="9" max="9" width="18.140625" style="235" customWidth="1"/>
    <col min="10" max="10" width="2.5703125" style="235" customWidth="1"/>
    <col min="11" max="12" width="9.5703125" style="235" customWidth="1"/>
    <col min="13" max="15" width="3.7109375" style="235" customWidth="1"/>
    <col min="16" max="16" width="3.5703125" style="235" customWidth="1"/>
    <col min="17" max="17" width="2.85546875" style="235" customWidth="1"/>
    <col min="18" max="18" width="3" style="235" customWidth="1"/>
    <col min="19" max="21" width="0" style="235" hidden="1" customWidth="1"/>
    <col min="22" max="22" width="4.42578125" style="235" customWidth="1"/>
    <col min="23" max="23" width="0" style="235" hidden="1" customWidth="1"/>
    <col min="24" max="25" width="14.28515625" style="235" customWidth="1"/>
    <col min="26" max="27" width="17.5703125" style="235" customWidth="1"/>
    <col min="28" max="28" width="6.42578125" style="235" customWidth="1"/>
    <col min="29" max="29" width="18.5703125" style="235" customWidth="1"/>
    <col min="30" max="30" width="4.140625" style="235" customWidth="1"/>
    <col min="31" max="31" width="3" style="235" customWidth="1"/>
    <col min="32" max="34" width="0" style="235" hidden="1" customWidth="1"/>
    <col min="35" max="35" width="3" style="235" customWidth="1"/>
    <col min="36" max="36" width="0" style="235" hidden="1" customWidth="1"/>
    <col min="37" max="37" width="3" style="235" customWidth="1"/>
    <col min="38" max="38" width="0" style="235" hidden="1" customWidth="1"/>
    <col min="39" max="39" width="5.140625" style="235" customWidth="1"/>
    <col min="40" max="40" width="38" style="235" customWidth="1"/>
    <col min="41" max="41" width="29.85546875" style="235" customWidth="1"/>
    <col min="42" max="42" width="9.140625" style="235" customWidth="1"/>
    <col min="43" max="43" width="19.5703125" style="235" customWidth="1"/>
    <col min="44" max="44" width="42.7109375" style="235" customWidth="1"/>
    <col min="45" max="45" width="5.85546875" style="235" customWidth="1"/>
    <col min="46" max="46" width="31.5703125" style="235" customWidth="1"/>
    <col min="47" max="47" width="16.140625" style="235" customWidth="1"/>
    <col min="48" max="49" width="9.28515625" style="235" customWidth="1"/>
    <col min="50" max="50" width="11.140625" style="235" customWidth="1"/>
    <col min="51" max="51" width="2.140625" style="235" customWidth="1"/>
    <col min="52"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11.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1260" t="s">
        <v>83</v>
      </c>
      <c r="AE1" s="1260"/>
      <c r="AF1" s="1260"/>
      <c r="AG1" s="1260"/>
      <c r="AH1" s="1260"/>
      <c r="AI1" s="1260"/>
      <c r="AJ1" s="1260"/>
      <c r="AK1" s="1260"/>
      <c r="AL1" s="1260"/>
      <c r="AM1" s="1260"/>
      <c r="AN1" s="1260"/>
      <c r="AP1" s="1247" t="s">
        <v>2320</v>
      </c>
      <c r="AQ1" s="1247"/>
      <c r="AR1" s="1247"/>
      <c r="AS1" s="1247"/>
      <c r="AT1" s="233"/>
      <c r="AU1" s="233"/>
      <c r="AV1" s="233"/>
      <c r="AW1" s="1246"/>
      <c r="AX1" s="1246"/>
      <c r="AY1" s="233"/>
    </row>
    <row r="2" spans="1:1027" ht="14.25" customHeight="1">
      <c r="A2" s="237" t="s">
        <v>2348</v>
      </c>
      <c r="B2" s="233"/>
      <c r="C2" s="233"/>
      <c r="D2" s="233"/>
      <c r="E2" s="233"/>
      <c r="F2" s="233"/>
      <c r="G2" s="2401" t="str">
        <f>UPPER([37]Control!A2)</f>
        <v xml:space="preserve">MATRIZ DE RIESGOS </v>
      </c>
      <c r="H2" s="2402"/>
      <c r="I2" s="2402"/>
      <c r="J2" s="2402"/>
      <c r="K2" s="2402"/>
      <c r="L2" s="2402"/>
      <c r="M2" s="2402"/>
      <c r="N2" s="2402"/>
      <c r="O2" s="2402"/>
      <c r="P2" s="2402"/>
      <c r="Q2" s="2402"/>
      <c r="R2" s="2402"/>
      <c r="S2" s="2402"/>
      <c r="T2" s="2402"/>
      <c r="U2" s="2402"/>
      <c r="V2" s="2403"/>
      <c r="W2" s="238"/>
      <c r="X2" s="1253"/>
      <c r="Y2" s="1254"/>
      <c r="Z2" s="1257"/>
      <c r="AA2" s="1257"/>
      <c r="AB2" s="1257"/>
      <c r="AC2" s="1259"/>
      <c r="AD2" s="1260"/>
      <c r="AE2" s="1260"/>
      <c r="AF2" s="1260"/>
      <c r="AG2" s="1260"/>
      <c r="AH2" s="1260"/>
      <c r="AI2" s="1260"/>
      <c r="AJ2" s="1260"/>
      <c r="AK2" s="1260"/>
      <c r="AL2" s="1260"/>
      <c r="AM2" s="1260"/>
      <c r="AN2" s="1260"/>
      <c r="AP2" s="1268" t="s">
        <v>138</v>
      </c>
      <c r="AQ2" s="1269"/>
      <c r="AR2" s="1270" t="str">
        <f>AD1</f>
        <v>GESTIÓN DEL TALENTO HUMANO</v>
      </c>
      <c r="AS2" s="1271"/>
      <c r="AT2" s="233"/>
      <c r="AU2" s="233"/>
      <c r="AV2" s="233"/>
      <c r="AW2" s="1246"/>
      <c r="AX2" s="1246"/>
      <c r="AY2" s="233"/>
    </row>
    <row r="3" spans="1:1027" ht="11.25" customHeight="1">
      <c r="A3" s="1435">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2035">
        <v>43707</v>
      </c>
      <c r="AA3" s="2036"/>
      <c r="AB3" s="1438"/>
      <c r="AC3" s="1259" t="s">
        <v>2349</v>
      </c>
      <c r="AD3" s="2404" t="s">
        <v>773</v>
      </c>
      <c r="AE3" s="2405"/>
      <c r="AF3" s="2405"/>
      <c r="AG3" s="2405"/>
      <c r="AH3" s="2405"/>
      <c r="AI3" s="2405"/>
      <c r="AJ3" s="2405"/>
      <c r="AK3" s="2405"/>
      <c r="AL3" s="2405"/>
      <c r="AM3" s="2405"/>
      <c r="AN3" s="2406"/>
      <c r="AP3" s="1265" t="s">
        <v>2322</v>
      </c>
      <c r="AQ3" s="1266"/>
      <c r="AR3" s="1266" t="s">
        <v>2323</v>
      </c>
      <c r="AS3" s="1267"/>
      <c r="AT3" s="233"/>
      <c r="AU3" s="233"/>
      <c r="AV3" s="233"/>
      <c r="AW3" s="1246"/>
      <c r="AX3" s="1246"/>
      <c r="AY3" s="233"/>
    </row>
    <row r="4" spans="1:1027" ht="14.25" customHeight="1" thickBot="1">
      <c r="A4" s="1435"/>
      <c r="B4" s="233"/>
      <c r="C4" s="233"/>
      <c r="D4" s="233"/>
      <c r="E4" s="233"/>
      <c r="F4" s="233"/>
      <c r="G4" s="1236" t="str">
        <f>[37]Control!A4</f>
        <v>FO-PE-06</v>
      </c>
      <c r="H4" s="1237"/>
      <c r="I4" s="1238" t="str">
        <f>[37]Control!C4</f>
        <v>Planeación Estratégica</v>
      </c>
      <c r="J4" s="1237"/>
      <c r="K4" s="1237"/>
      <c r="L4" s="1237"/>
      <c r="M4" s="1237"/>
      <c r="N4" s="1239"/>
      <c r="O4" s="1238">
        <f>[37]Control!H4</f>
        <v>5</v>
      </c>
      <c r="P4" s="1237"/>
      <c r="Q4" s="1237"/>
      <c r="R4" s="1237"/>
      <c r="S4" s="1237"/>
      <c r="T4" s="1237"/>
      <c r="U4" s="1237"/>
      <c r="V4" s="1239"/>
      <c r="W4" s="239"/>
      <c r="X4" s="1255"/>
      <c r="Y4" s="1256"/>
      <c r="Z4" s="1439"/>
      <c r="AA4" s="1440"/>
      <c r="AB4" s="1441"/>
      <c r="AC4" s="1259"/>
      <c r="AD4" s="2407"/>
      <c r="AE4" s="2408"/>
      <c r="AF4" s="2408"/>
      <c r="AG4" s="2408"/>
      <c r="AH4" s="2408"/>
      <c r="AI4" s="2408"/>
      <c r="AJ4" s="2408"/>
      <c r="AK4" s="2408"/>
      <c r="AL4" s="2408"/>
      <c r="AM4" s="2408"/>
      <c r="AN4" s="2409"/>
      <c r="AP4" s="1240">
        <v>43707</v>
      </c>
      <c r="AQ4" s="1241"/>
      <c r="AR4" s="1242" t="s">
        <v>4099</v>
      </c>
      <c r="AS4" s="1243"/>
      <c r="AT4" s="233"/>
      <c r="AU4" s="233"/>
      <c r="AV4" s="233"/>
      <c r="AW4" s="1246"/>
      <c r="AX4" s="1246"/>
      <c r="AY4" s="233"/>
    </row>
    <row r="5" spans="1:1027"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2"/>
      <c r="AB5" s="242"/>
      <c r="AC5" s="242"/>
      <c r="AD5" s="241"/>
      <c r="AE5" s="241"/>
      <c r="AF5" s="241"/>
      <c r="AG5" s="241"/>
      <c r="AH5" s="241"/>
      <c r="AI5" s="241"/>
      <c r="AJ5" s="241"/>
      <c r="AK5" s="241"/>
      <c r="AL5" s="241"/>
      <c r="AM5" s="240"/>
      <c r="AN5" s="240"/>
      <c r="AO5" s="240"/>
      <c r="AQ5" s="244"/>
      <c r="AY5" s="245"/>
    </row>
    <row r="6" spans="1:1027" s="243" customFormat="1" ht="11.2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944" t="s">
        <v>268</v>
      </c>
      <c r="AO6" s="294"/>
      <c r="AP6" s="247" t="s">
        <v>2325</v>
      </c>
      <c r="AQ6" s="248"/>
      <c r="AR6" s="248"/>
      <c r="AS6" s="249"/>
      <c r="AT6" s="1244" t="s">
        <v>2326</v>
      </c>
      <c r="AU6" s="1244"/>
      <c r="AV6" s="1244"/>
      <c r="AW6" s="1244"/>
      <c r="AX6" s="1245"/>
      <c r="AY6" s="245"/>
    </row>
    <row r="7" spans="1:1027" s="243" customFormat="1" ht="25.5" customHeight="1">
      <c r="A7" s="1217" t="s">
        <v>1002</v>
      </c>
      <c r="B7" s="1218" t="s">
        <v>640</v>
      </c>
      <c r="C7" s="1219" t="s">
        <v>1001</v>
      </c>
      <c r="D7" s="1220"/>
      <c r="E7" s="1221"/>
      <c r="F7" s="1217" t="s">
        <v>1000</v>
      </c>
      <c r="G7" s="1219" t="s">
        <v>999</v>
      </c>
      <c r="H7" s="1220"/>
      <c r="I7" s="1221"/>
      <c r="J7" s="1217" t="s">
        <v>145</v>
      </c>
      <c r="K7" s="1217"/>
      <c r="L7" s="1217"/>
      <c r="M7" s="1225" t="s">
        <v>144</v>
      </c>
      <c r="N7" s="1226"/>
      <c r="O7" s="1226"/>
      <c r="P7" s="1226"/>
      <c r="Q7" s="1227" t="s">
        <v>637</v>
      </c>
      <c r="R7" s="1228"/>
      <c r="S7" s="1228"/>
      <c r="T7" s="1228"/>
      <c r="U7" s="1228"/>
      <c r="V7" s="1229"/>
      <c r="W7" s="250"/>
      <c r="X7" s="1217" t="s">
        <v>2351</v>
      </c>
      <c r="Y7" s="1217"/>
      <c r="Z7" s="1217"/>
      <c r="AA7" s="1284" t="s">
        <v>4175</v>
      </c>
      <c r="AB7" s="1221" t="s">
        <v>998</v>
      </c>
      <c r="AC7" s="1284" t="s">
        <v>641</v>
      </c>
      <c r="AD7" s="1286" t="s">
        <v>546</v>
      </c>
      <c r="AE7" s="1286" t="s">
        <v>638</v>
      </c>
      <c r="AF7" s="251"/>
      <c r="AG7" s="252"/>
      <c r="AH7" s="253"/>
      <c r="AI7" s="1288" t="s">
        <v>639</v>
      </c>
      <c r="AJ7" s="1288"/>
      <c r="AK7" s="1288"/>
      <c r="AL7" s="1288"/>
      <c r="AM7" s="1288"/>
      <c r="AN7" s="1288" t="s">
        <v>2327</v>
      </c>
      <c r="AO7" s="1431" t="s">
        <v>2328</v>
      </c>
      <c r="AP7" s="1432" t="s">
        <v>2353</v>
      </c>
      <c r="AQ7" s="1431" t="s">
        <v>2330</v>
      </c>
      <c r="AR7" s="1432" t="s">
        <v>2354</v>
      </c>
      <c r="AS7" s="1432" t="s">
        <v>2332</v>
      </c>
      <c r="AT7" s="1432" t="s">
        <v>2333</v>
      </c>
      <c r="AU7" s="1432" t="s">
        <v>2334</v>
      </c>
      <c r="AV7" s="1432" t="s">
        <v>2335</v>
      </c>
      <c r="AW7" s="1432" t="s">
        <v>2336</v>
      </c>
      <c r="AX7" s="1432" t="s">
        <v>2337</v>
      </c>
      <c r="AY7" s="245"/>
    </row>
    <row r="8" spans="1:1027" ht="14.25" customHeight="1">
      <c r="A8" s="1217"/>
      <c r="B8" s="1218"/>
      <c r="C8" s="1222"/>
      <c r="D8" s="1223"/>
      <c r="E8" s="1224"/>
      <c r="F8" s="1217"/>
      <c r="G8" s="1222"/>
      <c r="H8" s="1223"/>
      <c r="I8" s="1224"/>
      <c r="J8" s="1217"/>
      <c r="K8" s="1217"/>
      <c r="L8" s="1217"/>
      <c r="M8" s="254" t="s">
        <v>146</v>
      </c>
      <c r="N8" s="254" t="s">
        <v>997</v>
      </c>
      <c r="O8" s="254" t="s">
        <v>65</v>
      </c>
      <c r="P8" s="254" t="s">
        <v>996</v>
      </c>
      <c r="Q8" s="943" t="s">
        <v>147</v>
      </c>
      <c r="R8" s="943" t="s">
        <v>148</v>
      </c>
      <c r="S8" s="255"/>
      <c r="T8" s="255" t="s">
        <v>239</v>
      </c>
      <c r="U8" s="255" t="s">
        <v>242</v>
      </c>
      <c r="V8" s="943" t="s">
        <v>149</v>
      </c>
      <c r="W8" s="256"/>
      <c r="X8" s="1217"/>
      <c r="Y8" s="1217"/>
      <c r="Z8" s="1217"/>
      <c r="AA8" s="1285"/>
      <c r="AB8" s="1224"/>
      <c r="AC8" s="1285"/>
      <c r="AD8" s="1287"/>
      <c r="AE8" s="1287"/>
      <c r="AF8" s="256"/>
      <c r="AG8" s="553" t="s">
        <v>642</v>
      </c>
      <c r="AH8" s="553" t="s">
        <v>264</v>
      </c>
      <c r="AI8" s="943" t="s">
        <v>147</v>
      </c>
      <c r="AJ8" s="554" t="s">
        <v>265</v>
      </c>
      <c r="AK8" s="943" t="s">
        <v>148</v>
      </c>
      <c r="AL8" s="255" t="s">
        <v>150</v>
      </c>
      <c r="AM8" s="943" t="s">
        <v>150</v>
      </c>
      <c r="AN8" s="1288"/>
      <c r="AO8" s="1431"/>
      <c r="AP8" s="1432"/>
      <c r="AQ8" s="1432"/>
      <c r="AR8" s="1432"/>
      <c r="AS8" s="1432"/>
      <c r="AT8" s="1432"/>
      <c r="AU8" s="1432"/>
      <c r="AV8" s="1432"/>
      <c r="AW8" s="1432"/>
      <c r="AX8" s="1432"/>
      <c r="AY8" s="245"/>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156.75" customHeight="1">
      <c r="A9" s="2410" t="s">
        <v>461</v>
      </c>
      <c r="B9" s="2413" t="s">
        <v>1992</v>
      </c>
      <c r="C9" s="2416" t="s">
        <v>4111</v>
      </c>
      <c r="D9" s="2417"/>
      <c r="E9" s="2418"/>
      <c r="F9" s="2425" t="s">
        <v>195</v>
      </c>
      <c r="G9" s="2428" t="s">
        <v>3517</v>
      </c>
      <c r="H9" s="2027"/>
      <c r="I9" s="2028"/>
      <c r="J9" s="2429" t="s">
        <v>3518</v>
      </c>
      <c r="K9" s="2430"/>
      <c r="L9" s="2431"/>
      <c r="M9" s="2012"/>
      <c r="N9" s="2012">
        <v>6</v>
      </c>
      <c r="O9" s="2441"/>
      <c r="P9" s="2012"/>
      <c r="Q9" s="2425" t="s">
        <v>64</v>
      </c>
      <c r="R9" s="2425" t="s">
        <v>643</v>
      </c>
      <c r="S9" s="52"/>
      <c r="T9" s="53">
        <f>VLOOKUP(Q9,[92]Listas!$D$6:$E$10,2,0)</f>
        <v>3</v>
      </c>
      <c r="U9" s="53">
        <f>HLOOKUP(R9,[92]Listas!$F$4:$J$5,2,0)</f>
        <v>2</v>
      </c>
      <c r="V9" s="2438" t="str">
        <f>INDEX([92]Listas!$F$6:$J$10,MATCH(Q9,[92]Listas!$D$6:$D$10,0),MATCH(R9,[92]Listas!$F$4:$J$4,0))</f>
        <v>6
MODERADO</v>
      </c>
      <c r="W9" s="52"/>
      <c r="X9" s="2030" t="s">
        <v>3519</v>
      </c>
      <c r="Y9" s="2030"/>
      <c r="Z9" s="2030"/>
      <c r="AA9" s="2012" t="s">
        <v>4013</v>
      </c>
      <c r="AB9" s="2450" t="s">
        <v>1481</v>
      </c>
      <c r="AC9" s="949" t="s">
        <v>462</v>
      </c>
      <c r="AD9" s="2012">
        <v>79</v>
      </c>
      <c r="AE9" s="2450" t="s">
        <v>152</v>
      </c>
      <c r="AF9" s="52"/>
      <c r="AG9" s="53">
        <f>IF(AD9&lt;=33,0,IF(AD9&gt;81,2,1))</f>
        <v>1</v>
      </c>
      <c r="AH9" s="407">
        <f>IF(OR(AE9="Probabilidad",AE9="Ambos"),T9-AG9,T9)</f>
        <v>2</v>
      </c>
      <c r="AI9" s="2438" t="str">
        <f>IF(AH9&lt;=1,"Remota",VLOOKUP(AH9,[92]Listas!$C$6:$D$10,2,0))</f>
        <v>Baja</v>
      </c>
      <c r="AJ9" s="407">
        <f>IF(OR(AE9="Impacto",AE9="Ambos"),U9-AG9,U9)</f>
        <v>1</v>
      </c>
      <c r="AK9" s="2438" t="str">
        <f>IF(AJ9&lt;=1,"Insignificante",HLOOKUP(AJ9,[92]Listas!$F$3:$J$4,2,0))</f>
        <v>Insignificante</v>
      </c>
      <c r="AL9" s="86">
        <f>AH9*AJ9</f>
        <v>2</v>
      </c>
      <c r="AM9" s="2438" t="str">
        <f>INDEX([92]Listas!$F$6:$J$10,MATCH(AI9,[92]Listas!$D$6:$D$10,0),MATCH(AK9,[92]Listas!$F$4:$J$4,0))</f>
        <v>2
INFERIOR</v>
      </c>
      <c r="AN9" s="1325" t="s">
        <v>3520</v>
      </c>
      <c r="AO9" s="1325" t="s">
        <v>3062</v>
      </c>
      <c r="AP9" s="2449">
        <v>0</v>
      </c>
      <c r="AQ9" s="1325" t="s">
        <v>4100</v>
      </c>
      <c r="AR9" s="1329" t="s">
        <v>4101</v>
      </c>
      <c r="AS9" s="1325" t="s">
        <v>36</v>
      </c>
      <c r="AT9" s="2443" t="s">
        <v>4013</v>
      </c>
      <c r="AU9" s="1325" t="s">
        <v>4013</v>
      </c>
      <c r="AV9" s="2446" t="s">
        <v>4013</v>
      </c>
      <c r="AW9" s="2446" t="s">
        <v>4013</v>
      </c>
      <c r="AX9" s="1325" t="s">
        <v>4013</v>
      </c>
      <c r="AY9" s="262"/>
    </row>
    <row r="10" spans="1:1027" s="260" customFormat="1" ht="91.5" customHeight="1">
      <c r="A10" s="2411"/>
      <c r="B10" s="2414"/>
      <c r="C10" s="2419"/>
      <c r="D10" s="2420"/>
      <c r="E10" s="2421"/>
      <c r="F10" s="2426"/>
      <c r="G10" s="2442" t="s">
        <v>3521</v>
      </c>
      <c r="H10" s="2442"/>
      <c r="I10" s="2442"/>
      <c r="J10" s="2432"/>
      <c r="K10" s="2433"/>
      <c r="L10" s="2434"/>
      <c r="M10" s="2013"/>
      <c r="N10" s="2013"/>
      <c r="O10" s="2013"/>
      <c r="P10" s="2013"/>
      <c r="Q10" s="2426"/>
      <c r="R10" s="2426"/>
      <c r="S10" s="52"/>
      <c r="T10" s="53" t="e">
        <f>VLOOKUP(Q10,[92]Listas!$D$6:$E$10,2,0)</f>
        <v>#N/A</v>
      </c>
      <c r="U10" s="53" t="e">
        <f>HLOOKUP(R10,[92]Listas!$F$4:$J$5,2,0)</f>
        <v>#N/A</v>
      </c>
      <c r="V10" s="2439"/>
      <c r="W10" s="52"/>
      <c r="X10" s="2030" t="s">
        <v>774</v>
      </c>
      <c r="Y10" s="2030"/>
      <c r="Z10" s="2030"/>
      <c r="AA10" s="2013"/>
      <c r="AB10" s="2451"/>
      <c r="AC10" s="949" t="s">
        <v>463</v>
      </c>
      <c r="AD10" s="2013"/>
      <c r="AE10" s="2451"/>
      <c r="AF10" s="52"/>
      <c r="AG10" s="53">
        <f t="shared" ref="AG10:AG39" si="0">IF(AD10&lt;=33,0,IF(AD10&gt;81,2,1))</f>
        <v>0</v>
      </c>
      <c r="AH10" s="407" t="e">
        <f t="shared" ref="AH10:AH39" si="1">IF(OR(AE10="Probabilidad",AE10="Ambos"),T10-AG10,T10)</f>
        <v>#N/A</v>
      </c>
      <c r="AI10" s="2439"/>
      <c r="AJ10" s="407" t="e">
        <f t="shared" ref="AJ10:AJ39" si="2">IF(OR(AE10="Impacto",AE10="Ambos"),U10-AG10,U10)</f>
        <v>#N/A</v>
      </c>
      <c r="AK10" s="2439"/>
      <c r="AL10" s="86" t="e">
        <f t="shared" ref="AL10:AL39" si="3">AH10*AJ10</f>
        <v>#N/A</v>
      </c>
      <c r="AM10" s="2439"/>
      <c r="AN10" s="1326"/>
      <c r="AO10" s="1326"/>
      <c r="AP10" s="2267"/>
      <c r="AQ10" s="1326"/>
      <c r="AR10" s="1330"/>
      <c r="AS10" s="1326"/>
      <c r="AT10" s="2444"/>
      <c r="AU10" s="1326"/>
      <c r="AV10" s="2447"/>
      <c r="AW10" s="2447"/>
      <c r="AX10" s="1326"/>
      <c r="AY10" s="262"/>
    </row>
    <row r="11" spans="1:1027" s="260" customFormat="1" ht="156" customHeight="1">
      <c r="A11" s="2411"/>
      <c r="B11" s="2414"/>
      <c r="C11" s="2419"/>
      <c r="D11" s="2420"/>
      <c r="E11" s="2421"/>
      <c r="F11" s="2426"/>
      <c r="G11" s="2442" t="s">
        <v>3063</v>
      </c>
      <c r="H11" s="2442"/>
      <c r="I11" s="2442"/>
      <c r="J11" s="2432"/>
      <c r="K11" s="2433"/>
      <c r="L11" s="2434"/>
      <c r="M11" s="2013"/>
      <c r="N11" s="2013"/>
      <c r="O11" s="2013"/>
      <c r="P11" s="2013"/>
      <c r="Q11" s="2426"/>
      <c r="R11" s="2426"/>
      <c r="S11" s="52"/>
      <c r="T11" s="53" t="e">
        <f>VLOOKUP(Q11,[92]Listas!$D$6:$E$10,2,0)</f>
        <v>#N/A</v>
      </c>
      <c r="U11" s="53" t="e">
        <f>HLOOKUP(R11,[92]Listas!$F$4:$J$5,2,0)</f>
        <v>#N/A</v>
      </c>
      <c r="V11" s="2439"/>
      <c r="W11" s="52"/>
      <c r="X11" s="2030" t="s">
        <v>3522</v>
      </c>
      <c r="Y11" s="2030"/>
      <c r="Z11" s="2030"/>
      <c r="AA11" s="2013"/>
      <c r="AB11" s="2451"/>
      <c r="AC11" s="949" t="s">
        <v>464</v>
      </c>
      <c r="AD11" s="2013"/>
      <c r="AE11" s="2451"/>
      <c r="AF11" s="52"/>
      <c r="AG11" s="53">
        <f t="shared" si="0"/>
        <v>0</v>
      </c>
      <c r="AH11" s="407" t="e">
        <f t="shared" si="1"/>
        <v>#N/A</v>
      </c>
      <c r="AI11" s="2439"/>
      <c r="AJ11" s="407" t="e">
        <f t="shared" si="2"/>
        <v>#N/A</v>
      </c>
      <c r="AK11" s="2439"/>
      <c r="AL11" s="86" t="e">
        <f t="shared" si="3"/>
        <v>#N/A</v>
      </c>
      <c r="AM11" s="2439"/>
      <c r="AN11" s="1326"/>
      <c r="AO11" s="1326"/>
      <c r="AP11" s="2267"/>
      <c r="AQ11" s="1326"/>
      <c r="AR11" s="1330"/>
      <c r="AS11" s="1326"/>
      <c r="AT11" s="2444"/>
      <c r="AU11" s="1326"/>
      <c r="AV11" s="2447"/>
      <c r="AW11" s="2447"/>
      <c r="AX11" s="1326"/>
      <c r="AY11" s="262"/>
    </row>
    <row r="12" spans="1:1027" s="260" customFormat="1" ht="87" customHeight="1">
      <c r="A12" s="2412"/>
      <c r="B12" s="2415"/>
      <c r="C12" s="2422"/>
      <c r="D12" s="2423"/>
      <c r="E12" s="2424"/>
      <c r="F12" s="2427"/>
      <c r="G12" s="2428" t="s">
        <v>465</v>
      </c>
      <c r="H12" s="2027"/>
      <c r="I12" s="2028"/>
      <c r="J12" s="2435"/>
      <c r="K12" s="2436"/>
      <c r="L12" s="2437"/>
      <c r="M12" s="2014"/>
      <c r="N12" s="2014"/>
      <c r="O12" s="2014"/>
      <c r="P12" s="2014"/>
      <c r="Q12" s="2427"/>
      <c r="R12" s="2427"/>
      <c r="S12" s="52"/>
      <c r="T12" s="53" t="e">
        <f>VLOOKUP(Q12,[92]Listas!$D$6:$E$10,2,0)</f>
        <v>#N/A</v>
      </c>
      <c r="U12" s="53" t="e">
        <f>HLOOKUP(R12,[92]Listas!$F$4:$J$5,2,0)</f>
        <v>#N/A</v>
      </c>
      <c r="V12" s="2440"/>
      <c r="W12" s="52"/>
      <c r="X12" s="2030" t="s">
        <v>3523</v>
      </c>
      <c r="Y12" s="2030"/>
      <c r="Z12" s="2030"/>
      <c r="AA12" s="2014"/>
      <c r="AB12" s="2452"/>
      <c r="AC12" s="949" t="s">
        <v>466</v>
      </c>
      <c r="AD12" s="2014"/>
      <c r="AE12" s="2452"/>
      <c r="AF12" s="52"/>
      <c r="AG12" s="53">
        <f t="shared" si="0"/>
        <v>0</v>
      </c>
      <c r="AH12" s="407" t="e">
        <f t="shared" si="1"/>
        <v>#N/A</v>
      </c>
      <c r="AI12" s="2440"/>
      <c r="AJ12" s="407" t="e">
        <f t="shared" si="2"/>
        <v>#N/A</v>
      </c>
      <c r="AK12" s="2440"/>
      <c r="AL12" s="86" t="e">
        <f t="shared" si="3"/>
        <v>#N/A</v>
      </c>
      <c r="AM12" s="2440"/>
      <c r="AN12" s="1327"/>
      <c r="AO12" s="1327"/>
      <c r="AP12" s="2268"/>
      <c r="AQ12" s="1327"/>
      <c r="AR12" s="1331"/>
      <c r="AS12" s="1327"/>
      <c r="AT12" s="2445"/>
      <c r="AU12" s="1327"/>
      <c r="AV12" s="2448"/>
      <c r="AW12" s="2448"/>
      <c r="AX12" s="1327"/>
      <c r="AY12" s="262"/>
    </row>
    <row r="13" spans="1:1027" s="260" customFormat="1" ht="117.75" customHeight="1">
      <c r="A13" s="1570" t="s">
        <v>85</v>
      </c>
      <c r="B13" s="2450" t="s">
        <v>1994</v>
      </c>
      <c r="C13" s="2416" t="s">
        <v>3064</v>
      </c>
      <c r="D13" s="2417"/>
      <c r="E13" s="2418"/>
      <c r="F13" s="2450" t="s">
        <v>195</v>
      </c>
      <c r="G13" s="2429" t="s">
        <v>3524</v>
      </c>
      <c r="H13" s="2430"/>
      <c r="I13" s="2431"/>
      <c r="J13" s="2429" t="s">
        <v>3525</v>
      </c>
      <c r="K13" s="2430"/>
      <c r="L13" s="2431"/>
      <c r="M13" s="2012"/>
      <c r="N13" s="2012">
        <v>6</v>
      </c>
      <c r="O13" s="2012"/>
      <c r="P13" s="2012" t="s">
        <v>8</v>
      </c>
      <c r="Q13" s="2425" t="s">
        <v>64</v>
      </c>
      <c r="R13" s="2425" t="s">
        <v>643</v>
      </c>
      <c r="S13" s="52"/>
      <c r="T13" s="53">
        <f>VLOOKUP(Q13,[92]Listas!$D$6:$E$10,2,0)</f>
        <v>3</v>
      </c>
      <c r="U13" s="53">
        <f>HLOOKUP(R13,[92]Listas!$F$4:$J$5,2,0)</f>
        <v>2</v>
      </c>
      <c r="V13" s="2438" t="str">
        <f>INDEX([92]Listas!$F$6:$J$10,MATCH(Q13,[92]Listas!$D$6:$D$10,0),MATCH(R13,[92]Listas!$F$4:$J$4,0))</f>
        <v>6
MODERADO</v>
      </c>
      <c r="W13" s="52"/>
      <c r="X13" s="2429" t="s">
        <v>4102</v>
      </c>
      <c r="Y13" s="2430"/>
      <c r="Z13" s="2431"/>
      <c r="AA13" s="2453" t="s">
        <v>4013</v>
      </c>
      <c r="AB13" s="2450" t="s">
        <v>1482</v>
      </c>
      <c r="AC13" s="2012" t="s">
        <v>3065</v>
      </c>
      <c r="AD13" s="2012">
        <v>79</v>
      </c>
      <c r="AE13" s="2450" t="s">
        <v>152</v>
      </c>
      <c r="AF13" s="52"/>
      <c r="AG13" s="53">
        <f t="shared" si="0"/>
        <v>1</v>
      </c>
      <c r="AH13" s="407">
        <f t="shared" si="1"/>
        <v>2</v>
      </c>
      <c r="AI13" s="2438" t="str">
        <f>IF(AH13&lt;=1,"Remota",VLOOKUP(AH13,[92]Listas!$C$6:$D$10,2,0))</f>
        <v>Baja</v>
      </c>
      <c r="AJ13" s="407">
        <f t="shared" si="2"/>
        <v>1</v>
      </c>
      <c r="AK13" s="2438" t="str">
        <f>IF(AJ13&lt;=1,"Insignificante",HLOOKUP(AJ13,[92]Listas!$F$3:$J$4,2,0))</f>
        <v>Insignificante</v>
      </c>
      <c r="AL13" s="86">
        <f t="shared" si="3"/>
        <v>2</v>
      </c>
      <c r="AM13" s="2438" t="str">
        <f>INDEX([92]Listas!$F$6:$J$10,MATCH(AI13,[92]Listas!$D$6:$D$10,0),MATCH(AK13,[92]Listas!$F$4:$J$4,0))</f>
        <v>2
INFERIOR</v>
      </c>
      <c r="AN13" s="1325" t="s">
        <v>3066</v>
      </c>
      <c r="AO13" s="1325" t="s">
        <v>3067</v>
      </c>
      <c r="AP13" s="1353" t="s">
        <v>4103</v>
      </c>
      <c r="AQ13" s="1325" t="s">
        <v>4104</v>
      </c>
      <c r="AR13" s="1329" t="s">
        <v>4101</v>
      </c>
      <c r="AS13" s="1325" t="s">
        <v>36</v>
      </c>
      <c r="AT13" s="1325" t="s">
        <v>4013</v>
      </c>
      <c r="AU13" s="1325" t="s">
        <v>4013</v>
      </c>
      <c r="AV13" s="2446" t="s">
        <v>4013</v>
      </c>
      <c r="AW13" s="2446" t="s">
        <v>4013</v>
      </c>
      <c r="AX13" s="1325" t="s">
        <v>4013</v>
      </c>
      <c r="AY13" s="262"/>
    </row>
    <row r="14" spans="1:1027" s="260" customFormat="1" ht="96.75" customHeight="1">
      <c r="A14" s="1572"/>
      <c r="B14" s="2452"/>
      <c r="C14" s="2422"/>
      <c r="D14" s="2423"/>
      <c r="E14" s="2424"/>
      <c r="F14" s="2452"/>
      <c r="G14" s="2435"/>
      <c r="H14" s="2436"/>
      <c r="I14" s="2437"/>
      <c r="J14" s="2435"/>
      <c r="K14" s="2436"/>
      <c r="L14" s="2437"/>
      <c r="M14" s="2014"/>
      <c r="N14" s="2014"/>
      <c r="O14" s="2014"/>
      <c r="P14" s="2014"/>
      <c r="Q14" s="2427"/>
      <c r="R14" s="2427"/>
      <c r="S14" s="52"/>
      <c r="T14" s="53" t="e">
        <f>VLOOKUP(Q14,[92]Listas!$D$6:$E$10,2,0)</f>
        <v>#N/A</v>
      </c>
      <c r="U14" s="53" t="e">
        <f>HLOOKUP(R14,[92]Listas!$F$4:$J$5,2,0)</f>
        <v>#N/A</v>
      </c>
      <c r="V14" s="2440"/>
      <c r="W14" s="52"/>
      <c r="X14" s="2435"/>
      <c r="Y14" s="2436"/>
      <c r="Z14" s="2437"/>
      <c r="AA14" s="2454"/>
      <c r="AB14" s="2452"/>
      <c r="AC14" s="2014"/>
      <c r="AD14" s="2014"/>
      <c r="AE14" s="2452"/>
      <c r="AF14" s="52"/>
      <c r="AG14" s="53">
        <f t="shared" si="0"/>
        <v>0</v>
      </c>
      <c r="AH14" s="407" t="e">
        <f t="shared" si="1"/>
        <v>#N/A</v>
      </c>
      <c r="AI14" s="2440"/>
      <c r="AJ14" s="407" t="e">
        <f t="shared" si="2"/>
        <v>#N/A</v>
      </c>
      <c r="AK14" s="2440"/>
      <c r="AL14" s="86" t="e">
        <f t="shared" si="3"/>
        <v>#N/A</v>
      </c>
      <c r="AM14" s="2440"/>
      <c r="AN14" s="1327"/>
      <c r="AO14" s="1327"/>
      <c r="AP14" s="1355"/>
      <c r="AQ14" s="1327"/>
      <c r="AR14" s="1331"/>
      <c r="AS14" s="1327"/>
      <c r="AT14" s="1327"/>
      <c r="AU14" s="1327"/>
      <c r="AV14" s="2448"/>
      <c r="AW14" s="2448"/>
      <c r="AX14" s="1327"/>
      <c r="AY14" s="262"/>
    </row>
    <row r="15" spans="1:1027" s="262" customFormat="1" ht="72" customHeight="1">
      <c r="A15" s="1570" t="s">
        <v>86</v>
      </c>
      <c r="B15" s="2450" t="s">
        <v>1995</v>
      </c>
      <c r="C15" s="2416" t="s">
        <v>206</v>
      </c>
      <c r="D15" s="2417"/>
      <c r="E15" s="2418"/>
      <c r="F15" s="2450" t="s">
        <v>195</v>
      </c>
      <c r="G15" s="2428" t="s">
        <v>3068</v>
      </c>
      <c r="H15" s="2027"/>
      <c r="I15" s="2028"/>
      <c r="J15" s="2429" t="s">
        <v>3069</v>
      </c>
      <c r="K15" s="2430"/>
      <c r="L15" s="2431"/>
      <c r="M15" s="2012"/>
      <c r="N15" s="2012">
        <v>6</v>
      </c>
      <c r="O15" s="2012"/>
      <c r="P15" s="2012" t="s">
        <v>8</v>
      </c>
      <c r="Q15" s="2425" t="s">
        <v>655</v>
      </c>
      <c r="R15" s="2425" t="s">
        <v>643</v>
      </c>
      <c r="S15" s="52"/>
      <c r="T15" s="53">
        <f>VLOOKUP(Q15,[92]Listas!$D$6:$E$10,2,0)</f>
        <v>2</v>
      </c>
      <c r="U15" s="53">
        <f>HLOOKUP(R15,[92]Listas!$F$4:$J$5,2,0)</f>
        <v>2</v>
      </c>
      <c r="V15" s="2438" t="str">
        <f>INDEX([92]Listas!$F$6:$J$10,MATCH(Q15,[92]Listas!$D$6:$D$10,0),MATCH(R15,[92]Listas!$F$4:$J$4,0))</f>
        <v>4
INFERIOR</v>
      </c>
      <c r="W15" s="52"/>
      <c r="X15" s="2429" t="s">
        <v>3526</v>
      </c>
      <c r="Y15" s="2430"/>
      <c r="Z15" s="2431"/>
      <c r="AA15" s="2012" t="s">
        <v>4013</v>
      </c>
      <c r="AB15" s="2450" t="s">
        <v>1482</v>
      </c>
      <c r="AC15" s="2012" t="s">
        <v>3070</v>
      </c>
      <c r="AD15" s="2012">
        <v>64</v>
      </c>
      <c r="AE15" s="2450" t="s">
        <v>152</v>
      </c>
      <c r="AF15" s="52"/>
      <c r="AG15" s="53">
        <f t="shared" si="0"/>
        <v>1</v>
      </c>
      <c r="AH15" s="407">
        <f t="shared" si="1"/>
        <v>1</v>
      </c>
      <c r="AI15" s="2438" t="str">
        <f>IF(AH15&lt;=1,"Remota",VLOOKUP(AH15,[92]Listas!$C$6:$D$10,2,0))</f>
        <v>Remota</v>
      </c>
      <c r="AJ15" s="407">
        <f t="shared" si="2"/>
        <v>1</v>
      </c>
      <c r="AK15" s="2438" t="str">
        <f>IF(AJ15&lt;=1,"Insignificante",HLOOKUP(AJ15,[92]Listas!$F$3:$J$4,2,0))</f>
        <v>Insignificante</v>
      </c>
      <c r="AL15" s="86">
        <f t="shared" si="3"/>
        <v>1</v>
      </c>
      <c r="AM15" s="2438" t="str">
        <f>INDEX([92]Listas!$F$6:$J$10,MATCH(AI15,[92]Listas!$D$6:$D$10,0),MATCH(AK15,[92]Listas!$F$4:$J$4,0))</f>
        <v>1
INFERIOR</v>
      </c>
      <c r="AN15" s="1886" t="s">
        <v>3527</v>
      </c>
      <c r="AO15" s="1886" t="s">
        <v>3071</v>
      </c>
      <c r="AP15" s="2290" t="s">
        <v>4105</v>
      </c>
      <c r="AQ15" s="1886" t="s">
        <v>4106</v>
      </c>
      <c r="AR15" s="1329" t="s">
        <v>4101</v>
      </c>
      <c r="AS15" s="1886" t="s">
        <v>36</v>
      </c>
      <c r="AT15" s="1886" t="s">
        <v>4013</v>
      </c>
      <c r="AU15" s="2455" t="s">
        <v>4013</v>
      </c>
      <c r="AV15" s="2458" t="s">
        <v>4013</v>
      </c>
      <c r="AW15" s="2458" t="s">
        <v>4013</v>
      </c>
      <c r="AX15" s="2455" t="s">
        <v>4013</v>
      </c>
    </row>
    <row r="16" spans="1:1027" s="262" customFormat="1" ht="57" customHeight="1">
      <c r="A16" s="1571"/>
      <c r="B16" s="2451"/>
      <c r="C16" s="2419"/>
      <c r="D16" s="2420"/>
      <c r="E16" s="2421"/>
      <c r="F16" s="2451"/>
      <c r="G16" s="2429" t="s">
        <v>3072</v>
      </c>
      <c r="H16" s="2430"/>
      <c r="I16" s="2431"/>
      <c r="J16" s="2432"/>
      <c r="K16" s="2433"/>
      <c r="L16" s="2434"/>
      <c r="M16" s="2013"/>
      <c r="N16" s="2013"/>
      <c r="O16" s="2013"/>
      <c r="P16" s="2013"/>
      <c r="Q16" s="2426"/>
      <c r="R16" s="2426"/>
      <c r="S16" s="52"/>
      <c r="T16" s="53" t="e">
        <f>VLOOKUP(Q16,[92]Listas!$D$6:$E$10,2,0)</f>
        <v>#N/A</v>
      </c>
      <c r="U16" s="53" t="e">
        <f>HLOOKUP(R16,[92]Listas!$F$4:$J$5,2,0)</f>
        <v>#N/A</v>
      </c>
      <c r="V16" s="2439"/>
      <c r="W16" s="52"/>
      <c r="X16" s="2432"/>
      <c r="Y16" s="2433"/>
      <c r="Z16" s="2434"/>
      <c r="AA16" s="2013"/>
      <c r="AB16" s="2451"/>
      <c r="AC16" s="2013"/>
      <c r="AD16" s="2013"/>
      <c r="AE16" s="2451"/>
      <c r="AF16" s="52"/>
      <c r="AG16" s="53">
        <f t="shared" si="0"/>
        <v>0</v>
      </c>
      <c r="AH16" s="407" t="e">
        <f t="shared" si="1"/>
        <v>#N/A</v>
      </c>
      <c r="AI16" s="2439"/>
      <c r="AJ16" s="407" t="e">
        <f t="shared" si="2"/>
        <v>#N/A</v>
      </c>
      <c r="AK16" s="2439"/>
      <c r="AL16" s="86" t="e">
        <f t="shared" si="3"/>
        <v>#N/A</v>
      </c>
      <c r="AM16" s="2439"/>
      <c r="AN16" s="1887"/>
      <c r="AO16" s="1887"/>
      <c r="AP16" s="2291"/>
      <c r="AQ16" s="1887"/>
      <c r="AR16" s="1330"/>
      <c r="AS16" s="1887"/>
      <c r="AT16" s="1887"/>
      <c r="AU16" s="2456"/>
      <c r="AV16" s="2459"/>
      <c r="AW16" s="2459"/>
      <c r="AX16" s="2456"/>
    </row>
    <row r="17" spans="1:51" s="262" customFormat="1" ht="15" customHeight="1">
      <c r="A17" s="1571"/>
      <c r="B17" s="2451"/>
      <c r="C17" s="2419"/>
      <c r="D17" s="2420"/>
      <c r="E17" s="2421"/>
      <c r="F17" s="2451"/>
      <c r="G17" s="2435"/>
      <c r="H17" s="2436"/>
      <c r="I17" s="2437"/>
      <c r="J17" s="2432"/>
      <c r="K17" s="2433"/>
      <c r="L17" s="2434"/>
      <c r="M17" s="2013"/>
      <c r="N17" s="2013"/>
      <c r="O17" s="2013"/>
      <c r="P17" s="2013"/>
      <c r="Q17" s="2426"/>
      <c r="R17" s="2426"/>
      <c r="S17" s="52"/>
      <c r="T17" s="53" t="e">
        <f>VLOOKUP(Q17,[92]Listas!$D$6:$E$10,2,0)</f>
        <v>#N/A</v>
      </c>
      <c r="U17" s="53" t="e">
        <f>HLOOKUP(R17,[92]Listas!$F$4:$J$5,2,0)</f>
        <v>#N/A</v>
      </c>
      <c r="V17" s="2439"/>
      <c r="W17" s="52"/>
      <c r="X17" s="2432"/>
      <c r="Y17" s="2433"/>
      <c r="Z17" s="2434"/>
      <c r="AA17" s="2013"/>
      <c r="AB17" s="2451"/>
      <c r="AC17" s="2013"/>
      <c r="AD17" s="2013"/>
      <c r="AE17" s="2451"/>
      <c r="AF17" s="52"/>
      <c r="AG17" s="53">
        <f t="shared" si="0"/>
        <v>0</v>
      </c>
      <c r="AH17" s="407" t="e">
        <f t="shared" si="1"/>
        <v>#N/A</v>
      </c>
      <c r="AI17" s="2439"/>
      <c r="AJ17" s="407" t="e">
        <f t="shared" si="2"/>
        <v>#N/A</v>
      </c>
      <c r="AK17" s="2439"/>
      <c r="AL17" s="86" t="e">
        <f t="shared" si="3"/>
        <v>#N/A</v>
      </c>
      <c r="AM17" s="2439"/>
      <c r="AN17" s="1887"/>
      <c r="AO17" s="1887"/>
      <c r="AP17" s="2291"/>
      <c r="AQ17" s="1887"/>
      <c r="AR17" s="1330"/>
      <c r="AS17" s="1887"/>
      <c r="AT17" s="1887"/>
      <c r="AU17" s="2456"/>
      <c r="AV17" s="2459"/>
      <c r="AW17" s="2459"/>
      <c r="AX17" s="2456"/>
    </row>
    <row r="18" spans="1:51" s="262" customFormat="1" ht="70.5" customHeight="1">
      <c r="A18" s="1572"/>
      <c r="B18" s="2452"/>
      <c r="C18" s="2422"/>
      <c r="D18" s="2423"/>
      <c r="E18" s="2424"/>
      <c r="F18" s="2452"/>
      <c r="G18" s="2428" t="s">
        <v>3073</v>
      </c>
      <c r="H18" s="2027"/>
      <c r="I18" s="2028"/>
      <c r="J18" s="2435"/>
      <c r="K18" s="2436"/>
      <c r="L18" s="2437"/>
      <c r="M18" s="2014"/>
      <c r="N18" s="2014"/>
      <c r="O18" s="2014"/>
      <c r="P18" s="2014"/>
      <c r="Q18" s="2427"/>
      <c r="R18" s="2427"/>
      <c r="S18" s="52"/>
      <c r="T18" s="53" t="e">
        <f>VLOOKUP(Q18,[92]Listas!$D$6:$E$10,2,0)</f>
        <v>#N/A</v>
      </c>
      <c r="U18" s="53" t="e">
        <f>HLOOKUP(R18,[92]Listas!$F$4:$J$5,2,0)</f>
        <v>#N/A</v>
      </c>
      <c r="V18" s="2440"/>
      <c r="W18" s="52"/>
      <c r="X18" s="2435"/>
      <c r="Y18" s="2436"/>
      <c r="Z18" s="2437"/>
      <c r="AA18" s="2014"/>
      <c r="AB18" s="2452"/>
      <c r="AC18" s="2014"/>
      <c r="AD18" s="2014"/>
      <c r="AE18" s="2452"/>
      <c r="AF18" s="52"/>
      <c r="AG18" s="53">
        <f t="shared" si="0"/>
        <v>0</v>
      </c>
      <c r="AH18" s="407" t="e">
        <f t="shared" si="1"/>
        <v>#N/A</v>
      </c>
      <c r="AI18" s="2440"/>
      <c r="AJ18" s="407" t="e">
        <f t="shared" si="2"/>
        <v>#N/A</v>
      </c>
      <c r="AK18" s="2440"/>
      <c r="AL18" s="86" t="e">
        <f t="shared" si="3"/>
        <v>#N/A</v>
      </c>
      <c r="AM18" s="2440"/>
      <c r="AN18" s="1888"/>
      <c r="AO18" s="1888"/>
      <c r="AP18" s="2292"/>
      <c r="AQ18" s="1888"/>
      <c r="AR18" s="1331"/>
      <c r="AS18" s="1888"/>
      <c r="AT18" s="1888"/>
      <c r="AU18" s="2457"/>
      <c r="AV18" s="2460"/>
      <c r="AW18" s="2460"/>
      <c r="AX18" s="2457"/>
    </row>
    <row r="19" spans="1:51" s="260" customFormat="1" ht="163.5" customHeight="1">
      <c r="A19" s="951" t="s">
        <v>87</v>
      </c>
      <c r="B19" s="963" t="s">
        <v>1996</v>
      </c>
      <c r="C19" s="2026" t="s">
        <v>775</v>
      </c>
      <c r="D19" s="2026"/>
      <c r="E19" s="2026"/>
      <c r="F19" s="963" t="s">
        <v>195</v>
      </c>
      <c r="G19" s="2428" t="s">
        <v>3528</v>
      </c>
      <c r="H19" s="2027"/>
      <c r="I19" s="2028"/>
      <c r="J19" s="2467" t="s">
        <v>3074</v>
      </c>
      <c r="K19" s="2467"/>
      <c r="L19" s="2467"/>
      <c r="M19" s="949"/>
      <c r="N19" s="949">
        <v>6</v>
      </c>
      <c r="O19" s="949" t="s">
        <v>8</v>
      </c>
      <c r="P19" s="949" t="s">
        <v>8</v>
      </c>
      <c r="Q19" s="964" t="s">
        <v>64</v>
      </c>
      <c r="R19" s="964" t="s">
        <v>643</v>
      </c>
      <c r="S19" s="52"/>
      <c r="T19" s="53">
        <f>VLOOKUP(Q19,[92]Listas!$D$6:$E$10,2,0)</f>
        <v>3</v>
      </c>
      <c r="U19" s="53">
        <f>HLOOKUP(R19,[92]Listas!$F$4:$J$5,2,0)</f>
        <v>2</v>
      </c>
      <c r="V19" s="962" t="str">
        <f>INDEX([92]Listas!$F$6:$J$10,MATCH(Q19,[92]Listas!$D$6:$D$10,0),MATCH(R19,[92]Listas!$F$4:$J$4,0))</f>
        <v>6
MODERADO</v>
      </c>
      <c r="W19" s="52"/>
      <c r="X19" s="2030" t="s">
        <v>3529</v>
      </c>
      <c r="Y19" s="2030"/>
      <c r="Z19" s="2030"/>
      <c r="AA19" s="1096" t="s">
        <v>4228</v>
      </c>
      <c r="AB19" s="963" t="s">
        <v>1483</v>
      </c>
      <c r="AC19" s="949" t="s">
        <v>467</v>
      </c>
      <c r="AD19" s="949">
        <v>68</v>
      </c>
      <c r="AE19" s="963" t="s">
        <v>152</v>
      </c>
      <c r="AF19" s="52"/>
      <c r="AG19" s="53">
        <f t="shared" si="0"/>
        <v>1</v>
      </c>
      <c r="AH19" s="407">
        <f t="shared" si="1"/>
        <v>2</v>
      </c>
      <c r="AI19" s="962" t="str">
        <f>IF(AH19&lt;=1,"Remota",VLOOKUP(AH19,[92]Listas!$C$6:$D$10,2,0))</f>
        <v>Baja</v>
      </c>
      <c r="AJ19" s="407">
        <f t="shared" si="2"/>
        <v>1</v>
      </c>
      <c r="AK19" s="962" t="str">
        <f>IF(AJ19&lt;=1,"Insignificante",HLOOKUP(AJ19,[92]Listas!$F$3:$J$4,2,0))</f>
        <v>Insignificante</v>
      </c>
      <c r="AL19" s="86">
        <f t="shared" si="3"/>
        <v>2</v>
      </c>
      <c r="AM19" s="962" t="str">
        <f>INDEX([92]Listas!$F$6:$J$10,MATCH(AI19,[92]Listas!$D$6:$D$10,0),MATCH(AK19,[92]Listas!$F$4:$J$4,0))</f>
        <v>2
INFERIOR</v>
      </c>
      <c r="AN19" s="259" t="s">
        <v>3075</v>
      </c>
      <c r="AO19" s="259" t="s">
        <v>3076</v>
      </c>
      <c r="AP19" s="937" t="s">
        <v>4011</v>
      </c>
      <c r="AQ19" s="259" t="s">
        <v>4107</v>
      </c>
      <c r="AR19" s="259" t="s">
        <v>4101</v>
      </c>
      <c r="AS19" s="935" t="s">
        <v>36</v>
      </c>
      <c r="AT19" s="259" t="s">
        <v>4013</v>
      </c>
      <c r="AU19" s="259" t="s">
        <v>4013</v>
      </c>
      <c r="AV19" s="566" t="s">
        <v>4013</v>
      </c>
      <c r="AW19" s="566" t="s">
        <v>4013</v>
      </c>
      <c r="AX19" s="935" t="s">
        <v>4013</v>
      </c>
      <c r="AY19" s="262"/>
    </row>
    <row r="20" spans="1:51" s="260" customFormat="1" ht="142.5" customHeight="1">
      <c r="A20" s="1570" t="s">
        <v>87</v>
      </c>
      <c r="B20" s="2450" t="s">
        <v>1997</v>
      </c>
      <c r="C20" s="2416" t="s">
        <v>3077</v>
      </c>
      <c r="D20" s="2417"/>
      <c r="E20" s="2418"/>
      <c r="F20" s="2450" t="s">
        <v>1484</v>
      </c>
      <c r="G20" s="2429" t="s">
        <v>3530</v>
      </c>
      <c r="H20" s="2430"/>
      <c r="I20" s="2431"/>
      <c r="J20" s="2461" t="s">
        <v>3078</v>
      </c>
      <c r="K20" s="2462"/>
      <c r="L20" s="2463"/>
      <c r="M20" s="2012"/>
      <c r="N20" s="2012">
        <v>6</v>
      </c>
      <c r="O20" s="2012" t="s">
        <v>8</v>
      </c>
      <c r="P20" s="2012" t="s">
        <v>8</v>
      </c>
      <c r="Q20" s="2425" t="s">
        <v>655</v>
      </c>
      <c r="R20" s="2425" t="s">
        <v>643</v>
      </c>
      <c r="S20" s="52"/>
      <c r="T20" s="53">
        <f>VLOOKUP(Q20,[92]Listas!$D$6:$E$10,2,0)</f>
        <v>2</v>
      </c>
      <c r="U20" s="53">
        <f>HLOOKUP(R20,[92]Listas!$F$4:$J$5,2,0)</f>
        <v>2</v>
      </c>
      <c r="V20" s="2438" t="str">
        <f>INDEX([92]Listas!$F$6:$J$10,MATCH(Q20,[92]Listas!$D$6:$D$10,0),MATCH(R20,[92]Listas!$F$4:$J$4,0))</f>
        <v>4
INFERIOR</v>
      </c>
      <c r="W20" s="52"/>
      <c r="X20" s="2478" t="s">
        <v>3531</v>
      </c>
      <c r="Y20" s="2479"/>
      <c r="Z20" s="2480"/>
      <c r="AA20" s="2012" t="s">
        <v>4229</v>
      </c>
      <c r="AB20" s="2450" t="s">
        <v>3532</v>
      </c>
      <c r="AC20" s="2468" t="s">
        <v>3533</v>
      </c>
      <c r="AD20" s="2012">
        <v>84</v>
      </c>
      <c r="AE20" s="2450" t="s">
        <v>152</v>
      </c>
      <c r="AF20" s="52"/>
      <c r="AG20" s="53">
        <f t="shared" si="0"/>
        <v>2</v>
      </c>
      <c r="AH20" s="407">
        <f t="shared" si="1"/>
        <v>0</v>
      </c>
      <c r="AI20" s="2438" t="str">
        <f>IF(AH20&lt;=1,"Remota",VLOOKUP(AH20,[92]Listas!$C$6:$D$10,2,0))</f>
        <v>Remota</v>
      </c>
      <c r="AJ20" s="407">
        <f t="shared" si="2"/>
        <v>0</v>
      </c>
      <c r="AK20" s="2438" t="str">
        <f>IF(AJ20&lt;=1,"Insignificante",HLOOKUP(AJ20,[92]Listas!$F$3:$J$4,2,0))</f>
        <v>Insignificante</v>
      </c>
      <c r="AL20" s="86">
        <f t="shared" si="3"/>
        <v>0</v>
      </c>
      <c r="AM20" s="2438" t="str">
        <f>INDEX([92]Listas!$F$6:$J$10,MATCH(AI20,[92]Listas!$D$6:$D$10,0),MATCH(AK20,[92]Listas!$F$4:$J$4,0))</f>
        <v>1
INFERIOR</v>
      </c>
      <c r="AN20" s="1325" t="s">
        <v>3534</v>
      </c>
      <c r="AO20" s="1325" t="s">
        <v>3079</v>
      </c>
      <c r="AP20" s="1353" t="s">
        <v>4011</v>
      </c>
      <c r="AQ20" s="1325" t="s">
        <v>4108</v>
      </c>
      <c r="AR20" s="1329" t="s">
        <v>4101</v>
      </c>
      <c r="AS20" s="1325" t="s">
        <v>36</v>
      </c>
      <c r="AT20" s="1325" t="s">
        <v>4013</v>
      </c>
      <c r="AU20" s="1325" t="s">
        <v>4013</v>
      </c>
      <c r="AV20" s="2470" t="s">
        <v>4013</v>
      </c>
      <c r="AW20" s="2470" t="s">
        <v>4013</v>
      </c>
      <c r="AX20" s="1325" t="s">
        <v>4013</v>
      </c>
      <c r="AY20" s="262"/>
    </row>
    <row r="21" spans="1:51" s="260" customFormat="1" ht="119.25" customHeight="1">
      <c r="A21" s="1571"/>
      <c r="B21" s="2451"/>
      <c r="C21" s="2419"/>
      <c r="D21" s="2420"/>
      <c r="E21" s="2421"/>
      <c r="F21" s="2451"/>
      <c r="G21" s="2435"/>
      <c r="H21" s="2436"/>
      <c r="I21" s="2437"/>
      <c r="J21" s="2464"/>
      <c r="K21" s="2465"/>
      <c r="L21" s="2466"/>
      <c r="M21" s="2013"/>
      <c r="N21" s="2014"/>
      <c r="O21" s="2014"/>
      <c r="P21" s="2014"/>
      <c r="Q21" s="2427"/>
      <c r="R21" s="2427"/>
      <c r="S21" s="52"/>
      <c r="T21" s="407" t="e">
        <f>VLOOKUP(Q21,[92]Listas!$D$6:$E$10,2,0)</f>
        <v>#N/A</v>
      </c>
      <c r="U21" s="407" t="e">
        <f>HLOOKUP(R21,[92]Listas!$F$4:$J$5,2,0)</f>
        <v>#N/A</v>
      </c>
      <c r="V21" s="2440"/>
      <c r="W21" s="52"/>
      <c r="X21" s="2481"/>
      <c r="Y21" s="2482"/>
      <c r="Z21" s="2483"/>
      <c r="AA21" s="2014"/>
      <c r="AB21" s="2451"/>
      <c r="AC21" s="2469"/>
      <c r="AD21" s="2014"/>
      <c r="AE21" s="2452"/>
      <c r="AF21" s="52"/>
      <c r="AG21" s="407">
        <f t="shared" si="0"/>
        <v>0</v>
      </c>
      <c r="AH21" s="407" t="e">
        <f t="shared" si="1"/>
        <v>#N/A</v>
      </c>
      <c r="AI21" s="2440"/>
      <c r="AJ21" s="407" t="e">
        <f t="shared" si="2"/>
        <v>#N/A</v>
      </c>
      <c r="AK21" s="2440"/>
      <c r="AL21" s="408" t="e">
        <f t="shared" si="3"/>
        <v>#N/A</v>
      </c>
      <c r="AM21" s="2440"/>
      <c r="AN21" s="1326"/>
      <c r="AO21" s="1326"/>
      <c r="AP21" s="1354"/>
      <c r="AQ21" s="1326"/>
      <c r="AR21" s="1330"/>
      <c r="AS21" s="1326"/>
      <c r="AT21" s="1326"/>
      <c r="AU21" s="1326"/>
      <c r="AV21" s="2471"/>
      <c r="AW21" s="2471"/>
      <c r="AX21" s="1326"/>
      <c r="AY21" s="262"/>
    </row>
    <row r="22" spans="1:51" s="260" customFormat="1" ht="33.75" customHeight="1">
      <c r="A22" s="1570" t="s">
        <v>83</v>
      </c>
      <c r="B22" s="2472" t="s">
        <v>1999</v>
      </c>
      <c r="C22" s="2416" t="s">
        <v>3080</v>
      </c>
      <c r="D22" s="2417"/>
      <c r="E22" s="2418"/>
      <c r="F22" s="2450" t="s">
        <v>1484</v>
      </c>
      <c r="G22" s="2429" t="s">
        <v>3535</v>
      </c>
      <c r="H22" s="2430"/>
      <c r="I22" s="2431"/>
      <c r="J22" s="2461" t="s">
        <v>3081</v>
      </c>
      <c r="K22" s="2462"/>
      <c r="L22" s="2463"/>
      <c r="M22" s="2012"/>
      <c r="N22" s="2012">
        <v>6</v>
      </c>
      <c r="O22" s="2012" t="s">
        <v>8</v>
      </c>
      <c r="P22" s="2012" t="s">
        <v>8</v>
      </c>
      <c r="Q22" s="2425" t="s">
        <v>655</v>
      </c>
      <c r="R22" s="2425" t="s">
        <v>643</v>
      </c>
      <c r="S22" s="52"/>
      <c r="T22" s="53">
        <f>VLOOKUP(Q22,[92]Listas!$D$6:$E$10,2,0)</f>
        <v>2</v>
      </c>
      <c r="U22" s="53">
        <f>HLOOKUP(R22,[92]Listas!$F$4:$J$5,2,0)</f>
        <v>2</v>
      </c>
      <c r="V22" s="2438" t="str">
        <f>INDEX([92]Listas!$F$6:$J$10,MATCH(Q22,[92]Listas!$D$6:$D$10,0),MATCH(R22,[92]Listas!$F$4:$J$4,0))</f>
        <v>4
INFERIOR</v>
      </c>
      <c r="W22" s="409"/>
      <c r="X22" s="2429" t="s">
        <v>3082</v>
      </c>
      <c r="Y22" s="2430"/>
      <c r="Z22" s="2431"/>
      <c r="AA22" s="2012" t="s">
        <v>4230</v>
      </c>
      <c r="AB22" s="2450" t="s">
        <v>3083</v>
      </c>
      <c r="AC22" s="2012" t="s">
        <v>3084</v>
      </c>
      <c r="AD22" s="2012">
        <v>82</v>
      </c>
      <c r="AE22" s="2450" t="s">
        <v>153</v>
      </c>
      <c r="AF22" s="52"/>
      <c r="AG22" s="53">
        <f t="shared" si="0"/>
        <v>2</v>
      </c>
      <c r="AH22" s="407">
        <f t="shared" si="1"/>
        <v>0</v>
      </c>
      <c r="AI22" s="2438" t="str">
        <f>IF(AH22&lt;=1,"Remota",VLOOKUP(AH22,[92]Listas!$C$6:$D$10,2,0))</f>
        <v>Remota</v>
      </c>
      <c r="AJ22" s="407">
        <f t="shared" si="2"/>
        <v>2</v>
      </c>
      <c r="AK22" s="2438" t="str">
        <f>IF(AJ22&lt;=1,"Insignificante",HLOOKUP(AJ22,[92]Listas!$F$3:$J$4,2,0))</f>
        <v>Menor</v>
      </c>
      <c r="AL22" s="86">
        <f t="shared" si="3"/>
        <v>0</v>
      </c>
      <c r="AM22" s="2438" t="str">
        <f>INDEX([92]Listas!$F$6:$J$10,MATCH(AI22,[92]Listas!$D$6:$D$10,0),MATCH(AK22,[92]Listas!$F$4:$J$4,0))</f>
        <v>2
INFERIOR</v>
      </c>
      <c r="AN22" s="1325" t="s">
        <v>3536</v>
      </c>
      <c r="AO22" s="1325" t="s">
        <v>3085</v>
      </c>
      <c r="AP22" s="2484">
        <v>0</v>
      </c>
      <c r="AQ22" s="1325" t="s">
        <v>4109</v>
      </c>
      <c r="AR22" s="1329" t="s">
        <v>3537</v>
      </c>
      <c r="AS22" s="1325" t="s">
        <v>36</v>
      </c>
      <c r="AT22" s="1329" t="s">
        <v>4013</v>
      </c>
      <c r="AU22" s="1325" t="s">
        <v>4013</v>
      </c>
      <c r="AV22" s="2446" t="s">
        <v>4013</v>
      </c>
      <c r="AW22" s="2446" t="s">
        <v>4013</v>
      </c>
      <c r="AX22" s="1325" t="s">
        <v>4013</v>
      </c>
      <c r="AY22" s="262"/>
    </row>
    <row r="23" spans="1:51" s="260" customFormat="1" ht="51" customHeight="1">
      <c r="A23" s="1571"/>
      <c r="B23" s="2473"/>
      <c r="C23" s="2419"/>
      <c r="D23" s="2420"/>
      <c r="E23" s="2421"/>
      <c r="F23" s="2451"/>
      <c r="G23" s="2432"/>
      <c r="H23" s="2433"/>
      <c r="I23" s="2434"/>
      <c r="J23" s="2464"/>
      <c r="K23" s="2465"/>
      <c r="L23" s="2466"/>
      <c r="M23" s="2013"/>
      <c r="N23" s="2013"/>
      <c r="O23" s="2013"/>
      <c r="P23" s="2013"/>
      <c r="Q23" s="2426"/>
      <c r="R23" s="2426"/>
      <c r="S23" s="52"/>
      <c r="T23" s="53"/>
      <c r="U23" s="53"/>
      <c r="V23" s="2439"/>
      <c r="W23" s="52"/>
      <c r="X23" s="2432"/>
      <c r="Y23" s="2433"/>
      <c r="Z23" s="2434"/>
      <c r="AA23" s="2013"/>
      <c r="AB23" s="2451"/>
      <c r="AC23" s="2013"/>
      <c r="AD23" s="2013"/>
      <c r="AE23" s="2451"/>
      <c r="AF23" s="52"/>
      <c r="AG23" s="53"/>
      <c r="AH23" s="407"/>
      <c r="AI23" s="2439"/>
      <c r="AJ23" s="407"/>
      <c r="AK23" s="2439"/>
      <c r="AL23" s="86"/>
      <c r="AM23" s="2439"/>
      <c r="AN23" s="1326"/>
      <c r="AO23" s="1326"/>
      <c r="AP23" s="2485"/>
      <c r="AQ23" s="1326"/>
      <c r="AR23" s="1330"/>
      <c r="AS23" s="1326"/>
      <c r="AT23" s="1330"/>
      <c r="AU23" s="1326"/>
      <c r="AV23" s="2447"/>
      <c r="AW23" s="2447"/>
      <c r="AX23" s="1326"/>
      <c r="AY23" s="262"/>
    </row>
    <row r="24" spans="1:51" s="260" customFormat="1" ht="89.25" customHeight="1">
      <c r="A24" s="1572"/>
      <c r="B24" s="2474"/>
      <c r="C24" s="2422"/>
      <c r="D24" s="2423"/>
      <c r="E24" s="2424"/>
      <c r="F24" s="2452"/>
      <c r="G24" s="2435"/>
      <c r="H24" s="2436"/>
      <c r="I24" s="2437"/>
      <c r="J24" s="2475"/>
      <c r="K24" s="2476"/>
      <c r="L24" s="2477"/>
      <c r="M24" s="2014"/>
      <c r="N24" s="2014"/>
      <c r="O24" s="2014"/>
      <c r="P24" s="2014"/>
      <c r="Q24" s="2427"/>
      <c r="R24" s="2427"/>
      <c r="S24" s="52"/>
      <c r="T24" s="53"/>
      <c r="U24" s="53"/>
      <c r="V24" s="2440"/>
      <c r="W24" s="52"/>
      <c r="X24" s="2435"/>
      <c r="Y24" s="2436"/>
      <c r="Z24" s="2437"/>
      <c r="AA24" s="2014"/>
      <c r="AB24" s="2452"/>
      <c r="AC24" s="2014"/>
      <c r="AD24" s="2014"/>
      <c r="AE24" s="2452"/>
      <c r="AF24" s="52"/>
      <c r="AG24" s="53"/>
      <c r="AH24" s="407"/>
      <c r="AI24" s="2440"/>
      <c r="AJ24" s="407"/>
      <c r="AK24" s="2440"/>
      <c r="AL24" s="86"/>
      <c r="AM24" s="2440"/>
      <c r="AN24" s="1327"/>
      <c r="AO24" s="1327"/>
      <c r="AP24" s="2486"/>
      <c r="AQ24" s="1327"/>
      <c r="AR24" s="1331"/>
      <c r="AS24" s="1327"/>
      <c r="AT24" s="1331"/>
      <c r="AU24" s="1327"/>
      <c r="AV24" s="2448"/>
      <c r="AW24" s="2448"/>
      <c r="AX24" s="1327"/>
      <c r="AY24" s="262"/>
    </row>
    <row r="25" spans="1:51" s="260" customFormat="1" ht="46.5" customHeight="1">
      <c r="A25" s="1570" t="s">
        <v>83</v>
      </c>
      <c r="B25" s="2472" t="s">
        <v>2000</v>
      </c>
      <c r="C25" s="2416" t="s">
        <v>3086</v>
      </c>
      <c r="D25" s="2417"/>
      <c r="E25" s="2418"/>
      <c r="F25" s="2487" t="s">
        <v>195</v>
      </c>
      <c r="G25" s="2374" t="s">
        <v>3538</v>
      </c>
      <c r="H25" s="2374"/>
      <c r="I25" s="2374"/>
      <c r="J25" s="2461" t="s">
        <v>3087</v>
      </c>
      <c r="K25" s="2462"/>
      <c r="L25" s="2463"/>
      <c r="M25" s="2012"/>
      <c r="N25" s="2012">
        <v>6</v>
      </c>
      <c r="O25" s="2012" t="s">
        <v>8</v>
      </c>
      <c r="P25" s="2012" t="s">
        <v>8</v>
      </c>
      <c r="Q25" s="2425" t="s">
        <v>654</v>
      </c>
      <c r="R25" s="2425" t="s">
        <v>643</v>
      </c>
      <c r="S25" s="409"/>
      <c r="T25" s="53">
        <f>VLOOKUP(Q25,[92]Listas!$D$6:$E$10,2,0)</f>
        <v>1</v>
      </c>
      <c r="U25" s="53">
        <f>HLOOKUP(R25,[92]Listas!$F$4:$J$5,2,0)</f>
        <v>2</v>
      </c>
      <c r="V25" s="2438" t="str">
        <f>INDEX([92]Listas!$F$6:$J$10,MATCH(Q25,[92]Listas!$D$6:$D$10,0),MATCH(R25,[92]Listas!$F$4:$J$4,0))</f>
        <v>2
INFERIOR</v>
      </c>
      <c r="W25" s="409"/>
      <c r="X25" s="2429" t="s">
        <v>3539</v>
      </c>
      <c r="Y25" s="2430"/>
      <c r="Z25" s="2431"/>
      <c r="AA25" s="1993" t="s">
        <v>4231</v>
      </c>
      <c r="AB25" s="2450" t="s">
        <v>3540</v>
      </c>
      <c r="AC25" s="2012" t="s">
        <v>1486</v>
      </c>
      <c r="AD25" s="2012">
        <v>82</v>
      </c>
      <c r="AE25" s="2450" t="s">
        <v>153</v>
      </c>
      <c r="AF25" s="409"/>
      <c r="AG25" s="53">
        <f t="shared" si="0"/>
        <v>2</v>
      </c>
      <c r="AH25" s="53">
        <f t="shared" si="1"/>
        <v>-1</v>
      </c>
      <c r="AI25" s="2438" t="str">
        <f>IF(AH25&lt;=1,"Remota",VLOOKUP(AH25,[92]Listas!$C$6:$D$10,2,0))</f>
        <v>Remota</v>
      </c>
      <c r="AJ25" s="53">
        <f t="shared" si="2"/>
        <v>2</v>
      </c>
      <c r="AK25" s="2438" t="str">
        <f>IF(AJ25&lt;=1,"Insignificante",HLOOKUP(AJ25,[92]Listas!$F$3:$J$4,2,0))</f>
        <v>Menor</v>
      </c>
      <c r="AL25" s="86">
        <f t="shared" si="3"/>
        <v>-2</v>
      </c>
      <c r="AM25" s="2438" t="str">
        <f>INDEX([92]Listas!$F$6:$J$10,MATCH(AI25,[92]Listas!$D$6:$D$10,0),MATCH(AK25,[92]Listas!$F$4:$J$4,0))</f>
        <v>2
INFERIOR</v>
      </c>
      <c r="AN25" s="1325" t="s">
        <v>3541</v>
      </c>
      <c r="AO25" s="1325" t="s">
        <v>3088</v>
      </c>
      <c r="AP25" s="2449">
        <v>0</v>
      </c>
      <c r="AQ25" s="1325" t="s">
        <v>4110</v>
      </c>
      <c r="AR25" s="1329" t="s">
        <v>3537</v>
      </c>
      <c r="AS25" s="1325" t="s">
        <v>36</v>
      </c>
      <c r="AT25" s="1329" t="s">
        <v>4013</v>
      </c>
      <c r="AU25" s="1325" t="s">
        <v>4013</v>
      </c>
      <c r="AV25" s="2446" t="s">
        <v>4013</v>
      </c>
      <c r="AW25" s="2446" t="s">
        <v>4013</v>
      </c>
      <c r="AX25" s="1325" t="s">
        <v>4013</v>
      </c>
      <c r="AY25" s="262"/>
    </row>
    <row r="26" spans="1:51" s="260" customFormat="1" ht="46.5" customHeight="1">
      <c r="A26" s="1571"/>
      <c r="B26" s="2473" t="s">
        <v>473</v>
      </c>
      <c r="C26" s="2419"/>
      <c r="D26" s="2420"/>
      <c r="E26" s="2421"/>
      <c r="F26" s="2487"/>
      <c r="G26" s="2374"/>
      <c r="H26" s="2374"/>
      <c r="I26" s="2374"/>
      <c r="J26" s="2464"/>
      <c r="K26" s="2465"/>
      <c r="L26" s="2466"/>
      <c r="M26" s="2013"/>
      <c r="N26" s="2013"/>
      <c r="O26" s="2013"/>
      <c r="P26" s="2013"/>
      <c r="Q26" s="2426"/>
      <c r="R26" s="2426"/>
      <c r="S26" s="409"/>
      <c r="T26" s="53" t="e">
        <f>VLOOKUP(Q26,[92]Listas!$D$6:$E$10,2,0)</f>
        <v>#N/A</v>
      </c>
      <c r="U26" s="53" t="e">
        <f>HLOOKUP(R26,[92]Listas!$F$4:$J$5,2,0)</f>
        <v>#N/A</v>
      </c>
      <c r="V26" s="2439"/>
      <c r="W26" s="409"/>
      <c r="X26" s="2432"/>
      <c r="Y26" s="2433"/>
      <c r="Z26" s="2434"/>
      <c r="AA26" s="1994"/>
      <c r="AB26" s="2451"/>
      <c r="AC26" s="2013"/>
      <c r="AD26" s="2013"/>
      <c r="AE26" s="2451"/>
      <c r="AF26" s="409"/>
      <c r="AG26" s="53">
        <f t="shared" si="0"/>
        <v>0</v>
      </c>
      <c r="AH26" s="53" t="e">
        <f t="shared" si="1"/>
        <v>#N/A</v>
      </c>
      <c r="AI26" s="2439"/>
      <c r="AJ26" s="53" t="e">
        <f t="shared" si="2"/>
        <v>#N/A</v>
      </c>
      <c r="AK26" s="2439"/>
      <c r="AL26" s="86" t="e">
        <f t="shared" si="3"/>
        <v>#N/A</v>
      </c>
      <c r="AM26" s="2439"/>
      <c r="AN26" s="1326"/>
      <c r="AO26" s="1326"/>
      <c r="AP26" s="2267"/>
      <c r="AQ26" s="1326"/>
      <c r="AR26" s="1330"/>
      <c r="AS26" s="1326"/>
      <c r="AT26" s="1330"/>
      <c r="AU26" s="1326"/>
      <c r="AV26" s="2447"/>
      <c r="AW26" s="2447"/>
      <c r="AX26" s="1326"/>
      <c r="AY26" s="262"/>
    </row>
    <row r="27" spans="1:51" s="260" customFormat="1" ht="64.5" customHeight="1">
      <c r="A27" s="1572"/>
      <c r="B27" s="2474" t="s">
        <v>473</v>
      </c>
      <c r="C27" s="2422"/>
      <c r="D27" s="2423"/>
      <c r="E27" s="2424"/>
      <c r="F27" s="2487"/>
      <c r="G27" s="2374"/>
      <c r="H27" s="2374"/>
      <c r="I27" s="2374"/>
      <c r="J27" s="2475"/>
      <c r="K27" s="2476"/>
      <c r="L27" s="2477"/>
      <c r="M27" s="2014"/>
      <c r="N27" s="2014"/>
      <c r="O27" s="2014"/>
      <c r="P27" s="2014"/>
      <c r="Q27" s="2427"/>
      <c r="R27" s="2427"/>
      <c r="S27" s="409"/>
      <c r="T27" s="53" t="e">
        <f>VLOOKUP(Q27,[92]Listas!$D$6:$E$10,2,0)</f>
        <v>#N/A</v>
      </c>
      <c r="U27" s="53" t="e">
        <f>HLOOKUP(R27,[92]Listas!$F$4:$J$5,2,0)</f>
        <v>#N/A</v>
      </c>
      <c r="V27" s="2440"/>
      <c r="W27" s="409"/>
      <c r="X27" s="2435"/>
      <c r="Y27" s="2436"/>
      <c r="Z27" s="2437"/>
      <c r="AA27" s="1995"/>
      <c r="AB27" s="2452"/>
      <c r="AC27" s="2014"/>
      <c r="AD27" s="2014"/>
      <c r="AE27" s="2452"/>
      <c r="AF27" s="409"/>
      <c r="AG27" s="53">
        <f t="shared" si="0"/>
        <v>0</v>
      </c>
      <c r="AH27" s="53" t="e">
        <f t="shared" si="1"/>
        <v>#N/A</v>
      </c>
      <c r="AI27" s="2440"/>
      <c r="AJ27" s="53" t="e">
        <f t="shared" si="2"/>
        <v>#N/A</v>
      </c>
      <c r="AK27" s="2440"/>
      <c r="AL27" s="86" t="e">
        <f t="shared" si="3"/>
        <v>#N/A</v>
      </c>
      <c r="AM27" s="2440"/>
      <c r="AN27" s="1327"/>
      <c r="AO27" s="1327"/>
      <c r="AP27" s="2268"/>
      <c r="AQ27" s="1327"/>
      <c r="AR27" s="1331"/>
      <c r="AS27" s="1327"/>
      <c r="AT27" s="1331"/>
      <c r="AU27" s="1327"/>
      <c r="AV27" s="2448"/>
      <c r="AW27" s="2448"/>
      <c r="AX27" s="1327"/>
      <c r="AY27" s="262"/>
    </row>
    <row r="28" spans="1:51" s="260" customFormat="1" ht="20.25" hidden="1" customHeight="1">
      <c r="A28" s="945"/>
      <c r="B28" s="1005" t="s">
        <v>473</v>
      </c>
      <c r="C28" s="2429"/>
      <c r="D28" s="2430"/>
      <c r="E28" s="2431"/>
      <c r="F28" s="2487"/>
      <c r="G28" s="2382" t="s">
        <v>1202</v>
      </c>
      <c r="H28" s="2382"/>
      <c r="I28" s="2382"/>
      <c r="J28" s="2461"/>
      <c r="K28" s="2462"/>
      <c r="L28" s="2463"/>
      <c r="M28" s="950"/>
      <c r="N28" s="950"/>
      <c r="O28" s="950"/>
      <c r="P28" s="950"/>
      <c r="Q28" s="968"/>
      <c r="R28" s="968"/>
      <c r="S28" s="409"/>
      <c r="T28" s="53" t="e">
        <f>VLOOKUP(Q28,[92]Listas!$D$6:$E$10,2,0)</f>
        <v>#N/A</v>
      </c>
      <c r="U28" s="53" t="e">
        <f>HLOOKUP(R28,[92]Listas!$F$4:$J$5,2,0)</f>
        <v>#N/A</v>
      </c>
      <c r="V28" s="966"/>
      <c r="W28" s="409"/>
      <c r="X28" s="2429"/>
      <c r="Y28" s="2430"/>
      <c r="Z28" s="2431"/>
      <c r="AA28" s="1104"/>
      <c r="AB28" s="967"/>
      <c r="AC28" s="950"/>
      <c r="AD28" s="950"/>
      <c r="AE28" s="967"/>
      <c r="AF28" s="409"/>
      <c r="AG28" s="53">
        <f t="shared" si="0"/>
        <v>0</v>
      </c>
      <c r="AH28" s="53" t="e">
        <f t="shared" si="1"/>
        <v>#N/A</v>
      </c>
      <c r="AI28" s="966"/>
      <c r="AJ28" s="53" t="e">
        <f t="shared" si="2"/>
        <v>#N/A</v>
      </c>
      <c r="AK28" s="966"/>
      <c r="AL28" s="86" t="e">
        <f t="shared" si="3"/>
        <v>#N/A</v>
      </c>
      <c r="AM28" s="966"/>
      <c r="AN28" s="940"/>
      <c r="AO28" s="940"/>
      <c r="AP28" s="942"/>
      <c r="AQ28" s="940"/>
      <c r="AR28" s="941"/>
      <c r="AS28" s="940"/>
      <c r="AT28" s="941"/>
      <c r="AU28" s="940"/>
      <c r="AV28" s="965"/>
      <c r="AW28" s="965"/>
      <c r="AX28" s="940"/>
      <c r="AY28" s="262"/>
    </row>
    <row r="29" spans="1:51" s="260" customFormat="1" ht="103.5" hidden="1" customHeight="1">
      <c r="A29" s="935"/>
      <c r="B29" s="266"/>
      <c r="C29" s="1399"/>
      <c r="D29" s="1408"/>
      <c r="E29" s="1400"/>
      <c r="F29" s="267"/>
      <c r="G29" s="1399"/>
      <c r="H29" s="1408"/>
      <c r="I29" s="1400"/>
      <c r="J29" s="1380"/>
      <c r="K29" s="1380"/>
      <c r="L29" s="1380"/>
      <c r="M29" s="935"/>
      <c r="N29" s="935"/>
      <c r="O29" s="935"/>
      <c r="P29" s="935"/>
      <c r="Q29" s="266"/>
      <c r="R29" s="266"/>
      <c r="S29" s="268"/>
      <c r="T29" s="269" t="e">
        <f>VLOOKUP(Q29,[71]Listas!$D$6:$E$10,2,0)</f>
        <v>#N/A</v>
      </c>
      <c r="U29" s="269" t="e">
        <f>HLOOKUP(R29,[71]Listas!$F$4:$J$5,2,0)</f>
        <v>#N/A</v>
      </c>
      <c r="V29" s="270" t="e">
        <f>INDEX([71]Listas!$F$6:$J$10,MATCH(Q29,[71]Listas!$D$6:$D$10,0),MATCH(R29,[71]Listas!$F$4:$J$4,0))</f>
        <v>#N/A</v>
      </c>
      <c r="W29" s="268"/>
      <c r="X29" s="1399"/>
      <c r="Y29" s="1408"/>
      <c r="Z29" s="1400"/>
      <c r="AA29" s="1063"/>
      <c r="AB29" s="267"/>
      <c r="AC29" s="259"/>
      <c r="AD29" s="935"/>
      <c r="AE29" s="267"/>
      <c r="AF29" s="268"/>
      <c r="AG29" s="269">
        <f t="shared" si="0"/>
        <v>0</v>
      </c>
      <c r="AH29" s="271" t="e">
        <f t="shared" si="1"/>
        <v>#N/A</v>
      </c>
      <c r="AI29" s="272" t="e">
        <f>IF(AH29&lt;=1,"Remota",VLOOKUP(AH29,[71]Listas!$C$6:$D$10,2,0))</f>
        <v>#N/A</v>
      </c>
      <c r="AJ29" s="271" t="e">
        <f t="shared" si="2"/>
        <v>#N/A</v>
      </c>
      <c r="AK29" s="272" t="e">
        <f>IF(AJ29&lt;=1,"Insignificante",HLOOKUP(AJ29,[71]Listas!$F$3:$J$4,2,0))</f>
        <v>#N/A</v>
      </c>
      <c r="AL29" s="273" t="e">
        <f t="shared" si="3"/>
        <v>#N/A</v>
      </c>
      <c r="AM29" s="270" t="e">
        <f>INDEX([71]Listas!$F$6:$J$10,MATCH(AI29,[71]Listas!$D$6:$D$10,0),MATCH(AK29,[71]Listas!$F$4:$J$4,0))</f>
        <v>#N/A</v>
      </c>
      <c r="AN29" s="259"/>
      <c r="AO29" s="259"/>
      <c r="AP29" s="937"/>
      <c r="AQ29" s="259"/>
      <c r="AR29" s="259" t="s">
        <v>2343</v>
      </c>
      <c r="AS29" s="935"/>
      <c r="AT29" s="259"/>
      <c r="AU29" s="259"/>
      <c r="AV29" s="567"/>
      <c r="AW29" s="567"/>
      <c r="AX29" s="935"/>
      <c r="AY29" s="262"/>
    </row>
    <row r="30" spans="1:51" s="260" customFormat="1" ht="103.5" hidden="1" customHeight="1">
      <c r="A30" s="935"/>
      <c r="B30" s="266"/>
      <c r="C30" s="1399"/>
      <c r="D30" s="1408"/>
      <c r="E30" s="1400"/>
      <c r="F30" s="267"/>
      <c r="G30" s="1399"/>
      <c r="H30" s="1408"/>
      <c r="I30" s="1400"/>
      <c r="J30" s="1380"/>
      <c r="K30" s="1380"/>
      <c r="L30" s="1380"/>
      <c r="M30" s="935"/>
      <c r="N30" s="935"/>
      <c r="O30" s="935"/>
      <c r="P30" s="935"/>
      <c r="Q30" s="266"/>
      <c r="R30" s="266"/>
      <c r="S30" s="268"/>
      <c r="T30" s="269" t="e">
        <f>VLOOKUP(Q30,[71]Listas!$D$6:$E$10,2,0)</f>
        <v>#N/A</v>
      </c>
      <c r="U30" s="269" t="e">
        <f>HLOOKUP(R30,[71]Listas!$F$4:$J$5,2,0)</f>
        <v>#N/A</v>
      </c>
      <c r="V30" s="270" t="e">
        <f>INDEX([71]Listas!$F$6:$J$10,MATCH(Q30,[71]Listas!$D$6:$D$10,0),MATCH(R30,[71]Listas!$F$4:$J$4,0))</f>
        <v>#N/A</v>
      </c>
      <c r="W30" s="268"/>
      <c r="X30" s="1399"/>
      <c r="Y30" s="1408"/>
      <c r="Z30" s="1400"/>
      <c r="AA30" s="1063"/>
      <c r="AB30" s="267"/>
      <c r="AC30" s="259"/>
      <c r="AD30" s="935"/>
      <c r="AE30" s="267"/>
      <c r="AF30" s="268"/>
      <c r="AG30" s="269">
        <f t="shared" si="0"/>
        <v>0</v>
      </c>
      <c r="AH30" s="271" t="e">
        <f t="shared" si="1"/>
        <v>#N/A</v>
      </c>
      <c r="AI30" s="272" t="e">
        <f>IF(AH30&lt;=1,"Remota",VLOOKUP(AH30,[71]Listas!$C$6:$D$10,2,0))</f>
        <v>#N/A</v>
      </c>
      <c r="AJ30" s="271" t="e">
        <f t="shared" si="2"/>
        <v>#N/A</v>
      </c>
      <c r="AK30" s="272" t="e">
        <f>IF(AJ30&lt;=1,"Insignificante",HLOOKUP(AJ30,[71]Listas!$F$3:$J$4,2,0))</f>
        <v>#N/A</v>
      </c>
      <c r="AL30" s="273" t="e">
        <f t="shared" si="3"/>
        <v>#N/A</v>
      </c>
      <c r="AM30" s="270" t="e">
        <f>INDEX([71]Listas!$F$6:$J$10,MATCH(AI30,[71]Listas!$D$6:$D$10,0),MATCH(AK30,[71]Listas!$F$4:$J$4,0))</f>
        <v>#N/A</v>
      </c>
      <c r="AN30" s="259"/>
      <c r="AO30" s="259"/>
      <c r="AP30" s="937"/>
      <c r="AQ30" s="259"/>
      <c r="AR30" s="259" t="s">
        <v>2343</v>
      </c>
      <c r="AS30" s="935"/>
      <c r="AT30" s="259"/>
      <c r="AU30" s="259"/>
      <c r="AV30" s="567"/>
      <c r="AW30" s="567"/>
      <c r="AX30" s="935"/>
      <c r="AY30" s="262"/>
    </row>
    <row r="31" spans="1:51" s="260" customFormat="1" ht="103.5" hidden="1" customHeight="1">
      <c r="A31" s="935"/>
      <c r="B31" s="266"/>
      <c r="C31" s="1399"/>
      <c r="D31" s="1408"/>
      <c r="E31" s="1400"/>
      <c r="F31" s="267"/>
      <c r="G31" s="1399"/>
      <c r="H31" s="1408"/>
      <c r="I31" s="1400"/>
      <c r="J31" s="1380"/>
      <c r="K31" s="1380"/>
      <c r="L31" s="1380"/>
      <c r="M31" s="935"/>
      <c r="N31" s="935"/>
      <c r="O31" s="935"/>
      <c r="P31" s="935"/>
      <c r="Q31" s="266"/>
      <c r="R31" s="266"/>
      <c r="S31" s="268"/>
      <c r="T31" s="269" t="e">
        <f>VLOOKUP(Q31,[71]Listas!$D$6:$E$10,2,0)</f>
        <v>#N/A</v>
      </c>
      <c r="U31" s="269" t="e">
        <f>HLOOKUP(R31,[71]Listas!$F$4:$J$5,2,0)</f>
        <v>#N/A</v>
      </c>
      <c r="V31" s="270" t="e">
        <f>INDEX([71]Listas!$F$6:$J$10,MATCH(Q31,[71]Listas!$D$6:$D$10,0),MATCH(R31,[71]Listas!$F$4:$J$4,0))</f>
        <v>#N/A</v>
      </c>
      <c r="W31" s="268"/>
      <c r="X31" s="1399"/>
      <c r="Y31" s="1408"/>
      <c r="Z31" s="1400"/>
      <c r="AA31" s="1063"/>
      <c r="AB31" s="267"/>
      <c r="AC31" s="259"/>
      <c r="AD31" s="935"/>
      <c r="AE31" s="267"/>
      <c r="AF31" s="268"/>
      <c r="AG31" s="269">
        <f t="shared" si="0"/>
        <v>0</v>
      </c>
      <c r="AH31" s="271" t="e">
        <f t="shared" si="1"/>
        <v>#N/A</v>
      </c>
      <c r="AI31" s="272" t="e">
        <f>IF(AH31&lt;=1,"Remota",VLOOKUP(AH31,[71]Listas!$C$6:$D$10,2,0))</f>
        <v>#N/A</v>
      </c>
      <c r="AJ31" s="271" t="e">
        <f t="shared" si="2"/>
        <v>#N/A</v>
      </c>
      <c r="AK31" s="272" t="e">
        <f>IF(AJ31&lt;=1,"Insignificante",HLOOKUP(AJ31,[71]Listas!$F$3:$J$4,2,0))</f>
        <v>#N/A</v>
      </c>
      <c r="AL31" s="273" t="e">
        <f t="shared" si="3"/>
        <v>#N/A</v>
      </c>
      <c r="AM31" s="270" t="e">
        <f>INDEX([71]Listas!$F$6:$J$10,MATCH(AI31,[71]Listas!$D$6:$D$10,0),MATCH(AK31,[71]Listas!$F$4:$J$4,0))</f>
        <v>#N/A</v>
      </c>
      <c r="AN31" s="259"/>
      <c r="AO31" s="259"/>
      <c r="AP31" s="937"/>
      <c r="AQ31" s="259"/>
      <c r="AR31" s="259" t="s">
        <v>2343</v>
      </c>
      <c r="AS31" s="935"/>
      <c r="AT31" s="259"/>
      <c r="AU31" s="259"/>
      <c r="AV31" s="567"/>
      <c r="AW31" s="567"/>
      <c r="AX31" s="935"/>
      <c r="AY31" s="262"/>
    </row>
    <row r="32" spans="1:51" s="260" customFormat="1" ht="103.5" hidden="1" customHeight="1">
      <c r="A32" s="935"/>
      <c r="B32" s="266"/>
      <c r="C32" s="1399"/>
      <c r="D32" s="1408"/>
      <c r="E32" s="1400"/>
      <c r="F32" s="267"/>
      <c r="G32" s="1399"/>
      <c r="H32" s="1408"/>
      <c r="I32" s="1400"/>
      <c r="J32" s="1380"/>
      <c r="K32" s="1380"/>
      <c r="L32" s="1380"/>
      <c r="M32" s="935"/>
      <c r="N32" s="935"/>
      <c r="O32" s="935"/>
      <c r="P32" s="935"/>
      <c r="Q32" s="266"/>
      <c r="R32" s="266"/>
      <c r="S32" s="268"/>
      <c r="T32" s="269" t="e">
        <f>VLOOKUP(Q32,[71]Listas!$D$6:$E$10,2,0)</f>
        <v>#N/A</v>
      </c>
      <c r="U32" s="269" t="e">
        <f>HLOOKUP(R32,[71]Listas!$F$4:$J$5,2,0)</f>
        <v>#N/A</v>
      </c>
      <c r="V32" s="270" t="e">
        <f>INDEX([71]Listas!$F$6:$J$10,MATCH(Q32,[71]Listas!$D$6:$D$10,0),MATCH(R32,[71]Listas!$F$4:$J$4,0))</f>
        <v>#N/A</v>
      </c>
      <c r="W32" s="268"/>
      <c r="X32" s="1399"/>
      <c r="Y32" s="1408"/>
      <c r="Z32" s="1400"/>
      <c r="AA32" s="1063"/>
      <c r="AB32" s="267"/>
      <c r="AC32" s="259"/>
      <c r="AD32" s="935"/>
      <c r="AE32" s="267"/>
      <c r="AF32" s="268"/>
      <c r="AG32" s="269">
        <f t="shared" si="0"/>
        <v>0</v>
      </c>
      <c r="AH32" s="271" t="e">
        <f t="shared" si="1"/>
        <v>#N/A</v>
      </c>
      <c r="AI32" s="272" t="e">
        <f>IF(AH32&lt;=1,"Remota",VLOOKUP(AH32,[71]Listas!$C$6:$D$10,2,0))</f>
        <v>#N/A</v>
      </c>
      <c r="AJ32" s="271" t="e">
        <f t="shared" si="2"/>
        <v>#N/A</v>
      </c>
      <c r="AK32" s="272" t="e">
        <f>IF(AJ32&lt;=1,"Insignificante",HLOOKUP(AJ32,[71]Listas!$F$3:$J$4,2,0))</f>
        <v>#N/A</v>
      </c>
      <c r="AL32" s="273" t="e">
        <f t="shared" si="3"/>
        <v>#N/A</v>
      </c>
      <c r="AM32" s="270" t="e">
        <f>INDEX([71]Listas!$F$6:$J$10,MATCH(AI32,[71]Listas!$D$6:$D$10,0),MATCH(AK32,[71]Listas!$F$4:$J$4,0))</f>
        <v>#N/A</v>
      </c>
      <c r="AN32" s="259"/>
      <c r="AO32" s="259"/>
      <c r="AP32" s="937"/>
      <c r="AQ32" s="259"/>
      <c r="AR32" s="259" t="s">
        <v>2343</v>
      </c>
      <c r="AS32" s="935"/>
      <c r="AT32" s="259"/>
      <c r="AU32" s="259"/>
      <c r="AV32" s="567"/>
      <c r="AW32" s="567"/>
      <c r="AX32" s="935"/>
      <c r="AY32" s="262"/>
    </row>
    <row r="33" spans="1:51" s="260" customFormat="1" ht="103.5" hidden="1" customHeight="1">
      <c r="A33" s="935"/>
      <c r="B33" s="266"/>
      <c r="C33" s="1399"/>
      <c r="D33" s="1408"/>
      <c r="E33" s="1400"/>
      <c r="F33" s="267"/>
      <c r="G33" s="1399"/>
      <c r="H33" s="1408"/>
      <c r="I33" s="1400"/>
      <c r="J33" s="1380"/>
      <c r="K33" s="1380"/>
      <c r="L33" s="1380"/>
      <c r="M33" s="935"/>
      <c r="N33" s="935"/>
      <c r="O33" s="935"/>
      <c r="P33" s="935"/>
      <c r="Q33" s="266"/>
      <c r="R33" s="266"/>
      <c r="S33" s="268"/>
      <c r="T33" s="269" t="e">
        <f>VLOOKUP(Q33,[71]Listas!$D$6:$E$10,2,0)</f>
        <v>#N/A</v>
      </c>
      <c r="U33" s="269" t="e">
        <f>HLOOKUP(R33,[71]Listas!$F$4:$J$5,2,0)</f>
        <v>#N/A</v>
      </c>
      <c r="V33" s="270" t="e">
        <f>INDEX([71]Listas!$F$6:$J$10,MATCH(Q33,[71]Listas!$D$6:$D$10,0),MATCH(R33,[71]Listas!$F$4:$J$4,0))</f>
        <v>#N/A</v>
      </c>
      <c r="W33" s="268"/>
      <c r="X33" s="1399"/>
      <c r="Y33" s="1408"/>
      <c r="Z33" s="1400"/>
      <c r="AA33" s="1063"/>
      <c r="AB33" s="267"/>
      <c r="AC33" s="259"/>
      <c r="AD33" s="935"/>
      <c r="AE33" s="267"/>
      <c r="AF33" s="268"/>
      <c r="AG33" s="269">
        <f t="shared" si="0"/>
        <v>0</v>
      </c>
      <c r="AH33" s="271" t="e">
        <f t="shared" si="1"/>
        <v>#N/A</v>
      </c>
      <c r="AI33" s="272" t="e">
        <f>IF(AH33&lt;=1,"Remota",VLOOKUP(AH33,[71]Listas!$C$6:$D$10,2,0))</f>
        <v>#N/A</v>
      </c>
      <c r="AJ33" s="271" t="e">
        <f t="shared" si="2"/>
        <v>#N/A</v>
      </c>
      <c r="AK33" s="272" t="e">
        <f>IF(AJ33&lt;=1,"Insignificante",HLOOKUP(AJ33,[71]Listas!$F$3:$J$4,2,0))</f>
        <v>#N/A</v>
      </c>
      <c r="AL33" s="273" t="e">
        <f t="shared" si="3"/>
        <v>#N/A</v>
      </c>
      <c r="AM33" s="270" t="e">
        <f>INDEX([71]Listas!$F$6:$J$10,MATCH(AI33,[71]Listas!$D$6:$D$10,0),MATCH(AK33,[71]Listas!$F$4:$J$4,0))</f>
        <v>#N/A</v>
      </c>
      <c r="AN33" s="259"/>
      <c r="AO33" s="259"/>
      <c r="AP33" s="937"/>
      <c r="AQ33" s="259"/>
      <c r="AR33" s="259" t="s">
        <v>2343</v>
      </c>
      <c r="AS33" s="935"/>
      <c r="AT33" s="259"/>
      <c r="AU33" s="259"/>
      <c r="AV33" s="567"/>
      <c r="AW33" s="567"/>
      <c r="AX33" s="935"/>
      <c r="AY33" s="262"/>
    </row>
    <row r="34" spans="1:51" s="260" customFormat="1" ht="103.5" hidden="1" customHeight="1">
      <c r="A34" s="935"/>
      <c r="B34" s="266"/>
      <c r="C34" s="1399"/>
      <c r="D34" s="1408"/>
      <c r="E34" s="1400"/>
      <c r="F34" s="267"/>
      <c r="G34" s="1399"/>
      <c r="H34" s="1408"/>
      <c r="I34" s="1400"/>
      <c r="J34" s="1380"/>
      <c r="K34" s="1380"/>
      <c r="L34" s="1380"/>
      <c r="M34" s="935"/>
      <c r="N34" s="935"/>
      <c r="O34" s="935"/>
      <c r="P34" s="935"/>
      <c r="Q34" s="266"/>
      <c r="R34" s="266"/>
      <c r="S34" s="268"/>
      <c r="T34" s="269" t="e">
        <f>VLOOKUP(Q34,[71]Listas!$D$6:$E$10,2,0)</f>
        <v>#N/A</v>
      </c>
      <c r="U34" s="269" t="e">
        <f>HLOOKUP(R34,[71]Listas!$F$4:$J$5,2,0)</f>
        <v>#N/A</v>
      </c>
      <c r="V34" s="270" t="e">
        <f>INDEX([71]Listas!$F$6:$J$10,MATCH(Q34,[71]Listas!$D$6:$D$10,0),MATCH(R34,[71]Listas!$F$4:$J$4,0))</f>
        <v>#N/A</v>
      </c>
      <c r="W34" s="268"/>
      <c r="X34" s="1399"/>
      <c r="Y34" s="1408"/>
      <c r="Z34" s="1400"/>
      <c r="AA34" s="1063"/>
      <c r="AB34" s="267"/>
      <c r="AC34" s="259"/>
      <c r="AD34" s="935"/>
      <c r="AE34" s="267"/>
      <c r="AF34" s="268"/>
      <c r="AG34" s="269">
        <f t="shared" si="0"/>
        <v>0</v>
      </c>
      <c r="AH34" s="271" t="e">
        <f t="shared" si="1"/>
        <v>#N/A</v>
      </c>
      <c r="AI34" s="272" t="e">
        <f>IF(AH34&lt;=1,"Remota",VLOOKUP(AH34,[71]Listas!$C$6:$D$10,2,0))</f>
        <v>#N/A</v>
      </c>
      <c r="AJ34" s="271" t="e">
        <f t="shared" si="2"/>
        <v>#N/A</v>
      </c>
      <c r="AK34" s="272" t="e">
        <f>IF(AJ34&lt;=1,"Insignificante",HLOOKUP(AJ34,[71]Listas!$F$3:$J$4,2,0))</f>
        <v>#N/A</v>
      </c>
      <c r="AL34" s="273" t="e">
        <f t="shared" si="3"/>
        <v>#N/A</v>
      </c>
      <c r="AM34" s="270" t="e">
        <f>INDEX([71]Listas!$F$6:$J$10,MATCH(AI34,[71]Listas!$D$6:$D$10,0),MATCH(AK34,[71]Listas!$F$4:$J$4,0))</f>
        <v>#N/A</v>
      </c>
      <c r="AN34" s="259"/>
      <c r="AO34" s="259"/>
      <c r="AP34" s="937"/>
      <c r="AQ34" s="259"/>
      <c r="AR34" s="259" t="s">
        <v>2343</v>
      </c>
      <c r="AS34" s="935"/>
      <c r="AT34" s="259"/>
      <c r="AU34" s="259"/>
      <c r="AV34" s="567"/>
      <c r="AW34" s="567"/>
      <c r="AX34" s="935"/>
      <c r="AY34" s="262"/>
    </row>
    <row r="35" spans="1:51" s="260" customFormat="1" ht="103.5" hidden="1" customHeight="1">
      <c r="A35" s="935"/>
      <c r="B35" s="266"/>
      <c r="C35" s="1399"/>
      <c r="D35" s="1408"/>
      <c r="E35" s="1400"/>
      <c r="F35" s="267"/>
      <c r="G35" s="1399"/>
      <c r="H35" s="1408"/>
      <c r="I35" s="1400"/>
      <c r="J35" s="1380"/>
      <c r="K35" s="1380"/>
      <c r="L35" s="1380"/>
      <c r="M35" s="935"/>
      <c r="N35" s="935"/>
      <c r="O35" s="935"/>
      <c r="P35" s="935"/>
      <c r="Q35" s="266"/>
      <c r="R35" s="266"/>
      <c r="S35" s="268"/>
      <c r="T35" s="269" t="e">
        <f>VLOOKUP(Q35,[71]Listas!$D$6:$E$10,2,0)</f>
        <v>#N/A</v>
      </c>
      <c r="U35" s="269" t="e">
        <f>HLOOKUP(R35,[71]Listas!$F$4:$J$5,2,0)</f>
        <v>#N/A</v>
      </c>
      <c r="V35" s="270" t="e">
        <f>INDEX([71]Listas!$F$6:$J$10,MATCH(Q35,[71]Listas!$D$6:$D$10,0),MATCH(R35,[71]Listas!$F$4:$J$4,0))</f>
        <v>#N/A</v>
      </c>
      <c r="W35" s="268"/>
      <c r="X35" s="1399"/>
      <c r="Y35" s="1408"/>
      <c r="Z35" s="1400"/>
      <c r="AA35" s="1063"/>
      <c r="AB35" s="267"/>
      <c r="AC35" s="259"/>
      <c r="AD35" s="935"/>
      <c r="AE35" s="267"/>
      <c r="AF35" s="268"/>
      <c r="AG35" s="269">
        <f t="shared" si="0"/>
        <v>0</v>
      </c>
      <c r="AH35" s="271" t="e">
        <f t="shared" si="1"/>
        <v>#N/A</v>
      </c>
      <c r="AI35" s="272" t="e">
        <f>IF(AH35&lt;=1,"Remota",VLOOKUP(AH35,[71]Listas!$C$6:$D$10,2,0))</f>
        <v>#N/A</v>
      </c>
      <c r="AJ35" s="271" t="e">
        <f t="shared" si="2"/>
        <v>#N/A</v>
      </c>
      <c r="AK35" s="272" t="e">
        <f>IF(AJ35&lt;=1,"Insignificante",HLOOKUP(AJ35,[71]Listas!$F$3:$J$4,2,0))</f>
        <v>#N/A</v>
      </c>
      <c r="AL35" s="273" t="e">
        <f t="shared" si="3"/>
        <v>#N/A</v>
      </c>
      <c r="AM35" s="270" t="e">
        <f>INDEX([71]Listas!$F$6:$J$10,MATCH(AI35,[71]Listas!$D$6:$D$10,0),MATCH(AK35,[71]Listas!$F$4:$J$4,0))</f>
        <v>#N/A</v>
      </c>
      <c r="AN35" s="259"/>
      <c r="AO35" s="259"/>
      <c r="AP35" s="937"/>
      <c r="AQ35" s="259"/>
      <c r="AR35" s="259" t="s">
        <v>2343</v>
      </c>
      <c r="AS35" s="935"/>
      <c r="AT35" s="259"/>
      <c r="AU35" s="259"/>
      <c r="AV35" s="567"/>
      <c r="AW35" s="567"/>
      <c r="AX35" s="935"/>
      <c r="AY35" s="262"/>
    </row>
    <row r="36" spans="1:51" s="260" customFormat="1" ht="103.5" hidden="1" customHeight="1">
      <c r="A36" s="935"/>
      <c r="B36" s="266"/>
      <c r="C36" s="1399"/>
      <c r="D36" s="1408"/>
      <c r="E36" s="1400"/>
      <c r="F36" s="267"/>
      <c r="G36" s="1399"/>
      <c r="H36" s="1408"/>
      <c r="I36" s="1400"/>
      <c r="J36" s="1380"/>
      <c r="K36" s="1380"/>
      <c r="L36" s="1380"/>
      <c r="M36" s="935"/>
      <c r="N36" s="935"/>
      <c r="O36" s="935"/>
      <c r="P36" s="935"/>
      <c r="Q36" s="266"/>
      <c r="R36" s="266"/>
      <c r="S36" s="268"/>
      <c r="T36" s="269" t="e">
        <f>VLOOKUP(Q36,[71]Listas!$D$6:$E$10,2,0)</f>
        <v>#N/A</v>
      </c>
      <c r="U36" s="269" t="e">
        <f>HLOOKUP(R36,[71]Listas!$F$4:$J$5,2,0)</f>
        <v>#N/A</v>
      </c>
      <c r="V36" s="270" t="e">
        <f>INDEX([71]Listas!$F$6:$J$10,MATCH(Q36,[71]Listas!$D$6:$D$10,0),MATCH(R36,[71]Listas!$F$4:$J$4,0))</f>
        <v>#N/A</v>
      </c>
      <c r="W36" s="268"/>
      <c r="X36" s="1399"/>
      <c r="Y36" s="1408"/>
      <c r="Z36" s="1400"/>
      <c r="AA36" s="1063"/>
      <c r="AB36" s="267"/>
      <c r="AC36" s="259"/>
      <c r="AD36" s="935"/>
      <c r="AE36" s="267"/>
      <c r="AF36" s="268"/>
      <c r="AG36" s="269">
        <f t="shared" si="0"/>
        <v>0</v>
      </c>
      <c r="AH36" s="271" t="e">
        <f t="shared" si="1"/>
        <v>#N/A</v>
      </c>
      <c r="AI36" s="272" t="e">
        <f>IF(AH36&lt;=1,"Remota",VLOOKUP(AH36,[71]Listas!$C$6:$D$10,2,0))</f>
        <v>#N/A</v>
      </c>
      <c r="AJ36" s="271" t="e">
        <f t="shared" si="2"/>
        <v>#N/A</v>
      </c>
      <c r="AK36" s="272" t="e">
        <f>IF(AJ36&lt;=1,"Insignificante",HLOOKUP(AJ36,[71]Listas!$F$3:$J$4,2,0))</f>
        <v>#N/A</v>
      </c>
      <c r="AL36" s="273" t="e">
        <f t="shared" si="3"/>
        <v>#N/A</v>
      </c>
      <c r="AM36" s="270" t="e">
        <f>INDEX([71]Listas!$F$6:$J$10,MATCH(AI36,[71]Listas!$D$6:$D$10,0),MATCH(AK36,[71]Listas!$F$4:$J$4,0))</f>
        <v>#N/A</v>
      </c>
      <c r="AN36" s="259"/>
      <c r="AO36" s="259"/>
      <c r="AP36" s="937"/>
      <c r="AQ36" s="259"/>
      <c r="AR36" s="259" t="s">
        <v>2343</v>
      </c>
      <c r="AS36" s="935"/>
      <c r="AT36" s="259"/>
      <c r="AU36" s="259"/>
      <c r="AV36" s="567"/>
      <c r="AW36" s="567"/>
      <c r="AX36" s="935"/>
      <c r="AY36" s="262"/>
    </row>
    <row r="37" spans="1:51" s="260" customFormat="1" ht="103.5" hidden="1" customHeight="1">
      <c r="A37" s="935"/>
      <c r="B37" s="266"/>
      <c r="C37" s="1399"/>
      <c r="D37" s="1408"/>
      <c r="E37" s="1400"/>
      <c r="F37" s="267"/>
      <c r="G37" s="1399"/>
      <c r="H37" s="1408"/>
      <c r="I37" s="1400"/>
      <c r="J37" s="1380"/>
      <c r="K37" s="1380"/>
      <c r="L37" s="1380"/>
      <c r="M37" s="935"/>
      <c r="N37" s="935"/>
      <c r="O37" s="935"/>
      <c r="P37" s="935"/>
      <c r="Q37" s="266"/>
      <c r="R37" s="266"/>
      <c r="S37" s="268"/>
      <c r="T37" s="269" t="e">
        <f>VLOOKUP(Q37,[71]Listas!$D$6:$E$10,2,0)</f>
        <v>#N/A</v>
      </c>
      <c r="U37" s="269" t="e">
        <f>HLOOKUP(R37,[71]Listas!$F$4:$J$5,2,0)</f>
        <v>#N/A</v>
      </c>
      <c r="V37" s="270" t="e">
        <f>INDEX([71]Listas!$F$6:$J$10,MATCH(Q37,[71]Listas!$D$6:$D$10,0),MATCH(R37,[71]Listas!$F$4:$J$4,0))</f>
        <v>#N/A</v>
      </c>
      <c r="W37" s="268"/>
      <c r="X37" s="1399"/>
      <c r="Y37" s="1408"/>
      <c r="Z37" s="1400"/>
      <c r="AA37" s="1063"/>
      <c r="AB37" s="267"/>
      <c r="AC37" s="259"/>
      <c r="AD37" s="935"/>
      <c r="AE37" s="267"/>
      <c r="AF37" s="268"/>
      <c r="AG37" s="269">
        <f t="shared" si="0"/>
        <v>0</v>
      </c>
      <c r="AH37" s="271" t="e">
        <f t="shared" si="1"/>
        <v>#N/A</v>
      </c>
      <c r="AI37" s="272" t="e">
        <f>IF(AH37&lt;=1,"Remota",VLOOKUP(AH37,[71]Listas!$C$6:$D$10,2,0))</f>
        <v>#N/A</v>
      </c>
      <c r="AJ37" s="271" t="e">
        <f t="shared" si="2"/>
        <v>#N/A</v>
      </c>
      <c r="AK37" s="272" t="e">
        <f>IF(AJ37&lt;=1,"Insignificante",HLOOKUP(AJ37,[71]Listas!$F$3:$J$4,2,0))</f>
        <v>#N/A</v>
      </c>
      <c r="AL37" s="273" t="e">
        <f t="shared" si="3"/>
        <v>#N/A</v>
      </c>
      <c r="AM37" s="270" t="e">
        <f>INDEX([71]Listas!$F$6:$J$10,MATCH(AI37,[71]Listas!$D$6:$D$10,0),MATCH(AK37,[71]Listas!$F$4:$J$4,0))</f>
        <v>#N/A</v>
      </c>
      <c r="AN37" s="259"/>
      <c r="AO37" s="259"/>
      <c r="AP37" s="937"/>
      <c r="AQ37" s="259"/>
      <c r="AR37" s="259" t="s">
        <v>2343</v>
      </c>
      <c r="AS37" s="935"/>
      <c r="AT37" s="259"/>
      <c r="AU37" s="259"/>
      <c r="AV37" s="567"/>
      <c r="AW37" s="567"/>
      <c r="AX37" s="935"/>
      <c r="AY37" s="262"/>
    </row>
    <row r="38" spans="1:51" s="260" customFormat="1" ht="103.5" hidden="1" customHeight="1">
      <c r="A38" s="935"/>
      <c r="B38" s="266"/>
      <c r="C38" s="1399"/>
      <c r="D38" s="1408"/>
      <c r="E38" s="1400"/>
      <c r="F38" s="267"/>
      <c r="G38" s="1399"/>
      <c r="H38" s="1408"/>
      <c r="I38" s="1400"/>
      <c r="J38" s="1380"/>
      <c r="K38" s="1380"/>
      <c r="L38" s="1380"/>
      <c r="M38" s="935"/>
      <c r="N38" s="935"/>
      <c r="O38" s="935"/>
      <c r="P38" s="935"/>
      <c r="Q38" s="266"/>
      <c r="R38" s="266"/>
      <c r="S38" s="268"/>
      <c r="T38" s="269" t="e">
        <f>VLOOKUP(Q38,[71]Listas!$D$6:$E$10,2,0)</f>
        <v>#N/A</v>
      </c>
      <c r="U38" s="269" t="e">
        <f>HLOOKUP(R38,[71]Listas!$F$4:$J$5,2,0)</f>
        <v>#N/A</v>
      </c>
      <c r="V38" s="270" t="e">
        <f>INDEX([71]Listas!$F$6:$J$10,MATCH(Q38,[71]Listas!$D$6:$D$10,0),MATCH(R38,[71]Listas!$F$4:$J$4,0))</f>
        <v>#N/A</v>
      </c>
      <c r="W38" s="268"/>
      <c r="X38" s="1399"/>
      <c r="Y38" s="1408"/>
      <c r="Z38" s="1400"/>
      <c r="AA38" s="1063"/>
      <c r="AB38" s="267"/>
      <c r="AC38" s="259"/>
      <c r="AD38" s="935"/>
      <c r="AE38" s="267"/>
      <c r="AF38" s="268"/>
      <c r="AG38" s="269">
        <f t="shared" si="0"/>
        <v>0</v>
      </c>
      <c r="AH38" s="271" t="e">
        <f t="shared" si="1"/>
        <v>#N/A</v>
      </c>
      <c r="AI38" s="272" t="e">
        <f>IF(AH38&lt;=1,"Remota",VLOOKUP(AH38,[71]Listas!$C$6:$D$10,2,0))</f>
        <v>#N/A</v>
      </c>
      <c r="AJ38" s="271" t="e">
        <f t="shared" si="2"/>
        <v>#N/A</v>
      </c>
      <c r="AK38" s="272" t="e">
        <f>IF(AJ38&lt;=1,"Insignificante",HLOOKUP(AJ38,[71]Listas!$F$3:$J$4,2,0))</f>
        <v>#N/A</v>
      </c>
      <c r="AL38" s="273" t="e">
        <f t="shared" si="3"/>
        <v>#N/A</v>
      </c>
      <c r="AM38" s="270" t="e">
        <f>INDEX([71]Listas!$F$6:$J$10,MATCH(AI38,[71]Listas!$D$6:$D$10,0),MATCH(AK38,[71]Listas!$F$4:$J$4,0))</f>
        <v>#N/A</v>
      </c>
      <c r="AN38" s="259"/>
      <c r="AO38" s="259"/>
      <c r="AP38" s="937"/>
      <c r="AQ38" s="259"/>
      <c r="AR38" s="259" t="s">
        <v>2343</v>
      </c>
      <c r="AS38" s="935"/>
      <c r="AT38" s="259"/>
      <c r="AU38" s="259"/>
      <c r="AV38" s="567"/>
      <c r="AW38" s="567"/>
      <c r="AX38" s="935"/>
      <c r="AY38" s="262"/>
    </row>
    <row r="39" spans="1:51" s="260" customFormat="1" ht="103.5" hidden="1" customHeight="1">
      <c r="A39" s="935"/>
      <c r="B39" s="266"/>
      <c r="C39" s="1399"/>
      <c r="D39" s="1408"/>
      <c r="E39" s="1400"/>
      <c r="F39" s="267"/>
      <c r="G39" s="1399"/>
      <c r="H39" s="1408"/>
      <c r="I39" s="1400"/>
      <c r="J39" s="1380"/>
      <c r="K39" s="1380"/>
      <c r="L39" s="1380"/>
      <c r="M39" s="935"/>
      <c r="N39" s="935"/>
      <c r="O39" s="935"/>
      <c r="P39" s="935"/>
      <c r="Q39" s="266"/>
      <c r="R39" s="266"/>
      <c r="S39" s="268"/>
      <c r="T39" s="269" t="e">
        <f>VLOOKUP(Q39,[71]Listas!$D$6:$E$10,2,0)</f>
        <v>#N/A</v>
      </c>
      <c r="U39" s="269" t="e">
        <f>HLOOKUP(R39,[71]Listas!$F$4:$J$5,2,0)</f>
        <v>#N/A</v>
      </c>
      <c r="V39" s="270" t="e">
        <f>INDEX([71]Listas!$F$6:$J$10,MATCH(Q39,[71]Listas!$D$6:$D$10,0),MATCH(R39,[71]Listas!$F$4:$J$4,0))</f>
        <v>#N/A</v>
      </c>
      <c r="W39" s="268"/>
      <c r="X39" s="1399"/>
      <c r="Y39" s="1408"/>
      <c r="Z39" s="1400"/>
      <c r="AA39" s="1063"/>
      <c r="AB39" s="267"/>
      <c r="AC39" s="259"/>
      <c r="AD39" s="935"/>
      <c r="AE39" s="267"/>
      <c r="AF39" s="268"/>
      <c r="AG39" s="269">
        <f t="shared" si="0"/>
        <v>0</v>
      </c>
      <c r="AH39" s="271" t="e">
        <f t="shared" si="1"/>
        <v>#N/A</v>
      </c>
      <c r="AI39" s="272" t="e">
        <f>IF(AH39&lt;=1,"Remota",VLOOKUP(AH39,[71]Listas!$C$6:$D$10,2,0))</f>
        <v>#N/A</v>
      </c>
      <c r="AJ39" s="271" t="e">
        <f t="shared" si="2"/>
        <v>#N/A</v>
      </c>
      <c r="AK39" s="272" t="e">
        <f>IF(AJ39&lt;=1,"Insignificante",HLOOKUP(AJ39,[71]Listas!$F$3:$J$4,2,0))</f>
        <v>#N/A</v>
      </c>
      <c r="AL39" s="273" t="e">
        <f t="shared" si="3"/>
        <v>#N/A</v>
      </c>
      <c r="AM39" s="270" t="e">
        <f>INDEX([71]Listas!$F$6:$J$10,MATCH(AI39,[71]Listas!$D$6:$D$10,0),MATCH(AK39,[71]Listas!$F$4:$J$4,0))</f>
        <v>#N/A</v>
      </c>
      <c r="AN39" s="259"/>
      <c r="AO39" s="259"/>
      <c r="AP39" s="937"/>
      <c r="AQ39" s="259"/>
      <c r="AR39" s="259" t="s">
        <v>2343</v>
      </c>
      <c r="AS39" s="935"/>
      <c r="AT39" s="259"/>
      <c r="AU39" s="259"/>
      <c r="AV39" s="567"/>
      <c r="AW39" s="567"/>
      <c r="AX39" s="935"/>
      <c r="AY39" s="262"/>
    </row>
    <row r="40" spans="1:51" s="260" customFormat="1" ht="103.5" hidden="1" customHeight="1">
      <c r="A40" s="935"/>
      <c r="B40" s="266"/>
      <c r="C40" s="1399"/>
      <c r="D40" s="1408"/>
      <c r="E40" s="1400"/>
      <c r="F40" s="266"/>
      <c r="G40" s="1399"/>
      <c r="H40" s="1408"/>
      <c r="I40" s="1400"/>
      <c r="J40" s="1380"/>
      <c r="K40" s="1380"/>
      <c r="L40" s="1380"/>
      <c r="M40" s="935"/>
      <c r="N40" s="935"/>
      <c r="O40" s="935"/>
      <c r="P40" s="935"/>
      <c r="Q40" s="266"/>
      <c r="R40" s="266"/>
      <c r="S40" s="268"/>
      <c r="T40" s="269" t="e">
        <f>VLOOKUP(Q40,[71]Listas!$D$6:$E$10,2,0)</f>
        <v>#N/A</v>
      </c>
      <c r="U40" s="269" t="e">
        <f>HLOOKUP(R40,[71]Listas!$F$4:$J$5,2,0)</f>
        <v>#N/A</v>
      </c>
      <c r="V40" s="270" t="e">
        <f>INDEX([71]Listas!$F$6:$J$10,MATCH(Q40,[71]Listas!$D$6:$D$10,0),MATCH(R40,[71]Listas!$F$4:$J$4,0))</f>
        <v>#N/A</v>
      </c>
      <c r="W40" s="268"/>
      <c r="X40" s="1399"/>
      <c r="Y40" s="1408"/>
      <c r="Z40" s="1400"/>
      <c r="AA40" s="1063"/>
      <c r="AB40" s="267"/>
      <c r="AC40" s="259"/>
      <c r="AD40" s="935"/>
      <c r="AE40" s="267"/>
      <c r="AF40" s="268"/>
      <c r="AG40" s="269">
        <f>IF(AD40&lt;=33,0,IF(AD40&gt;81,2,1))</f>
        <v>0</v>
      </c>
      <c r="AH40" s="271" t="e">
        <f>IF(OR(AE40="Probabilidad",AE40="Ambos"),T40-AG40,T40)</f>
        <v>#N/A</v>
      </c>
      <c r="AI40" s="272" t="e">
        <f>IF(AH40&lt;=1,"Remota",VLOOKUP(AH40,[71]Listas!$C$6:$D$10,2,0))</f>
        <v>#N/A</v>
      </c>
      <c r="AJ40" s="271" t="e">
        <f>IF(OR(AE40="Impacto",AE40="Ambos"),U40-AG40,U40)</f>
        <v>#N/A</v>
      </c>
      <c r="AK40" s="272" t="e">
        <f>IF(AJ40&lt;=1,"Insignificante",HLOOKUP(AJ40,[71]Listas!$F$3:$J$4,2,0))</f>
        <v>#N/A</v>
      </c>
      <c r="AL40" s="273" t="e">
        <f>AH40*AJ40</f>
        <v>#N/A</v>
      </c>
      <c r="AM40" s="270" t="e">
        <f>INDEX([71]Listas!$F$6:$J$10,MATCH(AI40,[71]Listas!$D$6:$D$10,0),MATCH(AK40,[71]Listas!$F$4:$J$4,0))</f>
        <v>#N/A</v>
      </c>
      <c r="AN40" s="259"/>
      <c r="AO40" s="259"/>
      <c r="AP40" s="937"/>
      <c r="AQ40" s="259"/>
      <c r="AR40" s="259" t="s">
        <v>2343</v>
      </c>
      <c r="AS40" s="935"/>
      <c r="AU40" s="259"/>
      <c r="AV40" s="567"/>
      <c r="AW40" s="567"/>
      <c r="AX40" s="935"/>
      <c r="AY40" s="262"/>
    </row>
    <row r="41" spans="1:51" s="260" customFormat="1" ht="103.5" hidden="1" customHeight="1">
      <c r="A41" s="935"/>
      <c r="B41" s="266"/>
      <c r="C41" s="1399"/>
      <c r="D41" s="1408"/>
      <c r="E41" s="1400"/>
      <c r="F41" s="267"/>
      <c r="G41" s="1399"/>
      <c r="H41" s="1408"/>
      <c r="I41" s="1400"/>
      <c r="J41" s="1380"/>
      <c r="K41" s="1380"/>
      <c r="L41" s="1380"/>
      <c r="M41" s="935"/>
      <c r="N41" s="935"/>
      <c r="O41" s="935"/>
      <c r="P41" s="935"/>
      <c r="Q41" s="266"/>
      <c r="R41" s="266"/>
      <c r="S41" s="268"/>
      <c r="T41" s="269" t="e">
        <f>VLOOKUP(Q41,[71]Listas!$D$6:$E$10,2,0)</f>
        <v>#N/A</v>
      </c>
      <c r="U41" s="269" t="e">
        <f>HLOOKUP(R41,[71]Listas!$F$4:$J$5,2,0)</f>
        <v>#N/A</v>
      </c>
      <c r="V41" s="270" t="e">
        <f>INDEX([71]Listas!$F$6:$J$10,MATCH(Q41,[71]Listas!$D$6:$D$10,0),MATCH(R41,[71]Listas!$F$4:$J$4,0))</f>
        <v>#N/A</v>
      </c>
      <c r="W41" s="268"/>
      <c r="X41" s="1399"/>
      <c r="Y41" s="1408"/>
      <c r="Z41" s="1400"/>
      <c r="AA41" s="1063"/>
      <c r="AB41" s="267"/>
      <c r="AC41" s="259"/>
      <c r="AD41" s="935"/>
      <c r="AE41" s="267"/>
      <c r="AF41" s="268"/>
      <c r="AG41" s="269">
        <f t="shared" ref="AG41:AG61" si="4">IF(AD41&lt;=33,0,IF(AD41&gt;81,2,1))</f>
        <v>0</v>
      </c>
      <c r="AH41" s="271" t="e">
        <f t="shared" ref="AH41:AH61" si="5">IF(OR(AE41="Probabilidad",AE41="Ambos"),T41-AG41,T41)</f>
        <v>#N/A</v>
      </c>
      <c r="AI41" s="272" t="e">
        <f>IF(AH41&lt;=1,"Remota",VLOOKUP(AH41,[71]Listas!$C$6:$D$10,2,0))</f>
        <v>#N/A</v>
      </c>
      <c r="AJ41" s="271" t="e">
        <f t="shared" ref="AJ41:AJ61" si="6">IF(OR(AE41="Impacto",AE41="Ambos"),U41-AG41,U41)</f>
        <v>#N/A</v>
      </c>
      <c r="AK41" s="272" t="e">
        <f>IF(AJ41&lt;=1,"Insignificante",HLOOKUP(AJ41,[71]Listas!$F$3:$J$4,2,0))</f>
        <v>#N/A</v>
      </c>
      <c r="AL41" s="273" t="e">
        <f t="shared" ref="AL41:AL61" si="7">AH41*AJ41</f>
        <v>#N/A</v>
      </c>
      <c r="AM41" s="270" t="e">
        <f>INDEX([71]Listas!$F$6:$J$10,MATCH(AI41,[71]Listas!$D$6:$D$10,0),MATCH(AK41,[71]Listas!$F$4:$J$4,0))</f>
        <v>#N/A</v>
      </c>
      <c r="AN41" s="259"/>
      <c r="AO41" s="259"/>
      <c r="AP41" s="937"/>
      <c r="AQ41" s="259"/>
      <c r="AR41" s="259" t="s">
        <v>2343</v>
      </c>
      <c r="AS41" s="935"/>
      <c r="AT41" s="259"/>
      <c r="AU41" s="259"/>
      <c r="AV41" s="567"/>
      <c r="AW41" s="567"/>
      <c r="AX41" s="935"/>
      <c r="AY41" s="262"/>
    </row>
    <row r="42" spans="1:51" s="260" customFormat="1" ht="103.5" hidden="1" customHeight="1">
      <c r="A42" s="935"/>
      <c r="B42" s="266"/>
      <c r="C42" s="1399"/>
      <c r="D42" s="1408"/>
      <c r="E42" s="1400"/>
      <c r="F42" s="267"/>
      <c r="G42" s="1399"/>
      <c r="H42" s="1408"/>
      <c r="I42" s="1400"/>
      <c r="J42" s="1380"/>
      <c r="K42" s="1380"/>
      <c r="L42" s="1380"/>
      <c r="M42" s="935"/>
      <c r="N42" s="935"/>
      <c r="O42" s="935"/>
      <c r="P42" s="935"/>
      <c r="Q42" s="266"/>
      <c r="R42" s="266"/>
      <c r="S42" s="268"/>
      <c r="T42" s="269" t="e">
        <f>VLOOKUP(Q42,[71]Listas!$D$6:$E$10,2,0)</f>
        <v>#N/A</v>
      </c>
      <c r="U42" s="269" t="e">
        <f>HLOOKUP(R42,[71]Listas!$F$4:$J$5,2,0)</f>
        <v>#N/A</v>
      </c>
      <c r="V42" s="270" t="e">
        <f>INDEX([71]Listas!$F$6:$J$10,MATCH(Q42,[71]Listas!$D$6:$D$10,0),MATCH(R42,[71]Listas!$F$4:$J$4,0))</f>
        <v>#N/A</v>
      </c>
      <c r="W42" s="268"/>
      <c r="X42" s="1399"/>
      <c r="Y42" s="1408"/>
      <c r="Z42" s="1400"/>
      <c r="AA42" s="1063"/>
      <c r="AB42" s="267"/>
      <c r="AC42" s="259"/>
      <c r="AD42" s="935"/>
      <c r="AE42" s="267"/>
      <c r="AF42" s="268"/>
      <c r="AG42" s="269">
        <f t="shared" si="4"/>
        <v>0</v>
      </c>
      <c r="AH42" s="271" t="e">
        <f t="shared" si="5"/>
        <v>#N/A</v>
      </c>
      <c r="AI42" s="272" t="e">
        <f>IF(AH42&lt;=1,"Remota",VLOOKUP(AH42,[71]Listas!$C$6:$D$10,2,0))</f>
        <v>#N/A</v>
      </c>
      <c r="AJ42" s="271" t="e">
        <f t="shared" si="6"/>
        <v>#N/A</v>
      </c>
      <c r="AK42" s="272" t="e">
        <f>IF(AJ42&lt;=1,"Insignificante",HLOOKUP(AJ42,[71]Listas!$F$3:$J$4,2,0))</f>
        <v>#N/A</v>
      </c>
      <c r="AL42" s="273" t="e">
        <f t="shared" si="7"/>
        <v>#N/A</v>
      </c>
      <c r="AM42" s="270" t="e">
        <f>INDEX([71]Listas!$F$6:$J$10,MATCH(AI42,[71]Listas!$D$6:$D$10,0),MATCH(AK42,[71]Listas!$F$4:$J$4,0))</f>
        <v>#N/A</v>
      </c>
      <c r="AN42" s="259"/>
      <c r="AO42" s="259"/>
      <c r="AP42" s="937"/>
      <c r="AQ42" s="259"/>
      <c r="AR42" s="259" t="s">
        <v>2343</v>
      </c>
      <c r="AS42" s="935"/>
      <c r="AT42" s="259"/>
      <c r="AU42" s="259"/>
      <c r="AV42" s="567"/>
      <c r="AW42" s="567"/>
      <c r="AX42" s="935"/>
      <c r="AY42" s="262"/>
    </row>
    <row r="43" spans="1:51" s="260" customFormat="1" ht="103.5" hidden="1" customHeight="1">
      <c r="A43" s="935"/>
      <c r="B43" s="266"/>
      <c r="C43" s="1399"/>
      <c r="D43" s="1408"/>
      <c r="E43" s="1400"/>
      <c r="F43" s="267"/>
      <c r="G43" s="1399"/>
      <c r="H43" s="1408"/>
      <c r="I43" s="1400"/>
      <c r="J43" s="1380"/>
      <c r="K43" s="1380"/>
      <c r="L43" s="1380"/>
      <c r="M43" s="935"/>
      <c r="N43" s="935"/>
      <c r="O43" s="935"/>
      <c r="P43" s="935"/>
      <c r="Q43" s="266"/>
      <c r="R43" s="266"/>
      <c r="S43" s="268"/>
      <c r="T43" s="269" t="e">
        <f>VLOOKUP(Q43,[71]Listas!$D$6:$E$10,2,0)</f>
        <v>#N/A</v>
      </c>
      <c r="U43" s="269" t="e">
        <f>HLOOKUP(R43,[71]Listas!$F$4:$J$5,2,0)</f>
        <v>#N/A</v>
      </c>
      <c r="V43" s="270" t="e">
        <f>INDEX([71]Listas!$F$6:$J$10,MATCH(Q43,[71]Listas!$D$6:$D$10,0),MATCH(R43,[71]Listas!$F$4:$J$4,0))</f>
        <v>#N/A</v>
      </c>
      <c r="W43" s="268"/>
      <c r="X43" s="1399"/>
      <c r="Y43" s="1408"/>
      <c r="Z43" s="1400"/>
      <c r="AA43" s="1063"/>
      <c r="AB43" s="267"/>
      <c r="AC43" s="259"/>
      <c r="AD43" s="935"/>
      <c r="AE43" s="267"/>
      <c r="AF43" s="268"/>
      <c r="AG43" s="269">
        <f t="shared" si="4"/>
        <v>0</v>
      </c>
      <c r="AH43" s="271" t="e">
        <f t="shared" si="5"/>
        <v>#N/A</v>
      </c>
      <c r="AI43" s="272" t="e">
        <f>IF(AH43&lt;=1,"Remota",VLOOKUP(AH43,[71]Listas!$C$6:$D$10,2,0))</f>
        <v>#N/A</v>
      </c>
      <c r="AJ43" s="271" t="e">
        <f t="shared" si="6"/>
        <v>#N/A</v>
      </c>
      <c r="AK43" s="272" t="e">
        <f>IF(AJ43&lt;=1,"Insignificante",HLOOKUP(AJ43,[71]Listas!$F$3:$J$4,2,0))</f>
        <v>#N/A</v>
      </c>
      <c r="AL43" s="273" t="e">
        <f t="shared" si="7"/>
        <v>#N/A</v>
      </c>
      <c r="AM43" s="270" t="e">
        <f>INDEX([71]Listas!$F$6:$J$10,MATCH(AI43,[71]Listas!$D$6:$D$10,0),MATCH(AK43,[71]Listas!$F$4:$J$4,0))</f>
        <v>#N/A</v>
      </c>
      <c r="AN43" s="259"/>
      <c r="AO43" s="259"/>
      <c r="AP43" s="937"/>
      <c r="AQ43" s="259"/>
      <c r="AR43" s="259" t="s">
        <v>2343</v>
      </c>
      <c r="AS43" s="935"/>
      <c r="AT43" s="259"/>
      <c r="AU43" s="259"/>
      <c r="AV43" s="567"/>
      <c r="AW43" s="567"/>
      <c r="AX43" s="935"/>
      <c r="AY43" s="262"/>
    </row>
    <row r="44" spans="1:51" s="260" customFormat="1" ht="103.5" hidden="1" customHeight="1">
      <c r="A44" s="935"/>
      <c r="B44" s="266"/>
      <c r="C44" s="1399"/>
      <c r="D44" s="1408"/>
      <c r="E44" s="1400"/>
      <c r="F44" s="267"/>
      <c r="G44" s="1399"/>
      <c r="H44" s="1408"/>
      <c r="I44" s="1400"/>
      <c r="J44" s="1380"/>
      <c r="K44" s="1380"/>
      <c r="L44" s="1380"/>
      <c r="M44" s="935"/>
      <c r="N44" s="935"/>
      <c r="O44" s="935"/>
      <c r="P44" s="935"/>
      <c r="Q44" s="266"/>
      <c r="R44" s="266"/>
      <c r="S44" s="268"/>
      <c r="T44" s="269" t="e">
        <f>VLOOKUP(Q44,[71]Listas!$D$6:$E$10,2,0)</f>
        <v>#N/A</v>
      </c>
      <c r="U44" s="269" t="e">
        <f>HLOOKUP(R44,[71]Listas!$F$4:$J$5,2,0)</f>
        <v>#N/A</v>
      </c>
      <c r="V44" s="270" t="e">
        <f>INDEX([71]Listas!$F$6:$J$10,MATCH(Q44,[71]Listas!$D$6:$D$10,0),MATCH(R44,[71]Listas!$F$4:$J$4,0))</f>
        <v>#N/A</v>
      </c>
      <c r="W44" s="268"/>
      <c r="X44" s="1399"/>
      <c r="Y44" s="1408"/>
      <c r="Z44" s="1400"/>
      <c r="AA44" s="1063"/>
      <c r="AB44" s="267"/>
      <c r="AC44" s="259"/>
      <c r="AD44" s="935"/>
      <c r="AE44" s="267"/>
      <c r="AF44" s="268"/>
      <c r="AG44" s="269">
        <f t="shared" si="4"/>
        <v>0</v>
      </c>
      <c r="AH44" s="271" t="e">
        <f t="shared" si="5"/>
        <v>#N/A</v>
      </c>
      <c r="AI44" s="272" t="e">
        <f>IF(AH44&lt;=1,"Remota",VLOOKUP(AH44,[71]Listas!$C$6:$D$10,2,0))</f>
        <v>#N/A</v>
      </c>
      <c r="AJ44" s="271" t="e">
        <f t="shared" si="6"/>
        <v>#N/A</v>
      </c>
      <c r="AK44" s="272" t="e">
        <f>IF(AJ44&lt;=1,"Insignificante",HLOOKUP(AJ44,[71]Listas!$F$3:$J$4,2,0))</f>
        <v>#N/A</v>
      </c>
      <c r="AL44" s="273" t="e">
        <f t="shared" si="7"/>
        <v>#N/A</v>
      </c>
      <c r="AM44" s="270" t="e">
        <f>INDEX([71]Listas!$F$6:$J$10,MATCH(AI44,[71]Listas!$D$6:$D$10,0),MATCH(AK44,[71]Listas!$F$4:$J$4,0))</f>
        <v>#N/A</v>
      </c>
      <c r="AN44" s="259"/>
      <c r="AO44" s="259"/>
      <c r="AP44" s="937"/>
      <c r="AQ44" s="259"/>
      <c r="AR44" s="259" t="s">
        <v>2343</v>
      </c>
      <c r="AS44" s="935"/>
      <c r="AT44" s="259"/>
      <c r="AU44" s="259"/>
      <c r="AV44" s="567"/>
      <c r="AW44" s="567"/>
      <c r="AX44" s="935"/>
      <c r="AY44" s="262"/>
    </row>
    <row r="45" spans="1:51" s="260" customFormat="1" ht="103.5" hidden="1" customHeight="1">
      <c r="A45" s="935"/>
      <c r="B45" s="266"/>
      <c r="C45" s="1399"/>
      <c r="D45" s="1408"/>
      <c r="E45" s="1400"/>
      <c r="F45" s="267"/>
      <c r="G45" s="1399"/>
      <c r="H45" s="1408"/>
      <c r="I45" s="1400"/>
      <c r="J45" s="1380"/>
      <c r="K45" s="1380"/>
      <c r="L45" s="1380"/>
      <c r="M45" s="935"/>
      <c r="N45" s="935"/>
      <c r="O45" s="935"/>
      <c r="P45" s="935"/>
      <c r="Q45" s="266"/>
      <c r="R45" s="266"/>
      <c r="S45" s="268"/>
      <c r="T45" s="269" t="e">
        <f>VLOOKUP(Q45,[71]Listas!$D$6:$E$10,2,0)</f>
        <v>#N/A</v>
      </c>
      <c r="U45" s="269" t="e">
        <f>HLOOKUP(R45,[71]Listas!$F$4:$J$5,2,0)</f>
        <v>#N/A</v>
      </c>
      <c r="V45" s="270" t="e">
        <f>INDEX([71]Listas!$F$6:$J$10,MATCH(Q45,[71]Listas!$D$6:$D$10,0),MATCH(R45,[71]Listas!$F$4:$J$4,0))</f>
        <v>#N/A</v>
      </c>
      <c r="W45" s="268"/>
      <c r="X45" s="1399"/>
      <c r="Y45" s="1408"/>
      <c r="Z45" s="1400"/>
      <c r="AA45" s="1063"/>
      <c r="AB45" s="267"/>
      <c r="AC45" s="259"/>
      <c r="AD45" s="935"/>
      <c r="AE45" s="267"/>
      <c r="AF45" s="268"/>
      <c r="AG45" s="269">
        <f t="shared" si="4"/>
        <v>0</v>
      </c>
      <c r="AH45" s="271" t="e">
        <f t="shared" si="5"/>
        <v>#N/A</v>
      </c>
      <c r="AI45" s="272" t="e">
        <f>IF(AH45&lt;=1,"Remota",VLOOKUP(AH45,[71]Listas!$C$6:$D$10,2,0))</f>
        <v>#N/A</v>
      </c>
      <c r="AJ45" s="271" t="e">
        <f t="shared" si="6"/>
        <v>#N/A</v>
      </c>
      <c r="AK45" s="272" t="e">
        <f>IF(AJ45&lt;=1,"Insignificante",HLOOKUP(AJ45,[71]Listas!$F$3:$J$4,2,0))</f>
        <v>#N/A</v>
      </c>
      <c r="AL45" s="273" t="e">
        <f t="shared" si="7"/>
        <v>#N/A</v>
      </c>
      <c r="AM45" s="270" t="e">
        <f>INDEX([71]Listas!$F$6:$J$10,MATCH(AI45,[71]Listas!$D$6:$D$10,0),MATCH(AK45,[71]Listas!$F$4:$J$4,0))</f>
        <v>#N/A</v>
      </c>
      <c r="AN45" s="259"/>
      <c r="AO45" s="259"/>
      <c r="AP45" s="937"/>
      <c r="AQ45" s="259"/>
      <c r="AR45" s="259" t="s">
        <v>2343</v>
      </c>
      <c r="AS45" s="935"/>
      <c r="AT45" s="259"/>
      <c r="AU45" s="259"/>
      <c r="AV45" s="567"/>
      <c r="AW45" s="567"/>
      <c r="AX45" s="935"/>
      <c r="AY45" s="262"/>
    </row>
    <row r="46" spans="1:51" s="260" customFormat="1" ht="103.5" hidden="1" customHeight="1">
      <c r="A46" s="935"/>
      <c r="B46" s="266"/>
      <c r="C46" s="1399"/>
      <c r="D46" s="1408"/>
      <c r="E46" s="1400"/>
      <c r="F46" s="267"/>
      <c r="G46" s="1399"/>
      <c r="H46" s="1408"/>
      <c r="I46" s="1400"/>
      <c r="J46" s="1380"/>
      <c r="K46" s="1380"/>
      <c r="L46" s="1380"/>
      <c r="M46" s="935"/>
      <c r="N46" s="935"/>
      <c r="O46" s="935"/>
      <c r="P46" s="935"/>
      <c r="Q46" s="266"/>
      <c r="R46" s="266"/>
      <c r="S46" s="268"/>
      <c r="T46" s="269" t="e">
        <f>VLOOKUP(Q46,[71]Listas!$D$6:$E$10,2,0)</f>
        <v>#N/A</v>
      </c>
      <c r="U46" s="269" t="e">
        <f>HLOOKUP(R46,[71]Listas!$F$4:$J$5,2,0)</f>
        <v>#N/A</v>
      </c>
      <c r="V46" s="270" t="e">
        <f>INDEX([71]Listas!$F$6:$J$10,MATCH(Q46,[71]Listas!$D$6:$D$10,0),MATCH(R46,[71]Listas!$F$4:$J$4,0))</f>
        <v>#N/A</v>
      </c>
      <c r="W46" s="268"/>
      <c r="X46" s="1399"/>
      <c r="Y46" s="1408"/>
      <c r="Z46" s="1400"/>
      <c r="AA46" s="1063"/>
      <c r="AB46" s="267"/>
      <c r="AC46" s="259"/>
      <c r="AD46" s="935"/>
      <c r="AE46" s="267"/>
      <c r="AF46" s="268"/>
      <c r="AG46" s="269">
        <f t="shared" si="4"/>
        <v>0</v>
      </c>
      <c r="AH46" s="271" t="e">
        <f t="shared" si="5"/>
        <v>#N/A</v>
      </c>
      <c r="AI46" s="272" t="e">
        <f>IF(AH46&lt;=1,"Remota",VLOOKUP(AH46,[71]Listas!$C$6:$D$10,2,0))</f>
        <v>#N/A</v>
      </c>
      <c r="AJ46" s="271" t="e">
        <f t="shared" si="6"/>
        <v>#N/A</v>
      </c>
      <c r="AK46" s="272" t="e">
        <f>IF(AJ46&lt;=1,"Insignificante",HLOOKUP(AJ46,[71]Listas!$F$3:$J$4,2,0))</f>
        <v>#N/A</v>
      </c>
      <c r="AL46" s="273" t="e">
        <f t="shared" si="7"/>
        <v>#N/A</v>
      </c>
      <c r="AM46" s="270" t="e">
        <f>INDEX([71]Listas!$F$6:$J$10,MATCH(AI46,[71]Listas!$D$6:$D$10,0),MATCH(AK46,[71]Listas!$F$4:$J$4,0))</f>
        <v>#N/A</v>
      </c>
      <c r="AN46" s="259"/>
      <c r="AO46" s="259"/>
      <c r="AP46" s="937"/>
      <c r="AQ46" s="259"/>
      <c r="AR46" s="259" t="s">
        <v>2343</v>
      </c>
      <c r="AS46" s="935"/>
      <c r="AT46" s="259"/>
      <c r="AU46" s="259"/>
      <c r="AV46" s="567"/>
      <c r="AW46" s="567"/>
      <c r="AX46" s="935"/>
      <c r="AY46" s="262"/>
    </row>
    <row r="47" spans="1:51" s="260" customFormat="1" ht="103.5" hidden="1" customHeight="1">
      <c r="A47" s="935"/>
      <c r="B47" s="266"/>
      <c r="C47" s="1399"/>
      <c r="D47" s="1408"/>
      <c r="E47" s="1400"/>
      <c r="F47" s="267"/>
      <c r="G47" s="1399"/>
      <c r="H47" s="1408"/>
      <c r="I47" s="1400"/>
      <c r="J47" s="1380"/>
      <c r="K47" s="1380"/>
      <c r="L47" s="1380"/>
      <c r="M47" s="935"/>
      <c r="N47" s="935"/>
      <c r="O47" s="935"/>
      <c r="P47" s="935"/>
      <c r="Q47" s="266"/>
      <c r="R47" s="266"/>
      <c r="S47" s="268"/>
      <c r="T47" s="269" t="e">
        <f>VLOOKUP(Q47,[71]Listas!$D$6:$E$10,2,0)</f>
        <v>#N/A</v>
      </c>
      <c r="U47" s="269" t="e">
        <f>HLOOKUP(R47,[71]Listas!$F$4:$J$5,2,0)</f>
        <v>#N/A</v>
      </c>
      <c r="V47" s="270" t="e">
        <f>INDEX([71]Listas!$F$6:$J$10,MATCH(Q47,[71]Listas!$D$6:$D$10,0),MATCH(R47,[71]Listas!$F$4:$J$4,0))</f>
        <v>#N/A</v>
      </c>
      <c r="W47" s="268"/>
      <c r="X47" s="1399"/>
      <c r="Y47" s="1408"/>
      <c r="Z47" s="1400"/>
      <c r="AA47" s="1063"/>
      <c r="AB47" s="267"/>
      <c r="AC47" s="259"/>
      <c r="AD47" s="935"/>
      <c r="AE47" s="267"/>
      <c r="AF47" s="268"/>
      <c r="AG47" s="269">
        <f t="shared" si="4"/>
        <v>0</v>
      </c>
      <c r="AH47" s="271" t="e">
        <f t="shared" si="5"/>
        <v>#N/A</v>
      </c>
      <c r="AI47" s="272" t="e">
        <f>IF(AH47&lt;=1,"Remota",VLOOKUP(AH47,[71]Listas!$C$6:$D$10,2,0))</f>
        <v>#N/A</v>
      </c>
      <c r="AJ47" s="271" t="e">
        <f t="shared" si="6"/>
        <v>#N/A</v>
      </c>
      <c r="AK47" s="272" t="e">
        <f>IF(AJ47&lt;=1,"Insignificante",HLOOKUP(AJ47,[71]Listas!$F$3:$J$4,2,0))</f>
        <v>#N/A</v>
      </c>
      <c r="AL47" s="273" t="e">
        <f t="shared" si="7"/>
        <v>#N/A</v>
      </c>
      <c r="AM47" s="270" t="e">
        <f>INDEX([71]Listas!$F$6:$J$10,MATCH(AI47,[71]Listas!$D$6:$D$10,0),MATCH(AK47,[71]Listas!$F$4:$J$4,0))</f>
        <v>#N/A</v>
      </c>
      <c r="AN47" s="259"/>
      <c r="AO47" s="259"/>
      <c r="AP47" s="937"/>
      <c r="AQ47" s="259"/>
      <c r="AR47" s="259" t="s">
        <v>2343</v>
      </c>
      <c r="AS47" s="935"/>
      <c r="AT47" s="259"/>
      <c r="AU47" s="259"/>
      <c r="AV47" s="567"/>
      <c r="AW47" s="567"/>
      <c r="AX47" s="935"/>
      <c r="AY47" s="262"/>
    </row>
    <row r="48" spans="1:51" s="260" customFormat="1" ht="103.5" hidden="1" customHeight="1">
      <c r="A48" s="935"/>
      <c r="B48" s="266"/>
      <c r="C48" s="1399"/>
      <c r="D48" s="1408"/>
      <c r="E48" s="1400"/>
      <c r="F48" s="267"/>
      <c r="G48" s="1399"/>
      <c r="H48" s="1408"/>
      <c r="I48" s="1400"/>
      <c r="J48" s="1380"/>
      <c r="K48" s="1380"/>
      <c r="L48" s="1380"/>
      <c r="M48" s="935"/>
      <c r="N48" s="935"/>
      <c r="O48" s="935"/>
      <c r="P48" s="935"/>
      <c r="Q48" s="266"/>
      <c r="R48" s="266"/>
      <c r="S48" s="268"/>
      <c r="T48" s="269" t="e">
        <f>VLOOKUP(Q48,[71]Listas!$D$6:$E$10,2,0)</f>
        <v>#N/A</v>
      </c>
      <c r="U48" s="269" t="e">
        <f>HLOOKUP(R48,[71]Listas!$F$4:$J$5,2,0)</f>
        <v>#N/A</v>
      </c>
      <c r="V48" s="270" t="e">
        <f>INDEX([71]Listas!$F$6:$J$10,MATCH(Q48,[71]Listas!$D$6:$D$10,0),MATCH(R48,[71]Listas!$F$4:$J$4,0))</f>
        <v>#N/A</v>
      </c>
      <c r="W48" s="268"/>
      <c r="X48" s="1399"/>
      <c r="Y48" s="1408"/>
      <c r="Z48" s="1400"/>
      <c r="AA48" s="1063"/>
      <c r="AB48" s="267"/>
      <c r="AC48" s="259"/>
      <c r="AD48" s="935"/>
      <c r="AE48" s="267"/>
      <c r="AF48" s="268"/>
      <c r="AG48" s="269">
        <f t="shared" si="4"/>
        <v>0</v>
      </c>
      <c r="AH48" s="271" t="e">
        <f t="shared" si="5"/>
        <v>#N/A</v>
      </c>
      <c r="AI48" s="272" t="e">
        <f>IF(AH48&lt;=1,"Remota",VLOOKUP(AH48,[71]Listas!$C$6:$D$10,2,0))</f>
        <v>#N/A</v>
      </c>
      <c r="AJ48" s="271" t="e">
        <f t="shared" si="6"/>
        <v>#N/A</v>
      </c>
      <c r="AK48" s="272" t="e">
        <f>IF(AJ48&lt;=1,"Insignificante",HLOOKUP(AJ48,[71]Listas!$F$3:$J$4,2,0))</f>
        <v>#N/A</v>
      </c>
      <c r="AL48" s="273" t="e">
        <f t="shared" si="7"/>
        <v>#N/A</v>
      </c>
      <c r="AM48" s="270" t="e">
        <f>INDEX([71]Listas!$F$6:$J$10,MATCH(AI48,[71]Listas!$D$6:$D$10,0),MATCH(AK48,[71]Listas!$F$4:$J$4,0))</f>
        <v>#N/A</v>
      </c>
      <c r="AN48" s="259"/>
      <c r="AO48" s="259"/>
      <c r="AP48" s="937"/>
      <c r="AQ48" s="259"/>
      <c r="AR48" s="259" t="s">
        <v>2343</v>
      </c>
      <c r="AS48" s="935"/>
      <c r="AT48" s="259"/>
      <c r="AU48" s="259"/>
      <c r="AV48" s="567"/>
      <c r="AW48" s="567"/>
      <c r="AX48" s="935"/>
      <c r="AY48" s="262"/>
    </row>
    <row r="49" spans="1:51" s="260" customFormat="1" ht="103.5" hidden="1" customHeight="1">
      <c r="A49" s="935"/>
      <c r="B49" s="266"/>
      <c r="C49" s="1399"/>
      <c r="D49" s="1408"/>
      <c r="E49" s="1400"/>
      <c r="F49" s="267"/>
      <c r="G49" s="1399"/>
      <c r="H49" s="1408"/>
      <c r="I49" s="1400"/>
      <c r="J49" s="1380"/>
      <c r="K49" s="1380"/>
      <c r="L49" s="1380"/>
      <c r="M49" s="935"/>
      <c r="N49" s="935"/>
      <c r="O49" s="935"/>
      <c r="P49" s="935"/>
      <c r="Q49" s="266"/>
      <c r="R49" s="266"/>
      <c r="S49" s="268"/>
      <c r="T49" s="269" t="e">
        <f>VLOOKUP(Q49,[71]Listas!$D$6:$E$10,2,0)</f>
        <v>#N/A</v>
      </c>
      <c r="U49" s="269" t="e">
        <f>HLOOKUP(R49,[71]Listas!$F$4:$J$5,2,0)</f>
        <v>#N/A</v>
      </c>
      <c r="V49" s="270" t="e">
        <f>INDEX([71]Listas!$F$6:$J$10,MATCH(Q49,[71]Listas!$D$6:$D$10,0),MATCH(R49,[71]Listas!$F$4:$J$4,0))</f>
        <v>#N/A</v>
      </c>
      <c r="W49" s="268"/>
      <c r="X49" s="1399"/>
      <c r="Y49" s="1408"/>
      <c r="Z49" s="1400"/>
      <c r="AA49" s="1063"/>
      <c r="AB49" s="267"/>
      <c r="AC49" s="259"/>
      <c r="AD49" s="935"/>
      <c r="AE49" s="267"/>
      <c r="AF49" s="268"/>
      <c r="AG49" s="269">
        <f t="shared" si="4"/>
        <v>0</v>
      </c>
      <c r="AH49" s="271" t="e">
        <f t="shared" si="5"/>
        <v>#N/A</v>
      </c>
      <c r="AI49" s="272" t="e">
        <f>IF(AH49&lt;=1,"Remota",VLOOKUP(AH49,[71]Listas!$C$6:$D$10,2,0))</f>
        <v>#N/A</v>
      </c>
      <c r="AJ49" s="271" t="e">
        <f t="shared" si="6"/>
        <v>#N/A</v>
      </c>
      <c r="AK49" s="272" t="e">
        <f>IF(AJ49&lt;=1,"Insignificante",HLOOKUP(AJ49,[71]Listas!$F$3:$J$4,2,0))</f>
        <v>#N/A</v>
      </c>
      <c r="AL49" s="273" t="e">
        <f t="shared" si="7"/>
        <v>#N/A</v>
      </c>
      <c r="AM49" s="270" t="e">
        <f>INDEX([71]Listas!$F$6:$J$10,MATCH(AI49,[71]Listas!$D$6:$D$10,0),MATCH(AK49,[71]Listas!$F$4:$J$4,0))</f>
        <v>#N/A</v>
      </c>
      <c r="AN49" s="259"/>
      <c r="AO49" s="259"/>
      <c r="AP49" s="937"/>
      <c r="AQ49" s="259"/>
      <c r="AR49" s="259" t="s">
        <v>2343</v>
      </c>
      <c r="AS49" s="935"/>
      <c r="AT49" s="259"/>
      <c r="AU49" s="259"/>
      <c r="AV49" s="567"/>
      <c r="AW49" s="567"/>
      <c r="AX49" s="935"/>
      <c r="AY49" s="262"/>
    </row>
    <row r="50" spans="1:51" s="260" customFormat="1" ht="103.5" hidden="1" customHeight="1">
      <c r="A50" s="935"/>
      <c r="B50" s="266"/>
      <c r="C50" s="1399"/>
      <c r="D50" s="1408"/>
      <c r="E50" s="1400"/>
      <c r="F50" s="267"/>
      <c r="G50" s="1399"/>
      <c r="H50" s="1408"/>
      <c r="I50" s="1400"/>
      <c r="J50" s="1380"/>
      <c r="K50" s="1380"/>
      <c r="L50" s="1380"/>
      <c r="M50" s="935"/>
      <c r="N50" s="935"/>
      <c r="O50" s="935"/>
      <c r="P50" s="935"/>
      <c r="Q50" s="266"/>
      <c r="R50" s="266"/>
      <c r="S50" s="268"/>
      <c r="T50" s="269" t="e">
        <f>VLOOKUP(Q50,[71]Listas!$D$6:$E$10,2,0)</f>
        <v>#N/A</v>
      </c>
      <c r="U50" s="269" t="e">
        <f>HLOOKUP(R50,[71]Listas!$F$4:$J$5,2,0)</f>
        <v>#N/A</v>
      </c>
      <c r="V50" s="270" t="e">
        <f>INDEX([71]Listas!$F$6:$J$10,MATCH(Q50,[71]Listas!$D$6:$D$10,0),MATCH(R50,[71]Listas!$F$4:$J$4,0))</f>
        <v>#N/A</v>
      </c>
      <c r="W50" s="268"/>
      <c r="X50" s="1399"/>
      <c r="Y50" s="1408"/>
      <c r="Z50" s="1400"/>
      <c r="AA50" s="1063"/>
      <c r="AB50" s="267"/>
      <c r="AC50" s="259"/>
      <c r="AD50" s="935"/>
      <c r="AE50" s="267"/>
      <c r="AF50" s="268"/>
      <c r="AG50" s="269">
        <f t="shared" si="4"/>
        <v>0</v>
      </c>
      <c r="AH50" s="271" t="e">
        <f t="shared" si="5"/>
        <v>#N/A</v>
      </c>
      <c r="AI50" s="272" t="e">
        <f>IF(AH50&lt;=1,"Remota",VLOOKUP(AH50,[71]Listas!$C$6:$D$10,2,0))</f>
        <v>#N/A</v>
      </c>
      <c r="AJ50" s="271" t="e">
        <f t="shared" si="6"/>
        <v>#N/A</v>
      </c>
      <c r="AK50" s="272" t="e">
        <f>IF(AJ50&lt;=1,"Insignificante",HLOOKUP(AJ50,[71]Listas!$F$3:$J$4,2,0))</f>
        <v>#N/A</v>
      </c>
      <c r="AL50" s="273" t="e">
        <f t="shared" si="7"/>
        <v>#N/A</v>
      </c>
      <c r="AM50" s="270" t="e">
        <f>INDEX([71]Listas!$F$6:$J$10,MATCH(AI50,[71]Listas!$D$6:$D$10,0),MATCH(AK50,[71]Listas!$F$4:$J$4,0))</f>
        <v>#N/A</v>
      </c>
      <c r="AN50" s="259"/>
      <c r="AO50" s="259"/>
      <c r="AP50" s="937"/>
      <c r="AQ50" s="259"/>
      <c r="AR50" s="259" t="s">
        <v>2343</v>
      </c>
      <c r="AS50" s="935"/>
      <c r="AT50" s="259"/>
      <c r="AU50" s="259"/>
      <c r="AV50" s="567"/>
      <c r="AW50" s="567"/>
      <c r="AX50" s="935"/>
      <c r="AY50" s="262"/>
    </row>
    <row r="51" spans="1:51" s="260" customFormat="1" ht="103.5" hidden="1" customHeight="1">
      <c r="A51" s="935"/>
      <c r="B51" s="266"/>
      <c r="C51" s="1399"/>
      <c r="D51" s="1408"/>
      <c r="E51" s="1400"/>
      <c r="F51" s="267"/>
      <c r="G51" s="1399"/>
      <c r="H51" s="1408"/>
      <c r="I51" s="1400"/>
      <c r="J51" s="1380"/>
      <c r="K51" s="1380"/>
      <c r="L51" s="1380"/>
      <c r="M51" s="935"/>
      <c r="N51" s="935"/>
      <c r="O51" s="935"/>
      <c r="P51" s="935"/>
      <c r="Q51" s="266"/>
      <c r="R51" s="266"/>
      <c r="S51" s="268"/>
      <c r="T51" s="269" t="e">
        <f>VLOOKUP(Q51,[71]Listas!$D$6:$E$10,2,0)</f>
        <v>#N/A</v>
      </c>
      <c r="U51" s="269" t="e">
        <f>HLOOKUP(R51,[71]Listas!$F$4:$J$5,2,0)</f>
        <v>#N/A</v>
      </c>
      <c r="V51" s="270" t="e">
        <f>INDEX([71]Listas!$F$6:$J$10,MATCH(Q51,[71]Listas!$D$6:$D$10,0),MATCH(R51,[71]Listas!$F$4:$J$4,0))</f>
        <v>#N/A</v>
      </c>
      <c r="W51" s="268"/>
      <c r="X51" s="1399"/>
      <c r="Y51" s="1408"/>
      <c r="Z51" s="1400"/>
      <c r="AA51" s="1063"/>
      <c r="AB51" s="267"/>
      <c r="AC51" s="259"/>
      <c r="AD51" s="935"/>
      <c r="AE51" s="267"/>
      <c r="AF51" s="268"/>
      <c r="AG51" s="269">
        <f t="shared" si="4"/>
        <v>0</v>
      </c>
      <c r="AH51" s="271" t="e">
        <f t="shared" si="5"/>
        <v>#N/A</v>
      </c>
      <c r="AI51" s="272" t="e">
        <f>IF(AH51&lt;=1,"Remota",VLOOKUP(AH51,[71]Listas!$C$6:$D$10,2,0))</f>
        <v>#N/A</v>
      </c>
      <c r="AJ51" s="271" t="e">
        <f t="shared" si="6"/>
        <v>#N/A</v>
      </c>
      <c r="AK51" s="272" t="e">
        <f>IF(AJ51&lt;=1,"Insignificante",HLOOKUP(AJ51,[71]Listas!$F$3:$J$4,2,0))</f>
        <v>#N/A</v>
      </c>
      <c r="AL51" s="273" t="e">
        <f t="shared" si="7"/>
        <v>#N/A</v>
      </c>
      <c r="AM51" s="270" t="e">
        <f>INDEX([71]Listas!$F$6:$J$10,MATCH(AI51,[71]Listas!$D$6:$D$10,0),MATCH(AK51,[71]Listas!$F$4:$J$4,0))</f>
        <v>#N/A</v>
      </c>
      <c r="AN51" s="259"/>
      <c r="AO51" s="259"/>
      <c r="AP51" s="937"/>
      <c r="AQ51" s="259"/>
      <c r="AR51" s="259" t="s">
        <v>2343</v>
      </c>
      <c r="AS51" s="935"/>
      <c r="AT51" s="259"/>
      <c r="AU51" s="259"/>
      <c r="AV51" s="567"/>
      <c r="AW51" s="567"/>
      <c r="AX51" s="935"/>
      <c r="AY51" s="262"/>
    </row>
    <row r="52" spans="1:51" s="260" customFormat="1" ht="103.5" hidden="1" customHeight="1">
      <c r="A52" s="935"/>
      <c r="B52" s="266"/>
      <c r="C52" s="1399"/>
      <c r="D52" s="1408"/>
      <c r="E52" s="1400"/>
      <c r="F52" s="267"/>
      <c r="G52" s="1399"/>
      <c r="H52" s="1408"/>
      <c r="I52" s="1400"/>
      <c r="J52" s="1380"/>
      <c r="K52" s="1380"/>
      <c r="L52" s="1380"/>
      <c r="M52" s="935"/>
      <c r="N52" s="935"/>
      <c r="O52" s="935"/>
      <c r="P52" s="935"/>
      <c r="Q52" s="266"/>
      <c r="R52" s="266"/>
      <c r="S52" s="268"/>
      <c r="T52" s="269" t="e">
        <f>VLOOKUP(Q52,[71]Listas!$D$6:$E$10,2,0)</f>
        <v>#N/A</v>
      </c>
      <c r="U52" s="269" t="e">
        <f>HLOOKUP(R52,[71]Listas!$F$4:$J$5,2,0)</f>
        <v>#N/A</v>
      </c>
      <c r="V52" s="270" t="e">
        <f>INDEX([71]Listas!$F$6:$J$10,MATCH(Q52,[71]Listas!$D$6:$D$10,0),MATCH(R52,[71]Listas!$F$4:$J$4,0))</f>
        <v>#N/A</v>
      </c>
      <c r="W52" s="268"/>
      <c r="X52" s="1399"/>
      <c r="Y52" s="1408"/>
      <c r="Z52" s="1400"/>
      <c r="AA52" s="1063"/>
      <c r="AB52" s="267"/>
      <c r="AC52" s="259"/>
      <c r="AD52" s="935"/>
      <c r="AE52" s="267"/>
      <c r="AF52" s="268"/>
      <c r="AG52" s="269">
        <f t="shared" si="4"/>
        <v>0</v>
      </c>
      <c r="AH52" s="271" t="e">
        <f t="shared" si="5"/>
        <v>#N/A</v>
      </c>
      <c r="AI52" s="272" t="e">
        <f>IF(AH52&lt;=1,"Remota",VLOOKUP(AH52,[71]Listas!$C$6:$D$10,2,0))</f>
        <v>#N/A</v>
      </c>
      <c r="AJ52" s="271" t="e">
        <f t="shared" si="6"/>
        <v>#N/A</v>
      </c>
      <c r="AK52" s="272" t="e">
        <f>IF(AJ52&lt;=1,"Insignificante",HLOOKUP(AJ52,[71]Listas!$F$3:$J$4,2,0))</f>
        <v>#N/A</v>
      </c>
      <c r="AL52" s="273" t="e">
        <f t="shared" si="7"/>
        <v>#N/A</v>
      </c>
      <c r="AM52" s="270" t="e">
        <f>INDEX([71]Listas!$F$6:$J$10,MATCH(AI52,[71]Listas!$D$6:$D$10,0),MATCH(AK52,[71]Listas!$F$4:$J$4,0))</f>
        <v>#N/A</v>
      </c>
      <c r="AN52" s="259"/>
      <c r="AO52" s="259"/>
      <c r="AP52" s="937"/>
      <c r="AQ52" s="259"/>
      <c r="AR52" s="259" t="s">
        <v>2343</v>
      </c>
      <c r="AS52" s="935"/>
      <c r="AT52" s="259"/>
      <c r="AU52" s="259"/>
      <c r="AV52" s="567"/>
      <c r="AW52" s="567"/>
      <c r="AX52" s="935"/>
      <c r="AY52" s="262"/>
    </row>
    <row r="53" spans="1:51" s="260" customFormat="1" ht="103.5" hidden="1" customHeight="1">
      <c r="A53" s="935"/>
      <c r="B53" s="266"/>
      <c r="C53" s="1399"/>
      <c r="D53" s="1408"/>
      <c r="E53" s="1400"/>
      <c r="F53" s="267"/>
      <c r="G53" s="1399"/>
      <c r="H53" s="1408"/>
      <c r="I53" s="1400"/>
      <c r="J53" s="1380"/>
      <c r="K53" s="1380"/>
      <c r="L53" s="1380"/>
      <c r="M53" s="935"/>
      <c r="N53" s="935"/>
      <c r="O53" s="935"/>
      <c r="P53" s="935"/>
      <c r="Q53" s="266"/>
      <c r="R53" s="266"/>
      <c r="S53" s="268"/>
      <c r="T53" s="269" t="e">
        <f>VLOOKUP(Q53,[71]Listas!$D$6:$E$10,2,0)</f>
        <v>#N/A</v>
      </c>
      <c r="U53" s="269" t="e">
        <f>HLOOKUP(R53,[71]Listas!$F$4:$J$5,2,0)</f>
        <v>#N/A</v>
      </c>
      <c r="V53" s="270" t="e">
        <f>INDEX([71]Listas!$F$6:$J$10,MATCH(Q53,[71]Listas!$D$6:$D$10,0),MATCH(R53,[71]Listas!$F$4:$J$4,0))</f>
        <v>#N/A</v>
      </c>
      <c r="W53" s="268"/>
      <c r="X53" s="1399"/>
      <c r="Y53" s="1408"/>
      <c r="Z53" s="1400"/>
      <c r="AA53" s="1063"/>
      <c r="AB53" s="267"/>
      <c r="AC53" s="259"/>
      <c r="AD53" s="935"/>
      <c r="AE53" s="267"/>
      <c r="AF53" s="268"/>
      <c r="AG53" s="269">
        <f t="shared" si="4"/>
        <v>0</v>
      </c>
      <c r="AH53" s="271" t="e">
        <f t="shared" si="5"/>
        <v>#N/A</v>
      </c>
      <c r="AI53" s="272" t="e">
        <f>IF(AH53&lt;=1,"Remota",VLOOKUP(AH53,[71]Listas!$C$6:$D$10,2,0))</f>
        <v>#N/A</v>
      </c>
      <c r="AJ53" s="271" t="e">
        <f t="shared" si="6"/>
        <v>#N/A</v>
      </c>
      <c r="AK53" s="272" t="e">
        <f>IF(AJ53&lt;=1,"Insignificante",HLOOKUP(AJ53,[71]Listas!$F$3:$J$4,2,0))</f>
        <v>#N/A</v>
      </c>
      <c r="AL53" s="273" t="e">
        <f t="shared" si="7"/>
        <v>#N/A</v>
      </c>
      <c r="AM53" s="270" t="e">
        <f>INDEX([71]Listas!$F$6:$J$10,MATCH(AI53,[71]Listas!$D$6:$D$10,0),MATCH(AK53,[71]Listas!$F$4:$J$4,0))</f>
        <v>#N/A</v>
      </c>
      <c r="AN53" s="259"/>
      <c r="AO53" s="259"/>
      <c r="AP53" s="937"/>
      <c r="AQ53" s="259"/>
      <c r="AR53" s="259" t="s">
        <v>2343</v>
      </c>
      <c r="AS53" s="935"/>
      <c r="AT53" s="259"/>
      <c r="AU53" s="259"/>
      <c r="AV53" s="567"/>
      <c r="AW53" s="567"/>
      <c r="AX53" s="935"/>
      <c r="AY53" s="262"/>
    </row>
    <row r="54" spans="1:51" s="260" customFormat="1" ht="103.5" hidden="1" customHeight="1">
      <c r="A54" s="935"/>
      <c r="B54" s="266"/>
      <c r="C54" s="1399"/>
      <c r="D54" s="1408"/>
      <c r="E54" s="1400"/>
      <c r="F54" s="267"/>
      <c r="G54" s="1399"/>
      <c r="H54" s="1408"/>
      <c r="I54" s="1400"/>
      <c r="J54" s="1380"/>
      <c r="K54" s="1380"/>
      <c r="L54" s="1380"/>
      <c r="M54" s="935"/>
      <c r="N54" s="935"/>
      <c r="O54" s="935"/>
      <c r="P54" s="935"/>
      <c r="Q54" s="266"/>
      <c r="R54" s="266"/>
      <c r="S54" s="268"/>
      <c r="T54" s="269" t="e">
        <f>VLOOKUP(Q54,[71]Listas!$D$6:$E$10,2,0)</f>
        <v>#N/A</v>
      </c>
      <c r="U54" s="269" t="e">
        <f>HLOOKUP(R54,[71]Listas!$F$4:$J$5,2,0)</f>
        <v>#N/A</v>
      </c>
      <c r="V54" s="270" t="e">
        <f>INDEX([71]Listas!$F$6:$J$10,MATCH(Q54,[71]Listas!$D$6:$D$10,0),MATCH(R54,[71]Listas!$F$4:$J$4,0))</f>
        <v>#N/A</v>
      </c>
      <c r="W54" s="268"/>
      <c r="X54" s="1399"/>
      <c r="Y54" s="1408"/>
      <c r="Z54" s="1400"/>
      <c r="AA54" s="1063"/>
      <c r="AB54" s="267"/>
      <c r="AC54" s="259"/>
      <c r="AD54" s="935"/>
      <c r="AE54" s="267"/>
      <c r="AF54" s="268"/>
      <c r="AG54" s="269">
        <f t="shared" si="4"/>
        <v>0</v>
      </c>
      <c r="AH54" s="271" t="e">
        <f t="shared" si="5"/>
        <v>#N/A</v>
      </c>
      <c r="AI54" s="272" t="e">
        <f>IF(AH54&lt;=1,"Remota",VLOOKUP(AH54,[71]Listas!$C$6:$D$10,2,0))</f>
        <v>#N/A</v>
      </c>
      <c r="AJ54" s="271" t="e">
        <f t="shared" si="6"/>
        <v>#N/A</v>
      </c>
      <c r="AK54" s="272" t="e">
        <f>IF(AJ54&lt;=1,"Insignificante",HLOOKUP(AJ54,[71]Listas!$F$3:$J$4,2,0))</f>
        <v>#N/A</v>
      </c>
      <c r="AL54" s="273" t="e">
        <f t="shared" si="7"/>
        <v>#N/A</v>
      </c>
      <c r="AM54" s="270" t="e">
        <f>INDEX([71]Listas!$F$6:$J$10,MATCH(AI54,[71]Listas!$D$6:$D$10,0),MATCH(AK54,[71]Listas!$F$4:$J$4,0))</f>
        <v>#N/A</v>
      </c>
      <c r="AN54" s="259"/>
      <c r="AO54" s="259"/>
      <c r="AP54" s="937"/>
      <c r="AQ54" s="259"/>
      <c r="AR54" s="259" t="s">
        <v>2343</v>
      </c>
      <c r="AS54" s="935"/>
      <c r="AT54" s="259"/>
      <c r="AU54" s="259"/>
      <c r="AV54" s="567"/>
      <c r="AW54" s="567"/>
      <c r="AX54" s="935"/>
      <c r="AY54" s="262"/>
    </row>
    <row r="55" spans="1:51" s="260" customFormat="1" ht="103.5" hidden="1" customHeight="1">
      <c r="A55" s="935"/>
      <c r="B55" s="266"/>
      <c r="C55" s="1399"/>
      <c r="D55" s="1408"/>
      <c r="E55" s="1400"/>
      <c r="F55" s="267"/>
      <c r="G55" s="1399"/>
      <c r="H55" s="1408"/>
      <c r="I55" s="1400"/>
      <c r="J55" s="1380"/>
      <c r="K55" s="1380"/>
      <c r="L55" s="1380"/>
      <c r="M55" s="935"/>
      <c r="N55" s="935"/>
      <c r="O55" s="935"/>
      <c r="P55" s="935"/>
      <c r="Q55" s="266"/>
      <c r="R55" s="266"/>
      <c r="S55" s="268"/>
      <c r="T55" s="269" t="e">
        <f>VLOOKUP(Q55,[71]Listas!$D$6:$E$10,2,0)</f>
        <v>#N/A</v>
      </c>
      <c r="U55" s="269" t="e">
        <f>HLOOKUP(R55,[71]Listas!$F$4:$J$5,2,0)</f>
        <v>#N/A</v>
      </c>
      <c r="V55" s="270" t="e">
        <f>INDEX([71]Listas!$F$6:$J$10,MATCH(Q55,[71]Listas!$D$6:$D$10,0),MATCH(R55,[71]Listas!$F$4:$J$4,0))</f>
        <v>#N/A</v>
      </c>
      <c r="W55" s="268"/>
      <c r="X55" s="1399"/>
      <c r="Y55" s="1408"/>
      <c r="Z55" s="1400"/>
      <c r="AA55" s="1063"/>
      <c r="AB55" s="267"/>
      <c r="AC55" s="259"/>
      <c r="AD55" s="935"/>
      <c r="AE55" s="267"/>
      <c r="AF55" s="268"/>
      <c r="AG55" s="269">
        <f t="shared" si="4"/>
        <v>0</v>
      </c>
      <c r="AH55" s="271" t="e">
        <f t="shared" si="5"/>
        <v>#N/A</v>
      </c>
      <c r="AI55" s="272" t="e">
        <f>IF(AH55&lt;=1,"Remota",VLOOKUP(AH55,[71]Listas!$C$6:$D$10,2,0))</f>
        <v>#N/A</v>
      </c>
      <c r="AJ55" s="271" t="e">
        <f t="shared" si="6"/>
        <v>#N/A</v>
      </c>
      <c r="AK55" s="272" t="e">
        <f>IF(AJ55&lt;=1,"Insignificante",HLOOKUP(AJ55,[71]Listas!$F$3:$J$4,2,0))</f>
        <v>#N/A</v>
      </c>
      <c r="AL55" s="273" t="e">
        <f t="shared" si="7"/>
        <v>#N/A</v>
      </c>
      <c r="AM55" s="270" t="e">
        <f>INDEX([71]Listas!$F$6:$J$10,MATCH(AI55,[71]Listas!$D$6:$D$10,0),MATCH(AK55,[71]Listas!$F$4:$J$4,0))</f>
        <v>#N/A</v>
      </c>
      <c r="AN55" s="259"/>
      <c r="AO55" s="259"/>
      <c r="AP55" s="937"/>
      <c r="AQ55" s="259"/>
      <c r="AR55" s="259" t="s">
        <v>2343</v>
      </c>
      <c r="AS55" s="935"/>
      <c r="AT55" s="259"/>
      <c r="AU55" s="259"/>
      <c r="AV55" s="567"/>
      <c r="AW55" s="567"/>
      <c r="AX55" s="935"/>
      <c r="AY55" s="262"/>
    </row>
    <row r="56" spans="1:51" s="260" customFormat="1" ht="103.5" hidden="1" customHeight="1">
      <c r="A56" s="935"/>
      <c r="B56" s="266"/>
      <c r="C56" s="1399"/>
      <c r="D56" s="1408"/>
      <c r="E56" s="1400"/>
      <c r="F56" s="267"/>
      <c r="G56" s="1399"/>
      <c r="H56" s="1408"/>
      <c r="I56" s="1400"/>
      <c r="J56" s="1380"/>
      <c r="K56" s="1380"/>
      <c r="L56" s="1380"/>
      <c r="M56" s="935"/>
      <c r="N56" s="935"/>
      <c r="O56" s="935"/>
      <c r="P56" s="935"/>
      <c r="Q56" s="266"/>
      <c r="R56" s="266"/>
      <c r="S56" s="268"/>
      <c r="T56" s="269" t="e">
        <f>VLOOKUP(Q56,[71]Listas!$D$6:$E$10,2,0)</f>
        <v>#N/A</v>
      </c>
      <c r="U56" s="269" t="e">
        <f>HLOOKUP(R56,[71]Listas!$F$4:$J$5,2,0)</f>
        <v>#N/A</v>
      </c>
      <c r="V56" s="270" t="e">
        <f>INDEX([71]Listas!$F$6:$J$10,MATCH(Q56,[71]Listas!$D$6:$D$10,0),MATCH(R56,[71]Listas!$F$4:$J$4,0))</f>
        <v>#N/A</v>
      </c>
      <c r="W56" s="268"/>
      <c r="X56" s="1399"/>
      <c r="Y56" s="1408"/>
      <c r="Z56" s="1400"/>
      <c r="AA56" s="1063"/>
      <c r="AB56" s="267"/>
      <c r="AC56" s="259"/>
      <c r="AD56" s="935"/>
      <c r="AE56" s="267"/>
      <c r="AF56" s="268"/>
      <c r="AG56" s="269">
        <f t="shared" si="4"/>
        <v>0</v>
      </c>
      <c r="AH56" s="271" t="e">
        <f t="shared" si="5"/>
        <v>#N/A</v>
      </c>
      <c r="AI56" s="272" t="e">
        <f>IF(AH56&lt;=1,"Remota",VLOOKUP(AH56,[71]Listas!$C$6:$D$10,2,0))</f>
        <v>#N/A</v>
      </c>
      <c r="AJ56" s="271" t="e">
        <f t="shared" si="6"/>
        <v>#N/A</v>
      </c>
      <c r="AK56" s="272" t="e">
        <f>IF(AJ56&lt;=1,"Insignificante",HLOOKUP(AJ56,[71]Listas!$F$3:$J$4,2,0))</f>
        <v>#N/A</v>
      </c>
      <c r="AL56" s="273" t="e">
        <f t="shared" si="7"/>
        <v>#N/A</v>
      </c>
      <c r="AM56" s="270" t="e">
        <f>INDEX([71]Listas!$F$6:$J$10,MATCH(AI56,[71]Listas!$D$6:$D$10,0),MATCH(AK56,[71]Listas!$F$4:$J$4,0))</f>
        <v>#N/A</v>
      </c>
      <c r="AN56" s="259"/>
      <c r="AO56" s="259"/>
      <c r="AP56" s="937"/>
      <c r="AQ56" s="259"/>
      <c r="AR56" s="259" t="s">
        <v>2343</v>
      </c>
      <c r="AS56" s="935"/>
      <c r="AT56" s="259"/>
      <c r="AU56" s="259"/>
      <c r="AV56" s="567"/>
      <c r="AW56" s="567"/>
      <c r="AX56" s="935"/>
      <c r="AY56" s="262"/>
    </row>
    <row r="57" spans="1:51" s="260" customFormat="1" ht="103.5" hidden="1" customHeight="1">
      <c r="A57" s="935"/>
      <c r="B57" s="266"/>
      <c r="C57" s="1399"/>
      <c r="D57" s="1408"/>
      <c r="E57" s="1400"/>
      <c r="F57" s="267"/>
      <c r="G57" s="1399"/>
      <c r="H57" s="1408"/>
      <c r="I57" s="1400"/>
      <c r="J57" s="1380"/>
      <c r="K57" s="1380"/>
      <c r="L57" s="1380"/>
      <c r="M57" s="935"/>
      <c r="N57" s="935"/>
      <c r="O57" s="935"/>
      <c r="P57" s="935"/>
      <c r="Q57" s="266"/>
      <c r="R57" s="266"/>
      <c r="S57" s="268"/>
      <c r="T57" s="269" t="e">
        <f>VLOOKUP(Q57,[71]Listas!$D$6:$E$10,2,0)</f>
        <v>#N/A</v>
      </c>
      <c r="U57" s="269" t="e">
        <f>HLOOKUP(R57,[71]Listas!$F$4:$J$5,2,0)</f>
        <v>#N/A</v>
      </c>
      <c r="V57" s="270" t="e">
        <f>INDEX([71]Listas!$F$6:$J$10,MATCH(Q57,[71]Listas!$D$6:$D$10,0),MATCH(R57,[71]Listas!$F$4:$J$4,0))</f>
        <v>#N/A</v>
      </c>
      <c r="W57" s="268"/>
      <c r="X57" s="1399"/>
      <c r="Y57" s="1408"/>
      <c r="Z57" s="1400"/>
      <c r="AA57" s="1063"/>
      <c r="AB57" s="267"/>
      <c r="AC57" s="259"/>
      <c r="AD57" s="935"/>
      <c r="AE57" s="267"/>
      <c r="AF57" s="268"/>
      <c r="AG57" s="269">
        <f t="shared" si="4"/>
        <v>0</v>
      </c>
      <c r="AH57" s="271" t="e">
        <f t="shared" si="5"/>
        <v>#N/A</v>
      </c>
      <c r="AI57" s="272" t="e">
        <f>IF(AH57&lt;=1,"Remota",VLOOKUP(AH57,[71]Listas!$C$6:$D$10,2,0))</f>
        <v>#N/A</v>
      </c>
      <c r="AJ57" s="271" t="e">
        <f t="shared" si="6"/>
        <v>#N/A</v>
      </c>
      <c r="AK57" s="272" t="e">
        <f>IF(AJ57&lt;=1,"Insignificante",HLOOKUP(AJ57,[71]Listas!$F$3:$J$4,2,0))</f>
        <v>#N/A</v>
      </c>
      <c r="AL57" s="273" t="e">
        <f t="shared" si="7"/>
        <v>#N/A</v>
      </c>
      <c r="AM57" s="270" t="e">
        <f>INDEX([71]Listas!$F$6:$J$10,MATCH(AI57,[71]Listas!$D$6:$D$10,0),MATCH(AK57,[71]Listas!$F$4:$J$4,0))</f>
        <v>#N/A</v>
      </c>
      <c r="AN57" s="259"/>
      <c r="AO57" s="259"/>
      <c r="AP57" s="937"/>
      <c r="AQ57" s="259"/>
      <c r="AR57" s="259" t="s">
        <v>2343</v>
      </c>
      <c r="AS57" s="935"/>
      <c r="AT57" s="259"/>
      <c r="AU57" s="259"/>
      <c r="AV57" s="567"/>
      <c r="AW57" s="567"/>
      <c r="AX57" s="935"/>
      <c r="AY57" s="262"/>
    </row>
    <row r="58" spans="1:51" s="260" customFormat="1" ht="103.5" hidden="1" customHeight="1">
      <c r="A58" s="935"/>
      <c r="B58" s="266"/>
      <c r="C58" s="1399"/>
      <c r="D58" s="1408"/>
      <c r="E58" s="1400"/>
      <c r="F58" s="267"/>
      <c r="G58" s="1399"/>
      <c r="H58" s="1408"/>
      <c r="I58" s="1400"/>
      <c r="J58" s="1380"/>
      <c r="K58" s="1380"/>
      <c r="L58" s="1380"/>
      <c r="M58" s="935"/>
      <c r="N58" s="935"/>
      <c r="O58" s="935"/>
      <c r="P58" s="935"/>
      <c r="Q58" s="266"/>
      <c r="R58" s="266"/>
      <c r="S58" s="268"/>
      <c r="T58" s="269" t="e">
        <f>VLOOKUP(Q58,[71]Listas!$D$6:$E$10,2,0)</f>
        <v>#N/A</v>
      </c>
      <c r="U58" s="269" t="e">
        <f>HLOOKUP(R58,[71]Listas!$F$4:$J$5,2,0)</f>
        <v>#N/A</v>
      </c>
      <c r="V58" s="270" t="e">
        <f>INDEX([71]Listas!$F$6:$J$10,MATCH(Q58,[71]Listas!$D$6:$D$10,0),MATCH(R58,[71]Listas!$F$4:$J$4,0))</f>
        <v>#N/A</v>
      </c>
      <c r="W58" s="268"/>
      <c r="X58" s="1399"/>
      <c r="Y58" s="1408"/>
      <c r="Z58" s="1400"/>
      <c r="AA58" s="1063"/>
      <c r="AB58" s="267"/>
      <c r="AC58" s="259"/>
      <c r="AD58" s="935"/>
      <c r="AE58" s="267"/>
      <c r="AF58" s="268"/>
      <c r="AG58" s="269">
        <f t="shared" si="4"/>
        <v>0</v>
      </c>
      <c r="AH58" s="271" t="e">
        <f t="shared" si="5"/>
        <v>#N/A</v>
      </c>
      <c r="AI58" s="272" t="e">
        <f>IF(AH58&lt;=1,"Remota",VLOOKUP(AH58,[71]Listas!$C$6:$D$10,2,0))</f>
        <v>#N/A</v>
      </c>
      <c r="AJ58" s="271" t="e">
        <f t="shared" si="6"/>
        <v>#N/A</v>
      </c>
      <c r="AK58" s="272" t="e">
        <f>IF(AJ58&lt;=1,"Insignificante",HLOOKUP(AJ58,[71]Listas!$F$3:$J$4,2,0))</f>
        <v>#N/A</v>
      </c>
      <c r="AL58" s="273" t="e">
        <f t="shared" si="7"/>
        <v>#N/A</v>
      </c>
      <c r="AM58" s="270" t="e">
        <f>INDEX([71]Listas!$F$6:$J$10,MATCH(AI58,[71]Listas!$D$6:$D$10,0),MATCH(AK58,[71]Listas!$F$4:$J$4,0))</f>
        <v>#N/A</v>
      </c>
      <c r="AN58" s="259"/>
      <c r="AO58" s="259"/>
      <c r="AP58" s="937"/>
      <c r="AQ58" s="259"/>
      <c r="AR58" s="259" t="s">
        <v>2343</v>
      </c>
      <c r="AS58" s="935"/>
      <c r="AT58" s="259"/>
      <c r="AU58" s="259"/>
      <c r="AV58" s="567"/>
      <c r="AW58" s="567"/>
      <c r="AX58" s="935"/>
      <c r="AY58" s="262"/>
    </row>
    <row r="59" spans="1:51" s="260" customFormat="1" ht="103.5" hidden="1" customHeight="1">
      <c r="A59" s="935"/>
      <c r="B59" s="266"/>
      <c r="C59" s="1399"/>
      <c r="D59" s="1408"/>
      <c r="E59" s="1400"/>
      <c r="F59" s="267"/>
      <c r="G59" s="1399"/>
      <c r="H59" s="1408"/>
      <c r="I59" s="1400"/>
      <c r="J59" s="1380"/>
      <c r="K59" s="1380"/>
      <c r="L59" s="1380"/>
      <c r="M59" s="935"/>
      <c r="N59" s="935"/>
      <c r="O59" s="935"/>
      <c r="P59" s="935"/>
      <c r="Q59" s="266"/>
      <c r="R59" s="266"/>
      <c r="S59" s="268"/>
      <c r="T59" s="269" t="e">
        <f>VLOOKUP(Q59,[71]Listas!$D$6:$E$10,2,0)</f>
        <v>#N/A</v>
      </c>
      <c r="U59" s="269" t="e">
        <f>HLOOKUP(R59,[71]Listas!$F$4:$J$5,2,0)</f>
        <v>#N/A</v>
      </c>
      <c r="V59" s="270" t="e">
        <f>INDEX([71]Listas!$F$6:$J$10,MATCH(Q59,[71]Listas!$D$6:$D$10,0),MATCH(R59,[71]Listas!$F$4:$J$4,0))</f>
        <v>#N/A</v>
      </c>
      <c r="W59" s="268"/>
      <c r="X59" s="1399"/>
      <c r="Y59" s="1408"/>
      <c r="Z59" s="1400"/>
      <c r="AA59" s="1063"/>
      <c r="AB59" s="267"/>
      <c r="AC59" s="259"/>
      <c r="AD59" s="935"/>
      <c r="AE59" s="267"/>
      <c r="AF59" s="268"/>
      <c r="AG59" s="269">
        <f t="shared" si="4"/>
        <v>0</v>
      </c>
      <c r="AH59" s="271" t="e">
        <f t="shared" si="5"/>
        <v>#N/A</v>
      </c>
      <c r="AI59" s="272" t="e">
        <f>IF(AH59&lt;=1,"Remota",VLOOKUP(AH59,[71]Listas!$C$6:$D$10,2,0))</f>
        <v>#N/A</v>
      </c>
      <c r="AJ59" s="271" t="e">
        <f t="shared" si="6"/>
        <v>#N/A</v>
      </c>
      <c r="AK59" s="272" t="e">
        <f>IF(AJ59&lt;=1,"Insignificante",HLOOKUP(AJ59,[71]Listas!$F$3:$J$4,2,0))</f>
        <v>#N/A</v>
      </c>
      <c r="AL59" s="273" t="e">
        <f t="shared" si="7"/>
        <v>#N/A</v>
      </c>
      <c r="AM59" s="270" t="e">
        <f>INDEX([71]Listas!$F$6:$J$10,MATCH(AI59,[71]Listas!$D$6:$D$10,0),MATCH(AK59,[71]Listas!$F$4:$J$4,0))</f>
        <v>#N/A</v>
      </c>
      <c r="AN59" s="259"/>
      <c r="AO59" s="259"/>
      <c r="AP59" s="937"/>
      <c r="AQ59" s="259"/>
      <c r="AR59" s="259" t="s">
        <v>2343</v>
      </c>
      <c r="AS59" s="935"/>
      <c r="AT59" s="259"/>
      <c r="AU59" s="259"/>
      <c r="AV59" s="567"/>
      <c r="AW59" s="567"/>
      <c r="AX59" s="935"/>
      <c r="AY59" s="262"/>
    </row>
    <row r="60" spans="1:51" s="260" customFormat="1" ht="103.5" hidden="1" customHeight="1">
      <c r="A60" s="935"/>
      <c r="B60" s="266"/>
      <c r="C60" s="1399"/>
      <c r="D60" s="1408"/>
      <c r="E60" s="1400"/>
      <c r="F60" s="267"/>
      <c r="G60" s="1399"/>
      <c r="H60" s="1408"/>
      <c r="I60" s="1400"/>
      <c r="J60" s="1380"/>
      <c r="K60" s="1380"/>
      <c r="L60" s="1380"/>
      <c r="M60" s="935"/>
      <c r="N60" s="935"/>
      <c r="O60" s="935"/>
      <c r="P60" s="935"/>
      <c r="Q60" s="266"/>
      <c r="R60" s="266"/>
      <c r="S60" s="268"/>
      <c r="T60" s="269" t="e">
        <f>VLOOKUP(Q60,[71]Listas!$D$6:$E$10,2,0)</f>
        <v>#N/A</v>
      </c>
      <c r="U60" s="269" t="e">
        <f>HLOOKUP(R60,[71]Listas!$F$4:$J$5,2,0)</f>
        <v>#N/A</v>
      </c>
      <c r="V60" s="270" t="e">
        <f>INDEX([71]Listas!$F$6:$J$10,MATCH(Q60,[71]Listas!$D$6:$D$10,0),MATCH(R60,[71]Listas!$F$4:$J$4,0))</f>
        <v>#N/A</v>
      </c>
      <c r="W60" s="268"/>
      <c r="X60" s="1399"/>
      <c r="Y60" s="1408"/>
      <c r="Z60" s="1400"/>
      <c r="AA60" s="1063"/>
      <c r="AB60" s="267"/>
      <c r="AC60" s="259"/>
      <c r="AD60" s="935"/>
      <c r="AE60" s="267"/>
      <c r="AF60" s="268"/>
      <c r="AG60" s="269">
        <f t="shared" si="4"/>
        <v>0</v>
      </c>
      <c r="AH60" s="271" t="e">
        <f t="shared" si="5"/>
        <v>#N/A</v>
      </c>
      <c r="AI60" s="272" t="e">
        <f>IF(AH60&lt;=1,"Remota",VLOOKUP(AH60,[71]Listas!$C$6:$D$10,2,0))</f>
        <v>#N/A</v>
      </c>
      <c r="AJ60" s="271" t="e">
        <f t="shared" si="6"/>
        <v>#N/A</v>
      </c>
      <c r="AK60" s="272" t="e">
        <f>IF(AJ60&lt;=1,"Insignificante",HLOOKUP(AJ60,[71]Listas!$F$3:$J$4,2,0))</f>
        <v>#N/A</v>
      </c>
      <c r="AL60" s="273" t="e">
        <f t="shared" si="7"/>
        <v>#N/A</v>
      </c>
      <c r="AM60" s="270" t="e">
        <f>INDEX([71]Listas!$F$6:$J$10,MATCH(AI60,[71]Listas!$D$6:$D$10,0),MATCH(AK60,[71]Listas!$F$4:$J$4,0))</f>
        <v>#N/A</v>
      </c>
      <c r="AN60" s="259"/>
      <c r="AO60" s="259"/>
      <c r="AP60" s="937"/>
      <c r="AQ60" s="259"/>
      <c r="AR60" s="259" t="s">
        <v>2343</v>
      </c>
      <c r="AS60" s="935"/>
      <c r="AT60" s="259"/>
      <c r="AU60" s="259"/>
      <c r="AV60" s="567"/>
      <c r="AW60" s="567"/>
      <c r="AX60" s="935"/>
      <c r="AY60" s="262"/>
    </row>
    <row r="61" spans="1:51" s="260" customFormat="1" ht="103.5" hidden="1" customHeight="1">
      <c r="A61" s="935"/>
      <c r="B61" s="266"/>
      <c r="C61" s="1399"/>
      <c r="D61" s="1408"/>
      <c r="E61" s="1400"/>
      <c r="F61" s="267"/>
      <c r="G61" s="1399"/>
      <c r="H61" s="1408"/>
      <c r="I61" s="1400"/>
      <c r="J61" s="1380"/>
      <c r="K61" s="1380"/>
      <c r="L61" s="1380"/>
      <c r="M61" s="935"/>
      <c r="N61" s="935"/>
      <c r="O61" s="935"/>
      <c r="P61" s="935"/>
      <c r="Q61" s="266"/>
      <c r="R61" s="266"/>
      <c r="S61" s="268"/>
      <c r="T61" s="269" t="e">
        <f>VLOOKUP(Q61,[71]Listas!$D$6:$E$10,2,0)</f>
        <v>#N/A</v>
      </c>
      <c r="U61" s="269" t="e">
        <f>HLOOKUP(R61,[71]Listas!$F$4:$J$5,2,0)</f>
        <v>#N/A</v>
      </c>
      <c r="V61" s="270" t="e">
        <f>INDEX([71]Listas!$F$6:$J$10,MATCH(Q61,[71]Listas!$D$6:$D$10,0),MATCH(R61,[71]Listas!$F$4:$J$4,0))</f>
        <v>#N/A</v>
      </c>
      <c r="W61" s="268"/>
      <c r="X61" s="1399"/>
      <c r="Y61" s="1408"/>
      <c r="Z61" s="1400"/>
      <c r="AA61" s="1063"/>
      <c r="AB61" s="267"/>
      <c r="AC61" s="259"/>
      <c r="AD61" s="935"/>
      <c r="AE61" s="267"/>
      <c r="AF61" s="268"/>
      <c r="AG61" s="269">
        <f t="shared" si="4"/>
        <v>0</v>
      </c>
      <c r="AH61" s="271" t="e">
        <f t="shared" si="5"/>
        <v>#N/A</v>
      </c>
      <c r="AI61" s="272" t="e">
        <f>IF(AH61&lt;=1,"Remota",VLOOKUP(AH61,[71]Listas!$C$6:$D$10,2,0))</f>
        <v>#N/A</v>
      </c>
      <c r="AJ61" s="271" t="e">
        <f t="shared" si="6"/>
        <v>#N/A</v>
      </c>
      <c r="AK61" s="272" t="e">
        <f>IF(AJ61&lt;=1,"Insignificante",HLOOKUP(AJ61,[71]Listas!$F$3:$J$4,2,0))</f>
        <v>#N/A</v>
      </c>
      <c r="AL61" s="273" t="e">
        <f t="shared" si="7"/>
        <v>#N/A</v>
      </c>
      <c r="AM61" s="270" t="e">
        <f>INDEX([71]Listas!$F$6:$J$10,MATCH(AI61,[71]Listas!$D$6:$D$10,0),MATCH(AK61,[71]Listas!$F$4:$J$4,0))</f>
        <v>#N/A</v>
      </c>
      <c r="AN61" s="259"/>
      <c r="AO61" s="259"/>
      <c r="AP61" s="937"/>
      <c r="AQ61" s="259"/>
      <c r="AR61" s="259" t="s">
        <v>2343</v>
      </c>
      <c r="AS61" s="935"/>
      <c r="AT61" s="259"/>
      <c r="AU61" s="259"/>
      <c r="AV61" s="567"/>
      <c r="AW61" s="567"/>
      <c r="AX61" s="935"/>
      <c r="AY61" s="262"/>
    </row>
    <row r="62" spans="1:51" s="260" customFormat="1" ht="103.5" hidden="1" customHeight="1">
      <c r="A62" s="935"/>
      <c r="B62" s="266"/>
      <c r="C62" s="1399"/>
      <c r="D62" s="1408"/>
      <c r="E62" s="1400"/>
      <c r="F62" s="266"/>
      <c r="G62" s="1399"/>
      <c r="H62" s="1408"/>
      <c r="I62" s="1400"/>
      <c r="J62" s="1380"/>
      <c r="K62" s="1380"/>
      <c r="L62" s="1380"/>
      <c r="M62" s="935"/>
      <c r="N62" s="935"/>
      <c r="O62" s="935"/>
      <c r="P62" s="935"/>
      <c r="Q62" s="266"/>
      <c r="R62" s="266"/>
      <c r="S62" s="268"/>
      <c r="T62" s="269" t="e">
        <f>VLOOKUP(Q62,[71]Listas!$D$6:$E$10,2,0)</f>
        <v>#N/A</v>
      </c>
      <c r="U62" s="269" t="e">
        <f>HLOOKUP(R62,[71]Listas!$F$4:$J$5,2,0)</f>
        <v>#N/A</v>
      </c>
      <c r="V62" s="270" t="e">
        <f>INDEX([71]Listas!$F$6:$J$10,MATCH(Q62,[71]Listas!$D$6:$D$10,0),MATCH(R62,[71]Listas!$F$4:$J$4,0))</f>
        <v>#N/A</v>
      </c>
      <c r="W62" s="268"/>
      <c r="X62" s="1399"/>
      <c r="Y62" s="1408"/>
      <c r="Z62" s="1400"/>
      <c r="AA62" s="1063"/>
      <c r="AB62" s="267"/>
      <c r="AC62" s="259"/>
      <c r="AD62" s="935"/>
      <c r="AE62" s="267"/>
      <c r="AF62" s="268"/>
      <c r="AG62" s="269">
        <f>IF(AD62&lt;=33,0,IF(AD62&gt;81,2,1))</f>
        <v>0</v>
      </c>
      <c r="AH62" s="271" t="e">
        <f>IF(OR(AE62="Probabilidad",AE62="Ambos"),T62-AG62,T62)</f>
        <v>#N/A</v>
      </c>
      <c r="AI62" s="272" t="e">
        <f>IF(AH62&lt;=1,"Remota",VLOOKUP(AH62,[71]Listas!$C$6:$D$10,2,0))</f>
        <v>#N/A</v>
      </c>
      <c r="AJ62" s="271" t="e">
        <f>IF(OR(AE62="Impacto",AE62="Ambos"),U62-AG62,U62)</f>
        <v>#N/A</v>
      </c>
      <c r="AK62" s="272" t="e">
        <f>IF(AJ62&lt;=1,"Insignificante",HLOOKUP(AJ62,[71]Listas!$F$3:$J$4,2,0))</f>
        <v>#N/A</v>
      </c>
      <c r="AL62" s="273" t="e">
        <f>AH62*AJ62</f>
        <v>#N/A</v>
      </c>
      <c r="AM62" s="270" t="e">
        <f>INDEX([71]Listas!$F$6:$J$10,MATCH(AI62,[71]Listas!$D$6:$D$10,0),MATCH(AK62,[71]Listas!$F$4:$J$4,0))</f>
        <v>#N/A</v>
      </c>
      <c r="AN62" s="259"/>
      <c r="AO62" s="259"/>
      <c r="AP62" s="937"/>
      <c r="AQ62" s="259"/>
      <c r="AR62" s="259" t="s">
        <v>2343</v>
      </c>
      <c r="AS62" s="935"/>
      <c r="AU62" s="259"/>
      <c r="AV62" s="567"/>
      <c r="AW62" s="567"/>
      <c r="AX62" s="935"/>
      <c r="AY62" s="262"/>
    </row>
    <row r="63" spans="1:51" s="260" customFormat="1" ht="103.5" hidden="1" customHeight="1">
      <c r="A63" s="935"/>
      <c r="B63" s="266"/>
      <c r="C63" s="1399"/>
      <c r="D63" s="1408"/>
      <c r="E63" s="1400"/>
      <c r="F63" s="267"/>
      <c r="G63" s="1399"/>
      <c r="H63" s="1408"/>
      <c r="I63" s="1400"/>
      <c r="J63" s="1380"/>
      <c r="K63" s="1380"/>
      <c r="L63" s="1380"/>
      <c r="M63" s="935"/>
      <c r="N63" s="935"/>
      <c r="O63" s="935"/>
      <c r="P63" s="935"/>
      <c r="Q63" s="266"/>
      <c r="R63" s="266"/>
      <c r="S63" s="268"/>
      <c r="T63" s="269" t="e">
        <f>VLOOKUP(Q63,[71]Listas!$D$6:$E$10,2,0)</f>
        <v>#N/A</v>
      </c>
      <c r="U63" s="269" t="e">
        <f>HLOOKUP(R63,[71]Listas!$F$4:$J$5,2,0)</f>
        <v>#N/A</v>
      </c>
      <c r="V63" s="270" t="e">
        <f>INDEX([71]Listas!$F$6:$J$10,MATCH(Q63,[71]Listas!$D$6:$D$10,0),MATCH(R63,[71]Listas!$F$4:$J$4,0))</f>
        <v>#N/A</v>
      </c>
      <c r="W63" s="268"/>
      <c r="X63" s="1399"/>
      <c r="Y63" s="1408"/>
      <c r="Z63" s="1400"/>
      <c r="AA63" s="1063"/>
      <c r="AB63" s="267"/>
      <c r="AC63" s="259"/>
      <c r="AD63" s="935"/>
      <c r="AE63" s="267"/>
      <c r="AF63" s="268"/>
      <c r="AG63" s="269">
        <f t="shared" ref="AG63:AG126" si="8">IF(AD63&lt;=33,0,IF(AD63&gt;81,2,1))</f>
        <v>0</v>
      </c>
      <c r="AH63" s="271" t="e">
        <f t="shared" ref="AH63:AH126" si="9">IF(OR(AE63="Probabilidad",AE63="Ambos"),T63-AG63,T63)</f>
        <v>#N/A</v>
      </c>
      <c r="AI63" s="272" t="e">
        <f>IF(AH63&lt;=1,"Remota",VLOOKUP(AH63,[71]Listas!$C$6:$D$10,2,0))</f>
        <v>#N/A</v>
      </c>
      <c r="AJ63" s="271" t="e">
        <f t="shared" ref="AJ63:AJ126" si="10">IF(OR(AE63="Impacto",AE63="Ambos"),U63-AG63,U63)</f>
        <v>#N/A</v>
      </c>
      <c r="AK63" s="272" t="e">
        <f>IF(AJ63&lt;=1,"Insignificante",HLOOKUP(AJ63,[71]Listas!$F$3:$J$4,2,0))</f>
        <v>#N/A</v>
      </c>
      <c r="AL63" s="273" t="e">
        <f t="shared" ref="AL63:AL126" si="11">AH63*AJ63</f>
        <v>#N/A</v>
      </c>
      <c r="AM63" s="270" t="e">
        <f>INDEX([71]Listas!$F$6:$J$10,MATCH(AI63,[71]Listas!$D$6:$D$10,0),MATCH(AK63,[71]Listas!$F$4:$J$4,0))</f>
        <v>#N/A</v>
      </c>
      <c r="AN63" s="259"/>
      <c r="AO63" s="259"/>
      <c r="AP63" s="937"/>
      <c r="AQ63" s="259"/>
      <c r="AR63" s="259" t="s">
        <v>2343</v>
      </c>
      <c r="AS63" s="935"/>
      <c r="AT63" s="259"/>
      <c r="AU63" s="259"/>
      <c r="AV63" s="567"/>
      <c r="AW63" s="567"/>
      <c r="AX63" s="935"/>
      <c r="AY63" s="262"/>
    </row>
    <row r="64" spans="1:51" s="260" customFormat="1" ht="103.5" hidden="1" customHeight="1">
      <c r="A64" s="935"/>
      <c r="B64" s="266"/>
      <c r="C64" s="1399"/>
      <c r="D64" s="1408"/>
      <c r="E64" s="1400"/>
      <c r="F64" s="267"/>
      <c r="G64" s="1399"/>
      <c r="H64" s="1408"/>
      <c r="I64" s="1400"/>
      <c r="J64" s="1380"/>
      <c r="K64" s="1380"/>
      <c r="L64" s="1380"/>
      <c r="M64" s="935"/>
      <c r="N64" s="935"/>
      <c r="O64" s="935"/>
      <c r="P64" s="935"/>
      <c r="Q64" s="266"/>
      <c r="R64" s="266"/>
      <c r="S64" s="268"/>
      <c r="T64" s="269" t="e">
        <f>VLOOKUP(Q64,[71]Listas!$D$6:$E$10,2,0)</f>
        <v>#N/A</v>
      </c>
      <c r="U64" s="269" t="e">
        <f>HLOOKUP(R64,[71]Listas!$F$4:$J$5,2,0)</f>
        <v>#N/A</v>
      </c>
      <c r="V64" s="270" t="e">
        <f>INDEX([71]Listas!$F$6:$J$10,MATCH(Q64,[71]Listas!$D$6:$D$10,0),MATCH(R64,[71]Listas!$F$4:$J$4,0))</f>
        <v>#N/A</v>
      </c>
      <c r="W64" s="268"/>
      <c r="X64" s="1399"/>
      <c r="Y64" s="1408"/>
      <c r="Z64" s="1400"/>
      <c r="AA64" s="1063"/>
      <c r="AB64" s="267"/>
      <c r="AC64" s="259"/>
      <c r="AD64" s="935"/>
      <c r="AE64" s="267"/>
      <c r="AF64" s="268"/>
      <c r="AG64" s="269">
        <f t="shared" si="8"/>
        <v>0</v>
      </c>
      <c r="AH64" s="271" t="e">
        <f t="shared" si="9"/>
        <v>#N/A</v>
      </c>
      <c r="AI64" s="272" t="e">
        <f>IF(AH64&lt;=1,"Remota",VLOOKUP(AH64,[71]Listas!$C$6:$D$10,2,0))</f>
        <v>#N/A</v>
      </c>
      <c r="AJ64" s="271" t="e">
        <f t="shared" si="10"/>
        <v>#N/A</v>
      </c>
      <c r="AK64" s="272" t="e">
        <f>IF(AJ64&lt;=1,"Insignificante",HLOOKUP(AJ64,[71]Listas!$F$3:$J$4,2,0))</f>
        <v>#N/A</v>
      </c>
      <c r="AL64" s="273" t="e">
        <f t="shared" si="11"/>
        <v>#N/A</v>
      </c>
      <c r="AM64" s="270" t="e">
        <f>INDEX([71]Listas!$F$6:$J$10,MATCH(AI64,[71]Listas!$D$6:$D$10,0),MATCH(AK64,[71]Listas!$F$4:$J$4,0))</f>
        <v>#N/A</v>
      </c>
      <c r="AN64" s="259"/>
      <c r="AO64" s="259"/>
      <c r="AP64" s="937"/>
      <c r="AQ64" s="259"/>
      <c r="AR64" s="259" t="s">
        <v>2343</v>
      </c>
      <c r="AS64" s="935"/>
      <c r="AT64" s="259"/>
      <c r="AU64" s="259"/>
      <c r="AV64" s="567"/>
      <c r="AW64" s="567"/>
      <c r="AX64" s="935"/>
      <c r="AY64" s="262"/>
    </row>
    <row r="65" spans="1:51" s="260" customFormat="1" ht="103.5" hidden="1" customHeight="1">
      <c r="A65" s="935"/>
      <c r="B65" s="266"/>
      <c r="C65" s="1399"/>
      <c r="D65" s="1408"/>
      <c r="E65" s="1400"/>
      <c r="F65" s="267"/>
      <c r="G65" s="1399"/>
      <c r="H65" s="1408"/>
      <c r="I65" s="1400"/>
      <c r="J65" s="1380"/>
      <c r="K65" s="1380"/>
      <c r="L65" s="1380"/>
      <c r="M65" s="935"/>
      <c r="N65" s="935"/>
      <c r="O65" s="935"/>
      <c r="P65" s="935"/>
      <c r="Q65" s="266"/>
      <c r="R65" s="266"/>
      <c r="S65" s="268"/>
      <c r="T65" s="269" t="e">
        <f>VLOOKUP(Q65,[71]Listas!$D$6:$E$10,2,0)</f>
        <v>#N/A</v>
      </c>
      <c r="U65" s="269" t="e">
        <f>HLOOKUP(R65,[71]Listas!$F$4:$J$5,2,0)</f>
        <v>#N/A</v>
      </c>
      <c r="V65" s="270" t="e">
        <f>INDEX([71]Listas!$F$6:$J$10,MATCH(Q65,[71]Listas!$D$6:$D$10,0),MATCH(R65,[71]Listas!$F$4:$J$4,0))</f>
        <v>#N/A</v>
      </c>
      <c r="W65" s="268"/>
      <c r="X65" s="1399"/>
      <c r="Y65" s="1408"/>
      <c r="Z65" s="1400"/>
      <c r="AA65" s="1063"/>
      <c r="AB65" s="267"/>
      <c r="AC65" s="259"/>
      <c r="AD65" s="935"/>
      <c r="AE65" s="267"/>
      <c r="AF65" s="268"/>
      <c r="AG65" s="269">
        <f t="shared" si="8"/>
        <v>0</v>
      </c>
      <c r="AH65" s="271" t="e">
        <f t="shared" si="9"/>
        <v>#N/A</v>
      </c>
      <c r="AI65" s="272" t="e">
        <f>IF(AH65&lt;=1,"Remota",VLOOKUP(AH65,[71]Listas!$C$6:$D$10,2,0))</f>
        <v>#N/A</v>
      </c>
      <c r="AJ65" s="271" t="e">
        <f t="shared" si="10"/>
        <v>#N/A</v>
      </c>
      <c r="AK65" s="272" t="e">
        <f>IF(AJ65&lt;=1,"Insignificante",HLOOKUP(AJ65,[71]Listas!$F$3:$J$4,2,0))</f>
        <v>#N/A</v>
      </c>
      <c r="AL65" s="273" t="e">
        <f t="shared" si="11"/>
        <v>#N/A</v>
      </c>
      <c r="AM65" s="270" t="e">
        <f>INDEX([71]Listas!$F$6:$J$10,MATCH(AI65,[71]Listas!$D$6:$D$10,0),MATCH(AK65,[71]Listas!$F$4:$J$4,0))</f>
        <v>#N/A</v>
      </c>
      <c r="AN65" s="259"/>
      <c r="AO65" s="259"/>
      <c r="AP65" s="937"/>
      <c r="AQ65" s="259"/>
      <c r="AR65" s="259" t="s">
        <v>2343</v>
      </c>
      <c r="AS65" s="935"/>
      <c r="AT65" s="259"/>
      <c r="AU65" s="259"/>
      <c r="AV65" s="567"/>
      <c r="AW65" s="567"/>
      <c r="AX65" s="935"/>
      <c r="AY65" s="262"/>
    </row>
    <row r="66" spans="1:51" s="260" customFormat="1" ht="103.5" hidden="1" customHeight="1">
      <c r="A66" s="935"/>
      <c r="B66" s="266"/>
      <c r="C66" s="1399"/>
      <c r="D66" s="1408"/>
      <c r="E66" s="1400"/>
      <c r="F66" s="267"/>
      <c r="G66" s="1399"/>
      <c r="H66" s="1408"/>
      <c r="I66" s="1400"/>
      <c r="J66" s="1380"/>
      <c r="K66" s="1380"/>
      <c r="L66" s="1380"/>
      <c r="M66" s="935"/>
      <c r="N66" s="935"/>
      <c r="O66" s="935"/>
      <c r="P66" s="935"/>
      <c r="Q66" s="266"/>
      <c r="R66" s="266"/>
      <c r="S66" s="268"/>
      <c r="T66" s="269" t="e">
        <f>VLOOKUP(Q66,[71]Listas!$D$6:$E$10,2,0)</f>
        <v>#N/A</v>
      </c>
      <c r="U66" s="269" t="e">
        <f>HLOOKUP(R66,[71]Listas!$F$4:$J$5,2,0)</f>
        <v>#N/A</v>
      </c>
      <c r="V66" s="270" t="e">
        <f>INDEX([71]Listas!$F$6:$J$10,MATCH(Q66,[71]Listas!$D$6:$D$10,0),MATCH(R66,[71]Listas!$F$4:$J$4,0))</f>
        <v>#N/A</v>
      </c>
      <c r="W66" s="268"/>
      <c r="X66" s="1399"/>
      <c r="Y66" s="1408"/>
      <c r="Z66" s="1400"/>
      <c r="AA66" s="1063"/>
      <c r="AB66" s="267"/>
      <c r="AC66" s="259"/>
      <c r="AD66" s="935"/>
      <c r="AE66" s="267"/>
      <c r="AF66" s="268"/>
      <c r="AG66" s="269">
        <f t="shared" si="8"/>
        <v>0</v>
      </c>
      <c r="AH66" s="271" t="e">
        <f t="shared" si="9"/>
        <v>#N/A</v>
      </c>
      <c r="AI66" s="272" t="e">
        <f>IF(AH66&lt;=1,"Remota",VLOOKUP(AH66,[71]Listas!$C$6:$D$10,2,0))</f>
        <v>#N/A</v>
      </c>
      <c r="AJ66" s="271" t="e">
        <f t="shared" si="10"/>
        <v>#N/A</v>
      </c>
      <c r="AK66" s="272" t="e">
        <f>IF(AJ66&lt;=1,"Insignificante",HLOOKUP(AJ66,[71]Listas!$F$3:$J$4,2,0))</f>
        <v>#N/A</v>
      </c>
      <c r="AL66" s="273" t="e">
        <f t="shared" si="11"/>
        <v>#N/A</v>
      </c>
      <c r="AM66" s="270" t="e">
        <f>INDEX([71]Listas!$F$6:$J$10,MATCH(AI66,[71]Listas!$D$6:$D$10,0),MATCH(AK66,[71]Listas!$F$4:$J$4,0))</f>
        <v>#N/A</v>
      </c>
      <c r="AN66" s="259"/>
      <c r="AO66" s="259"/>
      <c r="AP66" s="937"/>
      <c r="AQ66" s="259"/>
      <c r="AR66" s="259" t="s">
        <v>2343</v>
      </c>
      <c r="AS66" s="935"/>
      <c r="AT66" s="259"/>
      <c r="AU66" s="259"/>
      <c r="AV66" s="567"/>
      <c r="AW66" s="567"/>
      <c r="AX66" s="935"/>
      <c r="AY66" s="262"/>
    </row>
    <row r="67" spans="1:51" s="260" customFormat="1" ht="103.5" hidden="1" customHeight="1">
      <c r="A67" s="935"/>
      <c r="B67" s="266"/>
      <c r="C67" s="1399"/>
      <c r="D67" s="1408"/>
      <c r="E67" s="1400"/>
      <c r="F67" s="267"/>
      <c r="G67" s="1399"/>
      <c r="H67" s="1408"/>
      <c r="I67" s="1400"/>
      <c r="J67" s="1380"/>
      <c r="K67" s="1380"/>
      <c r="L67" s="1380"/>
      <c r="M67" s="935"/>
      <c r="N67" s="935"/>
      <c r="O67" s="935"/>
      <c r="P67" s="935"/>
      <c r="Q67" s="266"/>
      <c r="R67" s="266"/>
      <c r="S67" s="268"/>
      <c r="T67" s="269" t="e">
        <f>VLOOKUP(Q67,[71]Listas!$D$6:$E$10,2,0)</f>
        <v>#N/A</v>
      </c>
      <c r="U67" s="269" t="e">
        <f>HLOOKUP(R67,[71]Listas!$F$4:$J$5,2,0)</f>
        <v>#N/A</v>
      </c>
      <c r="V67" s="270" t="e">
        <f>INDEX([71]Listas!$F$6:$J$10,MATCH(Q67,[71]Listas!$D$6:$D$10,0),MATCH(R67,[71]Listas!$F$4:$J$4,0))</f>
        <v>#N/A</v>
      </c>
      <c r="W67" s="268"/>
      <c r="X67" s="1399"/>
      <c r="Y67" s="1408"/>
      <c r="Z67" s="1400"/>
      <c r="AA67" s="1063"/>
      <c r="AB67" s="267"/>
      <c r="AC67" s="259"/>
      <c r="AD67" s="935"/>
      <c r="AE67" s="267"/>
      <c r="AF67" s="268"/>
      <c r="AG67" s="269">
        <f t="shared" si="8"/>
        <v>0</v>
      </c>
      <c r="AH67" s="271" t="e">
        <f t="shared" si="9"/>
        <v>#N/A</v>
      </c>
      <c r="AI67" s="272" t="e">
        <f>IF(AH67&lt;=1,"Remota",VLOOKUP(AH67,[71]Listas!$C$6:$D$10,2,0))</f>
        <v>#N/A</v>
      </c>
      <c r="AJ67" s="271" t="e">
        <f t="shared" si="10"/>
        <v>#N/A</v>
      </c>
      <c r="AK67" s="272" t="e">
        <f>IF(AJ67&lt;=1,"Insignificante",HLOOKUP(AJ67,[71]Listas!$F$3:$J$4,2,0))</f>
        <v>#N/A</v>
      </c>
      <c r="AL67" s="273" t="e">
        <f t="shared" si="11"/>
        <v>#N/A</v>
      </c>
      <c r="AM67" s="270" t="e">
        <f>INDEX([71]Listas!$F$6:$J$10,MATCH(AI67,[71]Listas!$D$6:$D$10,0),MATCH(AK67,[71]Listas!$F$4:$J$4,0))</f>
        <v>#N/A</v>
      </c>
      <c r="AN67" s="259"/>
      <c r="AO67" s="259"/>
      <c r="AP67" s="937"/>
      <c r="AQ67" s="259"/>
      <c r="AR67" s="259" t="s">
        <v>2343</v>
      </c>
      <c r="AS67" s="935"/>
      <c r="AT67" s="259"/>
      <c r="AU67" s="259"/>
      <c r="AV67" s="567"/>
      <c r="AW67" s="567"/>
      <c r="AX67" s="935"/>
      <c r="AY67" s="262"/>
    </row>
    <row r="68" spans="1:51" s="260" customFormat="1" ht="103.5" hidden="1" customHeight="1">
      <c r="A68" s="935"/>
      <c r="B68" s="266"/>
      <c r="C68" s="1399"/>
      <c r="D68" s="1408"/>
      <c r="E68" s="1400"/>
      <c r="F68" s="267"/>
      <c r="G68" s="1399"/>
      <c r="H68" s="1408"/>
      <c r="I68" s="1400"/>
      <c r="J68" s="1380"/>
      <c r="K68" s="1380"/>
      <c r="L68" s="1380"/>
      <c r="M68" s="935"/>
      <c r="N68" s="935"/>
      <c r="O68" s="935"/>
      <c r="P68" s="935"/>
      <c r="Q68" s="266"/>
      <c r="R68" s="266"/>
      <c r="S68" s="268"/>
      <c r="T68" s="269" t="e">
        <f>VLOOKUP(Q68,[71]Listas!$D$6:$E$10,2,0)</f>
        <v>#N/A</v>
      </c>
      <c r="U68" s="269" t="e">
        <f>HLOOKUP(R68,[71]Listas!$F$4:$J$5,2,0)</f>
        <v>#N/A</v>
      </c>
      <c r="V68" s="270" t="e">
        <f>INDEX([71]Listas!$F$6:$J$10,MATCH(Q68,[71]Listas!$D$6:$D$10,0),MATCH(R68,[71]Listas!$F$4:$J$4,0))</f>
        <v>#N/A</v>
      </c>
      <c r="W68" s="268"/>
      <c r="X68" s="1399"/>
      <c r="Y68" s="1408"/>
      <c r="Z68" s="1400"/>
      <c r="AA68" s="1063"/>
      <c r="AB68" s="267"/>
      <c r="AC68" s="259"/>
      <c r="AD68" s="935"/>
      <c r="AE68" s="267"/>
      <c r="AF68" s="268"/>
      <c r="AG68" s="269">
        <f t="shared" si="8"/>
        <v>0</v>
      </c>
      <c r="AH68" s="271" t="e">
        <f t="shared" si="9"/>
        <v>#N/A</v>
      </c>
      <c r="AI68" s="272" t="e">
        <f>IF(AH68&lt;=1,"Remota",VLOOKUP(AH68,[71]Listas!$C$6:$D$10,2,0))</f>
        <v>#N/A</v>
      </c>
      <c r="AJ68" s="271" t="e">
        <f t="shared" si="10"/>
        <v>#N/A</v>
      </c>
      <c r="AK68" s="272" t="e">
        <f>IF(AJ68&lt;=1,"Insignificante",HLOOKUP(AJ68,[71]Listas!$F$3:$J$4,2,0))</f>
        <v>#N/A</v>
      </c>
      <c r="AL68" s="273" t="e">
        <f t="shared" si="11"/>
        <v>#N/A</v>
      </c>
      <c r="AM68" s="270" t="e">
        <f>INDEX([71]Listas!$F$6:$J$10,MATCH(AI68,[71]Listas!$D$6:$D$10,0),MATCH(AK68,[71]Listas!$F$4:$J$4,0))</f>
        <v>#N/A</v>
      </c>
      <c r="AN68" s="259"/>
      <c r="AO68" s="259"/>
      <c r="AP68" s="937"/>
      <c r="AQ68" s="259"/>
      <c r="AR68" s="259" t="s">
        <v>2343</v>
      </c>
      <c r="AS68" s="935"/>
      <c r="AT68" s="259"/>
      <c r="AU68" s="259"/>
      <c r="AV68" s="567"/>
      <c r="AW68" s="567"/>
      <c r="AX68" s="935"/>
      <c r="AY68" s="262"/>
    </row>
    <row r="69" spans="1:51" s="260" customFormat="1" ht="103.5" hidden="1" customHeight="1">
      <c r="A69" s="935"/>
      <c r="B69" s="266"/>
      <c r="C69" s="1399"/>
      <c r="D69" s="1408"/>
      <c r="E69" s="1400"/>
      <c r="F69" s="267"/>
      <c r="G69" s="1399"/>
      <c r="H69" s="1408"/>
      <c r="I69" s="1400"/>
      <c r="J69" s="1380"/>
      <c r="K69" s="1380"/>
      <c r="L69" s="1380"/>
      <c r="M69" s="935"/>
      <c r="N69" s="935"/>
      <c r="O69" s="935"/>
      <c r="P69" s="935"/>
      <c r="Q69" s="266"/>
      <c r="R69" s="266"/>
      <c r="S69" s="268"/>
      <c r="T69" s="269" t="e">
        <f>VLOOKUP(Q69,[71]Listas!$D$6:$E$10,2,0)</f>
        <v>#N/A</v>
      </c>
      <c r="U69" s="269" t="e">
        <f>HLOOKUP(R69,[71]Listas!$F$4:$J$5,2,0)</f>
        <v>#N/A</v>
      </c>
      <c r="V69" s="270" t="e">
        <f>INDEX([71]Listas!$F$6:$J$10,MATCH(Q69,[71]Listas!$D$6:$D$10,0),MATCH(R69,[71]Listas!$F$4:$J$4,0))</f>
        <v>#N/A</v>
      </c>
      <c r="W69" s="268"/>
      <c r="X69" s="1399"/>
      <c r="Y69" s="1408"/>
      <c r="Z69" s="1400"/>
      <c r="AA69" s="1063"/>
      <c r="AB69" s="267"/>
      <c r="AC69" s="259"/>
      <c r="AD69" s="935"/>
      <c r="AE69" s="267"/>
      <c r="AF69" s="268"/>
      <c r="AG69" s="269">
        <f t="shared" si="8"/>
        <v>0</v>
      </c>
      <c r="AH69" s="271" t="e">
        <f t="shared" si="9"/>
        <v>#N/A</v>
      </c>
      <c r="AI69" s="272" t="e">
        <f>IF(AH69&lt;=1,"Remota",VLOOKUP(AH69,[71]Listas!$C$6:$D$10,2,0))</f>
        <v>#N/A</v>
      </c>
      <c r="AJ69" s="271" t="e">
        <f t="shared" si="10"/>
        <v>#N/A</v>
      </c>
      <c r="AK69" s="272" t="e">
        <f>IF(AJ69&lt;=1,"Insignificante",HLOOKUP(AJ69,[71]Listas!$F$3:$J$4,2,0))</f>
        <v>#N/A</v>
      </c>
      <c r="AL69" s="273" t="e">
        <f t="shared" si="11"/>
        <v>#N/A</v>
      </c>
      <c r="AM69" s="270" t="e">
        <f>INDEX([71]Listas!$F$6:$J$10,MATCH(AI69,[71]Listas!$D$6:$D$10,0),MATCH(AK69,[71]Listas!$F$4:$J$4,0))</f>
        <v>#N/A</v>
      </c>
      <c r="AN69" s="259"/>
      <c r="AO69" s="259"/>
      <c r="AP69" s="937"/>
      <c r="AQ69" s="259"/>
      <c r="AR69" s="259" t="s">
        <v>2343</v>
      </c>
      <c r="AS69" s="935"/>
      <c r="AT69" s="259"/>
      <c r="AU69" s="259"/>
      <c r="AV69" s="567"/>
      <c r="AW69" s="567"/>
      <c r="AX69" s="935"/>
      <c r="AY69" s="262"/>
    </row>
    <row r="70" spans="1:51" s="260" customFormat="1" ht="103.5" hidden="1" customHeight="1">
      <c r="A70" s="935"/>
      <c r="B70" s="266"/>
      <c r="C70" s="1399"/>
      <c r="D70" s="1408"/>
      <c r="E70" s="1400"/>
      <c r="F70" s="267"/>
      <c r="G70" s="1399"/>
      <c r="H70" s="1408"/>
      <c r="I70" s="1400"/>
      <c r="J70" s="1380"/>
      <c r="K70" s="1380"/>
      <c r="L70" s="1380"/>
      <c r="M70" s="935"/>
      <c r="N70" s="935"/>
      <c r="O70" s="935"/>
      <c r="P70" s="935"/>
      <c r="Q70" s="266"/>
      <c r="R70" s="266"/>
      <c r="S70" s="268"/>
      <c r="T70" s="269" t="e">
        <f>VLOOKUP(Q70,[71]Listas!$D$6:$E$10,2,0)</f>
        <v>#N/A</v>
      </c>
      <c r="U70" s="269" t="e">
        <f>HLOOKUP(R70,[71]Listas!$F$4:$J$5,2,0)</f>
        <v>#N/A</v>
      </c>
      <c r="V70" s="270" t="e">
        <f>INDEX([71]Listas!$F$6:$J$10,MATCH(Q70,[71]Listas!$D$6:$D$10,0),MATCH(R70,[71]Listas!$F$4:$J$4,0))</f>
        <v>#N/A</v>
      </c>
      <c r="W70" s="268"/>
      <c r="X70" s="1399"/>
      <c r="Y70" s="1408"/>
      <c r="Z70" s="1400"/>
      <c r="AA70" s="1063"/>
      <c r="AB70" s="267"/>
      <c r="AC70" s="259"/>
      <c r="AD70" s="935"/>
      <c r="AE70" s="267"/>
      <c r="AF70" s="268"/>
      <c r="AG70" s="269">
        <f t="shared" si="8"/>
        <v>0</v>
      </c>
      <c r="AH70" s="271" t="e">
        <f t="shared" si="9"/>
        <v>#N/A</v>
      </c>
      <c r="AI70" s="272" t="e">
        <f>IF(AH70&lt;=1,"Remota",VLOOKUP(AH70,[71]Listas!$C$6:$D$10,2,0))</f>
        <v>#N/A</v>
      </c>
      <c r="AJ70" s="271" t="e">
        <f t="shared" si="10"/>
        <v>#N/A</v>
      </c>
      <c r="AK70" s="272" t="e">
        <f>IF(AJ70&lt;=1,"Insignificante",HLOOKUP(AJ70,[71]Listas!$F$3:$J$4,2,0))</f>
        <v>#N/A</v>
      </c>
      <c r="AL70" s="273" t="e">
        <f t="shared" si="11"/>
        <v>#N/A</v>
      </c>
      <c r="AM70" s="270" t="e">
        <f>INDEX([71]Listas!$F$6:$J$10,MATCH(AI70,[71]Listas!$D$6:$D$10,0),MATCH(AK70,[71]Listas!$F$4:$J$4,0))</f>
        <v>#N/A</v>
      </c>
      <c r="AN70" s="259"/>
      <c r="AO70" s="259"/>
      <c r="AP70" s="937"/>
      <c r="AQ70" s="259"/>
      <c r="AR70" s="259" t="s">
        <v>2343</v>
      </c>
      <c r="AS70" s="935"/>
      <c r="AT70" s="259"/>
      <c r="AU70" s="259"/>
      <c r="AV70" s="567"/>
      <c r="AW70" s="567"/>
      <c r="AX70" s="935"/>
      <c r="AY70" s="262"/>
    </row>
    <row r="71" spans="1:51" s="260" customFormat="1" ht="103.5" hidden="1" customHeight="1">
      <c r="A71" s="935"/>
      <c r="B71" s="266"/>
      <c r="C71" s="1399"/>
      <c r="D71" s="1408"/>
      <c r="E71" s="1400"/>
      <c r="F71" s="267"/>
      <c r="G71" s="1399"/>
      <c r="H71" s="1408"/>
      <c r="I71" s="1400"/>
      <c r="J71" s="1380"/>
      <c r="K71" s="1380"/>
      <c r="L71" s="1380"/>
      <c r="M71" s="935"/>
      <c r="N71" s="935"/>
      <c r="O71" s="935"/>
      <c r="P71" s="935"/>
      <c r="Q71" s="266"/>
      <c r="R71" s="266"/>
      <c r="S71" s="268"/>
      <c r="T71" s="269" t="e">
        <f>VLOOKUP(Q71,[71]Listas!$D$6:$E$10,2,0)</f>
        <v>#N/A</v>
      </c>
      <c r="U71" s="269" t="e">
        <f>HLOOKUP(R71,[71]Listas!$F$4:$J$5,2,0)</f>
        <v>#N/A</v>
      </c>
      <c r="V71" s="270" t="e">
        <f>INDEX([71]Listas!$F$6:$J$10,MATCH(Q71,[71]Listas!$D$6:$D$10,0),MATCH(R71,[71]Listas!$F$4:$J$4,0))</f>
        <v>#N/A</v>
      </c>
      <c r="W71" s="268"/>
      <c r="X71" s="1399"/>
      <c r="Y71" s="1408"/>
      <c r="Z71" s="1400"/>
      <c r="AA71" s="1063"/>
      <c r="AB71" s="267"/>
      <c r="AC71" s="259"/>
      <c r="AD71" s="935"/>
      <c r="AE71" s="267"/>
      <c r="AF71" s="268"/>
      <c r="AG71" s="269">
        <f t="shared" si="8"/>
        <v>0</v>
      </c>
      <c r="AH71" s="271" t="e">
        <f t="shared" si="9"/>
        <v>#N/A</v>
      </c>
      <c r="AI71" s="272" t="e">
        <f>IF(AH71&lt;=1,"Remota",VLOOKUP(AH71,[71]Listas!$C$6:$D$10,2,0))</f>
        <v>#N/A</v>
      </c>
      <c r="AJ71" s="271" t="e">
        <f t="shared" si="10"/>
        <v>#N/A</v>
      </c>
      <c r="AK71" s="272" t="e">
        <f>IF(AJ71&lt;=1,"Insignificante",HLOOKUP(AJ71,[71]Listas!$F$3:$J$4,2,0))</f>
        <v>#N/A</v>
      </c>
      <c r="AL71" s="273" t="e">
        <f t="shared" si="11"/>
        <v>#N/A</v>
      </c>
      <c r="AM71" s="270" t="e">
        <f>INDEX([71]Listas!$F$6:$J$10,MATCH(AI71,[71]Listas!$D$6:$D$10,0),MATCH(AK71,[71]Listas!$F$4:$J$4,0))</f>
        <v>#N/A</v>
      </c>
      <c r="AN71" s="259"/>
      <c r="AO71" s="259"/>
      <c r="AP71" s="937"/>
      <c r="AQ71" s="259"/>
      <c r="AR71" s="259" t="s">
        <v>2343</v>
      </c>
      <c r="AS71" s="935"/>
      <c r="AT71" s="259"/>
      <c r="AU71" s="259"/>
      <c r="AV71" s="567"/>
      <c r="AW71" s="567"/>
      <c r="AX71" s="935"/>
      <c r="AY71" s="262"/>
    </row>
    <row r="72" spans="1:51" s="260" customFormat="1" ht="103.5" hidden="1" customHeight="1">
      <c r="A72" s="935"/>
      <c r="B72" s="266"/>
      <c r="C72" s="1399"/>
      <c r="D72" s="1408"/>
      <c r="E72" s="1400"/>
      <c r="F72" s="267"/>
      <c r="G72" s="1399"/>
      <c r="H72" s="1408"/>
      <c r="I72" s="1400"/>
      <c r="J72" s="1380"/>
      <c r="K72" s="1380"/>
      <c r="L72" s="1380"/>
      <c r="M72" s="935"/>
      <c r="N72" s="935"/>
      <c r="O72" s="935"/>
      <c r="P72" s="935"/>
      <c r="Q72" s="266"/>
      <c r="R72" s="266"/>
      <c r="S72" s="268"/>
      <c r="T72" s="269" t="e">
        <f>VLOOKUP(Q72,[71]Listas!$D$6:$E$10,2,0)</f>
        <v>#N/A</v>
      </c>
      <c r="U72" s="269" t="e">
        <f>HLOOKUP(R72,[71]Listas!$F$4:$J$5,2,0)</f>
        <v>#N/A</v>
      </c>
      <c r="V72" s="270" t="e">
        <f>INDEX([71]Listas!$F$6:$J$10,MATCH(Q72,[71]Listas!$D$6:$D$10,0),MATCH(R72,[71]Listas!$F$4:$J$4,0))</f>
        <v>#N/A</v>
      </c>
      <c r="W72" s="268"/>
      <c r="X72" s="1399"/>
      <c r="Y72" s="1408"/>
      <c r="Z72" s="1400"/>
      <c r="AA72" s="1063"/>
      <c r="AB72" s="267"/>
      <c r="AC72" s="259"/>
      <c r="AD72" s="935"/>
      <c r="AE72" s="267"/>
      <c r="AF72" s="268"/>
      <c r="AG72" s="269">
        <f t="shared" si="8"/>
        <v>0</v>
      </c>
      <c r="AH72" s="271" t="e">
        <f t="shared" si="9"/>
        <v>#N/A</v>
      </c>
      <c r="AI72" s="272" t="e">
        <f>IF(AH72&lt;=1,"Remota",VLOOKUP(AH72,[71]Listas!$C$6:$D$10,2,0))</f>
        <v>#N/A</v>
      </c>
      <c r="AJ72" s="271" t="e">
        <f t="shared" si="10"/>
        <v>#N/A</v>
      </c>
      <c r="AK72" s="272" t="e">
        <f>IF(AJ72&lt;=1,"Insignificante",HLOOKUP(AJ72,[71]Listas!$F$3:$J$4,2,0))</f>
        <v>#N/A</v>
      </c>
      <c r="AL72" s="273" t="e">
        <f t="shared" si="11"/>
        <v>#N/A</v>
      </c>
      <c r="AM72" s="270" t="e">
        <f>INDEX([71]Listas!$F$6:$J$10,MATCH(AI72,[71]Listas!$D$6:$D$10,0),MATCH(AK72,[71]Listas!$F$4:$J$4,0))</f>
        <v>#N/A</v>
      </c>
      <c r="AN72" s="259"/>
      <c r="AO72" s="259"/>
      <c r="AP72" s="937"/>
      <c r="AQ72" s="259"/>
      <c r="AR72" s="259" t="s">
        <v>2343</v>
      </c>
      <c r="AS72" s="935"/>
      <c r="AT72" s="259"/>
      <c r="AU72" s="259"/>
      <c r="AV72" s="567"/>
      <c r="AW72" s="567"/>
      <c r="AX72" s="935"/>
      <c r="AY72" s="262"/>
    </row>
    <row r="73" spans="1:51" s="260" customFormat="1" ht="103.5" hidden="1" customHeight="1">
      <c r="A73" s="935"/>
      <c r="B73" s="266"/>
      <c r="C73" s="1399"/>
      <c r="D73" s="1408"/>
      <c r="E73" s="1400"/>
      <c r="F73" s="267"/>
      <c r="G73" s="1399"/>
      <c r="H73" s="1408"/>
      <c r="I73" s="1400"/>
      <c r="J73" s="1380"/>
      <c r="K73" s="1380"/>
      <c r="L73" s="1380"/>
      <c r="M73" s="935"/>
      <c r="N73" s="935"/>
      <c r="O73" s="935"/>
      <c r="P73" s="935"/>
      <c r="Q73" s="266"/>
      <c r="R73" s="266"/>
      <c r="S73" s="268"/>
      <c r="T73" s="269" t="e">
        <f>VLOOKUP(Q73,[71]Listas!$D$6:$E$10,2,0)</f>
        <v>#N/A</v>
      </c>
      <c r="U73" s="269" t="e">
        <f>HLOOKUP(R73,[71]Listas!$F$4:$J$5,2,0)</f>
        <v>#N/A</v>
      </c>
      <c r="V73" s="270" t="e">
        <f>INDEX([71]Listas!$F$6:$J$10,MATCH(Q73,[71]Listas!$D$6:$D$10,0),MATCH(R73,[71]Listas!$F$4:$J$4,0))</f>
        <v>#N/A</v>
      </c>
      <c r="W73" s="268"/>
      <c r="X73" s="1399"/>
      <c r="Y73" s="1408"/>
      <c r="Z73" s="1400"/>
      <c r="AA73" s="1063"/>
      <c r="AB73" s="267"/>
      <c r="AC73" s="259"/>
      <c r="AD73" s="935"/>
      <c r="AE73" s="267"/>
      <c r="AF73" s="268"/>
      <c r="AG73" s="269">
        <f t="shared" si="8"/>
        <v>0</v>
      </c>
      <c r="AH73" s="271" t="e">
        <f t="shared" si="9"/>
        <v>#N/A</v>
      </c>
      <c r="AI73" s="272" t="e">
        <f>IF(AH73&lt;=1,"Remota",VLOOKUP(AH73,[71]Listas!$C$6:$D$10,2,0))</f>
        <v>#N/A</v>
      </c>
      <c r="AJ73" s="271" t="e">
        <f t="shared" si="10"/>
        <v>#N/A</v>
      </c>
      <c r="AK73" s="272" t="e">
        <f>IF(AJ73&lt;=1,"Insignificante",HLOOKUP(AJ73,[71]Listas!$F$3:$J$4,2,0))</f>
        <v>#N/A</v>
      </c>
      <c r="AL73" s="273" t="e">
        <f t="shared" si="11"/>
        <v>#N/A</v>
      </c>
      <c r="AM73" s="270" t="e">
        <f>INDEX([71]Listas!$F$6:$J$10,MATCH(AI73,[71]Listas!$D$6:$D$10,0),MATCH(AK73,[71]Listas!$F$4:$J$4,0))</f>
        <v>#N/A</v>
      </c>
      <c r="AN73" s="259"/>
      <c r="AO73" s="259"/>
      <c r="AP73" s="937"/>
      <c r="AQ73" s="259"/>
      <c r="AR73" s="259" t="s">
        <v>2343</v>
      </c>
      <c r="AS73" s="935"/>
      <c r="AT73" s="259"/>
      <c r="AU73" s="259"/>
      <c r="AV73" s="567"/>
      <c r="AW73" s="567"/>
      <c r="AX73" s="935"/>
      <c r="AY73" s="262"/>
    </row>
    <row r="74" spans="1:51" s="260" customFormat="1" ht="103.5" hidden="1" customHeight="1">
      <c r="A74" s="935"/>
      <c r="B74" s="266"/>
      <c r="C74" s="1399"/>
      <c r="D74" s="1408"/>
      <c r="E74" s="1400"/>
      <c r="F74" s="267"/>
      <c r="G74" s="1399"/>
      <c r="H74" s="1408"/>
      <c r="I74" s="1400"/>
      <c r="J74" s="1380"/>
      <c r="K74" s="1380"/>
      <c r="L74" s="1380"/>
      <c r="M74" s="935"/>
      <c r="N74" s="935"/>
      <c r="O74" s="935"/>
      <c r="P74" s="935"/>
      <c r="Q74" s="266"/>
      <c r="R74" s="266"/>
      <c r="S74" s="268"/>
      <c r="T74" s="269" t="e">
        <f>VLOOKUP(Q74,[71]Listas!$D$6:$E$10,2,0)</f>
        <v>#N/A</v>
      </c>
      <c r="U74" s="269" t="e">
        <f>HLOOKUP(R74,[71]Listas!$F$4:$J$5,2,0)</f>
        <v>#N/A</v>
      </c>
      <c r="V74" s="270" t="e">
        <f>INDEX([71]Listas!$F$6:$J$10,MATCH(Q74,[71]Listas!$D$6:$D$10,0),MATCH(R74,[71]Listas!$F$4:$J$4,0))</f>
        <v>#N/A</v>
      </c>
      <c r="W74" s="268"/>
      <c r="X74" s="1399"/>
      <c r="Y74" s="1408"/>
      <c r="Z74" s="1400"/>
      <c r="AA74" s="1063"/>
      <c r="AB74" s="267"/>
      <c r="AC74" s="259"/>
      <c r="AD74" s="935"/>
      <c r="AE74" s="267"/>
      <c r="AF74" s="268"/>
      <c r="AG74" s="269">
        <f t="shared" si="8"/>
        <v>0</v>
      </c>
      <c r="AH74" s="271" t="e">
        <f t="shared" si="9"/>
        <v>#N/A</v>
      </c>
      <c r="AI74" s="272" t="e">
        <f>IF(AH74&lt;=1,"Remota",VLOOKUP(AH74,[71]Listas!$C$6:$D$10,2,0))</f>
        <v>#N/A</v>
      </c>
      <c r="AJ74" s="271" t="e">
        <f t="shared" si="10"/>
        <v>#N/A</v>
      </c>
      <c r="AK74" s="272" t="e">
        <f>IF(AJ74&lt;=1,"Insignificante",HLOOKUP(AJ74,[71]Listas!$F$3:$J$4,2,0))</f>
        <v>#N/A</v>
      </c>
      <c r="AL74" s="273" t="e">
        <f t="shared" si="11"/>
        <v>#N/A</v>
      </c>
      <c r="AM74" s="270" t="e">
        <f>INDEX([71]Listas!$F$6:$J$10,MATCH(AI74,[71]Listas!$D$6:$D$10,0),MATCH(AK74,[71]Listas!$F$4:$J$4,0))</f>
        <v>#N/A</v>
      </c>
      <c r="AN74" s="259"/>
      <c r="AO74" s="259"/>
      <c r="AP74" s="937"/>
      <c r="AQ74" s="259"/>
      <c r="AR74" s="259" t="s">
        <v>2343</v>
      </c>
      <c r="AS74" s="935"/>
      <c r="AT74" s="259"/>
      <c r="AU74" s="259"/>
      <c r="AV74" s="567"/>
      <c r="AW74" s="567"/>
      <c r="AX74" s="935"/>
      <c r="AY74" s="262"/>
    </row>
    <row r="75" spans="1:51" s="260" customFormat="1" ht="103.5" hidden="1" customHeight="1">
      <c r="A75" s="935"/>
      <c r="B75" s="266"/>
      <c r="C75" s="1399"/>
      <c r="D75" s="1408"/>
      <c r="E75" s="1400"/>
      <c r="F75" s="267"/>
      <c r="G75" s="1399"/>
      <c r="H75" s="1408"/>
      <c r="I75" s="1400"/>
      <c r="J75" s="1380"/>
      <c r="K75" s="1380"/>
      <c r="L75" s="1380"/>
      <c r="M75" s="935"/>
      <c r="N75" s="935"/>
      <c r="O75" s="935"/>
      <c r="P75" s="935"/>
      <c r="Q75" s="266"/>
      <c r="R75" s="266"/>
      <c r="S75" s="268"/>
      <c r="T75" s="269" t="e">
        <f>VLOOKUP(Q75,[71]Listas!$D$6:$E$10,2,0)</f>
        <v>#N/A</v>
      </c>
      <c r="U75" s="269" t="e">
        <f>HLOOKUP(R75,[71]Listas!$F$4:$J$5,2,0)</f>
        <v>#N/A</v>
      </c>
      <c r="V75" s="270" t="e">
        <f>INDEX([71]Listas!$F$6:$J$10,MATCH(Q75,[71]Listas!$D$6:$D$10,0),MATCH(R75,[71]Listas!$F$4:$J$4,0))</f>
        <v>#N/A</v>
      </c>
      <c r="W75" s="268"/>
      <c r="X75" s="1399"/>
      <c r="Y75" s="1408"/>
      <c r="Z75" s="1400"/>
      <c r="AA75" s="1063"/>
      <c r="AB75" s="267"/>
      <c r="AC75" s="259"/>
      <c r="AD75" s="935"/>
      <c r="AE75" s="267"/>
      <c r="AF75" s="268"/>
      <c r="AG75" s="269">
        <f t="shared" si="8"/>
        <v>0</v>
      </c>
      <c r="AH75" s="271" t="e">
        <f t="shared" si="9"/>
        <v>#N/A</v>
      </c>
      <c r="AI75" s="272" t="e">
        <f>IF(AH75&lt;=1,"Remota",VLOOKUP(AH75,[71]Listas!$C$6:$D$10,2,0))</f>
        <v>#N/A</v>
      </c>
      <c r="AJ75" s="271" t="e">
        <f t="shared" si="10"/>
        <v>#N/A</v>
      </c>
      <c r="AK75" s="272" t="e">
        <f>IF(AJ75&lt;=1,"Insignificante",HLOOKUP(AJ75,[71]Listas!$F$3:$J$4,2,0))</f>
        <v>#N/A</v>
      </c>
      <c r="AL75" s="273" t="e">
        <f t="shared" si="11"/>
        <v>#N/A</v>
      </c>
      <c r="AM75" s="270" t="e">
        <f>INDEX([71]Listas!$F$6:$J$10,MATCH(AI75,[71]Listas!$D$6:$D$10,0),MATCH(AK75,[71]Listas!$F$4:$J$4,0))</f>
        <v>#N/A</v>
      </c>
      <c r="AN75" s="259"/>
      <c r="AO75" s="259"/>
      <c r="AP75" s="937"/>
      <c r="AQ75" s="259"/>
      <c r="AR75" s="259" t="s">
        <v>2343</v>
      </c>
      <c r="AS75" s="935"/>
      <c r="AT75" s="259"/>
      <c r="AU75" s="259"/>
      <c r="AV75" s="567"/>
      <c r="AW75" s="567"/>
      <c r="AX75" s="935"/>
      <c r="AY75" s="262"/>
    </row>
    <row r="76" spans="1:51" s="260" customFormat="1" ht="103.5" hidden="1" customHeight="1">
      <c r="A76" s="935"/>
      <c r="B76" s="274"/>
      <c r="C76" s="1399"/>
      <c r="D76" s="1408"/>
      <c r="E76" s="1400"/>
      <c r="F76" s="267"/>
      <c r="G76" s="1399"/>
      <c r="H76" s="1408"/>
      <c r="I76" s="1400"/>
      <c r="J76" s="1380"/>
      <c r="K76" s="1380"/>
      <c r="L76" s="1380"/>
      <c r="M76" s="935"/>
      <c r="N76" s="935"/>
      <c r="O76" s="935"/>
      <c r="P76" s="935"/>
      <c r="Q76" s="266"/>
      <c r="R76" s="266"/>
      <c r="S76" s="268"/>
      <c r="T76" s="269" t="e">
        <f>VLOOKUP(Q76,[71]Listas!$D$6:$E$10,2,0)</f>
        <v>#N/A</v>
      </c>
      <c r="U76" s="269" t="e">
        <f>HLOOKUP(R76,[71]Listas!$F$4:$J$5,2,0)</f>
        <v>#N/A</v>
      </c>
      <c r="V76" s="270" t="e">
        <f>INDEX([71]Listas!$F$6:$J$10,MATCH(Q76,[71]Listas!$D$6:$D$10,0),MATCH(R76,[71]Listas!$F$4:$J$4,0))</f>
        <v>#N/A</v>
      </c>
      <c r="W76" s="268"/>
      <c r="X76" s="1399"/>
      <c r="Y76" s="1408"/>
      <c r="Z76" s="1400"/>
      <c r="AA76" s="1063"/>
      <c r="AB76" s="267"/>
      <c r="AC76" s="259"/>
      <c r="AD76" s="935"/>
      <c r="AE76" s="267"/>
      <c r="AF76" s="268"/>
      <c r="AG76" s="269">
        <f t="shared" si="8"/>
        <v>0</v>
      </c>
      <c r="AH76" s="271" t="e">
        <f t="shared" si="9"/>
        <v>#N/A</v>
      </c>
      <c r="AI76" s="272" t="e">
        <f>IF(AH76&lt;=1,"Remota",VLOOKUP(AH76,[71]Listas!$C$6:$D$10,2,0))</f>
        <v>#N/A</v>
      </c>
      <c r="AJ76" s="271" t="e">
        <f t="shared" si="10"/>
        <v>#N/A</v>
      </c>
      <c r="AK76" s="272" t="e">
        <f>IF(AJ76&lt;=1,"Insignificante",HLOOKUP(AJ76,[71]Listas!$F$3:$J$4,2,0))</f>
        <v>#N/A</v>
      </c>
      <c r="AL76" s="273" t="e">
        <f t="shared" si="11"/>
        <v>#N/A</v>
      </c>
      <c r="AM76" s="270" t="e">
        <f>INDEX([71]Listas!$F$6:$J$10,MATCH(AI76,[71]Listas!$D$6:$D$10,0),MATCH(AK76,[71]Listas!$F$4:$J$4,0))</f>
        <v>#N/A</v>
      </c>
      <c r="AN76" s="259"/>
      <c r="AO76" s="259"/>
      <c r="AP76" s="937"/>
      <c r="AQ76" s="259"/>
      <c r="AR76" s="259" t="s">
        <v>2343</v>
      </c>
      <c r="AS76" s="935"/>
      <c r="AT76" s="259"/>
      <c r="AU76" s="259"/>
      <c r="AV76" s="567"/>
      <c r="AW76" s="567"/>
      <c r="AX76" s="935"/>
      <c r="AY76" s="262"/>
    </row>
    <row r="77" spans="1:51" s="260" customFormat="1" ht="103.5" hidden="1" customHeight="1">
      <c r="A77" s="935"/>
      <c r="B77" s="266"/>
      <c r="C77" s="1399"/>
      <c r="D77" s="1408"/>
      <c r="E77" s="1400"/>
      <c r="F77" s="267"/>
      <c r="G77" s="1399"/>
      <c r="H77" s="1408"/>
      <c r="I77" s="1400"/>
      <c r="J77" s="1380"/>
      <c r="K77" s="1380"/>
      <c r="L77" s="1380"/>
      <c r="M77" s="935"/>
      <c r="N77" s="935"/>
      <c r="O77" s="935"/>
      <c r="P77" s="935"/>
      <c r="Q77" s="266"/>
      <c r="R77" s="266"/>
      <c r="S77" s="268"/>
      <c r="T77" s="269" t="e">
        <f>VLOOKUP(Q77,[71]Listas!$D$6:$E$10,2,0)</f>
        <v>#N/A</v>
      </c>
      <c r="U77" s="269" t="e">
        <f>HLOOKUP(R77,[71]Listas!$F$4:$J$5,2,0)</f>
        <v>#N/A</v>
      </c>
      <c r="V77" s="270" t="e">
        <f>INDEX([71]Listas!$F$6:$J$10,MATCH(Q77,[71]Listas!$D$6:$D$10,0),MATCH(R77,[71]Listas!$F$4:$J$4,0))</f>
        <v>#N/A</v>
      </c>
      <c r="W77" s="268"/>
      <c r="X77" s="1399"/>
      <c r="Y77" s="1408"/>
      <c r="Z77" s="1400"/>
      <c r="AA77" s="1063"/>
      <c r="AB77" s="267"/>
      <c r="AC77" s="259"/>
      <c r="AD77" s="935"/>
      <c r="AE77" s="267"/>
      <c r="AF77" s="268"/>
      <c r="AG77" s="269">
        <f t="shared" si="8"/>
        <v>0</v>
      </c>
      <c r="AH77" s="271" t="e">
        <f t="shared" si="9"/>
        <v>#N/A</v>
      </c>
      <c r="AI77" s="272" t="e">
        <f>IF(AH77&lt;=1,"Remota",VLOOKUP(AH77,[71]Listas!$C$6:$D$10,2,0))</f>
        <v>#N/A</v>
      </c>
      <c r="AJ77" s="271" t="e">
        <f t="shared" si="10"/>
        <v>#N/A</v>
      </c>
      <c r="AK77" s="272" t="e">
        <f>IF(AJ77&lt;=1,"Insignificante",HLOOKUP(AJ77,[71]Listas!$F$3:$J$4,2,0))</f>
        <v>#N/A</v>
      </c>
      <c r="AL77" s="273" t="e">
        <f t="shared" si="11"/>
        <v>#N/A</v>
      </c>
      <c r="AM77" s="270" t="e">
        <f>INDEX([71]Listas!$F$6:$J$10,MATCH(AI77,[71]Listas!$D$6:$D$10,0),MATCH(AK77,[71]Listas!$F$4:$J$4,0))</f>
        <v>#N/A</v>
      </c>
      <c r="AN77" s="259"/>
      <c r="AO77" s="259"/>
      <c r="AP77" s="937"/>
      <c r="AQ77" s="259"/>
      <c r="AR77" s="259" t="s">
        <v>2343</v>
      </c>
      <c r="AS77" s="935"/>
      <c r="AT77" s="259"/>
      <c r="AU77" s="259"/>
      <c r="AV77" s="567"/>
      <c r="AW77" s="567"/>
      <c r="AX77" s="935"/>
      <c r="AY77" s="262"/>
    </row>
    <row r="78" spans="1:51" s="260" customFormat="1" ht="103.5" hidden="1" customHeight="1">
      <c r="A78" s="935"/>
      <c r="B78" s="266"/>
      <c r="C78" s="1399"/>
      <c r="D78" s="1408"/>
      <c r="E78" s="1400"/>
      <c r="F78" s="267"/>
      <c r="G78" s="1399"/>
      <c r="H78" s="1408"/>
      <c r="I78" s="1400"/>
      <c r="J78" s="1380"/>
      <c r="K78" s="1380"/>
      <c r="L78" s="1380"/>
      <c r="M78" s="935"/>
      <c r="N78" s="935"/>
      <c r="O78" s="935"/>
      <c r="P78" s="935"/>
      <c r="Q78" s="266"/>
      <c r="R78" s="266"/>
      <c r="S78" s="268"/>
      <c r="T78" s="269" t="e">
        <f>VLOOKUP(Q78,[71]Listas!$D$6:$E$10,2,0)</f>
        <v>#N/A</v>
      </c>
      <c r="U78" s="269" t="e">
        <f>HLOOKUP(R78,[71]Listas!$F$4:$J$5,2,0)</f>
        <v>#N/A</v>
      </c>
      <c r="V78" s="270" t="e">
        <f>INDEX([71]Listas!$F$6:$J$10,MATCH(Q78,[71]Listas!$D$6:$D$10,0),MATCH(R78,[71]Listas!$F$4:$J$4,0))</f>
        <v>#N/A</v>
      </c>
      <c r="W78" s="268"/>
      <c r="X78" s="1399"/>
      <c r="Y78" s="1408"/>
      <c r="Z78" s="1400"/>
      <c r="AA78" s="1063"/>
      <c r="AB78" s="267"/>
      <c r="AC78" s="259"/>
      <c r="AD78" s="935"/>
      <c r="AE78" s="267"/>
      <c r="AF78" s="268"/>
      <c r="AG78" s="269">
        <f t="shared" si="8"/>
        <v>0</v>
      </c>
      <c r="AH78" s="271" t="e">
        <f t="shared" si="9"/>
        <v>#N/A</v>
      </c>
      <c r="AI78" s="272" t="e">
        <f>IF(AH78&lt;=1,"Remota",VLOOKUP(AH78,[71]Listas!$C$6:$D$10,2,0))</f>
        <v>#N/A</v>
      </c>
      <c r="AJ78" s="271" t="e">
        <f t="shared" si="10"/>
        <v>#N/A</v>
      </c>
      <c r="AK78" s="272" t="e">
        <f>IF(AJ78&lt;=1,"Insignificante",HLOOKUP(AJ78,[71]Listas!$F$3:$J$4,2,0))</f>
        <v>#N/A</v>
      </c>
      <c r="AL78" s="273" t="e">
        <f t="shared" si="11"/>
        <v>#N/A</v>
      </c>
      <c r="AM78" s="270" t="e">
        <f>INDEX([71]Listas!$F$6:$J$10,MATCH(AI78,[71]Listas!$D$6:$D$10,0),MATCH(AK78,[71]Listas!$F$4:$J$4,0))</f>
        <v>#N/A</v>
      </c>
      <c r="AN78" s="259"/>
      <c r="AO78" s="259"/>
      <c r="AP78" s="937"/>
      <c r="AQ78" s="259"/>
      <c r="AR78" s="259" t="s">
        <v>2343</v>
      </c>
      <c r="AS78" s="935"/>
      <c r="AT78" s="259"/>
      <c r="AU78" s="259"/>
      <c r="AV78" s="567"/>
      <c r="AW78" s="567"/>
      <c r="AX78" s="935"/>
      <c r="AY78" s="262"/>
    </row>
    <row r="79" spans="1:51" s="260" customFormat="1" ht="103.5" hidden="1" customHeight="1">
      <c r="A79" s="935"/>
      <c r="B79" s="266"/>
      <c r="C79" s="1399"/>
      <c r="D79" s="1408"/>
      <c r="E79" s="1400"/>
      <c r="F79" s="267"/>
      <c r="G79" s="1399"/>
      <c r="H79" s="1408"/>
      <c r="I79" s="1400"/>
      <c r="J79" s="1380"/>
      <c r="K79" s="1380"/>
      <c r="L79" s="1380"/>
      <c r="M79" s="935"/>
      <c r="N79" s="935"/>
      <c r="O79" s="935"/>
      <c r="P79" s="935"/>
      <c r="Q79" s="266"/>
      <c r="R79" s="266"/>
      <c r="S79" s="268"/>
      <c r="T79" s="269" t="e">
        <f>VLOOKUP(Q79,[71]Listas!$D$6:$E$10,2,0)</f>
        <v>#N/A</v>
      </c>
      <c r="U79" s="269" t="e">
        <f>HLOOKUP(R79,[71]Listas!$F$4:$J$5,2,0)</f>
        <v>#N/A</v>
      </c>
      <c r="V79" s="270" t="e">
        <f>INDEX([71]Listas!$F$6:$J$10,MATCH(Q79,[71]Listas!$D$6:$D$10,0),MATCH(R79,[71]Listas!$F$4:$J$4,0))</f>
        <v>#N/A</v>
      </c>
      <c r="W79" s="268"/>
      <c r="X79" s="1399"/>
      <c r="Y79" s="1408"/>
      <c r="Z79" s="1400"/>
      <c r="AA79" s="1063"/>
      <c r="AB79" s="267"/>
      <c r="AC79" s="259"/>
      <c r="AD79" s="935"/>
      <c r="AE79" s="267"/>
      <c r="AF79" s="268"/>
      <c r="AG79" s="269">
        <f t="shared" si="8"/>
        <v>0</v>
      </c>
      <c r="AH79" s="271" t="e">
        <f t="shared" si="9"/>
        <v>#N/A</v>
      </c>
      <c r="AI79" s="272" t="e">
        <f>IF(AH79&lt;=1,"Remota",VLOOKUP(AH79,[71]Listas!$C$6:$D$10,2,0))</f>
        <v>#N/A</v>
      </c>
      <c r="AJ79" s="271" t="e">
        <f t="shared" si="10"/>
        <v>#N/A</v>
      </c>
      <c r="AK79" s="272" t="e">
        <f>IF(AJ79&lt;=1,"Insignificante",HLOOKUP(AJ79,[71]Listas!$F$3:$J$4,2,0))</f>
        <v>#N/A</v>
      </c>
      <c r="AL79" s="273" t="e">
        <f t="shared" si="11"/>
        <v>#N/A</v>
      </c>
      <c r="AM79" s="270" t="e">
        <f>INDEX([71]Listas!$F$6:$J$10,MATCH(AI79,[71]Listas!$D$6:$D$10,0),MATCH(AK79,[71]Listas!$F$4:$J$4,0))</f>
        <v>#N/A</v>
      </c>
      <c r="AN79" s="259"/>
      <c r="AO79" s="259"/>
      <c r="AP79" s="937"/>
      <c r="AQ79" s="259"/>
      <c r="AR79" s="259" t="s">
        <v>2343</v>
      </c>
      <c r="AS79" s="935"/>
      <c r="AT79" s="259"/>
      <c r="AU79" s="259"/>
      <c r="AV79" s="567"/>
      <c r="AW79" s="567"/>
      <c r="AX79" s="935"/>
      <c r="AY79" s="262"/>
    </row>
    <row r="80" spans="1:51" s="260" customFormat="1" ht="103.5" hidden="1" customHeight="1">
      <c r="A80" s="935"/>
      <c r="B80" s="266"/>
      <c r="C80" s="1399"/>
      <c r="D80" s="1408"/>
      <c r="E80" s="1400"/>
      <c r="F80" s="267"/>
      <c r="G80" s="1399"/>
      <c r="H80" s="1408"/>
      <c r="I80" s="1400"/>
      <c r="J80" s="1380"/>
      <c r="K80" s="1380"/>
      <c r="L80" s="1380"/>
      <c r="M80" s="935"/>
      <c r="N80" s="935"/>
      <c r="O80" s="935"/>
      <c r="P80" s="935"/>
      <c r="Q80" s="266"/>
      <c r="R80" s="266"/>
      <c r="S80" s="268"/>
      <c r="T80" s="269" t="e">
        <f>VLOOKUP(Q80,[71]Listas!$D$6:$E$10,2,0)</f>
        <v>#N/A</v>
      </c>
      <c r="U80" s="269" t="e">
        <f>HLOOKUP(R80,[71]Listas!$F$4:$J$5,2,0)</f>
        <v>#N/A</v>
      </c>
      <c r="V80" s="270" t="e">
        <f>INDEX([71]Listas!$F$6:$J$10,MATCH(Q80,[71]Listas!$D$6:$D$10,0),MATCH(R80,[71]Listas!$F$4:$J$4,0))</f>
        <v>#N/A</v>
      </c>
      <c r="W80" s="268"/>
      <c r="X80" s="1399"/>
      <c r="Y80" s="1408"/>
      <c r="Z80" s="1400"/>
      <c r="AA80" s="1063"/>
      <c r="AB80" s="267"/>
      <c r="AC80" s="259"/>
      <c r="AD80" s="935"/>
      <c r="AE80" s="267"/>
      <c r="AF80" s="268"/>
      <c r="AG80" s="269">
        <f t="shared" si="8"/>
        <v>0</v>
      </c>
      <c r="AH80" s="271" t="e">
        <f t="shared" si="9"/>
        <v>#N/A</v>
      </c>
      <c r="AI80" s="272" t="e">
        <f>IF(AH80&lt;=1,"Remota",VLOOKUP(AH80,[71]Listas!$C$6:$D$10,2,0))</f>
        <v>#N/A</v>
      </c>
      <c r="AJ80" s="271" t="e">
        <f t="shared" si="10"/>
        <v>#N/A</v>
      </c>
      <c r="AK80" s="272" t="e">
        <f>IF(AJ80&lt;=1,"Insignificante",HLOOKUP(AJ80,[71]Listas!$F$3:$J$4,2,0))</f>
        <v>#N/A</v>
      </c>
      <c r="AL80" s="273" t="e">
        <f t="shared" si="11"/>
        <v>#N/A</v>
      </c>
      <c r="AM80" s="270" t="e">
        <f>INDEX([71]Listas!$F$6:$J$10,MATCH(AI80,[71]Listas!$D$6:$D$10,0),MATCH(AK80,[71]Listas!$F$4:$J$4,0))</f>
        <v>#N/A</v>
      </c>
      <c r="AN80" s="259"/>
      <c r="AO80" s="259"/>
      <c r="AP80" s="937"/>
      <c r="AQ80" s="259"/>
      <c r="AR80" s="259" t="s">
        <v>2343</v>
      </c>
      <c r="AS80" s="935"/>
      <c r="AT80" s="259"/>
      <c r="AU80" s="259"/>
      <c r="AV80" s="567"/>
      <c r="AW80" s="567"/>
      <c r="AX80" s="935"/>
      <c r="AY80" s="262"/>
    </row>
    <row r="81" spans="1:51" s="260" customFormat="1" ht="103.5" hidden="1" customHeight="1">
      <c r="A81" s="935"/>
      <c r="B81" s="266"/>
      <c r="C81" s="1399"/>
      <c r="D81" s="1408"/>
      <c r="E81" s="1400"/>
      <c r="F81" s="267"/>
      <c r="G81" s="1399"/>
      <c r="H81" s="1408"/>
      <c r="I81" s="1400"/>
      <c r="J81" s="1380"/>
      <c r="K81" s="1380"/>
      <c r="L81" s="1380"/>
      <c r="M81" s="935"/>
      <c r="N81" s="935"/>
      <c r="O81" s="935"/>
      <c r="P81" s="935"/>
      <c r="Q81" s="266"/>
      <c r="R81" s="266"/>
      <c r="S81" s="268"/>
      <c r="T81" s="269" t="e">
        <f>VLOOKUP(Q81,[71]Listas!$D$6:$E$10,2,0)</f>
        <v>#N/A</v>
      </c>
      <c r="U81" s="269" t="e">
        <f>HLOOKUP(R81,[71]Listas!$F$4:$J$5,2,0)</f>
        <v>#N/A</v>
      </c>
      <c r="V81" s="270" t="e">
        <f>INDEX([71]Listas!$F$6:$J$10,MATCH(Q81,[71]Listas!$D$6:$D$10,0),MATCH(R81,[71]Listas!$F$4:$J$4,0))</f>
        <v>#N/A</v>
      </c>
      <c r="W81" s="268"/>
      <c r="X81" s="1399"/>
      <c r="Y81" s="1408"/>
      <c r="Z81" s="1400"/>
      <c r="AA81" s="1063"/>
      <c r="AB81" s="267"/>
      <c r="AC81" s="259"/>
      <c r="AD81" s="935"/>
      <c r="AE81" s="267"/>
      <c r="AF81" s="268"/>
      <c r="AG81" s="269">
        <f t="shared" si="8"/>
        <v>0</v>
      </c>
      <c r="AH81" s="271" t="e">
        <f t="shared" si="9"/>
        <v>#N/A</v>
      </c>
      <c r="AI81" s="272" t="e">
        <f>IF(AH81&lt;=1,"Remota",VLOOKUP(AH81,[71]Listas!$C$6:$D$10,2,0))</f>
        <v>#N/A</v>
      </c>
      <c r="AJ81" s="271" t="e">
        <f t="shared" si="10"/>
        <v>#N/A</v>
      </c>
      <c r="AK81" s="272" t="e">
        <f>IF(AJ81&lt;=1,"Insignificante",HLOOKUP(AJ81,[71]Listas!$F$3:$J$4,2,0))</f>
        <v>#N/A</v>
      </c>
      <c r="AL81" s="273" t="e">
        <f t="shared" si="11"/>
        <v>#N/A</v>
      </c>
      <c r="AM81" s="270" t="e">
        <f>INDEX([71]Listas!$F$6:$J$10,MATCH(AI81,[71]Listas!$D$6:$D$10,0),MATCH(AK81,[71]Listas!$F$4:$J$4,0))</f>
        <v>#N/A</v>
      </c>
      <c r="AN81" s="259"/>
      <c r="AO81" s="259"/>
      <c r="AP81" s="937"/>
      <c r="AQ81" s="259"/>
      <c r="AR81" s="259" t="s">
        <v>2343</v>
      </c>
      <c r="AS81" s="935"/>
      <c r="AT81" s="259"/>
      <c r="AU81" s="259"/>
      <c r="AV81" s="567"/>
      <c r="AW81" s="567"/>
      <c r="AX81" s="935"/>
      <c r="AY81" s="262"/>
    </row>
    <row r="82" spans="1:51" s="260" customFormat="1" ht="103.5" hidden="1" customHeight="1">
      <c r="A82" s="935"/>
      <c r="B82" s="266"/>
      <c r="C82" s="1399"/>
      <c r="D82" s="1408"/>
      <c r="E82" s="1400"/>
      <c r="F82" s="267"/>
      <c r="G82" s="1399"/>
      <c r="H82" s="1408"/>
      <c r="I82" s="1400"/>
      <c r="J82" s="1380"/>
      <c r="K82" s="1380"/>
      <c r="L82" s="1380"/>
      <c r="M82" s="935"/>
      <c r="N82" s="935"/>
      <c r="O82" s="935"/>
      <c r="P82" s="935"/>
      <c r="Q82" s="266"/>
      <c r="R82" s="266"/>
      <c r="S82" s="268"/>
      <c r="T82" s="269" t="e">
        <f>VLOOKUP(Q82,[71]Listas!$D$6:$E$10,2,0)</f>
        <v>#N/A</v>
      </c>
      <c r="U82" s="269" t="e">
        <f>HLOOKUP(R82,[71]Listas!$F$4:$J$5,2,0)</f>
        <v>#N/A</v>
      </c>
      <c r="V82" s="270" t="e">
        <f>INDEX([71]Listas!$F$6:$J$10,MATCH(Q82,[71]Listas!$D$6:$D$10,0),MATCH(R82,[71]Listas!$F$4:$J$4,0))</f>
        <v>#N/A</v>
      </c>
      <c r="W82" s="268"/>
      <c r="X82" s="1399"/>
      <c r="Y82" s="1408"/>
      <c r="Z82" s="1400"/>
      <c r="AA82" s="1063"/>
      <c r="AB82" s="267"/>
      <c r="AC82" s="259"/>
      <c r="AD82" s="935"/>
      <c r="AE82" s="267"/>
      <c r="AF82" s="268"/>
      <c r="AG82" s="269">
        <f t="shared" si="8"/>
        <v>0</v>
      </c>
      <c r="AH82" s="271" t="e">
        <f t="shared" si="9"/>
        <v>#N/A</v>
      </c>
      <c r="AI82" s="272" t="e">
        <f>IF(AH82&lt;=1,"Remota",VLOOKUP(AH82,[71]Listas!$C$6:$D$10,2,0))</f>
        <v>#N/A</v>
      </c>
      <c r="AJ82" s="271" t="e">
        <f t="shared" si="10"/>
        <v>#N/A</v>
      </c>
      <c r="AK82" s="272" t="e">
        <f>IF(AJ82&lt;=1,"Insignificante",HLOOKUP(AJ82,[71]Listas!$F$3:$J$4,2,0))</f>
        <v>#N/A</v>
      </c>
      <c r="AL82" s="273" t="e">
        <f t="shared" si="11"/>
        <v>#N/A</v>
      </c>
      <c r="AM82" s="270" t="e">
        <f>INDEX([71]Listas!$F$6:$J$10,MATCH(AI82,[71]Listas!$D$6:$D$10,0),MATCH(AK82,[71]Listas!$F$4:$J$4,0))</f>
        <v>#N/A</v>
      </c>
      <c r="AN82" s="259"/>
      <c r="AO82" s="259"/>
      <c r="AP82" s="937"/>
      <c r="AQ82" s="259"/>
      <c r="AR82" s="259" t="s">
        <v>2343</v>
      </c>
      <c r="AS82" s="935"/>
      <c r="AT82" s="259"/>
      <c r="AU82" s="259"/>
      <c r="AV82" s="567"/>
      <c r="AW82" s="567"/>
      <c r="AX82" s="935"/>
      <c r="AY82" s="262"/>
    </row>
    <row r="83" spans="1:51" s="260" customFormat="1" ht="103.5" hidden="1" customHeight="1">
      <c r="A83" s="935"/>
      <c r="B83" s="266"/>
      <c r="C83" s="1399"/>
      <c r="D83" s="1408"/>
      <c r="E83" s="1400"/>
      <c r="F83" s="267"/>
      <c r="G83" s="1399"/>
      <c r="H83" s="1408"/>
      <c r="I83" s="1400"/>
      <c r="J83" s="1380"/>
      <c r="K83" s="1380"/>
      <c r="L83" s="1380"/>
      <c r="M83" s="935"/>
      <c r="N83" s="935"/>
      <c r="O83" s="935"/>
      <c r="P83" s="935"/>
      <c r="Q83" s="266"/>
      <c r="R83" s="266"/>
      <c r="S83" s="268"/>
      <c r="T83" s="269" t="e">
        <f>VLOOKUP(Q83,[71]Listas!$D$6:$E$10,2,0)</f>
        <v>#N/A</v>
      </c>
      <c r="U83" s="269" t="e">
        <f>HLOOKUP(R83,[71]Listas!$F$4:$J$5,2,0)</f>
        <v>#N/A</v>
      </c>
      <c r="V83" s="270" t="e">
        <f>INDEX([71]Listas!$F$6:$J$10,MATCH(Q83,[71]Listas!$D$6:$D$10,0),MATCH(R83,[71]Listas!$F$4:$J$4,0))</f>
        <v>#N/A</v>
      </c>
      <c r="W83" s="268"/>
      <c r="X83" s="1399"/>
      <c r="Y83" s="1408"/>
      <c r="Z83" s="1400"/>
      <c r="AA83" s="1063"/>
      <c r="AB83" s="267"/>
      <c r="AC83" s="259"/>
      <c r="AD83" s="935"/>
      <c r="AE83" s="267"/>
      <c r="AF83" s="268"/>
      <c r="AG83" s="269">
        <f t="shared" si="8"/>
        <v>0</v>
      </c>
      <c r="AH83" s="271" t="e">
        <f t="shared" si="9"/>
        <v>#N/A</v>
      </c>
      <c r="AI83" s="272" t="e">
        <f>IF(AH83&lt;=1,"Remota",VLOOKUP(AH83,[71]Listas!$C$6:$D$10,2,0))</f>
        <v>#N/A</v>
      </c>
      <c r="AJ83" s="271" t="e">
        <f t="shared" si="10"/>
        <v>#N/A</v>
      </c>
      <c r="AK83" s="272" t="e">
        <f>IF(AJ83&lt;=1,"Insignificante",HLOOKUP(AJ83,[71]Listas!$F$3:$J$4,2,0))</f>
        <v>#N/A</v>
      </c>
      <c r="AL83" s="273" t="e">
        <f t="shared" si="11"/>
        <v>#N/A</v>
      </c>
      <c r="AM83" s="270" t="e">
        <f>INDEX([71]Listas!$F$6:$J$10,MATCH(AI83,[71]Listas!$D$6:$D$10,0),MATCH(AK83,[71]Listas!$F$4:$J$4,0))</f>
        <v>#N/A</v>
      </c>
      <c r="AN83" s="259"/>
      <c r="AO83" s="259"/>
      <c r="AP83" s="937"/>
      <c r="AQ83" s="259"/>
      <c r="AR83" s="259" t="s">
        <v>2343</v>
      </c>
      <c r="AS83" s="935"/>
      <c r="AT83" s="259"/>
      <c r="AU83" s="259"/>
      <c r="AV83" s="567"/>
      <c r="AW83" s="567"/>
      <c r="AX83" s="935"/>
      <c r="AY83" s="262"/>
    </row>
    <row r="84" spans="1:51" s="260" customFormat="1" ht="103.5" hidden="1" customHeight="1">
      <c r="A84" s="935"/>
      <c r="B84" s="266"/>
      <c r="C84" s="1399"/>
      <c r="D84" s="1408"/>
      <c r="E84" s="1400"/>
      <c r="F84" s="267"/>
      <c r="G84" s="1399"/>
      <c r="H84" s="1408"/>
      <c r="I84" s="1400"/>
      <c r="J84" s="1380"/>
      <c r="K84" s="1380"/>
      <c r="L84" s="1380"/>
      <c r="M84" s="935"/>
      <c r="N84" s="935"/>
      <c r="O84" s="935"/>
      <c r="P84" s="935"/>
      <c r="Q84" s="266"/>
      <c r="R84" s="266"/>
      <c r="S84" s="268"/>
      <c r="T84" s="269" t="e">
        <f>VLOOKUP(Q84,[71]Listas!$D$6:$E$10,2,0)</f>
        <v>#N/A</v>
      </c>
      <c r="U84" s="269" t="e">
        <f>HLOOKUP(R84,[71]Listas!$F$4:$J$5,2,0)</f>
        <v>#N/A</v>
      </c>
      <c r="V84" s="270" t="e">
        <f>INDEX([71]Listas!$F$6:$J$10,MATCH(Q84,[71]Listas!$D$6:$D$10,0),MATCH(R84,[71]Listas!$F$4:$J$4,0))</f>
        <v>#N/A</v>
      </c>
      <c r="W84" s="268"/>
      <c r="X84" s="1399"/>
      <c r="Y84" s="1408"/>
      <c r="Z84" s="1400"/>
      <c r="AA84" s="1063"/>
      <c r="AB84" s="267"/>
      <c r="AC84" s="259"/>
      <c r="AD84" s="935"/>
      <c r="AE84" s="267"/>
      <c r="AF84" s="268"/>
      <c r="AG84" s="269">
        <f t="shared" si="8"/>
        <v>0</v>
      </c>
      <c r="AH84" s="271" t="e">
        <f t="shared" si="9"/>
        <v>#N/A</v>
      </c>
      <c r="AI84" s="272" t="e">
        <f>IF(AH84&lt;=1,"Remota",VLOOKUP(AH84,[71]Listas!$C$6:$D$10,2,0))</f>
        <v>#N/A</v>
      </c>
      <c r="AJ84" s="271" t="e">
        <f t="shared" si="10"/>
        <v>#N/A</v>
      </c>
      <c r="AK84" s="272" t="e">
        <f>IF(AJ84&lt;=1,"Insignificante",HLOOKUP(AJ84,[71]Listas!$F$3:$J$4,2,0))</f>
        <v>#N/A</v>
      </c>
      <c r="AL84" s="273" t="e">
        <f t="shared" si="11"/>
        <v>#N/A</v>
      </c>
      <c r="AM84" s="270" t="e">
        <f>INDEX([71]Listas!$F$6:$J$10,MATCH(AI84,[71]Listas!$D$6:$D$10,0),MATCH(AK84,[71]Listas!$F$4:$J$4,0))</f>
        <v>#N/A</v>
      </c>
      <c r="AN84" s="259"/>
      <c r="AO84" s="259"/>
      <c r="AP84" s="937"/>
      <c r="AQ84" s="259"/>
      <c r="AR84" s="259" t="s">
        <v>2343</v>
      </c>
      <c r="AS84" s="935"/>
      <c r="AT84" s="259"/>
      <c r="AU84" s="259"/>
      <c r="AV84" s="567"/>
      <c r="AW84" s="567"/>
      <c r="AX84" s="935"/>
      <c r="AY84" s="262"/>
    </row>
    <row r="85" spans="1:51" s="260" customFormat="1" ht="103.5" hidden="1" customHeight="1">
      <c r="A85" s="935"/>
      <c r="B85" s="266"/>
      <c r="C85" s="1399"/>
      <c r="D85" s="1408"/>
      <c r="E85" s="1400"/>
      <c r="F85" s="267"/>
      <c r="G85" s="1399"/>
      <c r="H85" s="1408"/>
      <c r="I85" s="1400"/>
      <c r="J85" s="1380"/>
      <c r="K85" s="1380"/>
      <c r="L85" s="1380"/>
      <c r="M85" s="935"/>
      <c r="N85" s="935"/>
      <c r="O85" s="935"/>
      <c r="P85" s="935"/>
      <c r="Q85" s="266"/>
      <c r="R85" s="266"/>
      <c r="S85" s="268"/>
      <c r="T85" s="269" t="e">
        <f>VLOOKUP(Q85,[71]Listas!$D$6:$E$10,2,0)</f>
        <v>#N/A</v>
      </c>
      <c r="U85" s="269" t="e">
        <f>HLOOKUP(R85,[71]Listas!$F$4:$J$5,2,0)</f>
        <v>#N/A</v>
      </c>
      <c r="V85" s="270" t="e">
        <f>INDEX([71]Listas!$F$6:$J$10,MATCH(Q85,[71]Listas!$D$6:$D$10,0),MATCH(R85,[71]Listas!$F$4:$J$4,0))</f>
        <v>#N/A</v>
      </c>
      <c r="W85" s="268"/>
      <c r="X85" s="1399"/>
      <c r="Y85" s="1408"/>
      <c r="Z85" s="1400"/>
      <c r="AA85" s="1063"/>
      <c r="AB85" s="267"/>
      <c r="AC85" s="259"/>
      <c r="AD85" s="935"/>
      <c r="AE85" s="267"/>
      <c r="AF85" s="268"/>
      <c r="AG85" s="269">
        <f t="shared" si="8"/>
        <v>0</v>
      </c>
      <c r="AH85" s="271" t="e">
        <f t="shared" si="9"/>
        <v>#N/A</v>
      </c>
      <c r="AI85" s="272" t="e">
        <f>IF(AH85&lt;=1,"Remota",VLOOKUP(AH85,[71]Listas!$C$6:$D$10,2,0))</f>
        <v>#N/A</v>
      </c>
      <c r="AJ85" s="271" t="e">
        <f t="shared" si="10"/>
        <v>#N/A</v>
      </c>
      <c r="AK85" s="272" t="e">
        <f>IF(AJ85&lt;=1,"Insignificante",HLOOKUP(AJ85,[71]Listas!$F$3:$J$4,2,0))</f>
        <v>#N/A</v>
      </c>
      <c r="AL85" s="273" t="e">
        <f t="shared" si="11"/>
        <v>#N/A</v>
      </c>
      <c r="AM85" s="270" t="e">
        <f>INDEX([71]Listas!$F$6:$J$10,MATCH(AI85,[71]Listas!$D$6:$D$10,0),MATCH(AK85,[71]Listas!$F$4:$J$4,0))</f>
        <v>#N/A</v>
      </c>
      <c r="AN85" s="259"/>
      <c r="AO85" s="259"/>
      <c r="AP85" s="937"/>
      <c r="AQ85" s="259"/>
      <c r="AR85" s="259" t="s">
        <v>2343</v>
      </c>
      <c r="AS85" s="935"/>
      <c r="AT85" s="259"/>
      <c r="AU85" s="259"/>
      <c r="AV85" s="567"/>
      <c r="AW85" s="567"/>
      <c r="AX85" s="935"/>
      <c r="AY85" s="262"/>
    </row>
    <row r="86" spans="1:51" s="260" customFormat="1" ht="103.5" hidden="1" customHeight="1">
      <c r="A86" s="935"/>
      <c r="B86" s="266"/>
      <c r="C86" s="1399"/>
      <c r="D86" s="1408"/>
      <c r="E86" s="1400"/>
      <c r="F86" s="267"/>
      <c r="G86" s="1399"/>
      <c r="H86" s="1408"/>
      <c r="I86" s="1400"/>
      <c r="J86" s="1380"/>
      <c r="K86" s="1380"/>
      <c r="L86" s="1380"/>
      <c r="M86" s="935"/>
      <c r="N86" s="935"/>
      <c r="O86" s="935"/>
      <c r="P86" s="935"/>
      <c r="Q86" s="266"/>
      <c r="R86" s="266"/>
      <c r="S86" s="268"/>
      <c r="T86" s="269" t="e">
        <f>VLOOKUP(Q86,[71]Listas!$D$6:$E$10,2,0)</f>
        <v>#N/A</v>
      </c>
      <c r="U86" s="269" t="e">
        <f>HLOOKUP(R86,[71]Listas!$F$4:$J$5,2,0)</f>
        <v>#N/A</v>
      </c>
      <c r="V86" s="270" t="e">
        <f>INDEX([71]Listas!$F$6:$J$10,MATCH(Q86,[71]Listas!$D$6:$D$10,0),MATCH(R86,[71]Listas!$F$4:$J$4,0))</f>
        <v>#N/A</v>
      </c>
      <c r="W86" s="268"/>
      <c r="X86" s="1399"/>
      <c r="Y86" s="1408"/>
      <c r="Z86" s="1400"/>
      <c r="AA86" s="1063"/>
      <c r="AB86" s="267"/>
      <c r="AC86" s="259"/>
      <c r="AD86" s="935"/>
      <c r="AE86" s="267"/>
      <c r="AF86" s="268"/>
      <c r="AG86" s="269">
        <f t="shared" si="8"/>
        <v>0</v>
      </c>
      <c r="AH86" s="271" t="e">
        <f t="shared" si="9"/>
        <v>#N/A</v>
      </c>
      <c r="AI86" s="272" t="e">
        <f>IF(AH86&lt;=1,"Remota",VLOOKUP(AH86,[71]Listas!$C$6:$D$10,2,0))</f>
        <v>#N/A</v>
      </c>
      <c r="AJ86" s="271" t="e">
        <f t="shared" si="10"/>
        <v>#N/A</v>
      </c>
      <c r="AK86" s="272" t="e">
        <f>IF(AJ86&lt;=1,"Insignificante",HLOOKUP(AJ86,[71]Listas!$F$3:$J$4,2,0))</f>
        <v>#N/A</v>
      </c>
      <c r="AL86" s="273" t="e">
        <f t="shared" si="11"/>
        <v>#N/A</v>
      </c>
      <c r="AM86" s="270" t="e">
        <f>INDEX([71]Listas!$F$6:$J$10,MATCH(AI86,[71]Listas!$D$6:$D$10,0),MATCH(AK86,[71]Listas!$F$4:$J$4,0))</f>
        <v>#N/A</v>
      </c>
      <c r="AN86" s="259"/>
      <c r="AO86" s="259"/>
      <c r="AP86" s="937"/>
      <c r="AQ86" s="259"/>
      <c r="AR86" s="259" t="s">
        <v>2343</v>
      </c>
      <c r="AS86" s="935"/>
      <c r="AT86" s="259"/>
      <c r="AU86" s="259"/>
      <c r="AV86" s="567"/>
      <c r="AW86" s="567"/>
      <c r="AX86" s="935"/>
      <c r="AY86" s="262"/>
    </row>
    <row r="87" spans="1:51" s="260" customFormat="1" ht="103.5" hidden="1" customHeight="1">
      <c r="A87" s="935"/>
      <c r="B87" s="266"/>
      <c r="C87" s="1399"/>
      <c r="D87" s="1408"/>
      <c r="E87" s="1400"/>
      <c r="F87" s="267"/>
      <c r="G87" s="1399"/>
      <c r="H87" s="1408"/>
      <c r="I87" s="1400"/>
      <c r="J87" s="1380"/>
      <c r="K87" s="1380"/>
      <c r="L87" s="1380"/>
      <c r="M87" s="935"/>
      <c r="N87" s="935"/>
      <c r="O87" s="935"/>
      <c r="P87" s="935"/>
      <c r="Q87" s="266"/>
      <c r="R87" s="266"/>
      <c r="S87" s="268"/>
      <c r="T87" s="269" t="e">
        <f>VLOOKUP(Q87,[71]Listas!$D$6:$E$10,2,0)</f>
        <v>#N/A</v>
      </c>
      <c r="U87" s="269" t="e">
        <f>HLOOKUP(R87,[71]Listas!$F$4:$J$5,2,0)</f>
        <v>#N/A</v>
      </c>
      <c r="V87" s="270" t="e">
        <f>INDEX([71]Listas!$F$6:$J$10,MATCH(Q87,[71]Listas!$D$6:$D$10,0),MATCH(R87,[71]Listas!$F$4:$J$4,0))</f>
        <v>#N/A</v>
      </c>
      <c r="W87" s="268"/>
      <c r="X87" s="1399"/>
      <c r="Y87" s="1408"/>
      <c r="Z87" s="1400"/>
      <c r="AA87" s="1063"/>
      <c r="AB87" s="267"/>
      <c r="AC87" s="259"/>
      <c r="AD87" s="935"/>
      <c r="AE87" s="267"/>
      <c r="AF87" s="268"/>
      <c r="AG87" s="269">
        <f t="shared" si="8"/>
        <v>0</v>
      </c>
      <c r="AH87" s="271" t="e">
        <f t="shared" si="9"/>
        <v>#N/A</v>
      </c>
      <c r="AI87" s="272" t="e">
        <f>IF(AH87&lt;=1,"Remota",VLOOKUP(AH87,[71]Listas!$C$6:$D$10,2,0))</f>
        <v>#N/A</v>
      </c>
      <c r="AJ87" s="271" t="e">
        <f t="shared" si="10"/>
        <v>#N/A</v>
      </c>
      <c r="AK87" s="272" t="e">
        <f>IF(AJ87&lt;=1,"Insignificante",HLOOKUP(AJ87,[71]Listas!$F$3:$J$4,2,0))</f>
        <v>#N/A</v>
      </c>
      <c r="AL87" s="273" t="e">
        <f t="shared" si="11"/>
        <v>#N/A</v>
      </c>
      <c r="AM87" s="270" t="e">
        <f>INDEX([71]Listas!$F$6:$J$10,MATCH(AI87,[71]Listas!$D$6:$D$10,0),MATCH(AK87,[71]Listas!$F$4:$J$4,0))</f>
        <v>#N/A</v>
      </c>
      <c r="AN87" s="259"/>
      <c r="AO87" s="259"/>
      <c r="AP87" s="937"/>
      <c r="AQ87" s="259"/>
      <c r="AR87" s="259" t="s">
        <v>2343</v>
      </c>
      <c r="AS87" s="935"/>
      <c r="AT87" s="259"/>
      <c r="AU87" s="259"/>
      <c r="AV87" s="567"/>
      <c r="AW87" s="567"/>
      <c r="AX87" s="935"/>
      <c r="AY87" s="262"/>
    </row>
    <row r="88" spans="1:51" s="260" customFormat="1" ht="103.5" hidden="1" customHeight="1">
      <c r="A88" s="935"/>
      <c r="B88" s="266"/>
      <c r="C88" s="1399"/>
      <c r="D88" s="1408"/>
      <c r="E88" s="1400"/>
      <c r="F88" s="267"/>
      <c r="G88" s="1399"/>
      <c r="H88" s="1408"/>
      <c r="I88" s="1400"/>
      <c r="J88" s="1380"/>
      <c r="K88" s="1380"/>
      <c r="L88" s="1380"/>
      <c r="M88" s="935"/>
      <c r="N88" s="935"/>
      <c r="O88" s="935"/>
      <c r="P88" s="935"/>
      <c r="Q88" s="266"/>
      <c r="R88" s="266"/>
      <c r="S88" s="268"/>
      <c r="T88" s="269" t="e">
        <f>VLOOKUP(Q88,[71]Listas!$D$6:$E$10,2,0)</f>
        <v>#N/A</v>
      </c>
      <c r="U88" s="269" t="e">
        <f>HLOOKUP(R88,[71]Listas!$F$4:$J$5,2,0)</f>
        <v>#N/A</v>
      </c>
      <c r="V88" s="270" t="e">
        <f>INDEX([71]Listas!$F$6:$J$10,MATCH(Q88,[71]Listas!$D$6:$D$10,0),MATCH(R88,[71]Listas!$F$4:$J$4,0))</f>
        <v>#N/A</v>
      </c>
      <c r="W88" s="268"/>
      <c r="X88" s="1399"/>
      <c r="Y88" s="1408"/>
      <c r="Z88" s="1400"/>
      <c r="AA88" s="1063"/>
      <c r="AB88" s="267"/>
      <c r="AC88" s="259"/>
      <c r="AD88" s="935"/>
      <c r="AE88" s="267"/>
      <c r="AF88" s="268"/>
      <c r="AG88" s="269">
        <f t="shared" si="8"/>
        <v>0</v>
      </c>
      <c r="AH88" s="271" t="e">
        <f t="shared" si="9"/>
        <v>#N/A</v>
      </c>
      <c r="AI88" s="272" t="e">
        <f>IF(AH88&lt;=1,"Remota",VLOOKUP(AH88,[71]Listas!$C$6:$D$10,2,0))</f>
        <v>#N/A</v>
      </c>
      <c r="AJ88" s="271" t="e">
        <f t="shared" si="10"/>
        <v>#N/A</v>
      </c>
      <c r="AK88" s="272" t="e">
        <f>IF(AJ88&lt;=1,"Insignificante",HLOOKUP(AJ88,[71]Listas!$F$3:$J$4,2,0))</f>
        <v>#N/A</v>
      </c>
      <c r="AL88" s="273" t="e">
        <f t="shared" si="11"/>
        <v>#N/A</v>
      </c>
      <c r="AM88" s="270" t="e">
        <f>INDEX([71]Listas!$F$6:$J$10,MATCH(AI88,[71]Listas!$D$6:$D$10,0),MATCH(AK88,[71]Listas!$F$4:$J$4,0))</f>
        <v>#N/A</v>
      </c>
      <c r="AN88" s="259"/>
      <c r="AO88" s="259"/>
      <c r="AP88" s="937"/>
      <c r="AQ88" s="259"/>
      <c r="AR88" s="259" t="s">
        <v>2343</v>
      </c>
      <c r="AS88" s="935"/>
      <c r="AT88" s="259"/>
      <c r="AU88" s="259"/>
      <c r="AV88" s="567"/>
      <c r="AW88" s="567"/>
      <c r="AX88" s="935"/>
      <c r="AY88" s="262"/>
    </row>
    <row r="89" spans="1:51" s="260" customFormat="1" ht="103.5" hidden="1" customHeight="1">
      <c r="A89" s="935"/>
      <c r="B89" s="266"/>
      <c r="C89" s="1399"/>
      <c r="D89" s="1408"/>
      <c r="E89" s="1400"/>
      <c r="F89" s="267"/>
      <c r="G89" s="1399"/>
      <c r="H89" s="1408"/>
      <c r="I89" s="1400"/>
      <c r="J89" s="1380"/>
      <c r="K89" s="1380"/>
      <c r="L89" s="1380"/>
      <c r="M89" s="935"/>
      <c r="N89" s="935"/>
      <c r="O89" s="935"/>
      <c r="P89" s="935"/>
      <c r="Q89" s="266"/>
      <c r="R89" s="266"/>
      <c r="S89" s="268"/>
      <c r="T89" s="269" t="e">
        <f>VLOOKUP(Q89,[71]Listas!$D$6:$E$10,2,0)</f>
        <v>#N/A</v>
      </c>
      <c r="U89" s="269" t="e">
        <f>HLOOKUP(R89,[71]Listas!$F$4:$J$5,2,0)</f>
        <v>#N/A</v>
      </c>
      <c r="V89" s="270" t="e">
        <f>INDEX([71]Listas!$F$6:$J$10,MATCH(Q89,[71]Listas!$D$6:$D$10,0),MATCH(R89,[71]Listas!$F$4:$J$4,0))</f>
        <v>#N/A</v>
      </c>
      <c r="W89" s="268"/>
      <c r="X89" s="1399"/>
      <c r="Y89" s="1408"/>
      <c r="Z89" s="1400"/>
      <c r="AA89" s="1063"/>
      <c r="AB89" s="267"/>
      <c r="AC89" s="259"/>
      <c r="AD89" s="935"/>
      <c r="AE89" s="267"/>
      <c r="AF89" s="268"/>
      <c r="AG89" s="269">
        <f t="shared" si="8"/>
        <v>0</v>
      </c>
      <c r="AH89" s="271" t="e">
        <f t="shared" si="9"/>
        <v>#N/A</v>
      </c>
      <c r="AI89" s="272" t="e">
        <f>IF(AH89&lt;=1,"Remota",VLOOKUP(AH89,[71]Listas!$C$6:$D$10,2,0))</f>
        <v>#N/A</v>
      </c>
      <c r="AJ89" s="271" t="e">
        <f t="shared" si="10"/>
        <v>#N/A</v>
      </c>
      <c r="AK89" s="272" t="e">
        <f>IF(AJ89&lt;=1,"Insignificante",HLOOKUP(AJ89,[71]Listas!$F$3:$J$4,2,0))</f>
        <v>#N/A</v>
      </c>
      <c r="AL89" s="273" t="e">
        <f t="shared" si="11"/>
        <v>#N/A</v>
      </c>
      <c r="AM89" s="270" t="e">
        <f>INDEX([71]Listas!$F$6:$J$10,MATCH(AI89,[71]Listas!$D$6:$D$10,0),MATCH(AK89,[71]Listas!$F$4:$J$4,0))</f>
        <v>#N/A</v>
      </c>
      <c r="AN89" s="259"/>
      <c r="AO89" s="259"/>
      <c r="AP89" s="937"/>
      <c r="AQ89" s="259"/>
      <c r="AR89" s="259" t="s">
        <v>2343</v>
      </c>
      <c r="AS89" s="935"/>
      <c r="AT89" s="259"/>
      <c r="AU89" s="259"/>
      <c r="AV89" s="567"/>
      <c r="AW89" s="567"/>
      <c r="AX89" s="935"/>
      <c r="AY89" s="262"/>
    </row>
    <row r="90" spans="1:51" s="260" customFormat="1" ht="103.5" hidden="1" customHeight="1">
      <c r="A90" s="935"/>
      <c r="B90" s="266"/>
      <c r="C90" s="1399"/>
      <c r="D90" s="1408"/>
      <c r="E90" s="1400"/>
      <c r="F90" s="267"/>
      <c r="G90" s="1399"/>
      <c r="H90" s="1408"/>
      <c r="I90" s="1400"/>
      <c r="J90" s="1380"/>
      <c r="K90" s="1380"/>
      <c r="L90" s="1380"/>
      <c r="M90" s="935"/>
      <c r="N90" s="935"/>
      <c r="O90" s="935"/>
      <c r="P90" s="935"/>
      <c r="Q90" s="266"/>
      <c r="R90" s="266"/>
      <c r="S90" s="268"/>
      <c r="T90" s="269" t="e">
        <f>VLOOKUP(Q90,[71]Listas!$D$6:$E$10,2,0)</f>
        <v>#N/A</v>
      </c>
      <c r="U90" s="269" t="e">
        <f>HLOOKUP(R90,[71]Listas!$F$4:$J$5,2,0)</f>
        <v>#N/A</v>
      </c>
      <c r="V90" s="270" t="e">
        <f>INDEX([71]Listas!$F$6:$J$10,MATCH(Q90,[71]Listas!$D$6:$D$10,0),MATCH(R90,[71]Listas!$F$4:$J$4,0))</f>
        <v>#N/A</v>
      </c>
      <c r="W90" s="268"/>
      <c r="X90" s="1399"/>
      <c r="Y90" s="1408"/>
      <c r="Z90" s="1400"/>
      <c r="AA90" s="1063"/>
      <c r="AB90" s="267"/>
      <c r="AC90" s="259"/>
      <c r="AD90" s="935"/>
      <c r="AE90" s="267"/>
      <c r="AF90" s="268"/>
      <c r="AG90" s="269">
        <f t="shared" si="8"/>
        <v>0</v>
      </c>
      <c r="AH90" s="271" t="e">
        <f t="shared" si="9"/>
        <v>#N/A</v>
      </c>
      <c r="AI90" s="272" t="e">
        <f>IF(AH90&lt;=1,"Remota",VLOOKUP(AH90,[71]Listas!$C$6:$D$10,2,0))</f>
        <v>#N/A</v>
      </c>
      <c r="AJ90" s="271" t="e">
        <f t="shared" si="10"/>
        <v>#N/A</v>
      </c>
      <c r="AK90" s="272" t="e">
        <f>IF(AJ90&lt;=1,"Insignificante",HLOOKUP(AJ90,[71]Listas!$F$3:$J$4,2,0))</f>
        <v>#N/A</v>
      </c>
      <c r="AL90" s="273" t="e">
        <f t="shared" si="11"/>
        <v>#N/A</v>
      </c>
      <c r="AM90" s="270" t="e">
        <f>INDEX([71]Listas!$F$6:$J$10,MATCH(AI90,[71]Listas!$D$6:$D$10,0),MATCH(AK90,[71]Listas!$F$4:$J$4,0))</f>
        <v>#N/A</v>
      </c>
      <c r="AN90" s="259"/>
      <c r="AO90" s="259"/>
      <c r="AP90" s="937"/>
      <c r="AQ90" s="259"/>
      <c r="AR90" s="259" t="s">
        <v>2343</v>
      </c>
      <c r="AS90" s="935"/>
      <c r="AT90" s="259"/>
      <c r="AU90" s="259"/>
      <c r="AV90" s="567"/>
      <c r="AW90" s="567"/>
      <c r="AX90" s="935"/>
      <c r="AY90" s="262"/>
    </row>
    <row r="91" spans="1:51" s="260" customFormat="1" ht="103.5" hidden="1" customHeight="1">
      <c r="A91" s="935"/>
      <c r="B91" s="266"/>
      <c r="C91" s="1399"/>
      <c r="D91" s="1408"/>
      <c r="E91" s="1400"/>
      <c r="F91" s="267"/>
      <c r="G91" s="1399"/>
      <c r="H91" s="1408"/>
      <c r="I91" s="1400"/>
      <c r="J91" s="1380"/>
      <c r="K91" s="1380"/>
      <c r="L91" s="1380"/>
      <c r="M91" s="935"/>
      <c r="N91" s="935"/>
      <c r="O91" s="935"/>
      <c r="P91" s="935"/>
      <c r="Q91" s="266"/>
      <c r="R91" s="266"/>
      <c r="S91" s="268"/>
      <c r="T91" s="269" t="e">
        <f>VLOOKUP(Q91,[71]Listas!$D$6:$E$10,2,0)</f>
        <v>#N/A</v>
      </c>
      <c r="U91" s="269" t="e">
        <f>HLOOKUP(R91,[71]Listas!$F$4:$J$5,2,0)</f>
        <v>#N/A</v>
      </c>
      <c r="V91" s="270" t="e">
        <f>INDEX([71]Listas!$F$6:$J$10,MATCH(Q91,[71]Listas!$D$6:$D$10,0),MATCH(R91,[71]Listas!$F$4:$J$4,0))</f>
        <v>#N/A</v>
      </c>
      <c r="W91" s="268"/>
      <c r="X91" s="1399"/>
      <c r="Y91" s="1408"/>
      <c r="Z91" s="1400"/>
      <c r="AA91" s="1063"/>
      <c r="AB91" s="267"/>
      <c r="AC91" s="259"/>
      <c r="AD91" s="935"/>
      <c r="AE91" s="267"/>
      <c r="AF91" s="268"/>
      <c r="AG91" s="269">
        <f t="shared" si="8"/>
        <v>0</v>
      </c>
      <c r="AH91" s="271" t="e">
        <f t="shared" si="9"/>
        <v>#N/A</v>
      </c>
      <c r="AI91" s="272" t="e">
        <f>IF(AH91&lt;=1,"Remota",VLOOKUP(AH91,[71]Listas!$C$6:$D$10,2,0))</f>
        <v>#N/A</v>
      </c>
      <c r="AJ91" s="271" t="e">
        <f t="shared" si="10"/>
        <v>#N/A</v>
      </c>
      <c r="AK91" s="272" t="e">
        <f>IF(AJ91&lt;=1,"Insignificante",HLOOKUP(AJ91,[71]Listas!$F$3:$J$4,2,0))</f>
        <v>#N/A</v>
      </c>
      <c r="AL91" s="273" t="e">
        <f t="shared" si="11"/>
        <v>#N/A</v>
      </c>
      <c r="AM91" s="270" t="e">
        <f>INDEX([71]Listas!$F$6:$J$10,MATCH(AI91,[71]Listas!$D$6:$D$10,0),MATCH(AK91,[71]Listas!$F$4:$J$4,0))</f>
        <v>#N/A</v>
      </c>
      <c r="AN91" s="259"/>
      <c r="AO91" s="259"/>
      <c r="AP91" s="937"/>
      <c r="AQ91" s="259"/>
      <c r="AR91" s="259" t="s">
        <v>2343</v>
      </c>
      <c r="AS91" s="935"/>
      <c r="AT91" s="259"/>
      <c r="AU91" s="259"/>
      <c r="AV91" s="567"/>
      <c r="AW91" s="567"/>
      <c r="AX91" s="935"/>
      <c r="AY91" s="262"/>
    </row>
    <row r="92" spans="1:51" s="260" customFormat="1" ht="103.5" hidden="1" customHeight="1">
      <c r="A92" s="935"/>
      <c r="B92" s="266"/>
      <c r="C92" s="1399"/>
      <c r="D92" s="1408"/>
      <c r="E92" s="1400"/>
      <c r="F92" s="267"/>
      <c r="G92" s="1399"/>
      <c r="H92" s="1408"/>
      <c r="I92" s="1400"/>
      <c r="J92" s="1380"/>
      <c r="K92" s="1380"/>
      <c r="L92" s="1380"/>
      <c r="M92" s="935"/>
      <c r="N92" s="935"/>
      <c r="O92" s="935"/>
      <c r="P92" s="935"/>
      <c r="Q92" s="266"/>
      <c r="R92" s="266"/>
      <c r="S92" s="268"/>
      <c r="T92" s="269" t="e">
        <f>VLOOKUP(Q92,[71]Listas!$D$6:$E$10,2,0)</f>
        <v>#N/A</v>
      </c>
      <c r="U92" s="269" t="e">
        <f>HLOOKUP(R92,[71]Listas!$F$4:$J$5,2,0)</f>
        <v>#N/A</v>
      </c>
      <c r="V92" s="270" t="e">
        <f>INDEX([71]Listas!$F$6:$J$10,MATCH(Q92,[71]Listas!$D$6:$D$10,0),MATCH(R92,[71]Listas!$F$4:$J$4,0))</f>
        <v>#N/A</v>
      </c>
      <c r="W92" s="268"/>
      <c r="X92" s="1399"/>
      <c r="Y92" s="1408"/>
      <c r="Z92" s="1400"/>
      <c r="AA92" s="1063"/>
      <c r="AB92" s="267"/>
      <c r="AC92" s="259"/>
      <c r="AD92" s="935"/>
      <c r="AE92" s="267"/>
      <c r="AF92" s="268"/>
      <c r="AG92" s="269">
        <f t="shared" si="8"/>
        <v>0</v>
      </c>
      <c r="AH92" s="271" t="e">
        <f t="shared" si="9"/>
        <v>#N/A</v>
      </c>
      <c r="AI92" s="272" t="e">
        <f>IF(AH92&lt;=1,"Remota",VLOOKUP(AH92,[71]Listas!$C$6:$D$10,2,0))</f>
        <v>#N/A</v>
      </c>
      <c r="AJ92" s="271" t="e">
        <f t="shared" si="10"/>
        <v>#N/A</v>
      </c>
      <c r="AK92" s="272" t="e">
        <f>IF(AJ92&lt;=1,"Insignificante",HLOOKUP(AJ92,[71]Listas!$F$3:$J$4,2,0))</f>
        <v>#N/A</v>
      </c>
      <c r="AL92" s="273" t="e">
        <f t="shared" si="11"/>
        <v>#N/A</v>
      </c>
      <c r="AM92" s="270" t="e">
        <f>INDEX([71]Listas!$F$6:$J$10,MATCH(AI92,[71]Listas!$D$6:$D$10,0),MATCH(AK92,[71]Listas!$F$4:$J$4,0))</f>
        <v>#N/A</v>
      </c>
      <c r="AN92" s="259"/>
      <c r="AO92" s="259"/>
      <c r="AP92" s="937"/>
      <c r="AQ92" s="259"/>
      <c r="AR92" s="259" t="s">
        <v>2343</v>
      </c>
      <c r="AS92" s="935"/>
      <c r="AT92" s="259"/>
      <c r="AU92" s="259"/>
      <c r="AV92" s="567"/>
      <c r="AW92" s="567"/>
      <c r="AX92" s="935"/>
      <c r="AY92" s="262"/>
    </row>
    <row r="93" spans="1:51" s="260" customFormat="1" ht="103.5" hidden="1" customHeight="1">
      <c r="A93" s="935"/>
      <c r="B93" s="266"/>
      <c r="C93" s="1399"/>
      <c r="D93" s="1408"/>
      <c r="E93" s="1400"/>
      <c r="F93" s="267"/>
      <c r="G93" s="1399"/>
      <c r="H93" s="1408"/>
      <c r="I93" s="1400"/>
      <c r="J93" s="1380"/>
      <c r="K93" s="1380"/>
      <c r="L93" s="1380"/>
      <c r="M93" s="935"/>
      <c r="N93" s="935"/>
      <c r="O93" s="935"/>
      <c r="P93" s="935"/>
      <c r="Q93" s="266"/>
      <c r="R93" s="266"/>
      <c r="S93" s="268"/>
      <c r="T93" s="269" t="e">
        <f>VLOOKUP(Q93,[71]Listas!$D$6:$E$10,2,0)</f>
        <v>#N/A</v>
      </c>
      <c r="U93" s="269" t="e">
        <f>HLOOKUP(R93,[71]Listas!$F$4:$J$5,2,0)</f>
        <v>#N/A</v>
      </c>
      <c r="V93" s="270" t="e">
        <f>INDEX([71]Listas!$F$6:$J$10,MATCH(Q93,[71]Listas!$D$6:$D$10,0),MATCH(R93,[71]Listas!$F$4:$J$4,0))</f>
        <v>#N/A</v>
      </c>
      <c r="W93" s="268"/>
      <c r="X93" s="1399"/>
      <c r="Y93" s="1408"/>
      <c r="Z93" s="1400"/>
      <c r="AA93" s="1063"/>
      <c r="AB93" s="267"/>
      <c r="AC93" s="259"/>
      <c r="AD93" s="935"/>
      <c r="AE93" s="267"/>
      <c r="AF93" s="268"/>
      <c r="AG93" s="269">
        <f t="shared" si="8"/>
        <v>0</v>
      </c>
      <c r="AH93" s="271" t="e">
        <f t="shared" si="9"/>
        <v>#N/A</v>
      </c>
      <c r="AI93" s="272" t="e">
        <f>IF(AH93&lt;=1,"Remota",VLOOKUP(AH93,[71]Listas!$C$6:$D$10,2,0))</f>
        <v>#N/A</v>
      </c>
      <c r="AJ93" s="271" t="e">
        <f t="shared" si="10"/>
        <v>#N/A</v>
      </c>
      <c r="AK93" s="272" t="e">
        <f>IF(AJ93&lt;=1,"Insignificante",HLOOKUP(AJ93,[71]Listas!$F$3:$J$4,2,0))</f>
        <v>#N/A</v>
      </c>
      <c r="AL93" s="273" t="e">
        <f t="shared" si="11"/>
        <v>#N/A</v>
      </c>
      <c r="AM93" s="270" t="e">
        <f>INDEX([71]Listas!$F$6:$J$10,MATCH(AI93,[71]Listas!$D$6:$D$10,0),MATCH(AK93,[71]Listas!$F$4:$J$4,0))</f>
        <v>#N/A</v>
      </c>
      <c r="AN93" s="259"/>
      <c r="AO93" s="259"/>
      <c r="AP93" s="937"/>
      <c r="AQ93" s="259"/>
      <c r="AR93" s="259" t="s">
        <v>2343</v>
      </c>
      <c r="AS93" s="935"/>
      <c r="AT93" s="259"/>
      <c r="AU93" s="259"/>
      <c r="AV93" s="567"/>
      <c r="AW93" s="567"/>
      <c r="AX93" s="935"/>
      <c r="AY93" s="262"/>
    </row>
    <row r="94" spans="1:51" s="260" customFormat="1" ht="103.5" hidden="1" customHeight="1">
      <c r="A94" s="935"/>
      <c r="B94" s="266"/>
      <c r="C94" s="1399"/>
      <c r="D94" s="1408"/>
      <c r="E94" s="1400"/>
      <c r="F94" s="267"/>
      <c r="G94" s="1399"/>
      <c r="H94" s="1408"/>
      <c r="I94" s="1400"/>
      <c r="J94" s="1380"/>
      <c r="K94" s="1380"/>
      <c r="L94" s="1380"/>
      <c r="M94" s="935"/>
      <c r="N94" s="935"/>
      <c r="O94" s="935"/>
      <c r="P94" s="935"/>
      <c r="Q94" s="266"/>
      <c r="R94" s="266"/>
      <c r="S94" s="268"/>
      <c r="T94" s="269" t="e">
        <f>VLOOKUP(Q94,[71]Listas!$D$6:$E$10,2,0)</f>
        <v>#N/A</v>
      </c>
      <c r="U94" s="269" t="e">
        <f>HLOOKUP(R94,[71]Listas!$F$4:$J$5,2,0)</f>
        <v>#N/A</v>
      </c>
      <c r="V94" s="270" t="e">
        <f>INDEX([71]Listas!$F$6:$J$10,MATCH(Q94,[71]Listas!$D$6:$D$10,0),MATCH(R94,[71]Listas!$F$4:$J$4,0))</f>
        <v>#N/A</v>
      </c>
      <c r="W94" s="268"/>
      <c r="X94" s="1399"/>
      <c r="Y94" s="1408"/>
      <c r="Z94" s="1400"/>
      <c r="AA94" s="1063"/>
      <c r="AB94" s="267"/>
      <c r="AC94" s="259"/>
      <c r="AD94" s="935"/>
      <c r="AE94" s="267"/>
      <c r="AF94" s="268"/>
      <c r="AG94" s="269">
        <f t="shared" si="8"/>
        <v>0</v>
      </c>
      <c r="AH94" s="271" t="e">
        <f t="shared" si="9"/>
        <v>#N/A</v>
      </c>
      <c r="AI94" s="272" t="e">
        <f>IF(AH94&lt;=1,"Remota",VLOOKUP(AH94,[71]Listas!$C$6:$D$10,2,0))</f>
        <v>#N/A</v>
      </c>
      <c r="AJ94" s="271" t="e">
        <f t="shared" si="10"/>
        <v>#N/A</v>
      </c>
      <c r="AK94" s="272" t="e">
        <f>IF(AJ94&lt;=1,"Insignificante",HLOOKUP(AJ94,[71]Listas!$F$3:$J$4,2,0))</f>
        <v>#N/A</v>
      </c>
      <c r="AL94" s="273" t="e">
        <f t="shared" si="11"/>
        <v>#N/A</v>
      </c>
      <c r="AM94" s="270" t="e">
        <f>INDEX([71]Listas!$F$6:$J$10,MATCH(AI94,[71]Listas!$D$6:$D$10,0),MATCH(AK94,[71]Listas!$F$4:$J$4,0))</f>
        <v>#N/A</v>
      </c>
      <c r="AN94" s="259"/>
      <c r="AO94" s="259"/>
      <c r="AP94" s="937"/>
      <c r="AQ94" s="259"/>
      <c r="AR94" s="259" t="s">
        <v>2343</v>
      </c>
      <c r="AS94" s="935"/>
      <c r="AT94" s="259"/>
      <c r="AU94" s="259"/>
      <c r="AV94" s="567"/>
      <c r="AW94" s="567"/>
      <c r="AX94" s="935"/>
      <c r="AY94" s="262"/>
    </row>
    <row r="95" spans="1:51" s="260" customFormat="1" ht="103.5" hidden="1" customHeight="1">
      <c r="A95" s="935"/>
      <c r="B95" s="266"/>
      <c r="C95" s="1399"/>
      <c r="D95" s="1408"/>
      <c r="E95" s="1400"/>
      <c r="F95" s="267"/>
      <c r="G95" s="1399"/>
      <c r="H95" s="1408"/>
      <c r="I95" s="1400"/>
      <c r="J95" s="1380"/>
      <c r="K95" s="1380"/>
      <c r="L95" s="1380"/>
      <c r="M95" s="935"/>
      <c r="N95" s="935"/>
      <c r="O95" s="935"/>
      <c r="P95" s="935"/>
      <c r="Q95" s="266"/>
      <c r="R95" s="266"/>
      <c r="S95" s="268"/>
      <c r="T95" s="269" t="e">
        <f>VLOOKUP(Q95,[71]Listas!$D$6:$E$10,2,0)</f>
        <v>#N/A</v>
      </c>
      <c r="U95" s="269" t="e">
        <f>HLOOKUP(R95,[71]Listas!$F$4:$J$5,2,0)</f>
        <v>#N/A</v>
      </c>
      <c r="V95" s="270" t="e">
        <f>INDEX([71]Listas!$F$6:$J$10,MATCH(Q95,[71]Listas!$D$6:$D$10,0),MATCH(R95,[71]Listas!$F$4:$J$4,0))</f>
        <v>#N/A</v>
      </c>
      <c r="W95" s="268"/>
      <c r="X95" s="1399"/>
      <c r="Y95" s="1408"/>
      <c r="Z95" s="1400"/>
      <c r="AA95" s="1063"/>
      <c r="AB95" s="267"/>
      <c r="AC95" s="259"/>
      <c r="AD95" s="935"/>
      <c r="AE95" s="267"/>
      <c r="AF95" s="268"/>
      <c r="AG95" s="269">
        <f t="shared" si="8"/>
        <v>0</v>
      </c>
      <c r="AH95" s="271" t="e">
        <f t="shared" si="9"/>
        <v>#N/A</v>
      </c>
      <c r="AI95" s="272" t="e">
        <f>IF(AH95&lt;=1,"Remota",VLOOKUP(AH95,[71]Listas!$C$6:$D$10,2,0))</f>
        <v>#N/A</v>
      </c>
      <c r="AJ95" s="271" t="e">
        <f t="shared" si="10"/>
        <v>#N/A</v>
      </c>
      <c r="AK95" s="272" t="e">
        <f>IF(AJ95&lt;=1,"Insignificante",HLOOKUP(AJ95,[71]Listas!$F$3:$J$4,2,0))</f>
        <v>#N/A</v>
      </c>
      <c r="AL95" s="273" t="e">
        <f t="shared" si="11"/>
        <v>#N/A</v>
      </c>
      <c r="AM95" s="270" t="e">
        <f>INDEX([71]Listas!$F$6:$J$10,MATCH(AI95,[71]Listas!$D$6:$D$10,0),MATCH(AK95,[71]Listas!$F$4:$J$4,0))</f>
        <v>#N/A</v>
      </c>
      <c r="AN95" s="259"/>
      <c r="AO95" s="259"/>
      <c r="AP95" s="937"/>
      <c r="AQ95" s="259"/>
      <c r="AR95" s="259" t="s">
        <v>2343</v>
      </c>
      <c r="AS95" s="935"/>
      <c r="AT95" s="259"/>
      <c r="AU95" s="259"/>
      <c r="AV95" s="567"/>
      <c r="AW95" s="567"/>
      <c r="AX95" s="935"/>
      <c r="AY95" s="262"/>
    </row>
    <row r="96" spans="1:51" s="260" customFormat="1" ht="103.5" hidden="1" customHeight="1">
      <c r="A96" s="935"/>
      <c r="B96" s="266"/>
      <c r="C96" s="1399"/>
      <c r="D96" s="1408"/>
      <c r="E96" s="1400"/>
      <c r="F96" s="267"/>
      <c r="G96" s="1399"/>
      <c r="H96" s="1408"/>
      <c r="I96" s="1400"/>
      <c r="J96" s="1380"/>
      <c r="K96" s="1380"/>
      <c r="L96" s="1380"/>
      <c r="M96" s="935"/>
      <c r="N96" s="935"/>
      <c r="O96" s="935"/>
      <c r="P96" s="935"/>
      <c r="Q96" s="266"/>
      <c r="R96" s="266"/>
      <c r="S96" s="268"/>
      <c r="T96" s="269" t="e">
        <f>VLOOKUP(Q96,[71]Listas!$D$6:$E$10,2,0)</f>
        <v>#N/A</v>
      </c>
      <c r="U96" s="269" t="e">
        <f>HLOOKUP(R96,[71]Listas!$F$4:$J$5,2,0)</f>
        <v>#N/A</v>
      </c>
      <c r="V96" s="270" t="e">
        <f>INDEX([71]Listas!$F$6:$J$10,MATCH(Q96,[71]Listas!$D$6:$D$10,0),MATCH(R96,[71]Listas!$F$4:$J$4,0))</f>
        <v>#N/A</v>
      </c>
      <c r="W96" s="268"/>
      <c r="X96" s="1399"/>
      <c r="Y96" s="1408"/>
      <c r="Z96" s="1400"/>
      <c r="AA96" s="1063"/>
      <c r="AB96" s="267"/>
      <c r="AC96" s="259"/>
      <c r="AD96" s="935"/>
      <c r="AE96" s="267"/>
      <c r="AF96" s="268"/>
      <c r="AG96" s="269">
        <f t="shared" si="8"/>
        <v>0</v>
      </c>
      <c r="AH96" s="271" t="e">
        <f t="shared" si="9"/>
        <v>#N/A</v>
      </c>
      <c r="AI96" s="272" t="e">
        <f>IF(AH96&lt;=1,"Remota",VLOOKUP(AH96,[71]Listas!$C$6:$D$10,2,0))</f>
        <v>#N/A</v>
      </c>
      <c r="AJ96" s="271" t="e">
        <f t="shared" si="10"/>
        <v>#N/A</v>
      </c>
      <c r="AK96" s="272" t="e">
        <f>IF(AJ96&lt;=1,"Insignificante",HLOOKUP(AJ96,[71]Listas!$F$3:$J$4,2,0))</f>
        <v>#N/A</v>
      </c>
      <c r="AL96" s="273" t="e">
        <f t="shared" si="11"/>
        <v>#N/A</v>
      </c>
      <c r="AM96" s="270" t="e">
        <f>INDEX([71]Listas!$F$6:$J$10,MATCH(AI96,[71]Listas!$D$6:$D$10,0),MATCH(AK96,[71]Listas!$F$4:$J$4,0))</f>
        <v>#N/A</v>
      </c>
      <c r="AN96" s="259"/>
      <c r="AO96" s="259"/>
      <c r="AP96" s="937"/>
      <c r="AQ96" s="259"/>
      <c r="AR96" s="259" t="s">
        <v>2343</v>
      </c>
      <c r="AS96" s="935"/>
      <c r="AT96" s="259"/>
      <c r="AU96" s="259"/>
      <c r="AV96" s="567"/>
      <c r="AW96" s="567"/>
      <c r="AX96" s="935"/>
      <c r="AY96" s="262"/>
    </row>
    <row r="97" spans="1:51" s="260" customFormat="1" ht="103.5" hidden="1" customHeight="1">
      <c r="A97" s="935"/>
      <c r="B97" s="266"/>
      <c r="C97" s="1399"/>
      <c r="D97" s="1408"/>
      <c r="E97" s="1400"/>
      <c r="F97" s="267"/>
      <c r="G97" s="1399"/>
      <c r="H97" s="1408"/>
      <c r="I97" s="1400"/>
      <c r="J97" s="1380"/>
      <c r="K97" s="1380"/>
      <c r="L97" s="1380"/>
      <c r="M97" s="935"/>
      <c r="N97" s="935"/>
      <c r="O97" s="935"/>
      <c r="P97" s="935"/>
      <c r="Q97" s="266"/>
      <c r="R97" s="266"/>
      <c r="S97" s="268"/>
      <c r="T97" s="269" t="e">
        <f>VLOOKUP(Q97,[71]Listas!$D$6:$E$10,2,0)</f>
        <v>#N/A</v>
      </c>
      <c r="U97" s="269" t="e">
        <f>HLOOKUP(R97,[71]Listas!$F$4:$J$5,2,0)</f>
        <v>#N/A</v>
      </c>
      <c r="V97" s="270" t="e">
        <f>INDEX([71]Listas!$F$6:$J$10,MATCH(Q97,[71]Listas!$D$6:$D$10,0),MATCH(R97,[71]Listas!$F$4:$J$4,0))</f>
        <v>#N/A</v>
      </c>
      <c r="W97" s="268"/>
      <c r="X97" s="1399"/>
      <c r="Y97" s="1408"/>
      <c r="Z97" s="1400"/>
      <c r="AA97" s="1063"/>
      <c r="AB97" s="267"/>
      <c r="AC97" s="259"/>
      <c r="AD97" s="935"/>
      <c r="AE97" s="267"/>
      <c r="AF97" s="268"/>
      <c r="AG97" s="269">
        <f t="shared" si="8"/>
        <v>0</v>
      </c>
      <c r="AH97" s="271" t="e">
        <f t="shared" si="9"/>
        <v>#N/A</v>
      </c>
      <c r="AI97" s="272" t="e">
        <f>IF(AH97&lt;=1,"Remota",VLOOKUP(AH97,[71]Listas!$C$6:$D$10,2,0))</f>
        <v>#N/A</v>
      </c>
      <c r="AJ97" s="271" t="e">
        <f t="shared" si="10"/>
        <v>#N/A</v>
      </c>
      <c r="AK97" s="272" t="e">
        <f>IF(AJ97&lt;=1,"Insignificante",HLOOKUP(AJ97,[71]Listas!$F$3:$J$4,2,0))</f>
        <v>#N/A</v>
      </c>
      <c r="AL97" s="273" t="e">
        <f t="shared" si="11"/>
        <v>#N/A</v>
      </c>
      <c r="AM97" s="270" t="e">
        <f>INDEX([71]Listas!$F$6:$J$10,MATCH(AI97,[71]Listas!$D$6:$D$10,0),MATCH(AK97,[71]Listas!$F$4:$J$4,0))</f>
        <v>#N/A</v>
      </c>
      <c r="AN97" s="259"/>
      <c r="AO97" s="259"/>
      <c r="AP97" s="937"/>
      <c r="AQ97" s="259"/>
      <c r="AR97" s="259" t="s">
        <v>2343</v>
      </c>
      <c r="AS97" s="935"/>
      <c r="AT97" s="259"/>
      <c r="AU97" s="259"/>
      <c r="AV97" s="567"/>
      <c r="AW97" s="567"/>
      <c r="AX97" s="935"/>
      <c r="AY97" s="262"/>
    </row>
    <row r="98" spans="1:51" s="260" customFormat="1" ht="103.5" hidden="1" customHeight="1">
      <c r="A98" s="935"/>
      <c r="B98" s="266"/>
      <c r="C98" s="1399"/>
      <c r="D98" s="1408"/>
      <c r="E98" s="1400"/>
      <c r="F98" s="267"/>
      <c r="G98" s="1399"/>
      <c r="H98" s="1408"/>
      <c r="I98" s="1400"/>
      <c r="J98" s="1380"/>
      <c r="K98" s="1380"/>
      <c r="L98" s="1380"/>
      <c r="M98" s="935"/>
      <c r="N98" s="935"/>
      <c r="O98" s="935"/>
      <c r="P98" s="935"/>
      <c r="Q98" s="266"/>
      <c r="R98" s="266"/>
      <c r="S98" s="268"/>
      <c r="T98" s="269" t="e">
        <f>VLOOKUP(Q98,[71]Listas!$D$6:$E$10,2,0)</f>
        <v>#N/A</v>
      </c>
      <c r="U98" s="269" t="e">
        <f>HLOOKUP(R98,[71]Listas!$F$4:$J$5,2,0)</f>
        <v>#N/A</v>
      </c>
      <c r="V98" s="270" t="e">
        <f>INDEX([71]Listas!$F$6:$J$10,MATCH(Q98,[71]Listas!$D$6:$D$10,0),MATCH(R98,[71]Listas!$F$4:$J$4,0))</f>
        <v>#N/A</v>
      </c>
      <c r="W98" s="268"/>
      <c r="X98" s="1399"/>
      <c r="Y98" s="1408"/>
      <c r="Z98" s="1400"/>
      <c r="AA98" s="1063"/>
      <c r="AB98" s="267"/>
      <c r="AC98" s="259"/>
      <c r="AD98" s="935"/>
      <c r="AE98" s="267"/>
      <c r="AF98" s="268"/>
      <c r="AG98" s="269">
        <f t="shared" si="8"/>
        <v>0</v>
      </c>
      <c r="AH98" s="271" t="e">
        <f t="shared" si="9"/>
        <v>#N/A</v>
      </c>
      <c r="AI98" s="272" t="e">
        <f>IF(AH98&lt;=1,"Remota",VLOOKUP(AH98,[71]Listas!$C$6:$D$10,2,0))</f>
        <v>#N/A</v>
      </c>
      <c r="AJ98" s="271" t="e">
        <f t="shared" si="10"/>
        <v>#N/A</v>
      </c>
      <c r="AK98" s="272" t="e">
        <f>IF(AJ98&lt;=1,"Insignificante",HLOOKUP(AJ98,[71]Listas!$F$3:$J$4,2,0))</f>
        <v>#N/A</v>
      </c>
      <c r="AL98" s="273" t="e">
        <f t="shared" si="11"/>
        <v>#N/A</v>
      </c>
      <c r="AM98" s="270" t="e">
        <f>INDEX([71]Listas!$F$6:$J$10,MATCH(AI98,[71]Listas!$D$6:$D$10,0),MATCH(AK98,[71]Listas!$F$4:$J$4,0))</f>
        <v>#N/A</v>
      </c>
      <c r="AN98" s="259"/>
      <c r="AO98" s="259"/>
      <c r="AP98" s="937"/>
      <c r="AQ98" s="259"/>
      <c r="AR98" s="259" t="s">
        <v>2343</v>
      </c>
      <c r="AS98" s="935"/>
      <c r="AT98" s="259"/>
      <c r="AU98" s="259"/>
      <c r="AV98" s="567"/>
      <c r="AW98" s="567"/>
      <c r="AX98" s="935"/>
      <c r="AY98" s="262"/>
    </row>
    <row r="99" spans="1:51" s="260" customFormat="1" ht="103.5" hidden="1" customHeight="1">
      <c r="A99" s="935"/>
      <c r="B99" s="266"/>
      <c r="C99" s="1399"/>
      <c r="D99" s="1408"/>
      <c r="E99" s="1400"/>
      <c r="F99" s="267"/>
      <c r="G99" s="1399"/>
      <c r="H99" s="1408"/>
      <c r="I99" s="1400"/>
      <c r="J99" s="1380"/>
      <c r="K99" s="1380"/>
      <c r="L99" s="1380"/>
      <c r="M99" s="935"/>
      <c r="N99" s="935"/>
      <c r="O99" s="935"/>
      <c r="P99" s="935"/>
      <c r="Q99" s="266"/>
      <c r="R99" s="266"/>
      <c r="S99" s="268"/>
      <c r="T99" s="269" t="e">
        <f>VLOOKUP(Q99,[71]Listas!$D$6:$E$10,2,0)</f>
        <v>#N/A</v>
      </c>
      <c r="U99" s="269" t="e">
        <f>HLOOKUP(R99,[71]Listas!$F$4:$J$5,2,0)</f>
        <v>#N/A</v>
      </c>
      <c r="V99" s="270" t="e">
        <f>INDEX([71]Listas!$F$6:$J$10,MATCH(Q99,[71]Listas!$D$6:$D$10,0),MATCH(R99,[71]Listas!$F$4:$J$4,0))</f>
        <v>#N/A</v>
      </c>
      <c r="W99" s="268"/>
      <c r="X99" s="1399"/>
      <c r="Y99" s="1408"/>
      <c r="Z99" s="1400"/>
      <c r="AA99" s="1063"/>
      <c r="AB99" s="267"/>
      <c r="AC99" s="259"/>
      <c r="AD99" s="935"/>
      <c r="AE99" s="267"/>
      <c r="AF99" s="268"/>
      <c r="AG99" s="269">
        <f t="shared" si="8"/>
        <v>0</v>
      </c>
      <c r="AH99" s="271" t="e">
        <f t="shared" si="9"/>
        <v>#N/A</v>
      </c>
      <c r="AI99" s="272" t="e">
        <f>IF(AH99&lt;=1,"Remota",VLOOKUP(AH99,[71]Listas!$C$6:$D$10,2,0))</f>
        <v>#N/A</v>
      </c>
      <c r="AJ99" s="271" t="e">
        <f t="shared" si="10"/>
        <v>#N/A</v>
      </c>
      <c r="AK99" s="272" t="e">
        <f>IF(AJ99&lt;=1,"Insignificante",HLOOKUP(AJ99,[71]Listas!$F$3:$J$4,2,0))</f>
        <v>#N/A</v>
      </c>
      <c r="AL99" s="273" t="e">
        <f t="shared" si="11"/>
        <v>#N/A</v>
      </c>
      <c r="AM99" s="270" t="e">
        <f>INDEX([71]Listas!$F$6:$J$10,MATCH(AI99,[71]Listas!$D$6:$D$10,0),MATCH(AK99,[71]Listas!$F$4:$J$4,0))</f>
        <v>#N/A</v>
      </c>
      <c r="AN99" s="259"/>
      <c r="AO99" s="259"/>
      <c r="AP99" s="937"/>
      <c r="AQ99" s="259"/>
      <c r="AR99" s="259" t="s">
        <v>2343</v>
      </c>
      <c r="AS99" s="935"/>
      <c r="AT99" s="259"/>
      <c r="AU99" s="259"/>
      <c r="AV99" s="567"/>
      <c r="AW99" s="567"/>
      <c r="AX99" s="935"/>
      <c r="AY99" s="262"/>
    </row>
    <row r="100" spans="1:51" s="260" customFormat="1" ht="103.5" hidden="1" customHeight="1">
      <c r="A100" s="935"/>
      <c r="B100" s="266"/>
      <c r="C100" s="1399"/>
      <c r="D100" s="1408"/>
      <c r="E100" s="1400"/>
      <c r="F100" s="267"/>
      <c r="G100" s="1399"/>
      <c r="H100" s="1408"/>
      <c r="I100" s="1400"/>
      <c r="J100" s="1380"/>
      <c r="K100" s="1380"/>
      <c r="L100" s="1380"/>
      <c r="M100" s="935"/>
      <c r="N100" s="935"/>
      <c r="O100" s="935"/>
      <c r="P100" s="935"/>
      <c r="Q100" s="266"/>
      <c r="R100" s="266"/>
      <c r="S100" s="268"/>
      <c r="T100" s="269" t="e">
        <f>VLOOKUP(Q100,[71]Listas!$D$6:$E$10,2,0)</f>
        <v>#N/A</v>
      </c>
      <c r="U100" s="269" t="e">
        <f>HLOOKUP(R100,[71]Listas!$F$4:$J$5,2,0)</f>
        <v>#N/A</v>
      </c>
      <c r="V100" s="270" t="e">
        <f>INDEX([71]Listas!$F$6:$J$10,MATCH(Q100,[71]Listas!$D$6:$D$10,0),MATCH(R100,[71]Listas!$F$4:$J$4,0))</f>
        <v>#N/A</v>
      </c>
      <c r="W100" s="268"/>
      <c r="X100" s="1399"/>
      <c r="Y100" s="1408"/>
      <c r="Z100" s="1400"/>
      <c r="AA100" s="1063"/>
      <c r="AB100" s="267"/>
      <c r="AC100" s="259"/>
      <c r="AD100" s="935"/>
      <c r="AE100" s="267"/>
      <c r="AF100" s="268"/>
      <c r="AG100" s="269">
        <f t="shared" si="8"/>
        <v>0</v>
      </c>
      <c r="AH100" s="271" t="e">
        <f t="shared" si="9"/>
        <v>#N/A</v>
      </c>
      <c r="AI100" s="272" t="e">
        <f>IF(AH100&lt;=1,"Remota",VLOOKUP(AH100,[71]Listas!$C$6:$D$10,2,0))</f>
        <v>#N/A</v>
      </c>
      <c r="AJ100" s="271" t="e">
        <f t="shared" si="10"/>
        <v>#N/A</v>
      </c>
      <c r="AK100" s="272" t="e">
        <f>IF(AJ100&lt;=1,"Insignificante",HLOOKUP(AJ100,[71]Listas!$F$3:$J$4,2,0))</f>
        <v>#N/A</v>
      </c>
      <c r="AL100" s="273" t="e">
        <f t="shared" si="11"/>
        <v>#N/A</v>
      </c>
      <c r="AM100" s="270" t="e">
        <f>INDEX([71]Listas!$F$6:$J$10,MATCH(AI100,[71]Listas!$D$6:$D$10,0),MATCH(AK100,[71]Listas!$F$4:$J$4,0))</f>
        <v>#N/A</v>
      </c>
      <c r="AN100" s="259"/>
      <c r="AO100" s="259"/>
      <c r="AP100" s="937"/>
      <c r="AQ100" s="259"/>
      <c r="AR100" s="259" t="s">
        <v>2343</v>
      </c>
      <c r="AS100" s="935"/>
      <c r="AT100" s="259"/>
      <c r="AU100" s="259"/>
      <c r="AV100" s="567"/>
      <c r="AW100" s="567"/>
      <c r="AX100" s="935"/>
      <c r="AY100" s="262"/>
    </row>
    <row r="101" spans="1:51" s="260" customFormat="1" ht="103.5" hidden="1" customHeight="1">
      <c r="A101" s="935"/>
      <c r="B101" s="266"/>
      <c r="C101" s="1399"/>
      <c r="D101" s="1408"/>
      <c r="E101" s="1400"/>
      <c r="F101" s="267"/>
      <c r="G101" s="1399"/>
      <c r="H101" s="1408"/>
      <c r="I101" s="1400"/>
      <c r="J101" s="1380"/>
      <c r="K101" s="1380"/>
      <c r="L101" s="1380"/>
      <c r="M101" s="935"/>
      <c r="N101" s="935"/>
      <c r="O101" s="935"/>
      <c r="P101" s="935"/>
      <c r="Q101" s="266"/>
      <c r="R101" s="266"/>
      <c r="S101" s="268"/>
      <c r="T101" s="269" t="e">
        <f>VLOOKUP(Q101,[71]Listas!$D$6:$E$10,2,0)</f>
        <v>#N/A</v>
      </c>
      <c r="U101" s="269" t="e">
        <f>HLOOKUP(R101,[71]Listas!$F$4:$J$5,2,0)</f>
        <v>#N/A</v>
      </c>
      <c r="V101" s="270" t="e">
        <f>INDEX([71]Listas!$F$6:$J$10,MATCH(Q101,[71]Listas!$D$6:$D$10,0),MATCH(R101,[71]Listas!$F$4:$J$4,0))</f>
        <v>#N/A</v>
      </c>
      <c r="W101" s="268"/>
      <c r="X101" s="1399"/>
      <c r="Y101" s="1408"/>
      <c r="Z101" s="1400"/>
      <c r="AA101" s="1063"/>
      <c r="AB101" s="267"/>
      <c r="AC101" s="259"/>
      <c r="AD101" s="935"/>
      <c r="AE101" s="267"/>
      <c r="AF101" s="268"/>
      <c r="AG101" s="269">
        <f t="shared" si="8"/>
        <v>0</v>
      </c>
      <c r="AH101" s="271" t="e">
        <f t="shared" si="9"/>
        <v>#N/A</v>
      </c>
      <c r="AI101" s="272" t="e">
        <f>IF(AH101&lt;=1,"Remota",VLOOKUP(AH101,[71]Listas!$C$6:$D$10,2,0))</f>
        <v>#N/A</v>
      </c>
      <c r="AJ101" s="271" t="e">
        <f t="shared" si="10"/>
        <v>#N/A</v>
      </c>
      <c r="AK101" s="272" t="e">
        <f>IF(AJ101&lt;=1,"Insignificante",HLOOKUP(AJ101,[71]Listas!$F$3:$J$4,2,0))</f>
        <v>#N/A</v>
      </c>
      <c r="AL101" s="273" t="e">
        <f t="shared" si="11"/>
        <v>#N/A</v>
      </c>
      <c r="AM101" s="270" t="e">
        <f>INDEX([71]Listas!$F$6:$J$10,MATCH(AI101,[71]Listas!$D$6:$D$10,0),MATCH(AK101,[71]Listas!$F$4:$J$4,0))</f>
        <v>#N/A</v>
      </c>
      <c r="AN101" s="259"/>
      <c r="AO101" s="259"/>
      <c r="AP101" s="937"/>
      <c r="AQ101" s="259"/>
      <c r="AR101" s="259" t="s">
        <v>2343</v>
      </c>
      <c r="AS101" s="935"/>
      <c r="AT101" s="259"/>
      <c r="AU101" s="259"/>
      <c r="AV101" s="567"/>
      <c r="AW101" s="567"/>
      <c r="AX101" s="935"/>
      <c r="AY101" s="262"/>
    </row>
    <row r="102" spans="1:51" s="260" customFormat="1" ht="103.5" hidden="1" customHeight="1">
      <c r="A102" s="935"/>
      <c r="B102" s="266"/>
      <c r="C102" s="1399"/>
      <c r="D102" s="1408"/>
      <c r="E102" s="1400"/>
      <c r="F102" s="267"/>
      <c r="G102" s="1399"/>
      <c r="H102" s="1408"/>
      <c r="I102" s="1400"/>
      <c r="J102" s="1380"/>
      <c r="K102" s="1380"/>
      <c r="L102" s="1380"/>
      <c r="M102" s="935"/>
      <c r="N102" s="935"/>
      <c r="O102" s="935"/>
      <c r="P102" s="935"/>
      <c r="Q102" s="266"/>
      <c r="R102" s="266"/>
      <c r="S102" s="268"/>
      <c r="T102" s="269" t="e">
        <f>VLOOKUP(Q102,[71]Listas!$D$6:$E$10,2,0)</f>
        <v>#N/A</v>
      </c>
      <c r="U102" s="269" t="e">
        <f>HLOOKUP(R102,[71]Listas!$F$4:$J$5,2,0)</f>
        <v>#N/A</v>
      </c>
      <c r="V102" s="270" t="e">
        <f>INDEX([71]Listas!$F$6:$J$10,MATCH(Q102,[71]Listas!$D$6:$D$10,0),MATCH(R102,[71]Listas!$F$4:$J$4,0))</f>
        <v>#N/A</v>
      </c>
      <c r="W102" s="268"/>
      <c r="X102" s="1399"/>
      <c r="Y102" s="1408"/>
      <c r="Z102" s="1400"/>
      <c r="AA102" s="1063"/>
      <c r="AB102" s="267"/>
      <c r="AC102" s="259"/>
      <c r="AD102" s="935"/>
      <c r="AE102" s="267"/>
      <c r="AF102" s="268"/>
      <c r="AG102" s="269">
        <f t="shared" si="8"/>
        <v>0</v>
      </c>
      <c r="AH102" s="271" t="e">
        <f t="shared" si="9"/>
        <v>#N/A</v>
      </c>
      <c r="AI102" s="272" t="e">
        <f>IF(AH102&lt;=1,"Remota",VLOOKUP(AH102,[71]Listas!$C$6:$D$10,2,0))</f>
        <v>#N/A</v>
      </c>
      <c r="AJ102" s="271" t="e">
        <f t="shared" si="10"/>
        <v>#N/A</v>
      </c>
      <c r="AK102" s="272" t="e">
        <f>IF(AJ102&lt;=1,"Insignificante",HLOOKUP(AJ102,[71]Listas!$F$3:$J$4,2,0))</f>
        <v>#N/A</v>
      </c>
      <c r="AL102" s="273" t="e">
        <f t="shared" si="11"/>
        <v>#N/A</v>
      </c>
      <c r="AM102" s="270" t="e">
        <f>INDEX([71]Listas!$F$6:$J$10,MATCH(AI102,[71]Listas!$D$6:$D$10,0),MATCH(AK102,[71]Listas!$F$4:$J$4,0))</f>
        <v>#N/A</v>
      </c>
      <c r="AN102" s="259"/>
      <c r="AO102" s="259"/>
      <c r="AP102" s="937"/>
      <c r="AQ102" s="259"/>
      <c r="AR102" s="259" t="s">
        <v>2343</v>
      </c>
      <c r="AS102" s="935"/>
      <c r="AT102" s="259"/>
      <c r="AU102" s="259"/>
      <c r="AV102" s="567"/>
      <c r="AW102" s="567"/>
      <c r="AX102" s="935"/>
      <c r="AY102" s="262"/>
    </row>
    <row r="103" spans="1:51" s="260" customFormat="1" ht="103.5" hidden="1" customHeight="1">
      <c r="A103" s="935"/>
      <c r="B103" s="266"/>
      <c r="C103" s="1399"/>
      <c r="D103" s="1408"/>
      <c r="E103" s="1400"/>
      <c r="F103" s="267"/>
      <c r="G103" s="1399"/>
      <c r="H103" s="1408"/>
      <c r="I103" s="1400"/>
      <c r="J103" s="1380"/>
      <c r="K103" s="1380"/>
      <c r="L103" s="1380"/>
      <c r="M103" s="935"/>
      <c r="N103" s="935"/>
      <c r="O103" s="935"/>
      <c r="P103" s="935"/>
      <c r="Q103" s="266"/>
      <c r="R103" s="266"/>
      <c r="S103" s="268"/>
      <c r="T103" s="269" t="e">
        <f>VLOOKUP(Q103,[71]Listas!$D$6:$E$10,2,0)</f>
        <v>#N/A</v>
      </c>
      <c r="U103" s="269" t="e">
        <f>HLOOKUP(R103,[71]Listas!$F$4:$J$5,2,0)</f>
        <v>#N/A</v>
      </c>
      <c r="V103" s="270" t="e">
        <f>INDEX([71]Listas!$F$6:$J$10,MATCH(Q103,[71]Listas!$D$6:$D$10,0),MATCH(R103,[71]Listas!$F$4:$J$4,0))</f>
        <v>#N/A</v>
      </c>
      <c r="W103" s="268"/>
      <c r="X103" s="1399"/>
      <c r="Y103" s="1408"/>
      <c r="Z103" s="1400"/>
      <c r="AA103" s="1063"/>
      <c r="AB103" s="267"/>
      <c r="AC103" s="259"/>
      <c r="AD103" s="935"/>
      <c r="AE103" s="267"/>
      <c r="AF103" s="268"/>
      <c r="AG103" s="269">
        <f t="shared" si="8"/>
        <v>0</v>
      </c>
      <c r="AH103" s="271" t="e">
        <f t="shared" si="9"/>
        <v>#N/A</v>
      </c>
      <c r="AI103" s="272" t="e">
        <f>IF(AH103&lt;=1,"Remota",VLOOKUP(AH103,[71]Listas!$C$6:$D$10,2,0))</f>
        <v>#N/A</v>
      </c>
      <c r="AJ103" s="271" t="e">
        <f t="shared" si="10"/>
        <v>#N/A</v>
      </c>
      <c r="AK103" s="272" t="e">
        <f>IF(AJ103&lt;=1,"Insignificante",HLOOKUP(AJ103,[71]Listas!$F$3:$J$4,2,0))</f>
        <v>#N/A</v>
      </c>
      <c r="AL103" s="273" t="e">
        <f t="shared" si="11"/>
        <v>#N/A</v>
      </c>
      <c r="AM103" s="270" t="e">
        <f>INDEX([71]Listas!$F$6:$J$10,MATCH(AI103,[71]Listas!$D$6:$D$10,0),MATCH(AK103,[71]Listas!$F$4:$J$4,0))</f>
        <v>#N/A</v>
      </c>
      <c r="AN103" s="259"/>
      <c r="AO103" s="259"/>
      <c r="AP103" s="937"/>
      <c r="AQ103" s="259"/>
      <c r="AR103" s="259" t="s">
        <v>2343</v>
      </c>
      <c r="AS103" s="935"/>
      <c r="AT103" s="259"/>
      <c r="AU103" s="259"/>
      <c r="AV103" s="567"/>
      <c r="AW103" s="567"/>
      <c r="AX103" s="935"/>
      <c r="AY103" s="262"/>
    </row>
    <row r="104" spans="1:51" s="260" customFormat="1" ht="103.5" hidden="1" customHeight="1">
      <c r="A104" s="935"/>
      <c r="B104" s="266"/>
      <c r="C104" s="1399"/>
      <c r="D104" s="1408"/>
      <c r="E104" s="1400"/>
      <c r="F104" s="267"/>
      <c r="G104" s="1399"/>
      <c r="H104" s="1408"/>
      <c r="I104" s="1400"/>
      <c r="J104" s="1380"/>
      <c r="K104" s="1380"/>
      <c r="L104" s="1380"/>
      <c r="M104" s="935"/>
      <c r="N104" s="935"/>
      <c r="O104" s="935"/>
      <c r="P104" s="935"/>
      <c r="Q104" s="266"/>
      <c r="R104" s="266"/>
      <c r="S104" s="268"/>
      <c r="T104" s="269" t="e">
        <f>VLOOKUP(Q104,[71]Listas!$D$6:$E$10,2,0)</f>
        <v>#N/A</v>
      </c>
      <c r="U104" s="269" t="e">
        <f>HLOOKUP(R104,[71]Listas!$F$4:$J$5,2,0)</f>
        <v>#N/A</v>
      </c>
      <c r="V104" s="270" t="e">
        <f>INDEX([71]Listas!$F$6:$J$10,MATCH(Q104,[71]Listas!$D$6:$D$10,0),MATCH(R104,[71]Listas!$F$4:$J$4,0))</f>
        <v>#N/A</v>
      </c>
      <c r="W104" s="268"/>
      <c r="X104" s="1399"/>
      <c r="Y104" s="1408"/>
      <c r="Z104" s="1400"/>
      <c r="AA104" s="1063"/>
      <c r="AB104" s="267"/>
      <c r="AC104" s="259"/>
      <c r="AD104" s="935"/>
      <c r="AE104" s="267"/>
      <c r="AF104" s="268"/>
      <c r="AG104" s="269">
        <f t="shared" si="8"/>
        <v>0</v>
      </c>
      <c r="AH104" s="271" t="e">
        <f t="shared" si="9"/>
        <v>#N/A</v>
      </c>
      <c r="AI104" s="272" t="e">
        <f>IF(AH104&lt;=1,"Remota",VLOOKUP(AH104,[71]Listas!$C$6:$D$10,2,0))</f>
        <v>#N/A</v>
      </c>
      <c r="AJ104" s="271" t="e">
        <f t="shared" si="10"/>
        <v>#N/A</v>
      </c>
      <c r="AK104" s="272" t="e">
        <f>IF(AJ104&lt;=1,"Insignificante",HLOOKUP(AJ104,[71]Listas!$F$3:$J$4,2,0))</f>
        <v>#N/A</v>
      </c>
      <c r="AL104" s="273" t="e">
        <f t="shared" si="11"/>
        <v>#N/A</v>
      </c>
      <c r="AM104" s="270" t="e">
        <f>INDEX([71]Listas!$F$6:$J$10,MATCH(AI104,[71]Listas!$D$6:$D$10,0),MATCH(AK104,[71]Listas!$F$4:$J$4,0))</f>
        <v>#N/A</v>
      </c>
      <c r="AN104" s="259"/>
      <c r="AO104" s="259"/>
      <c r="AP104" s="937"/>
      <c r="AQ104" s="259"/>
      <c r="AR104" s="259" t="s">
        <v>2343</v>
      </c>
      <c r="AS104" s="935"/>
      <c r="AT104" s="259"/>
      <c r="AU104" s="259"/>
      <c r="AV104" s="567"/>
      <c r="AW104" s="567"/>
      <c r="AX104" s="935"/>
      <c r="AY104" s="262"/>
    </row>
    <row r="105" spans="1:51" s="260" customFormat="1" ht="103.5" hidden="1" customHeight="1">
      <c r="A105" s="935"/>
      <c r="B105" s="266"/>
      <c r="C105" s="1399"/>
      <c r="D105" s="1408"/>
      <c r="E105" s="1400"/>
      <c r="F105" s="267"/>
      <c r="G105" s="1399"/>
      <c r="H105" s="1408"/>
      <c r="I105" s="1400"/>
      <c r="J105" s="1380"/>
      <c r="K105" s="1380"/>
      <c r="L105" s="1380"/>
      <c r="M105" s="935"/>
      <c r="N105" s="935"/>
      <c r="O105" s="935"/>
      <c r="P105" s="935"/>
      <c r="Q105" s="266"/>
      <c r="R105" s="266"/>
      <c r="S105" s="268"/>
      <c r="T105" s="269" t="e">
        <f>VLOOKUP(Q105,[71]Listas!$D$6:$E$10,2,0)</f>
        <v>#N/A</v>
      </c>
      <c r="U105" s="269" t="e">
        <f>HLOOKUP(R105,[71]Listas!$F$4:$J$5,2,0)</f>
        <v>#N/A</v>
      </c>
      <c r="V105" s="270" t="e">
        <f>INDEX([71]Listas!$F$6:$J$10,MATCH(Q105,[71]Listas!$D$6:$D$10,0),MATCH(R105,[71]Listas!$F$4:$J$4,0))</f>
        <v>#N/A</v>
      </c>
      <c r="W105" s="268"/>
      <c r="X105" s="1399"/>
      <c r="Y105" s="1408"/>
      <c r="Z105" s="1400"/>
      <c r="AA105" s="1063"/>
      <c r="AB105" s="267"/>
      <c r="AC105" s="259"/>
      <c r="AD105" s="935"/>
      <c r="AE105" s="267"/>
      <c r="AF105" s="268"/>
      <c r="AG105" s="269">
        <f t="shared" si="8"/>
        <v>0</v>
      </c>
      <c r="AH105" s="271" t="e">
        <f t="shared" si="9"/>
        <v>#N/A</v>
      </c>
      <c r="AI105" s="272" t="e">
        <f>IF(AH105&lt;=1,"Remota",VLOOKUP(AH105,[71]Listas!$C$6:$D$10,2,0))</f>
        <v>#N/A</v>
      </c>
      <c r="AJ105" s="271" t="e">
        <f t="shared" si="10"/>
        <v>#N/A</v>
      </c>
      <c r="AK105" s="272" t="e">
        <f>IF(AJ105&lt;=1,"Insignificante",HLOOKUP(AJ105,[71]Listas!$F$3:$J$4,2,0))</f>
        <v>#N/A</v>
      </c>
      <c r="AL105" s="273" t="e">
        <f t="shared" si="11"/>
        <v>#N/A</v>
      </c>
      <c r="AM105" s="270" t="e">
        <f>INDEX([71]Listas!$F$6:$J$10,MATCH(AI105,[71]Listas!$D$6:$D$10,0),MATCH(AK105,[71]Listas!$F$4:$J$4,0))</f>
        <v>#N/A</v>
      </c>
      <c r="AN105" s="259"/>
      <c r="AO105" s="259"/>
      <c r="AP105" s="937"/>
      <c r="AQ105" s="259"/>
      <c r="AR105" s="259" t="s">
        <v>2343</v>
      </c>
      <c r="AS105" s="935"/>
      <c r="AT105" s="259"/>
      <c r="AU105" s="259"/>
      <c r="AV105" s="567"/>
      <c r="AW105" s="567"/>
      <c r="AX105" s="935"/>
      <c r="AY105" s="262"/>
    </row>
    <row r="106" spans="1:51" s="260" customFormat="1" ht="103.5" hidden="1" customHeight="1">
      <c r="A106" s="935"/>
      <c r="B106" s="266"/>
      <c r="C106" s="1399"/>
      <c r="D106" s="1408"/>
      <c r="E106" s="1400"/>
      <c r="F106" s="267"/>
      <c r="G106" s="1399"/>
      <c r="H106" s="1408"/>
      <c r="I106" s="1400"/>
      <c r="J106" s="1380"/>
      <c r="K106" s="1380"/>
      <c r="L106" s="1380"/>
      <c r="M106" s="935"/>
      <c r="N106" s="935"/>
      <c r="O106" s="935"/>
      <c r="P106" s="935"/>
      <c r="Q106" s="266"/>
      <c r="R106" s="266"/>
      <c r="S106" s="268"/>
      <c r="T106" s="269" t="e">
        <f>VLOOKUP(Q106,[71]Listas!$D$6:$E$10,2,0)</f>
        <v>#N/A</v>
      </c>
      <c r="U106" s="269" t="e">
        <f>HLOOKUP(R106,[71]Listas!$F$4:$J$5,2,0)</f>
        <v>#N/A</v>
      </c>
      <c r="V106" s="270" t="e">
        <f>INDEX([71]Listas!$F$6:$J$10,MATCH(Q106,[71]Listas!$D$6:$D$10,0),MATCH(R106,[71]Listas!$F$4:$J$4,0))</f>
        <v>#N/A</v>
      </c>
      <c r="W106" s="268"/>
      <c r="X106" s="1399"/>
      <c r="Y106" s="1408"/>
      <c r="Z106" s="1400"/>
      <c r="AA106" s="1063"/>
      <c r="AB106" s="267"/>
      <c r="AC106" s="259"/>
      <c r="AD106" s="935"/>
      <c r="AE106" s="267"/>
      <c r="AF106" s="268"/>
      <c r="AG106" s="269">
        <f t="shared" si="8"/>
        <v>0</v>
      </c>
      <c r="AH106" s="271" t="e">
        <f t="shared" si="9"/>
        <v>#N/A</v>
      </c>
      <c r="AI106" s="272" t="e">
        <f>IF(AH106&lt;=1,"Remota",VLOOKUP(AH106,[71]Listas!$C$6:$D$10,2,0))</f>
        <v>#N/A</v>
      </c>
      <c r="AJ106" s="271" t="e">
        <f t="shared" si="10"/>
        <v>#N/A</v>
      </c>
      <c r="AK106" s="272" t="e">
        <f>IF(AJ106&lt;=1,"Insignificante",HLOOKUP(AJ106,[71]Listas!$F$3:$J$4,2,0))</f>
        <v>#N/A</v>
      </c>
      <c r="AL106" s="273" t="e">
        <f t="shared" si="11"/>
        <v>#N/A</v>
      </c>
      <c r="AM106" s="270" t="e">
        <f>INDEX([71]Listas!$F$6:$J$10,MATCH(AI106,[71]Listas!$D$6:$D$10,0),MATCH(AK106,[71]Listas!$F$4:$J$4,0))</f>
        <v>#N/A</v>
      </c>
      <c r="AN106" s="259"/>
      <c r="AO106" s="259"/>
      <c r="AP106" s="937"/>
      <c r="AQ106" s="259"/>
      <c r="AR106" s="259" t="s">
        <v>2343</v>
      </c>
      <c r="AS106" s="935"/>
      <c r="AT106" s="259"/>
      <c r="AU106" s="259"/>
      <c r="AV106" s="567"/>
      <c r="AW106" s="567"/>
      <c r="AX106" s="935"/>
      <c r="AY106" s="262"/>
    </row>
    <row r="107" spans="1:51" s="260" customFormat="1" ht="103.5" hidden="1" customHeight="1">
      <c r="A107" s="935"/>
      <c r="B107" s="266"/>
      <c r="C107" s="1399"/>
      <c r="D107" s="1408"/>
      <c r="E107" s="1400"/>
      <c r="F107" s="267"/>
      <c r="G107" s="1399"/>
      <c r="H107" s="1408"/>
      <c r="I107" s="1400"/>
      <c r="J107" s="1380"/>
      <c r="K107" s="1380"/>
      <c r="L107" s="1380"/>
      <c r="M107" s="935"/>
      <c r="N107" s="935"/>
      <c r="O107" s="935"/>
      <c r="P107" s="935"/>
      <c r="Q107" s="266"/>
      <c r="R107" s="266"/>
      <c r="S107" s="268"/>
      <c r="T107" s="269" t="e">
        <f>VLOOKUP(Q107,[71]Listas!$D$6:$E$10,2,0)</f>
        <v>#N/A</v>
      </c>
      <c r="U107" s="269" t="e">
        <f>HLOOKUP(R107,[71]Listas!$F$4:$J$5,2,0)</f>
        <v>#N/A</v>
      </c>
      <c r="V107" s="270" t="e">
        <f>INDEX([71]Listas!$F$6:$J$10,MATCH(Q107,[71]Listas!$D$6:$D$10,0),MATCH(R107,[71]Listas!$F$4:$J$4,0))</f>
        <v>#N/A</v>
      </c>
      <c r="W107" s="268"/>
      <c r="X107" s="1399"/>
      <c r="Y107" s="1408"/>
      <c r="Z107" s="1400"/>
      <c r="AA107" s="1063"/>
      <c r="AB107" s="267"/>
      <c r="AC107" s="259"/>
      <c r="AD107" s="935"/>
      <c r="AE107" s="267"/>
      <c r="AF107" s="268"/>
      <c r="AG107" s="269">
        <f t="shared" si="8"/>
        <v>0</v>
      </c>
      <c r="AH107" s="271" t="e">
        <f t="shared" si="9"/>
        <v>#N/A</v>
      </c>
      <c r="AI107" s="272" t="e">
        <f>IF(AH107&lt;=1,"Remota",VLOOKUP(AH107,[71]Listas!$C$6:$D$10,2,0))</f>
        <v>#N/A</v>
      </c>
      <c r="AJ107" s="271" t="e">
        <f t="shared" si="10"/>
        <v>#N/A</v>
      </c>
      <c r="AK107" s="272" t="e">
        <f>IF(AJ107&lt;=1,"Insignificante",HLOOKUP(AJ107,[71]Listas!$F$3:$J$4,2,0))</f>
        <v>#N/A</v>
      </c>
      <c r="AL107" s="273" t="e">
        <f t="shared" si="11"/>
        <v>#N/A</v>
      </c>
      <c r="AM107" s="270" t="e">
        <f>INDEX([71]Listas!$F$6:$J$10,MATCH(AI107,[71]Listas!$D$6:$D$10,0),MATCH(AK107,[71]Listas!$F$4:$J$4,0))</f>
        <v>#N/A</v>
      </c>
      <c r="AN107" s="259"/>
      <c r="AO107" s="259"/>
      <c r="AP107" s="937"/>
      <c r="AQ107" s="259"/>
      <c r="AR107" s="259" t="s">
        <v>2343</v>
      </c>
      <c r="AS107" s="935"/>
      <c r="AT107" s="259"/>
      <c r="AU107" s="259"/>
      <c r="AV107" s="567"/>
      <c r="AW107" s="567"/>
      <c r="AX107" s="935"/>
      <c r="AY107" s="262"/>
    </row>
    <row r="108" spans="1:51" s="260" customFormat="1" ht="103.5" hidden="1" customHeight="1">
      <c r="A108" s="935"/>
      <c r="B108" s="266"/>
      <c r="C108" s="1399"/>
      <c r="D108" s="1408"/>
      <c r="E108" s="1400"/>
      <c r="F108" s="267"/>
      <c r="G108" s="1399"/>
      <c r="H108" s="1408"/>
      <c r="I108" s="1400"/>
      <c r="J108" s="1380"/>
      <c r="K108" s="1380"/>
      <c r="L108" s="1380"/>
      <c r="M108" s="935"/>
      <c r="N108" s="935"/>
      <c r="O108" s="935"/>
      <c r="P108" s="935"/>
      <c r="Q108" s="266"/>
      <c r="R108" s="266"/>
      <c r="S108" s="268"/>
      <c r="T108" s="269" t="e">
        <f>VLOOKUP(Q108,[71]Listas!$D$6:$E$10,2,0)</f>
        <v>#N/A</v>
      </c>
      <c r="U108" s="269" t="e">
        <f>HLOOKUP(R108,[71]Listas!$F$4:$J$5,2,0)</f>
        <v>#N/A</v>
      </c>
      <c r="V108" s="270" t="e">
        <f>INDEX([71]Listas!$F$6:$J$10,MATCH(Q108,[71]Listas!$D$6:$D$10,0),MATCH(R108,[71]Listas!$F$4:$J$4,0))</f>
        <v>#N/A</v>
      </c>
      <c r="W108" s="268"/>
      <c r="X108" s="1399"/>
      <c r="Y108" s="1408"/>
      <c r="Z108" s="1400"/>
      <c r="AA108" s="1063"/>
      <c r="AB108" s="267"/>
      <c r="AC108" s="259"/>
      <c r="AD108" s="935"/>
      <c r="AE108" s="267"/>
      <c r="AF108" s="268"/>
      <c r="AG108" s="269">
        <f t="shared" si="8"/>
        <v>0</v>
      </c>
      <c r="AH108" s="271" t="e">
        <f t="shared" si="9"/>
        <v>#N/A</v>
      </c>
      <c r="AI108" s="272" t="e">
        <f>IF(AH108&lt;=1,"Remota",VLOOKUP(AH108,[71]Listas!$C$6:$D$10,2,0))</f>
        <v>#N/A</v>
      </c>
      <c r="AJ108" s="271" t="e">
        <f t="shared" si="10"/>
        <v>#N/A</v>
      </c>
      <c r="AK108" s="272" t="e">
        <f>IF(AJ108&lt;=1,"Insignificante",HLOOKUP(AJ108,[71]Listas!$F$3:$J$4,2,0))</f>
        <v>#N/A</v>
      </c>
      <c r="AL108" s="273" t="e">
        <f t="shared" si="11"/>
        <v>#N/A</v>
      </c>
      <c r="AM108" s="270" t="e">
        <f>INDEX([71]Listas!$F$6:$J$10,MATCH(AI108,[71]Listas!$D$6:$D$10,0),MATCH(AK108,[71]Listas!$F$4:$J$4,0))</f>
        <v>#N/A</v>
      </c>
      <c r="AN108" s="259"/>
      <c r="AO108" s="259"/>
      <c r="AP108" s="937"/>
      <c r="AQ108" s="259"/>
      <c r="AR108" s="259" t="s">
        <v>2343</v>
      </c>
      <c r="AS108" s="935"/>
      <c r="AT108" s="259"/>
      <c r="AU108" s="259"/>
      <c r="AV108" s="567"/>
      <c r="AW108" s="567"/>
      <c r="AX108" s="935"/>
      <c r="AY108" s="262"/>
    </row>
    <row r="109" spans="1:51" s="260" customFormat="1" ht="103.5" hidden="1" customHeight="1">
      <c r="A109" s="935"/>
      <c r="B109" s="266"/>
      <c r="C109" s="1399"/>
      <c r="D109" s="1408"/>
      <c r="E109" s="1400"/>
      <c r="F109" s="267"/>
      <c r="G109" s="1399"/>
      <c r="H109" s="1408"/>
      <c r="I109" s="1400"/>
      <c r="J109" s="1380"/>
      <c r="K109" s="1380"/>
      <c r="L109" s="1380"/>
      <c r="M109" s="935"/>
      <c r="N109" s="935"/>
      <c r="O109" s="935"/>
      <c r="P109" s="935"/>
      <c r="Q109" s="266"/>
      <c r="R109" s="266"/>
      <c r="S109" s="268"/>
      <c r="T109" s="269" t="e">
        <f>VLOOKUP(Q109,[71]Listas!$D$6:$E$10,2,0)</f>
        <v>#N/A</v>
      </c>
      <c r="U109" s="269" t="e">
        <f>HLOOKUP(R109,[71]Listas!$F$4:$J$5,2,0)</f>
        <v>#N/A</v>
      </c>
      <c r="V109" s="270" t="e">
        <f>INDEX([71]Listas!$F$6:$J$10,MATCH(Q109,[71]Listas!$D$6:$D$10,0),MATCH(R109,[71]Listas!$F$4:$J$4,0))</f>
        <v>#N/A</v>
      </c>
      <c r="W109" s="268"/>
      <c r="X109" s="1399"/>
      <c r="Y109" s="1408"/>
      <c r="Z109" s="1400"/>
      <c r="AA109" s="1063"/>
      <c r="AB109" s="267"/>
      <c r="AC109" s="259"/>
      <c r="AD109" s="935"/>
      <c r="AE109" s="267"/>
      <c r="AF109" s="268"/>
      <c r="AG109" s="269">
        <f t="shared" si="8"/>
        <v>0</v>
      </c>
      <c r="AH109" s="271" t="e">
        <f t="shared" si="9"/>
        <v>#N/A</v>
      </c>
      <c r="AI109" s="272" t="e">
        <f>IF(AH109&lt;=1,"Remota",VLOOKUP(AH109,[71]Listas!$C$6:$D$10,2,0))</f>
        <v>#N/A</v>
      </c>
      <c r="AJ109" s="271" t="e">
        <f t="shared" si="10"/>
        <v>#N/A</v>
      </c>
      <c r="AK109" s="272" t="e">
        <f>IF(AJ109&lt;=1,"Insignificante",HLOOKUP(AJ109,[71]Listas!$F$3:$J$4,2,0))</f>
        <v>#N/A</v>
      </c>
      <c r="AL109" s="273" t="e">
        <f t="shared" si="11"/>
        <v>#N/A</v>
      </c>
      <c r="AM109" s="270" t="e">
        <f>INDEX([71]Listas!$F$6:$J$10,MATCH(AI109,[71]Listas!$D$6:$D$10,0),MATCH(AK109,[71]Listas!$F$4:$J$4,0))</f>
        <v>#N/A</v>
      </c>
      <c r="AN109" s="259"/>
      <c r="AO109" s="259"/>
      <c r="AP109" s="937"/>
      <c r="AQ109" s="259"/>
      <c r="AR109" s="259" t="s">
        <v>2343</v>
      </c>
      <c r="AS109" s="935"/>
      <c r="AT109" s="259"/>
      <c r="AU109" s="259"/>
      <c r="AV109" s="567"/>
      <c r="AW109" s="567"/>
      <c r="AX109" s="935"/>
      <c r="AY109" s="262"/>
    </row>
    <row r="110" spans="1:51" s="260" customFormat="1" ht="103.5" hidden="1" customHeight="1">
      <c r="A110" s="935"/>
      <c r="B110" s="266"/>
      <c r="C110" s="1399"/>
      <c r="D110" s="1408"/>
      <c r="E110" s="1400"/>
      <c r="F110" s="267"/>
      <c r="G110" s="1399"/>
      <c r="H110" s="1408"/>
      <c r="I110" s="1400"/>
      <c r="J110" s="1380"/>
      <c r="K110" s="1380"/>
      <c r="L110" s="1380"/>
      <c r="M110" s="935"/>
      <c r="N110" s="935"/>
      <c r="O110" s="935"/>
      <c r="P110" s="935"/>
      <c r="Q110" s="266"/>
      <c r="R110" s="266"/>
      <c r="S110" s="268"/>
      <c r="T110" s="269" t="e">
        <f>VLOOKUP(Q110,[71]Listas!$D$6:$E$10,2,0)</f>
        <v>#N/A</v>
      </c>
      <c r="U110" s="269" t="e">
        <f>HLOOKUP(R110,[71]Listas!$F$4:$J$5,2,0)</f>
        <v>#N/A</v>
      </c>
      <c r="V110" s="270" t="e">
        <f>INDEX([71]Listas!$F$6:$J$10,MATCH(Q110,[71]Listas!$D$6:$D$10,0),MATCH(R110,[71]Listas!$F$4:$J$4,0))</f>
        <v>#N/A</v>
      </c>
      <c r="W110" s="268"/>
      <c r="X110" s="1399"/>
      <c r="Y110" s="1408"/>
      <c r="Z110" s="1400"/>
      <c r="AA110" s="1063"/>
      <c r="AB110" s="267"/>
      <c r="AC110" s="259"/>
      <c r="AD110" s="935"/>
      <c r="AE110" s="267"/>
      <c r="AF110" s="268"/>
      <c r="AG110" s="269">
        <f t="shared" si="8"/>
        <v>0</v>
      </c>
      <c r="AH110" s="271" t="e">
        <f t="shared" si="9"/>
        <v>#N/A</v>
      </c>
      <c r="AI110" s="272" t="e">
        <f>IF(AH110&lt;=1,"Remota",VLOOKUP(AH110,[71]Listas!$C$6:$D$10,2,0))</f>
        <v>#N/A</v>
      </c>
      <c r="AJ110" s="271" t="e">
        <f t="shared" si="10"/>
        <v>#N/A</v>
      </c>
      <c r="AK110" s="272" t="e">
        <f>IF(AJ110&lt;=1,"Insignificante",HLOOKUP(AJ110,[71]Listas!$F$3:$J$4,2,0))</f>
        <v>#N/A</v>
      </c>
      <c r="AL110" s="273" t="e">
        <f t="shared" si="11"/>
        <v>#N/A</v>
      </c>
      <c r="AM110" s="270" t="e">
        <f>INDEX([71]Listas!$F$6:$J$10,MATCH(AI110,[71]Listas!$D$6:$D$10,0),MATCH(AK110,[71]Listas!$F$4:$J$4,0))</f>
        <v>#N/A</v>
      </c>
      <c r="AN110" s="259"/>
      <c r="AO110" s="259"/>
      <c r="AP110" s="937"/>
      <c r="AQ110" s="259"/>
      <c r="AR110" s="259" t="s">
        <v>2343</v>
      </c>
      <c r="AS110" s="935"/>
      <c r="AT110" s="259"/>
      <c r="AU110" s="259"/>
      <c r="AV110" s="567"/>
      <c r="AW110" s="567"/>
      <c r="AX110" s="935"/>
      <c r="AY110" s="262"/>
    </row>
    <row r="111" spans="1:51" s="260" customFormat="1" ht="103.5" hidden="1" customHeight="1">
      <c r="A111" s="935"/>
      <c r="B111" s="266"/>
      <c r="C111" s="1399"/>
      <c r="D111" s="1408"/>
      <c r="E111" s="1400"/>
      <c r="F111" s="267"/>
      <c r="G111" s="1399"/>
      <c r="H111" s="1408"/>
      <c r="I111" s="1400"/>
      <c r="J111" s="1380"/>
      <c r="K111" s="1380"/>
      <c r="L111" s="1380"/>
      <c r="M111" s="935"/>
      <c r="N111" s="935"/>
      <c r="O111" s="935"/>
      <c r="P111" s="935"/>
      <c r="Q111" s="266"/>
      <c r="R111" s="266"/>
      <c r="S111" s="268"/>
      <c r="T111" s="269" t="e">
        <f>VLOOKUP(Q111,[71]Listas!$D$6:$E$10,2,0)</f>
        <v>#N/A</v>
      </c>
      <c r="U111" s="269" t="e">
        <f>HLOOKUP(R111,[71]Listas!$F$4:$J$5,2,0)</f>
        <v>#N/A</v>
      </c>
      <c r="V111" s="270" t="e">
        <f>INDEX([71]Listas!$F$6:$J$10,MATCH(Q111,[71]Listas!$D$6:$D$10,0),MATCH(R111,[71]Listas!$F$4:$J$4,0))</f>
        <v>#N/A</v>
      </c>
      <c r="W111" s="268"/>
      <c r="X111" s="1399"/>
      <c r="Y111" s="1408"/>
      <c r="Z111" s="1400"/>
      <c r="AA111" s="1063"/>
      <c r="AB111" s="267"/>
      <c r="AC111" s="259"/>
      <c r="AD111" s="935"/>
      <c r="AE111" s="267"/>
      <c r="AF111" s="268"/>
      <c r="AG111" s="269">
        <f t="shared" si="8"/>
        <v>0</v>
      </c>
      <c r="AH111" s="271" t="e">
        <f t="shared" si="9"/>
        <v>#N/A</v>
      </c>
      <c r="AI111" s="272" t="e">
        <f>IF(AH111&lt;=1,"Remota",VLOOKUP(AH111,[71]Listas!$C$6:$D$10,2,0))</f>
        <v>#N/A</v>
      </c>
      <c r="AJ111" s="271" t="e">
        <f t="shared" si="10"/>
        <v>#N/A</v>
      </c>
      <c r="AK111" s="272" t="e">
        <f>IF(AJ111&lt;=1,"Insignificante",HLOOKUP(AJ111,[71]Listas!$F$3:$J$4,2,0))</f>
        <v>#N/A</v>
      </c>
      <c r="AL111" s="273" t="e">
        <f t="shared" si="11"/>
        <v>#N/A</v>
      </c>
      <c r="AM111" s="270" t="e">
        <f>INDEX([71]Listas!$F$6:$J$10,MATCH(AI111,[71]Listas!$D$6:$D$10,0),MATCH(AK111,[71]Listas!$F$4:$J$4,0))</f>
        <v>#N/A</v>
      </c>
      <c r="AN111" s="259"/>
      <c r="AO111" s="259"/>
      <c r="AP111" s="937"/>
      <c r="AQ111" s="259"/>
      <c r="AR111" s="259" t="s">
        <v>2343</v>
      </c>
      <c r="AS111" s="935"/>
      <c r="AT111" s="259"/>
      <c r="AU111" s="259"/>
      <c r="AV111" s="567"/>
      <c r="AW111" s="567"/>
      <c r="AX111" s="935"/>
      <c r="AY111" s="262"/>
    </row>
    <row r="112" spans="1:51" s="260" customFormat="1" ht="103.5" hidden="1" customHeight="1">
      <c r="A112" s="935"/>
      <c r="B112" s="266"/>
      <c r="C112" s="1399"/>
      <c r="D112" s="1408"/>
      <c r="E112" s="1400"/>
      <c r="F112" s="267"/>
      <c r="G112" s="1399"/>
      <c r="H112" s="1408"/>
      <c r="I112" s="1400"/>
      <c r="J112" s="1380"/>
      <c r="K112" s="1380"/>
      <c r="L112" s="1380"/>
      <c r="M112" s="935"/>
      <c r="N112" s="935"/>
      <c r="O112" s="935"/>
      <c r="P112" s="935"/>
      <c r="Q112" s="266"/>
      <c r="R112" s="266"/>
      <c r="S112" s="268"/>
      <c r="T112" s="269" t="e">
        <f>VLOOKUP(Q112,[71]Listas!$D$6:$E$10,2,0)</f>
        <v>#N/A</v>
      </c>
      <c r="U112" s="269" t="e">
        <f>HLOOKUP(R112,[71]Listas!$F$4:$J$5,2,0)</f>
        <v>#N/A</v>
      </c>
      <c r="V112" s="270" t="e">
        <f>INDEX([71]Listas!$F$6:$J$10,MATCH(Q112,[71]Listas!$D$6:$D$10,0),MATCH(R112,[71]Listas!$F$4:$J$4,0))</f>
        <v>#N/A</v>
      </c>
      <c r="W112" s="268"/>
      <c r="X112" s="1399"/>
      <c r="Y112" s="1408"/>
      <c r="Z112" s="1400"/>
      <c r="AA112" s="1063"/>
      <c r="AB112" s="267"/>
      <c r="AC112" s="259"/>
      <c r="AD112" s="935"/>
      <c r="AE112" s="267"/>
      <c r="AF112" s="268"/>
      <c r="AG112" s="269">
        <f t="shared" si="8"/>
        <v>0</v>
      </c>
      <c r="AH112" s="271" t="e">
        <f t="shared" si="9"/>
        <v>#N/A</v>
      </c>
      <c r="AI112" s="272" t="e">
        <f>IF(AH112&lt;=1,"Remota",VLOOKUP(AH112,[71]Listas!$C$6:$D$10,2,0))</f>
        <v>#N/A</v>
      </c>
      <c r="AJ112" s="271" t="e">
        <f t="shared" si="10"/>
        <v>#N/A</v>
      </c>
      <c r="AK112" s="272" t="e">
        <f>IF(AJ112&lt;=1,"Insignificante",HLOOKUP(AJ112,[71]Listas!$F$3:$J$4,2,0))</f>
        <v>#N/A</v>
      </c>
      <c r="AL112" s="273" t="e">
        <f t="shared" si="11"/>
        <v>#N/A</v>
      </c>
      <c r="AM112" s="270" t="e">
        <f>INDEX([71]Listas!$F$6:$J$10,MATCH(AI112,[71]Listas!$D$6:$D$10,0),MATCH(AK112,[71]Listas!$F$4:$J$4,0))</f>
        <v>#N/A</v>
      </c>
      <c r="AN112" s="259"/>
      <c r="AO112" s="259"/>
      <c r="AP112" s="937"/>
      <c r="AQ112" s="259"/>
      <c r="AR112" s="259" t="s">
        <v>2343</v>
      </c>
      <c r="AS112" s="935"/>
      <c r="AT112" s="259"/>
      <c r="AU112" s="259"/>
      <c r="AV112" s="567"/>
      <c r="AW112" s="567"/>
      <c r="AX112" s="935"/>
      <c r="AY112" s="262"/>
    </row>
    <row r="113" spans="1:51" s="260" customFormat="1" ht="103.5" hidden="1" customHeight="1">
      <c r="A113" s="935"/>
      <c r="B113" s="266"/>
      <c r="C113" s="1399"/>
      <c r="D113" s="1408"/>
      <c r="E113" s="1400"/>
      <c r="F113" s="267"/>
      <c r="G113" s="1399"/>
      <c r="H113" s="1408"/>
      <c r="I113" s="1400"/>
      <c r="J113" s="1380"/>
      <c r="K113" s="1380"/>
      <c r="L113" s="1380"/>
      <c r="M113" s="935"/>
      <c r="N113" s="935"/>
      <c r="O113" s="935"/>
      <c r="P113" s="935"/>
      <c r="Q113" s="266"/>
      <c r="R113" s="266"/>
      <c r="S113" s="268"/>
      <c r="T113" s="269" t="e">
        <f>VLOOKUP(Q113,[71]Listas!$D$6:$E$10,2,0)</f>
        <v>#N/A</v>
      </c>
      <c r="U113" s="269" t="e">
        <f>HLOOKUP(R113,[71]Listas!$F$4:$J$5,2,0)</f>
        <v>#N/A</v>
      </c>
      <c r="V113" s="270" t="e">
        <f>INDEX([71]Listas!$F$6:$J$10,MATCH(Q113,[71]Listas!$D$6:$D$10,0),MATCH(R113,[71]Listas!$F$4:$J$4,0))</f>
        <v>#N/A</v>
      </c>
      <c r="W113" s="268"/>
      <c r="X113" s="1399"/>
      <c r="Y113" s="1408"/>
      <c r="Z113" s="1400"/>
      <c r="AA113" s="1063"/>
      <c r="AB113" s="267"/>
      <c r="AC113" s="259"/>
      <c r="AD113" s="935"/>
      <c r="AE113" s="267"/>
      <c r="AF113" s="268"/>
      <c r="AG113" s="269">
        <f t="shared" si="8"/>
        <v>0</v>
      </c>
      <c r="AH113" s="271" t="e">
        <f t="shared" si="9"/>
        <v>#N/A</v>
      </c>
      <c r="AI113" s="272" t="e">
        <f>IF(AH113&lt;=1,"Remota",VLOOKUP(AH113,[71]Listas!$C$6:$D$10,2,0))</f>
        <v>#N/A</v>
      </c>
      <c r="AJ113" s="271" t="e">
        <f t="shared" si="10"/>
        <v>#N/A</v>
      </c>
      <c r="AK113" s="272" t="e">
        <f>IF(AJ113&lt;=1,"Insignificante",HLOOKUP(AJ113,[71]Listas!$F$3:$J$4,2,0))</f>
        <v>#N/A</v>
      </c>
      <c r="AL113" s="273" t="e">
        <f t="shared" si="11"/>
        <v>#N/A</v>
      </c>
      <c r="AM113" s="270" t="e">
        <f>INDEX([71]Listas!$F$6:$J$10,MATCH(AI113,[71]Listas!$D$6:$D$10,0),MATCH(AK113,[71]Listas!$F$4:$J$4,0))</f>
        <v>#N/A</v>
      </c>
      <c r="AN113" s="259"/>
      <c r="AO113" s="259"/>
      <c r="AP113" s="937"/>
      <c r="AQ113" s="259"/>
      <c r="AR113" s="259" t="s">
        <v>2343</v>
      </c>
      <c r="AS113" s="935"/>
      <c r="AT113" s="259"/>
      <c r="AU113" s="259"/>
      <c r="AV113" s="567"/>
      <c r="AW113" s="567"/>
      <c r="AX113" s="935"/>
      <c r="AY113" s="262"/>
    </row>
    <row r="114" spans="1:51" s="260" customFormat="1" ht="103.5" hidden="1" customHeight="1">
      <c r="A114" s="935"/>
      <c r="B114" s="266"/>
      <c r="C114" s="1399"/>
      <c r="D114" s="1408"/>
      <c r="E114" s="1400"/>
      <c r="F114" s="267"/>
      <c r="G114" s="1399"/>
      <c r="H114" s="1408"/>
      <c r="I114" s="1400"/>
      <c r="J114" s="1380"/>
      <c r="K114" s="1380"/>
      <c r="L114" s="1380"/>
      <c r="M114" s="935"/>
      <c r="N114" s="935"/>
      <c r="O114" s="935"/>
      <c r="P114" s="935"/>
      <c r="Q114" s="266"/>
      <c r="R114" s="266"/>
      <c r="S114" s="268"/>
      <c r="T114" s="269" t="e">
        <f>VLOOKUP(Q114,[71]Listas!$D$6:$E$10,2,0)</f>
        <v>#N/A</v>
      </c>
      <c r="U114" s="269" t="e">
        <f>HLOOKUP(R114,[71]Listas!$F$4:$J$5,2,0)</f>
        <v>#N/A</v>
      </c>
      <c r="V114" s="270" t="e">
        <f>INDEX([71]Listas!$F$6:$J$10,MATCH(Q114,[71]Listas!$D$6:$D$10,0),MATCH(R114,[71]Listas!$F$4:$J$4,0))</f>
        <v>#N/A</v>
      </c>
      <c r="W114" s="268"/>
      <c r="X114" s="1399"/>
      <c r="Y114" s="1408"/>
      <c r="Z114" s="1400"/>
      <c r="AA114" s="1063"/>
      <c r="AB114" s="267"/>
      <c r="AC114" s="259"/>
      <c r="AD114" s="935"/>
      <c r="AE114" s="267"/>
      <c r="AF114" s="268"/>
      <c r="AG114" s="269">
        <f t="shared" si="8"/>
        <v>0</v>
      </c>
      <c r="AH114" s="271" t="e">
        <f t="shared" si="9"/>
        <v>#N/A</v>
      </c>
      <c r="AI114" s="272" t="e">
        <f>IF(AH114&lt;=1,"Remota",VLOOKUP(AH114,[71]Listas!$C$6:$D$10,2,0))</f>
        <v>#N/A</v>
      </c>
      <c r="AJ114" s="271" t="e">
        <f t="shared" si="10"/>
        <v>#N/A</v>
      </c>
      <c r="AK114" s="272" t="e">
        <f>IF(AJ114&lt;=1,"Insignificante",HLOOKUP(AJ114,[71]Listas!$F$3:$J$4,2,0))</f>
        <v>#N/A</v>
      </c>
      <c r="AL114" s="273" t="e">
        <f t="shared" si="11"/>
        <v>#N/A</v>
      </c>
      <c r="AM114" s="270" t="e">
        <f>INDEX([71]Listas!$F$6:$J$10,MATCH(AI114,[71]Listas!$D$6:$D$10,0),MATCH(AK114,[71]Listas!$F$4:$J$4,0))</f>
        <v>#N/A</v>
      </c>
      <c r="AN114" s="259"/>
      <c r="AO114" s="259"/>
      <c r="AP114" s="937"/>
      <c r="AQ114" s="259"/>
      <c r="AR114" s="259" t="s">
        <v>2343</v>
      </c>
      <c r="AS114" s="935"/>
      <c r="AT114" s="259"/>
      <c r="AU114" s="259"/>
      <c r="AV114" s="567"/>
      <c r="AW114" s="567"/>
      <c r="AX114" s="935"/>
      <c r="AY114" s="262"/>
    </row>
    <row r="115" spans="1:51" s="260" customFormat="1" ht="103.5" hidden="1" customHeight="1">
      <c r="A115" s="935"/>
      <c r="B115" s="266"/>
      <c r="C115" s="1399"/>
      <c r="D115" s="1408"/>
      <c r="E115" s="1400"/>
      <c r="F115" s="267"/>
      <c r="G115" s="1399"/>
      <c r="H115" s="1408"/>
      <c r="I115" s="1400"/>
      <c r="J115" s="1380"/>
      <c r="K115" s="1380"/>
      <c r="L115" s="1380"/>
      <c r="M115" s="935"/>
      <c r="N115" s="935"/>
      <c r="O115" s="935"/>
      <c r="P115" s="935"/>
      <c r="Q115" s="266"/>
      <c r="R115" s="266"/>
      <c r="S115" s="268"/>
      <c r="T115" s="269" t="e">
        <f>VLOOKUP(Q115,[71]Listas!$D$6:$E$10,2,0)</f>
        <v>#N/A</v>
      </c>
      <c r="U115" s="269" t="e">
        <f>HLOOKUP(R115,[71]Listas!$F$4:$J$5,2,0)</f>
        <v>#N/A</v>
      </c>
      <c r="V115" s="270" t="e">
        <f>INDEX([71]Listas!$F$6:$J$10,MATCH(Q115,[71]Listas!$D$6:$D$10,0),MATCH(R115,[71]Listas!$F$4:$J$4,0))</f>
        <v>#N/A</v>
      </c>
      <c r="W115" s="268"/>
      <c r="X115" s="1399"/>
      <c r="Y115" s="1408"/>
      <c r="Z115" s="1400"/>
      <c r="AA115" s="1063"/>
      <c r="AB115" s="267"/>
      <c r="AC115" s="259"/>
      <c r="AD115" s="935"/>
      <c r="AE115" s="267"/>
      <c r="AF115" s="268"/>
      <c r="AG115" s="269">
        <f t="shared" si="8"/>
        <v>0</v>
      </c>
      <c r="AH115" s="271" t="e">
        <f t="shared" si="9"/>
        <v>#N/A</v>
      </c>
      <c r="AI115" s="272" t="e">
        <f>IF(AH115&lt;=1,"Remota",VLOOKUP(AH115,[71]Listas!$C$6:$D$10,2,0))</f>
        <v>#N/A</v>
      </c>
      <c r="AJ115" s="271" t="e">
        <f t="shared" si="10"/>
        <v>#N/A</v>
      </c>
      <c r="AK115" s="272" t="e">
        <f>IF(AJ115&lt;=1,"Insignificante",HLOOKUP(AJ115,[71]Listas!$F$3:$J$4,2,0))</f>
        <v>#N/A</v>
      </c>
      <c r="AL115" s="273" t="e">
        <f t="shared" si="11"/>
        <v>#N/A</v>
      </c>
      <c r="AM115" s="270" t="e">
        <f>INDEX([71]Listas!$F$6:$J$10,MATCH(AI115,[71]Listas!$D$6:$D$10,0),MATCH(AK115,[71]Listas!$F$4:$J$4,0))</f>
        <v>#N/A</v>
      </c>
      <c r="AN115" s="259"/>
      <c r="AO115" s="259"/>
      <c r="AP115" s="937"/>
      <c r="AQ115" s="259"/>
      <c r="AR115" s="259" t="s">
        <v>2343</v>
      </c>
      <c r="AS115" s="935"/>
      <c r="AT115" s="259"/>
      <c r="AU115" s="259"/>
      <c r="AV115" s="567"/>
      <c r="AW115" s="567"/>
      <c r="AX115" s="935"/>
      <c r="AY115" s="262"/>
    </row>
    <row r="116" spans="1:51" s="260" customFormat="1" ht="103.5" hidden="1" customHeight="1">
      <c r="A116" s="935"/>
      <c r="B116" s="266"/>
      <c r="C116" s="1399"/>
      <c r="D116" s="1408"/>
      <c r="E116" s="1400"/>
      <c r="F116" s="267"/>
      <c r="G116" s="1399"/>
      <c r="H116" s="1408"/>
      <c r="I116" s="1400"/>
      <c r="J116" s="1380"/>
      <c r="K116" s="1380"/>
      <c r="L116" s="1380"/>
      <c r="M116" s="935"/>
      <c r="N116" s="935"/>
      <c r="O116" s="935"/>
      <c r="P116" s="935"/>
      <c r="Q116" s="266"/>
      <c r="R116" s="266"/>
      <c r="S116" s="268"/>
      <c r="T116" s="269" t="e">
        <f>VLOOKUP(Q116,[71]Listas!$D$6:$E$10,2,0)</f>
        <v>#N/A</v>
      </c>
      <c r="U116" s="269" t="e">
        <f>HLOOKUP(R116,[71]Listas!$F$4:$J$5,2,0)</f>
        <v>#N/A</v>
      </c>
      <c r="V116" s="270" t="e">
        <f>INDEX([71]Listas!$F$6:$J$10,MATCH(Q116,[71]Listas!$D$6:$D$10,0),MATCH(R116,[71]Listas!$F$4:$J$4,0))</f>
        <v>#N/A</v>
      </c>
      <c r="W116" s="268"/>
      <c r="X116" s="1399"/>
      <c r="Y116" s="1408"/>
      <c r="Z116" s="1400"/>
      <c r="AA116" s="1063"/>
      <c r="AB116" s="267"/>
      <c r="AC116" s="259"/>
      <c r="AD116" s="935"/>
      <c r="AE116" s="267"/>
      <c r="AF116" s="268"/>
      <c r="AG116" s="269">
        <f t="shared" si="8"/>
        <v>0</v>
      </c>
      <c r="AH116" s="271" t="e">
        <f t="shared" si="9"/>
        <v>#N/A</v>
      </c>
      <c r="AI116" s="272" t="e">
        <f>IF(AH116&lt;=1,"Remota",VLOOKUP(AH116,[71]Listas!$C$6:$D$10,2,0))</f>
        <v>#N/A</v>
      </c>
      <c r="AJ116" s="271" t="e">
        <f t="shared" si="10"/>
        <v>#N/A</v>
      </c>
      <c r="AK116" s="272" t="e">
        <f>IF(AJ116&lt;=1,"Insignificante",HLOOKUP(AJ116,[71]Listas!$F$3:$J$4,2,0))</f>
        <v>#N/A</v>
      </c>
      <c r="AL116" s="273" t="e">
        <f t="shared" si="11"/>
        <v>#N/A</v>
      </c>
      <c r="AM116" s="270" t="e">
        <f>INDEX([71]Listas!$F$6:$J$10,MATCH(AI116,[71]Listas!$D$6:$D$10,0),MATCH(AK116,[71]Listas!$F$4:$J$4,0))</f>
        <v>#N/A</v>
      </c>
      <c r="AN116" s="259"/>
      <c r="AO116" s="259"/>
      <c r="AP116" s="937"/>
      <c r="AQ116" s="259"/>
      <c r="AR116" s="259" t="s">
        <v>2343</v>
      </c>
      <c r="AS116" s="935"/>
      <c r="AT116" s="259"/>
      <c r="AU116" s="259"/>
      <c r="AV116" s="567"/>
      <c r="AW116" s="567"/>
      <c r="AX116" s="935"/>
      <c r="AY116" s="262"/>
    </row>
    <row r="117" spans="1:51" s="260" customFormat="1" ht="103.5" hidden="1" customHeight="1">
      <c r="A117" s="935"/>
      <c r="B117" s="266"/>
      <c r="C117" s="1399"/>
      <c r="D117" s="1408"/>
      <c r="E117" s="1400"/>
      <c r="F117" s="267"/>
      <c r="G117" s="1399"/>
      <c r="H117" s="1408"/>
      <c r="I117" s="1400"/>
      <c r="J117" s="1380"/>
      <c r="K117" s="1380"/>
      <c r="L117" s="1380"/>
      <c r="M117" s="935"/>
      <c r="N117" s="935"/>
      <c r="O117" s="935"/>
      <c r="P117" s="935"/>
      <c r="Q117" s="266"/>
      <c r="R117" s="266"/>
      <c r="S117" s="268"/>
      <c r="T117" s="269" t="e">
        <f>VLOOKUP(Q117,[71]Listas!$D$6:$E$10,2,0)</f>
        <v>#N/A</v>
      </c>
      <c r="U117" s="269" t="e">
        <f>HLOOKUP(R117,[71]Listas!$F$4:$J$5,2,0)</f>
        <v>#N/A</v>
      </c>
      <c r="V117" s="270" t="e">
        <f>INDEX([71]Listas!$F$6:$J$10,MATCH(Q117,[71]Listas!$D$6:$D$10,0),MATCH(R117,[71]Listas!$F$4:$J$4,0))</f>
        <v>#N/A</v>
      </c>
      <c r="W117" s="268"/>
      <c r="X117" s="1399"/>
      <c r="Y117" s="1408"/>
      <c r="Z117" s="1400"/>
      <c r="AA117" s="1063"/>
      <c r="AB117" s="267"/>
      <c r="AC117" s="259"/>
      <c r="AD117" s="935"/>
      <c r="AE117" s="267"/>
      <c r="AF117" s="268"/>
      <c r="AG117" s="269">
        <f t="shared" si="8"/>
        <v>0</v>
      </c>
      <c r="AH117" s="271" t="e">
        <f t="shared" si="9"/>
        <v>#N/A</v>
      </c>
      <c r="AI117" s="272" t="e">
        <f>IF(AH117&lt;=1,"Remota",VLOOKUP(AH117,[71]Listas!$C$6:$D$10,2,0))</f>
        <v>#N/A</v>
      </c>
      <c r="AJ117" s="271" t="e">
        <f t="shared" si="10"/>
        <v>#N/A</v>
      </c>
      <c r="AK117" s="272" t="e">
        <f>IF(AJ117&lt;=1,"Insignificante",HLOOKUP(AJ117,[71]Listas!$F$3:$J$4,2,0))</f>
        <v>#N/A</v>
      </c>
      <c r="AL117" s="273" t="e">
        <f t="shared" si="11"/>
        <v>#N/A</v>
      </c>
      <c r="AM117" s="270" t="e">
        <f>INDEX([71]Listas!$F$6:$J$10,MATCH(AI117,[71]Listas!$D$6:$D$10,0),MATCH(AK117,[71]Listas!$F$4:$J$4,0))</f>
        <v>#N/A</v>
      </c>
      <c r="AN117" s="259"/>
      <c r="AO117" s="259"/>
      <c r="AP117" s="937"/>
      <c r="AQ117" s="259"/>
      <c r="AR117" s="259" t="s">
        <v>2343</v>
      </c>
      <c r="AS117" s="935"/>
      <c r="AT117" s="259"/>
      <c r="AU117" s="259"/>
      <c r="AV117" s="567"/>
      <c r="AW117" s="567"/>
      <c r="AX117" s="935"/>
      <c r="AY117" s="262"/>
    </row>
    <row r="118" spans="1:51" s="260" customFormat="1" ht="103.5" hidden="1" customHeight="1">
      <c r="A118" s="935"/>
      <c r="B118" s="266"/>
      <c r="C118" s="1399"/>
      <c r="D118" s="1408"/>
      <c r="E118" s="1400"/>
      <c r="F118" s="267"/>
      <c r="G118" s="1399"/>
      <c r="H118" s="1408"/>
      <c r="I118" s="1400"/>
      <c r="J118" s="1380"/>
      <c r="K118" s="1380"/>
      <c r="L118" s="1380"/>
      <c r="M118" s="935"/>
      <c r="N118" s="935"/>
      <c r="O118" s="935"/>
      <c r="P118" s="935"/>
      <c r="Q118" s="266"/>
      <c r="R118" s="266"/>
      <c r="S118" s="268"/>
      <c r="T118" s="269" t="e">
        <f>VLOOKUP(Q118,[71]Listas!$D$6:$E$10,2,0)</f>
        <v>#N/A</v>
      </c>
      <c r="U118" s="269" t="e">
        <f>HLOOKUP(R118,[71]Listas!$F$4:$J$5,2,0)</f>
        <v>#N/A</v>
      </c>
      <c r="V118" s="270" t="e">
        <f>INDEX([71]Listas!$F$6:$J$10,MATCH(Q118,[71]Listas!$D$6:$D$10,0),MATCH(R118,[71]Listas!$F$4:$J$4,0))</f>
        <v>#N/A</v>
      </c>
      <c r="W118" s="268"/>
      <c r="X118" s="1399"/>
      <c r="Y118" s="1408"/>
      <c r="Z118" s="1400"/>
      <c r="AA118" s="1063"/>
      <c r="AB118" s="267"/>
      <c r="AC118" s="259"/>
      <c r="AD118" s="935"/>
      <c r="AE118" s="267"/>
      <c r="AF118" s="268"/>
      <c r="AG118" s="269">
        <f t="shared" si="8"/>
        <v>0</v>
      </c>
      <c r="AH118" s="271" t="e">
        <f t="shared" si="9"/>
        <v>#N/A</v>
      </c>
      <c r="AI118" s="272" t="e">
        <f>IF(AH118&lt;=1,"Remota",VLOOKUP(AH118,[71]Listas!$C$6:$D$10,2,0))</f>
        <v>#N/A</v>
      </c>
      <c r="AJ118" s="271" t="e">
        <f t="shared" si="10"/>
        <v>#N/A</v>
      </c>
      <c r="AK118" s="272" t="e">
        <f>IF(AJ118&lt;=1,"Insignificante",HLOOKUP(AJ118,[71]Listas!$F$3:$J$4,2,0))</f>
        <v>#N/A</v>
      </c>
      <c r="AL118" s="273" t="e">
        <f t="shared" si="11"/>
        <v>#N/A</v>
      </c>
      <c r="AM118" s="270" t="e">
        <f>INDEX([71]Listas!$F$6:$J$10,MATCH(AI118,[71]Listas!$D$6:$D$10,0),MATCH(AK118,[71]Listas!$F$4:$J$4,0))</f>
        <v>#N/A</v>
      </c>
      <c r="AN118" s="259"/>
      <c r="AO118" s="259"/>
      <c r="AP118" s="937"/>
      <c r="AQ118" s="259"/>
      <c r="AR118" s="259" t="s">
        <v>2343</v>
      </c>
      <c r="AS118" s="935"/>
      <c r="AT118" s="259"/>
      <c r="AU118" s="259"/>
      <c r="AV118" s="567"/>
      <c r="AW118" s="567"/>
      <c r="AX118" s="935"/>
      <c r="AY118" s="262"/>
    </row>
    <row r="119" spans="1:51" s="260" customFormat="1" ht="103.5" hidden="1" customHeight="1">
      <c r="A119" s="935"/>
      <c r="B119" s="266"/>
      <c r="C119" s="1399"/>
      <c r="D119" s="1408"/>
      <c r="E119" s="1400"/>
      <c r="F119" s="267"/>
      <c r="G119" s="1399"/>
      <c r="H119" s="1408"/>
      <c r="I119" s="1400"/>
      <c r="J119" s="1380"/>
      <c r="K119" s="1380"/>
      <c r="L119" s="1380"/>
      <c r="M119" s="935"/>
      <c r="N119" s="935"/>
      <c r="O119" s="935"/>
      <c r="P119" s="935"/>
      <c r="Q119" s="266"/>
      <c r="R119" s="266"/>
      <c r="S119" s="268"/>
      <c r="T119" s="269" t="e">
        <f>VLOOKUP(Q119,[71]Listas!$D$6:$E$10,2,0)</f>
        <v>#N/A</v>
      </c>
      <c r="U119" s="269" t="e">
        <f>HLOOKUP(R119,[71]Listas!$F$4:$J$5,2,0)</f>
        <v>#N/A</v>
      </c>
      <c r="V119" s="270" t="e">
        <f>INDEX([71]Listas!$F$6:$J$10,MATCH(Q119,[71]Listas!$D$6:$D$10,0),MATCH(R119,[71]Listas!$F$4:$J$4,0))</f>
        <v>#N/A</v>
      </c>
      <c r="W119" s="268"/>
      <c r="X119" s="1399"/>
      <c r="Y119" s="1408"/>
      <c r="Z119" s="1400"/>
      <c r="AA119" s="1063"/>
      <c r="AB119" s="267"/>
      <c r="AC119" s="259"/>
      <c r="AD119" s="935"/>
      <c r="AE119" s="267"/>
      <c r="AF119" s="268"/>
      <c r="AG119" s="269">
        <f t="shared" si="8"/>
        <v>0</v>
      </c>
      <c r="AH119" s="271" t="e">
        <f t="shared" si="9"/>
        <v>#N/A</v>
      </c>
      <c r="AI119" s="272" t="e">
        <f>IF(AH119&lt;=1,"Remota",VLOOKUP(AH119,[71]Listas!$C$6:$D$10,2,0))</f>
        <v>#N/A</v>
      </c>
      <c r="AJ119" s="271" t="e">
        <f t="shared" si="10"/>
        <v>#N/A</v>
      </c>
      <c r="AK119" s="272" t="e">
        <f>IF(AJ119&lt;=1,"Insignificante",HLOOKUP(AJ119,[71]Listas!$F$3:$J$4,2,0))</f>
        <v>#N/A</v>
      </c>
      <c r="AL119" s="273" t="e">
        <f t="shared" si="11"/>
        <v>#N/A</v>
      </c>
      <c r="AM119" s="270" t="e">
        <f>INDEX([71]Listas!$F$6:$J$10,MATCH(AI119,[71]Listas!$D$6:$D$10,0),MATCH(AK119,[71]Listas!$F$4:$J$4,0))</f>
        <v>#N/A</v>
      </c>
      <c r="AN119" s="259"/>
      <c r="AO119" s="259"/>
      <c r="AP119" s="937"/>
      <c r="AQ119" s="259"/>
      <c r="AR119" s="259" t="s">
        <v>2343</v>
      </c>
      <c r="AS119" s="935"/>
      <c r="AT119" s="259"/>
      <c r="AU119" s="259"/>
      <c r="AV119" s="567"/>
      <c r="AW119" s="567"/>
      <c r="AX119" s="935"/>
      <c r="AY119" s="262"/>
    </row>
    <row r="120" spans="1:51" s="260" customFormat="1" ht="103.5" hidden="1" customHeight="1">
      <c r="A120" s="935"/>
      <c r="B120" s="266"/>
      <c r="C120" s="1399"/>
      <c r="D120" s="1408"/>
      <c r="E120" s="1400"/>
      <c r="F120" s="267"/>
      <c r="G120" s="1399"/>
      <c r="H120" s="1408"/>
      <c r="I120" s="1400"/>
      <c r="J120" s="1380"/>
      <c r="K120" s="1380"/>
      <c r="L120" s="1380"/>
      <c r="M120" s="935"/>
      <c r="N120" s="935"/>
      <c r="O120" s="935"/>
      <c r="P120" s="935"/>
      <c r="Q120" s="266"/>
      <c r="R120" s="266"/>
      <c r="S120" s="268"/>
      <c r="T120" s="269" t="e">
        <f>VLOOKUP(Q120,[71]Listas!$D$6:$E$10,2,0)</f>
        <v>#N/A</v>
      </c>
      <c r="U120" s="269" t="e">
        <f>HLOOKUP(R120,[71]Listas!$F$4:$J$5,2,0)</f>
        <v>#N/A</v>
      </c>
      <c r="V120" s="270" t="e">
        <f>INDEX([71]Listas!$F$6:$J$10,MATCH(Q120,[71]Listas!$D$6:$D$10,0),MATCH(R120,[71]Listas!$F$4:$J$4,0))</f>
        <v>#N/A</v>
      </c>
      <c r="W120" s="268"/>
      <c r="X120" s="1399"/>
      <c r="Y120" s="1408"/>
      <c r="Z120" s="1400"/>
      <c r="AA120" s="1063"/>
      <c r="AB120" s="267"/>
      <c r="AC120" s="259"/>
      <c r="AD120" s="935"/>
      <c r="AE120" s="267"/>
      <c r="AF120" s="268"/>
      <c r="AG120" s="269">
        <f t="shared" si="8"/>
        <v>0</v>
      </c>
      <c r="AH120" s="271" t="e">
        <f t="shared" si="9"/>
        <v>#N/A</v>
      </c>
      <c r="AI120" s="272" t="e">
        <f>IF(AH120&lt;=1,"Remota",VLOOKUP(AH120,[71]Listas!$C$6:$D$10,2,0))</f>
        <v>#N/A</v>
      </c>
      <c r="AJ120" s="271" t="e">
        <f t="shared" si="10"/>
        <v>#N/A</v>
      </c>
      <c r="AK120" s="272" t="e">
        <f>IF(AJ120&lt;=1,"Insignificante",HLOOKUP(AJ120,[71]Listas!$F$3:$J$4,2,0))</f>
        <v>#N/A</v>
      </c>
      <c r="AL120" s="273" t="e">
        <f t="shared" si="11"/>
        <v>#N/A</v>
      </c>
      <c r="AM120" s="270" t="e">
        <f>INDEX([71]Listas!$F$6:$J$10,MATCH(AI120,[71]Listas!$D$6:$D$10,0),MATCH(AK120,[71]Listas!$F$4:$J$4,0))</f>
        <v>#N/A</v>
      </c>
      <c r="AN120" s="259"/>
      <c r="AO120" s="259"/>
      <c r="AP120" s="937"/>
      <c r="AQ120" s="259"/>
      <c r="AR120" s="259" t="s">
        <v>2343</v>
      </c>
      <c r="AS120" s="935"/>
      <c r="AT120" s="259"/>
      <c r="AU120" s="259"/>
      <c r="AV120" s="567"/>
      <c r="AW120" s="567"/>
      <c r="AX120" s="935"/>
      <c r="AY120" s="262"/>
    </row>
    <row r="121" spans="1:51" s="260" customFormat="1" ht="103.5" hidden="1" customHeight="1">
      <c r="A121" s="935"/>
      <c r="B121" s="266"/>
      <c r="C121" s="1399"/>
      <c r="D121" s="1408"/>
      <c r="E121" s="1400"/>
      <c r="F121" s="267"/>
      <c r="G121" s="1399"/>
      <c r="H121" s="1408"/>
      <c r="I121" s="1400"/>
      <c r="J121" s="1380"/>
      <c r="K121" s="1380"/>
      <c r="L121" s="1380"/>
      <c r="M121" s="935"/>
      <c r="N121" s="935"/>
      <c r="O121" s="935"/>
      <c r="P121" s="935"/>
      <c r="Q121" s="266"/>
      <c r="R121" s="266"/>
      <c r="S121" s="268"/>
      <c r="T121" s="269" t="e">
        <f>VLOOKUP(Q121,[71]Listas!$D$6:$E$10,2,0)</f>
        <v>#N/A</v>
      </c>
      <c r="U121" s="269" t="e">
        <f>HLOOKUP(R121,[71]Listas!$F$4:$J$5,2,0)</f>
        <v>#N/A</v>
      </c>
      <c r="V121" s="270" t="e">
        <f>INDEX([71]Listas!$F$6:$J$10,MATCH(Q121,[71]Listas!$D$6:$D$10,0),MATCH(R121,[71]Listas!$F$4:$J$4,0))</f>
        <v>#N/A</v>
      </c>
      <c r="W121" s="268"/>
      <c r="X121" s="1399"/>
      <c r="Y121" s="1408"/>
      <c r="Z121" s="1400"/>
      <c r="AA121" s="1063"/>
      <c r="AB121" s="267"/>
      <c r="AC121" s="259"/>
      <c r="AD121" s="935"/>
      <c r="AE121" s="267"/>
      <c r="AF121" s="268"/>
      <c r="AG121" s="269">
        <f t="shared" si="8"/>
        <v>0</v>
      </c>
      <c r="AH121" s="271" t="e">
        <f t="shared" si="9"/>
        <v>#N/A</v>
      </c>
      <c r="AI121" s="272" t="e">
        <f>IF(AH121&lt;=1,"Remota",VLOOKUP(AH121,[71]Listas!$C$6:$D$10,2,0))</f>
        <v>#N/A</v>
      </c>
      <c r="AJ121" s="271" t="e">
        <f t="shared" si="10"/>
        <v>#N/A</v>
      </c>
      <c r="AK121" s="272" t="e">
        <f>IF(AJ121&lt;=1,"Insignificante",HLOOKUP(AJ121,[71]Listas!$F$3:$J$4,2,0))</f>
        <v>#N/A</v>
      </c>
      <c r="AL121" s="273" t="e">
        <f t="shared" si="11"/>
        <v>#N/A</v>
      </c>
      <c r="AM121" s="270" t="e">
        <f>INDEX([71]Listas!$F$6:$J$10,MATCH(AI121,[71]Listas!$D$6:$D$10,0),MATCH(AK121,[71]Listas!$F$4:$J$4,0))</f>
        <v>#N/A</v>
      </c>
      <c r="AN121" s="259"/>
      <c r="AO121" s="259"/>
      <c r="AP121" s="937"/>
      <c r="AQ121" s="259"/>
      <c r="AR121" s="259" t="s">
        <v>2343</v>
      </c>
      <c r="AS121" s="935"/>
      <c r="AT121" s="259"/>
      <c r="AU121" s="259"/>
      <c r="AV121" s="567"/>
      <c r="AW121" s="567"/>
      <c r="AX121" s="935"/>
      <c r="AY121" s="262"/>
    </row>
    <row r="122" spans="1:51" s="260" customFormat="1" ht="103.5" hidden="1" customHeight="1">
      <c r="A122" s="935"/>
      <c r="B122" s="266"/>
      <c r="C122" s="1399"/>
      <c r="D122" s="1408"/>
      <c r="E122" s="1400"/>
      <c r="F122" s="267"/>
      <c r="G122" s="1399"/>
      <c r="H122" s="1408"/>
      <c r="I122" s="1400"/>
      <c r="J122" s="1380"/>
      <c r="K122" s="1380"/>
      <c r="L122" s="1380"/>
      <c r="M122" s="935"/>
      <c r="N122" s="935"/>
      <c r="O122" s="935"/>
      <c r="P122" s="935"/>
      <c r="Q122" s="266"/>
      <c r="R122" s="266"/>
      <c r="S122" s="268"/>
      <c r="T122" s="269" t="e">
        <f>VLOOKUP(Q122,[71]Listas!$D$6:$E$10,2,0)</f>
        <v>#N/A</v>
      </c>
      <c r="U122" s="269" t="e">
        <f>HLOOKUP(R122,[71]Listas!$F$4:$J$5,2,0)</f>
        <v>#N/A</v>
      </c>
      <c r="V122" s="270" t="e">
        <f>INDEX([71]Listas!$F$6:$J$10,MATCH(Q122,[71]Listas!$D$6:$D$10,0),MATCH(R122,[71]Listas!$F$4:$J$4,0))</f>
        <v>#N/A</v>
      </c>
      <c r="W122" s="268"/>
      <c r="X122" s="1399"/>
      <c r="Y122" s="1408"/>
      <c r="Z122" s="1400"/>
      <c r="AA122" s="1063"/>
      <c r="AB122" s="267"/>
      <c r="AC122" s="259"/>
      <c r="AD122" s="935"/>
      <c r="AE122" s="267"/>
      <c r="AF122" s="268"/>
      <c r="AG122" s="269">
        <f t="shared" si="8"/>
        <v>0</v>
      </c>
      <c r="AH122" s="271" t="e">
        <f t="shared" si="9"/>
        <v>#N/A</v>
      </c>
      <c r="AI122" s="272" t="e">
        <f>IF(AH122&lt;=1,"Remota",VLOOKUP(AH122,[71]Listas!$C$6:$D$10,2,0))</f>
        <v>#N/A</v>
      </c>
      <c r="AJ122" s="271" t="e">
        <f t="shared" si="10"/>
        <v>#N/A</v>
      </c>
      <c r="AK122" s="272" t="e">
        <f>IF(AJ122&lt;=1,"Insignificante",HLOOKUP(AJ122,[71]Listas!$F$3:$J$4,2,0))</f>
        <v>#N/A</v>
      </c>
      <c r="AL122" s="273" t="e">
        <f t="shared" si="11"/>
        <v>#N/A</v>
      </c>
      <c r="AM122" s="270" t="e">
        <f>INDEX([71]Listas!$F$6:$J$10,MATCH(AI122,[71]Listas!$D$6:$D$10,0),MATCH(AK122,[71]Listas!$F$4:$J$4,0))</f>
        <v>#N/A</v>
      </c>
      <c r="AN122" s="259"/>
      <c r="AO122" s="259"/>
      <c r="AP122" s="937"/>
      <c r="AQ122" s="259"/>
      <c r="AR122" s="259" t="s">
        <v>2343</v>
      </c>
      <c r="AS122" s="935"/>
      <c r="AT122" s="259"/>
      <c r="AU122" s="259"/>
      <c r="AV122" s="567"/>
      <c r="AW122" s="567"/>
      <c r="AX122" s="935"/>
      <c r="AY122" s="262"/>
    </row>
    <row r="123" spans="1:51" s="260" customFormat="1" ht="103.5" hidden="1" customHeight="1">
      <c r="A123" s="935"/>
      <c r="B123" s="266"/>
      <c r="C123" s="1399"/>
      <c r="D123" s="1408"/>
      <c r="E123" s="1400"/>
      <c r="F123" s="267"/>
      <c r="G123" s="1399"/>
      <c r="H123" s="1408"/>
      <c r="I123" s="1400"/>
      <c r="J123" s="1380"/>
      <c r="K123" s="1380"/>
      <c r="L123" s="1380"/>
      <c r="M123" s="935"/>
      <c r="N123" s="935"/>
      <c r="O123" s="935"/>
      <c r="P123" s="935"/>
      <c r="Q123" s="266"/>
      <c r="R123" s="266"/>
      <c r="S123" s="268"/>
      <c r="T123" s="269" t="e">
        <f>VLOOKUP(Q123,[71]Listas!$D$6:$E$10,2,0)</f>
        <v>#N/A</v>
      </c>
      <c r="U123" s="269" t="e">
        <f>HLOOKUP(R123,[71]Listas!$F$4:$J$5,2,0)</f>
        <v>#N/A</v>
      </c>
      <c r="V123" s="270" t="e">
        <f>INDEX([71]Listas!$F$6:$J$10,MATCH(Q123,[71]Listas!$D$6:$D$10,0),MATCH(R123,[71]Listas!$F$4:$J$4,0))</f>
        <v>#N/A</v>
      </c>
      <c r="W123" s="268"/>
      <c r="X123" s="1399"/>
      <c r="Y123" s="1408"/>
      <c r="Z123" s="1400"/>
      <c r="AA123" s="1063"/>
      <c r="AB123" s="267"/>
      <c r="AC123" s="259"/>
      <c r="AD123" s="935"/>
      <c r="AE123" s="267"/>
      <c r="AF123" s="268"/>
      <c r="AG123" s="269">
        <f t="shared" si="8"/>
        <v>0</v>
      </c>
      <c r="AH123" s="271" t="e">
        <f t="shared" si="9"/>
        <v>#N/A</v>
      </c>
      <c r="AI123" s="272" t="e">
        <f>IF(AH123&lt;=1,"Remota",VLOOKUP(AH123,[71]Listas!$C$6:$D$10,2,0))</f>
        <v>#N/A</v>
      </c>
      <c r="AJ123" s="271" t="e">
        <f t="shared" si="10"/>
        <v>#N/A</v>
      </c>
      <c r="AK123" s="272" t="e">
        <f>IF(AJ123&lt;=1,"Insignificante",HLOOKUP(AJ123,[71]Listas!$F$3:$J$4,2,0))</f>
        <v>#N/A</v>
      </c>
      <c r="AL123" s="273" t="e">
        <f t="shared" si="11"/>
        <v>#N/A</v>
      </c>
      <c r="AM123" s="270" t="e">
        <f>INDEX([71]Listas!$F$6:$J$10,MATCH(AI123,[71]Listas!$D$6:$D$10,0),MATCH(AK123,[71]Listas!$F$4:$J$4,0))</f>
        <v>#N/A</v>
      </c>
      <c r="AN123" s="259"/>
      <c r="AO123" s="259"/>
      <c r="AP123" s="937"/>
      <c r="AQ123" s="259"/>
      <c r="AR123" s="259" t="s">
        <v>2343</v>
      </c>
      <c r="AS123" s="935"/>
      <c r="AT123" s="259"/>
      <c r="AU123" s="259"/>
      <c r="AV123" s="567"/>
      <c r="AW123" s="567"/>
      <c r="AX123" s="935"/>
      <c r="AY123" s="262"/>
    </row>
    <row r="124" spans="1:51" s="260" customFormat="1" ht="103.5" hidden="1" customHeight="1">
      <c r="A124" s="935"/>
      <c r="B124" s="266"/>
      <c r="C124" s="1399"/>
      <c r="D124" s="1408"/>
      <c r="E124" s="1400"/>
      <c r="F124" s="267"/>
      <c r="G124" s="1399"/>
      <c r="H124" s="1408"/>
      <c r="I124" s="1400"/>
      <c r="J124" s="1380"/>
      <c r="K124" s="1380"/>
      <c r="L124" s="1380"/>
      <c r="M124" s="935"/>
      <c r="N124" s="935"/>
      <c r="O124" s="935"/>
      <c r="P124" s="935"/>
      <c r="Q124" s="266"/>
      <c r="R124" s="266"/>
      <c r="S124" s="268"/>
      <c r="T124" s="269" t="e">
        <f>VLOOKUP(Q124,[71]Listas!$D$6:$E$10,2,0)</f>
        <v>#N/A</v>
      </c>
      <c r="U124" s="269" t="e">
        <f>HLOOKUP(R124,[71]Listas!$F$4:$J$5,2,0)</f>
        <v>#N/A</v>
      </c>
      <c r="V124" s="270" t="e">
        <f>INDEX([71]Listas!$F$6:$J$10,MATCH(Q124,[71]Listas!$D$6:$D$10,0),MATCH(R124,[71]Listas!$F$4:$J$4,0))</f>
        <v>#N/A</v>
      </c>
      <c r="W124" s="268"/>
      <c r="X124" s="1399"/>
      <c r="Y124" s="1408"/>
      <c r="Z124" s="1400"/>
      <c r="AA124" s="1063"/>
      <c r="AB124" s="267"/>
      <c r="AC124" s="259"/>
      <c r="AD124" s="935"/>
      <c r="AE124" s="267"/>
      <c r="AF124" s="268"/>
      <c r="AG124" s="269">
        <f t="shared" si="8"/>
        <v>0</v>
      </c>
      <c r="AH124" s="271" t="e">
        <f t="shared" si="9"/>
        <v>#N/A</v>
      </c>
      <c r="AI124" s="272" t="e">
        <f>IF(AH124&lt;=1,"Remota",VLOOKUP(AH124,[71]Listas!$C$6:$D$10,2,0))</f>
        <v>#N/A</v>
      </c>
      <c r="AJ124" s="271" t="e">
        <f t="shared" si="10"/>
        <v>#N/A</v>
      </c>
      <c r="AK124" s="272" t="e">
        <f>IF(AJ124&lt;=1,"Insignificante",HLOOKUP(AJ124,[71]Listas!$F$3:$J$4,2,0))</f>
        <v>#N/A</v>
      </c>
      <c r="AL124" s="273" t="e">
        <f t="shared" si="11"/>
        <v>#N/A</v>
      </c>
      <c r="AM124" s="270" t="e">
        <f>INDEX([71]Listas!$F$6:$J$10,MATCH(AI124,[71]Listas!$D$6:$D$10,0),MATCH(AK124,[71]Listas!$F$4:$J$4,0))</f>
        <v>#N/A</v>
      </c>
      <c r="AN124" s="259"/>
      <c r="AO124" s="259"/>
      <c r="AP124" s="937"/>
      <c r="AQ124" s="259"/>
      <c r="AR124" s="259" t="s">
        <v>2343</v>
      </c>
      <c r="AS124" s="935"/>
      <c r="AT124" s="259"/>
      <c r="AU124" s="259"/>
      <c r="AV124" s="567"/>
      <c r="AW124" s="567"/>
      <c r="AX124" s="935"/>
      <c r="AY124" s="262"/>
    </row>
    <row r="125" spans="1:51" s="260" customFormat="1" ht="103.5" hidden="1" customHeight="1">
      <c r="A125" s="935"/>
      <c r="B125" s="266"/>
      <c r="C125" s="1399"/>
      <c r="D125" s="1408"/>
      <c r="E125" s="1400"/>
      <c r="F125" s="267"/>
      <c r="G125" s="1399"/>
      <c r="H125" s="1408"/>
      <c r="I125" s="1400"/>
      <c r="J125" s="1380"/>
      <c r="K125" s="1380"/>
      <c r="L125" s="1380"/>
      <c r="M125" s="935"/>
      <c r="N125" s="935"/>
      <c r="O125" s="935"/>
      <c r="P125" s="935"/>
      <c r="Q125" s="266"/>
      <c r="R125" s="266"/>
      <c r="S125" s="268"/>
      <c r="T125" s="269" t="e">
        <f>VLOOKUP(Q125,[71]Listas!$D$6:$E$10,2,0)</f>
        <v>#N/A</v>
      </c>
      <c r="U125" s="269" t="e">
        <f>HLOOKUP(R125,[71]Listas!$F$4:$J$5,2,0)</f>
        <v>#N/A</v>
      </c>
      <c r="V125" s="270" t="e">
        <f>INDEX([71]Listas!$F$6:$J$10,MATCH(Q125,[71]Listas!$D$6:$D$10,0),MATCH(R125,[71]Listas!$F$4:$J$4,0))</f>
        <v>#N/A</v>
      </c>
      <c r="W125" s="268"/>
      <c r="X125" s="1399"/>
      <c r="Y125" s="1408"/>
      <c r="Z125" s="1400"/>
      <c r="AA125" s="1063"/>
      <c r="AB125" s="267"/>
      <c r="AC125" s="259"/>
      <c r="AD125" s="935"/>
      <c r="AE125" s="267"/>
      <c r="AF125" s="268"/>
      <c r="AG125" s="269">
        <f t="shared" si="8"/>
        <v>0</v>
      </c>
      <c r="AH125" s="271" t="e">
        <f t="shared" si="9"/>
        <v>#N/A</v>
      </c>
      <c r="AI125" s="272" t="e">
        <f>IF(AH125&lt;=1,"Remota",VLOOKUP(AH125,[71]Listas!$C$6:$D$10,2,0))</f>
        <v>#N/A</v>
      </c>
      <c r="AJ125" s="271" t="e">
        <f t="shared" si="10"/>
        <v>#N/A</v>
      </c>
      <c r="AK125" s="272" t="e">
        <f>IF(AJ125&lt;=1,"Insignificante",HLOOKUP(AJ125,[71]Listas!$F$3:$J$4,2,0))</f>
        <v>#N/A</v>
      </c>
      <c r="AL125" s="273" t="e">
        <f t="shared" si="11"/>
        <v>#N/A</v>
      </c>
      <c r="AM125" s="270" t="e">
        <f>INDEX([71]Listas!$F$6:$J$10,MATCH(AI125,[71]Listas!$D$6:$D$10,0),MATCH(AK125,[71]Listas!$F$4:$J$4,0))</f>
        <v>#N/A</v>
      </c>
      <c r="AN125" s="259"/>
      <c r="AO125" s="259"/>
      <c r="AP125" s="937"/>
      <c r="AQ125" s="259"/>
      <c r="AR125" s="259" t="s">
        <v>2343</v>
      </c>
      <c r="AS125" s="935"/>
      <c r="AT125" s="259"/>
      <c r="AU125" s="259"/>
      <c r="AV125" s="567"/>
      <c r="AW125" s="567"/>
      <c r="AX125" s="935"/>
      <c r="AY125" s="262"/>
    </row>
    <row r="126" spans="1:51" s="260" customFormat="1" ht="103.5" hidden="1" customHeight="1">
      <c r="A126" s="935"/>
      <c r="B126" s="266"/>
      <c r="C126" s="1399"/>
      <c r="D126" s="1408"/>
      <c r="E126" s="1400"/>
      <c r="F126" s="267"/>
      <c r="G126" s="1399"/>
      <c r="H126" s="1408"/>
      <c r="I126" s="1400"/>
      <c r="J126" s="1380"/>
      <c r="K126" s="1380"/>
      <c r="L126" s="1380"/>
      <c r="M126" s="935"/>
      <c r="N126" s="935"/>
      <c r="O126" s="935"/>
      <c r="P126" s="935"/>
      <c r="Q126" s="266"/>
      <c r="R126" s="266"/>
      <c r="S126" s="268"/>
      <c r="T126" s="269" t="e">
        <f>VLOOKUP(Q126,[71]Listas!$D$6:$E$10,2,0)</f>
        <v>#N/A</v>
      </c>
      <c r="U126" s="269" t="e">
        <f>HLOOKUP(R126,[71]Listas!$F$4:$J$5,2,0)</f>
        <v>#N/A</v>
      </c>
      <c r="V126" s="270" t="e">
        <f>INDEX([71]Listas!$F$6:$J$10,MATCH(Q126,[71]Listas!$D$6:$D$10,0),MATCH(R126,[71]Listas!$F$4:$J$4,0))</f>
        <v>#N/A</v>
      </c>
      <c r="W126" s="268"/>
      <c r="X126" s="1399"/>
      <c r="Y126" s="1408"/>
      <c r="Z126" s="1400"/>
      <c r="AA126" s="1063"/>
      <c r="AB126" s="267"/>
      <c r="AC126" s="259"/>
      <c r="AD126" s="935"/>
      <c r="AE126" s="267"/>
      <c r="AF126" s="268"/>
      <c r="AG126" s="269">
        <f t="shared" si="8"/>
        <v>0</v>
      </c>
      <c r="AH126" s="271" t="e">
        <f t="shared" si="9"/>
        <v>#N/A</v>
      </c>
      <c r="AI126" s="272" t="e">
        <f>IF(AH126&lt;=1,"Remota",VLOOKUP(AH126,[71]Listas!$C$6:$D$10,2,0))</f>
        <v>#N/A</v>
      </c>
      <c r="AJ126" s="271" t="e">
        <f t="shared" si="10"/>
        <v>#N/A</v>
      </c>
      <c r="AK126" s="272" t="e">
        <f>IF(AJ126&lt;=1,"Insignificante",HLOOKUP(AJ126,[71]Listas!$F$3:$J$4,2,0))</f>
        <v>#N/A</v>
      </c>
      <c r="AL126" s="273" t="e">
        <f t="shared" si="11"/>
        <v>#N/A</v>
      </c>
      <c r="AM126" s="270" t="e">
        <f>INDEX([71]Listas!$F$6:$J$10,MATCH(AI126,[71]Listas!$D$6:$D$10,0),MATCH(AK126,[71]Listas!$F$4:$J$4,0))</f>
        <v>#N/A</v>
      </c>
      <c r="AN126" s="259"/>
      <c r="AO126" s="259"/>
      <c r="AP126" s="937"/>
      <c r="AQ126" s="259"/>
      <c r="AR126" s="259" t="s">
        <v>2343</v>
      </c>
      <c r="AS126" s="935"/>
      <c r="AT126" s="259"/>
      <c r="AU126" s="259"/>
      <c r="AV126" s="567"/>
      <c r="AW126" s="567"/>
      <c r="AX126" s="935"/>
      <c r="AY126" s="262"/>
    </row>
    <row r="127" spans="1:51" s="260" customFormat="1" ht="103.5" hidden="1" customHeight="1">
      <c r="A127" s="935"/>
      <c r="B127" s="266"/>
      <c r="C127" s="1399"/>
      <c r="D127" s="1408"/>
      <c r="E127" s="1400"/>
      <c r="F127" s="267"/>
      <c r="G127" s="1399"/>
      <c r="H127" s="1408"/>
      <c r="I127" s="1400"/>
      <c r="J127" s="1380"/>
      <c r="K127" s="1380"/>
      <c r="L127" s="1380"/>
      <c r="M127" s="935"/>
      <c r="N127" s="935"/>
      <c r="O127" s="935"/>
      <c r="P127" s="935"/>
      <c r="Q127" s="266"/>
      <c r="R127" s="266"/>
      <c r="S127" s="268"/>
      <c r="T127" s="269" t="e">
        <f>VLOOKUP(Q127,[71]Listas!$D$6:$E$10,2,0)</f>
        <v>#N/A</v>
      </c>
      <c r="U127" s="269" t="e">
        <f>HLOOKUP(R127,[71]Listas!$F$4:$J$5,2,0)</f>
        <v>#N/A</v>
      </c>
      <c r="V127" s="270" t="e">
        <f>INDEX([71]Listas!$F$6:$J$10,MATCH(Q127,[71]Listas!$D$6:$D$10,0),MATCH(R127,[71]Listas!$F$4:$J$4,0))</f>
        <v>#N/A</v>
      </c>
      <c r="W127" s="268"/>
      <c r="X127" s="1399"/>
      <c r="Y127" s="1408"/>
      <c r="Z127" s="1400"/>
      <c r="AA127" s="1063"/>
      <c r="AB127" s="267"/>
      <c r="AC127" s="259"/>
      <c r="AD127" s="935"/>
      <c r="AE127" s="267"/>
      <c r="AF127" s="268"/>
      <c r="AG127" s="269">
        <f t="shared" ref="AG127:AG144" si="12">IF(AD127&lt;=33,0,IF(AD127&gt;81,2,1))</f>
        <v>0</v>
      </c>
      <c r="AH127" s="271" t="e">
        <f t="shared" ref="AH127:AH144" si="13">IF(OR(AE127="Probabilidad",AE127="Ambos"),T127-AG127,T127)</f>
        <v>#N/A</v>
      </c>
      <c r="AI127" s="272" t="e">
        <f>IF(AH127&lt;=1,"Remota",VLOOKUP(AH127,[71]Listas!$C$6:$D$10,2,0))</f>
        <v>#N/A</v>
      </c>
      <c r="AJ127" s="271" t="e">
        <f t="shared" ref="AJ127:AJ144" si="14">IF(OR(AE127="Impacto",AE127="Ambos"),U127-AG127,U127)</f>
        <v>#N/A</v>
      </c>
      <c r="AK127" s="272" t="e">
        <f>IF(AJ127&lt;=1,"Insignificante",HLOOKUP(AJ127,[71]Listas!$F$3:$J$4,2,0))</f>
        <v>#N/A</v>
      </c>
      <c r="AL127" s="273" t="e">
        <f t="shared" ref="AL127:AL144" si="15">AH127*AJ127</f>
        <v>#N/A</v>
      </c>
      <c r="AM127" s="270" t="e">
        <f>INDEX([71]Listas!$F$6:$J$10,MATCH(AI127,[71]Listas!$D$6:$D$10,0),MATCH(AK127,[71]Listas!$F$4:$J$4,0))</f>
        <v>#N/A</v>
      </c>
      <c r="AN127" s="259"/>
      <c r="AO127" s="259"/>
      <c r="AP127" s="937"/>
      <c r="AQ127" s="259"/>
      <c r="AR127" s="259" t="s">
        <v>2343</v>
      </c>
      <c r="AS127" s="935"/>
      <c r="AT127" s="259"/>
      <c r="AU127" s="259"/>
      <c r="AV127" s="567"/>
      <c r="AW127" s="567"/>
      <c r="AX127" s="935"/>
      <c r="AY127" s="262"/>
    </row>
    <row r="128" spans="1:51" s="260" customFormat="1" ht="103.5" hidden="1" customHeight="1">
      <c r="A128" s="935"/>
      <c r="B128" s="266"/>
      <c r="C128" s="1399"/>
      <c r="D128" s="1408"/>
      <c r="E128" s="1400"/>
      <c r="F128" s="267"/>
      <c r="G128" s="1399"/>
      <c r="H128" s="1408"/>
      <c r="I128" s="1400"/>
      <c r="J128" s="1380"/>
      <c r="K128" s="1380"/>
      <c r="L128" s="1380"/>
      <c r="M128" s="935"/>
      <c r="N128" s="935"/>
      <c r="O128" s="935"/>
      <c r="P128" s="935"/>
      <c r="Q128" s="266"/>
      <c r="R128" s="266"/>
      <c r="S128" s="268"/>
      <c r="T128" s="269" t="e">
        <f>VLOOKUP(Q128,[71]Listas!$D$6:$E$10,2,0)</f>
        <v>#N/A</v>
      </c>
      <c r="U128" s="269" t="e">
        <f>HLOOKUP(R128,[71]Listas!$F$4:$J$5,2,0)</f>
        <v>#N/A</v>
      </c>
      <c r="V128" s="270" t="e">
        <f>INDEX([71]Listas!$F$6:$J$10,MATCH(Q128,[71]Listas!$D$6:$D$10,0),MATCH(R128,[71]Listas!$F$4:$J$4,0))</f>
        <v>#N/A</v>
      </c>
      <c r="W128" s="268"/>
      <c r="X128" s="1399"/>
      <c r="Y128" s="1408"/>
      <c r="Z128" s="1400"/>
      <c r="AA128" s="1063"/>
      <c r="AB128" s="267"/>
      <c r="AC128" s="259"/>
      <c r="AD128" s="935"/>
      <c r="AE128" s="267"/>
      <c r="AF128" s="268"/>
      <c r="AG128" s="269">
        <f t="shared" si="12"/>
        <v>0</v>
      </c>
      <c r="AH128" s="271" t="e">
        <f t="shared" si="13"/>
        <v>#N/A</v>
      </c>
      <c r="AI128" s="272" t="e">
        <f>IF(AH128&lt;=1,"Remota",VLOOKUP(AH128,[71]Listas!$C$6:$D$10,2,0))</f>
        <v>#N/A</v>
      </c>
      <c r="AJ128" s="271" t="e">
        <f t="shared" si="14"/>
        <v>#N/A</v>
      </c>
      <c r="AK128" s="272" t="e">
        <f>IF(AJ128&lt;=1,"Insignificante",HLOOKUP(AJ128,[71]Listas!$F$3:$J$4,2,0))</f>
        <v>#N/A</v>
      </c>
      <c r="AL128" s="273" t="e">
        <f t="shared" si="15"/>
        <v>#N/A</v>
      </c>
      <c r="AM128" s="270" t="e">
        <f>INDEX([71]Listas!$F$6:$J$10,MATCH(AI128,[71]Listas!$D$6:$D$10,0),MATCH(AK128,[71]Listas!$F$4:$J$4,0))</f>
        <v>#N/A</v>
      </c>
      <c r="AN128" s="259"/>
      <c r="AO128" s="259"/>
      <c r="AP128" s="937"/>
      <c r="AQ128" s="259"/>
      <c r="AR128" s="259" t="s">
        <v>2343</v>
      </c>
      <c r="AS128" s="935"/>
      <c r="AT128" s="259"/>
      <c r="AU128" s="259"/>
      <c r="AV128" s="567"/>
      <c r="AW128" s="567"/>
      <c r="AX128" s="935"/>
      <c r="AY128" s="262"/>
    </row>
    <row r="129" spans="1:51" s="260" customFormat="1" ht="103.5" hidden="1" customHeight="1">
      <c r="A129" s="935"/>
      <c r="B129" s="266"/>
      <c r="C129" s="1399"/>
      <c r="D129" s="1408"/>
      <c r="E129" s="1400"/>
      <c r="F129" s="267"/>
      <c r="G129" s="1399"/>
      <c r="H129" s="1408"/>
      <c r="I129" s="1400"/>
      <c r="J129" s="1380"/>
      <c r="K129" s="1380"/>
      <c r="L129" s="1380"/>
      <c r="M129" s="935"/>
      <c r="N129" s="935"/>
      <c r="O129" s="935"/>
      <c r="P129" s="935"/>
      <c r="Q129" s="266"/>
      <c r="R129" s="266"/>
      <c r="S129" s="268"/>
      <c r="T129" s="269" t="e">
        <f>VLOOKUP(Q129,[71]Listas!$D$6:$E$10,2,0)</f>
        <v>#N/A</v>
      </c>
      <c r="U129" s="269" t="e">
        <f>HLOOKUP(R129,[71]Listas!$F$4:$J$5,2,0)</f>
        <v>#N/A</v>
      </c>
      <c r="V129" s="270" t="e">
        <f>INDEX([71]Listas!$F$6:$J$10,MATCH(Q129,[71]Listas!$D$6:$D$10,0),MATCH(R129,[71]Listas!$F$4:$J$4,0))</f>
        <v>#N/A</v>
      </c>
      <c r="W129" s="268"/>
      <c r="X129" s="1399"/>
      <c r="Y129" s="1408"/>
      <c r="Z129" s="1400"/>
      <c r="AA129" s="1063"/>
      <c r="AB129" s="267"/>
      <c r="AC129" s="259"/>
      <c r="AD129" s="935"/>
      <c r="AE129" s="267"/>
      <c r="AF129" s="268"/>
      <c r="AG129" s="269">
        <f t="shared" si="12"/>
        <v>0</v>
      </c>
      <c r="AH129" s="271" t="e">
        <f t="shared" si="13"/>
        <v>#N/A</v>
      </c>
      <c r="AI129" s="272" t="e">
        <f>IF(AH129&lt;=1,"Remota",VLOOKUP(AH129,[71]Listas!$C$6:$D$10,2,0))</f>
        <v>#N/A</v>
      </c>
      <c r="AJ129" s="271" t="e">
        <f t="shared" si="14"/>
        <v>#N/A</v>
      </c>
      <c r="AK129" s="272" t="e">
        <f>IF(AJ129&lt;=1,"Insignificante",HLOOKUP(AJ129,[71]Listas!$F$3:$J$4,2,0))</f>
        <v>#N/A</v>
      </c>
      <c r="AL129" s="273" t="e">
        <f t="shared" si="15"/>
        <v>#N/A</v>
      </c>
      <c r="AM129" s="270" t="e">
        <f>INDEX([71]Listas!$F$6:$J$10,MATCH(AI129,[71]Listas!$D$6:$D$10,0),MATCH(AK129,[71]Listas!$F$4:$J$4,0))</f>
        <v>#N/A</v>
      </c>
      <c r="AN129" s="259"/>
      <c r="AO129" s="259"/>
      <c r="AP129" s="937"/>
      <c r="AQ129" s="259"/>
      <c r="AR129" s="259" t="s">
        <v>2343</v>
      </c>
      <c r="AS129" s="935"/>
      <c r="AT129" s="259"/>
      <c r="AU129" s="259"/>
      <c r="AV129" s="567"/>
      <c r="AW129" s="567"/>
      <c r="AX129" s="935"/>
      <c r="AY129" s="262"/>
    </row>
    <row r="130" spans="1:51" s="260" customFormat="1" ht="103.5" hidden="1" customHeight="1">
      <c r="A130" s="935"/>
      <c r="B130" s="266"/>
      <c r="C130" s="1399"/>
      <c r="D130" s="1408"/>
      <c r="E130" s="1400"/>
      <c r="F130" s="267"/>
      <c r="G130" s="1399"/>
      <c r="H130" s="1408"/>
      <c r="I130" s="1400"/>
      <c r="J130" s="1380"/>
      <c r="K130" s="1380"/>
      <c r="L130" s="1380"/>
      <c r="M130" s="935"/>
      <c r="N130" s="935"/>
      <c r="O130" s="935"/>
      <c r="P130" s="935"/>
      <c r="Q130" s="266"/>
      <c r="R130" s="266"/>
      <c r="S130" s="268"/>
      <c r="T130" s="269" t="e">
        <f>VLOOKUP(Q130,[71]Listas!$D$6:$E$10,2,0)</f>
        <v>#N/A</v>
      </c>
      <c r="U130" s="269" t="e">
        <f>HLOOKUP(R130,[71]Listas!$F$4:$J$5,2,0)</f>
        <v>#N/A</v>
      </c>
      <c r="V130" s="270" t="e">
        <f>INDEX([71]Listas!$F$6:$J$10,MATCH(Q130,[71]Listas!$D$6:$D$10,0),MATCH(R130,[71]Listas!$F$4:$J$4,0))</f>
        <v>#N/A</v>
      </c>
      <c r="W130" s="268"/>
      <c r="X130" s="1399"/>
      <c r="Y130" s="1408"/>
      <c r="Z130" s="1400"/>
      <c r="AA130" s="1063"/>
      <c r="AB130" s="267"/>
      <c r="AC130" s="259"/>
      <c r="AD130" s="935"/>
      <c r="AE130" s="267"/>
      <c r="AF130" s="268"/>
      <c r="AG130" s="269">
        <f t="shared" si="12"/>
        <v>0</v>
      </c>
      <c r="AH130" s="271" t="e">
        <f t="shared" si="13"/>
        <v>#N/A</v>
      </c>
      <c r="AI130" s="272" t="e">
        <f>IF(AH130&lt;=1,"Remota",VLOOKUP(AH130,[71]Listas!$C$6:$D$10,2,0))</f>
        <v>#N/A</v>
      </c>
      <c r="AJ130" s="271" t="e">
        <f t="shared" si="14"/>
        <v>#N/A</v>
      </c>
      <c r="AK130" s="272" t="e">
        <f>IF(AJ130&lt;=1,"Insignificante",HLOOKUP(AJ130,[71]Listas!$F$3:$J$4,2,0))</f>
        <v>#N/A</v>
      </c>
      <c r="AL130" s="273" t="e">
        <f t="shared" si="15"/>
        <v>#N/A</v>
      </c>
      <c r="AM130" s="270" t="e">
        <f>INDEX([71]Listas!$F$6:$J$10,MATCH(AI130,[71]Listas!$D$6:$D$10,0),MATCH(AK130,[71]Listas!$F$4:$J$4,0))</f>
        <v>#N/A</v>
      </c>
      <c r="AN130" s="259"/>
      <c r="AO130" s="259"/>
      <c r="AP130" s="937"/>
      <c r="AQ130" s="259"/>
      <c r="AR130" s="259" t="s">
        <v>2343</v>
      </c>
      <c r="AS130" s="935"/>
      <c r="AT130" s="259"/>
      <c r="AU130" s="259"/>
      <c r="AV130" s="567"/>
      <c r="AW130" s="567"/>
      <c r="AX130" s="935"/>
      <c r="AY130" s="262"/>
    </row>
    <row r="131" spans="1:51" s="260" customFormat="1" ht="103.5" hidden="1" customHeight="1">
      <c r="A131" s="935"/>
      <c r="B131" s="266"/>
      <c r="C131" s="1399"/>
      <c r="D131" s="1408"/>
      <c r="E131" s="1400"/>
      <c r="F131" s="267"/>
      <c r="G131" s="1399"/>
      <c r="H131" s="1408"/>
      <c r="I131" s="1400"/>
      <c r="J131" s="1380"/>
      <c r="K131" s="1380"/>
      <c r="L131" s="1380"/>
      <c r="M131" s="935"/>
      <c r="N131" s="935"/>
      <c r="O131" s="935"/>
      <c r="P131" s="935"/>
      <c r="Q131" s="266"/>
      <c r="R131" s="266"/>
      <c r="S131" s="268"/>
      <c r="T131" s="269" t="e">
        <f>VLOOKUP(Q131,[71]Listas!$D$6:$E$10,2,0)</f>
        <v>#N/A</v>
      </c>
      <c r="U131" s="269" t="e">
        <f>HLOOKUP(R131,[71]Listas!$F$4:$J$5,2,0)</f>
        <v>#N/A</v>
      </c>
      <c r="V131" s="270" t="e">
        <f>INDEX([71]Listas!$F$6:$J$10,MATCH(Q131,[71]Listas!$D$6:$D$10,0),MATCH(R131,[71]Listas!$F$4:$J$4,0))</f>
        <v>#N/A</v>
      </c>
      <c r="W131" s="268"/>
      <c r="X131" s="1399"/>
      <c r="Y131" s="1408"/>
      <c r="Z131" s="1400"/>
      <c r="AA131" s="1063"/>
      <c r="AB131" s="267"/>
      <c r="AC131" s="259"/>
      <c r="AD131" s="935"/>
      <c r="AE131" s="267"/>
      <c r="AF131" s="268"/>
      <c r="AG131" s="269">
        <f t="shared" si="12"/>
        <v>0</v>
      </c>
      <c r="AH131" s="271" t="e">
        <f t="shared" si="13"/>
        <v>#N/A</v>
      </c>
      <c r="AI131" s="272" t="e">
        <f>IF(AH131&lt;=1,"Remota",VLOOKUP(AH131,[71]Listas!$C$6:$D$10,2,0))</f>
        <v>#N/A</v>
      </c>
      <c r="AJ131" s="271" t="e">
        <f t="shared" si="14"/>
        <v>#N/A</v>
      </c>
      <c r="AK131" s="272" t="e">
        <f>IF(AJ131&lt;=1,"Insignificante",HLOOKUP(AJ131,[71]Listas!$F$3:$J$4,2,0))</f>
        <v>#N/A</v>
      </c>
      <c r="AL131" s="273" t="e">
        <f t="shared" si="15"/>
        <v>#N/A</v>
      </c>
      <c r="AM131" s="270" t="e">
        <f>INDEX([71]Listas!$F$6:$J$10,MATCH(AI131,[71]Listas!$D$6:$D$10,0),MATCH(AK131,[71]Listas!$F$4:$J$4,0))</f>
        <v>#N/A</v>
      </c>
      <c r="AN131" s="259"/>
      <c r="AO131" s="259"/>
      <c r="AP131" s="937"/>
      <c r="AQ131" s="259"/>
      <c r="AR131" s="259" t="s">
        <v>2343</v>
      </c>
      <c r="AS131" s="935"/>
      <c r="AT131" s="259"/>
      <c r="AU131" s="259"/>
      <c r="AV131" s="567"/>
      <c r="AW131" s="567"/>
      <c r="AX131" s="935"/>
      <c r="AY131" s="262"/>
    </row>
    <row r="132" spans="1:51" s="260" customFormat="1" ht="103.5" hidden="1" customHeight="1">
      <c r="A132" s="935"/>
      <c r="B132" s="266"/>
      <c r="C132" s="1399"/>
      <c r="D132" s="1408"/>
      <c r="E132" s="1400"/>
      <c r="F132" s="267"/>
      <c r="G132" s="1399"/>
      <c r="H132" s="1408"/>
      <c r="I132" s="1400"/>
      <c r="J132" s="1380"/>
      <c r="K132" s="1380"/>
      <c r="L132" s="1380"/>
      <c r="M132" s="935"/>
      <c r="N132" s="935"/>
      <c r="O132" s="935"/>
      <c r="P132" s="935"/>
      <c r="Q132" s="266"/>
      <c r="R132" s="266"/>
      <c r="S132" s="268"/>
      <c r="T132" s="269" t="e">
        <f>VLOOKUP(Q132,[71]Listas!$D$6:$E$10,2,0)</f>
        <v>#N/A</v>
      </c>
      <c r="U132" s="269" t="e">
        <f>HLOOKUP(R132,[71]Listas!$F$4:$J$5,2,0)</f>
        <v>#N/A</v>
      </c>
      <c r="V132" s="270" t="e">
        <f>INDEX([71]Listas!$F$6:$J$10,MATCH(Q132,[71]Listas!$D$6:$D$10,0),MATCH(R132,[71]Listas!$F$4:$J$4,0))</f>
        <v>#N/A</v>
      </c>
      <c r="W132" s="268"/>
      <c r="X132" s="1399"/>
      <c r="Y132" s="1408"/>
      <c r="Z132" s="1400"/>
      <c r="AA132" s="1063"/>
      <c r="AB132" s="267"/>
      <c r="AC132" s="259"/>
      <c r="AD132" s="935"/>
      <c r="AE132" s="267"/>
      <c r="AF132" s="268"/>
      <c r="AG132" s="269">
        <f t="shared" si="12"/>
        <v>0</v>
      </c>
      <c r="AH132" s="271" t="e">
        <f t="shared" si="13"/>
        <v>#N/A</v>
      </c>
      <c r="AI132" s="272" t="e">
        <f>IF(AH132&lt;=1,"Remota",VLOOKUP(AH132,[71]Listas!$C$6:$D$10,2,0))</f>
        <v>#N/A</v>
      </c>
      <c r="AJ132" s="271" t="e">
        <f t="shared" si="14"/>
        <v>#N/A</v>
      </c>
      <c r="AK132" s="272" t="e">
        <f>IF(AJ132&lt;=1,"Insignificante",HLOOKUP(AJ132,[71]Listas!$F$3:$J$4,2,0))</f>
        <v>#N/A</v>
      </c>
      <c r="AL132" s="273" t="e">
        <f t="shared" si="15"/>
        <v>#N/A</v>
      </c>
      <c r="AM132" s="270" t="e">
        <f>INDEX([71]Listas!$F$6:$J$10,MATCH(AI132,[71]Listas!$D$6:$D$10,0),MATCH(AK132,[71]Listas!$F$4:$J$4,0))</f>
        <v>#N/A</v>
      </c>
      <c r="AN132" s="259"/>
      <c r="AO132" s="259"/>
      <c r="AP132" s="937"/>
      <c r="AQ132" s="259"/>
      <c r="AR132" s="259" t="s">
        <v>2343</v>
      </c>
      <c r="AS132" s="935"/>
      <c r="AT132" s="259"/>
      <c r="AU132" s="259"/>
      <c r="AV132" s="567"/>
      <c r="AW132" s="567"/>
      <c r="AX132" s="935"/>
      <c r="AY132" s="262"/>
    </row>
    <row r="133" spans="1:51" s="260" customFormat="1" ht="103.5" hidden="1" customHeight="1">
      <c r="A133" s="935"/>
      <c r="B133" s="266"/>
      <c r="C133" s="1399"/>
      <c r="D133" s="1408"/>
      <c r="E133" s="1400"/>
      <c r="F133" s="267"/>
      <c r="G133" s="1399"/>
      <c r="H133" s="1408"/>
      <c r="I133" s="1400"/>
      <c r="J133" s="1380"/>
      <c r="K133" s="1380"/>
      <c r="L133" s="1380"/>
      <c r="M133" s="935"/>
      <c r="N133" s="935"/>
      <c r="O133" s="935"/>
      <c r="P133" s="935"/>
      <c r="Q133" s="266"/>
      <c r="R133" s="266"/>
      <c r="S133" s="268"/>
      <c r="T133" s="269" t="e">
        <f>VLOOKUP(Q133,[71]Listas!$D$6:$E$10,2,0)</f>
        <v>#N/A</v>
      </c>
      <c r="U133" s="269" t="e">
        <f>HLOOKUP(R133,[71]Listas!$F$4:$J$5,2,0)</f>
        <v>#N/A</v>
      </c>
      <c r="V133" s="270" t="e">
        <f>INDEX([71]Listas!$F$6:$J$10,MATCH(Q133,[71]Listas!$D$6:$D$10,0),MATCH(R133,[71]Listas!$F$4:$J$4,0))</f>
        <v>#N/A</v>
      </c>
      <c r="W133" s="268"/>
      <c r="X133" s="1399"/>
      <c r="Y133" s="1408"/>
      <c r="Z133" s="1400"/>
      <c r="AA133" s="1063"/>
      <c r="AB133" s="267"/>
      <c r="AC133" s="259"/>
      <c r="AD133" s="935"/>
      <c r="AE133" s="267"/>
      <c r="AF133" s="268"/>
      <c r="AG133" s="269">
        <f t="shared" si="12"/>
        <v>0</v>
      </c>
      <c r="AH133" s="271" t="e">
        <f t="shared" si="13"/>
        <v>#N/A</v>
      </c>
      <c r="AI133" s="272" t="e">
        <f>IF(AH133&lt;=1,"Remota",VLOOKUP(AH133,[71]Listas!$C$6:$D$10,2,0))</f>
        <v>#N/A</v>
      </c>
      <c r="AJ133" s="271" t="e">
        <f t="shared" si="14"/>
        <v>#N/A</v>
      </c>
      <c r="AK133" s="272" t="e">
        <f>IF(AJ133&lt;=1,"Insignificante",HLOOKUP(AJ133,[71]Listas!$F$3:$J$4,2,0))</f>
        <v>#N/A</v>
      </c>
      <c r="AL133" s="273" t="e">
        <f t="shared" si="15"/>
        <v>#N/A</v>
      </c>
      <c r="AM133" s="270" t="e">
        <f>INDEX([71]Listas!$F$6:$J$10,MATCH(AI133,[71]Listas!$D$6:$D$10,0),MATCH(AK133,[71]Listas!$F$4:$J$4,0))</f>
        <v>#N/A</v>
      </c>
      <c r="AN133" s="259"/>
      <c r="AO133" s="259"/>
      <c r="AP133" s="937"/>
      <c r="AQ133" s="259"/>
      <c r="AR133" s="259" t="s">
        <v>2343</v>
      </c>
      <c r="AS133" s="935"/>
      <c r="AT133" s="259"/>
      <c r="AU133" s="259"/>
      <c r="AV133" s="567"/>
      <c r="AW133" s="567"/>
      <c r="AX133" s="935"/>
      <c r="AY133" s="262"/>
    </row>
    <row r="134" spans="1:51" s="260" customFormat="1" ht="103.5" hidden="1" customHeight="1">
      <c r="A134" s="935"/>
      <c r="B134" s="266"/>
      <c r="C134" s="1399"/>
      <c r="D134" s="1408"/>
      <c r="E134" s="1400"/>
      <c r="F134" s="267"/>
      <c r="G134" s="1399"/>
      <c r="H134" s="1408"/>
      <c r="I134" s="1400"/>
      <c r="J134" s="1380"/>
      <c r="K134" s="1380"/>
      <c r="L134" s="1380"/>
      <c r="M134" s="935"/>
      <c r="N134" s="935"/>
      <c r="O134" s="935"/>
      <c r="P134" s="935"/>
      <c r="Q134" s="266"/>
      <c r="R134" s="266"/>
      <c r="S134" s="268"/>
      <c r="T134" s="269" t="e">
        <f>VLOOKUP(Q134,[71]Listas!$D$6:$E$10,2,0)</f>
        <v>#N/A</v>
      </c>
      <c r="U134" s="269" t="e">
        <f>HLOOKUP(R134,[71]Listas!$F$4:$J$5,2,0)</f>
        <v>#N/A</v>
      </c>
      <c r="V134" s="270" t="e">
        <f>INDEX([71]Listas!$F$6:$J$10,MATCH(Q134,[71]Listas!$D$6:$D$10,0),MATCH(R134,[71]Listas!$F$4:$J$4,0))</f>
        <v>#N/A</v>
      </c>
      <c r="W134" s="268"/>
      <c r="X134" s="1399"/>
      <c r="Y134" s="1408"/>
      <c r="Z134" s="1400"/>
      <c r="AA134" s="1063"/>
      <c r="AB134" s="267"/>
      <c r="AC134" s="259"/>
      <c r="AD134" s="935"/>
      <c r="AE134" s="267"/>
      <c r="AF134" s="268"/>
      <c r="AG134" s="269">
        <f t="shared" si="12"/>
        <v>0</v>
      </c>
      <c r="AH134" s="271" t="e">
        <f t="shared" si="13"/>
        <v>#N/A</v>
      </c>
      <c r="AI134" s="272" t="e">
        <f>IF(AH134&lt;=1,"Remota",VLOOKUP(AH134,[71]Listas!$C$6:$D$10,2,0))</f>
        <v>#N/A</v>
      </c>
      <c r="AJ134" s="271" t="e">
        <f t="shared" si="14"/>
        <v>#N/A</v>
      </c>
      <c r="AK134" s="272" t="e">
        <f>IF(AJ134&lt;=1,"Insignificante",HLOOKUP(AJ134,[71]Listas!$F$3:$J$4,2,0))</f>
        <v>#N/A</v>
      </c>
      <c r="AL134" s="273" t="e">
        <f t="shared" si="15"/>
        <v>#N/A</v>
      </c>
      <c r="AM134" s="270" t="e">
        <f>INDEX([71]Listas!$F$6:$J$10,MATCH(AI134,[71]Listas!$D$6:$D$10,0),MATCH(AK134,[71]Listas!$F$4:$J$4,0))</f>
        <v>#N/A</v>
      </c>
      <c r="AN134" s="259"/>
      <c r="AO134" s="259"/>
      <c r="AP134" s="937"/>
      <c r="AQ134" s="259"/>
      <c r="AR134" s="259" t="s">
        <v>2343</v>
      </c>
      <c r="AS134" s="935"/>
      <c r="AT134" s="259"/>
      <c r="AU134" s="259"/>
      <c r="AV134" s="567"/>
      <c r="AW134" s="567"/>
      <c r="AX134" s="935"/>
      <c r="AY134" s="262"/>
    </row>
    <row r="135" spans="1:51" s="260" customFormat="1" ht="103.5" hidden="1" customHeight="1">
      <c r="A135" s="935"/>
      <c r="B135" s="266"/>
      <c r="C135" s="1399"/>
      <c r="D135" s="1408"/>
      <c r="E135" s="1400"/>
      <c r="F135" s="267"/>
      <c r="G135" s="1399"/>
      <c r="H135" s="1408"/>
      <c r="I135" s="1400"/>
      <c r="J135" s="1380"/>
      <c r="K135" s="1380"/>
      <c r="L135" s="1380"/>
      <c r="M135" s="935"/>
      <c r="N135" s="935"/>
      <c r="O135" s="935"/>
      <c r="P135" s="935"/>
      <c r="Q135" s="266"/>
      <c r="R135" s="266"/>
      <c r="S135" s="268"/>
      <c r="T135" s="269" t="e">
        <f>VLOOKUP(Q135,[71]Listas!$D$6:$E$10,2,0)</f>
        <v>#N/A</v>
      </c>
      <c r="U135" s="269" t="e">
        <f>HLOOKUP(R135,[71]Listas!$F$4:$J$5,2,0)</f>
        <v>#N/A</v>
      </c>
      <c r="V135" s="270" t="e">
        <f>INDEX([71]Listas!$F$6:$J$10,MATCH(Q135,[71]Listas!$D$6:$D$10,0),MATCH(R135,[71]Listas!$F$4:$J$4,0))</f>
        <v>#N/A</v>
      </c>
      <c r="W135" s="268"/>
      <c r="X135" s="1399"/>
      <c r="Y135" s="1408"/>
      <c r="Z135" s="1400"/>
      <c r="AA135" s="1063"/>
      <c r="AB135" s="267"/>
      <c r="AC135" s="259"/>
      <c r="AD135" s="935"/>
      <c r="AE135" s="267"/>
      <c r="AF135" s="268"/>
      <c r="AG135" s="269">
        <f t="shared" si="12"/>
        <v>0</v>
      </c>
      <c r="AH135" s="271" t="e">
        <f t="shared" si="13"/>
        <v>#N/A</v>
      </c>
      <c r="AI135" s="272" t="e">
        <f>IF(AH135&lt;=1,"Remota",VLOOKUP(AH135,[71]Listas!$C$6:$D$10,2,0))</f>
        <v>#N/A</v>
      </c>
      <c r="AJ135" s="271" t="e">
        <f t="shared" si="14"/>
        <v>#N/A</v>
      </c>
      <c r="AK135" s="272" t="e">
        <f>IF(AJ135&lt;=1,"Insignificante",HLOOKUP(AJ135,[71]Listas!$F$3:$J$4,2,0))</f>
        <v>#N/A</v>
      </c>
      <c r="AL135" s="273" t="e">
        <f t="shared" si="15"/>
        <v>#N/A</v>
      </c>
      <c r="AM135" s="270" t="e">
        <f>INDEX([71]Listas!$F$6:$J$10,MATCH(AI135,[71]Listas!$D$6:$D$10,0),MATCH(AK135,[71]Listas!$F$4:$J$4,0))</f>
        <v>#N/A</v>
      </c>
      <c r="AN135" s="259"/>
      <c r="AO135" s="259"/>
      <c r="AP135" s="937"/>
      <c r="AQ135" s="259"/>
      <c r="AR135" s="259" t="s">
        <v>2343</v>
      </c>
      <c r="AS135" s="935"/>
      <c r="AT135" s="259"/>
      <c r="AU135" s="259"/>
      <c r="AV135" s="567"/>
      <c r="AW135" s="567"/>
      <c r="AX135" s="935"/>
      <c r="AY135" s="262"/>
    </row>
    <row r="136" spans="1:51" s="260" customFormat="1" ht="103.5" hidden="1" customHeight="1">
      <c r="A136" s="935"/>
      <c r="B136" s="266"/>
      <c r="C136" s="1399"/>
      <c r="D136" s="1408"/>
      <c r="E136" s="1400"/>
      <c r="F136" s="267"/>
      <c r="G136" s="1399"/>
      <c r="H136" s="1408"/>
      <c r="I136" s="1400"/>
      <c r="J136" s="1380"/>
      <c r="K136" s="1380"/>
      <c r="L136" s="1380"/>
      <c r="M136" s="935"/>
      <c r="N136" s="935"/>
      <c r="O136" s="935"/>
      <c r="P136" s="935"/>
      <c r="Q136" s="266"/>
      <c r="R136" s="266"/>
      <c r="S136" s="268"/>
      <c r="T136" s="269" t="e">
        <f>VLOOKUP(Q136,[71]Listas!$D$6:$E$10,2,0)</f>
        <v>#N/A</v>
      </c>
      <c r="U136" s="269" t="e">
        <f>HLOOKUP(R136,[71]Listas!$F$4:$J$5,2,0)</f>
        <v>#N/A</v>
      </c>
      <c r="V136" s="270" t="e">
        <f>INDEX([71]Listas!$F$6:$J$10,MATCH(Q136,[71]Listas!$D$6:$D$10,0),MATCH(R136,[71]Listas!$F$4:$J$4,0))</f>
        <v>#N/A</v>
      </c>
      <c r="W136" s="268"/>
      <c r="X136" s="1399"/>
      <c r="Y136" s="1408"/>
      <c r="Z136" s="1400"/>
      <c r="AA136" s="1063"/>
      <c r="AB136" s="267"/>
      <c r="AC136" s="259"/>
      <c r="AD136" s="935"/>
      <c r="AE136" s="267"/>
      <c r="AF136" s="268"/>
      <c r="AG136" s="269">
        <f t="shared" si="12"/>
        <v>0</v>
      </c>
      <c r="AH136" s="271" t="e">
        <f t="shared" si="13"/>
        <v>#N/A</v>
      </c>
      <c r="AI136" s="272" t="e">
        <f>IF(AH136&lt;=1,"Remota",VLOOKUP(AH136,[71]Listas!$C$6:$D$10,2,0))</f>
        <v>#N/A</v>
      </c>
      <c r="AJ136" s="271" t="e">
        <f t="shared" si="14"/>
        <v>#N/A</v>
      </c>
      <c r="AK136" s="272" t="e">
        <f>IF(AJ136&lt;=1,"Insignificante",HLOOKUP(AJ136,[71]Listas!$F$3:$J$4,2,0))</f>
        <v>#N/A</v>
      </c>
      <c r="AL136" s="273" t="e">
        <f t="shared" si="15"/>
        <v>#N/A</v>
      </c>
      <c r="AM136" s="270" t="e">
        <f>INDEX([71]Listas!$F$6:$J$10,MATCH(AI136,[71]Listas!$D$6:$D$10,0),MATCH(AK136,[71]Listas!$F$4:$J$4,0))</f>
        <v>#N/A</v>
      </c>
      <c r="AN136" s="259"/>
      <c r="AO136" s="259"/>
      <c r="AP136" s="937"/>
      <c r="AQ136" s="259"/>
      <c r="AR136" s="259" t="s">
        <v>2343</v>
      </c>
      <c r="AS136" s="935"/>
      <c r="AT136" s="259"/>
      <c r="AU136" s="259"/>
      <c r="AV136" s="567"/>
      <c r="AW136" s="567"/>
      <c r="AX136" s="935"/>
      <c r="AY136" s="262"/>
    </row>
    <row r="137" spans="1:51" s="260" customFormat="1" ht="103.5" hidden="1" customHeight="1">
      <c r="A137" s="935"/>
      <c r="B137" s="266"/>
      <c r="C137" s="1399"/>
      <c r="D137" s="1408"/>
      <c r="E137" s="1400"/>
      <c r="F137" s="267"/>
      <c r="G137" s="1399"/>
      <c r="H137" s="1408"/>
      <c r="I137" s="1400"/>
      <c r="J137" s="1380"/>
      <c r="K137" s="1380"/>
      <c r="L137" s="1380"/>
      <c r="M137" s="935"/>
      <c r="N137" s="935"/>
      <c r="O137" s="935"/>
      <c r="P137" s="935"/>
      <c r="Q137" s="266"/>
      <c r="R137" s="266"/>
      <c r="S137" s="268"/>
      <c r="T137" s="269" t="e">
        <f>VLOOKUP(Q137,[71]Listas!$D$6:$E$10,2,0)</f>
        <v>#N/A</v>
      </c>
      <c r="U137" s="269" t="e">
        <f>HLOOKUP(R137,[71]Listas!$F$4:$J$5,2,0)</f>
        <v>#N/A</v>
      </c>
      <c r="V137" s="270" t="e">
        <f>INDEX([71]Listas!$F$6:$J$10,MATCH(Q137,[71]Listas!$D$6:$D$10,0),MATCH(R137,[71]Listas!$F$4:$J$4,0))</f>
        <v>#N/A</v>
      </c>
      <c r="W137" s="268"/>
      <c r="X137" s="1399"/>
      <c r="Y137" s="1408"/>
      <c r="Z137" s="1400"/>
      <c r="AA137" s="1063"/>
      <c r="AB137" s="267"/>
      <c r="AC137" s="259"/>
      <c r="AD137" s="935"/>
      <c r="AE137" s="267"/>
      <c r="AF137" s="268"/>
      <c r="AG137" s="269">
        <f t="shared" si="12"/>
        <v>0</v>
      </c>
      <c r="AH137" s="271" t="e">
        <f t="shared" si="13"/>
        <v>#N/A</v>
      </c>
      <c r="AI137" s="272" t="e">
        <f>IF(AH137&lt;=1,"Remota",VLOOKUP(AH137,[71]Listas!$C$6:$D$10,2,0))</f>
        <v>#N/A</v>
      </c>
      <c r="AJ137" s="271" t="e">
        <f t="shared" si="14"/>
        <v>#N/A</v>
      </c>
      <c r="AK137" s="272" t="e">
        <f>IF(AJ137&lt;=1,"Insignificante",HLOOKUP(AJ137,[71]Listas!$F$3:$J$4,2,0))</f>
        <v>#N/A</v>
      </c>
      <c r="AL137" s="273" t="e">
        <f t="shared" si="15"/>
        <v>#N/A</v>
      </c>
      <c r="AM137" s="270" t="e">
        <f>INDEX([71]Listas!$F$6:$J$10,MATCH(AI137,[71]Listas!$D$6:$D$10,0),MATCH(AK137,[71]Listas!$F$4:$J$4,0))</f>
        <v>#N/A</v>
      </c>
      <c r="AN137" s="259"/>
      <c r="AO137" s="259"/>
      <c r="AP137" s="937"/>
      <c r="AQ137" s="259"/>
      <c r="AR137" s="259" t="s">
        <v>2343</v>
      </c>
      <c r="AS137" s="935"/>
      <c r="AT137" s="259"/>
      <c r="AU137" s="259"/>
      <c r="AV137" s="567"/>
      <c r="AW137" s="567"/>
      <c r="AX137" s="935"/>
      <c r="AY137" s="262"/>
    </row>
    <row r="138" spans="1:51" s="260" customFormat="1" ht="103.5" hidden="1" customHeight="1">
      <c r="A138" s="935"/>
      <c r="B138" s="266"/>
      <c r="C138" s="1399"/>
      <c r="D138" s="1408"/>
      <c r="E138" s="1400"/>
      <c r="F138" s="267"/>
      <c r="G138" s="1399"/>
      <c r="H138" s="1408"/>
      <c r="I138" s="1400"/>
      <c r="J138" s="1380"/>
      <c r="K138" s="1380"/>
      <c r="L138" s="1380"/>
      <c r="M138" s="935"/>
      <c r="N138" s="935"/>
      <c r="O138" s="935"/>
      <c r="P138" s="935"/>
      <c r="Q138" s="266"/>
      <c r="R138" s="266"/>
      <c r="S138" s="268"/>
      <c r="T138" s="269" t="e">
        <f>VLOOKUP(Q138,[71]Listas!$D$6:$E$10,2,0)</f>
        <v>#N/A</v>
      </c>
      <c r="U138" s="269" t="e">
        <f>HLOOKUP(R138,[71]Listas!$F$4:$J$5,2,0)</f>
        <v>#N/A</v>
      </c>
      <c r="V138" s="270" t="e">
        <f>INDEX([71]Listas!$F$6:$J$10,MATCH(Q138,[71]Listas!$D$6:$D$10,0),MATCH(R138,[71]Listas!$F$4:$J$4,0))</f>
        <v>#N/A</v>
      </c>
      <c r="W138" s="268"/>
      <c r="X138" s="1399"/>
      <c r="Y138" s="1408"/>
      <c r="Z138" s="1400"/>
      <c r="AA138" s="1063"/>
      <c r="AB138" s="267"/>
      <c r="AC138" s="259"/>
      <c r="AD138" s="935"/>
      <c r="AE138" s="267"/>
      <c r="AF138" s="268"/>
      <c r="AG138" s="269">
        <f t="shared" si="12"/>
        <v>0</v>
      </c>
      <c r="AH138" s="271" t="e">
        <f t="shared" si="13"/>
        <v>#N/A</v>
      </c>
      <c r="AI138" s="272" t="e">
        <f>IF(AH138&lt;=1,"Remota",VLOOKUP(AH138,[71]Listas!$C$6:$D$10,2,0))</f>
        <v>#N/A</v>
      </c>
      <c r="AJ138" s="271" t="e">
        <f t="shared" si="14"/>
        <v>#N/A</v>
      </c>
      <c r="AK138" s="272" t="e">
        <f>IF(AJ138&lt;=1,"Insignificante",HLOOKUP(AJ138,[71]Listas!$F$3:$J$4,2,0))</f>
        <v>#N/A</v>
      </c>
      <c r="AL138" s="273" t="e">
        <f t="shared" si="15"/>
        <v>#N/A</v>
      </c>
      <c r="AM138" s="270" t="e">
        <f>INDEX([71]Listas!$F$6:$J$10,MATCH(AI138,[71]Listas!$D$6:$D$10,0),MATCH(AK138,[71]Listas!$F$4:$J$4,0))</f>
        <v>#N/A</v>
      </c>
      <c r="AN138" s="259"/>
      <c r="AO138" s="259"/>
      <c r="AP138" s="937"/>
      <c r="AQ138" s="259"/>
      <c r="AR138" s="259" t="s">
        <v>2343</v>
      </c>
      <c r="AS138" s="935"/>
      <c r="AT138" s="259"/>
      <c r="AU138" s="259"/>
      <c r="AV138" s="567"/>
      <c r="AW138" s="567"/>
      <c r="AX138" s="935"/>
      <c r="AY138" s="262"/>
    </row>
    <row r="139" spans="1:51" s="260" customFormat="1" ht="103.5" hidden="1" customHeight="1">
      <c r="A139" s="935"/>
      <c r="B139" s="266"/>
      <c r="C139" s="1399"/>
      <c r="D139" s="1408"/>
      <c r="E139" s="1400"/>
      <c r="F139" s="267"/>
      <c r="G139" s="1399"/>
      <c r="H139" s="1408"/>
      <c r="I139" s="1400"/>
      <c r="J139" s="1380"/>
      <c r="K139" s="1380"/>
      <c r="L139" s="1380"/>
      <c r="M139" s="935"/>
      <c r="N139" s="935"/>
      <c r="O139" s="935"/>
      <c r="P139" s="935"/>
      <c r="Q139" s="266"/>
      <c r="R139" s="266"/>
      <c r="S139" s="268"/>
      <c r="T139" s="269" t="e">
        <f>VLOOKUP(Q139,[71]Listas!$D$6:$E$10,2,0)</f>
        <v>#N/A</v>
      </c>
      <c r="U139" s="269" t="e">
        <f>HLOOKUP(R139,[71]Listas!$F$4:$J$5,2,0)</f>
        <v>#N/A</v>
      </c>
      <c r="V139" s="270" t="e">
        <f>INDEX([71]Listas!$F$6:$J$10,MATCH(Q139,[71]Listas!$D$6:$D$10,0),MATCH(R139,[71]Listas!$F$4:$J$4,0))</f>
        <v>#N/A</v>
      </c>
      <c r="W139" s="268"/>
      <c r="X139" s="1399"/>
      <c r="Y139" s="1408"/>
      <c r="Z139" s="1400"/>
      <c r="AA139" s="1063"/>
      <c r="AB139" s="267"/>
      <c r="AC139" s="259"/>
      <c r="AD139" s="935"/>
      <c r="AE139" s="267"/>
      <c r="AF139" s="268"/>
      <c r="AG139" s="269">
        <f t="shared" si="12"/>
        <v>0</v>
      </c>
      <c r="AH139" s="271" t="e">
        <f t="shared" si="13"/>
        <v>#N/A</v>
      </c>
      <c r="AI139" s="272" t="e">
        <f>IF(AH139&lt;=1,"Remota",VLOOKUP(AH139,[71]Listas!$C$6:$D$10,2,0))</f>
        <v>#N/A</v>
      </c>
      <c r="AJ139" s="271" t="e">
        <f t="shared" si="14"/>
        <v>#N/A</v>
      </c>
      <c r="AK139" s="272" t="e">
        <f>IF(AJ139&lt;=1,"Insignificante",HLOOKUP(AJ139,[71]Listas!$F$3:$J$4,2,0))</f>
        <v>#N/A</v>
      </c>
      <c r="AL139" s="273" t="e">
        <f t="shared" si="15"/>
        <v>#N/A</v>
      </c>
      <c r="AM139" s="270" t="e">
        <f>INDEX([71]Listas!$F$6:$J$10,MATCH(AI139,[71]Listas!$D$6:$D$10,0),MATCH(AK139,[71]Listas!$F$4:$J$4,0))</f>
        <v>#N/A</v>
      </c>
      <c r="AN139" s="259"/>
      <c r="AO139" s="259"/>
      <c r="AP139" s="937"/>
      <c r="AQ139" s="259"/>
      <c r="AR139" s="259" t="s">
        <v>2343</v>
      </c>
      <c r="AS139" s="935"/>
      <c r="AT139" s="259"/>
      <c r="AU139" s="259"/>
      <c r="AV139" s="567"/>
      <c r="AW139" s="567"/>
      <c r="AX139" s="935"/>
      <c r="AY139" s="262"/>
    </row>
    <row r="140" spans="1:51" s="260" customFormat="1" ht="103.5" hidden="1" customHeight="1">
      <c r="A140" s="935"/>
      <c r="B140" s="266"/>
      <c r="C140" s="1399"/>
      <c r="D140" s="1408"/>
      <c r="E140" s="1400"/>
      <c r="F140" s="267"/>
      <c r="G140" s="1399"/>
      <c r="H140" s="1408"/>
      <c r="I140" s="1400"/>
      <c r="J140" s="1380"/>
      <c r="K140" s="1380"/>
      <c r="L140" s="1380"/>
      <c r="M140" s="935"/>
      <c r="N140" s="935"/>
      <c r="O140" s="935"/>
      <c r="P140" s="935"/>
      <c r="Q140" s="266"/>
      <c r="R140" s="266"/>
      <c r="S140" s="268"/>
      <c r="T140" s="269" t="e">
        <f>VLOOKUP(Q140,[71]Listas!$D$6:$E$10,2,0)</f>
        <v>#N/A</v>
      </c>
      <c r="U140" s="269" t="e">
        <f>HLOOKUP(R140,[71]Listas!$F$4:$J$5,2,0)</f>
        <v>#N/A</v>
      </c>
      <c r="V140" s="270" t="e">
        <f>INDEX([71]Listas!$F$6:$J$10,MATCH(Q140,[71]Listas!$D$6:$D$10,0),MATCH(R140,[71]Listas!$F$4:$J$4,0))</f>
        <v>#N/A</v>
      </c>
      <c r="W140" s="268"/>
      <c r="X140" s="1399"/>
      <c r="Y140" s="1408"/>
      <c r="Z140" s="1400"/>
      <c r="AA140" s="1063"/>
      <c r="AB140" s="267"/>
      <c r="AC140" s="259"/>
      <c r="AD140" s="935"/>
      <c r="AE140" s="267"/>
      <c r="AF140" s="268"/>
      <c r="AG140" s="269">
        <f t="shared" si="12"/>
        <v>0</v>
      </c>
      <c r="AH140" s="271" t="e">
        <f t="shared" si="13"/>
        <v>#N/A</v>
      </c>
      <c r="AI140" s="272" t="e">
        <f>IF(AH140&lt;=1,"Remota",VLOOKUP(AH140,[71]Listas!$C$6:$D$10,2,0))</f>
        <v>#N/A</v>
      </c>
      <c r="AJ140" s="271" t="e">
        <f t="shared" si="14"/>
        <v>#N/A</v>
      </c>
      <c r="AK140" s="272" t="e">
        <f>IF(AJ140&lt;=1,"Insignificante",HLOOKUP(AJ140,[71]Listas!$F$3:$J$4,2,0))</f>
        <v>#N/A</v>
      </c>
      <c r="AL140" s="273" t="e">
        <f t="shared" si="15"/>
        <v>#N/A</v>
      </c>
      <c r="AM140" s="270" t="e">
        <f>INDEX([71]Listas!$F$6:$J$10,MATCH(AI140,[71]Listas!$D$6:$D$10,0),MATCH(AK140,[71]Listas!$F$4:$J$4,0))</f>
        <v>#N/A</v>
      </c>
      <c r="AN140" s="259"/>
      <c r="AO140" s="259"/>
      <c r="AP140" s="937"/>
      <c r="AQ140" s="259"/>
      <c r="AR140" s="259" t="s">
        <v>2343</v>
      </c>
      <c r="AS140" s="935"/>
      <c r="AT140" s="259"/>
      <c r="AU140" s="259"/>
      <c r="AV140" s="567"/>
      <c r="AW140" s="567"/>
      <c r="AX140" s="935"/>
      <c r="AY140" s="262"/>
    </row>
    <row r="141" spans="1:51" s="260" customFormat="1" ht="103.5" hidden="1" customHeight="1">
      <c r="A141" s="935"/>
      <c r="B141" s="266"/>
      <c r="C141" s="1399"/>
      <c r="D141" s="1408"/>
      <c r="E141" s="1400"/>
      <c r="F141" s="267"/>
      <c r="G141" s="1399"/>
      <c r="H141" s="1408"/>
      <c r="I141" s="1400"/>
      <c r="J141" s="1380"/>
      <c r="K141" s="1380"/>
      <c r="L141" s="1380"/>
      <c r="M141" s="935"/>
      <c r="N141" s="935"/>
      <c r="O141" s="935"/>
      <c r="P141" s="935"/>
      <c r="Q141" s="266"/>
      <c r="R141" s="266"/>
      <c r="S141" s="268"/>
      <c r="T141" s="269" t="e">
        <f>VLOOKUP(Q141,[71]Listas!$D$6:$E$10,2,0)</f>
        <v>#N/A</v>
      </c>
      <c r="U141" s="269" t="e">
        <f>HLOOKUP(R141,[71]Listas!$F$4:$J$5,2,0)</f>
        <v>#N/A</v>
      </c>
      <c r="V141" s="270" t="e">
        <f>INDEX([71]Listas!$F$6:$J$10,MATCH(Q141,[71]Listas!$D$6:$D$10,0),MATCH(R141,[71]Listas!$F$4:$J$4,0))</f>
        <v>#N/A</v>
      </c>
      <c r="W141" s="268"/>
      <c r="X141" s="1399"/>
      <c r="Y141" s="1408"/>
      <c r="Z141" s="1400"/>
      <c r="AA141" s="1063"/>
      <c r="AB141" s="267"/>
      <c r="AC141" s="259"/>
      <c r="AD141" s="935"/>
      <c r="AE141" s="267"/>
      <c r="AF141" s="268"/>
      <c r="AG141" s="269">
        <f t="shared" si="12"/>
        <v>0</v>
      </c>
      <c r="AH141" s="271" t="e">
        <f t="shared" si="13"/>
        <v>#N/A</v>
      </c>
      <c r="AI141" s="272" t="e">
        <f>IF(AH141&lt;=1,"Remota",VLOOKUP(AH141,[71]Listas!$C$6:$D$10,2,0))</f>
        <v>#N/A</v>
      </c>
      <c r="AJ141" s="271" t="e">
        <f t="shared" si="14"/>
        <v>#N/A</v>
      </c>
      <c r="AK141" s="272" t="e">
        <f>IF(AJ141&lt;=1,"Insignificante",HLOOKUP(AJ141,[71]Listas!$F$3:$J$4,2,0))</f>
        <v>#N/A</v>
      </c>
      <c r="AL141" s="273" t="e">
        <f t="shared" si="15"/>
        <v>#N/A</v>
      </c>
      <c r="AM141" s="270" t="e">
        <f>INDEX([71]Listas!$F$6:$J$10,MATCH(AI141,[71]Listas!$D$6:$D$10,0),MATCH(AK141,[71]Listas!$F$4:$J$4,0))</f>
        <v>#N/A</v>
      </c>
      <c r="AN141" s="259"/>
      <c r="AO141" s="259"/>
      <c r="AP141" s="937"/>
      <c r="AQ141" s="259"/>
      <c r="AR141" s="259" t="s">
        <v>2343</v>
      </c>
      <c r="AS141" s="935"/>
      <c r="AT141" s="259"/>
      <c r="AU141" s="259"/>
      <c r="AV141" s="567"/>
      <c r="AW141" s="567"/>
      <c r="AX141" s="935"/>
      <c r="AY141" s="262"/>
    </row>
    <row r="142" spans="1:51" s="260" customFormat="1" ht="103.5" hidden="1" customHeight="1">
      <c r="A142" s="935"/>
      <c r="B142" s="266"/>
      <c r="C142" s="1399"/>
      <c r="D142" s="1408"/>
      <c r="E142" s="1400"/>
      <c r="F142" s="267"/>
      <c r="G142" s="1399"/>
      <c r="H142" s="1408"/>
      <c r="I142" s="1400"/>
      <c r="J142" s="1380"/>
      <c r="K142" s="1380"/>
      <c r="L142" s="1380"/>
      <c r="M142" s="935"/>
      <c r="N142" s="935"/>
      <c r="O142" s="935"/>
      <c r="P142" s="935"/>
      <c r="Q142" s="266"/>
      <c r="R142" s="266"/>
      <c r="S142" s="268"/>
      <c r="T142" s="269" t="e">
        <f>VLOOKUP(Q142,[71]Listas!$D$6:$E$10,2,0)</f>
        <v>#N/A</v>
      </c>
      <c r="U142" s="269" t="e">
        <f>HLOOKUP(R142,[71]Listas!$F$4:$J$5,2,0)</f>
        <v>#N/A</v>
      </c>
      <c r="V142" s="270" t="e">
        <f>INDEX([71]Listas!$F$6:$J$10,MATCH(Q142,[71]Listas!$D$6:$D$10,0),MATCH(R142,[71]Listas!$F$4:$J$4,0))</f>
        <v>#N/A</v>
      </c>
      <c r="W142" s="268"/>
      <c r="X142" s="1399"/>
      <c r="Y142" s="1408"/>
      <c r="Z142" s="1400"/>
      <c r="AA142" s="1063"/>
      <c r="AB142" s="267"/>
      <c r="AC142" s="259"/>
      <c r="AD142" s="935"/>
      <c r="AE142" s="267"/>
      <c r="AF142" s="268"/>
      <c r="AG142" s="269">
        <f t="shared" si="12"/>
        <v>0</v>
      </c>
      <c r="AH142" s="271" t="e">
        <f t="shared" si="13"/>
        <v>#N/A</v>
      </c>
      <c r="AI142" s="272" t="e">
        <f>IF(AH142&lt;=1,"Remota",VLOOKUP(AH142,[71]Listas!$C$6:$D$10,2,0))</f>
        <v>#N/A</v>
      </c>
      <c r="AJ142" s="271" t="e">
        <f t="shared" si="14"/>
        <v>#N/A</v>
      </c>
      <c r="AK142" s="272" t="e">
        <f>IF(AJ142&lt;=1,"Insignificante",HLOOKUP(AJ142,[71]Listas!$F$3:$J$4,2,0))</f>
        <v>#N/A</v>
      </c>
      <c r="AL142" s="273" t="e">
        <f t="shared" si="15"/>
        <v>#N/A</v>
      </c>
      <c r="AM142" s="270" t="e">
        <f>INDEX([71]Listas!$F$6:$J$10,MATCH(AI142,[71]Listas!$D$6:$D$10,0),MATCH(AK142,[71]Listas!$F$4:$J$4,0))</f>
        <v>#N/A</v>
      </c>
      <c r="AN142" s="259"/>
      <c r="AO142" s="259"/>
      <c r="AP142" s="937"/>
      <c r="AQ142" s="259"/>
      <c r="AR142" s="259" t="s">
        <v>2343</v>
      </c>
      <c r="AS142" s="935"/>
      <c r="AT142" s="259"/>
      <c r="AU142" s="259"/>
      <c r="AV142" s="567"/>
      <c r="AW142" s="567"/>
      <c r="AX142" s="935"/>
      <c r="AY142" s="262"/>
    </row>
    <row r="143" spans="1:51" s="260" customFormat="1" ht="103.5" hidden="1" customHeight="1">
      <c r="A143" s="935"/>
      <c r="B143" s="266"/>
      <c r="C143" s="1399"/>
      <c r="D143" s="1408"/>
      <c r="E143" s="1400"/>
      <c r="F143" s="267"/>
      <c r="G143" s="1399"/>
      <c r="H143" s="1408"/>
      <c r="I143" s="1400"/>
      <c r="J143" s="1380"/>
      <c r="K143" s="1380"/>
      <c r="L143" s="1380"/>
      <c r="M143" s="935"/>
      <c r="N143" s="935"/>
      <c r="O143" s="935"/>
      <c r="P143" s="935"/>
      <c r="Q143" s="266"/>
      <c r="R143" s="266"/>
      <c r="S143" s="268"/>
      <c r="T143" s="269" t="e">
        <f>VLOOKUP(Q143,[71]Listas!$D$6:$E$10,2,0)</f>
        <v>#N/A</v>
      </c>
      <c r="U143" s="269" t="e">
        <f>HLOOKUP(R143,[71]Listas!$F$4:$J$5,2,0)</f>
        <v>#N/A</v>
      </c>
      <c r="V143" s="270" t="e">
        <f>INDEX([71]Listas!$F$6:$J$10,MATCH(Q143,[71]Listas!$D$6:$D$10,0),MATCH(R143,[71]Listas!$F$4:$J$4,0))</f>
        <v>#N/A</v>
      </c>
      <c r="W143" s="268"/>
      <c r="X143" s="1399"/>
      <c r="Y143" s="1408"/>
      <c r="Z143" s="1400"/>
      <c r="AA143" s="1063"/>
      <c r="AB143" s="267"/>
      <c r="AC143" s="259"/>
      <c r="AD143" s="935"/>
      <c r="AE143" s="267"/>
      <c r="AF143" s="268"/>
      <c r="AG143" s="269">
        <f t="shared" si="12"/>
        <v>0</v>
      </c>
      <c r="AH143" s="271" t="e">
        <f t="shared" si="13"/>
        <v>#N/A</v>
      </c>
      <c r="AI143" s="272" t="e">
        <f>IF(AH143&lt;=1,"Remota",VLOOKUP(AH143,[71]Listas!$C$6:$D$10,2,0))</f>
        <v>#N/A</v>
      </c>
      <c r="AJ143" s="271" t="e">
        <f t="shared" si="14"/>
        <v>#N/A</v>
      </c>
      <c r="AK143" s="272" t="e">
        <f>IF(AJ143&lt;=1,"Insignificante",HLOOKUP(AJ143,[71]Listas!$F$3:$J$4,2,0))</f>
        <v>#N/A</v>
      </c>
      <c r="AL143" s="273" t="e">
        <f t="shared" si="15"/>
        <v>#N/A</v>
      </c>
      <c r="AM143" s="270" t="e">
        <f>INDEX([71]Listas!$F$6:$J$10,MATCH(AI143,[71]Listas!$D$6:$D$10,0),MATCH(AK143,[71]Listas!$F$4:$J$4,0))</f>
        <v>#N/A</v>
      </c>
      <c r="AN143" s="259"/>
      <c r="AO143" s="259"/>
      <c r="AP143" s="937"/>
      <c r="AQ143" s="259"/>
      <c r="AR143" s="259" t="s">
        <v>2343</v>
      </c>
      <c r="AS143" s="935"/>
      <c r="AT143" s="259"/>
      <c r="AU143" s="259"/>
      <c r="AV143" s="567"/>
      <c r="AW143" s="567"/>
      <c r="AX143" s="935"/>
      <c r="AY143" s="262"/>
    </row>
    <row r="144" spans="1:51" s="260" customFormat="1" ht="13.5" hidden="1" customHeight="1">
      <c r="A144" s="935"/>
      <c r="B144" s="266"/>
      <c r="C144" s="1399"/>
      <c r="D144" s="1408"/>
      <c r="E144" s="1400"/>
      <c r="F144" s="267"/>
      <c r="G144" s="1399"/>
      <c r="H144" s="1408"/>
      <c r="I144" s="1400"/>
      <c r="J144" s="1380"/>
      <c r="K144" s="1380"/>
      <c r="L144" s="1380"/>
      <c r="M144" s="935"/>
      <c r="N144" s="935"/>
      <c r="O144" s="935"/>
      <c r="P144" s="935"/>
      <c r="Q144" s="266"/>
      <c r="R144" s="266"/>
      <c r="S144" s="268"/>
      <c r="T144" s="269" t="e">
        <f>VLOOKUP(Q144,[71]Listas!$D$6:$E$10,2,0)</f>
        <v>#N/A</v>
      </c>
      <c r="U144" s="269" t="e">
        <f>HLOOKUP(R144,[71]Listas!$F$4:$J$5,2,0)</f>
        <v>#N/A</v>
      </c>
      <c r="V144" s="270" t="e">
        <f>INDEX([71]Listas!$F$6:$J$10,MATCH(Q144,[71]Listas!$D$6:$D$10,0),MATCH(R144,[71]Listas!$F$4:$J$4,0))</f>
        <v>#N/A</v>
      </c>
      <c r="W144" s="268"/>
      <c r="X144" s="1399"/>
      <c r="Y144" s="1408"/>
      <c r="Z144" s="1400"/>
      <c r="AA144" s="1063"/>
      <c r="AB144" s="267"/>
      <c r="AC144" s="259"/>
      <c r="AD144" s="935"/>
      <c r="AE144" s="267"/>
      <c r="AF144" s="268"/>
      <c r="AG144" s="269">
        <f t="shared" si="12"/>
        <v>0</v>
      </c>
      <c r="AH144" s="271" t="e">
        <f t="shared" si="13"/>
        <v>#N/A</v>
      </c>
      <c r="AI144" s="272" t="e">
        <f>IF(AH144&lt;=1,"Remota",VLOOKUP(AH144,[71]Listas!$C$6:$D$10,2,0))</f>
        <v>#N/A</v>
      </c>
      <c r="AJ144" s="271" t="e">
        <f t="shared" si="14"/>
        <v>#N/A</v>
      </c>
      <c r="AK144" s="272" t="e">
        <f>IF(AJ144&lt;=1,"Insignificante",HLOOKUP(AJ144,[71]Listas!$F$3:$J$4,2,0))</f>
        <v>#N/A</v>
      </c>
      <c r="AL144" s="273" t="e">
        <f t="shared" si="15"/>
        <v>#N/A</v>
      </c>
      <c r="AM144" s="270" t="e">
        <f>INDEX([71]Listas!$F$6:$J$10,MATCH(AI144,[71]Listas!$D$6:$D$10,0),MATCH(AK144,[71]Listas!$F$4:$J$4,0))</f>
        <v>#N/A</v>
      </c>
      <c r="AN144" s="259"/>
      <c r="AO144" s="259"/>
      <c r="AP144" s="937"/>
      <c r="AQ144" s="259"/>
      <c r="AR144" s="259" t="s">
        <v>2343</v>
      </c>
      <c r="AS144" s="935"/>
      <c r="AT144" s="259"/>
      <c r="AU144" s="259"/>
      <c r="AV144" s="567"/>
      <c r="AW144" s="567"/>
      <c r="AX144" s="935"/>
      <c r="AY144" s="262"/>
    </row>
    <row r="145" spans="1:1027" ht="5.25" customHeight="1">
      <c r="A145" s="568"/>
      <c r="B145" s="276"/>
      <c r="C145" s="276"/>
      <c r="D145" s="276"/>
      <c r="E145" s="275"/>
      <c r="F145" s="275"/>
      <c r="G145" s="277"/>
      <c r="H145" s="277"/>
      <c r="I145" s="277"/>
      <c r="J145" s="275"/>
      <c r="K145" s="275"/>
      <c r="L145" s="278"/>
      <c r="M145" s="278"/>
      <c r="N145" s="278"/>
      <c r="O145" s="278"/>
      <c r="P145" s="278"/>
      <c r="Q145" s="278"/>
      <c r="R145" s="278"/>
      <c r="S145" s="278"/>
      <c r="T145" s="278"/>
      <c r="U145" s="278"/>
      <c r="V145" s="275"/>
      <c r="W145" s="275"/>
      <c r="X145" s="277"/>
      <c r="Y145" s="277"/>
      <c r="Z145" s="277"/>
      <c r="AA145" s="277"/>
      <c r="AB145" s="277"/>
      <c r="AC145" s="277"/>
      <c r="AD145" s="275"/>
      <c r="AE145" s="275"/>
      <c r="AF145" s="275"/>
      <c r="AG145" s="275"/>
      <c r="AH145" s="275"/>
      <c r="AI145" s="275"/>
      <c r="AJ145" s="275"/>
      <c r="AK145" s="275"/>
      <c r="AL145" s="275"/>
      <c r="AM145" s="279"/>
      <c r="AN145" s="262"/>
      <c r="AO145" s="262"/>
      <c r="AP145" s="262"/>
      <c r="AQ145" s="262"/>
      <c r="AR145" s="262"/>
      <c r="AS145" s="262"/>
      <c r="AT145" s="262"/>
      <c r="AU145" s="262"/>
      <c r="AV145" s="569"/>
      <c r="AW145" s="569"/>
      <c r="AX145" s="262"/>
      <c r="AY145" s="262"/>
      <c r="AZ145" s="236"/>
      <c r="BA145" s="236"/>
      <c r="BB145" s="236"/>
      <c r="BC145" s="236"/>
      <c r="BD145" s="236"/>
      <c r="BE145" s="236"/>
      <c r="BF145" s="236"/>
      <c r="BG145" s="236"/>
      <c r="BH145" s="236"/>
      <c r="BI145" s="236"/>
      <c r="BJ145" s="236"/>
      <c r="BK145" s="236"/>
      <c r="BL145" s="236"/>
      <c r="BM145" s="236"/>
      <c r="BN145" s="236"/>
      <c r="BO145" s="236"/>
      <c r="BP145" s="236"/>
      <c r="BQ145" s="236"/>
      <c r="BR145" s="236"/>
      <c r="BS145" s="236"/>
      <c r="BT145" s="236"/>
      <c r="BU145" s="236"/>
      <c r="BV145" s="236"/>
      <c r="BW145" s="236"/>
      <c r="BX145" s="236"/>
      <c r="BY145" s="236"/>
      <c r="BZ145" s="236"/>
      <c r="CA145" s="236"/>
      <c r="CB145" s="236"/>
      <c r="CC145" s="236"/>
      <c r="CD145" s="236"/>
      <c r="CE145" s="236"/>
      <c r="CF145" s="236"/>
      <c r="CG145" s="236"/>
      <c r="CH145" s="236"/>
      <c r="CI145" s="236"/>
      <c r="CJ145" s="236"/>
      <c r="CK145" s="236"/>
      <c r="CL145" s="236"/>
      <c r="CM145" s="236"/>
      <c r="CN145" s="236"/>
      <c r="CO145" s="236"/>
      <c r="CP145" s="236"/>
      <c r="CQ145" s="236"/>
      <c r="CR145" s="236"/>
      <c r="CS145" s="236"/>
      <c r="CT145" s="236"/>
      <c r="CU145" s="236"/>
      <c r="CV145" s="236"/>
      <c r="CW145" s="236"/>
      <c r="CX145" s="236"/>
      <c r="CY145" s="236"/>
      <c r="CZ145" s="236"/>
      <c r="DA145" s="236"/>
      <c r="DB145" s="236"/>
      <c r="DC145" s="236"/>
      <c r="DD145" s="236"/>
      <c r="DE145" s="236"/>
      <c r="DF145" s="236"/>
      <c r="DG145" s="236"/>
      <c r="DH145" s="236"/>
      <c r="DI145" s="236"/>
      <c r="DJ145" s="236"/>
      <c r="DK145" s="236"/>
      <c r="DL145" s="236"/>
      <c r="DM145" s="236"/>
      <c r="DN145" s="236"/>
      <c r="DO145" s="236"/>
      <c r="DP145" s="236"/>
      <c r="DQ145" s="236"/>
      <c r="DR145" s="236"/>
      <c r="DS145" s="236"/>
      <c r="DT145" s="236"/>
      <c r="DU145" s="236"/>
      <c r="DV145" s="236"/>
      <c r="DW145" s="236"/>
      <c r="DX145" s="236"/>
      <c r="DY145" s="236"/>
      <c r="DZ145" s="236"/>
      <c r="EA145" s="236"/>
      <c r="EB145" s="236"/>
      <c r="EC145" s="236"/>
      <c r="ED145" s="236"/>
      <c r="EE145" s="236"/>
      <c r="EF145" s="236"/>
      <c r="EG145" s="236"/>
      <c r="EH145" s="236"/>
      <c r="EI145" s="236"/>
      <c r="EJ145" s="236"/>
      <c r="EK145" s="236"/>
      <c r="EL145" s="236"/>
      <c r="EM145" s="236"/>
      <c r="EN145" s="236"/>
      <c r="EO145" s="236"/>
      <c r="EP145" s="236"/>
      <c r="EQ145" s="236"/>
      <c r="ER145" s="236"/>
      <c r="ES145" s="236"/>
      <c r="ET145" s="236"/>
      <c r="EU145" s="236"/>
      <c r="EV145" s="236"/>
      <c r="EW145" s="236"/>
      <c r="EX145" s="236"/>
      <c r="EY145" s="236"/>
      <c r="EZ145" s="236"/>
      <c r="FA145" s="236"/>
      <c r="FB145" s="236"/>
      <c r="FC145" s="236"/>
      <c r="FD145" s="236"/>
      <c r="FE145" s="236"/>
      <c r="FF145" s="236"/>
      <c r="FG145" s="236"/>
      <c r="FH145" s="236"/>
      <c r="FI145" s="236"/>
      <c r="FJ145" s="236"/>
      <c r="FK145" s="236"/>
      <c r="FL145" s="236"/>
      <c r="FM145" s="236"/>
      <c r="FN145" s="236"/>
      <c r="FO145" s="236"/>
      <c r="FP145" s="236"/>
      <c r="FQ145" s="236"/>
      <c r="FR145" s="236"/>
      <c r="FS145" s="236"/>
      <c r="FT145" s="236"/>
      <c r="FU145" s="236"/>
      <c r="FV145" s="236"/>
      <c r="FW145" s="236"/>
      <c r="FX145" s="236"/>
      <c r="FY145" s="236"/>
      <c r="FZ145" s="236"/>
      <c r="GA145" s="236"/>
      <c r="GB145" s="236"/>
      <c r="GC145" s="236"/>
      <c r="GD145" s="236"/>
      <c r="GE145" s="236"/>
      <c r="GF145" s="236"/>
      <c r="GG145" s="236"/>
      <c r="GH145" s="236"/>
      <c r="GI145" s="236"/>
      <c r="GJ145" s="236"/>
      <c r="GK145" s="236"/>
      <c r="GL145" s="236"/>
      <c r="GM145" s="236"/>
      <c r="GN145" s="236"/>
      <c r="GO145" s="236"/>
      <c r="GP145" s="236"/>
      <c r="GQ145" s="236"/>
      <c r="GR145" s="236"/>
      <c r="GS145" s="236"/>
      <c r="GT145" s="236"/>
      <c r="GU145" s="236"/>
      <c r="GV145" s="236"/>
      <c r="GW145" s="236"/>
      <c r="GX145" s="236"/>
      <c r="GY145" s="236"/>
      <c r="GZ145" s="236"/>
      <c r="HA145" s="236"/>
      <c r="HB145" s="236"/>
      <c r="HC145" s="236"/>
      <c r="HD145" s="236"/>
      <c r="HE145" s="236"/>
      <c r="HF145" s="236"/>
      <c r="HG145" s="236"/>
      <c r="HH145" s="236"/>
      <c r="HI145" s="236"/>
      <c r="HJ145" s="236"/>
      <c r="HK145" s="236"/>
      <c r="HL145" s="236"/>
      <c r="HM145" s="236"/>
      <c r="HN145" s="236"/>
      <c r="HO145" s="236"/>
      <c r="HP145" s="236"/>
      <c r="HQ145" s="236"/>
      <c r="HR145" s="236"/>
      <c r="HS145" s="236"/>
      <c r="HT145" s="236"/>
      <c r="HU145" s="236"/>
      <c r="HV145" s="236"/>
      <c r="HW145" s="236"/>
      <c r="HX145" s="236"/>
      <c r="HY145" s="236"/>
      <c r="HZ145" s="236"/>
      <c r="IA145" s="236"/>
      <c r="IB145" s="236"/>
      <c r="IC145" s="236"/>
      <c r="ID145" s="236"/>
      <c r="IE145" s="236"/>
      <c r="IF145" s="236"/>
      <c r="IG145" s="236"/>
      <c r="IH145" s="236"/>
      <c r="II145" s="236"/>
      <c r="IJ145" s="236"/>
      <c r="IK145" s="236"/>
      <c r="IL145" s="236"/>
      <c r="IM145" s="236"/>
      <c r="IN145" s="236"/>
      <c r="IO145" s="236"/>
      <c r="IP145" s="236"/>
      <c r="IQ145" s="236"/>
      <c r="IR145" s="236"/>
      <c r="IS145" s="236"/>
      <c r="IT145" s="236"/>
      <c r="IU145" s="236"/>
      <c r="IV145" s="236"/>
      <c r="IW145" s="236"/>
      <c r="IX145" s="236"/>
      <c r="IY145" s="236"/>
      <c r="IZ145" s="236"/>
      <c r="JA145" s="236"/>
      <c r="JB145" s="236"/>
      <c r="JC145" s="236"/>
      <c r="JD145" s="236"/>
      <c r="JE145" s="236"/>
      <c r="JF145" s="236"/>
      <c r="JG145" s="236"/>
      <c r="JH145" s="236"/>
      <c r="JI145" s="236"/>
      <c r="JJ145" s="236"/>
      <c r="JK145" s="236"/>
      <c r="JL145" s="236"/>
      <c r="JM145" s="236"/>
      <c r="JN145" s="236"/>
      <c r="JO145" s="236"/>
      <c r="JP145" s="236"/>
      <c r="JQ145" s="236"/>
      <c r="JR145" s="236"/>
      <c r="JS145" s="236"/>
      <c r="JT145" s="236"/>
      <c r="JU145" s="236"/>
      <c r="JV145" s="236"/>
      <c r="JW145" s="236"/>
      <c r="JX145" s="236"/>
      <c r="JY145" s="236"/>
      <c r="JZ145" s="236"/>
      <c r="KA145" s="236"/>
      <c r="KB145" s="236"/>
      <c r="KC145" s="236"/>
      <c r="KD145" s="236"/>
      <c r="KE145" s="236"/>
      <c r="KF145" s="236"/>
      <c r="KG145" s="236"/>
      <c r="KH145" s="236"/>
      <c r="KI145" s="236"/>
      <c r="KJ145" s="236"/>
      <c r="KK145" s="236"/>
      <c r="KL145" s="236"/>
      <c r="KM145" s="236"/>
      <c r="KN145" s="236"/>
      <c r="KO145" s="236"/>
      <c r="KP145" s="236"/>
      <c r="KQ145" s="236"/>
      <c r="KR145" s="236"/>
      <c r="KS145" s="236"/>
      <c r="KT145" s="236"/>
      <c r="KU145" s="236"/>
      <c r="KV145" s="236"/>
      <c r="KW145" s="236"/>
      <c r="KX145" s="236"/>
      <c r="KY145" s="236"/>
      <c r="KZ145" s="236"/>
      <c r="LA145" s="236"/>
      <c r="LB145" s="236"/>
      <c r="LC145" s="236"/>
      <c r="LD145" s="236"/>
      <c r="LE145" s="236"/>
      <c r="LF145" s="236"/>
      <c r="LG145" s="236"/>
      <c r="LH145" s="236"/>
      <c r="LI145" s="236"/>
      <c r="LJ145" s="236"/>
      <c r="LK145" s="236"/>
      <c r="LL145" s="236"/>
      <c r="LM145" s="236"/>
      <c r="LN145" s="236"/>
      <c r="LO145" s="236"/>
      <c r="LP145" s="236"/>
      <c r="LQ145" s="236"/>
      <c r="LR145" s="236"/>
      <c r="LS145" s="236"/>
      <c r="LT145" s="236"/>
      <c r="LU145" s="236"/>
      <c r="LV145" s="236"/>
      <c r="LW145" s="236"/>
      <c r="LX145" s="236"/>
      <c r="LY145" s="236"/>
      <c r="LZ145" s="236"/>
      <c r="MA145" s="236"/>
      <c r="MB145" s="236"/>
      <c r="MC145" s="236"/>
      <c r="MD145" s="236"/>
      <c r="ME145" s="236"/>
      <c r="MF145" s="236"/>
      <c r="MG145" s="236"/>
      <c r="MH145" s="236"/>
      <c r="MI145" s="236"/>
      <c r="MJ145" s="236"/>
      <c r="MK145" s="236"/>
      <c r="ML145" s="236"/>
      <c r="MM145" s="236"/>
      <c r="MN145" s="236"/>
      <c r="MO145" s="236"/>
      <c r="MP145" s="236"/>
      <c r="MQ145" s="236"/>
      <c r="MR145" s="236"/>
      <c r="MS145" s="236"/>
      <c r="MT145" s="236"/>
      <c r="MU145" s="236"/>
      <c r="MV145" s="236"/>
      <c r="MW145" s="236"/>
      <c r="MX145" s="236"/>
      <c r="MY145" s="236"/>
      <c r="MZ145" s="236"/>
      <c r="NA145" s="236"/>
      <c r="NB145" s="236"/>
      <c r="NC145" s="236"/>
      <c r="ND145" s="236"/>
      <c r="NE145" s="236"/>
      <c r="NF145" s="236"/>
      <c r="NG145" s="236"/>
      <c r="NH145" s="236"/>
      <c r="NI145" s="236"/>
      <c r="NJ145" s="236"/>
      <c r="NK145" s="236"/>
      <c r="NL145" s="236"/>
      <c r="NM145" s="236"/>
      <c r="NN145" s="236"/>
      <c r="NO145" s="236"/>
      <c r="NP145" s="236"/>
      <c r="NQ145" s="236"/>
      <c r="NR145" s="236"/>
      <c r="NS145" s="236"/>
      <c r="NT145" s="236"/>
      <c r="NU145" s="236"/>
      <c r="NV145" s="236"/>
      <c r="NW145" s="236"/>
      <c r="NX145" s="236"/>
      <c r="NY145" s="236"/>
      <c r="NZ145" s="236"/>
      <c r="OA145" s="236"/>
      <c r="OB145" s="236"/>
      <c r="OC145" s="236"/>
      <c r="OD145" s="236"/>
      <c r="OE145" s="236"/>
      <c r="OF145" s="236"/>
      <c r="OG145" s="236"/>
      <c r="OH145" s="236"/>
      <c r="OI145" s="236"/>
      <c r="OJ145" s="236"/>
      <c r="OK145" s="236"/>
      <c r="OL145" s="236"/>
      <c r="OM145" s="236"/>
      <c r="ON145" s="236"/>
      <c r="OO145" s="236"/>
      <c r="OP145" s="236"/>
      <c r="OQ145" s="236"/>
      <c r="OR145" s="236"/>
      <c r="OS145" s="236"/>
      <c r="OT145" s="236"/>
      <c r="OU145" s="236"/>
      <c r="OV145" s="236"/>
      <c r="OW145" s="236"/>
      <c r="OX145" s="236"/>
      <c r="OY145" s="236"/>
      <c r="OZ145" s="236"/>
      <c r="PA145" s="236"/>
      <c r="PB145" s="236"/>
      <c r="PC145" s="236"/>
      <c r="PD145" s="236"/>
      <c r="PE145" s="236"/>
      <c r="PF145" s="236"/>
      <c r="PG145" s="236"/>
      <c r="PH145" s="236"/>
      <c r="PI145" s="236"/>
      <c r="PJ145" s="236"/>
      <c r="PK145" s="236"/>
      <c r="PL145" s="236"/>
      <c r="PM145" s="236"/>
      <c r="PN145" s="236"/>
      <c r="PO145" s="236"/>
      <c r="PP145" s="236"/>
      <c r="PQ145" s="236"/>
      <c r="PR145" s="236"/>
      <c r="PS145" s="236"/>
      <c r="PT145" s="236"/>
      <c r="PU145" s="236"/>
      <c r="PV145" s="236"/>
      <c r="PW145" s="236"/>
      <c r="PX145" s="236"/>
      <c r="PY145" s="236"/>
      <c r="PZ145" s="236"/>
      <c r="QA145" s="236"/>
      <c r="QB145" s="236"/>
      <c r="QC145" s="236"/>
      <c r="QD145" s="236"/>
      <c r="QE145" s="236"/>
      <c r="QF145" s="236"/>
      <c r="QG145" s="236"/>
      <c r="QH145" s="236"/>
      <c r="QI145" s="236"/>
      <c r="QJ145" s="236"/>
      <c r="QK145" s="236"/>
      <c r="QL145" s="236"/>
      <c r="QM145" s="236"/>
      <c r="QN145" s="236"/>
      <c r="QO145" s="236"/>
      <c r="QP145" s="236"/>
      <c r="QQ145" s="236"/>
      <c r="QR145" s="236"/>
      <c r="QS145" s="236"/>
      <c r="QT145" s="236"/>
      <c r="QU145" s="236"/>
      <c r="QV145" s="236"/>
      <c r="QW145" s="236"/>
      <c r="QX145" s="236"/>
      <c r="QY145" s="236"/>
      <c r="QZ145" s="236"/>
      <c r="RA145" s="236"/>
      <c r="RB145" s="236"/>
      <c r="RC145" s="236"/>
      <c r="RD145" s="236"/>
      <c r="RE145" s="236"/>
      <c r="RF145" s="236"/>
      <c r="RG145" s="236"/>
      <c r="RH145" s="236"/>
      <c r="RI145" s="236"/>
      <c r="RJ145" s="236"/>
      <c r="RK145" s="236"/>
      <c r="RL145" s="236"/>
      <c r="RM145" s="236"/>
      <c r="RN145" s="236"/>
      <c r="RO145" s="236"/>
      <c r="RP145" s="236"/>
      <c r="RQ145" s="236"/>
      <c r="RR145" s="236"/>
      <c r="RS145" s="236"/>
      <c r="RT145" s="236"/>
      <c r="RU145" s="236"/>
      <c r="RV145" s="236"/>
      <c r="RW145" s="236"/>
      <c r="RX145" s="236"/>
      <c r="RY145" s="236"/>
      <c r="RZ145" s="236"/>
      <c r="SA145" s="236"/>
      <c r="SB145" s="236"/>
      <c r="SC145" s="236"/>
      <c r="SD145" s="236"/>
      <c r="SE145" s="236"/>
      <c r="SF145" s="236"/>
      <c r="SG145" s="236"/>
      <c r="SH145" s="236"/>
      <c r="SI145" s="236"/>
      <c r="SJ145" s="236"/>
      <c r="SK145" s="236"/>
      <c r="SL145" s="236"/>
      <c r="SM145" s="236"/>
      <c r="SN145" s="236"/>
      <c r="SO145" s="236"/>
      <c r="SP145" s="236"/>
      <c r="SQ145" s="236"/>
      <c r="SR145" s="236"/>
      <c r="SS145" s="236"/>
      <c r="ST145" s="236"/>
      <c r="SU145" s="236"/>
      <c r="SV145" s="236"/>
      <c r="SW145" s="236"/>
      <c r="SX145" s="236"/>
      <c r="SY145" s="236"/>
      <c r="SZ145" s="236"/>
      <c r="TA145" s="236"/>
      <c r="TB145" s="236"/>
      <c r="TC145" s="236"/>
      <c r="TD145" s="236"/>
      <c r="TE145" s="236"/>
      <c r="TF145" s="236"/>
      <c r="TG145" s="236"/>
      <c r="TH145" s="236"/>
      <c r="TI145" s="236"/>
      <c r="TJ145" s="236"/>
      <c r="TK145" s="236"/>
      <c r="TL145" s="236"/>
      <c r="TM145" s="236"/>
      <c r="TN145" s="236"/>
      <c r="TO145" s="236"/>
      <c r="TP145" s="236"/>
      <c r="TQ145" s="236"/>
      <c r="TR145" s="236"/>
      <c r="TS145" s="236"/>
      <c r="TT145" s="236"/>
      <c r="TU145" s="236"/>
      <c r="TV145" s="236"/>
      <c r="TW145" s="236"/>
      <c r="TX145" s="236"/>
      <c r="TY145" s="236"/>
      <c r="TZ145" s="236"/>
      <c r="UA145" s="236"/>
      <c r="UB145" s="236"/>
      <c r="UC145" s="236"/>
      <c r="UD145" s="236"/>
      <c r="UE145" s="236"/>
      <c r="UF145" s="236"/>
      <c r="UG145" s="236"/>
      <c r="UH145" s="236"/>
      <c r="UI145" s="236"/>
      <c r="UJ145" s="236"/>
      <c r="UK145" s="236"/>
      <c r="UL145" s="236"/>
      <c r="UM145" s="236"/>
      <c r="UN145" s="236"/>
      <c r="UO145" s="236"/>
      <c r="UP145" s="236"/>
      <c r="UQ145" s="236"/>
      <c r="UR145" s="236"/>
      <c r="US145" s="236"/>
      <c r="UT145" s="236"/>
      <c r="UU145" s="236"/>
      <c r="UV145" s="236"/>
      <c r="UW145" s="236"/>
      <c r="UX145" s="236"/>
      <c r="UY145" s="236"/>
      <c r="UZ145" s="236"/>
      <c r="VA145" s="236"/>
      <c r="VB145" s="236"/>
      <c r="VC145" s="236"/>
      <c r="VD145" s="236"/>
      <c r="VE145" s="236"/>
      <c r="VF145" s="236"/>
      <c r="VG145" s="236"/>
      <c r="VH145" s="236"/>
      <c r="VI145" s="236"/>
      <c r="VJ145" s="236"/>
      <c r="VK145" s="236"/>
      <c r="VL145" s="236"/>
      <c r="VM145" s="236"/>
      <c r="VN145" s="236"/>
      <c r="VO145" s="236"/>
      <c r="VP145" s="236"/>
      <c r="VQ145" s="236"/>
      <c r="VR145" s="236"/>
      <c r="VS145" s="236"/>
      <c r="VT145" s="236"/>
      <c r="VU145" s="236"/>
      <c r="VV145" s="236"/>
      <c r="VW145" s="236"/>
      <c r="VX145" s="236"/>
      <c r="VY145" s="236"/>
      <c r="VZ145" s="236"/>
      <c r="WA145" s="236"/>
      <c r="WB145" s="236"/>
      <c r="WC145" s="236"/>
      <c r="WD145" s="236"/>
      <c r="WE145" s="236"/>
      <c r="WF145" s="236"/>
      <c r="WG145" s="236"/>
      <c r="WH145" s="236"/>
      <c r="WI145" s="236"/>
      <c r="WJ145" s="236"/>
      <c r="WK145" s="236"/>
      <c r="WL145" s="236"/>
      <c r="WM145" s="236"/>
      <c r="WN145" s="236"/>
      <c r="WO145" s="236"/>
      <c r="WP145" s="236"/>
      <c r="WQ145" s="236"/>
      <c r="WR145" s="236"/>
      <c r="WS145" s="236"/>
      <c r="WT145" s="236"/>
      <c r="WU145" s="236"/>
      <c r="WV145" s="236"/>
      <c r="WW145" s="236"/>
      <c r="WX145" s="236"/>
      <c r="WY145" s="236"/>
      <c r="WZ145" s="236"/>
      <c r="XA145" s="236"/>
      <c r="XB145" s="236"/>
      <c r="XC145" s="236"/>
      <c r="XD145" s="236"/>
      <c r="XE145" s="236"/>
      <c r="XF145" s="236"/>
      <c r="XG145" s="236"/>
      <c r="XH145" s="236"/>
      <c r="XI145" s="236"/>
      <c r="XJ145" s="236"/>
      <c r="XK145" s="236"/>
      <c r="XL145" s="236"/>
      <c r="XM145" s="236"/>
      <c r="XN145" s="236"/>
      <c r="XO145" s="236"/>
      <c r="XP145" s="236"/>
      <c r="XQ145" s="236"/>
      <c r="XR145" s="236"/>
      <c r="XS145" s="236"/>
      <c r="XT145" s="236"/>
      <c r="XU145" s="236"/>
      <c r="XV145" s="236"/>
      <c r="XW145" s="236"/>
      <c r="XX145" s="236"/>
      <c r="XY145" s="236"/>
      <c r="XZ145" s="236"/>
      <c r="YA145" s="236"/>
      <c r="YB145" s="236"/>
      <c r="YC145" s="236"/>
      <c r="YD145" s="236"/>
      <c r="YE145" s="236"/>
      <c r="YF145" s="236"/>
      <c r="YG145" s="236"/>
      <c r="YH145" s="236"/>
      <c r="YI145" s="236"/>
      <c r="YJ145" s="236"/>
      <c r="YK145" s="236"/>
      <c r="YL145" s="236"/>
      <c r="YM145" s="236"/>
      <c r="YN145" s="236"/>
      <c r="YO145" s="236"/>
      <c r="YP145" s="236"/>
      <c r="YQ145" s="236"/>
      <c r="YR145" s="236"/>
      <c r="YS145" s="236"/>
      <c r="YT145" s="236"/>
      <c r="YU145" s="236"/>
      <c r="YV145" s="236"/>
      <c r="YW145" s="236"/>
      <c r="YX145" s="236"/>
      <c r="YY145" s="236"/>
      <c r="YZ145" s="236"/>
      <c r="ZA145" s="236"/>
      <c r="ZB145" s="236"/>
      <c r="ZC145" s="236"/>
      <c r="ZD145" s="236"/>
      <c r="ZE145" s="236"/>
      <c r="ZF145" s="236"/>
      <c r="ZG145" s="236"/>
      <c r="ZH145" s="236"/>
      <c r="ZI145" s="236"/>
      <c r="ZJ145" s="236"/>
      <c r="ZK145" s="236"/>
      <c r="ZL145" s="236"/>
      <c r="ZM145" s="236"/>
      <c r="ZN145" s="236"/>
      <c r="ZO145" s="236"/>
      <c r="ZP145" s="236"/>
      <c r="ZQ145" s="236"/>
      <c r="ZR145" s="236"/>
      <c r="ZS145" s="236"/>
      <c r="ZT145" s="236"/>
      <c r="ZU145" s="236"/>
      <c r="ZV145" s="236"/>
      <c r="ZW145" s="236"/>
      <c r="ZX145" s="236"/>
      <c r="ZY145" s="236"/>
      <c r="ZZ145" s="236"/>
      <c r="AAA145" s="236"/>
      <c r="AAB145" s="236"/>
      <c r="AAC145" s="236"/>
      <c r="AAD145" s="236"/>
      <c r="AAE145" s="236"/>
      <c r="AAF145" s="236"/>
      <c r="AAG145" s="236"/>
      <c r="AAH145" s="236"/>
      <c r="AAI145" s="236"/>
      <c r="AAJ145" s="236"/>
      <c r="AAK145" s="236"/>
      <c r="AAL145" s="236"/>
      <c r="AAM145" s="236"/>
      <c r="AAN145" s="236"/>
      <c r="AAO145" s="236"/>
      <c r="AAP145" s="236"/>
      <c r="AAQ145" s="236"/>
      <c r="AAR145" s="236"/>
      <c r="AAS145" s="236"/>
      <c r="AAT145" s="236"/>
      <c r="AAU145" s="236"/>
      <c r="AAV145" s="236"/>
      <c r="AAW145" s="236"/>
      <c r="AAX145" s="236"/>
      <c r="AAY145" s="236"/>
      <c r="AAZ145" s="236"/>
      <c r="ABA145" s="236"/>
      <c r="ABB145" s="236"/>
      <c r="ABC145" s="236"/>
      <c r="ABD145" s="236"/>
      <c r="ABE145" s="236"/>
      <c r="ABF145" s="236"/>
      <c r="ABG145" s="236"/>
      <c r="ABH145" s="236"/>
      <c r="ABI145" s="236"/>
      <c r="ABJ145" s="236"/>
      <c r="ABK145" s="236"/>
      <c r="ABL145" s="236"/>
      <c r="ABM145" s="236"/>
      <c r="ABN145" s="236"/>
      <c r="ABO145" s="236"/>
      <c r="ABP145" s="236"/>
      <c r="ABQ145" s="236"/>
      <c r="ABR145" s="236"/>
      <c r="ABS145" s="236"/>
      <c r="ABT145" s="236"/>
      <c r="ABU145" s="236"/>
      <c r="ABV145" s="236"/>
      <c r="ABW145" s="236"/>
      <c r="ABX145" s="236"/>
      <c r="ABY145" s="236"/>
      <c r="ABZ145" s="236"/>
      <c r="ACA145" s="236"/>
      <c r="ACB145" s="236"/>
      <c r="ACC145" s="236"/>
      <c r="ACD145" s="236"/>
      <c r="ACE145" s="236"/>
      <c r="ACF145" s="236"/>
      <c r="ACG145" s="236"/>
      <c r="ACH145" s="236"/>
      <c r="ACI145" s="236"/>
      <c r="ACJ145" s="236"/>
      <c r="ACK145" s="236"/>
      <c r="ACL145" s="236"/>
      <c r="ACM145" s="236"/>
      <c r="ACN145" s="236"/>
      <c r="ACO145" s="236"/>
      <c r="ACP145" s="236"/>
      <c r="ACQ145" s="236"/>
      <c r="ACR145" s="236"/>
      <c r="ACS145" s="236"/>
      <c r="ACT145" s="236"/>
      <c r="ACU145" s="236"/>
      <c r="ACV145" s="236"/>
      <c r="ACW145" s="236"/>
      <c r="ACX145" s="236"/>
      <c r="ACY145" s="236"/>
      <c r="ACZ145" s="236"/>
      <c r="ADA145" s="236"/>
      <c r="ADB145" s="236"/>
      <c r="ADC145" s="236"/>
      <c r="ADD145" s="236"/>
      <c r="ADE145" s="236"/>
      <c r="ADF145" s="236"/>
      <c r="ADG145" s="236"/>
      <c r="ADH145" s="236"/>
      <c r="ADI145" s="236"/>
      <c r="ADJ145" s="236"/>
      <c r="ADK145" s="236"/>
      <c r="ADL145" s="236"/>
      <c r="ADM145" s="236"/>
      <c r="ADN145" s="236"/>
      <c r="ADO145" s="236"/>
      <c r="ADP145" s="236"/>
      <c r="ADQ145" s="236"/>
      <c r="ADR145" s="236"/>
      <c r="ADS145" s="236"/>
      <c r="ADT145" s="236"/>
      <c r="ADU145" s="236"/>
      <c r="ADV145" s="236"/>
      <c r="ADW145" s="236"/>
      <c r="ADX145" s="236"/>
      <c r="ADY145" s="236"/>
      <c r="ADZ145" s="236"/>
      <c r="AEA145" s="236"/>
      <c r="AEB145" s="236"/>
      <c r="AEC145" s="236"/>
      <c r="AED145" s="236"/>
      <c r="AEE145" s="236"/>
      <c r="AEF145" s="236"/>
      <c r="AEG145" s="236"/>
      <c r="AEH145" s="236"/>
      <c r="AEI145" s="236"/>
      <c r="AEJ145" s="236"/>
      <c r="AEK145" s="236"/>
      <c r="AEL145" s="236"/>
      <c r="AEM145" s="236"/>
      <c r="AEN145" s="236"/>
      <c r="AEO145" s="236"/>
      <c r="AEP145" s="236"/>
      <c r="AEQ145" s="236"/>
      <c r="AER145" s="236"/>
      <c r="AES145" s="236"/>
      <c r="AET145" s="236"/>
      <c r="AEU145" s="236"/>
      <c r="AEV145" s="236"/>
      <c r="AEW145" s="236"/>
      <c r="AEX145" s="236"/>
      <c r="AEY145" s="236"/>
      <c r="AEZ145" s="236"/>
      <c r="AFA145" s="236"/>
      <c r="AFB145" s="236"/>
      <c r="AFC145" s="236"/>
      <c r="AFD145" s="236"/>
      <c r="AFE145" s="236"/>
      <c r="AFF145" s="236"/>
      <c r="AFG145" s="236"/>
      <c r="AFH145" s="236"/>
      <c r="AFI145" s="236"/>
      <c r="AFJ145" s="236"/>
      <c r="AFK145" s="236"/>
      <c r="AFL145" s="236"/>
      <c r="AFM145" s="236"/>
      <c r="AFN145" s="236"/>
      <c r="AFO145" s="236"/>
      <c r="AFP145" s="236"/>
      <c r="AFQ145" s="236"/>
      <c r="AFR145" s="236"/>
      <c r="AFS145" s="236"/>
      <c r="AFT145" s="236"/>
      <c r="AFU145" s="236"/>
      <c r="AFV145" s="236"/>
      <c r="AFW145" s="236"/>
      <c r="AFX145" s="236"/>
      <c r="AFY145" s="236"/>
      <c r="AFZ145" s="236"/>
      <c r="AGA145" s="236"/>
      <c r="AGB145" s="236"/>
      <c r="AGC145" s="236"/>
      <c r="AGD145" s="236"/>
      <c r="AGE145" s="236"/>
      <c r="AGF145" s="236"/>
      <c r="AGG145" s="236"/>
      <c r="AGH145" s="236"/>
      <c r="AGI145" s="236"/>
      <c r="AGJ145" s="236"/>
      <c r="AGK145" s="236"/>
      <c r="AGL145" s="236"/>
      <c r="AGM145" s="236"/>
      <c r="AGN145" s="236"/>
      <c r="AGO145" s="236"/>
      <c r="AGP145" s="236"/>
      <c r="AGQ145" s="236"/>
      <c r="AGR145" s="236"/>
      <c r="AGS145" s="236"/>
      <c r="AGT145" s="236"/>
      <c r="AGU145" s="236"/>
      <c r="AGV145" s="236"/>
      <c r="AGW145" s="236"/>
      <c r="AGX145" s="236"/>
      <c r="AGY145" s="236"/>
      <c r="AGZ145" s="236"/>
      <c r="AHA145" s="236"/>
      <c r="AHB145" s="236"/>
      <c r="AHC145" s="236"/>
      <c r="AHD145" s="236"/>
      <c r="AHE145" s="236"/>
      <c r="AHF145" s="236"/>
      <c r="AHG145" s="236"/>
      <c r="AHH145" s="236"/>
      <c r="AHI145" s="236"/>
      <c r="AHJ145" s="236"/>
      <c r="AHK145" s="236"/>
      <c r="AHL145" s="236"/>
      <c r="AHM145" s="236"/>
      <c r="AHN145" s="236"/>
      <c r="AHO145" s="236"/>
      <c r="AHP145" s="236"/>
      <c r="AHQ145" s="236"/>
      <c r="AHR145" s="236"/>
      <c r="AHS145" s="236"/>
      <c r="AHT145" s="236"/>
      <c r="AHU145" s="236"/>
      <c r="AHV145" s="236"/>
      <c r="AHW145" s="236"/>
      <c r="AHX145" s="236"/>
      <c r="AHY145" s="236"/>
      <c r="AHZ145" s="236"/>
      <c r="AIA145" s="236"/>
      <c r="AIB145" s="236"/>
      <c r="AIC145" s="236"/>
      <c r="AID145" s="236"/>
      <c r="AIE145" s="236"/>
      <c r="AIF145" s="236"/>
      <c r="AIG145" s="236"/>
      <c r="AIH145" s="236"/>
      <c r="AII145" s="236"/>
      <c r="AIJ145" s="236"/>
      <c r="AIK145" s="236"/>
      <c r="AIL145" s="236"/>
      <c r="AIM145" s="236"/>
      <c r="AIN145" s="236"/>
      <c r="AIO145" s="236"/>
      <c r="AIP145" s="236"/>
      <c r="AIQ145" s="236"/>
      <c r="AIR145" s="236"/>
      <c r="AIS145" s="236"/>
      <c r="AIT145" s="236"/>
      <c r="AIU145" s="236"/>
      <c r="AIV145" s="236"/>
      <c r="AIW145" s="236"/>
      <c r="AIX145" s="236"/>
      <c r="AIY145" s="236"/>
      <c r="AIZ145" s="236"/>
      <c r="AJA145" s="236"/>
      <c r="AJB145" s="236"/>
      <c r="AJC145" s="236"/>
      <c r="AJD145" s="236"/>
      <c r="AJE145" s="236"/>
      <c r="AJF145" s="236"/>
      <c r="AJG145" s="236"/>
      <c r="AJH145" s="236"/>
      <c r="AJI145" s="236"/>
      <c r="AJJ145" s="236"/>
      <c r="AJK145" s="236"/>
      <c r="AJL145" s="236"/>
      <c r="AJM145" s="236"/>
      <c r="AJN145" s="236"/>
      <c r="AJO145" s="236"/>
      <c r="AJP145" s="236"/>
      <c r="AJQ145" s="236"/>
      <c r="AJR145" s="236"/>
      <c r="AJS145" s="236"/>
      <c r="AJT145" s="236"/>
      <c r="AJU145" s="236"/>
      <c r="AJV145" s="236"/>
      <c r="AJW145" s="236"/>
      <c r="AJX145" s="236"/>
      <c r="AJY145" s="236"/>
      <c r="AJZ145" s="236"/>
      <c r="AKA145" s="236"/>
      <c r="AKB145" s="236"/>
      <c r="AKC145" s="236"/>
      <c r="AKD145" s="236"/>
      <c r="AKE145" s="236"/>
      <c r="AKF145" s="236"/>
      <c r="AKG145" s="236"/>
      <c r="AKH145" s="236"/>
      <c r="AKI145" s="236"/>
      <c r="AKJ145" s="236"/>
      <c r="AKK145" s="236"/>
      <c r="AKL145" s="236"/>
      <c r="AKM145" s="236"/>
      <c r="AKN145" s="236"/>
      <c r="AKO145" s="236"/>
      <c r="AKP145" s="236"/>
      <c r="AKQ145" s="236"/>
      <c r="AKR145" s="236"/>
      <c r="AKS145" s="236"/>
      <c r="AKT145" s="236"/>
      <c r="AKU145" s="236"/>
      <c r="AKV145" s="236"/>
      <c r="AKW145" s="236"/>
      <c r="AKX145" s="236"/>
      <c r="AKY145" s="236"/>
      <c r="AKZ145" s="236"/>
      <c r="ALA145" s="236"/>
      <c r="ALB145" s="236"/>
      <c r="ALC145" s="236"/>
      <c r="ALD145" s="236"/>
      <c r="ALE145" s="236"/>
      <c r="ALF145" s="236"/>
      <c r="ALG145" s="236"/>
      <c r="ALH145" s="236"/>
      <c r="ALI145" s="236"/>
      <c r="ALJ145" s="236"/>
      <c r="ALK145" s="236"/>
      <c r="ALL145" s="236"/>
      <c r="ALM145" s="236"/>
      <c r="ALN145" s="236"/>
      <c r="ALO145" s="236"/>
      <c r="ALP145" s="236"/>
      <c r="ALQ145" s="236"/>
      <c r="ALR145" s="236"/>
      <c r="ALS145" s="236"/>
      <c r="ALT145" s="236"/>
      <c r="ALU145" s="236"/>
      <c r="ALV145" s="236"/>
      <c r="ALW145" s="236"/>
      <c r="ALX145" s="236"/>
      <c r="ALY145" s="236"/>
      <c r="ALZ145" s="236"/>
      <c r="AMA145" s="236"/>
      <c r="AMB145" s="236"/>
      <c r="AMC145" s="236"/>
      <c r="AMD145" s="236"/>
      <c r="AME145" s="236"/>
      <c r="AMF145" s="236"/>
      <c r="AMG145" s="236"/>
      <c r="AMH145" s="236"/>
      <c r="AMI145" s="236"/>
      <c r="AMJ145" s="236"/>
      <c r="AMK145" s="236"/>
      <c r="AML145" s="236"/>
      <c r="AMM145" s="236"/>
    </row>
    <row r="146" spans="1:1027" ht="11.25" customHeight="1">
      <c r="A146" s="1386" t="s">
        <v>649</v>
      </c>
      <c r="B146" s="1387"/>
      <c r="C146" s="1387"/>
      <c r="D146" s="1387"/>
      <c r="E146" s="1387"/>
      <c r="F146" s="1387"/>
      <c r="G146" s="1387"/>
      <c r="H146" s="1387"/>
      <c r="I146" s="1387"/>
      <c r="J146" s="1387"/>
      <c r="K146" s="1387"/>
      <c r="L146" s="1388"/>
      <c r="M146" s="275"/>
      <c r="N146" s="280" t="s">
        <v>650</v>
      </c>
      <c r="O146" s="280"/>
      <c r="P146" s="281"/>
      <c r="Q146" s="281"/>
      <c r="R146" s="281"/>
      <c r="S146" s="281"/>
      <c r="T146" s="281"/>
      <c r="U146" s="281"/>
      <c r="V146" s="281"/>
      <c r="W146" s="281"/>
      <c r="X146" s="282"/>
      <c r="Y146" s="282"/>
      <c r="Z146" s="282"/>
      <c r="AA146" s="282"/>
      <c r="AB146" s="282"/>
      <c r="AC146" s="282"/>
      <c r="AD146" s="281"/>
      <c r="AE146" s="281"/>
      <c r="AF146" s="281"/>
      <c r="AG146" s="281"/>
      <c r="AH146" s="281"/>
      <c r="AI146" s="281"/>
      <c r="AJ146" s="275"/>
      <c r="AK146" s="275"/>
      <c r="AL146" s="275"/>
      <c r="AM146" s="279"/>
      <c r="AN146" s="262"/>
      <c r="AO146" s="262"/>
      <c r="AP146" s="262"/>
      <c r="AQ146" s="262"/>
      <c r="AR146" s="262"/>
      <c r="AS146" s="262"/>
      <c r="AT146" s="262"/>
      <c r="AU146" s="262"/>
      <c r="AV146" s="262"/>
      <c r="AW146" s="262"/>
      <c r="AX146" s="262"/>
      <c r="AY146" s="236"/>
      <c r="AZ146" s="236"/>
      <c r="BA146" s="236"/>
      <c r="BB146" s="236"/>
      <c r="BC146" s="236"/>
      <c r="BD146" s="236"/>
      <c r="BE146" s="236"/>
      <c r="BF146" s="236"/>
      <c r="BG146" s="236"/>
      <c r="BH146" s="236"/>
      <c r="BI146" s="236"/>
      <c r="BJ146" s="236"/>
      <c r="BK146" s="236"/>
      <c r="BL146" s="236"/>
      <c r="BM146" s="236"/>
      <c r="BN146" s="236"/>
      <c r="BO146" s="236"/>
      <c r="BP146" s="236"/>
      <c r="BQ146" s="236"/>
      <c r="BR146" s="236"/>
      <c r="BS146" s="236"/>
      <c r="BT146" s="236"/>
      <c r="BU146" s="236"/>
      <c r="BV146" s="236"/>
      <c r="BW146" s="236"/>
      <c r="BX146" s="236"/>
      <c r="BY146" s="236"/>
      <c r="BZ146" s="236"/>
      <c r="CA146" s="236"/>
      <c r="CB146" s="236"/>
      <c r="CC146" s="236"/>
      <c r="CD146" s="236"/>
      <c r="CE146" s="236"/>
      <c r="CF146" s="236"/>
      <c r="CG146" s="236"/>
      <c r="CH146" s="236"/>
      <c r="CI146" s="236"/>
      <c r="CJ146" s="236"/>
      <c r="CK146" s="236"/>
      <c r="CL146" s="236"/>
      <c r="CM146" s="236"/>
      <c r="CN146" s="236"/>
      <c r="CO146" s="236"/>
      <c r="CP146" s="236"/>
      <c r="CQ146" s="236"/>
      <c r="CR146" s="236"/>
      <c r="CS146" s="236"/>
      <c r="CT146" s="236"/>
      <c r="CU146" s="236"/>
      <c r="CV146" s="236"/>
      <c r="CW146" s="236"/>
      <c r="CX146" s="236"/>
      <c r="CY146" s="236"/>
      <c r="CZ146" s="236"/>
      <c r="DA146" s="236"/>
      <c r="DB146" s="236"/>
      <c r="DC146" s="236"/>
      <c r="DD146" s="236"/>
      <c r="DE146" s="236"/>
      <c r="DF146" s="236"/>
      <c r="DG146" s="236"/>
      <c r="DH146" s="236"/>
      <c r="DI146" s="236"/>
      <c r="DJ146" s="236"/>
      <c r="DK146" s="236"/>
      <c r="DL146" s="236"/>
      <c r="DM146" s="236"/>
      <c r="DN146" s="236"/>
      <c r="DO146" s="236"/>
      <c r="DP146" s="236"/>
      <c r="DQ146" s="236"/>
      <c r="DR146" s="236"/>
      <c r="DS146" s="236"/>
      <c r="DT146" s="236"/>
      <c r="DU146" s="236"/>
      <c r="DV146" s="236"/>
      <c r="DW146" s="236"/>
      <c r="DX146" s="236"/>
      <c r="DY146" s="236"/>
      <c r="DZ146" s="236"/>
      <c r="EA146" s="236"/>
      <c r="EB146" s="236"/>
      <c r="EC146" s="236"/>
      <c r="ED146" s="236"/>
      <c r="EE146" s="236"/>
      <c r="EF146" s="236"/>
      <c r="EG146" s="236"/>
      <c r="EH146" s="236"/>
      <c r="EI146" s="236"/>
      <c r="EJ146" s="236"/>
      <c r="EK146" s="236"/>
      <c r="EL146" s="236"/>
      <c r="EM146" s="236"/>
      <c r="EN146" s="236"/>
      <c r="EO146" s="236"/>
      <c r="EP146" s="236"/>
      <c r="EQ146" s="236"/>
      <c r="ER146" s="236"/>
      <c r="ES146" s="236"/>
      <c r="ET146" s="236"/>
      <c r="EU146" s="236"/>
      <c r="EV146" s="236"/>
      <c r="EW146" s="236"/>
      <c r="EX146" s="236"/>
      <c r="EY146" s="236"/>
      <c r="EZ146" s="236"/>
      <c r="FA146" s="236"/>
      <c r="FB146" s="236"/>
      <c r="FC146" s="236"/>
      <c r="FD146" s="236"/>
      <c r="FE146" s="236"/>
      <c r="FF146" s="236"/>
      <c r="FG146" s="236"/>
      <c r="FH146" s="236"/>
      <c r="FI146" s="236"/>
      <c r="FJ146" s="236"/>
      <c r="FK146" s="236"/>
      <c r="FL146" s="236"/>
      <c r="FM146" s="236"/>
      <c r="FN146" s="236"/>
      <c r="FO146" s="236"/>
      <c r="FP146" s="236"/>
      <c r="FQ146" s="236"/>
      <c r="FR146" s="236"/>
      <c r="FS146" s="236"/>
      <c r="FT146" s="236"/>
      <c r="FU146" s="236"/>
      <c r="FV146" s="236"/>
      <c r="FW146" s="236"/>
      <c r="FX146" s="236"/>
      <c r="FY146" s="236"/>
      <c r="FZ146" s="236"/>
      <c r="GA146" s="236"/>
      <c r="GB146" s="236"/>
      <c r="GC146" s="236"/>
      <c r="GD146" s="236"/>
      <c r="GE146" s="236"/>
      <c r="GF146" s="236"/>
      <c r="GG146" s="236"/>
      <c r="GH146" s="236"/>
      <c r="GI146" s="236"/>
      <c r="GJ146" s="236"/>
      <c r="GK146" s="236"/>
      <c r="GL146" s="236"/>
      <c r="GM146" s="236"/>
      <c r="GN146" s="236"/>
      <c r="GO146" s="236"/>
      <c r="GP146" s="236"/>
      <c r="GQ146" s="236"/>
      <c r="GR146" s="236"/>
      <c r="GS146" s="236"/>
      <c r="GT146" s="236"/>
      <c r="GU146" s="236"/>
      <c r="GV146" s="236"/>
      <c r="GW146" s="236"/>
      <c r="GX146" s="236"/>
      <c r="GY146" s="236"/>
      <c r="GZ146" s="236"/>
      <c r="HA146" s="236"/>
      <c r="HB146" s="236"/>
      <c r="HC146" s="236"/>
      <c r="HD146" s="236"/>
      <c r="HE146" s="236"/>
      <c r="HF146" s="236"/>
      <c r="HG146" s="236"/>
      <c r="HH146" s="236"/>
      <c r="HI146" s="236"/>
      <c r="HJ146" s="236"/>
      <c r="HK146" s="236"/>
      <c r="HL146" s="236"/>
      <c r="HM146" s="236"/>
      <c r="HN146" s="236"/>
      <c r="HO146" s="236"/>
      <c r="HP146" s="236"/>
      <c r="HQ146" s="236"/>
      <c r="HR146" s="236"/>
      <c r="HS146" s="236"/>
      <c r="HT146" s="236"/>
      <c r="HU146" s="236"/>
      <c r="HV146" s="236"/>
      <c r="HW146" s="236"/>
      <c r="HX146" s="236"/>
      <c r="HY146" s="236"/>
      <c r="HZ146" s="236"/>
      <c r="IA146" s="236"/>
      <c r="IB146" s="236"/>
      <c r="IC146" s="236"/>
      <c r="ID146" s="236"/>
      <c r="IE146" s="236"/>
      <c r="IF146" s="236"/>
      <c r="IG146" s="236"/>
      <c r="IH146" s="236"/>
      <c r="II146" s="236"/>
      <c r="IJ146" s="236"/>
      <c r="IK146" s="236"/>
      <c r="IL146" s="236"/>
      <c r="IM146" s="236"/>
      <c r="IN146" s="236"/>
      <c r="IO146" s="236"/>
      <c r="IP146" s="236"/>
      <c r="IQ146" s="236"/>
      <c r="IR146" s="236"/>
      <c r="IS146" s="236"/>
      <c r="IT146" s="236"/>
      <c r="IU146" s="236"/>
      <c r="IV146" s="236"/>
      <c r="IW146" s="236"/>
      <c r="IX146" s="236"/>
      <c r="IY146" s="236"/>
      <c r="IZ146" s="236"/>
      <c r="JA146" s="236"/>
      <c r="JB146" s="236"/>
      <c r="JC146" s="236"/>
      <c r="JD146" s="236"/>
      <c r="JE146" s="236"/>
      <c r="JF146" s="236"/>
      <c r="JG146" s="236"/>
      <c r="JH146" s="236"/>
      <c r="JI146" s="236"/>
      <c r="JJ146" s="236"/>
      <c r="JK146" s="236"/>
      <c r="JL146" s="236"/>
      <c r="JM146" s="236"/>
      <c r="JN146" s="236"/>
      <c r="JO146" s="236"/>
      <c r="JP146" s="236"/>
      <c r="JQ146" s="236"/>
      <c r="JR146" s="236"/>
      <c r="JS146" s="236"/>
      <c r="JT146" s="236"/>
      <c r="JU146" s="236"/>
      <c r="JV146" s="236"/>
      <c r="JW146" s="236"/>
      <c r="JX146" s="236"/>
      <c r="JY146" s="236"/>
      <c r="JZ146" s="236"/>
      <c r="KA146" s="236"/>
      <c r="KB146" s="236"/>
      <c r="KC146" s="236"/>
      <c r="KD146" s="236"/>
      <c r="KE146" s="236"/>
      <c r="KF146" s="236"/>
      <c r="KG146" s="236"/>
      <c r="KH146" s="236"/>
      <c r="KI146" s="236"/>
      <c r="KJ146" s="236"/>
      <c r="KK146" s="236"/>
      <c r="KL146" s="236"/>
      <c r="KM146" s="236"/>
      <c r="KN146" s="236"/>
      <c r="KO146" s="236"/>
      <c r="KP146" s="236"/>
      <c r="KQ146" s="236"/>
      <c r="KR146" s="236"/>
      <c r="KS146" s="236"/>
      <c r="KT146" s="236"/>
      <c r="KU146" s="236"/>
      <c r="KV146" s="236"/>
      <c r="KW146" s="236"/>
      <c r="KX146" s="236"/>
      <c r="KY146" s="236"/>
      <c r="KZ146" s="236"/>
      <c r="LA146" s="236"/>
      <c r="LB146" s="236"/>
      <c r="LC146" s="236"/>
      <c r="LD146" s="236"/>
      <c r="LE146" s="236"/>
      <c r="LF146" s="236"/>
      <c r="LG146" s="236"/>
      <c r="LH146" s="236"/>
      <c r="LI146" s="236"/>
      <c r="LJ146" s="236"/>
      <c r="LK146" s="236"/>
      <c r="LL146" s="236"/>
      <c r="LM146" s="236"/>
      <c r="LN146" s="236"/>
      <c r="LO146" s="236"/>
      <c r="LP146" s="236"/>
      <c r="LQ146" s="236"/>
      <c r="LR146" s="236"/>
      <c r="LS146" s="236"/>
      <c r="LT146" s="236"/>
      <c r="LU146" s="236"/>
      <c r="LV146" s="236"/>
      <c r="LW146" s="236"/>
      <c r="LX146" s="236"/>
      <c r="LY146" s="236"/>
      <c r="LZ146" s="236"/>
      <c r="MA146" s="236"/>
      <c r="MB146" s="236"/>
      <c r="MC146" s="236"/>
      <c r="MD146" s="236"/>
      <c r="ME146" s="236"/>
      <c r="MF146" s="236"/>
      <c r="MG146" s="236"/>
      <c r="MH146" s="236"/>
      <c r="MI146" s="236"/>
      <c r="MJ146" s="236"/>
      <c r="MK146" s="236"/>
      <c r="ML146" s="236"/>
      <c r="MM146" s="236"/>
      <c r="MN146" s="236"/>
      <c r="MO146" s="236"/>
      <c r="MP146" s="236"/>
      <c r="MQ146" s="236"/>
      <c r="MR146" s="236"/>
      <c r="MS146" s="236"/>
      <c r="MT146" s="236"/>
      <c r="MU146" s="236"/>
      <c r="MV146" s="236"/>
      <c r="MW146" s="236"/>
      <c r="MX146" s="236"/>
      <c r="MY146" s="236"/>
      <c r="MZ146" s="236"/>
      <c r="NA146" s="236"/>
      <c r="NB146" s="236"/>
      <c r="NC146" s="236"/>
      <c r="ND146" s="236"/>
      <c r="NE146" s="236"/>
      <c r="NF146" s="236"/>
      <c r="NG146" s="236"/>
      <c r="NH146" s="236"/>
      <c r="NI146" s="236"/>
      <c r="NJ146" s="236"/>
      <c r="NK146" s="236"/>
      <c r="NL146" s="236"/>
      <c r="NM146" s="236"/>
      <c r="NN146" s="236"/>
      <c r="NO146" s="236"/>
      <c r="NP146" s="236"/>
      <c r="NQ146" s="236"/>
      <c r="NR146" s="236"/>
      <c r="NS146" s="236"/>
      <c r="NT146" s="236"/>
      <c r="NU146" s="236"/>
      <c r="NV146" s="236"/>
      <c r="NW146" s="236"/>
      <c r="NX146" s="236"/>
      <c r="NY146" s="236"/>
      <c r="NZ146" s="236"/>
      <c r="OA146" s="236"/>
      <c r="OB146" s="236"/>
      <c r="OC146" s="236"/>
      <c r="OD146" s="236"/>
      <c r="OE146" s="236"/>
      <c r="OF146" s="236"/>
      <c r="OG146" s="236"/>
      <c r="OH146" s="236"/>
      <c r="OI146" s="236"/>
      <c r="OJ146" s="236"/>
      <c r="OK146" s="236"/>
      <c r="OL146" s="236"/>
      <c r="OM146" s="236"/>
      <c r="ON146" s="236"/>
      <c r="OO146" s="236"/>
      <c r="OP146" s="236"/>
      <c r="OQ146" s="236"/>
      <c r="OR146" s="236"/>
      <c r="OS146" s="236"/>
      <c r="OT146" s="236"/>
      <c r="OU146" s="236"/>
      <c r="OV146" s="236"/>
      <c r="OW146" s="236"/>
      <c r="OX146" s="236"/>
      <c r="OY146" s="236"/>
      <c r="OZ146" s="236"/>
      <c r="PA146" s="236"/>
      <c r="PB146" s="236"/>
      <c r="PC146" s="236"/>
      <c r="PD146" s="236"/>
      <c r="PE146" s="236"/>
      <c r="PF146" s="236"/>
      <c r="PG146" s="236"/>
      <c r="PH146" s="236"/>
      <c r="PI146" s="236"/>
      <c r="PJ146" s="236"/>
      <c r="PK146" s="236"/>
      <c r="PL146" s="236"/>
      <c r="PM146" s="236"/>
      <c r="PN146" s="236"/>
      <c r="PO146" s="236"/>
      <c r="PP146" s="236"/>
      <c r="PQ146" s="236"/>
      <c r="PR146" s="236"/>
      <c r="PS146" s="236"/>
      <c r="PT146" s="236"/>
      <c r="PU146" s="236"/>
      <c r="PV146" s="236"/>
      <c r="PW146" s="236"/>
      <c r="PX146" s="236"/>
      <c r="PY146" s="236"/>
      <c r="PZ146" s="236"/>
      <c r="QA146" s="236"/>
      <c r="QB146" s="236"/>
      <c r="QC146" s="236"/>
      <c r="QD146" s="236"/>
      <c r="QE146" s="236"/>
      <c r="QF146" s="236"/>
      <c r="QG146" s="236"/>
      <c r="QH146" s="236"/>
      <c r="QI146" s="236"/>
      <c r="QJ146" s="236"/>
      <c r="QK146" s="236"/>
      <c r="QL146" s="236"/>
      <c r="QM146" s="236"/>
      <c r="QN146" s="236"/>
      <c r="QO146" s="236"/>
      <c r="QP146" s="236"/>
      <c r="QQ146" s="236"/>
      <c r="QR146" s="236"/>
      <c r="QS146" s="236"/>
      <c r="QT146" s="236"/>
      <c r="QU146" s="236"/>
      <c r="QV146" s="236"/>
      <c r="QW146" s="236"/>
      <c r="QX146" s="236"/>
      <c r="QY146" s="236"/>
      <c r="QZ146" s="236"/>
      <c r="RA146" s="236"/>
      <c r="RB146" s="236"/>
      <c r="RC146" s="236"/>
      <c r="RD146" s="236"/>
      <c r="RE146" s="236"/>
      <c r="RF146" s="236"/>
      <c r="RG146" s="236"/>
      <c r="RH146" s="236"/>
      <c r="RI146" s="236"/>
      <c r="RJ146" s="236"/>
      <c r="RK146" s="236"/>
      <c r="RL146" s="236"/>
      <c r="RM146" s="236"/>
      <c r="RN146" s="236"/>
      <c r="RO146" s="236"/>
      <c r="RP146" s="236"/>
      <c r="RQ146" s="236"/>
      <c r="RR146" s="236"/>
      <c r="RS146" s="236"/>
      <c r="RT146" s="236"/>
      <c r="RU146" s="236"/>
      <c r="RV146" s="236"/>
      <c r="RW146" s="236"/>
      <c r="RX146" s="236"/>
      <c r="RY146" s="236"/>
      <c r="RZ146" s="236"/>
      <c r="SA146" s="236"/>
      <c r="SB146" s="236"/>
      <c r="SC146" s="236"/>
      <c r="SD146" s="236"/>
      <c r="SE146" s="236"/>
      <c r="SF146" s="236"/>
      <c r="SG146" s="236"/>
      <c r="SH146" s="236"/>
      <c r="SI146" s="236"/>
      <c r="SJ146" s="236"/>
      <c r="SK146" s="236"/>
      <c r="SL146" s="236"/>
      <c r="SM146" s="236"/>
      <c r="SN146" s="236"/>
      <c r="SO146" s="236"/>
      <c r="SP146" s="236"/>
      <c r="SQ146" s="236"/>
      <c r="SR146" s="236"/>
      <c r="SS146" s="236"/>
      <c r="ST146" s="236"/>
      <c r="SU146" s="236"/>
      <c r="SV146" s="236"/>
      <c r="SW146" s="236"/>
      <c r="SX146" s="236"/>
      <c r="SY146" s="236"/>
      <c r="SZ146" s="236"/>
      <c r="TA146" s="236"/>
      <c r="TB146" s="236"/>
      <c r="TC146" s="236"/>
      <c r="TD146" s="236"/>
      <c r="TE146" s="236"/>
      <c r="TF146" s="236"/>
      <c r="TG146" s="236"/>
      <c r="TH146" s="236"/>
      <c r="TI146" s="236"/>
      <c r="TJ146" s="236"/>
      <c r="TK146" s="236"/>
      <c r="TL146" s="236"/>
      <c r="TM146" s="236"/>
      <c r="TN146" s="236"/>
      <c r="TO146" s="236"/>
      <c r="TP146" s="236"/>
      <c r="TQ146" s="236"/>
      <c r="TR146" s="236"/>
      <c r="TS146" s="236"/>
      <c r="TT146" s="236"/>
      <c r="TU146" s="236"/>
      <c r="TV146" s="236"/>
      <c r="TW146" s="236"/>
      <c r="TX146" s="236"/>
      <c r="TY146" s="236"/>
      <c r="TZ146" s="236"/>
      <c r="UA146" s="236"/>
      <c r="UB146" s="236"/>
      <c r="UC146" s="236"/>
      <c r="UD146" s="236"/>
      <c r="UE146" s="236"/>
      <c r="UF146" s="236"/>
      <c r="UG146" s="236"/>
      <c r="UH146" s="236"/>
      <c r="UI146" s="236"/>
      <c r="UJ146" s="236"/>
      <c r="UK146" s="236"/>
      <c r="UL146" s="236"/>
      <c r="UM146" s="236"/>
      <c r="UN146" s="236"/>
      <c r="UO146" s="236"/>
      <c r="UP146" s="236"/>
      <c r="UQ146" s="236"/>
      <c r="UR146" s="236"/>
      <c r="US146" s="236"/>
      <c r="UT146" s="236"/>
      <c r="UU146" s="236"/>
      <c r="UV146" s="236"/>
      <c r="UW146" s="236"/>
      <c r="UX146" s="236"/>
      <c r="UY146" s="236"/>
      <c r="UZ146" s="236"/>
      <c r="VA146" s="236"/>
      <c r="VB146" s="236"/>
      <c r="VC146" s="236"/>
      <c r="VD146" s="236"/>
      <c r="VE146" s="236"/>
      <c r="VF146" s="236"/>
      <c r="VG146" s="236"/>
      <c r="VH146" s="236"/>
      <c r="VI146" s="236"/>
      <c r="VJ146" s="236"/>
      <c r="VK146" s="236"/>
      <c r="VL146" s="236"/>
      <c r="VM146" s="236"/>
      <c r="VN146" s="236"/>
      <c r="VO146" s="236"/>
      <c r="VP146" s="236"/>
      <c r="VQ146" s="236"/>
      <c r="VR146" s="236"/>
      <c r="VS146" s="236"/>
      <c r="VT146" s="236"/>
      <c r="VU146" s="236"/>
      <c r="VV146" s="236"/>
      <c r="VW146" s="236"/>
      <c r="VX146" s="236"/>
      <c r="VY146" s="236"/>
      <c r="VZ146" s="236"/>
      <c r="WA146" s="236"/>
      <c r="WB146" s="236"/>
      <c r="WC146" s="236"/>
      <c r="WD146" s="236"/>
      <c r="WE146" s="236"/>
      <c r="WF146" s="236"/>
      <c r="WG146" s="236"/>
      <c r="WH146" s="236"/>
      <c r="WI146" s="236"/>
      <c r="WJ146" s="236"/>
      <c r="WK146" s="236"/>
      <c r="WL146" s="236"/>
      <c r="WM146" s="236"/>
      <c r="WN146" s="236"/>
      <c r="WO146" s="236"/>
      <c r="WP146" s="236"/>
      <c r="WQ146" s="236"/>
      <c r="WR146" s="236"/>
      <c r="WS146" s="236"/>
      <c r="WT146" s="236"/>
      <c r="WU146" s="236"/>
      <c r="WV146" s="236"/>
      <c r="WW146" s="236"/>
      <c r="WX146" s="236"/>
      <c r="WY146" s="236"/>
      <c r="WZ146" s="236"/>
      <c r="XA146" s="236"/>
      <c r="XB146" s="236"/>
      <c r="XC146" s="236"/>
      <c r="XD146" s="236"/>
      <c r="XE146" s="236"/>
      <c r="XF146" s="236"/>
      <c r="XG146" s="236"/>
      <c r="XH146" s="236"/>
      <c r="XI146" s="236"/>
      <c r="XJ146" s="236"/>
      <c r="XK146" s="236"/>
      <c r="XL146" s="236"/>
      <c r="XM146" s="236"/>
      <c r="XN146" s="236"/>
      <c r="XO146" s="236"/>
      <c r="XP146" s="236"/>
      <c r="XQ146" s="236"/>
      <c r="XR146" s="236"/>
      <c r="XS146" s="236"/>
      <c r="XT146" s="236"/>
      <c r="XU146" s="236"/>
      <c r="XV146" s="236"/>
      <c r="XW146" s="236"/>
      <c r="XX146" s="236"/>
      <c r="XY146" s="236"/>
      <c r="XZ146" s="236"/>
      <c r="YA146" s="236"/>
      <c r="YB146" s="236"/>
      <c r="YC146" s="236"/>
      <c r="YD146" s="236"/>
      <c r="YE146" s="236"/>
      <c r="YF146" s="236"/>
      <c r="YG146" s="236"/>
      <c r="YH146" s="236"/>
      <c r="YI146" s="236"/>
      <c r="YJ146" s="236"/>
      <c r="YK146" s="236"/>
      <c r="YL146" s="236"/>
      <c r="YM146" s="236"/>
      <c r="YN146" s="236"/>
      <c r="YO146" s="236"/>
      <c r="YP146" s="236"/>
      <c r="YQ146" s="236"/>
      <c r="YR146" s="236"/>
      <c r="YS146" s="236"/>
      <c r="YT146" s="236"/>
      <c r="YU146" s="236"/>
      <c r="YV146" s="236"/>
      <c r="YW146" s="236"/>
      <c r="YX146" s="236"/>
      <c r="YY146" s="236"/>
      <c r="YZ146" s="236"/>
      <c r="ZA146" s="236"/>
      <c r="ZB146" s="236"/>
      <c r="ZC146" s="236"/>
      <c r="ZD146" s="236"/>
      <c r="ZE146" s="236"/>
      <c r="ZF146" s="236"/>
      <c r="ZG146" s="236"/>
      <c r="ZH146" s="236"/>
      <c r="ZI146" s="236"/>
      <c r="ZJ146" s="236"/>
      <c r="ZK146" s="236"/>
      <c r="ZL146" s="236"/>
      <c r="ZM146" s="236"/>
      <c r="ZN146" s="236"/>
      <c r="ZO146" s="236"/>
      <c r="ZP146" s="236"/>
      <c r="ZQ146" s="236"/>
      <c r="ZR146" s="236"/>
      <c r="ZS146" s="236"/>
      <c r="ZT146" s="236"/>
      <c r="ZU146" s="236"/>
      <c r="ZV146" s="236"/>
      <c r="ZW146" s="236"/>
      <c r="ZX146" s="236"/>
      <c r="ZY146" s="236"/>
      <c r="ZZ146" s="236"/>
      <c r="AAA146" s="236"/>
      <c r="AAB146" s="236"/>
      <c r="AAC146" s="236"/>
      <c r="AAD146" s="236"/>
      <c r="AAE146" s="236"/>
      <c r="AAF146" s="236"/>
      <c r="AAG146" s="236"/>
      <c r="AAH146" s="236"/>
      <c r="AAI146" s="236"/>
      <c r="AAJ146" s="236"/>
      <c r="AAK146" s="236"/>
      <c r="AAL146" s="236"/>
      <c r="AAM146" s="236"/>
      <c r="AAN146" s="236"/>
      <c r="AAO146" s="236"/>
      <c r="AAP146" s="236"/>
      <c r="AAQ146" s="236"/>
      <c r="AAR146" s="236"/>
      <c r="AAS146" s="236"/>
      <c r="AAT146" s="236"/>
      <c r="AAU146" s="236"/>
      <c r="AAV146" s="236"/>
      <c r="AAW146" s="236"/>
      <c r="AAX146" s="236"/>
      <c r="AAY146" s="236"/>
      <c r="AAZ146" s="236"/>
      <c r="ABA146" s="236"/>
      <c r="ABB146" s="236"/>
      <c r="ABC146" s="236"/>
      <c r="ABD146" s="236"/>
      <c r="ABE146" s="236"/>
      <c r="ABF146" s="236"/>
      <c r="ABG146" s="236"/>
      <c r="ABH146" s="236"/>
      <c r="ABI146" s="236"/>
      <c r="ABJ146" s="236"/>
      <c r="ABK146" s="236"/>
      <c r="ABL146" s="236"/>
      <c r="ABM146" s="236"/>
      <c r="ABN146" s="236"/>
      <c r="ABO146" s="236"/>
      <c r="ABP146" s="236"/>
      <c r="ABQ146" s="236"/>
      <c r="ABR146" s="236"/>
      <c r="ABS146" s="236"/>
      <c r="ABT146" s="236"/>
      <c r="ABU146" s="236"/>
      <c r="ABV146" s="236"/>
      <c r="ABW146" s="236"/>
      <c r="ABX146" s="236"/>
      <c r="ABY146" s="236"/>
      <c r="ABZ146" s="236"/>
      <c r="ACA146" s="236"/>
      <c r="ACB146" s="236"/>
      <c r="ACC146" s="236"/>
      <c r="ACD146" s="236"/>
      <c r="ACE146" s="236"/>
      <c r="ACF146" s="236"/>
      <c r="ACG146" s="236"/>
      <c r="ACH146" s="236"/>
      <c r="ACI146" s="236"/>
      <c r="ACJ146" s="236"/>
      <c r="ACK146" s="236"/>
      <c r="ACL146" s="236"/>
      <c r="ACM146" s="236"/>
      <c r="ACN146" s="236"/>
      <c r="ACO146" s="236"/>
      <c r="ACP146" s="236"/>
      <c r="ACQ146" s="236"/>
      <c r="ACR146" s="236"/>
      <c r="ACS146" s="236"/>
      <c r="ACT146" s="236"/>
      <c r="ACU146" s="236"/>
      <c r="ACV146" s="236"/>
      <c r="ACW146" s="236"/>
      <c r="ACX146" s="236"/>
      <c r="ACY146" s="236"/>
      <c r="ACZ146" s="236"/>
      <c r="ADA146" s="236"/>
      <c r="ADB146" s="236"/>
      <c r="ADC146" s="236"/>
      <c r="ADD146" s="236"/>
      <c r="ADE146" s="236"/>
      <c r="ADF146" s="236"/>
      <c r="ADG146" s="236"/>
      <c r="ADH146" s="236"/>
      <c r="ADI146" s="236"/>
      <c r="ADJ146" s="236"/>
      <c r="ADK146" s="236"/>
      <c r="ADL146" s="236"/>
      <c r="ADM146" s="236"/>
      <c r="ADN146" s="236"/>
      <c r="ADO146" s="236"/>
      <c r="ADP146" s="236"/>
      <c r="ADQ146" s="236"/>
      <c r="ADR146" s="236"/>
      <c r="ADS146" s="236"/>
      <c r="ADT146" s="236"/>
      <c r="ADU146" s="236"/>
      <c r="ADV146" s="236"/>
      <c r="ADW146" s="236"/>
      <c r="ADX146" s="236"/>
      <c r="ADY146" s="236"/>
      <c r="ADZ146" s="236"/>
      <c r="AEA146" s="236"/>
      <c r="AEB146" s="236"/>
      <c r="AEC146" s="236"/>
      <c r="AED146" s="236"/>
      <c r="AEE146" s="236"/>
      <c r="AEF146" s="236"/>
      <c r="AEG146" s="236"/>
      <c r="AEH146" s="236"/>
      <c r="AEI146" s="236"/>
      <c r="AEJ146" s="236"/>
      <c r="AEK146" s="236"/>
      <c r="AEL146" s="236"/>
      <c r="AEM146" s="236"/>
      <c r="AEN146" s="236"/>
      <c r="AEO146" s="236"/>
      <c r="AEP146" s="236"/>
      <c r="AEQ146" s="236"/>
      <c r="AER146" s="236"/>
      <c r="AES146" s="236"/>
      <c r="AET146" s="236"/>
      <c r="AEU146" s="236"/>
      <c r="AEV146" s="236"/>
      <c r="AEW146" s="236"/>
      <c r="AEX146" s="236"/>
      <c r="AEY146" s="236"/>
      <c r="AEZ146" s="236"/>
      <c r="AFA146" s="236"/>
      <c r="AFB146" s="236"/>
      <c r="AFC146" s="236"/>
      <c r="AFD146" s="236"/>
      <c r="AFE146" s="236"/>
      <c r="AFF146" s="236"/>
      <c r="AFG146" s="236"/>
      <c r="AFH146" s="236"/>
      <c r="AFI146" s="236"/>
      <c r="AFJ146" s="236"/>
      <c r="AFK146" s="236"/>
      <c r="AFL146" s="236"/>
      <c r="AFM146" s="236"/>
      <c r="AFN146" s="236"/>
      <c r="AFO146" s="236"/>
      <c r="AFP146" s="236"/>
      <c r="AFQ146" s="236"/>
      <c r="AFR146" s="236"/>
      <c r="AFS146" s="236"/>
      <c r="AFT146" s="236"/>
      <c r="AFU146" s="236"/>
      <c r="AFV146" s="236"/>
      <c r="AFW146" s="236"/>
      <c r="AFX146" s="236"/>
      <c r="AFY146" s="236"/>
      <c r="AFZ146" s="236"/>
      <c r="AGA146" s="236"/>
      <c r="AGB146" s="236"/>
      <c r="AGC146" s="236"/>
      <c r="AGD146" s="236"/>
      <c r="AGE146" s="236"/>
      <c r="AGF146" s="236"/>
      <c r="AGG146" s="236"/>
      <c r="AGH146" s="236"/>
      <c r="AGI146" s="236"/>
      <c r="AGJ146" s="236"/>
      <c r="AGK146" s="236"/>
      <c r="AGL146" s="236"/>
      <c r="AGM146" s="236"/>
      <c r="AGN146" s="236"/>
      <c r="AGO146" s="236"/>
      <c r="AGP146" s="236"/>
      <c r="AGQ146" s="236"/>
      <c r="AGR146" s="236"/>
      <c r="AGS146" s="236"/>
      <c r="AGT146" s="236"/>
      <c r="AGU146" s="236"/>
      <c r="AGV146" s="236"/>
      <c r="AGW146" s="236"/>
      <c r="AGX146" s="236"/>
      <c r="AGY146" s="236"/>
      <c r="AGZ146" s="236"/>
      <c r="AHA146" s="236"/>
      <c r="AHB146" s="236"/>
      <c r="AHC146" s="236"/>
      <c r="AHD146" s="236"/>
      <c r="AHE146" s="236"/>
      <c r="AHF146" s="236"/>
      <c r="AHG146" s="236"/>
      <c r="AHH146" s="236"/>
      <c r="AHI146" s="236"/>
      <c r="AHJ146" s="236"/>
      <c r="AHK146" s="236"/>
      <c r="AHL146" s="236"/>
      <c r="AHM146" s="236"/>
      <c r="AHN146" s="236"/>
      <c r="AHO146" s="236"/>
      <c r="AHP146" s="236"/>
      <c r="AHQ146" s="236"/>
      <c r="AHR146" s="236"/>
      <c r="AHS146" s="236"/>
      <c r="AHT146" s="236"/>
      <c r="AHU146" s="236"/>
      <c r="AHV146" s="236"/>
      <c r="AHW146" s="236"/>
      <c r="AHX146" s="236"/>
      <c r="AHY146" s="236"/>
      <c r="AHZ146" s="236"/>
      <c r="AIA146" s="236"/>
      <c r="AIB146" s="236"/>
      <c r="AIC146" s="236"/>
      <c r="AID146" s="236"/>
      <c r="AIE146" s="236"/>
      <c r="AIF146" s="236"/>
      <c r="AIG146" s="236"/>
      <c r="AIH146" s="236"/>
      <c r="AII146" s="236"/>
      <c r="AIJ146" s="236"/>
      <c r="AIK146" s="236"/>
      <c r="AIL146" s="236"/>
      <c r="AIM146" s="236"/>
      <c r="AIN146" s="236"/>
      <c r="AIO146" s="236"/>
      <c r="AIP146" s="236"/>
      <c r="AIQ146" s="236"/>
      <c r="AIR146" s="236"/>
      <c r="AIS146" s="236"/>
      <c r="AIT146" s="236"/>
      <c r="AIU146" s="236"/>
      <c r="AIV146" s="236"/>
      <c r="AIW146" s="236"/>
      <c r="AIX146" s="236"/>
      <c r="AIY146" s="236"/>
      <c r="AIZ146" s="236"/>
      <c r="AJA146" s="236"/>
      <c r="AJB146" s="236"/>
      <c r="AJC146" s="236"/>
      <c r="AJD146" s="236"/>
      <c r="AJE146" s="236"/>
      <c r="AJF146" s="236"/>
      <c r="AJG146" s="236"/>
      <c r="AJH146" s="236"/>
      <c r="AJI146" s="236"/>
      <c r="AJJ146" s="236"/>
      <c r="AJK146" s="236"/>
      <c r="AJL146" s="236"/>
      <c r="AJM146" s="236"/>
      <c r="AJN146" s="236"/>
      <c r="AJO146" s="236"/>
      <c r="AJP146" s="236"/>
      <c r="AJQ146" s="236"/>
      <c r="AJR146" s="236"/>
      <c r="AJS146" s="236"/>
      <c r="AJT146" s="236"/>
      <c r="AJU146" s="236"/>
      <c r="AJV146" s="236"/>
      <c r="AJW146" s="236"/>
      <c r="AJX146" s="236"/>
      <c r="AJY146" s="236"/>
      <c r="AJZ146" s="236"/>
      <c r="AKA146" s="236"/>
      <c r="AKB146" s="236"/>
      <c r="AKC146" s="236"/>
      <c r="AKD146" s="236"/>
      <c r="AKE146" s="236"/>
      <c r="AKF146" s="236"/>
      <c r="AKG146" s="236"/>
      <c r="AKH146" s="236"/>
      <c r="AKI146" s="236"/>
      <c r="AKJ146" s="236"/>
      <c r="AKK146" s="236"/>
      <c r="AKL146" s="236"/>
      <c r="AKM146" s="236"/>
      <c r="AKN146" s="236"/>
      <c r="AKO146" s="236"/>
      <c r="AKP146" s="236"/>
      <c r="AKQ146" s="236"/>
      <c r="AKR146" s="236"/>
      <c r="AKS146" s="236"/>
      <c r="AKT146" s="236"/>
      <c r="AKU146" s="236"/>
      <c r="AKV146" s="236"/>
      <c r="AKW146" s="236"/>
      <c r="AKX146" s="236"/>
      <c r="AKY146" s="236"/>
      <c r="AKZ146" s="236"/>
      <c r="ALA146" s="236"/>
      <c r="ALB146" s="236"/>
      <c r="ALC146" s="236"/>
      <c r="ALD146" s="236"/>
      <c r="ALE146" s="236"/>
      <c r="ALF146" s="236"/>
      <c r="ALG146" s="236"/>
      <c r="ALH146" s="236"/>
      <c r="ALI146" s="236"/>
      <c r="ALJ146" s="236"/>
      <c r="ALK146" s="236"/>
      <c r="ALL146" s="236"/>
      <c r="ALM146" s="236"/>
      <c r="ALN146" s="236"/>
      <c r="ALO146" s="236"/>
      <c r="ALP146" s="236"/>
      <c r="ALQ146" s="236"/>
      <c r="ALR146" s="236"/>
      <c r="ALS146" s="236"/>
      <c r="ALT146" s="236"/>
      <c r="ALU146" s="236"/>
      <c r="ALV146" s="236"/>
      <c r="ALW146" s="236"/>
      <c r="ALX146" s="236"/>
      <c r="ALY146" s="236"/>
      <c r="ALZ146" s="236"/>
      <c r="AMA146" s="236"/>
      <c r="AMB146" s="236"/>
      <c r="AMC146" s="236"/>
      <c r="AMD146" s="236"/>
      <c r="AME146" s="236"/>
      <c r="AMF146" s="236"/>
      <c r="AMG146" s="236"/>
      <c r="AMH146" s="236"/>
      <c r="AMI146" s="236"/>
      <c r="AMJ146" s="236"/>
      <c r="AMK146" s="236"/>
      <c r="AML146" s="236"/>
      <c r="AMM146" s="236"/>
    </row>
    <row r="147" spans="1:1027">
      <c r="A147" s="1418"/>
      <c r="B147" s="1419"/>
      <c r="C147" s="1419"/>
      <c r="D147" s="1419"/>
      <c r="E147" s="1419"/>
      <c r="F147" s="1419"/>
      <c r="G147" s="1419"/>
      <c r="H147" s="1419"/>
      <c r="I147" s="1419"/>
      <c r="J147" s="1419"/>
      <c r="K147" s="1419"/>
      <c r="L147" s="1420"/>
      <c r="M147" s="283"/>
      <c r="N147" s="1392" t="s">
        <v>278</v>
      </c>
      <c r="O147" s="1393"/>
      <c r="P147" s="1393"/>
      <c r="Q147" s="1393"/>
      <c r="R147" s="1394"/>
      <c r="S147" s="284"/>
      <c r="T147" s="284"/>
      <c r="U147" s="284"/>
      <c r="V147" s="1392" t="s">
        <v>170</v>
      </c>
      <c r="W147" s="1393"/>
      <c r="X147" s="1393"/>
      <c r="Y147" s="1393"/>
      <c r="Z147" s="1394"/>
      <c r="AA147" s="1065"/>
      <c r="AB147" s="1392" t="s">
        <v>171</v>
      </c>
      <c r="AC147" s="1394"/>
      <c r="AD147" s="1392" t="s">
        <v>172</v>
      </c>
      <c r="AE147" s="1393"/>
      <c r="AF147" s="1393"/>
      <c r="AG147" s="1393"/>
      <c r="AH147" s="1393"/>
      <c r="AI147" s="1393"/>
      <c r="AJ147" s="1393"/>
      <c r="AK147" s="1393"/>
      <c r="AL147" s="1393"/>
      <c r="AM147" s="1394"/>
      <c r="AN147" s="262"/>
      <c r="AO147" s="262"/>
      <c r="AP147" s="262"/>
      <c r="AQ147" s="262"/>
      <c r="AR147" s="262"/>
      <c r="AS147" s="262"/>
      <c r="AT147" s="262"/>
      <c r="AU147" s="262"/>
      <c r="AV147" s="262"/>
      <c r="AW147" s="262"/>
      <c r="AX147" s="262"/>
      <c r="AY147" s="236"/>
      <c r="AZ147" s="236"/>
      <c r="BA147" s="236"/>
      <c r="BB147" s="236"/>
      <c r="BC147" s="236"/>
      <c r="BD147" s="236"/>
      <c r="BE147" s="236"/>
      <c r="BF147" s="236"/>
      <c r="BG147" s="236"/>
      <c r="BH147" s="236"/>
      <c r="BI147" s="236"/>
      <c r="BJ147" s="236"/>
      <c r="BK147" s="236"/>
      <c r="BL147" s="236"/>
      <c r="BM147" s="236"/>
      <c r="BN147" s="236"/>
      <c r="BO147" s="236"/>
      <c r="BP147" s="236"/>
      <c r="BQ147" s="236"/>
      <c r="BR147" s="236"/>
      <c r="BS147" s="236"/>
      <c r="BT147" s="236"/>
      <c r="BU147" s="236"/>
      <c r="BV147" s="236"/>
      <c r="BW147" s="236"/>
      <c r="BX147" s="236"/>
      <c r="BY147" s="236"/>
      <c r="BZ147" s="236"/>
      <c r="CA147" s="236"/>
      <c r="CB147" s="236"/>
      <c r="CC147" s="236"/>
      <c r="CD147" s="236"/>
      <c r="CE147" s="236"/>
      <c r="CF147" s="236"/>
      <c r="CG147" s="236"/>
      <c r="CH147" s="236"/>
      <c r="CI147" s="236"/>
      <c r="CJ147" s="236"/>
      <c r="CK147" s="236"/>
      <c r="CL147" s="236"/>
      <c r="CM147" s="236"/>
      <c r="CN147" s="236"/>
      <c r="CO147" s="236"/>
      <c r="CP147" s="236"/>
      <c r="CQ147" s="236"/>
      <c r="CR147" s="236"/>
      <c r="CS147" s="236"/>
      <c r="CT147" s="236"/>
      <c r="CU147" s="236"/>
      <c r="CV147" s="236"/>
      <c r="CW147" s="236"/>
      <c r="CX147" s="236"/>
      <c r="CY147" s="236"/>
      <c r="CZ147" s="236"/>
      <c r="DA147" s="236"/>
      <c r="DB147" s="236"/>
      <c r="DC147" s="236"/>
      <c r="DD147" s="236"/>
      <c r="DE147" s="236"/>
      <c r="DF147" s="236"/>
      <c r="DG147" s="236"/>
      <c r="DH147" s="236"/>
      <c r="DI147" s="236"/>
      <c r="DJ147" s="236"/>
      <c r="DK147" s="236"/>
      <c r="DL147" s="236"/>
      <c r="DM147" s="236"/>
      <c r="DN147" s="236"/>
      <c r="DO147" s="236"/>
      <c r="DP147" s="236"/>
      <c r="DQ147" s="236"/>
      <c r="DR147" s="236"/>
      <c r="DS147" s="236"/>
      <c r="DT147" s="236"/>
      <c r="DU147" s="236"/>
      <c r="DV147" s="236"/>
      <c r="DW147" s="236"/>
      <c r="DX147" s="236"/>
      <c r="DY147" s="236"/>
      <c r="DZ147" s="236"/>
      <c r="EA147" s="236"/>
      <c r="EB147" s="236"/>
      <c r="EC147" s="236"/>
      <c r="ED147" s="236"/>
      <c r="EE147" s="236"/>
      <c r="EF147" s="236"/>
      <c r="EG147" s="236"/>
      <c r="EH147" s="236"/>
      <c r="EI147" s="236"/>
      <c r="EJ147" s="236"/>
      <c r="EK147" s="236"/>
      <c r="EL147" s="236"/>
      <c r="EM147" s="236"/>
      <c r="EN147" s="236"/>
      <c r="EO147" s="236"/>
      <c r="EP147" s="236"/>
      <c r="EQ147" s="236"/>
      <c r="ER147" s="236"/>
      <c r="ES147" s="236"/>
      <c r="ET147" s="236"/>
      <c r="EU147" s="236"/>
      <c r="EV147" s="236"/>
      <c r="EW147" s="236"/>
      <c r="EX147" s="236"/>
      <c r="EY147" s="236"/>
      <c r="EZ147" s="236"/>
      <c r="FA147" s="236"/>
      <c r="FB147" s="236"/>
      <c r="FC147" s="236"/>
      <c r="FD147" s="236"/>
      <c r="FE147" s="236"/>
      <c r="FF147" s="236"/>
      <c r="FG147" s="236"/>
      <c r="FH147" s="236"/>
      <c r="FI147" s="236"/>
      <c r="FJ147" s="236"/>
      <c r="FK147" s="236"/>
      <c r="FL147" s="236"/>
      <c r="FM147" s="236"/>
      <c r="FN147" s="236"/>
      <c r="FO147" s="236"/>
      <c r="FP147" s="236"/>
      <c r="FQ147" s="236"/>
      <c r="FR147" s="236"/>
      <c r="FS147" s="236"/>
      <c r="FT147" s="236"/>
      <c r="FU147" s="236"/>
      <c r="FV147" s="236"/>
      <c r="FW147" s="236"/>
      <c r="FX147" s="236"/>
      <c r="FY147" s="236"/>
      <c r="FZ147" s="236"/>
      <c r="GA147" s="236"/>
      <c r="GB147" s="236"/>
      <c r="GC147" s="236"/>
      <c r="GD147" s="236"/>
      <c r="GE147" s="236"/>
      <c r="GF147" s="236"/>
      <c r="GG147" s="236"/>
      <c r="GH147" s="236"/>
      <c r="GI147" s="236"/>
      <c r="GJ147" s="236"/>
      <c r="GK147" s="236"/>
      <c r="GL147" s="236"/>
      <c r="GM147" s="236"/>
      <c r="GN147" s="236"/>
      <c r="GO147" s="236"/>
      <c r="GP147" s="236"/>
      <c r="GQ147" s="236"/>
      <c r="GR147" s="236"/>
      <c r="GS147" s="236"/>
      <c r="GT147" s="236"/>
      <c r="GU147" s="236"/>
      <c r="GV147" s="236"/>
      <c r="GW147" s="236"/>
      <c r="GX147" s="236"/>
      <c r="GY147" s="236"/>
      <c r="GZ147" s="236"/>
      <c r="HA147" s="236"/>
      <c r="HB147" s="236"/>
      <c r="HC147" s="236"/>
      <c r="HD147" s="236"/>
      <c r="HE147" s="236"/>
      <c r="HF147" s="236"/>
      <c r="HG147" s="236"/>
      <c r="HH147" s="236"/>
      <c r="HI147" s="236"/>
      <c r="HJ147" s="236"/>
      <c r="HK147" s="236"/>
      <c r="HL147" s="236"/>
      <c r="HM147" s="236"/>
      <c r="HN147" s="236"/>
      <c r="HO147" s="236"/>
      <c r="HP147" s="236"/>
      <c r="HQ147" s="236"/>
      <c r="HR147" s="236"/>
      <c r="HS147" s="236"/>
      <c r="HT147" s="236"/>
      <c r="HU147" s="236"/>
      <c r="HV147" s="236"/>
      <c r="HW147" s="236"/>
      <c r="HX147" s="236"/>
      <c r="HY147" s="236"/>
      <c r="HZ147" s="236"/>
      <c r="IA147" s="236"/>
      <c r="IB147" s="236"/>
      <c r="IC147" s="236"/>
      <c r="ID147" s="236"/>
      <c r="IE147" s="236"/>
      <c r="IF147" s="236"/>
      <c r="IG147" s="236"/>
      <c r="IH147" s="236"/>
      <c r="II147" s="236"/>
      <c r="IJ147" s="236"/>
      <c r="IK147" s="236"/>
      <c r="IL147" s="236"/>
      <c r="IM147" s="236"/>
      <c r="IN147" s="236"/>
      <c r="IO147" s="236"/>
      <c r="IP147" s="236"/>
      <c r="IQ147" s="236"/>
      <c r="IR147" s="236"/>
      <c r="IS147" s="236"/>
      <c r="IT147" s="236"/>
      <c r="IU147" s="236"/>
      <c r="IV147" s="236"/>
      <c r="IW147" s="236"/>
      <c r="IX147" s="236"/>
      <c r="IY147" s="236"/>
      <c r="IZ147" s="236"/>
      <c r="JA147" s="236"/>
      <c r="JB147" s="236"/>
      <c r="JC147" s="236"/>
      <c r="JD147" s="236"/>
      <c r="JE147" s="236"/>
      <c r="JF147" s="236"/>
      <c r="JG147" s="236"/>
      <c r="JH147" s="236"/>
      <c r="JI147" s="236"/>
      <c r="JJ147" s="236"/>
      <c r="JK147" s="236"/>
      <c r="JL147" s="236"/>
      <c r="JM147" s="236"/>
      <c r="JN147" s="236"/>
      <c r="JO147" s="236"/>
      <c r="JP147" s="236"/>
      <c r="JQ147" s="236"/>
      <c r="JR147" s="236"/>
      <c r="JS147" s="236"/>
      <c r="JT147" s="236"/>
      <c r="JU147" s="236"/>
      <c r="JV147" s="236"/>
      <c r="JW147" s="236"/>
      <c r="JX147" s="236"/>
      <c r="JY147" s="236"/>
      <c r="JZ147" s="236"/>
      <c r="KA147" s="236"/>
      <c r="KB147" s="236"/>
      <c r="KC147" s="236"/>
      <c r="KD147" s="236"/>
      <c r="KE147" s="236"/>
      <c r="KF147" s="236"/>
      <c r="KG147" s="236"/>
      <c r="KH147" s="236"/>
      <c r="KI147" s="236"/>
      <c r="KJ147" s="236"/>
      <c r="KK147" s="236"/>
      <c r="KL147" s="236"/>
      <c r="KM147" s="236"/>
      <c r="KN147" s="236"/>
      <c r="KO147" s="236"/>
      <c r="KP147" s="236"/>
      <c r="KQ147" s="236"/>
      <c r="KR147" s="236"/>
      <c r="KS147" s="236"/>
      <c r="KT147" s="236"/>
      <c r="KU147" s="236"/>
      <c r="KV147" s="236"/>
      <c r="KW147" s="236"/>
      <c r="KX147" s="236"/>
      <c r="KY147" s="236"/>
      <c r="KZ147" s="236"/>
      <c r="LA147" s="236"/>
      <c r="LB147" s="236"/>
      <c r="LC147" s="236"/>
      <c r="LD147" s="236"/>
      <c r="LE147" s="236"/>
      <c r="LF147" s="236"/>
      <c r="LG147" s="236"/>
      <c r="LH147" s="236"/>
      <c r="LI147" s="236"/>
      <c r="LJ147" s="236"/>
      <c r="LK147" s="236"/>
      <c r="LL147" s="236"/>
      <c r="LM147" s="236"/>
      <c r="LN147" s="236"/>
      <c r="LO147" s="236"/>
      <c r="LP147" s="236"/>
      <c r="LQ147" s="236"/>
      <c r="LR147" s="236"/>
      <c r="LS147" s="236"/>
      <c r="LT147" s="236"/>
      <c r="LU147" s="236"/>
      <c r="LV147" s="236"/>
      <c r="LW147" s="236"/>
      <c r="LX147" s="236"/>
      <c r="LY147" s="236"/>
      <c r="LZ147" s="236"/>
      <c r="MA147" s="236"/>
      <c r="MB147" s="236"/>
      <c r="MC147" s="236"/>
      <c r="MD147" s="236"/>
      <c r="ME147" s="236"/>
      <c r="MF147" s="236"/>
      <c r="MG147" s="236"/>
      <c r="MH147" s="236"/>
      <c r="MI147" s="236"/>
      <c r="MJ147" s="236"/>
      <c r="MK147" s="236"/>
      <c r="ML147" s="236"/>
      <c r="MM147" s="236"/>
      <c r="MN147" s="236"/>
      <c r="MO147" s="236"/>
      <c r="MP147" s="236"/>
      <c r="MQ147" s="236"/>
      <c r="MR147" s="236"/>
      <c r="MS147" s="236"/>
      <c r="MT147" s="236"/>
      <c r="MU147" s="236"/>
      <c r="MV147" s="236"/>
      <c r="MW147" s="236"/>
      <c r="MX147" s="236"/>
      <c r="MY147" s="236"/>
      <c r="MZ147" s="236"/>
      <c r="NA147" s="236"/>
      <c r="NB147" s="236"/>
      <c r="NC147" s="236"/>
      <c r="ND147" s="236"/>
      <c r="NE147" s="236"/>
      <c r="NF147" s="236"/>
      <c r="NG147" s="236"/>
      <c r="NH147" s="236"/>
      <c r="NI147" s="236"/>
      <c r="NJ147" s="236"/>
      <c r="NK147" s="236"/>
      <c r="NL147" s="236"/>
      <c r="NM147" s="236"/>
      <c r="NN147" s="236"/>
      <c r="NO147" s="236"/>
      <c r="NP147" s="236"/>
      <c r="NQ147" s="236"/>
      <c r="NR147" s="236"/>
      <c r="NS147" s="236"/>
      <c r="NT147" s="236"/>
      <c r="NU147" s="236"/>
      <c r="NV147" s="236"/>
      <c r="NW147" s="236"/>
      <c r="NX147" s="236"/>
      <c r="NY147" s="236"/>
      <c r="NZ147" s="236"/>
      <c r="OA147" s="236"/>
      <c r="OB147" s="236"/>
      <c r="OC147" s="236"/>
      <c r="OD147" s="236"/>
      <c r="OE147" s="236"/>
      <c r="OF147" s="236"/>
      <c r="OG147" s="236"/>
      <c r="OH147" s="236"/>
      <c r="OI147" s="236"/>
      <c r="OJ147" s="236"/>
      <c r="OK147" s="236"/>
      <c r="OL147" s="236"/>
      <c r="OM147" s="236"/>
      <c r="ON147" s="236"/>
      <c r="OO147" s="236"/>
      <c r="OP147" s="236"/>
      <c r="OQ147" s="236"/>
      <c r="OR147" s="236"/>
      <c r="OS147" s="236"/>
      <c r="OT147" s="236"/>
      <c r="OU147" s="236"/>
      <c r="OV147" s="236"/>
      <c r="OW147" s="236"/>
      <c r="OX147" s="236"/>
      <c r="OY147" s="236"/>
      <c r="OZ147" s="236"/>
      <c r="PA147" s="236"/>
      <c r="PB147" s="236"/>
      <c r="PC147" s="236"/>
      <c r="PD147" s="236"/>
      <c r="PE147" s="236"/>
      <c r="PF147" s="236"/>
      <c r="PG147" s="236"/>
      <c r="PH147" s="236"/>
      <c r="PI147" s="236"/>
      <c r="PJ147" s="236"/>
      <c r="PK147" s="236"/>
      <c r="PL147" s="236"/>
      <c r="PM147" s="236"/>
      <c r="PN147" s="236"/>
      <c r="PO147" s="236"/>
      <c r="PP147" s="236"/>
      <c r="PQ147" s="236"/>
      <c r="PR147" s="236"/>
      <c r="PS147" s="236"/>
      <c r="PT147" s="236"/>
      <c r="PU147" s="236"/>
      <c r="PV147" s="236"/>
      <c r="PW147" s="236"/>
      <c r="PX147" s="236"/>
      <c r="PY147" s="236"/>
      <c r="PZ147" s="236"/>
      <c r="QA147" s="236"/>
      <c r="QB147" s="236"/>
      <c r="QC147" s="236"/>
      <c r="QD147" s="236"/>
      <c r="QE147" s="236"/>
      <c r="QF147" s="236"/>
      <c r="QG147" s="236"/>
      <c r="QH147" s="236"/>
      <c r="QI147" s="236"/>
      <c r="QJ147" s="236"/>
      <c r="QK147" s="236"/>
      <c r="QL147" s="236"/>
      <c r="QM147" s="236"/>
      <c r="QN147" s="236"/>
      <c r="QO147" s="236"/>
      <c r="QP147" s="236"/>
      <c r="QQ147" s="236"/>
      <c r="QR147" s="236"/>
      <c r="QS147" s="236"/>
      <c r="QT147" s="236"/>
      <c r="QU147" s="236"/>
      <c r="QV147" s="236"/>
      <c r="QW147" s="236"/>
      <c r="QX147" s="236"/>
      <c r="QY147" s="236"/>
      <c r="QZ147" s="236"/>
      <c r="RA147" s="236"/>
      <c r="RB147" s="236"/>
      <c r="RC147" s="236"/>
      <c r="RD147" s="236"/>
      <c r="RE147" s="236"/>
      <c r="RF147" s="236"/>
      <c r="RG147" s="236"/>
      <c r="RH147" s="236"/>
      <c r="RI147" s="236"/>
      <c r="RJ147" s="236"/>
      <c r="RK147" s="236"/>
      <c r="RL147" s="236"/>
      <c r="RM147" s="236"/>
      <c r="RN147" s="236"/>
      <c r="RO147" s="236"/>
      <c r="RP147" s="236"/>
      <c r="RQ147" s="236"/>
      <c r="RR147" s="236"/>
      <c r="RS147" s="236"/>
      <c r="RT147" s="236"/>
      <c r="RU147" s="236"/>
      <c r="RV147" s="236"/>
      <c r="RW147" s="236"/>
      <c r="RX147" s="236"/>
      <c r="RY147" s="236"/>
      <c r="RZ147" s="236"/>
      <c r="SA147" s="236"/>
      <c r="SB147" s="236"/>
      <c r="SC147" s="236"/>
      <c r="SD147" s="236"/>
      <c r="SE147" s="236"/>
      <c r="SF147" s="236"/>
      <c r="SG147" s="236"/>
      <c r="SH147" s="236"/>
      <c r="SI147" s="236"/>
      <c r="SJ147" s="236"/>
      <c r="SK147" s="236"/>
      <c r="SL147" s="236"/>
      <c r="SM147" s="236"/>
      <c r="SN147" s="236"/>
      <c r="SO147" s="236"/>
      <c r="SP147" s="236"/>
      <c r="SQ147" s="236"/>
      <c r="SR147" s="236"/>
      <c r="SS147" s="236"/>
      <c r="ST147" s="236"/>
      <c r="SU147" s="236"/>
      <c r="SV147" s="236"/>
      <c r="SW147" s="236"/>
      <c r="SX147" s="236"/>
      <c r="SY147" s="236"/>
      <c r="SZ147" s="236"/>
      <c r="TA147" s="236"/>
      <c r="TB147" s="236"/>
      <c r="TC147" s="236"/>
      <c r="TD147" s="236"/>
      <c r="TE147" s="236"/>
      <c r="TF147" s="236"/>
      <c r="TG147" s="236"/>
      <c r="TH147" s="236"/>
      <c r="TI147" s="236"/>
      <c r="TJ147" s="236"/>
      <c r="TK147" s="236"/>
      <c r="TL147" s="236"/>
      <c r="TM147" s="236"/>
      <c r="TN147" s="236"/>
      <c r="TO147" s="236"/>
      <c r="TP147" s="236"/>
      <c r="TQ147" s="236"/>
      <c r="TR147" s="236"/>
      <c r="TS147" s="236"/>
      <c r="TT147" s="236"/>
      <c r="TU147" s="236"/>
      <c r="TV147" s="236"/>
      <c r="TW147" s="236"/>
      <c r="TX147" s="236"/>
      <c r="TY147" s="236"/>
      <c r="TZ147" s="236"/>
      <c r="UA147" s="236"/>
      <c r="UB147" s="236"/>
      <c r="UC147" s="236"/>
      <c r="UD147" s="236"/>
      <c r="UE147" s="236"/>
      <c r="UF147" s="236"/>
      <c r="UG147" s="236"/>
      <c r="UH147" s="236"/>
      <c r="UI147" s="236"/>
      <c r="UJ147" s="236"/>
      <c r="UK147" s="236"/>
      <c r="UL147" s="236"/>
      <c r="UM147" s="236"/>
      <c r="UN147" s="236"/>
      <c r="UO147" s="236"/>
      <c r="UP147" s="236"/>
      <c r="UQ147" s="236"/>
      <c r="UR147" s="236"/>
      <c r="US147" s="236"/>
      <c r="UT147" s="236"/>
      <c r="UU147" s="236"/>
      <c r="UV147" s="236"/>
      <c r="UW147" s="236"/>
      <c r="UX147" s="236"/>
      <c r="UY147" s="236"/>
      <c r="UZ147" s="236"/>
      <c r="VA147" s="236"/>
      <c r="VB147" s="236"/>
      <c r="VC147" s="236"/>
      <c r="VD147" s="236"/>
      <c r="VE147" s="236"/>
      <c r="VF147" s="236"/>
      <c r="VG147" s="236"/>
      <c r="VH147" s="236"/>
      <c r="VI147" s="236"/>
      <c r="VJ147" s="236"/>
      <c r="VK147" s="236"/>
      <c r="VL147" s="236"/>
      <c r="VM147" s="236"/>
      <c r="VN147" s="236"/>
      <c r="VO147" s="236"/>
      <c r="VP147" s="236"/>
      <c r="VQ147" s="236"/>
      <c r="VR147" s="236"/>
      <c r="VS147" s="236"/>
      <c r="VT147" s="236"/>
      <c r="VU147" s="236"/>
      <c r="VV147" s="236"/>
      <c r="VW147" s="236"/>
      <c r="VX147" s="236"/>
      <c r="VY147" s="236"/>
      <c r="VZ147" s="236"/>
      <c r="WA147" s="236"/>
      <c r="WB147" s="236"/>
      <c r="WC147" s="236"/>
      <c r="WD147" s="236"/>
      <c r="WE147" s="236"/>
      <c r="WF147" s="236"/>
      <c r="WG147" s="236"/>
      <c r="WH147" s="236"/>
      <c r="WI147" s="236"/>
      <c r="WJ147" s="236"/>
      <c r="WK147" s="236"/>
      <c r="WL147" s="236"/>
      <c r="WM147" s="236"/>
      <c r="WN147" s="236"/>
      <c r="WO147" s="236"/>
      <c r="WP147" s="236"/>
      <c r="WQ147" s="236"/>
      <c r="WR147" s="236"/>
      <c r="WS147" s="236"/>
      <c r="WT147" s="236"/>
      <c r="WU147" s="236"/>
      <c r="WV147" s="236"/>
      <c r="WW147" s="236"/>
      <c r="WX147" s="236"/>
      <c r="WY147" s="236"/>
      <c r="WZ147" s="236"/>
      <c r="XA147" s="236"/>
      <c r="XB147" s="236"/>
      <c r="XC147" s="236"/>
      <c r="XD147" s="236"/>
      <c r="XE147" s="236"/>
      <c r="XF147" s="236"/>
      <c r="XG147" s="236"/>
      <c r="XH147" s="236"/>
      <c r="XI147" s="236"/>
      <c r="XJ147" s="236"/>
      <c r="XK147" s="236"/>
      <c r="XL147" s="236"/>
      <c r="XM147" s="236"/>
      <c r="XN147" s="236"/>
      <c r="XO147" s="236"/>
      <c r="XP147" s="236"/>
      <c r="XQ147" s="236"/>
      <c r="XR147" s="236"/>
      <c r="XS147" s="236"/>
      <c r="XT147" s="236"/>
      <c r="XU147" s="236"/>
      <c r="XV147" s="236"/>
      <c r="XW147" s="236"/>
      <c r="XX147" s="236"/>
      <c r="XY147" s="236"/>
      <c r="XZ147" s="236"/>
      <c r="YA147" s="236"/>
      <c r="YB147" s="236"/>
      <c r="YC147" s="236"/>
      <c r="YD147" s="236"/>
      <c r="YE147" s="236"/>
      <c r="YF147" s="236"/>
      <c r="YG147" s="236"/>
      <c r="YH147" s="236"/>
      <c r="YI147" s="236"/>
      <c r="YJ147" s="236"/>
      <c r="YK147" s="236"/>
      <c r="YL147" s="236"/>
      <c r="YM147" s="236"/>
      <c r="YN147" s="236"/>
      <c r="YO147" s="236"/>
      <c r="YP147" s="236"/>
      <c r="YQ147" s="236"/>
      <c r="YR147" s="236"/>
      <c r="YS147" s="236"/>
      <c r="YT147" s="236"/>
      <c r="YU147" s="236"/>
      <c r="YV147" s="236"/>
      <c r="YW147" s="236"/>
      <c r="YX147" s="236"/>
      <c r="YY147" s="236"/>
      <c r="YZ147" s="236"/>
      <c r="ZA147" s="236"/>
      <c r="ZB147" s="236"/>
      <c r="ZC147" s="236"/>
      <c r="ZD147" s="236"/>
      <c r="ZE147" s="236"/>
      <c r="ZF147" s="236"/>
      <c r="ZG147" s="236"/>
      <c r="ZH147" s="236"/>
      <c r="ZI147" s="236"/>
      <c r="ZJ147" s="236"/>
      <c r="ZK147" s="236"/>
      <c r="ZL147" s="236"/>
      <c r="ZM147" s="236"/>
      <c r="ZN147" s="236"/>
      <c r="ZO147" s="236"/>
      <c r="ZP147" s="236"/>
      <c r="ZQ147" s="236"/>
      <c r="ZR147" s="236"/>
      <c r="ZS147" s="236"/>
      <c r="ZT147" s="236"/>
      <c r="ZU147" s="236"/>
      <c r="ZV147" s="236"/>
      <c r="ZW147" s="236"/>
      <c r="ZX147" s="236"/>
      <c r="ZY147" s="236"/>
      <c r="ZZ147" s="236"/>
      <c r="AAA147" s="236"/>
      <c r="AAB147" s="236"/>
      <c r="AAC147" s="236"/>
      <c r="AAD147" s="236"/>
      <c r="AAE147" s="236"/>
      <c r="AAF147" s="236"/>
      <c r="AAG147" s="236"/>
      <c r="AAH147" s="236"/>
      <c r="AAI147" s="236"/>
      <c r="AAJ147" s="236"/>
      <c r="AAK147" s="236"/>
      <c r="AAL147" s="236"/>
      <c r="AAM147" s="236"/>
      <c r="AAN147" s="236"/>
      <c r="AAO147" s="236"/>
      <c r="AAP147" s="236"/>
      <c r="AAQ147" s="236"/>
      <c r="AAR147" s="236"/>
      <c r="AAS147" s="236"/>
      <c r="AAT147" s="236"/>
      <c r="AAU147" s="236"/>
      <c r="AAV147" s="236"/>
      <c r="AAW147" s="236"/>
      <c r="AAX147" s="236"/>
      <c r="AAY147" s="236"/>
      <c r="AAZ147" s="236"/>
      <c r="ABA147" s="236"/>
      <c r="ABB147" s="236"/>
      <c r="ABC147" s="236"/>
      <c r="ABD147" s="236"/>
      <c r="ABE147" s="236"/>
      <c r="ABF147" s="236"/>
      <c r="ABG147" s="236"/>
      <c r="ABH147" s="236"/>
      <c r="ABI147" s="236"/>
      <c r="ABJ147" s="236"/>
      <c r="ABK147" s="236"/>
      <c r="ABL147" s="236"/>
      <c r="ABM147" s="236"/>
      <c r="ABN147" s="236"/>
      <c r="ABO147" s="236"/>
      <c r="ABP147" s="236"/>
      <c r="ABQ147" s="236"/>
      <c r="ABR147" s="236"/>
      <c r="ABS147" s="236"/>
      <c r="ABT147" s="236"/>
      <c r="ABU147" s="236"/>
      <c r="ABV147" s="236"/>
      <c r="ABW147" s="236"/>
      <c r="ABX147" s="236"/>
      <c r="ABY147" s="236"/>
      <c r="ABZ147" s="236"/>
      <c r="ACA147" s="236"/>
      <c r="ACB147" s="236"/>
      <c r="ACC147" s="236"/>
      <c r="ACD147" s="236"/>
      <c r="ACE147" s="236"/>
      <c r="ACF147" s="236"/>
      <c r="ACG147" s="236"/>
      <c r="ACH147" s="236"/>
      <c r="ACI147" s="236"/>
      <c r="ACJ147" s="236"/>
      <c r="ACK147" s="236"/>
      <c r="ACL147" s="236"/>
      <c r="ACM147" s="236"/>
      <c r="ACN147" s="236"/>
      <c r="ACO147" s="236"/>
      <c r="ACP147" s="236"/>
      <c r="ACQ147" s="236"/>
      <c r="ACR147" s="236"/>
      <c r="ACS147" s="236"/>
      <c r="ACT147" s="236"/>
      <c r="ACU147" s="236"/>
      <c r="ACV147" s="236"/>
      <c r="ACW147" s="236"/>
      <c r="ACX147" s="236"/>
      <c r="ACY147" s="236"/>
      <c r="ACZ147" s="236"/>
      <c r="ADA147" s="236"/>
      <c r="ADB147" s="236"/>
      <c r="ADC147" s="236"/>
      <c r="ADD147" s="236"/>
      <c r="ADE147" s="236"/>
      <c r="ADF147" s="236"/>
      <c r="ADG147" s="236"/>
      <c r="ADH147" s="236"/>
      <c r="ADI147" s="236"/>
      <c r="ADJ147" s="236"/>
      <c r="ADK147" s="236"/>
      <c r="ADL147" s="236"/>
      <c r="ADM147" s="236"/>
      <c r="ADN147" s="236"/>
      <c r="ADO147" s="236"/>
      <c r="ADP147" s="236"/>
      <c r="ADQ147" s="236"/>
      <c r="ADR147" s="236"/>
      <c r="ADS147" s="236"/>
      <c r="ADT147" s="236"/>
      <c r="ADU147" s="236"/>
      <c r="ADV147" s="236"/>
      <c r="ADW147" s="236"/>
      <c r="ADX147" s="236"/>
      <c r="ADY147" s="236"/>
      <c r="ADZ147" s="236"/>
      <c r="AEA147" s="236"/>
      <c r="AEB147" s="236"/>
      <c r="AEC147" s="236"/>
      <c r="AED147" s="236"/>
      <c r="AEE147" s="236"/>
      <c r="AEF147" s="236"/>
      <c r="AEG147" s="236"/>
      <c r="AEH147" s="236"/>
      <c r="AEI147" s="236"/>
      <c r="AEJ147" s="236"/>
      <c r="AEK147" s="236"/>
      <c r="AEL147" s="236"/>
      <c r="AEM147" s="236"/>
      <c r="AEN147" s="236"/>
      <c r="AEO147" s="236"/>
      <c r="AEP147" s="236"/>
      <c r="AEQ147" s="236"/>
      <c r="AER147" s="236"/>
      <c r="AES147" s="236"/>
      <c r="AET147" s="236"/>
      <c r="AEU147" s="236"/>
      <c r="AEV147" s="236"/>
      <c r="AEW147" s="236"/>
      <c r="AEX147" s="236"/>
      <c r="AEY147" s="236"/>
      <c r="AEZ147" s="236"/>
      <c r="AFA147" s="236"/>
      <c r="AFB147" s="236"/>
      <c r="AFC147" s="236"/>
      <c r="AFD147" s="236"/>
      <c r="AFE147" s="236"/>
      <c r="AFF147" s="236"/>
      <c r="AFG147" s="236"/>
      <c r="AFH147" s="236"/>
      <c r="AFI147" s="236"/>
      <c r="AFJ147" s="236"/>
      <c r="AFK147" s="236"/>
      <c r="AFL147" s="236"/>
      <c r="AFM147" s="236"/>
      <c r="AFN147" s="236"/>
      <c r="AFO147" s="236"/>
      <c r="AFP147" s="236"/>
      <c r="AFQ147" s="236"/>
      <c r="AFR147" s="236"/>
      <c r="AFS147" s="236"/>
      <c r="AFT147" s="236"/>
      <c r="AFU147" s="236"/>
      <c r="AFV147" s="236"/>
      <c r="AFW147" s="236"/>
      <c r="AFX147" s="236"/>
      <c r="AFY147" s="236"/>
      <c r="AFZ147" s="236"/>
      <c r="AGA147" s="236"/>
      <c r="AGB147" s="236"/>
      <c r="AGC147" s="236"/>
      <c r="AGD147" s="236"/>
      <c r="AGE147" s="236"/>
      <c r="AGF147" s="236"/>
      <c r="AGG147" s="236"/>
      <c r="AGH147" s="236"/>
      <c r="AGI147" s="236"/>
      <c r="AGJ147" s="236"/>
      <c r="AGK147" s="236"/>
      <c r="AGL147" s="236"/>
      <c r="AGM147" s="236"/>
      <c r="AGN147" s="236"/>
      <c r="AGO147" s="236"/>
      <c r="AGP147" s="236"/>
      <c r="AGQ147" s="236"/>
      <c r="AGR147" s="236"/>
      <c r="AGS147" s="236"/>
      <c r="AGT147" s="236"/>
      <c r="AGU147" s="236"/>
      <c r="AGV147" s="236"/>
      <c r="AGW147" s="236"/>
      <c r="AGX147" s="236"/>
      <c r="AGY147" s="236"/>
      <c r="AGZ147" s="236"/>
      <c r="AHA147" s="236"/>
      <c r="AHB147" s="236"/>
      <c r="AHC147" s="236"/>
      <c r="AHD147" s="236"/>
      <c r="AHE147" s="236"/>
      <c r="AHF147" s="236"/>
      <c r="AHG147" s="236"/>
      <c r="AHH147" s="236"/>
      <c r="AHI147" s="236"/>
      <c r="AHJ147" s="236"/>
      <c r="AHK147" s="236"/>
      <c r="AHL147" s="236"/>
      <c r="AHM147" s="236"/>
      <c r="AHN147" s="236"/>
      <c r="AHO147" s="236"/>
      <c r="AHP147" s="236"/>
      <c r="AHQ147" s="236"/>
      <c r="AHR147" s="236"/>
      <c r="AHS147" s="236"/>
      <c r="AHT147" s="236"/>
      <c r="AHU147" s="236"/>
      <c r="AHV147" s="236"/>
      <c r="AHW147" s="236"/>
      <c r="AHX147" s="236"/>
      <c r="AHY147" s="236"/>
      <c r="AHZ147" s="236"/>
      <c r="AIA147" s="236"/>
      <c r="AIB147" s="236"/>
      <c r="AIC147" s="236"/>
      <c r="AID147" s="236"/>
      <c r="AIE147" s="236"/>
      <c r="AIF147" s="236"/>
      <c r="AIG147" s="236"/>
      <c r="AIH147" s="236"/>
      <c r="AII147" s="236"/>
      <c r="AIJ147" s="236"/>
      <c r="AIK147" s="236"/>
      <c r="AIL147" s="236"/>
      <c r="AIM147" s="236"/>
      <c r="AIN147" s="236"/>
      <c r="AIO147" s="236"/>
      <c r="AIP147" s="236"/>
      <c r="AIQ147" s="236"/>
      <c r="AIR147" s="236"/>
      <c r="AIS147" s="236"/>
      <c r="AIT147" s="236"/>
      <c r="AIU147" s="236"/>
      <c r="AIV147" s="236"/>
      <c r="AIW147" s="236"/>
      <c r="AIX147" s="236"/>
      <c r="AIY147" s="236"/>
      <c r="AIZ147" s="236"/>
      <c r="AJA147" s="236"/>
      <c r="AJB147" s="236"/>
      <c r="AJC147" s="236"/>
      <c r="AJD147" s="236"/>
      <c r="AJE147" s="236"/>
      <c r="AJF147" s="236"/>
      <c r="AJG147" s="236"/>
      <c r="AJH147" s="236"/>
      <c r="AJI147" s="236"/>
      <c r="AJJ147" s="236"/>
      <c r="AJK147" s="236"/>
      <c r="AJL147" s="236"/>
      <c r="AJM147" s="236"/>
      <c r="AJN147" s="236"/>
      <c r="AJO147" s="236"/>
      <c r="AJP147" s="236"/>
      <c r="AJQ147" s="236"/>
      <c r="AJR147" s="236"/>
      <c r="AJS147" s="236"/>
      <c r="AJT147" s="236"/>
      <c r="AJU147" s="236"/>
      <c r="AJV147" s="236"/>
      <c r="AJW147" s="236"/>
      <c r="AJX147" s="236"/>
      <c r="AJY147" s="236"/>
      <c r="AJZ147" s="236"/>
      <c r="AKA147" s="236"/>
      <c r="AKB147" s="236"/>
      <c r="AKC147" s="236"/>
      <c r="AKD147" s="236"/>
      <c r="AKE147" s="236"/>
      <c r="AKF147" s="236"/>
      <c r="AKG147" s="236"/>
      <c r="AKH147" s="236"/>
      <c r="AKI147" s="236"/>
      <c r="AKJ147" s="236"/>
      <c r="AKK147" s="236"/>
      <c r="AKL147" s="236"/>
      <c r="AKM147" s="236"/>
      <c r="AKN147" s="236"/>
      <c r="AKO147" s="236"/>
      <c r="AKP147" s="236"/>
      <c r="AKQ147" s="236"/>
      <c r="AKR147" s="236"/>
      <c r="AKS147" s="236"/>
      <c r="AKT147" s="236"/>
      <c r="AKU147" s="236"/>
      <c r="AKV147" s="236"/>
      <c r="AKW147" s="236"/>
      <c r="AKX147" s="236"/>
      <c r="AKY147" s="236"/>
      <c r="AKZ147" s="236"/>
      <c r="ALA147" s="236"/>
      <c r="ALB147" s="236"/>
      <c r="ALC147" s="236"/>
      <c r="ALD147" s="236"/>
      <c r="ALE147" s="236"/>
      <c r="ALF147" s="236"/>
      <c r="ALG147" s="236"/>
      <c r="ALH147" s="236"/>
      <c r="ALI147" s="236"/>
      <c r="ALJ147" s="236"/>
      <c r="ALK147" s="236"/>
      <c r="ALL147" s="236"/>
      <c r="ALM147" s="236"/>
      <c r="ALN147" s="236"/>
      <c r="ALO147" s="236"/>
      <c r="ALP147" s="236"/>
      <c r="ALQ147" s="236"/>
      <c r="ALR147" s="236"/>
      <c r="ALS147" s="236"/>
      <c r="ALT147" s="236"/>
      <c r="ALU147" s="236"/>
      <c r="ALV147" s="236"/>
      <c r="ALW147" s="236"/>
      <c r="ALX147" s="236"/>
      <c r="ALY147" s="236"/>
      <c r="ALZ147" s="236"/>
      <c r="AMA147" s="236"/>
      <c r="AMB147" s="236"/>
      <c r="AMC147" s="236"/>
      <c r="AMD147" s="236"/>
      <c r="AME147" s="236"/>
      <c r="AMF147" s="236"/>
      <c r="AMG147" s="236"/>
      <c r="AMH147" s="236"/>
      <c r="AMI147" s="236"/>
      <c r="AMJ147" s="236"/>
      <c r="AMK147" s="236"/>
      <c r="AML147" s="236"/>
      <c r="AMM147" s="236"/>
    </row>
    <row r="148" spans="1:1027" s="243" customFormat="1" ht="30" customHeight="1">
      <c r="A148" s="1832"/>
      <c r="B148" s="1833"/>
      <c r="C148" s="1833"/>
      <c r="D148" s="1833"/>
      <c r="E148" s="1833"/>
      <c r="F148" s="1833"/>
      <c r="G148" s="1833"/>
      <c r="H148" s="1833"/>
      <c r="I148" s="1833"/>
      <c r="J148" s="1833"/>
      <c r="K148" s="1833"/>
      <c r="L148" s="1834"/>
      <c r="M148" s="285"/>
      <c r="N148" s="2488" t="s">
        <v>198</v>
      </c>
      <c r="O148" s="2489"/>
      <c r="P148" s="2489"/>
      <c r="Q148" s="2489"/>
      <c r="R148" s="2490"/>
      <c r="S148" s="57"/>
      <c r="T148" s="57"/>
      <c r="U148" s="57"/>
      <c r="V148" s="2488" t="s">
        <v>3542</v>
      </c>
      <c r="W148" s="2489"/>
      <c r="X148" s="2489"/>
      <c r="Y148" s="2489"/>
      <c r="Z148" s="2490"/>
      <c r="AA148" s="1103"/>
      <c r="AB148" s="2491" t="s">
        <v>3543</v>
      </c>
      <c r="AC148" s="2492"/>
      <c r="AD148" s="1396"/>
      <c r="AE148" s="1397"/>
      <c r="AF148" s="1397"/>
      <c r="AG148" s="1397"/>
      <c r="AH148" s="1397"/>
      <c r="AI148" s="1397"/>
      <c r="AJ148" s="1397"/>
      <c r="AK148" s="1397"/>
      <c r="AL148" s="1397"/>
      <c r="AM148" s="1398"/>
      <c r="AN148" s="245"/>
      <c r="AO148" s="245"/>
      <c r="AP148" s="245"/>
      <c r="AQ148" s="245"/>
      <c r="AR148" s="245"/>
      <c r="AS148" s="245"/>
      <c r="AT148" s="245"/>
      <c r="AU148" s="245"/>
      <c r="AV148" s="245"/>
      <c r="AW148" s="245"/>
      <c r="AX148" s="245"/>
    </row>
    <row r="149" spans="1:1027" s="243" customFormat="1" ht="34.5" customHeight="1">
      <c r="A149" s="1832"/>
      <c r="B149" s="1833"/>
      <c r="C149" s="1833"/>
      <c r="D149" s="1833"/>
      <c r="E149" s="1833"/>
      <c r="F149" s="1833"/>
      <c r="G149" s="1833"/>
      <c r="H149" s="1833"/>
      <c r="I149" s="1833"/>
      <c r="J149" s="1833"/>
      <c r="K149" s="1833"/>
      <c r="L149" s="1834"/>
      <c r="M149" s="285"/>
      <c r="N149" s="2488" t="s">
        <v>199</v>
      </c>
      <c r="O149" s="2489"/>
      <c r="P149" s="2489"/>
      <c r="Q149" s="2489"/>
      <c r="R149" s="2490"/>
      <c r="S149" s="57"/>
      <c r="T149" s="57"/>
      <c r="U149" s="57"/>
      <c r="V149" s="2488" t="s">
        <v>1487</v>
      </c>
      <c r="W149" s="2489"/>
      <c r="X149" s="2489"/>
      <c r="Y149" s="2489"/>
      <c r="Z149" s="2490"/>
      <c r="AA149" s="1103"/>
      <c r="AB149" s="2491" t="s">
        <v>1488</v>
      </c>
      <c r="AC149" s="2492"/>
      <c r="AD149" s="1396"/>
      <c r="AE149" s="1397"/>
      <c r="AF149" s="1397"/>
      <c r="AG149" s="1397"/>
      <c r="AH149" s="1397"/>
      <c r="AI149" s="1397"/>
      <c r="AJ149" s="1397"/>
      <c r="AK149" s="1397"/>
      <c r="AL149" s="1397"/>
      <c r="AM149" s="1398"/>
      <c r="AN149" s="245"/>
      <c r="AO149" s="245"/>
      <c r="AP149" s="245"/>
      <c r="AQ149" s="245"/>
      <c r="AR149" s="245"/>
      <c r="AS149" s="245"/>
      <c r="AT149" s="245"/>
      <c r="AU149" s="245"/>
      <c r="AV149" s="245"/>
      <c r="AW149" s="245"/>
      <c r="AX149" s="245"/>
    </row>
    <row r="150" spans="1:1027" s="243" customFormat="1" ht="30" customHeight="1">
      <c r="A150" s="1832"/>
      <c r="B150" s="1833"/>
      <c r="C150" s="1833"/>
      <c r="D150" s="1833"/>
      <c r="E150" s="1833"/>
      <c r="F150" s="1833"/>
      <c r="G150" s="1833"/>
      <c r="H150" s="1833"/>
      <c r="I150" s="1833"/>
      <c r="J150" s="1833"/>
      <c r="K150" s="1833"/>
      <c r="L150" s="1834"/>
      <c r="M150" s="285"/>
      <c r="N150" s="2488" t="s">
        <v>195</v>
      </c>
      <c r="O150" s="2489"/>
      <c r="P150" s="2489"/>
      <c r="Q150" s="2489"/>
      <c r="R150" s="2490"/>
      <c r="S150" s="57"/>
      <c r="T150" s="57"/>
      <c r="U150" s="57"/>
      <c r="V150" s="2488" t="s">
        <v>1479</v>
      </c>
      <c r="W150" s="2489"/>
      <c r="X150" s="2489"/>
      <c r="Y150" s="2489"/>
      <c r="Z150" s="2490"/>
      <c r="AA150" s="1103"/>
      <c r="AB150" s="2491" t="s">
        <v>1489</v>
      </c>
      <c r="AC150" s="2492"/>
      <c r="AD150" s="1396"/>
      <c r="AE150" s="1397"/>
      <c r="AF150" s="1397"/>
      <c r="AG150" s="1397"/>
      <c r="AH150" s="1397"/>
      <c r="AI150" s="1397"/>
      <c r="AJ150" s="1397"/>
      <c r="AK150" s="1397"/>
      <c r="AL150" s="1397"/>
      <c r="AM150" s="1398"/>
      <c r="AN150" s="245"/>
      <c r="AO150" s="245"/>
      <c r="AP150" s="245"/>
      <c r="AQ150" s="245"/>
      <c r="AR150" s="245"/>
      <c r="AS150" s="245"/>
      <c r="AT150" s="245"/>
      <c r="AU150" s="245"/>
      <c r="AV150" s="245"/>
      <c r="AW150" s="245"/>
      <c r="AX150" s="245"/>
    </row>
    <row r="151" spans="1:1027" s="243" customFormat="1" ht="30" customHeight="1">
      <c r="A151" s="1835"/>
      <c r="B151" s="1836"/>
      <c r="C151" s="1836"/>
      <c r="D151" s="1836"/>
      <c r="E151" s="1836"/>
      <c r="F151" s="1836"/>
      <c r="G151" s="1836"/>
      <c r="H151" s="1836"/>
      <c r="I151" s="1836"/>
      <c r="J151" s="1836"/>
      <c r="K151" s="1836"/>
      <c r="L151" s="1837"/>
      <c r="M151" s="285"/>
      <c r="N151" s="1396"/>
      <c r="O151" s="1397"/>
      <c r="P151" s="1397"/>
      <c r="Q151" s="1397"/>
      <c r="R151" s="1398"/>
      <c r="S151" s="286"/>
      <c r="T151" s="286"/>
      <c r="U151" s="286"/>
      <c r="V151" s="1396"/>
      <c r="W151" s="1397"/>
      <c r="X151" s="1397"/>
      <c r="Y151" s="1397"/>
      <c r="Z151" s="1398"/>
      <c r="AA151" s="1062"/>
      <c r="AB151" s="1396"/>
      <c r="AC151" s="1398"/>
      <c r="AD151" s="1396"/>
      <c r="AE151" s="1397"/>
      <c r="AF151" s="1397"/>
      <c r="AG151" s="1397"/>
      <c r="AH151" s="1397"/>
      <c r="AI151" s="1397"/>
      <c r="AJ151" s="1397"/>
      <c r="AK151" s="1397"/>
      <c r="AL151" s="1397"/>
      <c r="AM151" s="1398"/>
      <c r="AN151" s="245"/>
      <c r="AO151" s="245"/>
      <c r="AP151" s="245"/>
      <c r="AQ151" s="245"/>
      <c r="AR151" s="245"/>
      <c r="AS151" s="245"/>
      <c r="AT151" s="245"/>
      <c r="AU151" s="245"/>
      <c r="AV151" s="245"/>
      <c r="AW151" s="245"/>
      <c r="AX151" s="245"/>
    </row>
  </sheetData>
  <sheetProtection formatCells="0" formatColumns="0" formatRows="0" insertRows="0" deleteColumns="0" sort="0" autoFilter="0"/>
  <mergeCells count="753">
    <mergeCell ref="AA25:AA27"/>
    <mergeCell ref="AA22:AA24"/>
    <mergeCell ref="A146:L147"/>
    <mergeCell ref="N147:R147"/>
    <mergeCell ref="V147:Z147"/>
    <mergeCell ref="AB147:AC147"/>
    <mergeCell ref="AD147:AM147"/>
    <mergeCell ref="A148:L151"/>
    <mergeCell ref="N148:R148"/>
    <mergeCell ref="V148:Z148"/>
    <mergeCell ref="AB148:AC148"/>
    <mergeCell ref="AD148:AM148"/>
    <mergeCell ref="N151:R151"/>
    <mergeCell ref="V151:Z151"/>
    <mergeCell ref="AB151:AC151"/>
    <mergeCell ref="AD151:AM151"/>
    <mergeCell ref="N149:R149"/>
    <mergeCell ref="V149:Z149"/>
    <mergeCell ref="AB149:AC149"/>
    <mergeCell ref="AD149:AM149"/>
    <mergeCell ref="N150:R150"/>
    <mergeCell ref="V150:Z150"/>
    <mergeCell ref="AB150:AC150"/>
    <mergeCell ref="AD150:AM150"/>
    <mergeCell ref="C143:E143"/>
    <mergeCell ref="G143:I143"/>
    <mergeCell ref="J143:L143"/>
    <mergeCell ref="X143:Z143"/>
    <mergeCell ref="C144:E144"/>
    <mergeCell ref="G144:I144"/>
    <mergeCell ref="J144:L144"/>
    <mergeCell ref="X144:Z144"/>
    <mergeCell ref="C141:E141"/>
    <mergeCell ref="G141:I141"/>
    <mergeCell ref="J141:L141"/>
    <mergeCell ref="X141:Z141"/>
    <mergeCell ref="C142:E142"/>
    <mergeCell ref="G142:I142"/>
    <mergeCell ref="J142:L142"/>
    <mergeCell ref="X142:Z142"/>
    <mergeCell ref="C139:E139"/>
    <mergeCell ref="G139:I139"/>
    <mergeCell ref="J139:L139"/>
    <mergeCell ref="X139:Z139"/>
    <mergeCell ref="C140:E140"/>
    <mergeCell ref="G140:I140"/>
    <mergeCell ref="J140:L140"/>
    <mergeCell ref="X140:Z140"/>
    <mergeCell ref="C137:E137"/>
    <mergeCell ref="G137:I137"/>
    <mergeCell ref="J137:L137"/>
    <mergeCell ref="X137:Z137"/>
    <mergeCell ref="C138:E138"/>
    <mergeCell ref="G138:I138"/>
    <mergeCell ref="J138:L138"/>
    <mergeCell ref="X138:Z138"/>
    <mergeCell ref="C135:E135"/>
    <mergeCell ref="G135:I135"/>
    <mergeCell ref="J135:L135"/>
    <mergeCell ref="X135:Z135"/>
    <mergeCell ref="C136:E136"/>
    <mergeCell ref="G136:I136"/>
    <mergeCell ref="J136:L136"/>
    <mergeCell ref="X136:Z136"/>
    <mergeCell ref="C133:E133"/>
    <mergeCell ref="G133:I133"/>
    <mergeCell ref="J133:L133"/>
    <mergeCell ref="X133:Z133"/>
    <mergeCell ref="C134:E134"/>
    <mergeCell ref="G134:I134"/>
    <mergeCell ref="J134:L134"/>
    <mergeCell ref="X134:Z134"/>
    <mergeCell ref="C131:E131"/>
    <mergeCell ref="G131:I131"/>
    <mergeCell ref="J131:L131"/>
    <mergeCell ref="X131:Z131"/>
    <mergeCell ref="C132:E132"/>
    <mergeCell ref="G132:I132"/>
    <mergeCell ref="J132:L132"/>
    <mergeCell ref="X132:Z132"/>
    <mergeCell ref="C129:E129"/>
    <mergeCell ref="G129:I129"/>
    <mergeCell ref="J129:L129"/>
    <mergeCell ref="X129:Z129"/>
    <mergeCell ref="C130:E130"/>
    <mergeCell ref="G130:I130"/>
    <mergeCell ref="J130:L130"/>
    <mergeCell ref="X130:Z130"/>
    <mergeCell ref="C127:E127"/>
    <mergeCell ref="G127:I127"/>
    <mergeCell ref="J127:L127"/>
    <mergeCell ref="X127:Z127"/>
    <mergeCell ref="C128:E128"/>
    <mergeCell ref="G128:I128"/>
    <mergeCell ref="J128:L128"/>
    <mergeCell ref="X128:Z128"/>
    <mergeCell ref="C125:E125"/>
    <mergeCell ref="G125:I125"/>
    <mergeCell ref="J125:L125"/>
    <mergeCell ref="X125:Z125"/>
    <mergeCell ref="C126:E126"/>
    <mergeCell ref="G126:I126"/>
    <mergeCell ref="J126:L126"/>
    <mergeCell ref="X126:Z126"/>
    <mergeCell ref="C123:E123"/>
    <mergeCell ref="G123:I123"/>
    <mergeCell ref="J123:L123"/>
    <mergeCell ref="X123:Z123"/>
    <mergeCell ref="C124:E124"/>
    <mergeCell ref="G124:I124"/>
    <mergeCell ref="J124:L124"/>
    <mergeCell ref="X124:Z124"/>
    <mergeCell ref="C121:E121"/>
    <mergeCell ref="G121:I121"/>
    <mergeCell ref="J121:L121"/>
    <mergeCell ref="X121:Z121"/>
    <mergeCell ref="C122:E122"/>
    <mergeCell ref="G122:I122"/>
    <mergeCell ref="J122:L122"/>
    <mergeCell ref="X122:Z122"/>
    <mergeCell ref="C119:E119"/>
    <mergeCell ref="G119:I119"/>
    <mergeCell ref="J119:L119"/>
    <mergeCell ref="X119:Z119"/>
    <mergeCell ref="C120:E120"/>
    <mergeCell ref="G120:I120"/>
    <mergeCell ref="J120:L120"/>
    <mergeCell ref="X120:Z120"/>
    <mergeCell ref="C117:E117"/>
    <mergeCell ref="G117:I117"/>
    <mergeCell ref="J117:L117"/>
    <mergeCell ref="X117:Z117"/>
    <mergeCell ref="C118:E118"/>
    <mergeCell ref="G118:I118"/>
    <mergeCell ref="J118:L118"/>
    <mergeCell ref="X118:Z118"/>
    <mergeCell ref="C115:E115"/>
    <mergeCell ref="G115:I115"/>
    <mergeCell ref="J115:L115"/>
    <mergeCell ref="X115:Z115"/>
    <mergeCell ref="C116:E116"/>
    <mergeCell ref="G116:I116"/>
    <mergeCell ref="J116:L116"/>
    <mergeCell ref="X116:Z116"/>
    <mergeCell ref="C113:E113"/>
    <mergeCell ref="G113:I113"/>
    <mergeCell ref="J113:L113"/>
    <mergeCell ref="X113:Z113"/>
    <mergeCell ref="C114:E114"/>
    <mergeCell ref="G114:I114"/>
    <mergeCell ref="J114:L114"/>
    <mergeCell ref="X114:Z114"/>
    <mergeCell ref="C111:E111"/>
    <mergeCell ref="G111:I111"/>
    <mergeCell ref="J111:L111"/>
    <mergeCell ref="X111:Z111"/>
    <mergeCell ref="C112:E112"/>
    <mergeCell ref="G112:I112"/>
    <mergeCell ref="J112:L112"/>
    <mergeCell ref="X112:Z112"/>
    <mergeCell ref="C109:E109"/>
    <mergeCell ref="G109:I109"/>
    <mergeCell ref="J109:L109"/>
    <mergeCell ref="X109:Z109"/>
    <mergeCell ref="C110:E110"/>
    <mergeCell ref="G110:I110"/>
    <mergeCell ref="J110:L110"/>
    <mergeCell ref="X110:Z110"/>
    <mergeCell ref="C107:E107"/>
    <mergeCell ref="G107:I107"/>
    <mergeCell ref="J107:L107"/>
    <mergeCell ref="X107:Z107"/>
    <mergeCell ref="C108:E108"/>
    <mergeCell ref="G108:I108"/>
    <mergeCell ref="J108:L108"/>
    <mergeCell ref="X108:Z108"/>
    <mergeCell ref="C105:E105"/>
    <mergeCell ref="G105:I105"/>
    <mergeCell ref="J105:L105"/>
    <mergeCell ref="X105:Z105"/>
    <mergeCell ref="C106:E106"/>
    <mergeCell ref="G106:I106"/>
    <mergeCell ref="J106:L106"/>
    <mergeCell ref="X106:Z106"/>
    <mergeCell ref="C103:E103"/>
    <mergeCell ref="G103:I103"/>
    <mergeCell ref="J103:L103"/>
    <mergeCell ref="X103:Z103"/>
    <mergeCell ref="C104:E104"/>
    <mergeCell ref="G104:I104"/>
    <mergeCell ref="J104:L104"/>
    <mergeCell ref="X104:Z104"/>
    <mergeCell ref="C101:E101"/>
    <mergeCell ref="G101:I101"/>
    <mergeCell ref="J101:L101"/>
    <mergeCell ref="X101:Z101"/>
    <mergeCell ref="C102:E102"/>
    <mergeCell ref="G102:I102"/>
    <mergeCell ref="J102:L102"/>
    <mergeCell ref="X102:Z102"/>
    <mergeCell ref="C99:E99"/>
    <mergeCell ref="G99:I99"/>
    <mergeCell ref="J99:L99"/>
    <mergeCell ref="X99:Z99"/>
    <mergeCell ref="C100:E100"/>
    <mergeCell ref="G100:I100"/>
    <mergeCell ref="J100:L100"/>
    <mergeCell ref="X100:Z100"/>
    <mergeCell ref="C97:E97"/>
    <mergeCell ref="G97:I97"/>
    <mergeCell ref="J97:L97"/>
    <mergeCell ref="X97:Z97"/>
    <mergeCell ref="C98:E98"/>
    <mergeCell ref="G98:I98"/>
    <mergeCell ref="J98:L98"/>
    <mergeCell ref="X98:Z98"/>
    <mergeCell ref="C95:E95"/>
    <mergeCell ref="G95:I95"/>
    <mergeCell ref="J95:L95"/>
    <mergeCell ref="X95:Z95"/>
    <mergeCell ref="C96:E96"/>
    <mergeCell ref="G96:I96"/>
    <mergeCell ref="J96:L96"/>
    <mergeCell ref="X96:Z96"/>
    <mergeCell ref="C93:E93"/>
    <mergeCell ref="G93:I93"/>
    <mergeCell ref="J93:L93"/>
    <mergeCell ref="X93:Z93"/>
    <mergeCell ref="C94:E94"/>
    <mergeCell ref="G94:I94"/>
    <mergeCell ref="J94:L94"/>
    <mergeCell ref="X94:Z94"/>
    <mergeCell ref="C91:E91"/>
    <mergeCell ref="G91:I91"/>
    <mergeCell ref="J91:L91"/>
    <mergeCell ref="X91:Z91"/>
    <mergeCell ref="C92:E92"/>
    <mergeCell ref="G92:I92"/>
    <mergeCell ref="J92:L92"/>
    <mergeCell ref="X92:Z92"/>
    <mergeCell ref="C89:E89"/>
    <mergeCell ref="G89:I89"/>
    <mergeCell ref="J89:L89"/>
    <mergeCell ref="X89:Z89"/>
    <mergeCell ref="C90:E90"/>
    <mergeCell ref="G90:I90"/>
    <mergeCell ref="J90:L90"/>
    <mergeCell ref="X90:Z90"/>
    <mergeCell ref="C87:E87"/>
    <mergeCell ref="G87:I87"/>
    <mergeCell ref="J87:L87"/>
    <mergeCell ref="X87:Z87"/>
    <mergeCell ref="C88:E88"/>
    <mergeCell ref="G88:I88"/>
    <mergeCell ref="J88:L88"/>
    <mergeCell ref="X88:Z88"/>
    <mergeCell ref="C85:E85"/>
    <mergeCell ref="G85:I85"/>
    <mergeCell ref="J85:L85"/>
    <mergeCell ref="X85:Z85"/>
    <mergeCell ref="C86:E86"/>
    <mergeCell ref="G86:I86"/>
    <mergeCell ref="J86:L86"/>
    <mergeCell ref="X86:Z86"/>
    <mergeCell ref="C83:E83"/>
    <mergeCell ref="G83:I83"/>
    <mergeCell ref="J83:L83"/>
    <mergeCell ref="X83:Z83"/>
    <mergeCell ref="C84:E84"/>
    <mergeCell ref="G84:I84"/>
    <mergeCell ref="J84:L84"/>
    <mergeCell ref="X84:Z84"/>
    <mergeCell ref="C81:E81"/>
    <mergeCell ref="G81:I81"/>
    <mergeCell ref="J81:L81"/>
    <mergeCell ref="X81:Z81"/>
    <mergeCell ref="C82:E82"/>
    <mergeCell ref="G82:I82"/>
    <mergeCell ref="J82:L82"/>
    <mergeCell ref="X82:Z82"/>
    <mergeCell ref="C79:E79"/>
    <mergeCell ref="G79:I79"/>
    <mergeCell ref="J79:L79"/>
    <mergeCell ref="X79:Z79"/>
    <mergeCell ref="C80:E80"/>
    <mergeCell ref="G80:I80"/>
    <mergeCell ref="J80:L80"/>
    <mergeCell ref="X80:Z80"/>
    <mergeCell ref="C77:E77"/>
    <mergeCell ref="G77:I77"/>
    <mergeCell ref="J77:L77"/>
    <mergeCell ref="X77:Z77"/>
    <mergeCell ref="C78:E78"/>
    <mergeCell ref="G78:I78"/>
    <mergeCell ref="J78:L78"/>
    <mergeCell ref="X78:Z78"/>
    <mergeCell ref="C75:E75"/>
    <mergeCell ref="G75:I75"/>
    <mergeCell ref="J75:L75"/>
    <mergeCell ref="X75:Z75"/>
    <mergeCell ref="C76:E76"/>
    <mergeCell ref="G76:I76"/>
    <mergeCell ref="J76:L76"/>
    <mergeCell ref="X76:Z76"/>
    <mergeCell ref="C73:E73"/>
    <mergeCell ref="G73:I73"/>
    <mergeCell ref="J73:L73"/>
    <mergeCell ref="X73:Z73"/>
    <mergeCell ref="C74:E74"/>
    <mergeCell ref="G74:I74"/>
    <mergeCell ref="J74:L74"/>
    <mergeCell ref="X74:Z74"/>
    <mergeCell ref="C71:E71"/>
    <mergeCell ref="G71:I71"/>
    <mergeCell ref="J71:L71"/>
    <mergeCell ref="X71:Z71"/>
    <mergeCell ref="C72:E72"/>
    <mergeCell ref="G72:I72"/>
    <mergeCell ref="J72:L72"/>
    <mergeCell ref="X72:Z72"/>
    <mergeCell ref="C69:E69"/>
    <mergeCell ref="G69:I69"/>
    <mergeCell ref="J69:L69"/>
    <mergeCell ref="X69:Z69"/>
    <mergeCell ref="C70:E70"/>
    <mergeCell ref="G70:I70"/>
    <mergeCell ref="J70:L70"/>
    <mergeCell ref="X70:Z70"/>
    <mergeCell ref="C67:E67"/>
    <mergeCell ref="G67:I67"/>
    <mergeCell ref="J67:L67"/>
    <mergeCell ref="X67:Z67"/>
    <mergeCell ref="C68:E68"/>
    <mergeCell ref="G68:I68"/>
    <mergeCell ref="J68:L68"/>
    <mergeCell ref="X68:Z68"/>
    <mergeCell ref="C65:E65"/>
    <mergeCell ref="G65:I65"/>
    <mergeCell ref="J65:L65"/>
    <mergeCell ref="X65:Z65"/>
    <mergeCell ref="C66:E66"/>
    <mergeCell ref="G66:I66"/>
    <mergeCell ref="J66:L66"/>
    <mergeCell ref="X66:Z66"/>
    <mergeCell ref="C63:E63"/>
    <mergeCell ref="G63:I63"/>
    <mergeCell ref="J63:L63"/>
    <mergeCell ref="X63:Z63"/>
    <mergeCell ref="C64:E64"/>
    <mergeCell ref="G64:I64"/>
    <mergeCell ref="J64:L64"/>
    <mergeCell ref="X64:Z64"/>
    <mergeCell ref="C61:E61"/>
    <mergeCell ref="G61:I61"/>
    <mergeCell ref="J61:L61"/>
    <mergeCell ref="X61:Z61"/>
    <mergeCell ref="C62:E62"/>
    <mergeCell ref="G62:I62"/>
    <mergeCell ref="J62:L62"/>
    <mergeCell ref="X62:Z62"/>
    <mergeCell ref="C59:E59"/>
    <mergeCell ref="G59:I59"/>
    <mergeCell ref="J59:L59"/>
    <mergeCell ref="X59:Z59"/>
    <mergeCell ref="C60:E60"/>
    <mergeCell ref="G60:I60"/>
    <mergeCell ref="J60:L60"/>
    <mergeCell ref="X60:Z60"/>
    <mergeCell ref="C57:E57"/>
    <mergeCell ref="G57:I57"/>
    <mergeCell ref="J57:L57"/>
    <mergeCell ref="X57:Z57"/>
    <mergeCell ref="C58:E58"/>
    <mergeCell ref="G58:I58"/>
    <mergeCell ref="J58:L58"/>
    <mergeCell ref="X58:Z58"/>
    <mergeCell ref="C55:E55"/>
    <mergeCell ref="G55:I55"/>
    <mergeCell ref="J55:L55"/>
    <mergeCell ref="X55:Z55"/>
    <mergeCell ref="C56:E56"/>
    <mergeCell ref="G56:I56"/>
    <mergeCell ref="J56:L56"/>
    <mergeCell ref="X56:Z56"/>
    <mergeCell ref="C53:E53"/>
    <mergeCell ref="G53:I53"/>
    <mergeCell ref="J53:L53"/>
    <mergeCell ref="X53:Z53"/>
    <mergeCell ref="C54:E54"/>
    <mergeCell ref="G54:I54"/>
    <mergeCell ref="J54:L54"/>
    <mergeCell ref="X54:Z54"/>
    <mergeCell ref="C51:E51"/>
    <mergeCell ref="G51:I51"/>
    <mergeCell ref="J51:L51"/>
    <mergeCell ref="X51:Z51"/>
    <mergeCell ref="C52:E52"/>
    <mergeCell ref="G52:I52"/>
    <mergeCell ref="J52:L52"/>
    <mergeCell ref="X52:Z52"/>
    <mergeCell ref="C49:E49"/>
    <mergeCell ref="G49:I49"/>
    <mergeCell ref="J49:L49"/>
    <mergeCell ref="X49:Z49"/>
    <mergeCell ref="C50:E50"/>
    <mergeCell ref="G50:I50"/>
    <mergeCell ref="J50:L50"/>
    <mergeCell ref="X50:Z50"/>
    <mergeCell ref="C47:E47"/>
    <mergeCell ref="G47:I47"/>
    <mergeCell ref="J47:L47"/>
    <mergeCell ref="X47:Z47"/>
    <mergeCell ref="C48:E48"/>
    <mergeCell ref="G48:I48"/>
    <mergeCell ref="J48:L48"/>
    <mergeCell ref="X48:Z48"/>
    <mergeCell ref="C45:E45"/>
    <mergeCell ref="G45:I45"/>
    <mergeCell ref="J45:L45"/>
    <mergeCell ref="X45:Z45"/>
    <mergeCell ref="C46:E46"/>
    <mergeCell ref="G46:I46"/>
    <mergeCell ref="J46:L46"/>
    <mergeCell ref="X46:Z46"/>
    <mergeCell ref="C43:E43"/>
    <mergeCell ref="G43:I43"/>
    <mergeCell ref="J43:L43"/>
    <mergeCell ref="X43:Z43"/>
    <mergeCell ref="C44:E44"/>
    <mergeCell ref="G44:I44"/>
    <mergeCell ref="J44:L44"/>
    <mergeCell ref="X44:Z44"/>
    <mergeCell ref="C41:E41"/>
    <mergeCell ref="G41:I41"/>
    <mergeCell ref="J41:L41"/>
    <mergeCell ref="X41:Z41"/>
    <mergeCell ref="C42:E42"/>
    <mergeCell ref="G42:I42"/>
    <mergeCell ref="J42:L42"/>
    <mergeCell ref="X42:Z42"/>
    <mergeCell ref="C39:E39"/>
    <mergeCell ref="G39:I39"/>
    <mergeCell ref="J39:L39"/>
    <mergeCell ref="X39:Z39"/>
    <mergeCell ref="C40:E40"/>
    <mergeCell ref="G40:I40"/>
    <mergeCell ref="J40:L40"/>
    <mergeCell ref="X40:Z40"/>
    <mergeCell ref="C37:E37"/>
    <mergeCell ref="G37:I37"/>
    <mergeCell ref="J37:L37"/>
    <mergeCell ref="X37:Z37"/>
    <mergeCell ref="C38:E38"/>
    <mergeCell ref="G38:I38"/>
    <mergeCell ref="J38:L38"/>
    <mergeCell ref="X38:Z38"/>
    <mergeCell ref="C35:E35"/>
    <mergeCell ref="G35:I35"/>
    <mergeCell ref="J35:L35"/>
    <mergeCell ref="X35:Z35"/>
    <mergeCell ref="C36:E36"/>
    <mergeCell ref="G36:I36"/>
    <mergeCell ref="J36:L36"/>
    <mergeCell ref="X36:Z36"/>
    <mergeCell ref="C33:E33"/>
    <mergeCell ref="G33:I33"/>
    <mergeCell ref="J33:L33"/>
    <mergeCell ref="X33:Z33"/>
    <mergeCell ref="C34:E34"/>
    <mergeCell ref="G34:I34"/>
    <mergeCell ref="J34:L34"/>
    <mergeCell ref="X34:Z34"/>
    <mergeCell ref="C31:E31"/>
    <mergeCell ref="G31:I31"/>
    <mergeCell ref="J31:L31"/>
    <mergeCell ref="X31:Z31"/>
    <mergeCell ref="C32:E32"/>
    <mergeCell ref="G32:I32"/>
    <mergeCell ref="J32:L32"/>
    <mergeCell ref="X32:Z32"/>
    <mergeCell ref="C29:E29"/>
    <mergeCell ref="G29:I29"/>
    <mergeCell ref="J29:L29"/>
    <mergeCell ref="X29:Z29"/>
    <mergeCell ref="C30:E30"/>
    <mergeCell ref="G30:I30"/>
    <mergeCell ref="J30:L30"/>
    <mergeCell ref="X30:Z30"/>
    <mergeCell ref="AW25:AW27"/>
    <mergeCell ref="AX25:AX27"/>
    <mergeCell ref="C28:E28"/>
    <mergeCell ref="G28:I28"/>
    <mergeCell ref="J28:L28"/>
    <mergeCell ref="X28:Z28"/>
    <mergeCell ref="AQ25:AQ27"/>
    <mergeCell ref="AR25:AR27"/>
    <mergeCell ref="AS25:AS27"/>
    <mergeCell ref="AT25:AT27"/>
    <mergeCell ref="AU25:AU27"/>
    <mergeCell ref="AV25:AV27"/>
    <mergeCell ref="AI25:AI27"/>
    <mergeCell ref="AK25:AK27"/>
    <mergeCell ref="AM25:AM27"/>
    <mergeCell ref="AN25:AN27"/>
    <mergeCell ref="AO25:AO27"/>
    <mergeCell ref="AP25:AP27"/>
    <mergeCell ref="V25:V27"/>
    <mergeCell ref="X25:Z27"/>
    <mergeCell ref="AB25:AB27"/>
    <mergeCell ref="AC25:AC27"/>
    <mergeCell ref="AD25:AD27"/>
    <mergeCell ref="AE25:AE27"/>
    <mergeCell ref="M25:M27"/>
    <mergeCell ref="N25:N27"/>
    <mergeCell ref="O25:O27"/>
    <mergeCell ref="P25:P27"/>
    <mergeCell ref="Q25:Q27"/>
    <mergeCell ref="R25:R27"/>
    <mergeCell ref="A25:A27"/>
    <mergeCell ref="B25:B27"/>
    <mergeCell ref="C25:E27"/>
    <mergeCell ref="F25:F28"/>
    <mergeCell ref="G25:I27"/>
    <mergeCell ref="J25:L27"/>
    <mergeCell ref="AS22:AS24"/>
    <mergeCell ref="AT22:AT24"/>
    <mergeCell ref="AU22:AU24"/>
    <mergeCell ref="AV22:AV24"/>
    <mergeCell ref="AW22:AW24"/>
    <mergeCell ref="AX22:AX24"/>
    <mergeCell ref="AM22:AM24"/>
    <mergeCell ref="AN22:AN24"/>
    <mergeCell ref="AO22:AO24"/>
    <mergeCell ref="AP22:AP24"/>
    <mergeCell ref="AQ22:AQ24"/>
    <mergeCell ref="AR22:AR24"/>
    <mergeCell ref="AB22:AB24"/>
    <mergeCell ref="AC22:AC24"/>
    <mergeCell ref="AD22:AD24"/>
    <mergeCell ref="AE22:AE24"/>
    <mergeCell ref="AI22:AI24"/>
    <mergeCell ref="AK22:AK24"/>
    <mergeCell ref="O22:O24"/>
    <mergeCell ref="P22:P24"/>
    <mergeCell ref="Q22:Q24"/>
    <mergeCell ref="R22:R24"/>
    <mergeCell ref="V22:V24"/>
    <mergeCell ref="X22:Z24"/>
    <mergeCell ref="AW20:AW21"/>
    <mergeCell ref="AX20:AX21"/>
    <mergeCell ref="A22:A24"/>
    <mergeCell ref="B22:B24"/>
    <mergeCell ref="C22:E24"/>
    <mergeCell ref="F22:F24"/>
    <mergeCell ref="G22:I24"/>
    <mergeCell ref="J22:L24"/>
    <mergeCell ref="M22:M24"/>
    <mergeCell ref="N22:N24"/>
    <mergeCell ref="AQ20:AQ21"/>
    <mergeCell ref="AR20:AR21"/>
    <mergeCell ref="AS20:AS21"/>
    <mergeCell ref="AT20:AT21"/>
    <mergeCell ref="AU20:AU21"/>
    <mergeCell ref="AV20:AV21"/>
    <mergeCell ref="AI20:AI21"/>
    <mergeCell ref="AK20:AK21"/>
    <mergeCell ref="AM20:AM21"/>
    <mergeCell ref="AN20:AN21"/>
    <mergeCell ref="AO20:AO21"/>
    <mergeCell ref="AP20:AP21"/>
    <mergeCell ref="V20:V21"/>
    <mergeCell ref="X20:Z21"/>
    <mergeCell ref="AB20:AB21"/>
    <mergeCell ref="AC20:AC21"/>
    <mergeCell ref="AD20:AD21"/>
    <mergeCell ref="AE20:AE21"/>
    <mergeCell ref="M20:M21"/>
    <mergeCell ref="N20:N21"/>
    <mergeCell ref="O20:O21"/>
    <mergeCell ref="P20:P21"/>
    <mergeCell ref="Q20:Q21"/>
    <mergeCell ref="R20:R21"/>
    <mergeCell ref="AA20:AA21"/>
    <mergeCell ref="A20:A21"/>
    <mergeCell ref="B20:B21"/>
    <mergeCell ref="C20:E21"/>
    <mergeCell ref="F20:F21"/>
    <mergeCell ref="G20:I21"/>
    <mergeCell ref="J20:L21"/>
    <mergeCell ref="G16:I17"/>
    <mergeCell ref="G18:I18"/>
    <mergeCell ref="C19:E19"/>
    <mergeCell ref="G19:I19"/>
    <mergeCell ref="J19:L19"/>
    <mergeCell ref="X19:Z19"/>
    <mergeCell ref="AS15:AS18"/>
    <mergeCell ref="AT15:AT18"/>
    <mergeCell ref="AU15:AU18"/>
    <mergeCell ref="AV15:AV18"/>
    <mergeCell ref="AW15:AW18"/>
    <mergeCell ref="AX15:AX18"/>
    <mergeCell ref="AM15:AM18"/>
    <mergeCell ref="AN15:AN18"/>
    <mergeCell ref="AO15:AO18"/>
    <mergeCell ref="AP15:AP18"/>
    <mergeCell ref="AQ15:AQ18"/>
    <mergeCell ref="AR15:AR18"/>
    <mergeCell ref="AB15:AB18"/>
    <mergeCell ref="AC15:AC18"/>
    <mergeCell ref="AD15:AD18"/>
    <mergeCell ref="AE15:AE18"/>
    <mergeCell ref="AI15:AI18"/>
    <mergeCell ref="AK15:AK18"/>
    <mergeCell ref="AA15:AA18"/>
    <mergeCell ref="O15:O18"/>
    <mergeCell ref="P15:P18"/>
    <mergeCell ref="Q15:Q18"/>
    <mergeCell ref="R15:R18"/>
    <mergeCell ref="V15:V18"/>
    <mergeCell ref="X15:Z18"/>
    <mergeCell ref="AW13:AW14"/>
    <mergeCell ref="AX13:AX14"/>
    <mergeCell ref="A15:A18"/>
    <mergeCell ref="B15:B18"/>
    <mergeCell ref="C15:E18"/>
    <mergeCell ref="F15:F18"/>
    <mergeCell ref="G15:I15"/>
    <mergeCell ref="J15:L18"/>
    <mergeCell ref="M15:M18"/>
    <mergeCell ref="N15:N18"/>
    <mergeCell ref="AQ13:AQ14"/>
    <mergeCell ref="AR13:AR14"/>
    <mergeCell ref="AS13:AS14"/>
    <mergeCell ref="AT13:AT14"/>
    <mergeCell ref="AU13:AU14"/>
    <mergeCell ref="AV13:AV14"/>
    <mergeCell ref="AI13:AI14"/>
    <mergeCell ref="AK13:AK14"/>
    <mergeCell ref="AM13:AM14"/>
    <mergeCell ref="AN13:AN14"/>
    <mergeCell ref="AO13:AO14"/>
    <mergeCell ref="AP13:AP14"/>
    <mergeCell ref="V13:V14"/>
    <mergeCell ref="X13:Z14"/>
    <mergeCell ref="AB13:AB14"/>
    <mergeCell ref="AC13:AC14"/>
    <mergeCell ref="AD13:AD14"/>
    <mergeCell ref="AE13:AE14"/>
    <mergeCell ref="AA13:AA14"/>
    <mergeCell ref="M13:M14"/>
    <mergeCell ref="N13:N14"/>
    <mergeCell ref="O13:O14"/>
    <mergeCell ref="P13:P14"/>
    <mergeCell ref="Q13:Q14"/>
    <mergeCell ref="R13:R14"/>
    <mergeCell ref="A13:A14"/>
    <mergeCell ref="B13:B14"/>
    <mergeCell ref="C13:E14"/>
    <mergeCell ref="F13:F14"/>
    <mergeCell ref="G13:I14"/>
    <mergeCell ref="J13:L14"/>
    <mergeCell ref="AX9:AX12"/>
    <mergeCell ref="G10:I10"/>
    <mergeCell ref="X10:Z10"/>
    <mergeCell ref="G11:I11"/>
    <mergeCell ref="X11:Z11"/>
    <mergeCell ref="G12:I12"/>
    <mergeCell ref="X12:Z12"/>
    <mergeCell ref="AR9:AR12"/>
    <mergeCell ref="AS9:AS12"/>
    <mergeCell ref="AT9:AT12"/>
    <mergeCell ref="AU9:AU12"/>
    <mergeCell ref="AV9:AV12"/>
    <mergeCell ref="AW9:AW12"/>
    <mergeCell ref="AK9:AK12"/>
    <mergeCell ref="AM9:AM12"/>
    <mergeCell ref="AN9:AN12"/>
    <mergeCell ref="AO9:AO12"/>
    <mergeCell ref="AP9:AP12"/>
    <mergeCell ref="AQ9:AQ12"/>
    <mergeCell ref="V9:V12"/>
    <mergeCell ref="X9:Z9"/>
    <mergeCell ref="AB9:AB12"/>
    <mergeCell ref="AD9:AD12"/>
    <mergeCell ref="AE9:AE12"/>
    <mergeCell ref="A9:A12"/>
    <mergeCell ref="B9:B12"/>
    <mergeCell ref="C9:E12"/>
    <mergeCell ref="F9:F12"/>
    <mergeCell ref="G9:I9"/>
    <mergeCell ref="J9:L12"/>
    <mergeCell ref="AO7:AO8"/>
    <mergeCell ref="AP7:AP8"/>
    <mergeCell ref="AQ7:AQ8"/>
    <mergeCell ref="AB7:AB8"/>
    <mergeCell ref="AC7:AC8"/>
    <mergeCell ref="AD7:AD8"/>
    <mergeCell ref="AE7:AE8"/>
    <mergeCell ref="AI7:AM7"/>
    <mergeCell ref="AN7:AN8"/>
    <mergeCell ref="AI9:AI12"/>
    <mergeCell ref="M9:M12"/>
    <mergeCell ref="N9:N12"/>
    <mergeCell ref="O9:O12"/>
    <mergeCell ref="P9:P12"/>
    <mergeCell ref="Q9:Q12"/>
    <mergeCell ref="R9:R12"/>
    <mergeCell ref="AA7:AA8"/>
    <mergeCell ref="AA9:AA12"/>
    <mergeCell ref="AT6:AX6"/>
    <mergeCell ref="A7:A8"/>
    <mergeCell ref="B7:B8"/>
    <mergeCell ref="C7:E8"/>
    <mergeCell ref="F7:F8"/>
    <mergeCell ref="G7:I8"/>
    <mergeCell ref="J7:L8"/>
    <mergeCell ref="M7:P7"/>
    <mergeCell ref="Q7:V7"/>
    <mergeCell ref="X7:Z8"/>
    <mergeCell ref="AW7:AW8"/>
    <mergeCell ref="AX7:AX8"/>
    <mergeCell ref="AR7:AR8"/>
    <mergeCell ref="AS7:AS8"/>
    <mergeCell ref="AT7:AT8"/>
    <mergeCell ref="AU7:AU8"/>
    <mergeCell ref="AV7:AV8"/>
    <mergeCell ref="A6:P6"/>
    <mergeCell ref="Q6:V6"/>
    <mergeCell ref="X6:AM6"/>
    <mergeCell ref="AW1:AX4"/>
    <mergeCell ref="G2:V2"/>
    <mergeCell ref="AP2:AQ2"/>
    <mergeCell ref="AR2:AS2"/>
    <mergeCell ref="A3:A4"/>
    <mergeCell ref="G3:H3"/>
    <mergeCell ref="I3:N3"/>
    <mergeCell ref="O3:V3"/>
    <mergeCell ref="Z3:AB4"/>
    <mergeCell ref="AC3:AC4"/>
    <mergeCell ref="G1:V1"/>
    <mergeCell ref="X1:Y4"/>
    <mergeCell ref="Z1:AB2"/>
    <mergeCell ref="AC1:AC2"/>
    <mergeCell ref="AD1:AN2"/>
    <mergeCell ref="AP1:AS1"/>
    <mergeCell ref="AD3:AN4"/>
    <mergeCell ref="AP3:AQ3"/>
    <mergeCell ref="AR3:AS3"/>
    <mergeCell ref="G4:H4"/>
    <mergeCell ref="I4:N4"/>
    <mergeCell ref="O4:V4"/>
    <mergeCell ref="AP4:AQ4"/>
    <mergeCell ref="AR4:AS4"/>
  </mergeCells>
  <dataValidations count="6">
    <dataValidation type="list" allowBlank="1" showInputMessage="1" showErrorMessage="1" sqref="Q29:Q144 Q9 Q13 Q15 Q19:Q20 Q25 Q22 WMD9:WMD144 JN9:JN144 TJ9:TJ144 ADF9:ADF144 ANB9:ANB144 AWX9:AWX144 BGT9:BGT144 BQP9:BQP144 CAL9:CAL144 CKH9:CKH144 CUD9:CUD144 DDZ9:DDZ144 DNV9:DNV144 DXR9:DXR144 EHN9:EHN144 ERJ9:ERJ144 FBF9:FBF144 FLB9:FLB144 FUX9:FUX144 GET9:GET144 GOP9:GOP144 GYL9:GYL144 HIH9:HIH144 HSD9:HSD144 IBZ9:IBZ144 ILV9:ILV144 IVR9:IVR144 JFN9:JFN144 JPJ9:JPJ144 JZF9:JZF144 KJB9:KJB144 KSX9:KSX144 LCT9:LCT144 LMP9:LMP144 LWL9:LWL144 MGH9:MGH144 MQD9:MQD144 MZZ9:MZZ144 NJV9:NJV144 NTR9:NTR144 ODN9:ODN144 ONJ9:ONJ144 OXF9:OXF144 PHB9:PHB144 PQX9:PQX144 QAT9:QAT144 QKP9:QKP144 QUL9:QUL144 REH9:REH144 ROD9:ROD144 RXZ9:RXZ144 SHV9:SHV144 SRR9:SRR144 TBN9:TBN144 TLJ9:TLJ144 TVF9:TVF144 UFB9:UFB144 UOX9:UOX144 UYT9:UYT144 VIP9:VIP144 VSL9:VSL144 WCH9:WCH144 WVZ9:WVZ144">
      <formula1>PROBAB</formula1>
    </dataValidation>
    <dataValidation type="list" allowBlank="1" showInputMessage="1" showErrorMessage="1" sqref="R29:R144 R9 R13 R15 R19:R20 R25 R22 WME9:WME144 JO9:JO144 TK9:TK144 ADG9:ADG144 ANC9:ANC144 AWY9:AWY144 BGU9:BGU144 BQQ9:BQQ144 CAM9:CAM144 CKI9:CKI144 CUE9:CUE144 DEA9:DEA144 DNW9:DNW144 DXS9:DXS144 EHO9:EHO144 ERK9:ERK144 FBG9:FBG144 FLC9:FLC144 FUY9:FUY144 GEU9:GEU144 GOQ9:GOQ144 GYM9:GYM144 HII9:HII144 HSE9:HSE144 ICA9:ICA144 ILW9:ILW144 IVS9:IVS144 JFO9:JFO144 JPK9:JPK144 JZG9:JZG144 KJC9:KJC144 KSY9:KSY144 LCU9:LCU144 LMQ9:LMQ144 LWM9:LWM144 MGI9:MGI144 MQE9:MQE144 NAA9:NAA144 NJW9:NJW144 NTS9:NTS144 ODO9:ODO144 ONK9:ONK144 OXG9:OXG144 PHC9:PHC144 PQY9:PQY144 QAU9:QAU144 QKQ9:QKQ144 QUM9:QUM144 REI9:REI144 ROE9:ROE144 RYA9:RYA144 SHW9:SHW144 SRS9:SRS144 TBO9:TBO144 TLK9:TLK144 TVG9:TVG144 UFC9:UFC144 UOY9:UOY144 UYU9:UYU144 VIQ9:VIQ144 VSM9:VSM144 WCI9:WCI144 WWA9:WWA144">
      <formula1>IMPACTO</formula1>
    </dataValidation>
    <dataValidation type="list" showInputMessage="1" showErrorMessage="1" errorTitle="Rechazado" error="Solo son validadas las opciones de la lista" sqref="AE29:AE144 AE9 AE13 AE15 AE19:AE20 AE25 AE22 WWM9:WWM144 WMQ9:WMQ144 KA9:KA144 TW9:TW144 ADS9:ADS144 ANO9:ANO144 AXK9:AXK144 BHG9:BHG144 BRC9:BRC144 CAY9:CAY144 CKU9:CKU144 CUQ9:CUQ144 DEM9:DEM144 DOI9:DOI144 DYE9:DYE144 EIA9:EIA144 ERW9:ERW144 FBS9:FBS144 FLO9:FLO144 FVK9:FVK144 GFG9:GFG144 GPC9:GPC144 GYY9:GYY144 HIU9:HIU144 HSQ9:HSQ144 ICM9:ICM144 IMI9:IMI144 IWE9:IWE144 JGA9:JGA144 JPW9:JPW144 JZS9:JZS144 KJO9:KJO144 KTK9:KTK144 LDG9:LDG144 LNC9:LNC144 LWY9:LWY144 MGU9:MGU144 MQQ9:MQQ144 NAM9:NAM144 NKI9:NKI144 NUE9:NUE144 OEA9:OEA144 ONW9:ONW144 OXS9:OXS144 PHO9:PHO144 PRK9:PRK144 QBG9:QBG144 QLC9:QLC144 QUY9:QUY144 REU9:REU144 ROQ9:ROQ144 RYM9:RYM144 SII9:SII144 SSE9:SSE144 TCA9:TCA144 TLW9:TLW144 TVS9:TVS144 UFO9:UFO144 UPK9:UPK144 UZG9:UZG144 VJC9:VJC144 VSY9:VSY144 WCU9:WCU144">
      <formula1>Efecto</formula1>
    </dataValidation>
    <dataValidation showInputMessage="1" showErrorMessage="1" sqref="AG29:AK144 AI9 AK9 AI13 AK13 AI15 AK15 AI19:AI20 AK19:AK20 AI25 AK25 AI22 AK22 AJ9:AJ28 AG9:AH28 WMS9:WMW144 KC9:KG144 TY9:UC144 ADU9:ADY144 ANQ9:ANU144 AXM9:AXQ144 BHI9:BHM144 BRE9:BRI144 CBA9:CBE144 CKW9:CLA144 CUS9:CUW144 DEO9:DES144 DOK9:DOO144 DYG9:DYK144 EIC9:EIG144 ERY9:ESC144 FBU9:FBY144 FLQ9:FLU144 FVM9:FVQ144 GFI9:GFM144 GPE9:GPI144 GZA9:GZE144 HIW9:HJA144 HSS9:HSW144 ICO9:ICS144 IMK9:IMO144 IWG9:IWK144 JGC9:JGG144 JPY9:JQC144 JZU9:JZY144 KJQ9:KJU144 KTM9:KTQ144 LDI9:LDM144 LNE9:LNI144 LXA9:LXE144 MGW9:MHA144 MQS9:MQW144 NAO9:NAS144 NKK9:NKO144 NUG9:NUK144 OEC9:OEG144 ONY9:OOC144 OXU9:OXY144 PHQ9:PHU144 PRM9:PRQ144 QBI9:QBM144 QLE9:QLI144 QVA9:QVE144 REW9:RFA144 ROS9:ROW144 RYO9:RYS144 SIK9:SIO144 SSG9:SSK144 TCC9:TCG144 TLY9:TMC144 TVU9:TVY144 UFQ9:UFU144 UPM9:UPQ144 UZI9:UZM144 VJE9:VJI144 VTA9:VTE144 WCW9:WDA144 WWO9:WWS144"/>
    <dataValidation type="whole" allowBlank="1" showInputMessage="1" showErrorMessage="1" sqref="AD29:AD144 AD9 AD13 AD15 AD19:AD20 AD25 AD22 WWL9:WWL144 WMP9:WMP144 JZ9:JZ144 TV9:TV144 ADR9:ADR144 ANN9:ANN144 AXJ9:AXJ144 BHF9:BHF144 BRB9:BRB144 CAX9:CAX144 CKT9:CKT144 CUP9:CUP144 DEL9:DEL144 DOH9:DOH144 DYD9:DYD144 EHZ9:EHZ144 ERV9:ERV144 FBR9:FBR144 FLN9:FLN144 FVJ9:FVJ144 GFF9:GFF144 GPB9:GPB144 GYX9:GYX144 HIT9:HIT144 HSP9:HSP144 ICL9:ICL144 IMH9:IMH144 IWD9:IWD144 JFZ9:JFZ144 JPV9:JPV144 JZR9:JZR144 KJN9:KJN144 KTJ9:KTJ144 LDF9:LDF144 LNB9:LNB144 LWX9:LWX144 MGT9:MGT144 MQP9:MQP144 NAL9:NAL144 NKH9:NKH144 NUD9:NUD144 ODZ9:ODZ144 ONV9:ONV144 OXR9:OXR144 PHN9:PHN144 PRJ9:PRJ144 QBF9:QBF144 QLB9:QLB144 QUX9:QUX144 RET9:RET144 ROP9:ROP144 RYL9:RYL144 SIH9:SIH144 SSD9:SSD144 TBZ9:TBZ144 TLV9:TLV144 TVR9:TVR144 UFN9:UFN144 UPJ9:UPJ144 UZF9:UZF144 VJB9:VJB144 VSX9:VSX144 WCT9:WCT144">
      <formula1>0</formula1>
      <formula2>100</formula2>
    </dataValidation>
    <dataValidation type="list" allowBlank="1" showInputMessage="1" showErrorMessage="1" sqref="AS9 AS13 AS15 AS19:AS20 AS25 AS29:AS144 WNE9:WNE144 WXA9:WXA144 KO9:KO144 UK9:UK144 AEG9:AEG144 AOC9:AOC144 AXY9:AXY144 BHU9:BHU144 BRQ9:BRQ144 CBM9:CBM144 CLI9:CLI144 CVE9:CVE144 DFA9:DFA144 DOW9:DOW144 DYS9:DYS144 EIO9:EIO144 ESK9:ESK144 FCG9:FCG144 FMC9:FMC144 FVY9:FVY144 GFU9:GFU144 GPQ9:GPQ144 GZM9:GZM144 HJI9:HJI144 HTE9:HTE144 IDA9:IDA144 IMW9:IMW144 IWS9:IWS144 JGO9:JGO144 JQK9:JQK144 KAG9:KAG144 KKC9:KKC144 KTY9:KTY144 LDU9:LDU144 LNQ9:LNQ144 LXM9:LXM144 MHI9:MHI144 MRE9:MRE144 NBA9:NBA144 NKW9:NKW144 NUS9:NUS144 OEO9:OEO144 OOK9:OOK144 OYG9:OYG144 PIC9:PIC144 PRY9:PRY144 QBU9:QBU144 QLQ9:QLQ144 QVM9:QVM144 RFI9:RFI144 RPE9:RPE144 RZA9:RZA144 SIW9:SIW144 SSS9:SSS144 TCO9:TCO144 TMK9:TMK144 TWG9:TWG144 UGC9:UGC144 UPY9:UPY144 UZU9:UZU144 VJQ9:VJQ144 VTM9:VTM144 WDI9:WDI144">
      <formula1>SINO</formula1>
    </dataValidation>
  </dataValidations>
  <printOptions horizontalCentered="1" verticalCentered="1"/>
  <pageMargins left="0.39370078740157483" right="0.39370078740157483" top="0.19685039370078741" bottom="0.19685039370078741" header="0.19685039370078741" footer="0.19685039370078741"/>
  <pageSetup paperSize="14" scale="55" firstPageNumber="0" orientation="landscape" r:id="rId1"/>
  <headerFooter>
    <oddFooter>&amp;L&amp;9Formato: FO-AC-07 Versión: 3&amp;C&amp;9Página &amp;P</odd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M176"/>
  <sheetViews>
    <sheetView view="pageBreakPreview" zoomScaleNormal="100" zoomScaleSheetLayoutView="100" zoomScalePageLayoutView="95" workbookViewId="0">
      <pane xSplit="5" ySplit="8" topLeftCell="F9" activePane="bottomRight" state="frozen"/>
      <selection pane="topRight" activeCell="F1" sqref="F1"/>
      <selection pane="bottomLeft" activeCell="A9" sqref="A9"/>
      <selection pane="bottomRight" activeCell="C9" sqref="C9:E9"/>
    </sheetView>
  </sheetViews>
  <sheetFormatPr baseColWidth="10" defaultRowHeight="12.75"/>
  <cols>
    <col min="1" max="1" width="12" style="235" customWidth="1"/>
    <col min="2" max="2" width="2.7109375" style="235" customWidth="1"/>
    <col min="3" max="4" width="6.5703125" style="235" customWidth="1"/>
    <col min="5" max="5" width="8.28515625" style="235" customWidth="1"/>
    <col min="6" max="6" width="6.5703125" style="235" customWidth="1"/>
    <col min="7" max="8" width="8.42578125" style="235" customWidth="1"/>
    <col min="9" max="9" width="18.140625" style="235" customWidth="1"/>
    <col min="10" max="10" width="2.5703125" style="235" customWidth="1"/>
    <col min="11" max="12" width="9.5703125" style="235" customWidth="1"/>
    <col min="13" max="15" width="3.7109375" style="235" customWidth="1"/>
    <col min="16" max="16" width="3.5703125" style="235" customWidth="1"/>
    <col min="17" max="17" width="2.85546875" style="235" customWidth="1"/>
    <col min="18" max="18" width="3" style="235" customWidth="1"/>
    <col min="19" max="21" width="0" style="235" hidden="1" customWidth="1"/>
    <col min="22" max="22" width="4.42578125" style="235" customWidth="1"/>
    <col min="23" max="23" width="0" style="235" hidden="1" customWidth="1"/>
    <col min="24" max="26" width="14.28515625" style="235" customWidth="1"/>
    <col min="27" max="27" width="23" style="1126" customWidth="1"/>
    <col min="28" max="28" width="6.42578125" style="235" customWidth="1"/>
    <col min="29" max="29" width="15.140625" style="235" customWidth="1"/>
    <col min="30" max="30" width="4.140625" style="235" customWidth="1"/>
    <col min="31" max="31" width="3" style="235" customWidth="1"/>
    <col min="32" max="34" width="0" style="235" hidden="1" customWidth="1"/>
    <col min="35" max="35" width="3" style="235" customWidth="1"/>
    <col min="36" max="36" width="0" style="235" hidden="1" customWidth="1"/>
    <col min="37" max="37" width="3" style="235" customWidth="1"/>
    <col min="38" max="38" width="0" style="235" hidden="1" customWidth="1"/>
    <col min="39" max="39" width="4.42578125" style="235" customWidth="1"/>
    <col min="40" max="40" width="34.28515625" style="235" customWidth="1"/>
    <col min="41" max="41" width="23.42578125" style="235" customWidth="1"/>
    <col min="42" max="42" width="9.140625" style="235" customWidth="1"/>
    <col min="43" max="43" width="19.5703125" style="235" customWidth="1"/>
    <col min="44" max="44" width="42.7109375" style="235" customWidth="1"/>
    <col min="45" max="45" width="5.85546875" style="235" customWidth="1"/>
    <col min="46" max="46" width="31.5703125" style="235" customWidth="1"/>
    <col min="47" max="47" width="16.140625" style="235" customWidth="1"/>
    <col min="48" max="49" width="9.28515625" style="235" customWidth="1"/>
    <col min="50" max="50" width="11.140625" style="235" customWidth="1"/>
    <col min="51" max="51" width="2.140625" style="235" customWidth="1"/>
    <col min="52"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11.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1260" t="s">
        <v>68</v>
      </c>
      <c r="AE1" s="1260"/>
      <c r="AF1" s="1260"/>
      <c r="AG1" s="1260"/>
      <c r="AH1" s="1260"/>
      <c r="AI1" s="1260"/>
      <c r="AJ1" s="1260"/>
      <c r="AK1" s="1260"/>
      <c r="AL1" s="1260"/>
      <c r="AM1" s="1260"/>
      <c r="AN1" s="1260"/>
      <c r="AP1" s="1247" t="s">
        <v>2320</v>
      </c>
      <c r="AQ1" s="1247"/>
      <c r="AR1" s="1247"/>
      <c r="AS1" s="1247"/>
      <c r="AT1" s="233"/>
      <c r="AU1" s="233"/>
      <c r="AV1" s="233"/>
      <c r="AW1" s="1246"/>
      <c r="AX1" s="1246"/>
      <c r="AY1" s="233"/>
    </row>
    <row r="2" spans="1:1027" ht="14.25" customHeight="1">
      <c r="A2" s="237" t="s">
        <v>2348</v>
      </c>
      <c r="B2" s="233"/>
      <c r="C2" s="233"/>
      <c r="D2" s="233"/>
      <c r="E2" s="233"/>
      <c r="F2" s="233"/>
      <c r="G2" s="1214" t="str">
        <f>UPPER([38]Control!A2)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1260"/>
      <c r="AE2" s="1260"/>
      <c r="AF2" s="1260"/>
      <c r="AG2" s="1260"/>
      <c r="AH2" s="1260"/>
      <c r="AI2" s="1260"/>
      <c r="AJ2" s="1260"/>
      <c r="AK2" s="1260"/>
      <c r="AL2" s="1260"/>
      <c r="AM2" s="1260"/>
      <c r="AN2" s="1260"/>
      <c r="AP2" s="1268" t="s">
        <v>138</v>
      </c>
      <c r="AQ2" s="1269"/>
      <c r="AR2" s="1270" t="str">
        <f>AD1</f>
        <v>Gestión de Tecnologías de la Información y la Comunicación</v>
      </c>
      <c r="AS2" s="1271"/>
      <c r="AT2" s="233"/>
      <c r="AU2" s="233"/>
      <c r="AV2" s="233"/>
      <c r="AW2" s="1246"/>
      <c r="AX2" s="1246"/>
      <c r="AY2" s="233"/>
    </row>
    <row r="3" spans="1:1027" ht="11.25" customHeight="1">
      <c r="A3" s="1435">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1436">
        <v>43446</v>
      </c>
      <c r="AA3" s="1437"/>
      <c r="AB3" s="1438"/>
      <c r="AC3" s="1259" t="s">
        <v>2349</v>
      </c>
      <c r="AD3" s="1261" t="s">
        <v>28</v>
      </c>
      <c r="AE3" s="1261"/>
      <c r="AF3" s="1261"/>
      <c r="AG3" s="1261"/>
      <c r="AH3" s="1261"/>
      <c r="AI3" s="1261"/>
      <c r="AJ3" s="1261"/>
      <c r="AK3" s="1261"/>
      <c r="AL3" s="1261"/>
      <c r="AM3" s="1261"/>
      <c r="AN3" s="1261"/>
      <c r="AP3" s="1265" t="s">
        <v>2322</v>
      </c>
      <c r="AQ3" s="1266"/>
      <c r="AR3" s="1266" t="s">
        <v>2323</v>
      </c>
      <c r="AS3" s="1267"/>
      <c r="AT3" s="233"/>
      <c r="AU3" s="233"/>
      <c r="AV3" s="233"/>
      <c r="AW3" s="1246"/>
      <c r="AX3" s="1246"/>
      <c r="AY3" s="233"/>
    </row>
    <row r="4" spans="1:1027" ht="14.25" customHeight="1" thickBot="1">
      <c r="A4" s="1435"/>
      <c r="B4" s="233"/>
      <c r="C4" s="233"/>
      <c r="D4" s="233"/>
      <c r="E4" s="233"/>
      <c r="F4" s="233"/>
      <c r="G4" s="1236" t="str">
        <f>[38]Control!A4</f>
        <v>FO-PE-06</v>
      </c>
      <c r="H4" s="1237"/>
      <c r="I4" s="1238" t="str">
        <f>[38]Control!C4</f>
        <v>Planeación Estratégica</v>
      </c>
      <c r="J4" s="1237"/>
      <c r="K4" s="1237"/>
      <c r="L4" s="1237"/>
      <c r="M4" s="1237"/>
      <c r="N4" s="1239"/>
      <c r="O4" s="1238">
        <f>[38]Control!H4</f>
        <v>5</v>
      </c>
      <c r="P4" s="1237"/>
      <c r="Q4" s="1237"/>
      <c r="R4" s="1237"/>
      <c r="S4" s="1237"/>
      <c r="T4" s="1237"/>
      <c r="U4" s="1237"/>
      <c r="V4" s="1239"/>
      <c r="W4" s="239"/>
      <c r="X4" s="1255"/>
      <c r="Y4" s="1256"/>
      <c r="Z4" s="1439"/>
      <c r="AA4" s="1440"/>
      <c r="AB4" s="1441"/>
      <c r="AC4" s="1259"/>
      <c r="AD4" s="1261"/>
      <c r="AE4" s="1261"/>
      <c r="AF4" s="1261"/>
      <c r="AG4" s="1261"/>
      <c r="AH4" s="1261"/>
      <c r="AI4" s="1261"/>
      <c r="AJ4" s="1261"/>
      <c r="AK4" s="1261"/>
      <c r="AL4" s="1261"/>
      <c r="AM4" s="1261"/>
      <c r="AN4" s="1261"/>
      <c r="AP4" s="1240">
        <v>43712</v>
      </c>
      <c r="AQ4" s="1241"/>
      <c r="AR4" s="1242" t="s">
        <v>4129</v>
      </c>
      <c r="AS4" s="1243"/>
      <c r="AT4" s="233"/>
      <c r="AU4" s="233"/>
      <c r="AV4" s="233"/>
      <c r="AW4" s="1246"/>
      <c r="AX4" s="1246"/>
      <c r="AY4" s="233"/>
    </row>
    <row r="5" spans="1:1027"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1"/>
      <c r="AB5" s="242"/>
      <c r="AC5" s="242"/>
      <c r="AD5" s="241"/>
      <c r="AE5" s="241"/>
      <c r="AF5" s="241"/>
      <c r="AG5" s="241"/>
      <c r="AH5" s="241"/>
      <c r="AI5" s="241"/>
      <c r="AJ5" s="241"/>
      <c r="AK5" s="241"/>
      <c r="AL5" s="241"/>
      <c r="AM5" s="240"/>
      <c r="AN5" s="240"/>
      <c r="AO5" s="240"/>
      <c r="AQ5" s="244"/>
      <c r="AY5" s="245"/>
    </row>
    <row r="6" spans="1:1027" s="243" customFormat="1" ht="11.2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1048" t="s">
        <v>268</v>
      </c>
      <c r="AO6" s="294"/>
      <c r="AP6" s="247" t="s">
        <v>2325</v>
      </c>
      <c r="AQ6" s="248"/>
      <c r="AR6" s="248"/>
      <c r="AS6" s="249"/>
      <c r="AT6" s="1244" t="s">
        <v>2326</v>
      </c>
      <c r="AU6" s="1244"/>
      <c r="AV6" s="1244"/>
      <c r="AW6" s="1244"/>
      <c r="AX6" s="1245"/>
      <c r="AY6" s="245"/>
    </row>
    <row r="7" spans="1:1027" s="243" customFormat="1" ht="25.5" customHeight="1">
      <c r="A7" s="1217" t="s">
        <v>1004</v>
      </c>
      <c r="B7" s="1218" t="s">
        <v>640</v>
      </c>
      <c r="C7" s="1219" t="s">
        <v>1001</v>
      </c>
      <c r="D7" s="1220"/>
      <c r="E7" s="1221"/>
      <c r="F7" s="1217" t="s">
        <v>1000</v>
      </c>
      <c r="G7" s="1219" t="s">
        <v>999</v>
      </c>
      <c r="H7" s="1220"/>
      <c r="I7" s="1221"/>
      <c r="J7" s="1217" t="s">
        <v>145</v>
      </c>
      <c r="K7" s="1217"/>
      <c r="L7" s="1217"/>
      <c r="M7" s="1225" t="s">
        <v>144</v>
      </c>
      <c r="N7" s="1226"/>
      <c r="O7" s="1226"/>
      <c r="P7" s="1226"/>
      <c r="Q7" s="1227" t="s">
        <v>637</v>
      </c>
      <c r="R7" s="1228"/>
      <c r="S7" s="1228"/>
      <c r="T7" s="1228"/>
      <c r="U7" s="1228"/>
      <c r="V7" s="1229"/>
      <c r="W7" s="250"/>
      <c r="X7" s="1217" t="s">
        <v>2351</v>
      </c>
      <c r="Y7" s="1217"/>
      <c r="Z7" s="1217"/>
      <c r="AA7" s="1284" t="s">
        <v>4175</v>
      </c>
      <c r="AB7" s="1221" t="s">
        <v>998</v>
      </c>
      <c r="AC7" s="1284" t="s">
        <v>641</v>
      </c>
      <c r="AD7" s="1286" t="s">
        <v>546</v>
      </c>
      <c r="AE7" s="1286" t="s">
        <v>638</v>
      </c>
      <c r="AF7" s="251"/>
      <c r="AG7" s="252"/>
      <c r="AH7" s="253"/>
      <c r="AI7" s="1288" t="s">
        <v>639</v>
      </c>
      <c r="AJ7" s="1288"/>
      <c r="AK7" s="1288"/>
      <c r="AL7" s="1288"/>
      <c r="AM7" s="1288"/>
      <c r="AN7" s="1288" t="s">
        <v>2327</v>
      </c>
      <c r="AO7" s="1431" t="s">
        <v>2328</v>
      </c>
      <c r="AP7" s="1432" t="s">
        <v>2353</v>
      </c>
      <c r="AQ7" s="1431" t="s">
        <v>2330</v>
      </c>
      <c r="AR7" s="1432" t="s">
        <v>2354</v>
      </c>
      <c r="AS7" s="1432" t="s">
        <v>2332</v>
      </c>
      <c r="AT7" s="1432" t="s">
        <v>2333</v>
      </c>
      <c r="AU7" s="1432" t="s">
        <v>2334</v>
      </c>
      <c r="AV7" s="1432" t="s">
        <v>2335</v>
      </c>
      <c r="AW7" s="1432" t="s">
        <v>2336</v>
      </c>
      <c r="AX7" s="1432" t="s">
        <v>2337</v>
      </c>
      <c r="AY7" s="245"/>
    </row>
    <row r="8" spans="1:1027" ht="14.25" customHeight="1">
      <c r="A8" s="1217"/>
      <c r="B8" s="1218"/>
      <c r="C8" s="1222"/>
      <c r="D8" s="1223"/>
      <c r="E8" s="1224"/>
      <c r="F8" s="1217"/>
      <c r="G8" s="1222"/>
      <c r="H8" s="1223"/>
      <c r="I8" s="1224"/>
      <c r="J8" s="1217"/>
      <c r="K8" s="1217"/>
      <c r="L8" s="1217"/>
      <c r="M8" s="254" t="s">
        <v>146</v>
      </c>
      <c r="N8" s="254" t="s">
        <v>997</v>
      </c>
      <c r="O8" s="254" t="s">
        <v>65</v>
      </c>
      <c r="P8" s="254" t="s">
        <v>996</v>
      </c>
      <c r="Q8" s="1047" t="s">
        <v>147</v>
      </c>
      <c r="R8" s="1047" t="s">
        <v>148</v>
      </c>
      <c r="S8" s="255"/>
      <c r="T8" s="255" t="s">
        <v>239</v>
      </c>
      <c r="U8" s="255" t="s">
        <v>242</v>
      </c>
      <c r="V8" s="1047" t="s">
        <v>149</v>
      </c>
      <c r="W8" s="256"/>
      <c r="X8" s="1217"/>
      <c r="Y8" s="1217"/>
      <c r="Z8" s="1217"/>
      <c r="AA8" s="1285"/>
      <c r="AB8" s="1224"/>
      <c r="AC8" s="1285"/>
      <c r="AD8" s="1287"/>
      <c r="AE8" s="1287"/>
      <c r="AF8" s="256"/>
      <c r="AG8" s="257" t="s">
        <v>642</v>
      </c>
      <c r="AH8" s="257" t="s">
        <v>264</v>
      </c>
      <c r="AI8" s="1047" t="s">
        <v>147</v>
      </c>
      <c r="AJ8" s="258" t="s">
        <v>265</v>
      </c>
      <c r="AK8" s="1047" t="s">
        <v>148</v>
      </c>
      <c r="AL8" s="255" t="s">
        <v>150</v>
      </c>
      <c r="AM8" s="1047" t="s">
        <v>150</v>
      </c>
      <c r="AN8" s="1288"/>
      <c r="AO8" s="1431"/>
      <c r="AP8" s="1432"/>
      <c r="AQ8" s="1432"/>
      <c r="AR8" s="1432"/>
      <c r="AS8" s="1432"/>
      <c r="AT8" s="1432"/>
      <c r="AU8" s="1432"/>
      <c r="AV8" s="1432"/>
      <c r="AW8" s="1432"/>
      <c r="AX8" s="1432"/>
      <c r="AY8" s="245"/>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188.25" customHeight="1">
      <c r="A9" s="1043" t="s">
        <v>69</v>
      </c>
      <c r="B9" s="1045" t="s">
        <v>2088</v>
      </c>
      <c r="C9" s="1320" t="s">
        <v>70</v>
      </c>
      <c r="D9" s="1320"/>
      <c r="E9" s="1320"/>
      <c r="F9" s="1046" t="s">
        <v>772</v>
      </c>
      <c r="G9" s="1272" t="s">
        <v>718</v>
      </c>
      <c r="H9" s="1273"/>
      <c r="I9" s="1274"/>
      <c r="J9" s="1320" t="s">
        <v>71</v>
      </c>
      <c r="K9" s="1320"/>
      <c r="L9" s="1320"/>
      <c r="M9" s="1043"/>
      <c r="N9" s="1043">
        <v>6</v>
      </c>
      <c r="O9" s="1043"/>
      <c r="P9" s="1043" t="s">
        <v>8</v>
      </c>
      <c r="Q9" s="1046" t="s">
        <v>64</v>
      </c>
      <c r="R9" s="1046" t="s">
        <v>274</v>
      </c>
      <c r="S9" s="301"/>
      <c r="T9" s="1053">
        <f>VLOOKUP(Q9,[93]Listas!$D$6:$E$10,2,0)</f>
        <v>3</v>
      </c>
      <c r="U9" s="1053">
        <f>HLOOKUP(R9,[93]Listas!$F$4:$J$5,2,0)</f>
        <v>3</v>
      </c>
      <c r="V9" s="1051" t="str">
        <f>INDEX([93]Listas!$F$6:$J$10,MATCH(Q9,[93]Listas!$D$6:$D$10,0),MATCH(R9,[93]Listas!$F$4:$J$4,0))</f>
        <v>9
MODERADO</v>
      </c>
      <c r="W9" s="301"/>
      <c r="X9" s="2495" t="s">
        <v>719</v>
      </c>
      <c r="Y9" s="1545"/>
      <c r="Z9" s="1545"/>
      <c r="AA9" s="1068" t="s">
        <v>4232</v>
      </c>
      <c r="AB9" s="1045" t="s">
        <v>1543</v>
      </c>
      <c r="AC9" s="1056" t="s">
        <v>720</v>
      </c>
      <c r="AD9" s="1043">
        <v>80</v>
      </c>
      <c r="AE9" s="1045" t="s">
        <v>153</v>
      </c>
      <c r="AF9" s="301"/>
      <c r="AG9" s="1053">
        <f>IF(AD9&lt;=33,0,IF(AD9&gt;81,2,1))</f>
        <v>1</v>
      </c>
      <c r="AH9" s="323">
        <f>IF(OR(AE9="Probabilidad",AE9="Ambos"),T9-AG9,T9)</f>
        <v>2</v>
      </c>
      <c r="AI9" s="1054" t="str">
        <f>IF(AH9&lt;=1,"Remota",VLOOKUP(AH9,[93]Listas!$C$6:$D$10,2,0))</f>
        <v>Baja</v>
      </c>
      <c r="AJ9" s="323">
        <f>IF(OR(AE9="Impacto",AE9="Ambos"),U9-AG9,U9)</f>
        <v>3</v>
      </c>
      <c r="AK9" s="1054" t="str">
        <f>IF(AJ9&lt;=1,"Insignificante",HLOOKUP(AJ9,[93]Listas!$F$3:$J$4,2,0))</f>
        <v>Moderado</v>
      </c>
      <c r="AL9" s="1055">
        <f>AH9*AJ9</f>
        <v>6</v>
      </c>
      <c r="AM9" s="1051" t="str">
        <f>INDEX([93]Listas!$F$6:$J$10,MATCH(AI9,[93]Listas!$D$6:$D$10,0),MATCH(AK9,[93]Listas!$F$4:$J$4,0))</f>
        <v>6
MODERADO</v>
      </c>
      <c r="AN9" s="259" t="s">
        <v>2554</v>
      </c>
      <c r="AO9" s="259" t="s">
        <v>2555</v>
      </c>
      <c r="AP9" s="1044">
        <v>0</v>
      </c>
      <c r="AQ9" s="259" t="s">
        <v>3554</v>
      </c>
      <c r="AR9" s="259" t="s">
        <v>3555</v>
      </c>
      <c r="AS9" s="1050" t="s">
        <v>36</v>
      </c>
      <c r="AU9" s="259"/>
      <c r="AV9" s="261"/>
      <c r="AW9" s="261"/>
      <c r="AX9" s="1042"/>
      <c r="AY9" s="262"/>
    </row>
    <row r="10" spans="1:1027" s="260" customFormat="1" ht="284.25" customHeight="1">
      <c r="A10" s="1043" t="s">
        <v>207</v>
      </c>
      <c r="B10" s="1045" t="s">
        <v>2089</v>
      </c>
      <c r="C10" s="1320" t="s">
        <v>1544</v>
      </c>
      <c r="D10" s="1320"/>
      <c r="E10" s="1320"/>
      <c r="F10" s="1046" t="s">
        <v>772</v>
      </c>
      <c r="G10" s="1272" t="s">
        <v>1545</v>
      </c>
      <c r="H10" s="1273"/>
      <c r="I10" s="1274"/>
      <c r="J10" s="2493" t="s">
        <v>721</v>
      </c>
      <c r="K10" s="1320"/>
      <c r="L10" s="1320"/>
      <c r="M10" s="1043"/>
      <c r="N10" s="1043">
        <v>1.6</v>
      </c>
      <c r="O10" s="1043"/>
      <c r="P10" s="1043" t="s">
        <v>8</v>
      </c>
      <c r="Q10" s="1046" t="s">
        <v>655</v>
      </c>
      <c r="R10" s="1046" t="s">
        <v>270</v>
      </c>
      <c r="S10" s="301"/>
      <c r="T10" s="1053">
        <f>VLOOKUP(Q10,[94]Listas!$D$6:$E$10,2,0)</f>
        <v>2</v>
      </c>
      <c r="U10" s="1053">
        <f>HLOOKUP(R10,[94]Listas!$F$4:$J$5,2,0)</f>
        <v>4</v>
      </c>
      <c r="V10" s="1051" t="str">
        <f>INDEX([94]Listas!$F$6:$J$10,MATCH(Q10,[94]Listas!$D$6:$D$10,0),MATCH(R10,[94]Listas!$F$4:$J$4,0))</f>
        <v>8
MODERADO</v>
      </c>
      <c r="W10" s="301"/>
      <c r="X10" s="2494" t="s">
        <v>2556</v>
      </c>
      <c r="Y10" s="2061"/>
      <c r="Z10" s="2061"/>
      <c r="AA10" s="1067" t="s">
        <v>4233</v>
      </c>
      <c r="AB10" s="1045" t="s">
        <v>1543</v>
      </c>
      <c r="AC10" s="1056" t="s">
        <v>1546</v>
      </c>
      <c r="AD10" s="1043">
        <v>72</v>
      </c>
      <c r="AE10" s="1045" t="s">
        <v>153</v>
      </c>
      <c r="AF10" s="301"/>
      <c r="AG10" s="1053">
        <f>IF(AD10&lt;=33,0,IF(AD10&gt;81,2,1))</f>
        <v>1</v>
      </c>
      <c r="AH10" s="323">
        <f>IF(OR(AE10="Probabilidad",AE10="Ambos"),T10-AG10,T10)</f>
        <v>1</v>
      </c>
      <c r="AI10" s="1054" t="str">
        <f>IF(AH10&lt;=1,"Remota",VLOOKUP(AH10,[94]Listas!$C$6:$D$10,2,0))</f>
        <v>Remota</v>
      </c>
      <c r="AJ10" s="323">
        <f>IF(OR(AE10="Impacto",AE10="Ambos"),U10-AG10,U10)</f>
        <v>4</v>
      </c>
      <c r="AK10" s="1054" t="str">
        <f>IF(AJ10&lt;=1,"Insignificante",HLOOKUP(AJ10,[94]Listas!$F$3:$J$4,2,0))</f>
        <v>Mayor</v>
      </c>
      <c r="AL10" s="1055">
        <f>AH10*AJ10</f>
        <v>4</v>
      </c>
      <c r="AM10" s="1051" t="str">
        <f>INDEX([94]Listas!$F$6:$J$10,MATCH(AI10,[94]Listas!$D$6:$D$10,0),MATCH(AK10,[94]Listas!$F$4:$J$4,0))</f>
        <v>4
MODERADO</v>
      </c>
      <c r="AN10" s="259" t="s">
        <v>2557</v>
      </c>
      <c r="AO10" s="259" t="s">
        <v>2558</v>
      </c>
      <c r="AP10" s="1044">
        <v>0</v>
      </c>
      <c r="AQ10" s="259" t="s">
        <v>3556</v>
      </c>
      <c r="AR10" s="259" t="s">
        <v>3557</v>
      </c>
      <c r="AS10" s="1050" t="s">
        <v>36</v>
      </c>
      <c r="AT10" s="259"/>
      <c r="AU10" s="259"/>
      <c r="AV10" s="261"/>
      <c r="AW10" s="261"/>
      <c r="AX10" s="1042"/>
      <c r="AY10" s="262"/>
    </row>
    <row r="11" spans="1:1027" s="260" customFormat="1" ht="309" customHeight="1">
      <c r="A11" s="1043" t="s">
        <v>208</v>
      </c>
      <c r="B11" s="1052" t="s">
        <v>2090</v>
      </c>
      <c r="C11" s="1320" t="s">
        <v>209</v>
      </c>
      <c r="D11" s="1320"/>
      <c r="E11" s="1320"/>
      <c r="F11" s="1046" t="s">
        <v>772</v>
      </c>
      <c r="G11" s="1272" t="s">
        <v>722</v>
      </c>
      <c r="H11" s="1273"/>
      <c r="I11" s="1274"/>
      <c r="J11" s="2493" t="s">
        <v>723</v>
      </c>
      <c r="K11" s="1320"/>
      <c r="L11" s="1320"/>
      <c r="M11" s="1043"/>
      <c r="N11" s="1043">
        <v>6</v>
      </c>
      <c r="O11" s="1043" t="s">
        <v>8</v>
      </c>
      <c r="P11" s="1043" t="s">
        <v>8</v>
      </c>
      <c r="Q11" s="1046" t="s">
        <v>64</v>
      </c>
      <c r="R11" s="1046" t="s">
        <v>287</v>
      </c>
      <c r="S11" s="301"/>
      <c r="T11" s="1053">
        <f>VLOOKUP(Q11,[94]Listas!$D$6:$E$10,2,0)</f>
        <v>3</v>
      </c>
      <c r="U11" s="1053">
        <f>HLOOKUP(R11,[94]Listas!$F$4:$J$5,2,0)</f>
        <v>5</v>
      </c>
      <c r="V11" s="1051" t="str">
        <f>INDEX([94]Listas!$F$6:$J$10,MATCH(Q11,[94]Listas!$D$6:$D$10,0),MATCH(R11,[94]Listas!$F$4:$J$4,0))</f>
        <v>15
ALTO</v>
      </c>
      <c r="W11" s="301"/>
      <c r="X11" s="2495" t="s">
        <v>4162</v>
      </c>
      <c r="Y11" s="1545"/>
      <c r="Z11" s="1545"/>
      <c r="AA11" s="1068" t="s">
        <v>4234</v>
      </c>
      <c r="AB11" s="1045" t="s">
        <v>1543</v>
      </c>
      <c r="AC11" s="1056" t="s">
        <v>1548</v>
      </c>
      <c r="AD11" s="1043">
        <v>100</v>
      </c>
      <c r="AE11" s="1045" t="s">
        <v>152</v>
      </c>
      <c r="AF11" s="301"/>
      <c r="AG11" s="1053">
        <f>IF(AD11&lt;=33,0,IF(AD11&gt;81,2,1))</f>
        <v>2</v>
      </c>
      <c r="AH11" s="323">
        <f>IF(OR(AE11="Probabilidad",AE11="Ambos"),T11-AG11,T11)</f>
        <v>1</v>
      </c>
      <c r="AI11" s="1054" t="str">
        <f>IF(AH11&lt;=1,"Remota",VLOOKUP(AH11,[94]Listas!$C$6:$D$10,2,0))</f>
        <v>Remota</v>
      </c>
      <c r="AJ11" s="323">
        <f>IF(OR(AE11="Impacto",AE11="Ambos"),U11-AG11,U11)</f>
        <v>3</v>
      </c>
      <c r="AK11" s="1054" t="str">
        <f>IF(AJ11&lt;=1,"Insignificante",HLOOKUP(AJ11,[94]Listas!$F$3:$J$4,2,0))</f>
        <v>Moderado</v>
      </c>
      <c r="AL11" s="1055">
        <f>AH11*AJ11</f>
        <v>3</v>
      </c>
      <c r="AM11" s="1051" t="str">
        <f>INDEX([94]Listas!$F$6:$J$10,MATCH(AI11,[94]Listas!$D$6:$D$10,0),MATCH(AK11,[94]Listas!$F$4:$J$4,0))</f>
        <v>3
INFERIOR</v>
      </c>
      <c r="AN11" s="259" t="s">
        <v>2559</v>
      </c>
      <c r="AO11" s="259" t="s">
        <v>3558</v>
      </c>
      <c r="AP11" s="572">
        <v>0</v>
      </c>
      <c r="AQ11" s="259" t="s">
        <v>4163</v>
      </c>
      <c r="AR11" s="259" t="s">
        <v>4164</v>
      </c>
      <c r="AS11" s="1050" t="s">
        <v>36</v>
      </c>
      <c r="AT11" s="259"/>
      <c r="AU11" s="259"/>
      <c r="AV11" s="261"/>
      <c r="AW11" s="261"/>
      <c r="AX11" s="1042"/>
      <c r="AY11" s="262"/>
    </row>
    <row r="12" spans="1:1027" s="260" customFormat="1" ht="220.5" customHeight="1">
      <c r="A12" s="1043" t="s">
        <v>724</v>
      </c>
      <c r="B12" s="1045" t="s">
        <v>2091</v>
      </c>
      <c r="C12" s="1320" t="s">
        <v>725</v>
      </c>
      <c r="D12" s="1320"/>
      <c r="E12" s="1320"/>
      <c r="F12" s="1046" t="s">
        <v>772</v>
      </c>
      <c r="G12" s="1272" t="s">
        <v>726</v>
      </c>
      <c r="H12" s="1273"/>
      <c r="I12" s="1274"/>
      <c r="J12" s="2493" t="s">
        <v>727</v>
      </c>
      <c r="K12" s="1320"/>
      <c r="L12" s="1320"/>
      <c r="M12" s="1043"/>
      <c r="N12" s="1043"/>
      <c r="O12" s="1043"/>
      <c r="P12" s="1043"/>
      <c r="Q12" s="1046" t="s">
        <v>64</v>
      </c>
      <c r="R12" s="1046" t="s">
        <v>661</v>
      </c>
      <c r="S12" s="301"/>
      <c r="T12" s="1053"/>
      <c r="U12" s="1053"/>
      <c r="V12" s="1051" t="str">
        <f>INDEX([93]Listas!$F$6:$J$10,MATCH(Q12,[93]Listas!$D$6:$D$10,0),MATCH(R12,[93]Listas!$F$4:$J$4,0))</f>
        <v>3
INFERIOR</v>
      </c>
      <c r="W12" s="301"/>
      <c r="X12" s="2495" t="s">
        <v>1547</v>
      </c>
      <c r="Y12" s="1545"/>
      <c r="Z12" s="1545"/>
      <c r="AA12" s="1068" t="s">
        <v>4013</v>
      </c>
      <c r="AB12" s="1045" t="s">
        <v>1543</v>
      </c>
      <c r="AC12" s="1056" t="s">
        <v>728</v>
      </c>
      <c r="AD12" s="1043">
        <v>87</v>
      </c>
      <c r="AE12" s="1045" t="s">
        <v>153</v>
      </c>
      <c r="AF12" s="301"/>
      <c r="AG12" s="1053"/>
      <c r="AH12" s="323"/>
      <c r="AI12" s="1054" t="str">
        <f>IF(AH12&lt;=1,"Remota",VLOOKUP(AH12,[93]Listas!$C$6:$D$10,2,0))</f>
        <v>Remota</v>
      </c>
      <c r="AJ12" s="323"/>
      <c r="AK12" s="1054" t="str">
        <f>IF(AJ12&lt;=1,"Insignificante",HLOOKUP(AJ12,[93]Listas!$F$3:$J$4,2,0))</f>
        <v>Insignificante</v>
      </c>
      <c r="AL12" s="1055"/>
      <c r="AM12" s="1051" t="str">
        <f>INDEX([93]Listas!$F$6:$J$10,MATCH(AI12,[93]Listas!$D$6:$D$10,0),MATCH(AK12,[93]Listas!$F$4:$J$4,0))</f>
        <v>1
INFERIOR</v>
      </c>
      <c r="AN12" s="259" t="s">
        <v>2560</v>
      </c>
      <c r="AO12" s="259" t="s">
        <v>2561</v>
      </c>
      <c r="AP12" s="1044">
        <f>4.6/5</f>
        <v>0.91999999999999993</v>
      </c>
      <c r="AQ12" s="259" t="s">
        <v>3559</v>
      </c>
      <c r="AR12" s="259" t="s">
        <v>3560</v>
      </c>
      <c r="AS12" s="1050" t="s">
        <v>36</v>
      </c>
      <c r="AT12" s="259"/>
      <c r="AU12" s="259"/>
      <c r="AV12" s="261"/>
      <c r="AW12" s="261"/>
      <c r="AX12" s="1042"/>
      <c r="AY12" s="262"/>
    </row>
    <row r="13" spans="1:1027" s="260" customFormat="1" ht="409.5" customHeight="1">
      <c r="A13" s="1049" t="s">
        <v>72</v>
      </c>
      <c r="B13" s="1045" t="s">
        <v>2092</v>
      </c>
      <c r="C13" s="1320" t="s">
        <v>2093</v>
      </c>
      <c r="D13" s="1320"/>
      <c r="E13" s="1320"/>
      <c r="F13" s="1046" t="s">
        <v>772</v>
      </c>
      <c r="G13" s="1272" t="s">
        <v>2562</v>
      </c>
      <c r="H13" s="1273"/>
      <c r="I13" s="1274"/>
      <c r="J13" s="2493" t="s">
        <v>1549</v>
      </c>
      <c r="K13" s="1320"/>
      <c r="L13" s="1320"/>
      <c r="M13" s="1043"/>
      <c r="N13" s="1043">
        <v>6</v>
      </c>
      <c r="O13" s="1043" t="s">
        <v>8</v>
      </c>
      <c r="P13" s="1043" t="s">
        <v>8</v>
      </c>
      <c r="Q13" s="1046" t="s">
        <v>64</v>
      </c>
      <c r="R13" s="1046" t="s">
        <v>274</v>
      </c>
      <c r="S13" s="301"/>
      <c r="T13" s="1053">
        <f>VLOOKUP(Q13,[93]Listas!$D$6:$E$10,2,0)</f>
        <v>3</v>
      </c>
      <c r="U13" s="1053">
        <f>HLOOKUP(R13,[93]Listas!$F$4:$J$5,2,0)</f>
        <v>3</v>
      </c>
      <c r="V13" s="1051" t="str">
        <f>INDEX([93]Listas!$F$6:$J$10,MATCH(Q13,[93]Listas!$D$6:$D$10,0),MATCH(R13,[93]Listas!$F$4:$J$4,0))</f>
        <v>9
MODERADO</v>
      </c>
      <c r="W13" s="301"/>
      <c r="X13" s="2495" t="s">
        <v>2563</v>
      </c>
      <c r="Y13" s="1545"/>
      <c r="Z13" s="1545"/>
      <c r="AA13" s="1068" t="s">
        <v>4235</v>
      </c>
      <c r="AB13" s="1045" t="s">
        <v>1543</v>
      </c>
      <c r="AC13" s="1056" t="s">
        <v>1550</v>
      </c>
      <c r="AD13" s="1043">
        <v>87</v>
      </c>
      <c r="AE13" s="1045" t="s">
        <v>153</v>
      </c>
      <c r="AF13" s="301"/>
      <c r="AG13" s="1053">
        <f t="shared" ref="AG13:AG39" si="0">IF(AD13&lt;=33,0,IF(AD13&gt;81,2,1))</f>
        <v>2</v>
      </c>
      <c r="AH13" s="323">
        <f t="shared" ref="AH13:AH39" si="1">IF(OR(AE13="Probabilidad",AE13="Ambos"),T13-AG13,T13)</f>
        <v>1</v>
      </c>
      <c r="AI13" s="1054" t="str">
        <f>IF(AH13&lt;=1,"Remota",VLOOKUP(AH13,[93]Listas!$C$6:$D$10,2,0))</f>
        <v>Remota</v>
      </c>
      <c r="AJ13" s="323">
        <f t="shared" ref="AJ13:AJ39" si="2">IF(OR(AE13="Impacto",AE13="Ambos"),U13-AG13,U13)</f>
        <v>3</v>
      </c>
      <c r="AK13" s="1054" t="str">
        <f>IF(AJ13&lt;=1,"Insignificante",HLOOKUP(AJ13,[93]Listas!$F$3:$J$4,2,0))</f>
        <v>Moderado</v>
      </c>
      <c r="AL13" s="1055">
        <f t="shared" ref="AL13:AL39" si="3">AH13*AJ13</f>
        <v>3</v>
      </c>
      <c r="AM13" s="1051" t="str">
        <f>INDEX([93]Listas!$F$6:$J$10,MATCH(AI13,[93]Listas!$D$6:$D$10,0),MATCH(AK13,[93]Listas!$F$4:$J$4,0))</f>
        <v>3
INFERIOR</v>
      </c>
      <c r="AN13" s="259" t="s">
        <v>2564</v>
      </c>
      <c r="AO13" s="259" t="s">
        <v>2565</v>
      </c>
      <c r="AP13" s="1044">
        <v>0</v>
      </c>
      <c r="AQ13" s="259" t="s">
        <v>3561</v>
      </c>
      <c r="AR13" s="259" t="s">
        <v>3562</v>
      </c>
      <c r="AS13" s="1050" t="s">
        <v>36</v>
      </c>
      <c r="AT13" s="259"/>
      <c r="AU13" s="259"/>
      <c r="AV13" s="261"/>
      <c r="AW13" s="261"/>
      <c r="AX13" s="1042"/>
      <c r="AY13" s="262"/>
    </row>
    <row r="14" spans="1:1027" s="260" customFormat="1" ht="243.75" customHeight="1">
      <c r="A14" s="1049" t="s">
        <v>72</v>
      </c>
      <c r="B14" s="1052" t="s">
        <v>730</v>
      </c>
      <c r="C14" s="1320" t="s">
        <v>1551</v>
      </c>
      <c r="D14" s="1320"/>
      <c r="E14" s="1320"/>
      <c r="F14" s="1046" t="s">
        <v>772</v>
      </c>
      <c r="G14" s="1272" t="s">
        <v>731</v>
      </c>
      <c r="H14" s="1273"/>
      <c r="I14" s="1274"/>
      <c r="J14" s="2496" t="s">
        <v>732</v>
      </c>
      <c r="K14" s="1890"/>
      <c r="L14" s="1890"/>
      <c r="M14" s="1043"/>
      <c r="N14" s="1043"/>
      <c r="O14" s="1043"/>
      <c r="P14" s="1043"/>
      <c r="Q14" s="1046" t="s">
        <v>64</v>
      </c>
      <c r="R14" s="1046" t="s">
        <v>287</v>
      </c>
      <c r="S14" s="301"/>
      <c r="T14" s="1053">
        <f>VLOOKUP(Q14,[93]Listas!$D$6:$E$10,2,0)</f>
        <v>3</v>
      </c>
      <c r="U14" s="1053">
        <f>HLOOKUP(R14,[93]Listas!$F$4:$J$5,2,0)</f>
        <v>5</v>
      </c>
      <c r="V14" s="1051" t="str">
        <f>INDEX([93]Listas!$F$6:$J$10,MATCH(Q14,[93]Listas!$D$6:$D$10,0),MATCH(R14,[93]Listas!$F$4:$J$4,0))</f>
        <v>15
ALTO</v>
      </c>
      <c r="W14" s="301"/>
      <c r="X14" s="2495" t="s">
        <v>4165</v>
      </c>
      <c r="Y14" s="1545"/>
      <c r="Z14" s="1545"/>
      <c r="AA14" s="1068" t="s">
        <v>4236</v>
      </c>
      <c r="AB14" s="1045" t="s">
        <v>1543</v>
      </c>
      <c r="AC14" s="1056" t="s">
        <v>2566</v>
      </c>
      <c r="AD14" s="1043">
        <v>100</v>
      </c>
      <c r="AE14" s="1045" t="s">
        <v>153</v>
      </c>
      <c r="AF14" s="301"/>
      <c r="AG14" s="1053">
        <f t="shared" si="0"/>
        <v>2</v>
      </c>
      <c r="AH14" s="323">
        <f t="shared" si="1"/>
        <v>1</v>
      </c>
      <c r="AI14" s="1054" t="str">
        <f>IF(AH14&lt;=1,"Remota",VLOOKUP(AH14,[93]Listas!$C$6:$D$10,2,0))</f>
        <v>Remota</v>
      </c>
      <c r="AJ14" s="323">
        <f t="shared" si="2"/>
        <v>5</v>
      </c>
      <c r="AK14" s="1054" t="str">
        <f>IF(AJ14&lt;=1,"Insignificante",HLOOKUP(AJ14,[93]Listas!$F$3:$J$4,2,0))</f>
        <v>Catastrófico</v>
      </c>
      <c r="AL14" s="1055">
        <f t="shared" si="3"/>
        <v>5</v>
      </c>
      <c r="AM14" s="1051" t="str">
        <f>INDEX([93]Listas!$F$6:$J$10,MATCH(AI14,[93]Listas!$D$6:$D$10,0),MATCH(AK14,[93]Listas!$F$4:$J$4,0))</f>
        <v>5
MODERADO</v>
      </c>
      <c r="AN14" s="259" t="s">
        <v>2567</v>
      </c>
      <c r="AO14" s="259" t="s">
        <v>2555</v>
      </c>
      <c r="AP14" s="572">
        <v>0</v>
      </c>
      <c r="AQ14" s="259" t="s">
        <v>3554</v>
      </c>
      <c r="AR14" s="259" t="s">
        <v>4166</v>
      </c>
      <c r="AS14" s="1050" t="s">
        <v>36</v>
      </c>
      <c r="AT14" s="259"/>
      <c r="AU14" s="259"/>
      <c r="AV14" s="261"/>
      <c r="AW14" s="261"/>
      <c r="AX14" s="1042"/>
      <c r="AY14" s="262"/>
    </row>
    <row r="15" spans="1:1027" s="260" customFormat="1" ht="142.5" customHeight="1">
      <c r="A15" s="1049" t="s">
        <v>72</v>
      </c>
      <c r="B15" s="1045" t="s">
        <v>2094</v>
      </c>
      <c r="C15" s="1320" t="s">
        <v>1552</v>
      </c>
      <c r="D15" s="1320"/>
      <c r="E15" s="1320"/>
      <c r="F15" s="1046" t="s">
        <v>772</v>
      </c>
      <c r="G15" s="1272" t="s">
        <v>2568</v>
      </c>
      <c r="H15" s="1273"/>
      <c r="I15" s="1274"/>
      <c r="J15" s="2493" t="s">
        <v>468</v>
      </c>
      <c r="K15" s="1320"/>
      <c r="L15" s="1320"/>
      <c r="M15" s="1043"/>
      <c r="N15" s="1043">
        <v>6</v>
      </c>
      <c r="O15" s="1043" t="s">
        <v>8</v>
      </c>
      <c r="P15" s="1043" t="s">
        <v>8</v>
      </c>
      <c r="Q15" s="1046" t="s">
        <v>655</v>
      </c>
      <c r="R15" s="1046" t="s">
        <v>274</v>
      </c>
      <c r="S15" s="301"/>
      <c r="T15" s="1053">
        <f>VLOOKUP(Q15,[93]Listas!$D$6:$E$10,2,0)</f>
        <v>2</v>
      </c>
      <c r="U15" s="1053">
        <f>HLOOKUP(R15,[93]Listas!$F$4:$J$5,2,0)</f>
        <v>3</v>
      </c>
      <c r="V15" s="1051" t="str">
        <f>INDEX([93]Listas!$F$6:$J$10,MATCH(Q15,[93]Listas!$D$6:$D$10,0),MATCH(R15,[93]Listas!$F$4:$J$4,0))</f>
        <v>6
MODERADO</v>
      </c>
      <c r="W15" s="301"/>
      <c r="X15" s="2495" t="s">
        <v>733</v>
      </c>
      <c r="Y15" s="1545"/>
      <c r="Z15" s="1545"/>
      <c r="AA15" s="1068" t="s">
        <v>4237</v>
      </c>
      <c r="AB15" s="1045" t="s">
        <v>1543</v>
      </c>
      <c r="AC15" s="1056" t="s">
        <v>734</v>
      </c>
      <c r="AD15" s="1043">
        <v>67</v>
      </c>
      <c r="AE15" s="1045" t="s">
        <v>153</v>
      </c>
      <c r="AF15" s="301"/>
      <c r="AG15" s="1053">
        <f t="shared" si="0"/>
        <v>1</v>
      </c>
      <c r="AH15" s="323">
        <f t="shared" si="1"/>
        <v>1</v>
      </c>
      <c r="AI15" s="1054" t="str">
        <f>IF(AH15&lt;=1,"Remota",VLOOKUP(AH15,[93]Listas!$C$6:$D$10,2,0))</f>
        <v>Remota</v>
      </c>
      <c r="AJ15" s="323">
        <f t="shared" si="2"/>
        <v>3</v>
      </c>
      <c r="AK15" s="1054" t="str">
        <f>IF(AJ15&lt;=1,"Insignificante",HLOOKUP(AJ15,[93]Listas!$F$3:$J$4,2,0))</f>
        <v>Moderado</v>
      </c>
      <c r="AL15" s="1055">
        <f t="shared" si="3"/>
        <v>3</v>
      </c>
      <c r="AM15" s="1051" t="str">
        <f>INDEX([93]Listas!$F$6:$J$10,MATCH(AI15,[93]Listas!$D$6:$D$10,0),MATCH(AK15,[93]Listas!$F$4:$J$4,0))</f>
        <v>3
INFERIOR</v>
      </c>
      <c r="AN15" s="259" t="s">
        <v>3563</v>
      </c>
      <c r="AO15" s="259" t="s">
        <v>2555</v>
      </c>
      <c r="AP15" s="1044">
        <v>0</v>
      </c>
      <c r="AQ15" s="259" t="s">
        <v>3554</v>
      </c>
      <c r="AR15" s="259" t="s">
        <v>3555</v>
      </c>
      <c r="AS15" s="1050" t="s">
        <v>36</v>
      </c>
      <c r="AT15" s="259"/>
      <c r="AU15" s="259"/>
      <c r="AV15" s="261"/>
      <c r="AW15" s="261"/>
      <c r="AX15" s="1042"/>
      <c r="AY15" s="262"/>
    </row>
    <row r="16" spans="1:1027" s="260" customFormat="1" ht="175.5" customHeight="1">
      <c r="A16" s="1049" t="s">
        <v>72</v>
      </c>
      <c r="B16" s="1045" t="s">
        <v>2095</v>
      </c>
      <c r="C16" s="1320" t="s">
        <v>1553</v>
      </c>
      <c r="D16" s="1320"/>
      <c r="E16" s="1320"/>
      <c r="F16" s="1046" t="s">
        <v>772</v>
      </c>
      <c r="G16" s="1272" t="s">
        <v>1554</v>
      </c>
      <c r="H16" s="1273"/>
      <c r="I16" s="1274"/>
      <c r="J16" s="2493" t="s">
        <v>735</v>
      </c>
      <c r="K16" s="1320"/>
      <c r="L16" s="1320"/>
      <c r="M16" s="1043"/>
      <c r="N16" s="1043">
        <v>6</v>
      </c>
      <c r="O16" s="1043" t="s">
        <v>8</v>
      </c>
      <c r="P16" s="1043" t="s">
        <v>8</v>
      </c>
      <c r="Q16" s="1046" t="s">
        <v>654</v>
      </c>
      <c r="R16" s="1046" t="s">
        <v>274</v>
      </c>
      <c r="S16" s="301"/>
      <c r="T16" s="1053">
        <f>VLOOKUP(Q16,[93]Listas!$D$6:$E$10,2,0)</f>
        <v>1</v>
      </c>
      <c r="U16" s="1053">
        <f>HLOOKUP(R16,[93]Listas!$F$4:$J$5,2,0)</f>
        <v>3</v>
      </c>
      <c r="V16" s="1051" t="str">
        <f>INDEX([93]Listas!$F$6:$J$10,MATCH(Q16,[93]Listas!$D$6:$D$10,0),MATCH(R16,[93]Listas!$F$4:$J$4,0))</f>
        <v>3
INFERIOR</v>
      </c>
      <c r="W16" s="301"/>
      <c r="X16" s="2495" t="s">
        <v>4130</v>
      </c>
      <c r="Y16" s="1545"/>
      <c r="Z16" s="1545"/>
      <c r="AA16" s="1068" t="s">
        <v>4238</v>
      </c>
      <c r="AB16" s="1045" t="s">
        <v>1543</v>
      </c>
      <c r="AC16" s="1056" t="s">
        <v>1556</v>
      </c>
      <c r="AD16" s="1043">
        <v>87</v>
      </c>
      <c r="AE16" s="1045" t="s">
        <v>153</v>
      </c>
      <c r="AF16" s="301"/>
      <c r="AG16" s="1053">
        <f t="shared" si="0"/>
        <v>2</v>
      </c>
      <c r="AH16" s="323">
        <f t="shared" si="1"/>
        <v>-1</v>
      </c>
      <c r="AI16" s="1054" t="str">
        <f>IF(AH16&lt;=1,"Remota",VLOOKUP(AH16,[93]Listas!$C$6:$D$10,2,0))</f>
        <v>Remota</v>
      </c>
      <c r="AJ16" s="323">
        <f t="shared" si="2"/>
        <v>3</v>
      </c>
      <c r="AK16" s="1054" t="str">
        <f>IF(AJ16&lt;=1,"Insignificante",HLOOKUP(AJ16,[93]Listas!$F$3:$J$4,2,0))</f>
        <v>Moderado</v>
      </c>
      <c r="AL16" s="1055">
        <f t="shared" si="3"/>
        <v>-3</v>
      </c>
      <c r="AM16" s="1051" t="str">
        <f>INDEX([93]Listas!$F$6:$J$10,MATCH(AI16,[93]Listas!$D$6:$D$10,0),MATCH(AK16,[93]Listas!$F$4:$J$4,0))</f>
        <v>3
INFERIOR</v>
      </c>
      <c r="AN16" s="339" t="s">
        <v>4131</v>
      </c>
      <c r="AO16" s="259" t="s">
        <v>2565</v>
      </c>
      <c r="AP16" s="1044">
        <v>0</v>
      </c>
      <c r="AQ16" s="259" t="s">
        <v>3554</v>
      </c>
      <c r="AR16" s="259" t="s">
        <v>4132</v>
      </c>
      <c r="AS16" s="1050" t="s">
        <v>36</v>
      </c>
      <c r="AT16" s="259"/>
      <c r="AU16" s="259"/>
      <c r="AV16" s="261"/>
      <c r="AW16" s="261"/>
      <c r="AX16" s="1042"/>
      <c r="AY16" s="262"/>
    </row>
    <row r="17" spans="1:51" s="260" customFormat="1" ht="103.5" customHeight="1">
      <c r="A17" s="1049" t="s">
        <v>736</v>
      </c>
      <c r="B17" s="1045" t="s">
        <v>737</v>
      </c>
      <c r="C17" s="1320" t="s">
        <v>1557</v>
      </c>
      <c r="D17" s="1320"/>
      <c r="E17" s="1320"/>
      <c r="F17" s="1046" t="s">
        <v>772</v>
      </c>
      <c r="G17" s="1272" t="s">
        <v>738</v>
      </c>
      <c r="H17" s="1273"/>
      <c r="I17" s="1274"/>
      <c r="J17" s="2493" t="s">
        <v>735</v>
      </c>
      <c r="K17" s="1320"/>
      <c r="L17" s="1320"/>
      <c r="M17" s="1043"/>
      <c r="N17" s="1043"/>
      <c r="O17" s="1043"/>
      <c r="P17" s="1043"/>
      <c r="Q17" s="1046" t="s">
        <v>654</v>
      </c>
      <c r="R17" s="1046" t="s">
        <v>643</v>
      </c>
      <c r="S17" s="301"/>
      <c r="T17" s="1053">
        <f>VLOOKUP(Q17,[93]Listas!$D$6:$E$10,2,0)</f>
        <v>1</v>
      </c>
      <c r="U17" s="1053">
        <f>HLOOKUP(R17,[93]Listas!$F$4:$J$5,2,0)</f>
        <v>2</v>
      </c>
      <c r="V17" s="1051" t="str">
        <f>INDEX([93]Listas!$F$6:$J$10,MATCH(Q17,[93]Listas!$D$6:$D$10,0),MATCH(R17,[93]Listas!$F$4:$J$4,0))</f>
        <v>2
INFERIOR</v>
      </c>
      <c r="W17" s="301"/>
      <c r="X17" s="2495" t="s">
        <v>1555</v>
      </c>
      <c r="Y17" s="1545"/>
      <c r="Z17" s="1545"/>
      <c r="AA17" s="1068" t="s">
        <v>4239</v>
      </c>
      <c r="AB17" s="1045" t="s">
        <v>1543</v>
      </c>
      <c r="AC17" s="1056" t="s">
        <v>739</v>
      </c>
      <c r="AD17" s="1043">
        <v>87</v>
      </c>
      <c r="AE17" s="1045" t="s">
        <v>153</v>
      </c>
      <c r="AF17" s="301"/>
      <c r="AG17" s="1053">
        <f t="shared" si="0"/>
        <v>2</v>
      </c>
      <c r="AH17" s="323">
        <f t="shared" si="1"/>
        <v>-1</v>
      </c>
      <c r="AI17" s="1054" t="str">
        <f>IF(AH17&lt;=1,"Remota",VLOOKUP(AH17,[93]Listas!$C$6:$D$10,2,0))</f>
        <v>Remota</v>
      </c>
      <c r="AJ17" s="323">
        <f t="shared" si="2"/>
        <v>2</v>
      </c>
      <c r="AK17" s="1054" t="str">
        <f>IF(AJ17&lt;=1,"Insignificante",HLOOKUP(AJ17,[93]Listas!$F$3:$J$4,2,0))</f>
        <v>Menor</v>
      </c>
      <c r="AL17" s="1055">
        <f t="shared" si="3"/>
        <v>-2</v>
      </c>
      <c r="AM17" s="1051" t="str">
        <f>INDEX([93]Listas!$F$6:$J$10,MATCH(AI17,[93]Listas!$D$6:$D$10,0),MATCH(AK17,[93]Listas!$F$4:$J$4,0))</f>
        <v>2
INFERIOR</v>
      </c>
      <c r="AN17" s="339" t="s">
        <v>3564</v>
      </c>
      <c r="AO17" s="259" t="s">
        <v>2555</v>
      </c>
      <c r="AP17" s="1044">
        <v>0</v>
      </c>
      <c r="AQ17" s="259" t="s">
        <v>3554</v>
      </c>
      <c r="AR17" s="259" t="s">
        <v>3565</v>
      </c>
      <c r="AS17" s="1050" t="s">
        <v>36</v>
      </c>
      <c r="AT17" s="259"/>
      <c r="AU17" s="259"/>
      <c r="AV17" s="261"/>
      <c r="AW17" s="261"/>
      <c r="AX17" s="1042"/>
      <c r="AY17" s="262"/>
    </row>
    <row r="18" spans="1:51" s="260" customFormat="1" ht="126.75" customHeight="1">
      <c r="A18" s="1049" t="s">
        <v>72</v>
      </c>
      <c r="B18" s="1052" t="s">
        <v>740</v>
      </c>
      <c r="C18" s="1320" t="s">
        <v>1558</v>
      </c>
      <c r="D18" s="1320"/>
      <c r="E18" s="1320"/>
      <c r="F18" s="1046" t="s">
        <v>772</v>
      </c>
      <c r="G18" s="1272" t="s">
        <v>741</v>
      </c>
      <c r="H18" s="1273"/>
      <c r="I18" s="1274"/>
      <c r="J18" s="2493" t="s">
        <v>742</v>
      </c>
      <c r="K18" s="1320"/>
      <c r="L18" s="1320"/>
      <c r="M18" s="1043"/>
      <c r="N18" s="1043"/>
      <c r="O18" s="1043"/>
      <c r="P18" s="1043"/>
      <c r="Q18" s="1046" t="s">
        <v>64</v>
      </c>
      <c r="R18" s="1046" t="s">
        <v>287</v>
      </c>
      <c r="S18" s="301"/>
      <c r="T18" s="1053">
        <f>VLOOKUP(Q18,[93]Listas!$D$6:$E$10,2,0)</f>
        <v>3</v>
      </c>
      <c r="U18" s="1053">
        <f>HLOOKUP(R18,[93]Listas!$F$4:$J$5,2,0)</f>
        <v>5</v>
      </c>
      <c r="V18" s="1051" t="str">
        <f>INDEX([93]Listas!$F$6:$J$10,MATCH(Q18,[93]Listas!$D$6:$D$10,0),MATCH(R18,[93]Listas!$F$4:$J$4,0))</f>
        <v>15
ALTO</v>
      </c>
      <c r="W18" s="301"/>
      <c r="X18" s="2495" t="s">
        <v>4167</v>
      </c>
      <c r="Y18" s="1545"/>
      <c r="Z18" s="1545"/>
      <c r="AA18" s="1068" t="s">
        <v>4240</v>
      </c>
      <c r="AB18" s="1045" t="s">
        <v>1543</v>
      </c>
      <c r="AC18" s="1056" t="s">
        <v>743</v>
      </c>
      <c r="AD18" s="1043">
        <v>100</v>
      </c>
      <c r="AE18" s="1045" t="s">
        <v>153</v>
      </c>
      <c r="AF18" s="301"/>
      <c r="AG18" s="1053">
        <f t="shared" si="0"/>
        <v>2</v>
      </c>
      <c r="AH18" s="323">
        <f t="shared" si="1"/>
        <v>1</v>
      </c>
      <c r="AI18" s="1054" t="str">
        <f>IF(AH18&lt;=1,"Remota",VLOOKUP(AH18,[93]Listas!$C$6:$D$10,2,0))</f>
        <v>Remota</v>
      </c>
      <c r="AJ18" s="323">
        <f t="shared" si="2"/>
        <v>5</v>
      </c>
      <c r="AK18" s="1054" t="str">
        <f>IF(AJ18&lt;=1,"Insignificante",HLOOKUP(AJ18,[93]Listas!$F$3:$J$4,2,0))</f>
        <v>Catastrófico</v>
      </c>
      <c r="AL18" s="1055">
        <f t="shared" si="3"/>
        <v>5</v>
      </c>
      <c r="AM18" s="1051" t="str">
        <f>INDEX([93]Listas!$F$6:$J$10,MATCH(AI18,[93]Listas!$D$6:$D$10,0),MATCH(AK18,[93]Listas!$F$4:$J$4,0))</f>
        <v>5
MODERADO</v>
      </c>
      <c r="AN18" s="259" t="s">
        <v>2564</v>
      </c>
      <c r="AO18" s="259" t="s">
        <v>2555</v>
      </c>
      <c r="AP18" s="1044">
        <v>0</v>
      </c>
      <c r="AQ18" s="259" t="s">
        <v>3554</v>
      </c>
      <c r="AR18" s="259" t="s">
        <v>4168</v>
      </c>
      <c r="AS18" s="1050" t="s">
        <v>36</v>
      </c>
      <c r="AT18" s="259"/>
      <c r="AU18" s="259"/>
      <c r="AV18" s="261"/>
      <c r="AW18" s="261"/>
      <c r="AX18" s="1042"/>
      <c r="AY18" s="262"/>
    </row>
    <row r="19" spans="1:51" s="260" customFormat="1" ht="134.25" customHeight="1">
      <c r="A19" s="1049" t="s">
        <v>72</v>
      </c>
      <c r="B19" s="1045" t="s">
        <v>2096</v>
      </c>
      <c r="C19" s="1320" t="s">
        <v>1559</v>
      </c>
      <c r="D19" s="1320"/>
      <c r="E19" s="1320"/>
      <c r="F19" s="1046" t="s">
        <v>772</v>
      </c>
      <c r="G19" s="1272" t="s">
        <v>1560</v>
      </c>
      <c r="H19" s="1273"/>
      <c r="I19" s="1274"/>
      <c r="J19" s="2493" t="s">
        <v>1561</v>
      </c>
      <c r="K19" s="1320"/>
      <c r="L19" s="1320"/>
      <c r="M19" s="1043"/>
      <c r="N19" s="1043">
        <v>6</v>
      </c>
      <c r="O19" s="1043" t="s">
        <v>8</v>
      </c>
      <c r="P19" s="1043" t="s">
        <v>8</v>
      </c>
      <c r="Q19" s="1046" t="s">
        <v>655</v>
      </c>
      <c r="R19" s="1046" t="s">
        <v>270</v>
      </c>
      <c r="S19" s="301"/>
      <c r="T19" s="1053">
        <f>VLOOKUP(Q19,[93]Listas!$D$6:$E$10,2,0)</f>
        <v>2</v>
      </c>
      <c r="U19" s="1053">
        <f>HLOOKUP(R19,[93]Listas!$F$4:$J$5,2,0)</f>
        <v>4</v>
      </c>
      <c r="V19" s="1051" t="str">
        <f>INDEX([93]Listas!$F$6:$J$10,MATCH(Q19,[93]Listas!$D$6:$D$10,0),MATCH(R19,[93]Listas!$F$4:$J$4,0))</f>
        <v>8
MODERADO</v>
      </c>
      <c r="W19" s="301"/>
      <c r="X19" s="2495" t="s">
        <v>744</v>
      </c>
      <c r="Y19" s="1545"/>
      <c r="Z19" s="1545"/>
      <c r="AA19" s="1068" t="s">
        <v>4241</v>
      </c>
      <c r="AB19" s="1045" t="s">
        <v>1543</v>
      </c>
      <c r="AC19" s="1056" t="s">
        <v>1563</v>
      </c>
      <c r="AD19" s="1043">
        <v>87</v>
      </c>
      <c r="AE19" s="1045" t="s">
        <v>153</v>
      </c>
      <c r="AF19" s="301"/>
      <c r="AG19" s="1053">
        <f t="shared" si="0"/>
        <v>2</v>
      </c>
      <c r="AH19" s="323">
        <f t="shared" si="1"/>
        <v>0</v>
      </c>
      <c r="AI19" s="1054" t="str">
        <f>IF(AH19&lt;=1,"Remota",VLOOKUP(AH19,[93]Listas!$C$6:$D$10,2,0))</f>
        <v>Remota</v>
      </c>
      <c r="AJ19" s="323">
        <f t="shared" si="2"/>
        <v>4</v>
      </c>
      <c r="AK19" s="1054" t="str">
        <f>IF(AJ19&lt;=1,"Insignificante",HLOOKUP(AJ19,[93]Listas!$F$3:$J$4,2,0))</f>
        <v>Mayor</v>
      </c>
      <c r="AL19" s="1055">
        <f t="shared" si="3"/>
        <v>0</v>
      </c>
      <c r="AM19" s="1051" t="str">
        <f>INDEX([93]Listas!$F$6:$J$10,MATCH(AI19,[93]Listas!$D$6:$D$10,0),MATCH(AK19,[93]Listas!$F$4:$J$4,0))</f>
        <v>4
MODERADO</v>
      </c>
      <c r="AN19" s="259" t="s">
        <v>2564</v>
      </c>
      <c r="AO19" s="259" t="s">
        <v>2555</v>
      </c>
      <c r="AP19" s="1044">
        <v>0</v>
      </c>
      <c r="AQ19" s="259" t="s">
        <v>3554</v>
      </c>
      <c r="AR19" s="259" t="s">
        <v>3566</v>
      </c>
      <c r="AS19" s="1050" t="s">
        <v>36</v>
      </c>
      <c r="AU19" s="259"/>
      <c r="AV19" s="261"/>
      <c r="AW19" s="261"/>
      <c r="AX19" s="1042"/>
      <c r="AY19" s="262"/>
    </row>
    <row r="20" spans="1:51" s="260" customFormat="1" ht="246" customHeight="1">
      <c r="A20" s="1049" t="s">
        <v>72</v>
      </c>
      <c r="B20" s="1045" t="s">
        <v>745</v>
      </c>
      <c r="C20" s="1320" t="s">
        <v>2569</v>
      </c>
      <c r="D20" s="1320"/>
      <c r="E20" s="1320"/>
      <c r="F20" s="1046" t="s">
        <v>772</v>
      </c>
      <c r="G20" s="1272" t="s">
        <v>746</v>
      </c>
      <c r="H20" s="1273"/>
      <c r="I20" s="1274"/>
      <c r="J20" s="2493" t="s">
        <v>747</v>
      </c>
      <c r="K20" s="1320"/>
      <c r="L20" s="1320"/>
      <c r="M20" s="1043"/>
      <c r="N20" s="1043"/>
      <c r="O20" s="1043"/>
      <c r="P20" s="1043"/>
      <c r="Q20" s="1046" t="s">
        <v>37</v>
      </c>
      <c r="R20" s="1046" t="s">
        <v>643</v>
      </c>
      <c r="S20" s="301"/>
      <c r="T20" s="1053">
        <f>VLOOKUP(Q20,[93]Listas!$D$6:$E$10,2,0)</f>
        <v>5</v>
      </c>
      <c r="U20" s="1053">
        <f>HLOOKUP(R20,[93]Listas!$F$4:$J$5,2,0)</f>
        <v>2</v>
      </c>
      <c r="V20" s="1051" t="str">
        <f>INDEX([93]Listas!$F$6:$J$10,MATCH(Q20,[93]Listas!$D$6:$D$10,0),MATCH(R20,[93]Listas!$F$4:$J$4,0))</f>
        <v>10
ALTO</v>
      </c>
      <c r="W20" s="301"/>
      <c r="X20" s="2495" t="s">
        <v>1562</v>
      </c>
      <c r="Y20" s="1545"/>
      <c r="Z20" s="1545"/>
      <c r="AA20" s="1068" t="s">
        <v>4242</v>
      </c>
      <c r="AB20" s="1045" t="s">
        <v>1543</v>
      </c>
      <c r="AC20" s="1056" t="s">
        <v>748</v>
      </c>
      <c r="AD20" s="1043">
        <v>87</v>
      </c>
      <c r="AE20" s="1045" t="s">
        <v>153</v>
      </c>
      <c r="AF20" s="301"/>
      <c r="AG20" s="1053">
        <f t="shared" si="0"/>
        <v>2</v>
      </c>
      <c r="AH20" s="323">
        <f t="shared" si="1"/>
        <v>3</v>
      </c>
      <c r="AI20" s="1054" t="str">
        <f>IF(AH20&lt;=1,"Remota",VLOOKUP(AH20,[93]Listas!$C$6:$D$10,2,0))</f>
        <v>Posible</v>
      </c>
      <c r="AJ20" s="323">
        <f t="shared" si="2"/>
        <v>2</v>
      </c>
      <c r="AK20" s="1054" t="str">
        <f>IF(AJ20&lt;=1,"Insignificante",HLOOKUP(AJ20,[93]Listas!$F$3:$J$4,2,0))</f>
        <v>Menor</v>
      </c>
      <c r="AL20" s="1055">
        <f t="shared" si="3"/>
        <v>6</v>
      </c>
      <c r="AM20" s="1051" t="str">
        <f>INDEX([93]Listas!$F$6:$J$10,MATCH(AI20,[93]Listas!$D$6:$D$10,0),MATCH(AK20,[93]Listas!$F$4:$J$4,0))</f>
        <v>6
MODERADO</v>
      </c>
      <c r="AN20" s="259" t="s">
        <v>2570</v>
      </c>
      <c r="AO20" s="259" t="s">
        <v>2565</v>
      </c>
      <c r="AP20" s="1044">
        <v>0</v>
      </c>
      <c r="AQ20" s="259" t="s">
        <v>3554</v>
      </c>
      <c r="AR20" s="259" t="s">
        <v>3567</v>
      </c>
      <c r="AS20" s="1042" t="s">
        <v>65</v>
      </c>
      <c r="AT20" s="259" t="s">
        <v>4169</v>
      </c>
      <c r="AU20" s="259" t="s">
        <v>4133</v>
      </c>
      <c r="AV20" s="261">
        <v>43586</v>
      </c>
      <c r="AW20" s="261">
        <v>43708</v>
      </c>
      <c r="AX20" s="1042" t="s">
        <v>4170</v>
      </c>
      <c r="AY20" s="262"/>
    </row>
    <row r="21" spans="1:51" s="260" customFormat="1" ht="103.5" customHeight="1">
      <c r="A21" s="1049" t="s">
        <v>4134</v>
      </c>
      <c r="B21" s="1045" t="s">
        <v>749</v>
      </c>
      <c r="C21" s="1320" t="s">
        <v>1564</v>
      </c>
      <c r="D21" s="1320"/>
      <c r="E21" s="1320"/>
      <c r="F21" s="1046" t="s">
        <v>772</v>
      </c>
      <c r="G21" s="1272" t="s">
        <v>750</v>
      </c>
      <c r="H21" s="1273"/>
      <c r="I21" s="1274"/>
      <c r="J21" s="2493" t="s">
        <v>751</v>
      </c>
      <c r="K21" s="1320"/>
      <c r="L21" s="1320"/>
      <c r="M21" s="1043"/>
      <c r="N21" s="1043"/>
      <c r="O21" s="1043"/>
      <c r="P21" s="1043"/>
      <c r="Q21" s="1046" t="s">
        <v>655</v>
      </c>
      <c r="R21" s="1046" t="s">
        <v>643</v>
      </c>
      <c r="S21" s="301"/>
      <c r="T21" s="1053">
        <f>VLOOKUP(Q21,[93]Listas!$D$6:$E$10,2,0)</f>
        <v>2</v>
      </c>
      <c r="U21" s="1053">
        <f>HLOOKUP(R21,[93]Listas!$F$4:$J$5,2,0)</f>
        <v>2</v>
      </c>
      <c r="V21" s="1051" t="str">
        <f>INDEX([93]Listas!$F$6:$J$10,MATCH(Q21,[93]Listas!$D$6:$D$10,0),MATCH(R21,[93]Listas!$F$4:$J$4,0))</f>
        <v>4
INFERIOR</v>
      </c>
      <c r="W21" s="301"/>
      <c r="X21" s="2495" t="s">
        <v>752</v>
      </c>
      <c r="Y21" s="1545"/>
      <c r="Z21" s="1545"/>
      <c r="AA21" s="1068" t="s">
        <v>4243</v>
      </c>
      <c r="AB21" s="1045" t="s">
        <v>1543</v>
      </c>
      <c r="AC21" s="1056" t="s">
        <v>753</v>
      </c>
      <c r="AD21" s="1043">
        <v>87</v>
      </c>
      <c r="AE21" s="1045" t="s">
        <v>153</v>
      </c>
      <c r="AF21" s="301"/>
      <c r="AG21" s="1053">
        <f t="shared" si="0"/>
        <v>2</v>
      </c>
      <c r="AH21" s="323">
        <f t="shared" si="1"/>
        <v>0</v>
      </c>
      <c r="AI21" s="1054" t="str">
        <f>IF(AH21&lt;=1,"Remota",VLOOKUP(AH21,[93]Listas!$C$6:$D$10,2,0))</f>
        <v>Remota</v>
      </c>
      <c r="AJ21" s="323">
        <f t="shared" si="2"/>
        <v>2</v>
      </c>
      <c r="AK21" s="1054" t="str">
        <f>IF(AJ21&lt;=1,"Insignificante",HLOOKUP(AJ21,[93]Listas!$F$3:$J$4,2,0))</f>
        <v>Menor</v>
      </c>
      <c r="AL21" s="1055">
        <f t="shared" si="3"/>
        <v>0</v>
      </c>
      <c r="AM21" s="1051" t="str">
        <f>INDEX([93]Listas!$F$6:$J$10,MATCH(AI21,[93]Listas!$D$6:$D$10,0),MATCH(AK21,[93]Listas!$F$4:$J$4,0))</f>
        <v>2
INFERIOR</v>
      </c>
      <c r="AN21" s="259" t="s">
        <v>2571</v>
      </c>
      <c r="AO21" s="259" t="s">
        <v>2555</v>
      </c>
      <c r="AP21" s="1044">
        <v>0</v>
      </c>
      <c r="AQ21" s="259" t="s">
        <v>3554</v>
      </c>
      <c r="AR21" s="259" t="s">
        <v>3566</v>
      </c>
      <c r="AS21" s="1050" t="s">
        <v>36</v>
      </c>
      <c r="AT21" s="259"/>
      <c r="AU21" s="259"/>
      <c r="AV21" s="261"/>
      <c r="AW21" s="261"/>
      <c r="AX21" s="1042"/>
      <c r="AY21" s="262"/>
    </row>
    <row r="22" spans="1:51" s="260" customFormat="1" ht="103.5" customHeight="1">
      <c r="A22" s="1049" t="s">
        <v>72</v>
      </c>
      <c r="B22" s="1045" t="s">
        <v>2097</v>
      </c>
      <c r="C22" s="1320" t="s">
        <v>1565</v>
      </c>
      <c r="D22" s="1320"/>
      <c r="E22" s="1320"/>
      <c r="F22" s="1046" t="s">
        <v>772</v>
      </c>
      <c r="G22" s="1272" t="s">
        <v>754</v>
      </c>
      <c r="H22" s="1273"/>
      <c r="I22" s="1274"/>
      <c r="J22" s="2493" t="s">
        <v>755</v>
      </c>
      <c r="K22" s="1320"/>
      <c r="L22" s="1320"/>
      <c r="M22" s="1043"/>
      <c r="N22" s="1043">
        <v>6</v>
      </c>
      <c r="O22" s="1043" t="s">
        <v>8</v>
      </c>
      <c r="P22" s="1043"/>
      <c r="Q22" s="1046" t="s">
        <v>655</v>
      </c>
      <c r="R22" s="1046" t="s">
        <v>643</v>
      </c>
      <c r="S22" s="301"/>
      <c r="T22" s="1053">
        <f>VLOOKUP(Q22,[93]Listas!$D$6:$E$10,2,0)</f>
        <v>2</v>
      </c>
      <c r="U22" s="1053">
        <f>HLOOKUP(R22,[93]Listas!$F$4:$J$5,2,0)</f>
        <v>2</v>
      </c>
      <c r="V22" s="1051" t="str">
        <f>INDEX([93]Listas!$F$6:$J$10,MATCH(Q22,[93]Listas!$D$6:$D$10,0),MATCH(R22,[93]Listas!$F$4:$J$4,0))</f>
        <v>4
INFERIOR</v>
      </c>
      <c r="W22" s="301"/>
      <c r="X22" s="2495" t="s">
        <v>756</v>
      </c>
      <c r="Y22" s="1545"/>
      <c r="Z22" s="1545"/>
      <c r="AA22" s="1068" t="s">
        <v>4244</v>
      </c>
      <c r="AB22" s="1045" t="s">
        <v>1543</v>
      </c>
      <c r="AC22" s="1056" t="s">
        <v>1567</v>
      </c>
      <c r="AD22" s="1043">
        <v>87</v>
      </c>
      <c r="AE22" s="1045" t="s">
        <v>153</v>
      </c>
      <c r="AF22" s="301"/>
      <c r="AG22" s="1053">
        <f t="shared" si="0"/>
        <v>2</v>
      </c>
      <c r="AH22" s="323">
        <f t="shared" si="1"/>
        <v>0</v>
      </c>
      <c r="AI22" s="1054" t="str">
        <f>IF(AH22&lt;=1,"Remota",VLOOKUP(AH22,[93]Listas!$C$6:$D$10,2,0))</f>
        <v>Remota</v>
      </c>
      <c r="AJ22" s="323">
        <f t="shared" si="2"/>
        <v>2</v>
      </c>
      <c r="AK22" s="1054" t="str">
        <f>IF(AJ22&lt;=1,"Insignificante",HLOOKUP(AJ22,[93]Listas!$F$3:$J$4,2,0))</f>
        <v>Menor</v>
      </c>
      <c r="AL22" s="1055">
        <f t="shared" si="3"/>
        <v>0</v>
      </c>
      <c r="AM22" s="1051" t="str">
        <f>INDEX([93]Listas!$F$6:$J$10,MATCH(AI22,[93]Listas!$D$6:$D$10,0),MATCH(AK22,[93]Listas!$F$4:$J$4,0))</f>
        <v>2
INFERIOR</v>
      </c>
      <c r="AN22" s="259" t="s">
        <v>2572</v>
      </c>
      <c r="AO22" s="259" t="s">
        <v>2565</v>
      </c>
      <c r="AP22" s="1044">
        <v>0</v>
      </c>
      <c r="AQ22" s="259" t="s">
        <v>3554</v>
      </c>
      <c r="AR22" s="259" t="s">
        <v>3566</v>
      </c>
      <c r="AS22" s="1050" t="s">
        <v>36</v>
      </c>
      <c r="AT22" s="259"/>
      <c r="AU22" s="259"/>
      <c r="AV22" s="261"/>
      <c r="AW22" s="261"/>
      <c r="AX22" s="1042"/>
      <c r="AY22" s="262"/>
    </row>
    <row r="23" spans="1:51" s="260" customFormat="1" ht="103.5" customHeight="1">
      <c r="A23" s="1049" t="s">
        <v>72</v>
      </c>
      <c r="B23" s="1045" t="s">
        <v>757</v>
      </c>
      <c r="C23" s="1320" t="s">
        <v>4135</v>
      </c>
      <c r="D23" s="1320"/>
      <c r="E23" s="1320"/>
      <c r="F23" s="1046" t="s">
        <v>772</v>
      </c>
      <c r="G23" s="1272" t="s">
        <v>758</v>
      </c>
      <c r="H23" s="1273"/>
      <c r="I23" s="1274"/>
      <c r="J23" s="2493" t="s">
        <v>742</v>
      </c>
      <c r="K23" s="1320"/>
      <c r="L23" s="1320"/>
      <c r="M23" s="1043"/>
      <c r="N23" s="1043"/>
      <c r="O23" s="1043"/>
      <c r="P23" s="1043"/>
      <c r="Q23" s="1046" t="s">
        <v>64</v>
      </c>
      <c r="R23" s="1046" t="s">
        <v>661</v>
      </c>
      <c r="S23" s="301"/>
      <c r="T23" s="1053"/>
      <c r="U23" s="1053"/>
      <c r="V23" s="1051" t="str">
        <f>INDEX([93]Listas!$F$6:$J$10,MATCH(Q23,[93]Listas!$D$6:$D$10,0),MATCH(R23,[93]Listas!$F$4:$J$4,0))</f>
        <v>3
INFERIOR</v>
      </c>
      <c r="W23" s="301"/>
      <c r="X23" s="2495" t="s">
        <v>1566</v>
      </c>
      <c r="Y23" s="1545"/>
      <c r="Z23" s="1545"/>
      <c r="AA23" s="1068" t="s">
        <v>4245</v>
      </c>
      <c r="AB23" s="1045" t="s">
        <v>1543</v>
      </c>
      <c r="AC23" s="1056" t="s">
        <v>759</v>
      </c>
      <c r="AD23" s="1043">
        <v>87</v>
      </c>
      <c r="AE23" s="1045" t="s">
        <v>153</v>
      </c>
      <c r="AF23" s="301"/>
      <c r="AG23" s="1053">
        <f t="shared" si="0"/>
        <v>2</v>
      </c>
      <c r="AH23" s="323"/>
      <c r="AI23" s="1054" t="str">
        <f>IF(AH23&lt;=1,"Remota",VLOOKUP(AH23,[93]Listas!$C$6:$D$10,2,0))</f>
        <v>Remota</v>
      </c>
      <c r="AJ23" s="323"/>
      <c r="AK23" s="1054" t="str">
        <f>IF(AJ23&lt;=1,"Insignificante",HLOOKUP(AJ23,[93]Listas!$F$3:$J$4,2,0))</f>
        <v>Insignificante</v>
      </c>
      <c r="AL23" s="1055"/>
      <c r="AM23" s="340" t="str">
        <f>INDEX([93]Listas!$F$6:$J$10,MATCH(AI23,[93]Listas!$D$6:$D$10,0),MATCH(AK23,[93]Listas!$F$4:$J$4,0))</f>
        <v>1
INFERIOR</v>
      </c>
      <c r="AN23" s="259" t="s">
        <v>2573</v>
      </c>
      <c r="AO23" s="259" t="s">
        <v>2555</v>
      </c>
      <c r="AP23" s="1044">
        <v>0</v>
      </c>
      <c r="AQ23" s="259" t="s">
        <v>3554</v>
      </c>
      <c r="AR23" s="259" t="s">
        <v>4136</v>
      </c>
      <c r="AS23" s="1050" t="s">
        <v>36</v>
      </c>
      <c r="AT23" s="259"/>
      <c r="AU23" s="259"/>
      <c r="AV23" s="261"/>
      <c r="AW23" s="261"/>
      <c r="AX23" s="1042"/>
      <c r="AY23" s="262"/>
    </row>
    <row r="24" spans="1:51" s="260" customFormat="1" ht="103.5" customHeight="1">
      <c r="A24" s="1049" t="s">
        <v>72</v>
      </c>
      <c r="B24" s="1045" t="s">
        <v>2098</v>
      </c>
      <c r="C24" s="1320" t="s">
        <v>1452</v>
      </c>
      <c r="D24" s="1320"/>
      <c r="E24" s="1320"/>
      <c r="F24" s="1046" t="s">
        <v>772</v>
      </c>
      <c r="G24" s="1272" t="s">
        <v>760</v>
      </c>
      <c r="H24" s="1273"/>
      <c r="I24" s="1274"/>
      <c r="J24" s="2493" t="s">
        <v>761</v>
      </c>
      <c r="K24" s="1320"/>
      <c r="L24" s="1320"/>
      <c r="M24" s="1043"/>
      <c r="N24" s="1043">
        <v>6</v>
      </c>
      <c r="O24" s="1043" t="s">
        <v>8</v>
      </c>
      <c r="P24" s="1043" t="s">
        <v>8</v>
      </c>
      <c r="Q24" s="1046" t="s">
        <v>654</v>
      </c>
      <c r="R24" s="1046" t="s">
        <v>274</v>
      </c>
      <c r="S24" s="301"/>
      <c r="T24" s="1053">
        <f>VLOOKUP(Q24,[95]Listas!$D$6:$E$10,2,0)</f>
        <v>1</v>
      </c>
      <c r="U24" s="1053">
        <f>HLOOKUP(R24,[95]Listas!$F$4:$J$5,2,0)</f>
        <v>3</v>
      </c>
      <c r="V24" s="1051" t="str">
        <f>INDEX([95]Listas!$F$6:$J$10,MATCH(Q24,[95]Listas!$D$6:$D$10,0),MATCH(R24,[95]Listas!$F$4:$J$4,0))</f>
        <v>3
INFERIOR</v>
      </c>
      <c r="W24" s="301"/>
      <c r="X24" s="2495" t="s">
        <v>762</v>
      </c>
      <c r="Y24" s="1545"/>
      <c r="Z24" s="1545"/>
      <c r="AA24" s="1068" t="s">
        <v>4246</v>
      </c>
      <c r="AB24" s="1045" t="s">
        <v>1543</v>
      </c>
      <c r="AC24" s="1056" t="s">
        <v>763</v>
      </c>
      <c r="AD24" s="1043">
        <v>79</v>
      </c>
      <c r="AE24" s="1045" t="s">
        <v>152</v>
      </c>
      <c r="AF24" s="301"/>
      <c r="AG24" s="1053">
        <f>IF(AD24&lt;=33,0,IF(AD24&gt;81,2,1))</f>
        <v>1</v>
      </c>
      <c r="AH24" s="323">
        <f>IF(OR(AE24="Probabilidad",AE24="Ambos"),T24-AG24,T24)</f>
        <v>0</v>
      </c>
      <c r="AI24" s="1054" t="str">
        <f>IF(AH24&lt;=1,"Remota",VLOOKUP(AH24,[95]Listas!$C$6:$D$10,2,0))</f>
        <v>Remota</v>
      </c>
      <c r="AJ24" s="323">
        <f>IF(OR(AE24="Impacto",AE24="Ambos"),U24-AG24,U24)</f>
        <v>2</v>
      </c>
      <c r="AK24" s="1054" t="str">
        <f>IF(AJ24&lt;=1,"Insignificante",HLOOKUP(AJ24,[95]Listas!$F$3:$J$4,2,0))</f>
        <v>Menor</v>
      </c>
      <c r="AL24" s="1055">
        <f>AH24*AJ24</f>
        <v>0</v>
      </c>
      <c r="AM24" s="1051" t="str">
        <f>INDEX([95]Listas!$F$6:$J$10,MATCH(AI24,[95]Listas!$D$6:$D$10,0),MATCH(AK24,[95]Listas!$F$4:$J$4,0))</f>
        <v>2
INFERIOR</v>
      </c>
      <c r="AN24" s="259" t="s">
        <v>2574</v>
      </c>
      <c r="AO24" s="259" t="s">
        <v>2555</v>
      </c>
      <c r="AP24" s="1044">
        <v>0</v>
      </c>
      <c r="AQ24" s="259" t="s">
        <v>3554</v>
      </c>
      <c r="AR24" s="259" t="s">
        <v>3557</v>
      </c>
      <c r="AS24" s="1050" t="s">
        <v>36</v>
      </c>
      <c r="AT24" s="259"/>
      <c r="AU24" s="259"/>
      <c r="AV24" s="261"/>
      <c r="AW24" s="261"/>
      <c r="AX24" s="1042"/>
      <c r="AY24" s="262"/>
    </row>
    <row r="25" spans="1:51" s="260" customFormat="1" ht="103.5" customHeight="1">
      <c r="A25" s="1049" t="s">
        <v>72</v>
      </c>
      <c r="B25" s="1045" t="s">
        <v>2099</v>
      </c>
      <c r="C25" s="1320" t="s">
        <v>1568</v>
      </c>
      <c r="D25" s="1320"/>
      <c r="E25" s="1320"/>
      <c r="F25" s="1046" t="s">
        <v>772</v>
      </c>
      <c r="G25" s="1272" t="s">
        <v>764</v>
      </c>
      <c r="H25" s="1273"/>
      <c r="I25" s="1274"/>
      <c r="J25" s="2493" t="s">
        <v>765</v>
      </c>
      <c r="K25" s="1320"/>
      <c r="L25" s="1320"/>
      <c r="M25" s="1043"/>
      <c r="N25" s="1043">
        <v>6</v>
      </c>
      <c r="O25" s="1043" t="s">
        <v>8</v>
      </c>
      <c r="P25" s="1043"/>
      <c r="Q25" s="1046" t="s">
        <v>64</v>
      </c>
      <c r="R25" s="1046" t="s">
        <v>661</v>
      </c>
      <c r="S25" s="301"/>
      <c r="T25" s="1053">
        <f>VLOOKUP(Q25,[93]Listas!$D$6:$E$10,2,0)</f>
        <v>3</v>
      </c>
      <c r="U25" s="1053">
        <f>HLOOKUP(R25,[93]Listas!$F$4:$J$5,2,0)</f>
        <v>1</v>
      </c>
      <c r="V25" s="1051" t="str">
        <f>INDEX([93]Listas!$F$6:$J$10,MATCH(Q25,[93]Listas!$D$6:$D$10,0),MATCH(R25,[93]Listas!$F$4:$J$4,0))</f>
        <v>3
INFERIOR</v>
      </c>
      <c r="W25" s="301"/>
      <c r="X25" s="2495" t="s">
        <v>3568</v>
      </c>
      <c r="Y25" s="1545"/>
      <c r="Z25" s="1545"/>
      <c r="AA25" s="1068" t="s">
        <v>4247</v>
      </c>
      <c r="AB25" s="1045" t="s">
        <v>1543</v>
      </c>
      <c r="AC25" s="1056" t="s">
        <v>766</v>
      </c>
      <c r="AD25" s="1043">
        <v>64</v>
      </c>
      <c r="AE25" s="1045" t="s">
        <v>153</v>
      </c>
      <c r="AF25" s="301"/>
      <c r="AG25" s="1053">
        <f t="shared" si="0"/>
        <v>1</v>
      </c>
      <c r="AH25" s="323">
        <f t="shared" si="1"/>
        <v>2</v>
      </c>
      <c r="AI25" s="1054" t="str">
        <f>IF(AH25&lt;=1,"Remota",VLOOKUP(AH25,[93]Listas!$C$6:$D$10,2,0))</f>
        <v>Baja</v>
      </c>
      <c r="AJ25" s="323">
        <f t="shared" si="2"/>
        <v>1</v>
      </c>
      <c r="AK25" s="1054" t="str">
        <f>IF(AJ25&lt;=1,"Insignificante",HLOOKUP(AJ25,[93]Listas!$F$3:$J$4,2,0))</f>
        <v>Insignificante</v>
      </c>
      <c r="AL25" s="1055">
        <f t="shared" si="3"/>
        <v>2</v>
      </c>
      <c r="AM25" s="1051" t="str">
        <f>INDEX([93]Listas!$F$6:$J$10,MATCH(AI25,[93]Listas!$D$6:$D$10,0),MATCH(AK25,[93]Listas!$F$4:$J$4,0))</f>
        <v>2
INFERIOR</v>
      </c>
      <c r="AN25" s="259" t="s">
        <v>2575</v>
      </c>
      <c r="AO25" s="259" t="s">
        <v>2565</v>
      </c>
      <c r="AP25" s="1044">
        <v>0</v>
      </c>
      <c r="AQ25" s="259" t="s">
        <v>3554</v>
      </c>
      <c r="AR25" s="259" t="s">
        <v>3569</v>
      </c>
      <c r="AS25" s="1050" t="s">
        <v>36</v>
      </c>
      <c r="AT25" s="259"/>
      <c r="AU25" s="259"/>
      <c r="AV25" s="261"/>
      <c r="AW25" s="261"/>
      <c r="AX25" s="1042"/>
      <c r="AY25" s="262"/>
    </row>
    <row r="26" spans="1:51" s="260" customFormat="1" ht="103.5" customHeight="1">
      <c r="A26" s="1043" t="s">
        <v>72</v>
      </c>
      <c r="B26" s="1045" t="s">
        <v>2100</v>
      </c>
      <c r="C26" s="1320" t="s">
        <v>1569</v>
      </c>
      <c r="D26" s="1320"/>
      <c r="E26" s="1320"/>
      <c r="F26" s="1046" t="s">
        <v>772</v>
      </c>
      <c r="G26" s="1272" t="s">
        <v>767</v>
      </c>
      <c r="H26" s="1273"/>
      <c r="I26" s="1274"/>
      <c r="J26" s="2493" t="s">
        <v>768</v>
      </c>
      <c r="K26" s="1320"/>
      <c r="L26" s="1320"/>
      <c r="M26" s="1043"/>
      <c r="N26" s="1043">
        <v>6</v>
      </c>
      <c r="O26" s="1043" t="s">
        <v>8</v>
      </c>
      <c r="P26" s="1043" t="s">
        <v>8</v>
      </c>
      <c r="Q26" s="1046" t="s">
        <v>655</v>
      </c>
      <c r="R26" s="1046" t="s">
        <v>643</v>
      </c>
      <c r="S26" s="301"/>
      <c r="T26" s="1053">
        <f>VLOOKUP(Q26,[93]Listas!$D$6:$E$10,2,0)</f>
        <v>2</v>
      </c>
      <c r="U26" s="1053">
        <f>HLOOKUP(R26,[93]Listas!$F$4:$J$5,2,0)</f>
        <v>2</v>
      </c>
      <c r="V26" s="1051" t="str">
        <f>INDEX([93]Listas!$F$6:$J$10,MATCH(Q26,[93]Listas!$D$6:$D$10,0),MATCH(R26,[93]Listas!$F$4:$J$4,0))</f>
        <v>4
INFERIOR</v>
      </c>
      <c r="W26" s="301"/>
      <c r="X26" s="2495" t="s">
        <v>769</v>
      </c>
      <c r="Y26" s="1545"/>
      <c r="Z26" s="1545"/>
      <c r="AA26" s="1068" t="s">
        <v>4248</v>
      </c>
      <c r="AB26" s="1045" t="s">
        <v>1543</v>
      </c>
      <c r="AC26" s="1056" t="s">
        <v>770</v>
      </c>
      <c r="AD26" s="1043">
        <v>87</v>
      </c>
      <c r="AE26" s="1045" t="s">
        <v>152</v>
      </c>
      <c r="AF26" s="301"/>
      <c r="AG26" s="1053">
        <f t="shared" si="0"/>
        <v>2</v>
      </c>
      <c r="AH26" s="323">
        <f t="shared" si="1"/>
        <v>0</v>
      </c>
      <c r="AI26" s="1054" t="str">
        <f>IF(AH26&lt;=1,"Remota",VLOOKUP(AH26,[93]Listas!$C$6:$D$10,2,0))</f>
        <v>Remota</v>
      </c>
      <c r="AJ26" s="323">
        <f t="shared" si="2"/>
        <v>0</v>
      </c>
      <c r="AK26" s="1054" t="str">
        <f>IF(AJ26&lt;=1,"Insignificante",HLOOKUP(AJ26,[93]Listas!$F$3:$J$4,2,0))</f>
        <v>Insignificante</v>
      </c>
      <c r="AL26" s="1055">
        <f t="shared" si="3"/>
        <v>0</v>
      </c>
      <c r="AM26" s="1051" t="str">
        <f>INDEX([93]Listas!$F$6:$J$10,MATCH(AI26,[93]Listas!$D$6:$D$10,0),MATCH(AK26,[93]Listas!$F$4:$J$4,0))</f>
        <v>1
INFERIOR</v>
      </c>
      <c r="AN26" s="339" t="s">
        <v>2576</v>
      </c>
      <c r="AO26" s="259" t="s">
        <v>2577</v>
      </c>
      <c r="AP26" s="1044">
        <v>0</v>
      </c>
      <c r="AQ26" s="259" t="s">
        <v>3570</v>
      </c>
      <c r="AR26" s="259" t="s">
        <v>3557</v>
      </c>
      <c r="AS26" s="1050" t="s">
        <v>36</v>
      </c>
      <c r="AT26" s="259"/>
      <c r="AU26" s="259"/>
      <c r="AV26" s="261"/>
      <c r="AW26" s="261"/>
      <c r="AX26" s="1042"/>
      <c r="AY26" s="262"/>
    </row>
    <row r="27" spans="1:51" s="260" customFormat="1" ht="103.5" hidden="1" customHeight="1">
      <c r="A27" s="1042"/>
      <c r="B27" s="266"/>
      <c r="C27" s="1399"/>
      <c r="D27" s="1408"/>
      <c r="E27" s="1400"/>
      <c r="F27" s="267"/>
      <c r="G27" s="1399"/>
      <c r="H27" s="1408"/>
      <c r="I27" s="1400"/>
      <c r="J27" s="1380"/>
      <c r="K27" s="1380"/>
      <c r="L27" s="1380"/>
      <c r="M27" s="1042"/>
      <c r="N27" s="1042"/>
      <c r="O27" s="1042"/>
      <c r="P27" s="1042"/>
      <c r="Q27" s="266"/>
      <c r="R27" s="266"/>
      <c r="S27" s="268"/>
      <c r="T27" s="269" t="e">
        <f>VLOOKUP(Q27,[71]Listas!$D$6:$E$10,2,0)</f>
        <v>#N/A</v>
      </c>
      <c r="U27" s="269" t="e">
        <f>HLOOKUP(R27,[71]Listas!$F$4:$J$5,2,0)</f>
        <v>#N/A</v>
      </c>
      <c r="V27" s="270" t="e">
        <f>INDEX([71]Listas!$F$6:$J$10,MATCH(Q27,[71]Listas!$D$6:$D$10,0),MATCH(R27,[71]Listas!$F$4:$J$4,0))</f>
        <v>#N/A</v>
      </c>
      <c r="W27" s="268"/>
      <c r="X27" s="2495"/>
      <c r="Y27" s="1545"/>
      <c r="Z27" s="1545"/>
      <c r="AA27" s="1068"/>
      <c r="AB27" s="267"/>
      <c r="AC27" s="259"/>
      <c r="AD27" s="1042"/>
      <c r="AE27" s="267"/>
      <c r="AF27" s="268"/>
      <c r="AG27" s="269">
        <f t="shared" si="0"/>
        <v>0</v>
      </c>
      <c r="AH27" s="271" t="e">
        <f t="shared" si="1"/>
        <v>#N/A</v>
      </c>
      <c r="AI27" s="272" t="e">
        <f>IF(AH27&lt;=1,"Remota",VLOOKUP(AH27,[71]Listas!$C$6:$D$10,2,0))</f>
        <v>#N/A</v>
      </c>
      <c r="AJ27" s="271" t="e">
        <f t="shared" si="2"/>
        <v>#N/A</v>
      </c>
      <c r="AK27" s="272" t="e">
        <f>IF(AJ27&lt;=1,"Insignificante",HLOOKUP(AJ27,[71]Listas!$F$3:$J$4,2,0))</f>
        <v>#N/A</v>
      </c>
      <c r="AL27" s="273" t="e">
        <f t="shared" si="3"/>
        <v>#N/A</v>
      </c>
      <c r="AM27" s="270" t="e">
        <f>INDEX([71]Listas!$F$6:$J$10,MATCH(AI27,[71]Listas!$D$6:$D$10,0),MATCH(AK27,[71]Listas!$F$4:$J$4,0))</f>
        <v>#N/A</v>
      </c>
      <c r="AN27" s="259"/>
      <c r="AO27" s="259"/>
      <c r="AP27" s="1044"/>
      <c r="AQ27" s="259"/>
      <c r="AR27" s="259" t="s">
        <v>2877</v>
      </c>
      <c r="AS27" s="1042"/>
      <c r="AT27" s="259"/>
      <c r="AU27" s="259"/>
      <c r="AV27" s="261"/>
      <c r="AW27" s="261"/>
      <c r="AX27" s="1042"/>
      <c r="AY27" s="262"/>
    </row>
    <row r="28" spans="1:51" s="260" customFormat="1" ht="103.5" hidden="1" customHeight="1">
      <c r="A28" s="1042"/>
      <c r="B28" s="266"/>
      <c r="C28" s="1399"/>
      <c r="D28" s="1408"/>
      <c r="E28" s="1400"/>
      <c r="F28" s="267"/>
      <c r="G28" s="1399"/>
      <c r="H28" s="1408"/>
      <c r="I28" s="1400"/>
      <c r="J28" s="1380"/>
      <c r="K28" s="1380"/>
      <c r="L28" s="1380"/>
      <c r="M28" s="1042"/>
      <c r="N28" s="1042"/>
      <c r="O28" s="1042"/>
      <c r="P28" s="1042"/>
      <c r="Q28" s="266"/>
      <c r="R28" s="266"/>
      <c r="S28" s="268"/>
      <c r="T28" s="269" t="e">
        <f>VLOOKUP(Q28,[71]Listas!$D$6:$E$10,2,0)</f>
        <v>#N/A</v>
      </c>
      <c r="U28" s="269" t="e">
        <f>HLOOKUP(R28,[71]Listas!$F$4:$J$5,2,0)</f>
        <v>#N/A</v>
      </c>
      <c r="V28" s="270" t="e">
        <f>INDEX([71]Listas!$F$6:$J$10,MATCH(Q28,[71]Listas!$D$6:$D$10,0),MATCH(R28,[71]Listas!$F$4:$J$4,0))</f>
        <v>#N/A</v>
      </c>
      <c r="W28" s="268"/>
      <c r="X28" s="1399"/>
      <c r="Y28" s="1408"/>
      <c r="Z28" s="1400"/>
      <c r="AA28" s="1063"/>
      <c r="AB28" s="267"/>
      <c r="AC28" s="259"/>
      <c r="AD28" s="1042"/>
      <c r="AE28" s="267"/>
      <c r="AF28" s="268"/>
      <c r="AG28" s="269">
        <f t="shared" si="0"/>
        <v>0</v>
      </c>
      <c r="AH28" s="271" t="e">
        <f t="shared" si="1"/>
        <v>#N/A</v>
      </c>
      <c r="AI28" s="272" t="e">
        <f>IF(AH28&lt;=1,"Remota",VLOOKUP(AH28,[71]Listas!$C$6:$D$10,2,0))</f>
        <v>#N/A</v>
      </c>
      <c r="AJ28" s="271" t="e">
        <f t="shared" si="2"/>
        <v>#N/A</v>
      </c>
      <c r="AK28" s="272" t="e">
        <f>IF(AJ28&lt;=1,"Insignificante",HLOOKUP(AJ28,[71]Listas!$F$3:$J$4,2,0))</f>
        <v>#N/A</v>
      </c>
      <c r="AL28" s="273" t="e">
        <f t="shared" si="3"/>
        <v>#N/A</v>
      </c>
      <c r="AM28" s="270" t="e">
        <f>INDEX([71]Listas!$F$6:$J$10,MATCH(AI28,[71]Listas!$D$6:$D$10,0),MATCH(AK28,[71]Listas!$F$4:$J$4,0))</f>
        <v>#N/A</v>
      </c>
      <c r="AN28" s="259"/>
      <c r="AO28" s="259"/>
      <c r="AP28" s="1044"/>
      <c r="AQ28" s="259"/>
      <c r="AR28" s="259" t="s">
        <v>2877</v>
      </c>
      <c r="AS28" s="1042"/>
      <c r="AT28" s="259"/>
      <c r="AU28" s="259"/>
      <c r="AV28" s="261"/>
      <c r="AW28" s="261"/>
      <c r="AX28" s="1042"/>
      <c r="AY28" s="262"/>
    </row>
    <row r="29" spans="1:51" s="260" customFormat="1" ht="103.5" hidden="1" customHeight="1">
      <c r="A29" s="1042"/>
      <c r="B29" s="266"/>
      <c r="C29" s="1399"/>
      <c r="D29" s="1408"/>
      <c r="E29" s="1400"/>
      <c r="F29" s="267"/>
      <c r="G29" s="1399"/>
      <c r="H29" s="1408"/>
      <c r="I29" s="1400"/>
      <c r="J29" s="1380"/>
      <c r="K29" s="1380"/>
      <c r="L29" s="1380"/>
      <c r="M29" s="1042"/>
      <c r="N29" s="1042"/>
      <c r="O29" s="1042"/>
      <c r="P29" s="1042"/>
      <c r="Q29" s="266"/>
      <c r="R29" s="266"/>
      <c r="S29" s="268"/>
      <c r="T29" s="269" t="e">
        <f>VLOOKUP(Q29,[71]Listas!$D$6:$E$10,2,0)</f>
        <v>#N/A</v>
      </c>
      <c r="U29" s="269" t="e">
        <f>HLOOKUP(R29,[71]Listas!$F$4:$J$5,2,0)</f>
        <v>#N/A</v>
      </c>
      <c r="V29" s="270" t="e">
        <f>INDEX([71]Listas!$F$6:$J$10,MATCH(Q29,[71]Listas!$D$6:$D$10,0),MATCH(R29,[71]Listas!$F$4:$J$4,0))</f>
        <v>#N/A</v>
      </c>
      <c r="W29" s="268"/>
      <c r="X29" s="1399"/>
      <c r="Y29" s="1408"/>
      <c r="Z29" s="1400"/>
      <c r="AA29" s="1063"/>
      <c r="AB29" s="267"/>
      <c r="AC29" s="259"/>
      <c r="AD29" s="1042"/>
      <c r="AE29" s="267"/>
      <c r="AF29" s="268"/>
      <c r="AG29" s="269">
        <f t="shared" si="0"/>
        <v>0</v>
      </c>
      <c r="AH29" s="271" t="e">
        <f t="shared" si="1"/>
        <v>#N/A</v>
      </c>
      <c r="AI29" s="272" t="e">
        <f>IF(AH29&lt;=1,"Remota",VLOOKUP(AH29,[71]Listas!$C$6:$D$10,2,0))</f>
        <v>#N/A</v>
      </c>
      <c r="AJ29" s="271" t="e">
        <f t="shared" si="2"/>
        <v>#N/A</v>
      </c>
      <c r="AK29" s="272" t="e">
        <f>IF(AJ29&lt;=1,"Insignificante",HLOOKUP(AJ29,[71]Listas!$F$3:$J$4,2,0))</f>
        <v>#N/A</v>
      </c>
      <c r="AL29" s="273" t="e">
        <f t="shared" si="3"/>
        <v>#N/A</v>
      </c>
      <c r="AM29" s="270" t="e">
        <f>INDEX([71]Listas!$F$6:$J$10,MATCH(AI29,[71]Listas!$D$6:$D$10,0),MATCH(AK29,[71]Listas!$F$4:$J$4,0))</f>
        <v>#N/A</v>
      </c>
      <c r="AN29" s="259"/>
      <c r="AO29" s="259"/>
      <c r="AP29" s="1044"/>
      <c r="AQ29" s="259"/>
      <c r="AR29" s="259" t="s">
        <v>2877</v>
      </c>
      <c r="AS29" s="1042"/>
      <c r="AT29" s="259"/>
      <c r="AU29" s="259"/>
      <c r="AV29" s="261"/>
      <c r="AW29" s="261"/>
      <c r="AX29" s="1042"/>
      <c r="AY29" s="262"/>
    </row>
    <row r="30" spans="1:51" s="260" customFormat="1" ht="103.5" hidden="1" customHeight="1">
      <c r="A30" s="1042"/>
      <c r="B30" s="266"/>
      <c r="C30" s="1399"/>
      <c r="D30" s="1408"/>
      <c r="E30" s="1400"/>
      <c r="F30" s="267"/>
      <c r="G30" s="1399"/>
      <c r="H30" s="1408"/>
      <c r="I30" s="1400"/>
      <c r="J30" s="1380"/>
      <c r="K30" s="1380"/>
      <c r="L30" s="1380"/>
      <c r="M30" s="1042"/>
      <c r="N30" s="1042"/>
      <c r="O30" s="1042"/>
      <c r="P30" s="1042"/>
      <c r="Q30" s="266"/>
      <c r="R30" s="266"/>
      <c r="S30" s="268"/>
      <c r="T30" s="269" t="e">
        <f>VLOOKUP(Q30,[71]Listas!$D$6:$E$10,2,0)</f>
        <v>#N/A</v>
      </c>
      <c r="U30" s="269" t="e">
        <f>HLOOKUP(R30,[71]Listas!$F$4:$J$5,2,0)</f>
        <v>#N/A</v>
      </c>
      <c r="V30" s="270" t="e">
        <f>INDEX([71]Listas!$F$6:$J$10,MATCH(Q30,[71]Listas!$D$6:$D$10,0),MATCH(R30,[71]Listas!$F$4:$J$4,0))</f>
        <v>#N/A</v>
      </c>
      <c r="W30" s="268"/>
      <c r="X30" s="1399"/>
      <c r="Y30" s="1408"/>
      <c r="Z30" s="1400"/>
      <c r="AA30" s="1063"/>
      <c r="AB30" s="267"/>
      <c r="AC30" s="259"/>
      <c r="AD30" s="1042"/>
      <c r="AE30" s="267"/>
      <c r="AF30" s="268"/>
      <c r="AG30" s="269">
        <f t="shared" si="0"/>
        <v>0</v>
      </c>
      <c r="AH30" s="271" t="e">
        <f t="shared" si="1"/>
        <v>#N/A</v>
      </c>
      <c r="AI30" s="272" t="e">
        <f>IF(AH30&lt;=1,"Remota",VLOOKUP(AH30,[71]Listas!$C$6:$D$10,2,0))</f>
        <v>#N/A</v>
      </c>
      <c r="AJ30" s="271" t="e">
        <f t="shared" si="2"/>
        <v>#N/A</v>
      </c>
      <c r="AK30" s="272" t="e">
        <f>IF(AJ30&lt;=1,"Insignificante",HLOOKUP(AJ30,[71]Listas!$F$3:$J$4,2,0))</f>
        <v>#N/A</v>
      </c>
      <c r="AL30" s="273" t="e">
        <f t="shared" si="3"/>
        <v>#N/A</v>
      </c>
      <c r="AM30" s="270" t="e">
        <f>INDEX([71]Listas!$F$6:$J$10,MATCH(AI30,[71]Listas!$D$6:$D$10,0),MATCH(AK30,[71]Listas!$F$4:$J$4,0))</f>
        <v>#N/A</v>
      </c>
      <c r="AN30" s="259"/>
      <c r="AO30" s="259"/>
      <c r="AP30" s="1044"/>
      <c r="AQ30" s="259"/>
      <c r="AR30" s="259" t="s">
        <v>2877</v>
      </c>
      <c r="AS30" s="1042"/>
      <c r="AT30" s="259"/>
      <c r="AU30" s="259"/>
      <c r="AV30" s="261"/>
      <c r="AW30" s="261"/>
      <c r="AX30" s="1042"/>
      <c r="AY30" s="262"/>
    </row>
    <row r="31" spans="1:51" s="260" customFormat="1" ht="103.5" hidden="1" customHeight="1">
      <c r="A31" s="1042"/>
      <c r="B31" s="266"/>
      <c r="C31" s="1399"/>
      <c r="D31" s="1408"/>
      <c r="E31" s="1400"/>
      <c r="F31" s="267"/>
      <c r="G31" s="1399"/>
      <c r="H31" s="1408"/>
      <c r="I31" s="1400"/>
      <c r="J31" s="1380"/>
      <c r="K31" s="1380"/>
      <c r="L31" s="1380"/>
      <c r="M31" s="1042"/>
      <c r="N31" s="1042"/>
      <c r="O31" s="1042"/>
      <c r="P31" s="1042"/>
      <c r="Q31" s="266"/>
      <c r="R31" s="266"/>
      <c r="S31" s="268"/>
      <c r="T31" s="269" t="e">
        <f>VLOOKUP(Q31,[71]Listas!$D$6:$E$10,2,0)</f>
        <v>#N/A</v>
      </c>
      <c r="U31" s="269" t="e">
        <f>HLOOKUP(R31,[71]Listas!$F$4:$J$5,2,0)</f>
        <v>#N/A</v>
      </c>
      <c r="V31" s="270" t="e">
        <f>INDEX([71]Listas!$F$6:$J$10,MATCH(Q31,[71]Listas!$D$6:$D$10,0),MATCH(R31,[71]Listas!$F$4:$J$4,0))</f>
        <v>#N/A</v>
      </c>
      <c r="W31" s="268"/>
      <c r="X31" s="1399"/>
      <c r="Y31" s="1408"/>
      <c r="Z31" s="1400"/>
      <c r="AA31" s="1063"/>
      <c r="AB31" s="267"/>
      <c r="AC31" s="259"/>
      <c r="AD31" s="1042"/>
      <c r="AE31" s="267"/>
      <c r="AF31" s="268"/>
      <c r="AG31" s="269">
        <f t="shared" si="0"/>
        <v>0</v>
      </c>
      <c r="AH31" s="271" t="e">
        <f t="shared" si="1"/>
        <v>#N/A</v>
      </c>
      <c r="AI31" s="272" t="e">
        <f>IF(AH31&lt;=1,"Remota",VLOOKUP(AH31,[71]Listas!$C$6:$D$10,2,0))</f>
        <v>#N/A</v>
      </c>
      <c r="AJ31" s="271" t="e">
        <f t="shared" si="2"/>
        <v>#N/A</v>
      </c>
      <c r="AK31" s="272" t="e">
        <f>IF(AJ31&lt;=1,"Insignificante",HLOOKUP(AJ31,[71]Listas!$F$3:$J$4,2,0))</f>
        <v>#N/A</v>
      </c>
      <c r="AL31" s="273" t="e">
        <f t="shared" si="3"/>
        <v>#N/A</v>
      </c>
      <c r="AM31" s="270" t="e">
        <f>INDEX([71]Listas!$F$6:$J$10,MATCH(AI31,[71]Listas!$D$6:$D$10,0),MATCH(AK31,[71]Listas!$F$4:$J$4,0))</f>
        <v>#N/A</v>
      </c>
      <c r="AN31" s="259"/>
      <c r="AO31" s="259"/>
      <c r="AP31" s="1044"/>
      <c r="AQ31" s="259"/>
      <c r="AR31" s="259" t="s">
        <v>2877</v>
      </c>
      <c r="AS31" s="1042"/>
      <c r="AT31" s="259"/>
      <c r="AU31" s="259"/>
      <c r="AV31" s="261"/>
      <c r="AW31" s="261"/>
      <c r="AX31" s="1042"/>
      <c r="AY31" s="262"/>
    </row>
    <row r="32" spans="1:51" s="260" customFormat="1" ht="103.5" hidden="1" customHeight="1">
      <c r="A32" s="1042"/>
      <c r="B32" s="266"/>
      <c r="C32" s="1399"/>
      <c r="D32" s="1408"/>
      <c r="E32" s="1400"/>
      <c r="F32" s="267"/>
      <c r="G32" s="1399"/>
      <c r="H32" s="1408"/>
      <c r="I32" s="1400"/>
      <c r="J32" s="1380"/>
      <c r="K32" s="1380"/>
      <c r="L32" s="1380"/>
      <c r="M32" s="1042"/>
      <c r="N32" s="1042"/>
      <c r="O32" s="1042"/>
      <c r="P32" s="1042"/>
      <c r="Q32" s="266"/>
      <c r="R32" s="266"/>
      <c r="S32" s="268"/>
      <c r="T32" s="269" t="e">
        <f>VLOOKUP(Q32,[71]Listas!$D$6:$E$10,2,0)</f>
        <v>#N/A</v>
      </c>
      <c r="U32" s="269" t="e">
        <f>HLOOKUP(R32,[71]Listas!$F$4:$J$5,2,0)</f>
        <v>#N/A</v>
      </c>
      <c r="V32" s="270" t="e">
        <f>INDEX([71]Listas!$F$6:$J$10,MATCH(Q32,[71]Listas!$D$6:$D$10,0),MATCH(R32,[71]Listas!$F$4:$J$4,0))</f>
        <v>#N/A</v>
      </c>
      <c r="W32" s="268"/>
      <c r="X32" s="1399"/>
      <c r="Y32" s="1408"/>
      <c r="Z32" s="1400"/>
      <c r="AA32" s="1063"/>
      <c r="AB32" s="267"/>
      <c r="AC32" s="259"/>
      <c r="AD32" s="1042"/>
      <c r="AE32" s="267"/>
      <c r="AF32" s="268"/>
      <c r="AG32" s="269">
        <f t="shared" si="0"/>
        <v>0</v>
      </c>
      <c r="AH32" s="271" t="e">
        <f t="shared" si="1"/>
        <v>#N/A</v>
      </c>
      <c r="AI32" s="272" t="e">
        <f>IF(AH32&lt;=1,"Remota",VLOOKUP(AH32,[71]Listas!$C$6:$D$10,2,0))</f>
        <v>#N/A</v>
      </c>
      <c r="AJ32" s="271" t="e">
        <f t="shared" si="2"/>
        <v>#N/A</v>
      </c>
      <c r="AK32" s="272" t="e">
        <f>IF(AJ32&lt;=1,"Insignificante",HLOOKUP(AJ32,[71]Listas!$F$3:$J$4,2,0))</f>
        <v>#N/A</v>
      </c>
      <c r="AL32" s="273" t="e">
        <f t="shared" si="3"/>
        <v>#N/A</v>
      </c>
      <c r="AM32" s="270" t="e">
        <f>INDEX([71]Listas!$F$6:$J$10,MATCH(AI32,[71]Listas!$D$6:$D$10,0),MATCH(AK32,[71]Listas!$F$4:$J$4,0))</f>
        <v>#N/A</v>
      </c>
      <c r="AN32" s="259"/>
      <c r="AO32" s="259"/>
      <c r="AP32" s="1044"/>
      <c r="AQ32" s="259"/>
      <c r="AR32" s="259" t="s">
        <v>2877</v>
      </c>
      <c r="AS32" s="1042"/>
      <c r="AT32" s="259"/>
      <c r="AU32" s="259"/>
      <c r="AV32" s="261"/>
      <c r="AW32" s="261"/>
      <c r="AX32" s="1042"/>
      <c r="AY32" s="262"/>
    </row>
    <row r="33" spans="1:51" s="260" customFormat="1" ht="103.5" hidden="1" customHeight="1">
      <c r="A33" s="1042"/>
      <c r="B33" s="266"/>
      <c r="C33" s="1399"/>
      <c r="D33" s="1408"/>
      <c r="E33" s="1400"/>
      <c r="F33" s="267"/>
      <c r="G33" s="1399"/>
      <c r="H33" s="1408"/>
      <c r="I33" s="1400"/>
      <c r="J33" s="1380"/>
      <c r="K33" s="1380"/>
      <c r="L33" s="1380"/>
      <c r="M33" s="1042"/>
      <c r="N33" s="1042"/>
      <c r="O33" s="1042"/>
      <c r="P33" s="1042"/>
      <c r="Q33" s="266"/>
      <c r="R33" s="266"/>
      <c r="S33" s="268"/>
      <c r="T33" s="269" t="e">
        <f>VLOOKUP(Q33,[71]Listas!$D$6:$E$10,2,0)</f>
        <v>#N/A</v>
      </c>
      <c r="U33" s="269" t="e">
        <f>HLOOKUP(R33,[71]Listas!$F$4:$J$5,2,0)</f>
        <v>#N/A</v>
      </c>
      <c r="V33" s="270" t="e">
        <f>INDEX([71]Listas!$F$6:$J$10,MATCH(Q33,[71]Listas!$D$6:$D$10,0),MATCH(R33,[71]Listas!$F$4:$J$4,0))</f>
        <v>#N/A</v>
      </c>
      <c r="W33" s="268"/>
      <c r="X33" s="1399"/>
      <c r="Y33" s="1408"/>
      <c r="Z33" s="1400"/>
      <c r="AA33" s="1063"/>
      <c r="AB33" s="267"/>
      <c r="AC33" s="259"/>
      <c r="AD33" s="1042"/>
      <c r="AE33" s="267"/>
      <c r="AF33" s="268"/>
      <c r="AG33" s="269">
        <f t="shared" si="0"/>
        <v>0</v>
      </c>
      <c r="AH33" s="271" t="e">
        <f t="shared" si="1"/>
        <v>#N/A</v>
      </c>
      <c r="AI33" s="272" t="e">
        <f>IF(AH33&lt;=1,"Remota",VLOOKUP(AH33,[71]Listas!$C$6:$D$10,2,0))</f>
        <v>#N/A</v>
      </c>
      <c r="AJ33" s="271" t="e">
        <f t="shared" si="2"/>
        <v>#N/A</v>
      </c>
      <c r="AK33" s="272" t="e">
        <f>IF(AJ33&lt;=1,"Insignificante",HLOOKUP(AJ33,[71]Listas!$F$3:$J$4,2,0))</f>
        <v>#N/A</v>
      </c>
      <c r="AL33" s="273" t="e">
        <f t="shared" si="3"/>
        <v>#N/A</v>
      </c>
      <c r="AM33" s="270" t="e">
        <f>INDEX([71]Listas!$F$6:$J$10,MATCH(AI33,[71]Listas!$D$6:$D$10,0),MATCH(AK33,[71]Listas!$F$4:$J$4,0))</f>
        <v>#N/A</v>
      </c>
      <c r="AN33" s="259"/>
      <c r="AO33" s="259"/>
      <c r="AP33" s="1044"/>
      <c r="AQ33" s="259"/>
      <c r="AR33" s="259" t="s">
        <v>2877</v>
      </c>
      <c r="AS33" s="1042"/>
      <c r="AT33" s="259"/>
      <c r="AU33" s="259"/>
      <c r="AV33" s="261"/>
      <c r="AW33" s="261"/>
      <c r="AX33" s="1042"/>
      <c r="AY33" s="262"/>
    </row>
    <row r="34" spans="1:51" s="260" customFormat="1" ht="103.5" hidden="1" customHeight="1">
      <c r="A34" s="1042"/>
      <c r="B34" s="266"/>
      <c r="C34" s="1399"/>
      <c r="D34" s="1408"/>
      <c r="E34" s="1400"/>
      <c r="F34" s="267"/>
      <c r="G34" s="1399"/>
      <c r="H34" s="1408"/>
      <c r="I34" s="1400"/>
      <c r="J34" s="1380"/>
      <c r="K34" s="1380"/>
      <c r="L34" s="1380"/>
      <c r="M34" s="1042"/>
      <c r="N34" s="1042"/>
      <c r="O34" s="1042"/>
      <c r="P34" s="1042"/>
      <c r="Q34" s="266"/>
      <c r="R34" s="266"/>
      <c r="S34" s="268"/>
      <c r="T34" s="269" t="e">
        <f>VLOOKUP(Q34,[71]Listas!$D$6:$E$10,2,0)</f>
        <v>#N/A</v>
      </c>
      <c r="U34" s="269" t="e">
        <f>HLOOKUP(R34,[71]Listas!$F$4:$J$5,2,0)</f>
        <v>#N/A</v>
      </c>
      <c r="V34" s="270" t="e">
        <f>INDEX([71]Listas!$F$6:$J$10,MATCH(Q34,[71]Listas!$D$6:$D$10,0),MATCH(R34,[71]Listas!$F$4:$J$4,0))</f>
        <v>#N/A</v>
      </c>
      <c r="W34" s="268"/>
      <c r="X34" s="1399"/>
      <c r="Y34" s="1408"/>
      <c r="Z34" s="1400"/>
      <c r="AA34" s="1063"/>
      <c r="AB34" s="267"/>
      <c r="AC34" s="259"/>
      <c r="AD34" s="1042"/>
      <c r="AE34" s="267"/>
      <c r="AF34" s="268"/>
      <c r="AG34" s="269">
        <f t="shared" si="0"/>
        <v>0</v>
      </c>
      <c r="AH34" s="271" t="e">
        <f t="shared" si="1"/>
        <v>#N/A</v>
      </c>
      <c r="AI34" s="272" t="e">
        <f>IF(AH34&lt;=1,"Remota",VLOOKUP(AH34,[71]Listas!$C$6:$D$10,2,0))</f>
        <v>#N/A</v>
      </c>
      <c r="AJ34" s="271" t="e">
        <f t="shared" si="2"/>
        <v>#N/A</v>
      </c>
      <c r="AK34" s="272" t="e">
        <f>IF(AJ34&lt;=1,"Insignificante",HLOOKUP(AJ34,[71]Listas!$F$3:$J$4,2,0))</f>
        <v>#N/A</v>
      </c>
      <c r="AL34" s="273" t="e">
        <f t="shared" si="3"/>
        <v>#N/A</v>
      </c>
      <c r="AM34" s="270" t="e">
        <f>INDEX([71]Listas!$F$6:$J$10,MATCH(AI34,[71]Listas!$D$6:$D$10,0),MATCH(AK34,[71]Listas!$F$4:$J$4,0))</f>
        <v>#N/A</v>
      </c>
      <c r="AN34" s="259"/>
      <c r="AO34" s="259"/>
      <c r="AP34" s="1044"/>
      <c r="AQ34" s="259"/>
      <c r="AR34" s="259" t="s">
        <v>2877</v>
      </c>
      <c r="AS34" s="1042"/>
      <c r="AT34" s="259"/>
      <c r="AU34" s="259"/>
      <c r="AV34" s="261"/>
      <c r="AW34" s="261"/>
      <c r="AX34" s="1042"/>
      <c r="AY34" s="262"/>
    </row>
    <row r="35" spans="1:51" s="260" customFormat="1" ht="103.5" hidden="1" customHeight="1">
      <c r="A35" s="1042"/>
      <c r="B35" s="266"/>
      <c r="C35" s="1399"/>
      <c r="D35" s="1408"/>
      <c r="E35" s="1400"/>
      <c r="F35" s="267"/>
      <c r="G35" s="1399"/>
      <c r="H35" s="1408"/>
      <c r="I35" s="1400"/>
      <c r="J35" s="1380"/>
      <c r="K35" s="1380"/>
      <c r="L35" s="1380"/>
      <c r="M35" s="1042"/>
      <c r="N35" s="1042"/>
      <c r="O35" s="1042"/>
      <c r="P35" s="1042"/>
      <c r="Q35" s="266"/>
      <c r="R35" s="266"/>
      <c r="S35" s="268"/>
      <c r="T35" s="269" t="e">
        <f>VLOOKUP(Q35,[71]Listas!$D$6:$E$10,2,0)</f>
        <v>#N/A</v>
      </c>
      <c r="U35" s="269" t="e">
        <f>HLOOKUP(R35,[71]Listas!$F$4:$J$5,2,0)</f>
        <v>#N/A</v>
      </c>
      <c r="V35" s="270" t="e">
        <f>INDEX([71]Listas!$F$6:$J$10,MATCH(Q35,[71]Listas!$D$6:$D$10,0),MATCH(R35,[71]Listas!$F$4:$J$4,0))</f>
        <v>#N/A</v>
      </c>
      <c r="W35" s="268"/>
      <c r="X35" s="1399"/>
      <c r="Y35" s="1408"/>
      <c r="Z35" s="1400"/>
      <c r="AA35" s="1063"/>
      <c r="AB35" s="267"/>
      <c r="AC35" s="259"/>
      <c r="AD35" s="1042"/>
      <c r="AE35" s="267"/>
      <c r="AF35" s="268"/>
      <c r="AG35" s="269">
        <f t="shared" si="0"/>
        <v>0</v>
      </c>
      <c r="AH35" s="271" t="e">
        <f t="shared" si="1"/>
        <v>#N/A</v>
      </c>
      <c r="AI35" s="272" t="e">
        <f>IF(AH35&lt;=1,"Remota",VLOOKUP(AH35,[71]Listas!$C$6:$D$10,2,0))</f>
        <v>#N/A</v>
      </c>
      <c r="AJ35" s="271" t="e">
        <f t="shared" si="2"/>
        <v>#N/A</v>
      </c>
      <c r="AK35" s="272" t="e">
        <f>IF(AJ35&lt;=1,"Insignificante",HLOOKUP(AJ35,[71]Listas!$F$3:$J$4,2,0))</f>
        <v>#N/A</v>
      </c>
      <c r="AL35" s="273" t="e">
        <f t="shared" si="3"/>
        <v>#N/A</v>
      </c>
      <c r="AM35" s="270" t="e">
        <f>INDEX([71]Listas!$F$6:$J$10,MATCH(AI35,[71]Listas!$D$6:$D$10,0),MATCH(AK35,[71]Listas!$F$4:$J$4,0))</f>
        <v>#N/A</v>
      </c>
      <c r="AN35" s="259"/>
      <c r="AO35" s="259"/>
      <c r="AP35" s="1044"/>
      <c r="AQ35" s="259"/>
      <c r="AR35" s="259" t="s">
        <v>2877</v>
      </c>
      <c r="AS35" s="1042"/>
      <c r="AT35" s="259"/>
      <c r="AU35" s="259"/>
      <c r="AV35" s="261"/>
      <c r="AW35" s="261"/>
      <c r="AX35" s="1042"/>
      <c r="AY35" s="262"/>
    </row>
    <row r="36" spans="1:51" s="260" customFormat="1" ht="103.5" hidden="1" customHeight="1">
      <c r="A36" s="1042"/>
      <c r="B36" s="266"/>
      <c r="C36" s="1399"/>
      <c r="D36" s="1408"/>
      <c r="E36" s="1400"/>
      <c r="F36" s="267"/>
      <c r="G36" s="1399"/>
      <c r="H36" s="1408"/>
      <c r="I36" s="1400"/>
      <c r="J36" s="1380"/>
      <c r="K36" s="1380"/>
      <c r="L36" s="1380"/>
      <c r="M36" s="1042"/>
      <c r="N36" s="1042"/>
      <c r="O36" s="1042"/>
      <c r="P36" s="1042"/>
      <c r="Q36" s="266"/>
      <c r="R36" s="266"/>
      <c r="S36" s="268"/>
      <c r="T36" s="269" t="e">
        <f>VLOOKUP(Q36,[71]Listas!$D$6:$E$10,2,0)</f>
        <v>#N/A</v>
      </c>
      <c r="U36" s="269" t="e">
        <f>HLOOKUP(R36,[71]Listas!$F$4:$J$5,2,0)</f>
        <v>#N/A</v>
      </c>
      <c r="V36" s="270" t="e">
        <f>INDEX([71]Listas!$F$6:$J$10,MATCH(Q36,[71]Listas!$D$6:$D$10,0),MATCH(R36,[71]Listas!$F$4:$J$4,0))</f>
        <v>#N/A</v>
      </c>
      <c r="W36" s="268"/>
      <c r="X36" s="1399"/>
      <c r="Y36" s="1408"/>
      <c r="Z36" s="1400"/>
      <c r="AA36" s="1063"/>
      <c r="AB36" s="267"/>
      <c r="AC36" s="259"/>
      <c r="AD36" s="1042"/>
      <c r="AE36" s="267"/>
      <c r="AF36" s="268"/>
      <c r="AG36" s="269">
        <f t="shared" si="0"/>
        <v>0</v>
      </c>
      <c r="AH36" s="271" t="e">
        <f t="shared" si="1"/>
        <v>#N/A</v>
      </c>
      <c r="AI36" s="272" t="e">
        <f>IF(AH36&lt;=1,"Remota",VLOOKUP(AH36,[71]Listas!$C$6:$D$10,2,0))</f>
        <v>#N/A</v>
      </c>
      <c r="AJ36" s="271" t="e">
        <f t="shared" si="2"/>
        <v>#N/A</v>
      </c>
      <c r="AK36" s="272" t="e">
        <f>IF(AJ36&lt;=1,"Insignificante",HLOOKUP(AJ36,[71]Listas!$F$3:$J$4,2,0))</f>
        <v>#N/A</v>
      </c>
      <c r="AL36" s="273" t="e">
        <f t="shared" si="3"/>
        <v>#N/A</v>
      </c>
      <c r="AM36" s="270" t="e">
        <f>INDEX([71]Listas!$F$6:$J$10,MATCH(AI36,[71]Listas!$D$6:$D$10,0),MATCH(AK36,[71]Listas!$F$4:$J$4,0))</f>
        <v>#N/A</v>
      </c>
      <c r="AN36" s="259"/>
      <c r="AO36" s="259"/>
      <c r="AP36" s="1044"/>
      <c r="AQ36" s="259"/>
      <c r="AR36" s="259" t="s">
        <v>2877</v>
      </c>
      <c r="AS36" s="1042"/>
      <c r="AT36" s="259"/>
      <c r="AU36" s="259"/>
      <c r="AV36" s="261"/>
      <c r="AW36" s="261"/>
      <c r="AX36" s="1042"/>
      <c r="AY36" s="262"/>
    </row>
    <row r="37" spans="1:51" s="260" customFormat="1" ht="103.5" hidden="1" customHeight="1">
      <c r="A37" s="1042"/>
      <c r="B37" s="266"/>
      <c r="C37" s="1399"/>
      <c r="D37" s="1408"/>
      <c r="E37" s="1400"/>
      <c r="F37" s="267"/>
      <c r="G37" s="1399"/>
      <c r="H37" s="1408"/>
      <c r="I37" s="1400"/>
      <c r="J37" s="1380"/>
      <c r="K37" s="1380"/>
      <c r="L37" s="1380"/>
      <c r="M37" s="1042"/>
      <c r="N37" s="1042"/>
      <c r="O37" s="1042"/>
      <c r="P37" s="1042"/>
      <c r="Q37" s="266"/>
      <c r="R37" s="266"/>
      <c r="S37" s="268"/>
      <c r="T37" s="269" t="e">
        <f>VLOOKUP(Q37,[71]Listas!$D$6:$E$10,2,0)</f>
        <v>#N/A</v>
      </c>
      <c r="U37" s="269" t="e">
        <f>HLOOKUP(R37,[71]Listas!$F$4:$J$5,2,0)</f>
        <v>#N/A</v>
      </c>
      <c r="V37" s="270" t="e">
        <f>INDEX([71]Listas!$F$6:$J$10,MATCH(Q37,[71]Listas!$D$6:$D$10,0),MATCH(R37,[71]Listas!$F$4:$J$4,0))</f>
        <v>#N/A</v>
      </c>
      <c r="W37" s="268"/>
      <c r="X37" s="1399"/>
      <c r="Y37" s="1408"/>
      <c r="Z37" s="1400"/>
      <c r="AA37" s="1063"/>
      <c r="AB37" s="267"/>
      <c r="AC37" s="259"/>
      <c r="AD37" s="1042"/>
      <c r="AE37" s="267"/>
      <c r="AF37" s="268"/>
      <c r="AG37" s="269">
        <f t="shared" si="0"/>
        <v>0</v>
      </c>
      <c r="AH37" s="271" t="e">
        <f t="shared" si="1"/>
        <v>#N/A</v>
      </c>
      <c r="AI37" s="272" t="e">
        <f>IF(AH37&lt;=1,"Remota",VLOOKUP(AH37,[71]Listas!$C$6:$D$10,2,0))</f>
        <v>#N/A</v>
      </c>
      <c r="AJ37" s="271" t="e">
        <f t="shared" si="2"/>
        <v>#N/A</v>
      </c>
      <c r="AK37" s="272" t="e">
        <f>IF(AJ37&lt;=1,"Insignificante",HLOOKUP(AJ37,[71]Listas!$F$3:$J$4,2,0))</f>
        <v>#N/A</v>
      </c>
      <c r="AL37" s="273" t="e">
        <f t="shared" si="3"/>
        <v>#N/A</v>
      </c>
      <c r="AM37" s="270" t="e">
        <f>INDEX([71]Listas!$F$6:$J$10,MATCH(AI37,[71]Listas!$D$6:$D$10,0),MATCH(AK37,[71]Listas!$F$4:$J$4,0))</f>
        <v>#N/A</v>
      </c>
      <c r="AN37" s="259"/>
      <c r="AO37" s="259"/>
      <c r="AP37" s="1044"/>
      <c r="AQ37" s="259"/>
      <c r="AR37" s="259" t="s">
        <v>2877</v>
      </c>
      <c r="AS37" s="1042"/>
      <c r="AT37" s="259"/>
      <c r="AU37" s="259"/>
      <c r="AV37" s="261"/>
      <c r="AW37" s="261"/>
      <c r="AX37" s="1042"/>
      <c r="AY37" s="262"/>
    </row>
    <row r="38" spans="1:51" s="260" customFormat="1" ht="103.5" hidden="1" customHeight="1">
      <c r="A38" s="1042"/>
      <c r="B38" s="266"/>
      <c r="C38" s="1399"/>
      <c r="D38" s="1408"/>
      <c r="E38" s="1400"/>
      <c r="F38" s="267"/>
      <c r="G38" s="1399"/>
      <c r="H38" s="1408"/>
      <c r="I38" s="1400"/>
      <c r="J38" s="1380"/>
      <c r="K38" s="1380"/>
      <c r="L38" s="1380"/>
      <c r="M38" s="1042"/>
      <c r="N38" s="1042"/>
      <c r="O38" s="1042"/>
      <c r="P38" s="1042"/>
      <c r="Q38" s="266"/>
      <c r="R38" s="266"/>
      <c r="S38" s="268"/>
      <c r="T38" s="269" t="e">
        <f>VLOOKUP(Q38,[71]Listas!$D$6:$E$10,2,0)</f>
        <v>#N/A</v>
      </c>
      <c r="U38" s="269" t="e">
        <f>HLOOKUP(R38,[71]Listas!$F$4:$J$5,2,0)</f>
        <v>#N/A</v>
      </c>
      <c r="V38" s="270" t="e">
        <f>INDEX([71]Listas!$F$6:$J$10,MATCH(Q38,[71]Listas!$D$6:$D$10,0),MATCH(R38,[71]Listas!$F$4:$J$4,0))</f>
        <v>#N/A</v>
      </c>
      <c r="W38" s="268"/>
      <c r="X38" s="1399"/>
      <c r="Y38" s="1408"/>
      <c r="Z38" s="1400"/>
      <c r="AA38" s="1063"/>
      <c r="AB38" s="267"/>
      <c r="AC38" s="259"/>
      <c r="AD38" s="1042"/>
      <c r="AE38" s="267"/>
      <c r="AF38" s="268"/>
      <c r="AG38" s="269">
        <f t="shared" si="0"/>
        <v>0</v>
      </c>
      <c r="AH38" s="271" t="e">
        <f t="shared" si="1"/>
        <v>#N/A</v>
      </c>
      <c r="AI38" s="272" t="e">
        <f>IF(AH38&lt;=1,"Remota",VLOOKUP(AH38,[71]Listas!$C$6:$D$10,2,0))</f>
        <v>#N/A</v>
      </c>
      <c r="AJ38" s="271" t="e">
        <f t="shared" si="2"/>
        <v>#N/A</v>
      </c>
      <c r="AK38" s="272" t="e">
        <f>IF(AJ38&lt;=1,"Insignificante",HLOOKUP(AJ38,[71]Listas!$F$3:$J$4,2,0))</f>
        <v>#N/A</v>
      </c>
      <c r="AL38" s="273" t="e">
        <f t="shared" si="3"/>
        <v>#N/A</v>
      </c>
      <c r="AM38" s="270" t="e">
        <f>INDEX([71]Listas!$F$6:$J$10,MATCH(AI38,[71]Listas!$D$6:$D$10,0),MATCH(AK38,[71]Listas!$F$4:$J$4,0))</f>
        <v>#N/A</v>
      </c>
      <c r="AN38" s="259"/>
      <c r="AO38" s="259"/>
      <c r="AP38" s="1044"/>
      <c r="AQ38" s="259"/>
      <c r="AR38" s="259" t="s">
        <v>2877</v>
      </c>
      <c r="AS38" s="1042"/>
      <c r="AT38" s="259"/>
      <c r="AU38" s="259"/>
      <c r="AV38" s="261"/>
      <c r="AW38" s="261"/>
      <c r="AX38" s="1042"/>
      <c r="AY38" s="262"/>
    </row>
    <row r="39" spans="1:51" s="260" customFormat="1" ht="103.5" hidden="1" customHeight="1">
      <c r="A39" s="1042"/>
      <c r="B39" s="266"/>
      <c r="C39" s="1399"/>
      <c r="D39" s="1408"/>
      <c r="E39" s="1400"/>
      <c r="F39" s="267"/>
      <c r="G39" s="1399"/>
      <c r="H39" s="1408"/>
      <c r="I39" s="1400"/>
      <c r="J39" s="1380"/>
      <c r="K39" s="1380"/>
      <c r="L39" s="1380"/>
      <c r="M39" s="1042"/>
      <c r="N39" s="1042"/>
      <c r="O39" s="1042"/>
      <c r="P39" s="1042"/>
      <c r="Q39" s="266"/>
      <c r="R39" s="266"/>
      <c r="S39" s="268"/>
      <c r="T39" s="269" t="e">
        <f>VLOOKUP(Q39,[71]Listas!$D$6:$E$10,2,0)</f>
        <v>#N/A</v>
      </c>
      <c r="U39" s="269" t="e">
        <f>HLOOKUP(R39,[71]Listas!$F$4:$J$5,2,0)</f>
        <v>#N/A</v>
      </c>
      <c r="V39" s="270" t="e">
        <f>INDEX([71]Listas!$F$6:$J$10,MATCH(Q39,[71]Listas!$D$6:$D$10,0),MATCH(R39,[71]Listas!$F$4:$J$4,0))</f>
        <v>#N/A</v>
      </c>
      <c r="W39" s="268"/>
      <c r="X39" s="1399"/>
      <c r="Y39" s="1408"/>
      <c r="Z39" s="1400"/>
      <c r="AA39" s="1063"/>
      <c r="AB39" s="267"/>
      <c r="AC39" s="259"/>
      <c r="AD39" s="1042"/>
      <c r="AE39" s="267"/>
      <c r="AF39" s="268"/>
      <c r="AG39" s="269">
        <f t="shared" si="0"/>
        <v>0</v>
      </c>
      <c r="AH39" s="271" t="e">
        <f t="shared" si="1"/>
        <v>#N/A</v>
      </c>
      <c r="AI39" s="272" t="e">
        <f>IF(AH39&lt;=1,"Remota",VLOOKUP(AH39,[71]Listas!$C$6:$D$10,2,0))</f>
        <v>#N/A</v>
      </c>
      <c r="AJ39" s="271" t="e">
        <f t="shared" si="2"/>
        <v>#N/A</v>
      </c>
      <c r="AK39" s="272" t="e">
        <f>IF(AJ39&lt;=1,"Insignificante",HLOOKUP(AJ39,[71]Listas!$F$3:$J$4,2,0))</f>
        <v>#N/A</v>
      </c>
      <c r="AL39" s="273" t="e">
        <f t="shared" si="3"/>
        <v>#N/A</v>
      </c>
      <c r="AM39" s="270" t="e">
        <f>INDEX([71]Listas!$F$6:$J$10,MATCH(AI39,[71]Listas!$D$6:$D$10,0),MATCH(AK39,[71]Listas!$F$4:$J$4,0))</f>
        <v>#N/A</v>
      </c>
      <c r="AN39" s="259"/>
      <c r="AO39" s="259"/>
      <c r="AP39" s="1044"/>
      <c r="AQ39" s="259"/>
      <c r="AR39" s="259" t="s">
        <v>2877</v>
      </c>
      <c r="AS39" s="1042"/>
      <c r="AT39" s="259"/>
      <c r="AU39" s="259"/>
      <c r="AV39" s="261"/>
      <c r="AW39" s="261"/>
      <c r="AX39" s="1042"/>
      <c r="AY39" s="262"/>
    </row>
    <row r="40" spans="1:51" s="260" customFormat="1" ht="103.5" hidden="1" customHeight="1">
      <c r="A40" s="1042"/>
      <c r="B40" s="266"/>
      <c r="C40" s="1399"/>
      <c r="D40" s="1408"/>
      <c r="E40" s="1400"/>
      <c r="F40" s="266"/>
      <c r="G40" s="1399"/>
      <c r="H40" s="1408"/>
      <c r="I40" s="1400"/>
      <c r="J40" s="1380"/>
      <c r="K40" s="1380"/>
      <c r="L40" s="1380"/>
      <c r="M40" s="1042"/>
      <c r="N40" s="1042"/>
      <c r="O40" s="1042"/>
      <c r="P40" s="1042"/>
      <c r="Q40" s="266"/>
      <c r="R40" s="266"/>
      <c r="S40" s="268"/>
      <c r="T40" s="269" t="e">
        <f>VLOOKUP(Q40,[71]Listas!$D$6:$E$10,2,0)</f>
        <v>#N/A</v>
      </c>
      <c r="U40" s="269" t="e">
        <f>HLOOKUP(R40,[71]Listas!$F$4:$J$5,2,0)</f>
        <v>#N/A</v>
      </c>
      <c r="V40" s="270" t="e">
        <f>INDEX([71]Listas!$F$6:$J$10,MATCH(Q40,[71]Listas!$D$6:$D$10,0),MATCH(R40,[71]Listas!$F$4:$J$4,0))</f>
        <v>#N/A</v>
      </c>
      <c r="W40" s="268"/>
      <c r="X40" s="1399"/>
      <c r="Y40" s="1408"/>
      <c r="Z40" s="1400"/>
      <c r="AA40" s="1063"/>
      <c r="AB40" s="267"/>
      <c r="AC40" s="259"/>
      <c r="AD40" s="1042"/>
      <c r="AE40" s="267"/>
      <c r="AF40" s="268"/>
      <c r="AG40" s="269">
        <f>IF(AD40&lt;=33,0,IF(AD40&gt;81,2,1))</f>
        <v>0</v>
      </c>
      <c r="AH40" s="271" t="e">
        <f>IF(OR(AE40="Probabilidad",AE40="Ambos"),T40-AG40,T40)</f>
        <v>#N/A</v>
      </c>
      <c r="AI40" s="272" t="e">
        <f>IF(AH40&lt;=1,"Remota",VLOOKUP(AH40,[71]Listas!$C$6:$D$10,2,0))</f>
        <v>#N/A</v>
      </c>
      <c r="AJ40" s="271" t="e">
        <f>IF(OR(AE40="Impacto",AE40="Ambos"),U40-AG40,U40)</f>
        <v>#N/A</v>
      </c>
      <c r="AK40" s="272" t="e">
        <f>IF(AJ40&lt;=1,"Insignificante",HLOOKUP(AJ40,[71]Listas!$F$3:$J$4,2,0))</f>
        <v>#N/A</v>
      </c>
      <c r="AL40" s="273" t="e">
        <f>AH40*AJ40</f>
        <v>#N/A</v>
      </c>
      <c r="AM40" s="270" t="e">
        <f>INDEX([71]Listas!$F$6:$J$10,MATCH(AI40,[71]Listas!$D$6:$D$10,0),MATCH(AK40,[71]Listas!$F$4:$J$4,0))</f>
        <v>#N/A</v>
      </c>
      <c r="AN40" s="259"/>
      <c r="AO40" s="259"/>
      <c r="AP40" s="1044"/>
      <c r="AQ40" s="259"/>
      <c r="AR40" s="259" t="s">
        <v>2877</v>
      </c>
      <c r="AS40" s="1042"/>
      <c r="AU40" s="259"/>
      <c r="AV40" s="261"/>
      <c r="AW40" s="261"/>
      <c r="AX40" s="1042"/>
      <c r="AY40" s="262"/>
    </row>
    <row r="41" spans="1:51" s="260" customFormat="1" ht="103.5" hidden="1" customHeight="1">
      <c r="A41" s="1042"/>
      <c r="B41" s="266"/>
      <c r="C41" s="1399"/>
      <c r="D41" s="1408"/>
      <c r="E41" s="1400"/>
      <c r="F41" s="267"/>
      <c r="G41" s="1399"/>
      <c r="H41" s="1408"/>
      <c r="I41" s="1400"/>
      <c r="J41" s="1380"/>
      <c r="K41" s="1380"/>
      <c r="L41" s="1380"/>
      <c r="M41" s="1042"/>
      <c r="N41" s="1042"/>
      <c r="O41" s="1042"/>
      <c r="P41" s="1042"/>
      <c r="Q41" s="266"/>
      <c r="R41" s="266"/>
      <c r="S41" s="268"/>
      <c r="T41" s="269" t="e">
        <f>VLOOKUP(Q41,[71]Listas!$D$6:$E$10,2,0)</f>
        <v>#N/A</v>
      </c>
      <c r="U41" s="269" t="e">
        <f>HLOOKUP(R41,[71]Listas!$F$4:$J$5,2,0)</f>
        <v>#N/A</v>
      </c>
      <c r="V41" s="270" t="e">
        <f>INDEX([71]Listas!$F$6:$J$10,MATCH(Q41,[71]Listas!$D$6:$D$10,0),MATCH(R41,[71]Listas!$F$4:$J$4,0))</f>
        <v>#N/A</v>
      </c>
      <c r="W41" s="268"/>
      <c r="X41" s="1399"/>
      <c r="Y41" s="1408"/>
      <c r="Z41" s="1400"/>
      <c r="AA41" s="1063"/>
      <c r="AB41" s="267"/>
      <c r="AC41" s="259"/>
      <c r="AD41" s="1042"/>
      <c r="AE41" s="267"/>
      <c r="AF41" s="268"/>
      <c r="AG41" s="269">
        <f t="shared" ref="AG41:AG61" si="4">IF(AD41&lt;=33,0,IF(AD41&gt;81,2,1))</f>
        <v>0</v>
      </c>
      <c r="AH41" s="271" t="e">
        <f t="shared" ref="AH41:AH61" si="5">IF(OR(AE41="Probabilidad",AE41="Ambos"),T41-AG41,T41)</f>
        <v>#N/A</v>
      </c>
      <c r="AI41" s="272" t="e">
        <f>IF(AH41&lt;=1,"Remota",VLOOKUP(AH41,[71]Listas!$C$6:$D$10,2,0))</f>
        <v>#N/A</v>
      </c>
      <c r="AJ41" s="271" t="e">
        <f t="shared" ref="AJ41:AJ61" si="6">IF(OR(AE41="Impacto",AE41="Ambos"),U41-AG41,U41)</f>
        <v>#N/A</v>
      </c>
      <c r="AK41" s="272" t="e">
        <f>IF(AJ41&lt;=1,"Insignificante",HLOOKUP(AJ41,[71]Listas!$F$3:$J$4,2,0))</f>
        <v>#N/A</v>
      </c>
      <c r="AL41" s="273" t="e">
        <f t="shared" ref="AL41:AL61" si="7">AH41*AJ41</f>
        <v>#N/A</v>
      </c>
      <c r="AM41" s="270" t="e">
        <f>INDEX([71]Listas!$F$6:$J$10,MATCH(AI41,[71]Listas!$D$6:$D$10,0),MATCH(AK41,[71]Listas!$F$4:$J$4,0))</f>
        <v>#N/A</v>
      </c>
      <c r="AN41" s="259"/>
      <c r="AO41" s="259"/>
      <c r="AP41" s="1044"/>
      <c r="AQ41" s="259"/>
      <c r="AR41" s="259" t="s">
        <v>2877</v>
      </c>
      <c r="AS41" s="1042"/>
      <c r="AT41" s="259"/>
      <c r="AU41" s="259"/>
      <c r="AV41" s="261"/>
      <c r="AW41" s="261"/>
      <c r="AX41" s="1042"/>
      <c r="AY41" s="262"/>
    </row>
    <row r="42" spans="1:51" s="260" customFormat="1" ht="103.5" hidden="1" customHeight="1">
      <c r="A42" s="1042"/>
      <c r="B42" s="266"/>
      <c r="C42" s="1399"/>
      <c r="D42" s="1408"/>
      <c r="E42" s="1400"/>
      <c r="F42" s="267"/>
      <c r="G42" s="1399"/>
      <c r="H42" s="1408"/>
      <c r="I42" s="1400"/>
      <c r="J42" s="1380"/>
      <c r="K42" s="1380"/>
      <c r="L42" s="1380"/>
      <c r="M42" s="1042"/>
      <c r="N42" s="1042"/>
      <c r="O42" s="1042"/>
      <c r="P42" s="1042"/>
      <c r="Q42" s="266"/>
      <c r="R42" s="266"/>
      <c r="S42" s="268"/>
      <c r="T42" s="269" t="e">
        <f>VLOOKUP(Q42,[71]Listas!$D$6:$E$10,2,0)</f>
        <v>#N/A</v>
      </c>
      <c r="U42" s="269" t="e">
        <f>HLOOKUP(R42,[71]Listas!$F$4:$J$5,2,0)</f>
        <v>#N/A</v>
      </c>
      <c r="V42" s="270" t="e">
        <f>INDEX([71]Listas!$F$6:$J$10,MATCH(Q42,[71]Listas!$D$6:$D$10,0),MATCH(R42,[71]Listas!$F$4:$J$4,0))</f>
        <v>#N/A</v>
      </c>
      <c r="W42" s="268"/>
      <c r="X42" s="1399"/>
      <c r="Y42" s="1408"/>
      <c r="Z42" s="1400"/>
      <c r="AA42" s="1063"/>
      <c r="AB42" s="267"/>
      <c r="AC42" s="259"/>
      <c r="AD42" s="1042"/>
      <c r="AE42" s="267"/>
      <c r="AF42" s="268"/>
      <c r="AG42" s="269">
        <f t="shared" si="4"/>
        <v>0</v>
      </c>
      <c r="AH42" s="271" t="e">
        <f t="shared" si="5"/>
        <v>#N/A</v>
      </c>
      <c r="AI42" s="272" t="e">
        <f>IF(AH42&lt;=1,"Remota",VLOOKUP(AH42,[71]Listas!$C$6:$D$10,2,0))</f>
        <v>#N/A</v>
      </c>
      <c r="AJ42" s="271" t="e">
        <f t="shared" si="6"/>
        <v>#N/A</v>
      </c>
      <c r="AK42" s="272" t="e">
        <f>IF(AJ42&lt;=1,"Insignificante",HLOOKUP(AJ42,[71]Listas!$F$3:$J$4,2,0))</f>
        <v>#N/A</v>
      </c>
      <c r="AL42" s="273" t="e">
        <f t="shared" si="7"/>
        <v>#N/A</v>
      </c>
      <c r="AM42" s="270" t="e">
        <f>INDEX([71]Listas!$F$6:$J$10,MATCH(AI42,[71]Listas!$D$6:$D$10,0),MATCH(AK42,[71]Listas!$F$4:$J$4,0))</f>
        <v>#N/A</v>
      </c>
      <c r="AN42" s="259"/>
      <c r="AO42" s="259"/>
      <c r="AP42" s="1044"/>
      <c r="AQ42" s="259"/>
      <c r="AR42" s="259" t="s">
        <v>2877</v>
      </c>
      <c r="AS42" s="1042"/>
      <c r="AT42" s="259"/>
      <c r="AU42" s="259"/>
      <c r="AV42" s="261"/>
      <c r="AW42" s="261"/>
      <c r="AX42" s="1042"/>
      <c r="AY42" s="262"/>
    </row>
    <row r="43" spans="1:51" s="260" customFormat="1" ht="103.5" hidden="1" customHeight="1">
      <c r="A43" s="1042"/>
      <c r="B43" s="266"/>
      <c r="C43" s="1399"/>
      <c r="D43" s="1408"/>
      <c r="E43" s="1400"/>
      <c r="F43" s="267"/>
      <c r="G43" s="1399"/>
      <c r="H43" s="1408"/>
      <c r="I43" s="1400"/>
      <c r="J43" s="1380"/>
      <c r="K43" s="1380"/>
      <c r="L43" s="1380"/>
      <c r="M43" s="1042"/>
      <c r="N43" s="1042"/>
      <c r="O43" s="1042"/>
      <c r="P43" s="1042"/>
      <c r="Q43" s="266"/>
      <c r="R43" s="266"/>
      <c r="S43" s="268"/>
      <c r="T43" s="269" t="e">
        <f>VLOOKUP(Q43,[71]Listas!$D$6:$E$10,2,0)</f>
        <v>#N/A</v>
      </c>
      <c r="U43" s="269" t="e">
        <f>HLOOKUP(R43,[71]Listas!$F$4:$J$5,2,0)</f>
        <v>#N/A</v>
      </c>
      <c r="V43" s="270" t="e">
        <f>INDEX([71]Listas!$F$6:$J$10,MATCH(Q43,[71]Listas!$D$6:$D$10,0),MATCH(R43,[71]Listas!$F$4:$J$4,0))</f>
        <v>#N/A</v>
      </c>
      <c r="W43" s="268"/>
      <c r="X43" s="1399"/>
      <c r="Y43" s="1408"/>
      <c r="Z43" s="1400"/>
      <c r="AA43" s="1063"/>
      <c r="AB43" s="267"/>
      <c r="AC43" s="259"/>
      <c r="AD43" s="1042"/>
      <c r="AE43" s="267"/>
      <c r="AF43" s="268"/>
      <c r="AG43" s="269">
        <f t="shared" si="4"/>
        <v>0</v>
      </c>
      <c r="AH43" s="271" t="e">
        <f t="shared" si="5"/>
        <v>#N/A</v>
      </c>
      <c r="AI43" s="272" t="e">
        <f>IF(AH43&lt;=1,"Remota",VLOOKUP(AH43,[71]Listas!$C$6:$D$10,2,0))</f>
        <v>#N/A</v>
      </c>
      <c r="AJ43" s="271" t="e">
        <f t="shared" si="6"/>
        <v>#N/A</v>
      </c>
      <c r="AK43" s="272" t="e">
        <f>IF(AJ43&lt;=1,"Insignificante",HLOOKUP(AJ43,[71]Listas!$F$3:$J$4,2,0))</f>
        <v>#N/A</v>
      </c>
      <c r="AL43" s="273" t="e">
        <f t="shared" si="7"/>
        <v>#N/A</v>
      </c>
      <c r="AM43" s="270" t="e">
        <f>INDEX([71]Listas!$F$6:$J$10,MATCH(AI43,[71]Listas!$D$6:$D$10,0),MATCH(AK43,[71]Listas!$F$4:$J$4,0))</f>
        <v>#N/A</v>
      </c>
      <c r="AN43" s="259"/>
      <c r="AO43" s="259"/>
      <c r="AP43" s="1044"/>
      <c r="AQ43" s="259"/>
      <c r="AR43" s="259" t="s">
        <v>2877</v>
      </c>
      <c r="AS43" s="1042"/>
      <c r="AT43" s="259"/>
      <c r="AU43" s="259"/>
      <c r="AV43" s="261"/>
      <c r="AW43" s="261"/>
      <c r="AX43" s="1042"/>
      <c r="AY43" s="262"/>
    </row>
    <row r="44" spans="1:51" s="260" customFormat="1" ht="103.5" hidden="1" customHeight="1">
      <c r="A44" s="1042"/>
      <c r="B44" s="266"/>
      <c r="C44" s="1399"/>
      <c r="D44" s="1408"/>
      <c r="E44" s="1400"/>
      <c r="F44" s="267"/>
      <c r="G44" s="1399"/>
      <c r="H44" s="1408"/>
      <c r="I44" s="1400"/>
      <c r="J44" s="1380"/>
      <c r="K44" s="1380"/>
      <c r="L44" s="1380"/>
      <c r="M44" s="1042"/>
      <c r="N44" s="1042"/>
      <c r="O44" s="1042"/>
      <c r="P44" s="1042"/>
      <c r="Q44" s="266"/>
      <c r="R44" s="266"/>
      <c r="S44" s="268"/>
      <c r="T44" s="269" t="e">
        <f>VLOOKUP(Q44,[71]Listas!$D$6:$E$10,2,0)</f>
        <v>#N/A</v>
      </c>
      <c r="U44" s="269" t="e">
        <f>HLOOKUP(R44,[71]Listas!$F$4:$J$5,2,0)</f>
        <v>#N/A</v>
      </c>
      <c r="V44" s="270" t="e">
        <f>INDEX([71]Listas!$F$6:$J$10,MATCH(Q44,[71]Listas!$D$6:$D$10,0),MATCH(R44,[71]Listas!$F$4:$J$4,0))</f>
        <v>#N/A</v>
      </c>
      <c r="W44" s="268"/>
      <c r="X44" s="1399"/>
      <c r="Y44" s="1408"/>
      <c r="Z44" s="1400"/>
      <c r="AA44" s="1063"/>
      <c r="AB44" s="267"/>
      <c r="AC44" s="259"/>
      <c r="AD44" s="1042"/>
      <c r="AE44" s="267"/>
      <c r="AF44" s="268"/>
      <c r="AG44" s="269">
        <f t="shared" si="4"/>
        <v>0</v>
      </c>
      <c r="AH44" s="271" t="e">
        <f t="shared" si="5"/>
        <v>#N/A</v>
      </c>
      <c r="AI44" s="272" t="e">
        <f>IF(AH44&lt;=1,"Remota",VLOOKUP(AH44,[71]Listas!$C$6:$D$10,2,0))</f>
        <v>#N/A</v>
      </c>
      <c r="AJ44" s="271" t="e">
        <f t="shared" si="6"/>
        <v>#N/A</v>
      </c>
      <c r="AK44" s="272" t="e">
        <f>IF(AJ44&lt;=1,"Insignificante",HLOOKUP(AJ44,[71]Listas!$F$3:$J$4,2,0))</f>
        <v>#N/A</v>
      </c>
      <c r="AL44" s="273" t="e">
        <f t="shared" si="7"/>
        <v>#N/A</v>
      </c>
      <c r="AM44" s="270" t="e">
        <f>INDEX([71]Listas!$F$6:$J$10,MATCH(AI44,[71]Listas!$D$6:$D$10,0),MATCH(AK44,[71]Listas!$F$4:$J$4,0))</f>
        <v>#N/A</v>
      </c>
      <c r="AN44" s="259"/>
      <c r="AO44" s="259"/>
      <c r="AP44" s="1044"/>
      <c r="AQ44" s="259"/>
      <c r="AR44" s="259" t="s">
        <v>2877</v>
      </c>
      <c r="AS44" s="1042"/>
      <c r="AT44" s="259"/>
      <c r="AU44" s="259"/>
      <c r="AV44" s="261"/>
      <c r="AW44" s="261"/>
      <c r="AX44" s="1042"/>
      <c r="AY44" s="262"/>
    </row>
    <row r="45" spans="1:51" s="260" customFormat="1" ht="103.5" hidden="1" customHeight="1">
      <c r="A45" s="1042"/>
      <c r="B45" s="266"/>
      <c r="C45" s="1399"/>
      <c r="D45" s="1408"/>
      <c r="E45" s="1400"/>
      <c r="F45" s="267"/>
      <c r="G45" s="1399"/>
      <c r="H45" s="1408"/>
      <c r="I45" s="1400"/>
      <c r="J45" s="1380"/>
      <c r="K45" s="1380"/>
      <c r="L45" s="1380"/>
      <c r="M45" s="1042"/>
      <c r="N45" s="1042"/>
      <c r="O45" s="1042"/>
      <c r="P45" s="1042"/>
      <c r="Q45" s="266"/>
      <c r="R45" s="266"/>
      <c r="S45" s="268"/>
      <c r="T45" s="269" t="e">
        <f>VLOOKUP(Q45,[71]Listas!$D$6:$E$10,2,0)</f>
        <v>#N/A</v>
      </c>
      <c r="U45" s="269" t="e">
        <f>HLOOKUP(R45,[71]Listas!$F$4:$J$5,2,0)</f>
        <v>#N/A</v>
      </c>
      <c r="V45" s="270" t="e">
        <f>INDEX([71]Listas!$F$6:$J$10,MATCH(Q45,[71]Listas!$D$6:$D$10,0),MATCH(R45,[71]Listas!$F$4:$J$4,0))</f>
        <v>#N/A</v>
      </c>
      <c r="W45" s="268"/>
      <c r="X45" s="1399"/>
      <c r="Y45" s="1408"/>
      <c r="Z45" s="1400"/>
      <c r="AA45" s="1063"/>
      <c r="AB45" s="267"/>
      <c r="AC45" s="259"/>
      <c r="AD45" s="1042"/>
      <c r="AE45" s="267"/>
      <c r="AF45" s="268"/>
      <c r="AG45" s="269">
        <f t="shared" si="4"/>
        <v>0</v>
      </c>
      <c r="AH45" s="271" t="e">
        <f t="shared" si="5"/>
        <v>#N/A</v>
      </c>
      <c r="AI45" s="272" t="e">
        <f>IF(AH45&lt;=1,"Remota",VLOOKUP(AH45,[71]Listas!$C$6:$D$10,2,0))</f>
        <v>#N/A</v>
      </c>
      <c r="AJ45" s="271" t="e">
        <f t="shared" si="6"/>
        <v>#N/A</v>
      </c>
      <c r="AK45" s="272" t="e">
        <f>IF(AJ45&lt;=1,"Insignificante",HLOOKUP(AJ45,[71]Listas!$F$3:$J$4,2,0))</f>
        <v>#N/A</v>
      </c>
      <c r="AL45" s="273" t="e">
        <f t="shared" si="7"/>
        <v>#N/A</v>
      </c>
      <c r="AM45" s="270" t="e">
        <f>INDEX([71]Listas!$F$6:$J$10,MATCH(AI45,[71]Listas!$D$6:$D$10,0),MATCH(AK45,[71]Listas!$F$4:$J$4,0))</f>
        <v>#N/A</v>
      </c>
      <c r="AN45" s="259"/>
      <c r="AO45" s="259"/>
      <c r="AP45" s="1044"/>
      <c r="AQ45" s="259"/>
      <c r="AR45" s="259" t="s">
        <v>2877</v>
      </c>
      <c r="AS45" s="1042"/>
      <c r="AT45" s="259"/>
      <c r="AU45" s="259"/>
      <c r="AV45" s="261"/>
      <c r="AW45" s="261"/>
      <c r="AX45" s="1042"/>
      <c r="AY45" s="262"/>
    </row>
    <row r="46" spans="1:51" s="260" customFormat="1" ht="103.5" hidden="1" customHeight="1">
      <c r="A46" s="1042"/>
      <c r="B46" s="266"/>
      <c r="C46" s="1399"/>
      <c r="D46" s="1408"/>
      <c r="E46" s="1400"/>
      <c r="F46" s="267"/>
      <c r="G46" s="1399"/>
      <c r="H46" s="1408"/>
      <c r="I46" s="1400"/>
      <c r="J46" s="1380"/>
      <c r="K46" s="1380"/>
      <c r="L46" s="1380"/>
      <c r="M46" s="1042"/>
      <c r="N46" s="1042"/>
      <c r="O46" s="1042"/>
      <c r="P46" s="1042"/>
      <c r="Q46" s="266"/>
      <c r="R46" s="266"/>
      <c r="S46" s="268"/>
      <c r="T46" s="269" t="e">
        <f>VLOOKUP(Q46,[71]Listas!$D$6:$E$10,2,0)</f>
        <v>#N/A</v>
      </c>
      <c r="U46" s="269" t="e">
        <f>HLOOKUP(R46,[71]Listas!$F$4:$J$5,2,0)</f>
        <v>#N/A</v>
      </c>
      <c r="V46" s="270" t="e">
        <f>INDEX([71]Listas!$F$6:$J$10,MATCH(Q46,[71]Listas!$D$6:$D$10,0),MATCH(R46,[71]Listas!$F$4:$J$4,0))</f>
        <v>#N/A</v>
      </c>
      <c r="W46" s="268"/>
      <c r="X46" s="1399"/>
      <c r="Y46" s="1408"/>
      <c r="Z46" s="1400"/>
      <c r="AA46" s="1063"/>
      <c r="AB46" s="267"/>
      <c r="AC46" s="259"/>
      <c r="AD46" s="1042"/>
      <c r="AE46" s="267"/>
      <c r="AF46" s="268"/>
      <c r="AG46" s="269">
        <f t="shared" si="4"/>
        <v>0</v>
      </c>
      <c r="AH46" s="271" t="e">
        <f t="shared" si="5"/>
        <v>#N/A</v>
      </c>
      <c r="AI46" s="272" t="e">
        <f>IF(AH46&lt;=1,"Remota",VLOOKUP(AH46,[71]Listas!$C$6:$D$10,2,0))</f>
        <v>#N/A</v>
      </c>
      <c r="AJ46" s="271" t="e">
        <f t="shared" si="6"/>
        <v>#N/A</v>
      </c>
      <c r="AK46" s="272" t="e">
        <f>IF(AJ46&lt;=1,"Insignificante",HLOOKUP(AJ46,[71]Listas!$F$3:$J$4,2,0))</f>
        <v>#N/A</v>
      </c>
      <c r="AL46" s="273" t="e">
        <f t="shared" si="7"/>
        <v>#N/A</v>
      </c>
      <c r="AM46" s="270" t="e">
        <f>INDEX([71]Listas!$F$6:$J$10,MATCH(AI46,[71]Listas!$D$6:$D$10,0),MATCH(AK46,[71]Listas!$F$4:$J$4,0))</f>
        <v>#N/A</v>
      </c>
      <c r="AN46" s="259"/>
      <c r="AO46" s="259"/>
      <c r="AP46" s="1044"/>
      <c r="AQ46" s="259"/>
      <c r="AR46" s="259" t="s">
        <v>2877</v>
      </c>
      <c r="AS46" s="1042"/>
      <c r="AT46" s="259"/>
      <c r="AU46" s="259"/>
      <c r="AV46" s="261"/>
      <c r="AW46" s="261"/>
      <c r="AX46" s="1042"/>
      <c r="AY46" s="262"/>
    </row>
    <row r="47" spans="1:51" s="260" customFormat="1" ht="103.5" hidden="1" customHeight="1">
      <c r="A47" s="1042"/>
      <c r="B47" s="266"/>
      <c r="C47" s="1399"/>
      <c r="D47" s="1408"/>
      <c r="E47" s="1400"/>
      <c r="F47" s="267"/>
      <c r="G47" s="1399"/>
      <c r="H47" s="1408"/>
      <c r="I47" s="1400"/>
      <c r="J47" s="1380"/>
      <c r="K47" s="1380"/>
      <c r="L47" s="1380"/>
      <c r="M47" s="1042"/>
      <c r="N47" s="1042"/>
      <c r="O47" s="1042"/>
      <c r="P47" s="1042"/>
      <c r="Q47" s="266"/>
      <c r="R47" s="266"/>
      <c r="S47" s="268"/>
      <c r="T47" s="269" t="e">
        <f>VLOOKUP(Q47,[71]Listas!$D$6:$E$10,2,0)</f>
        <v>#N/A</v>
      </c>
      <c r="U47" s="269" t="e">
        <f>HLOOKUP(R47,[71]Listas!$F$4:$J$5,2,0)</f>
        <v>#N/A</v>
      </c>
      <c r="V47" s="270" t="e">
        <f>INDEX([71]Listas!$F$6:$J$10,MATCH(Q47,[71]Listas!$D$6:$D$10,0),MATCH(R47,[71]Listas!$F$4:$J$4,0))</f>
        <v>#N/A</v>
      </c>
      <c r="W47" s="268"/>
      <c r="X47" s="1399"/>
      <c r="Y47" s="1408"/>
      <c r="Z47" s="1400"/>
      <c r="AA47" s="1063"/>
      <c r="AB47" s="267"/>
      <c r="AC47" s="259"/>
      <c r="AD47" s="1042"/>
      <c r="AE47" s="267"/>
      <c r="AF47" s="268"/>
      <c r="AG47" s="269">
        <f t="shared" si="4"/>
        <v>0</v>
      </c>
      <c r="AH47" s="271" t="e">
        <f t="shared" si="5"/>
        <v>#N/A</v>
      </c>
      <c r="AI47" s="272" t="e">
        <f>IF(AH47&lt;=1,"Remota",VLOOKUP(AH47,[71]Listas!$C$6:$D$10,2,0))</f>
        <v>#N/A</v>
      </c>
      <c r="AJ47" s="271" t="e">
        <f t="shared" si="6"/>
        <v>#N/A</v>
      </c>
      <c r="AK47" s="272" t="e">
        <f>IF(AJ47&lt;=1,"Insignificante",HLOOKUP(AJ47,[71]Listas!$F$3:$J$4,2,0))</f>
        <v>#N/A</v>
      </c>
      <c r="AL47" s="273" t="e">
        <f t="shared" si="7"/>
        <v>#N/A</v>
      </c>
      <c r="AM47" s="270" t="e">
        <f>INDEX([71]Listas!$F$6:$J$10,MATCH(AI47,[71]Listas!$D$6:$D$10,0),MATCH(AK47,[71]Listas!$F$4:$J$4,0))</f>
        <v>#N/A</v>
      </c>
      <c r="AN47" s="259"/>
      <c r="AO47" s="259"/>
      <c r="AP47" s="1044"/>
      <c r="AQ47" s="259"/>
      <c r="AR47" s="259" t="s">
        <v>2877</v>
      </c>
      <c r="AS47" s="1042"/>
      <c r="AT47" s="259"/>
      <c r="AU47" s="259"/>
      <c r="AV47" s="261"/>
      <c r="AW47" s="261"/>
      <c r="AX47" s="1042"/>
      <c r="AY47" s="262"/>
    </row>
    <row r="48" spans="1:51" s="260" customFormat="1" ht="103.5" hidden="1" customHeight="1">
      <c r="A48" s="1042"/>
      <c r="B48" s="266"/>
      <c r="C48" s="1399"/>
      <c r="D48" s="1408"/>
      <c r="E48" s="1400"/>
      <c r="F48" s="267"/>
      <c r="G48" s="1399"/>
      <c r="H48" s="1408"/>
      <c r="I48" s="1400"/>
      <c r="J48" s="1380"/>
      <c r="K48" s="1380"/>
      <c r="L48" s="1380"/>
      <c r="M48" s="1042"/>
      <c r="N48" s="1042"/>
      <c r="O48" s="1042"/>
      <c r="P48" s="1042"/>
      <c r="Q48" s="266"/>
      <c r="R48" s="266"/>
      <c r="S48" s="268"/>
      <c r="T48" s="269" t="e">
        <f>VLOOKUP(Q48,[71]Listas!$D$6:$E$10,2,0)</f>
        <v>#N/A</v>
      </c>
      <c r="U48" s="269" t="e">
        <f>HLOOKUP(R48,[71]Listas!$F$4:$J$5,2,0)</f>
        <v>#N/A</v>
      </c>
      <c r="V48" s="270" t="e">
        <f>INDEX([71]Listas!$F$6:$J$10,MATCH(Q48,[71]Listas!$D$6:$D$10,0),MATCH(R48,[71]Listas!$F$4:$J$4,0))</f>
        <v>#N/A</v>
      </c>
      <c r="W48" s="268"/>
      <c r="X48" s="1399"/>
      <c r="Y48" s="1408"/>
      <c r="Z48" s="1400"/>
      <c r="AA48" s="1063"/>
      <c r="AB48" s="267"/>
      <c r="AC48" s="259"/>
      <c r="AD48" s="1042"/>
      <c r="AE48" s="267"/>
      <c r="AF48" s="268"/>
      <c r="AG48" s="269">
        <f t="shared" si="4"/>
        <v>0</v>
      </c>
      <c r="AH48" s="271" t="e">
        <f t="shared" si="5"/>
        <v>#N/A</v>
      </c>
      <c r="AI48" s="272" t="e">
        <f>IF(AH48&lt;=1,"Remota",VLOOKUP(AH48,[71]Listas!$C$6:$D$10,2,0))</f>
        <v>#N/A</v>
      </c>
      <c r="AJ48" s="271" t="e">
        <f t="shared" si="6"/>
        <v>#N/A</v>
      </c>
      <c r="AK48" s="272" t="e">
        <f>IF(AJ48&lt;=1,"Insignificante",HLOOKUP(AJ48,[71]Listas!$F$3:$J$4,2,0))</f>
        <v>#N/A</v>
      </c>
      <c r="AL48" s="273" t="e">
        <f t="shared" si="7"/>
        <v>#N/A</v>
      </c>
      <c r="AM48" s="270" t="e">
        <f>INDEX([71]Listas!$F$6:$J$10,MATCH(AI48,[71]Listas!$D$6:$D$10,0),MATCH(AK48,[71]Listas!$F$4:$J$4,0))</f>
        <v>#N/A</v>
      </c>
      <c r="AN48" s="259"/>
      <c r="AO48" s="259"/>
      <c r="AP48" s="1044"/>
      <c r="AQ48" s="259"/>
      <c r="AR48" s="259" t="s">
        <v>2877</v>
      </c>
      <c r="AS48" s="1042"/>
      <c r="AT48" s="259"/>
      <c r="AU48" s="259"/>
      <c r="AV48" s="261"/>
      <c r="AW48" s="261"/>
      <c r="AX48" s="1042"/>
      <c r="AY48" s="262"/>
    </row>
    <row r="49" spans="1:51" s="260" customFormat="1" ht="103.5" hidden="1" customHeight="1">
      <c r="A49" s="1042"/>
      <c r="B49" s="266"/>
      <c r="C49" s="1399"/>
      <c r="D49" s="1408"/>
      <c r="E49" s="1400"/>
      <c r="F49" s="267"/>
      <c r="G49" s="1399"/>
      <c r="H49" s="1408"/>
      <c r="I49" s="1400"/>
      <c r="J49" s="1380"/>
      <c r="K49" s="1380"/>
      <c r="L49" s="1380"/>
      <c r="M49" s="1042"/>
      <c r="N49" s="1042"/>
      <c r="O49" s="1042"/>
      <c r="P49" s="1042"/>
      <c r="Q49" s="266"/>
      <c r="R49" s="266"/>
      <c r="S49" s="268"/>
      <c r="T49" s="269" t="e">
        <f>VLOOKUP(Q49,[71]Listas!$D$6:$E$10,2,0)</f>
        <v>#N/A</v>
      </c>
      <c r="U49" s="269" t="e">
        <f>HLOOKUP(R49,[71]Listas!$F$4:$J$5,2,0)</f>
        <v>#N/A</v>
      </c>
      <c r="V49" s="270" t="e">
        <f>INDEX([71]Listas!$F$6:$J$10,MATCH(Q49,[71]Listas!$D$6:$D$10,0),MATCH(R49,[71]Listas!$F$4:$J$4,0))</f>
        <v>#N/A</v>
      </c>
      <c r="W49" s="268"/>
      <c r="X49" s="1399"/>
      <c r="Y49" s="1408"/>
      <c r="Z49" s="1400"/>
      <c r="AA49" s="1063"/>
      <c r="AB49" s="267"/>
      <c r="AC49" s="259"/>
      <c r="AD49" s="1042"/>
      <c r="AE49" s="267"/>
      <c r="AF49" s="268"/>
      <c r="AG49" s="269">
        <f t="shared" si="4"/>
        <v>0</v>
      </c>
      <c r="AH49" s="271" t="e">
        <f t="shared" si="5"/>
        <v>#N/A</v>
      </c>
      <c r="AI49" s="272" t="e">
        <f>IF(AH49&lt;=1,"Remota",VLOOKUP(AH49,[71]Listas!$C$6:$D$10,2,0))</f>
        <v>#N/A</v>
      </c>
      <c r="AJ49" s="271" t="e">
        <f t="shared" si="6"/>
        <v>#N/A</v>
      </c>
      <c r="AK49" s="272" t="e">
        <f>IF(AJ49&lt;=1,"Insignificante",HLOOKUP(AJ49,[71]Listas!$F$3:$J$4,2,0))</f>
        <v>#N/A</v>
      </c>
      <c r="AL49" s="273" t="e">
        <f t="shared" si="7"/>
        <v>#N/A</v>
      </c>
      <c r="AM49" s="270" t="e">
        <f>INDEX([71]Listas!$F$6:$J$10,MATCH(AI49,[71]Listas!$D$6:$D$10,0),MATCH(AK49,[71]Listas!$F$4:$J$4,0))</f>
        <v>#N/A</v>
      </c>
      <c r="AN49" s="259"/>
      <c r="AO49" s="259"/>
      <c r="AP49" s="1044"/>
      <c r="AQ49" s="259"/>
      <c r="AR49" s="259" t="s">
        <v>2877</v>
      </c>
      <c r="AS49" s="1042"/>
      <c r="AT49" s="259"/>
      <c r="AU49" s="259"/>
      <c r="AV49" s="261"/>
      <c r="AW49" s="261"/>
      <c r="AX49" s="1042"/>
      <c r="AY49" s="262"/>
    </row>
    <row r="50" spans="1:51" s="260" customFormat="1" ht="103.5" hidden="1" customHeight="1">
      <c r="A50" s="1042"/>
      <c r="B50" s="266"/>
      <c r="C50" s="1399"/>
      <c r="D50" s="1408"/>
      <c r="E50" s="1400"/>
      <c r="F50" s="267"/>
      <c r="G50" s="1399"/>
      <c r="H50" s="1408"/>
      <c r="I50" s="1400"/>
      <c r="J50" s="1380"/>
      <c r="K50" s="1380"/>
      <c r="L50" s="1380"/>
      <c r="M50" s="1042"/>
      <c r="N50" s="1042"/>
      <c r="O50" s="1042"/>
      <c r="P50" s="1042"/>
      <c r="Q50" s="266"/>
      <c r="R50" s="266"/>
      <c r="S50" s="268"/>
      <c r="T50" s="269" t="e">
        <f>VLOOKUP(Q50,[71]Listas!$D$6:$E$10,2,0)</f>
        <v>#N/A</v>
      </c>
      <c r="U50" s="269" t="e">
        <f>HLOOKUP(R50,[71]Listas!$F$4:$J$5,2,0)</f>
        <v>#N/A</v>
      </c>
      <c r="V50" s="270" t="e">
        <f>INDEX([71]Listas!$F$6:$J$10,MATCH(Q50,[71]Listas!$D$6:$D$10,0),MATCH(R50,[71]Listas!$F$4:$J$4,0))</f>
        <v>#N/A</v>
      </c>
      <c r="W50" s="268"/>
      <c r="X50" s="1399"/>
      <c r="Y50" s="1408"/>
      <c r="Z50" s="1400"/>
      <c r="AA50" s="1063"/>
      <c r="AB50" s="267"/>
      <c r="AC50" s="259"/>
      <c r="AD50" s="1042"/>
      <c r="AE50" s="267"/>
      <c r="AF50" s="268"/>
      <c r="AG50" s="269">
        <f t="shared" si="4"/>
        <v>0</v>
      </c>
      <c r="AH50" s="271" t="e">
        <f t="shared" si="5"/>
        <v>#N/A</v>
      </c>
      <c r="AI50" s="272" t="e">
        <f>IF(AH50&lt;=1,"Remota",VLOOKUP(AH50,[71]Listas!$C$6:$D$10,2,0))</f>
        <v>#N/A</v>
      </c>
      <c r="AJ50" s="271" t="e">
        <f t="shared" si="6"/>
        <v>#N/A</v>
      </c>
      <c r="AK50" s="272" t="e">
        <f>IF(AJ50&lt;=1,"Insignificante",HLOOKUP(AJ50,[71]Listas!$F$3:$J$4,2,0))</f>
        <v>#N/A</v>
      </c>
      <c r="AL50" s="273" t="e">
        <f t="shared" si="7"/>
        <v>#N/A</v>
      </c>
      <c r="AM50" s="270" t="e">
        <f>INDEX([71]Listas!$F$6:$J$10,MATCH(AI50,[71]Listas!$D$6:$D$10,0),MATCH(AK50,[71]Listas!$F$4:$J$4,0))</f>
        <v>#N/A</v>
      </c>
      <c r="AN50" s="259"/>
      <c r="AO50" s="259"/>
      <c r="AP50" s="1044"/>
      <c r="AQ50" s="259"/>
      <c r="AR50" s="259" t="s">
        <v>2877</v>
      </c>
      <c r="AS50" s="1042"/>
      <c r="AT50" s="259"/>
      <c r="AU50" s="259"/>
      <c r="AV50" s="261"/>
      <c r="AW50" s="261"/>
      <c r="AX50" s="1042"/>
      <c r="AY50" s="262"/>
    </row>
    <row r="51" spans="1:51" s="260" customFormat="1" ht="103.5" hidden="1" customHeight="1">
      <c r="A51" s="1042"/>
      <c r="B51" s="266"/>
      <c r="C51" s="1399"/>
      <c r="D51" s="1408"/>
      <c r="E51" s="1400"/>
      <c r="F51" s="267"/>
      <c r="G51" s="1399"/>
      <c r="H51" s="1408"/>
      <c r="I51" s="1400"/>
      <c r="J51" s="1380"/>
      <c r="K51" s="1380"/>
      <c r="L51" s="1380"/>
      <c r="M51" s="1042"/>
      <c r="N51" s="1042"/>
      <c r="O51" s="1042"/>
      <c r="P51" s="1042"/>
      <c r="Q51" s="266"/>
      <c r="R51" s="266"/>
      <c r="S51" s="268"/>
      <c r="T51" s="269" t="e">
        <f>VLOOKUP(Q51,[71]Listas!$D$6:$E$10,2,0)</f>
        <v>#N/A</v>
      </c>
      <c r="U51" s="269" t="e">
        <f>HLOOKUP(R51,[71]Listas!$F$4:$J$5,2,0)</f>
        <v>#N/A</v>
      </c>
      <c r="V51" s="270" t="e">
        <f>INDEX([71]Listas!$F$6:$J$10,MATCH(Q51,[71]Listas!$D$6:$D$10,0),MATCH(R51,[71]Listas!$F$4:$J$4,0))</f>
        <v>#N/A</v>
      </c>
      <c r="W51" s="268"/>
      <c r="X51" s="1399"/>
      <c r="Y51" s="1408"/>
      <c r="Z51" s="1400"/>
      <c r="AA51" s="1063"/>
      <c r="AB51" s="267"/>
      <c r="AC51" s="259"/>
      <c r="AD51" s="1042"/>
      <c r="AE51" s="267"/>
      <c r="AF51" s="268"/>
      <c r="AG51" s="269">
        <f t="shared" si="4"/>
        <v>0</v>
      </c>
      <c r="AH51" s="271" t="e">
        <f t="shared" si="5"/>
        <v>#N/A</v>
      </c>
      <c r="AI51" s="272" t="e">
        <f>IF(AH51&lt;=1,"Remota",VLOOKUP(AH51,[71]Listas!$C$6:$D$10,2,0))</f>
        <v>#N/A</v>
      </c>
      <c r="AJ51" s="271" t="e">
        <f t="shared" si="6"/>
        <v>#N/A</v>
      </c>
      <c r="AK51" s="272" t="e">
        <f>IF(AJ51&lt;=1,"Insignificante",HLOOKUP(AJ51,[71]Listas!$F$3:$J$4,2,0))</f>
        <v>#N/A</v>
      </c>
      <c r="AL51" s="273" t="e">
        <f t="shared" si="7"/>
        <v>#N/A</v>
      </c>
      <c r="AM51" s="270" t="e">
        <f>INDEX([71]Listas!$F$6:$J$10,MATCH(AI51,[71]Listas!$D$6:$D$10,0),MATCH(AK51,[71]Listas!$F$4:$J$4,0))</f>
        <v>#N/A</v>
      </c>
      <c r="AN51" s="259"/>
      <c r="AO51" s="259"/>
      <c r="AP51" s="1044"/>
      <c r="AQ51" s="259"/>
      <c r="AR51" s="259" t="s">
        <v>2877</v>
      </c>
      <c r="AS51" s="1042"/>
      <c r="AT51" s="259"/>
      <c r="AU51" s="259"/>
      <c r="AV51" s="261"/>
      <c r="AW51" s="261"/>
      <c r="AX51" s="1042"/>
      <c r="AY51" s="262"/>
    </row>
    <row r="52" spans="1:51" s="260" customFormat="1" ht="103.5" hidden="1" customHeight="1">
      <c r="A52" s="1042"/>
      <c r="B52" s="266"/>
      <c r="C52" s="1399"/>
      <c r="D52" s="1408"/>
      <c r="E52" s="1400"/>
      <c r="F52" s="267"/>
      <c r="G52" s="1399"/>
      <c r="H52" s="1408"/>
      <c r="I52" s="1400"/>
      <c r="J52" s="1380"/>
      <c r="K52" s="1380"/>
      <c r="L52" s="1380"/>
      <c r="M52" s="1042"/>
      <c r="N52" s="1042"/>
      <c r="O52" s="1042"/>
      <c r="P52" s="1042"/>
      <c r="Q52" s="266"/>
      <c r="R52" s="266"/>
      <c r="S52" s="268"/>
      <c r="T52" s="269" t="e">
        <f>VLOOKUP(Q52,[71]Listas!$D$6:$E$10,2,0)</f>
        <v>#N/A</v>
      </c>
      <c r="U52" s="269" t="e">
        <f>HLOOKUP(R52,[71]Listas!$F$4:$J$5,2,0)</f>
        <v>#N/A</v>
      </c>
      <c r="V52" s="270" t="e">
        <f>INDEX([71]Listas!$F$6:$J$10,MATCH(Q52,[71]Listas!$D$6:$D$10,0),MATCH(R52,[71]Listas!$F$4:$J$4,0))</f>
        <v>#N/A</v>
      </c>
      <c r="W52" s="268"/>
      <c r="X52" s="1399"/>
      <c r="Y52" s="1408"/>
      <c r="Z52" s="1400"/>
      <c r="AA52" s="1063"/>
      <c r="AB52" s="267"/>
      <c r="AC52" s="259"/>
      <c r="AD52" s="1042"/>
      <c r="AE52" s="267"/>
      <c r="AF52" s="268"/>
      <c r="AG52" s="269">
        <f t="shared" si="4"/>
        <v>0</v>
      </c>
      <c r="AH52" s="271" t="e">
        <f t="shared" si="5"/>
        <v>#N/A</v>
      </c>
      <c r="AI52" s="272" t="e">
        <f>IF(AH52&lt;=1,"Remota",VLOOKUP(AH52,[71]Listas!$C$6:$D$10,2,0))</f>
        <v>#N/A</v>
      </c>
      <c r="AJ52" s="271" t="e">
        <f t="shared" si="6"/>
        <v>#N/A</v>
      </c>
      <c r="AK52" s="272" t="e">
        <f>IF(AJ52&lt;=1,"Insignificante",HLOOKUP(AJ52,[71]Listas!$F$3:$J$4,2,0))</f>
        <v>#N/A</v>
      </c>
      <c r="AL52" s="273" t="e">
        <f t="shared" si="7"/>
        <v>#N/A</v>
      </c>
      <c r="AM52" s="270" t="e">
        <f>INDEX([71]Listas!$F$6:$J$10,MATCH(AI52,[71]Listas!$D$6:$D$10,0),MATCH(AK52,[71]Listas!$F$4:$J$4,0))</f>
        <v>#N/A</v>
      </c>
      <c r="AN52" s="259"/>
      <c r="AO52" s="259"/>
      <c r="AP52" s="1044"/>
      <c r="AQ52" s="259"/>
      <c r="AR52" s="259" t="s">
        <v>2877</v>
      </c>
      <c r="AS52" s="1042"/>
      <c r="AT52" s="259"/>
      <c r="AU52" s="259"/>
      <c r="AV52" s="261"/>
      <c r="AW52" s="261"/>
      <c r="AX52" s="1042"/>
      <c r="AY52" s="262"/>
    </row>
    <row r="53" spans="1:51" s="260" customFormat="1" ht="103.5" hidden="1" customHeight="1">
      <c r="A53" s="1042"/>
      <c r="B53" s="266"/>
      <c r="C53" s="1399"/>
      <c r="D53" s="1408"/>
      <c r="E53" s="1400"/>
      <c r="F53" s="267"/>
      <c r="G53" s="1399"/>
      <c r="H53" s="1408"/>
      <c r="I53" s="1400"/>
      <c r="J53" s="1380"/>
      <c r="K53" s="1380"/>
      <c r="L53" s="1380"/>
      <c r="M53" s="1042"/>
      <c r="N53" s="1042"/>
      <c r="O53" s="1042"/>
      <c r="P53" s="1042"/>
      <c r="Q53" s="266"/>
      <c r="R53" s="266"/>
      <c r="S53" s="268"/>
      <c r="T53" s="269" t="e">
        <f>VLOOKUP(Q53,[71]Listas!$D$6:$E$10,2,0)</f>
        <v>#N/A</v>
      </c>
      <c r="U53" s="269" t="e">
        <f>HLOOKUP(R53,[71]Listas!$F$4:$J$5,2,0)</f>
        <v>#N/A</v>
      </c>
      <c r="V53" s="270" t="e">
        <f>INDEX([71]Listas!$F$6:$J$10,MATCH(Q53,[71]Listas!$D$6:$D$10,0),MATCH(R53,[71]Listas!$F$4:$J$4,0))</f>
        <v>#N/A</v>
      </c>
      <c r="W53" s="268"/>
      <c r="X53" s="1399"/>
      <c r="Y53" s="1408"/>
      <c r="Z53" s="1400"/>
      <c r="AA53" s="1063"/>
      <c r="AB53" s="267"/>
      <c r="AC53" s="259"/>
      <c r="AD53" s="1042"/>
      <c r="AE53" s="267"/>
      <c r="AF53" s="268"/>
      <c r="AG53" s="269">
        <f t="shared" si="4"/>
        <v>0</v>
      </c>
      <c r="AH53" s="271" t="e">
        <f t="shared" si="5"/>
        <v>#N/A</v>
      </c>
      <c r="AI53" s="272" t="e">
        <f>IF(AH53&lt;=1,"Remota",VLOOKUP(AH53,[71]Listas!$C$6:$D$10,2,0))</f>
        <v>#N/A</v>
      </c>
      <c r="AJ53" s="271" t="e">
        <f t="shared" si="6"/>
        <v>#N/A</v>
      </c>
      <c r="AK53" s="272" t="e">
        <f>IF(AJ53&lt;=1,"Insignificante",HLOOKUP(AJ53,[71]Listas!$F$3:$J$4,2,0))</f>
        <v>#N/A</v>
      </c>
      <c r="AL53" s="273" t="e">
        <f t="shared" si="7"/>
        <v>#N/A</v>
      </c>
      <c r="AM53" s="270" t="e">
        <f>INDEX([71]Listas!$F$6:$J$10,MATCH(AI53,[71]Listas!$D$6:$D$10,0),MATCH(AK53,[71]Listas!$F$4:$J$4,0))</f>
        <v>#N/A</v>
      </c>
      <c r="AN53" s="259"/>
      <c r="AO53" s="259"/>
      <c r="AP53" s="1044"/>
      <c r="AQ53" s="259"/>
      <c r="AR53" s="259" t="s">
        <v>2877</v>
      </c>
      <c r="AS53" s="1042"/>
      <c r="AT53" s="259"/>
      <c r="AU53" s="259"/>
      <c r="AV53" s="261"/>
      <c r="AW53" s="261"/>
      <c r="AX53" s="1042"/>
      <c r="AY53" s="262"/>
    </row>
    <row r="54" spans="1:51" s="260" customFormat="1" ht="103.5" hidden="1" customHeight="1">
      <c r="A54" s="1042"/>
      <c r="B54" s="266"/>
      <c r="C54" s="1399"/>
      <c r="D54" s="1408"/>
      <c r="E54" s="1400"/>
      <c r="F54" s="267"/>
      <c r="G54" s="1399"/>
      <c r="H54" s="1408"/>
      <c r="I54" s="1400"/>
      <c r="J54" s="1380"/>
      <c r="K54" s="1380"/>
      <c r="L54" s="1380"/>
      <c r="M54" s="1042"/>
      <c r="N54" s="1042"/>
      <c r="O54" s="1042"/>
      <c r="P54" s="1042"/>
      <c r="Q54" s="266"/>
      <c r="R54" s="266"/>
      <c r="S54" s="268"/>
      <c r="T54" s="269" t="e">
        <f>VLOOKUP(Q54,[71]Listas!$D$6:$E$10,2,0)</f>
        <v>#N/A</v>
      </c>
      <c r="U54" s="269" t="e">
        <f>HLOOKUP(R54,[71]Listas!$F$4:$J$5,2,0)</f>
        <v>#N/A</v>
      </c>
      <c r="V54" s="270" t="e">
        <f>INDEX([71]Listas!$F$6:$J$10,MATCH(Q54,[71]Listas!$D$6:$D$10,0),MATCH(R54,[71]Listas!$F$4:$J$4,0))</f>
        <v>#N/A</v>
      </c>
      <c r="W54" s="268"/>
      <c r="X54" s="1399"/>
      <c r="Y54" s="1408"/>
      <c r="Z54" s="1400"/>
      <c r="AA54" s="1063"/>
      <c r="AB54" s="267"/>
      <c r="AC54" s="259"/>
      <c r="AD54" s="1042"/>
      <c r="AE54" s="267"/>
      <c r="AF54" s="268"/>
      <c r="AG54" s="269">
        <f t="shared" si="4"/>
        <v>0</v>
      </c>
      <c r="AH54" s="271" t="e">
        <f t="shared" si="5"/>
        <v>#N/A</v>
      </c>
      <c r="AI54" s="272" t="e">
        <f>IF(AH54&lt;=1,"Remota",VLOOKUP(AH54,[71]Listas!$C$6:$D$10,2,0))</f>
        <v>#N/A</v>
      </c>
      <c r="AJ54" s="271" t="e">
        <f t="shared" si="6"/>
        <v>#N/A</v>
      </c>
      <c r="AK54" s="272" t="e">
        <f>IF(AJ54&lt;=1,"Insignificante",HLOOKUP(AJ54,[71]Listas!$F$3:$J$4,2,0))</f>
        <v>#N/A</v>
      </c>
      <c r="AL54" s="273" t="e">
        <f t="shared" si="7"/>
        <v>#N/A</v>
      </c>
      <c r="AM54" s="270" t="e">
        <f>INDEX([71]Listas!$F$6:$J$10,MATCH(AI54,[71]Listas!$D$6:$D$10,0),MATCH(AK54,[71]Listas!$F$4:$J$4,0))</f>
        <v>#N/A</v>
      </c>
      <c r="AN54" s="259"/>
      <c r="AO54" s="259"/>
      <c r="AP54" s="1044"/>
      <c r="AQ54" s="259"/>
      <c r="AR54" s="259" t="s">
        <v>2877</v>
      </c>
      <c r="AS54" s="1042"/>
      <c r="AT54" s="259"/>
      <c r="AU54" s="259"/>
      <c r="AV54" s="261"/>
      <c r="AW54" s="261"/>
      <c r="AX54" s="1042"/>
      <c r="AY54" s="262"/>
    </row>
    <row r="55" spans="1:51" s="260" customFormat="1" ht="103.5" hidden="1" customHeight="1">
      <c r="A55" s="1042"/>
      <c r="B55" s="266"/>
      <c r="C55" s="1399"/>
      <c r="D55" s="1408"/>
      <c r="E55" s="1400"/>
      <c r="F55" s="267"/>
      <c r="G55" s="1399"/>
      <c r="H55" s="1408"/>
      <c r="I55" s="1400"/>
      <c r="J55" s="1380"/>
      <c r="K55" s="1380"/>
      <c r="L55" s="1380"/>
      <c r="M55" s="1042"/>
      <c r="N55" s="1042"/>
      <c r="O55" s="1042"/>
      <c r="P55" s="1042"/>
      <c r="Q55" s="266"/>
      <c r="R55" s="266"/>
      <c r="S55" s="268"/>
      <c r="T55" s="269" t="e">
        <f>VLOOKUP(Q55,[71]Listas!$D$6:$E$10,2,0)</f>
        <v>#N/A</v>
      </c>
      <c r="U55" s="269" t="e">
        <f>HLOOKUP(R55,[71]Listas!$F$4:$J$5,2,0)</f>
        <v>#N/A</v>
      </c>
      <c r="V55" s="270" t="e">
        <f>INDEX([71]Listas!$F$6:$J$10,MATCH(Q55,[71]Listas!$D$6:$D$10,0),MATCH(R55,[71]Listas!$F$4:$J$4,0))</f>
        <v>#N/A</v>
      </c>
      <c r="W55" s="268"/>
      <c r="X55" s="1399"/>
      <c r="Y55" s="1408"/>
      <c r="Z55" s="1400"/>
      <c r="AA55" s="1063"/>
      <c r="AB55" s="267"/>
      <c r="AC55" s="259"/>
      <c r="AD55" s="1042"/>
      <c r="AE55" s="267"/>
      <c r="AF55" s="268"/>
      <c r="AG55" s="269">
        <f t="shared" si="4"/>
        <v>0</v>
      </c>
      <c r="AH55" s="271" t="e">
        <f t="shared" si="5"/>
        <v>#N/A</v>
      </c>
      <c r="AI55" s="272" t="e">
        <f>IF(AH55&lt;=1,"Remota",VLOOKUP(AH55,[71]Listas!$C$6:$D$10,2,0))</f>
        <v>#N/A</v>
      </c>
      <c r="AJ55" s="271" t="e">
        <f t="shared" si="6"/>
        <v>#N/A</v>
      </c>
      <c r="AK55" s="272" t="e">
        <f>IF(AJ55&lt;=1,"Insignificante",HLOOKUP(AJ55,[71]Listas!$F$3:$J$4,2,0))</f>
        <v>#N/A</v>
      </c>
      <c r="AL55" s="273" t="e">
        <f t="shared" si="7"/>
        <v>#N/A</v>
      </c>
      <c r="AM55" s="270" t="e">
        <f>INDEX([71]Listas!$F$6:$J$10,MATCH(AI55,[71]Listas!$D$6:$D$10,0),MATCH(AK55,[71]Listas!$F$4:$J$4,0))</f>
        <v>#N/A</v>
      </c>
      <c r="AN55" s="259"/>
      <c r="AO55" s="259"/>
      <c r="AP55" s="1044"/>
      <c r="AQ55" s="259"/>
      <c r="AR55" s="259" t="s">
        <v>2877</v>
      </c>
      <c r="AS55" s="1042"/>
      <c r="AT55" s="259"/>
      <c r="AU55" s="259"/>
      <c r="AV55" s="261"/>
      <c r="AW55" s="261"/>
      <c r="AX55" s="1042"/>
      <c r="AY55" s="262"/>
    </row>
    <row r="56" spans="1:51" s="260" customFormat="1" ht="103.5" hidden="1" customHeight="1">
      <c r="A56" s="1042"/>
      <c r="B56" s="266"/>
      <c r="C56" s="1399"/>
      <c r="D56" s="1408"/>
      <c r="E56" s="1400"/>
      <c r="F56" s="267"/>
      <c r="G56" s="1399"/>
      <c r="H56" s="1408"/>
      <c r="I56" s="1400"/>
      <c r="J56" s="1380"/>
      <c r="K56" s="1380"/>
      <c r="L56" s="1380"/>
      <c r="M56" s="1042"/>
      <c r="N56" s="1042"/>
      <c r="O56" s="1042"/>
      <c r="P56" s="1042"/>
      <c r="Q56" s="266"/>
      <c r="R56" s="266"/>
      <c r="S56" s="268"/>
      <c r="T56" s="269" t="e">
        <f>VLOOKUP(Q56,[71]Listas!$D$6:$E$10,2,0)</f>
        <v>#N/A</v>
      </c>
      <c r="U56" s="269" t="e">
        <f>HLOOKUP(R56,[71]Listas!$F$4:$J$5,2,0)</f>
        <v>#N/A</v>
      </c>
      <c r="V56" s="270" t="e">
        <f>INDEX([71]Listas!$F$6:$J$10,MATCH(Q56,[71]Listas!$D$6:$D$10,0),MATCH(R56,[71]Listas!$F$4:$J$4,0))</f>
        <v>#N/A</v>
      </c>
      <c r="W56" s="268"/>
      <c r="X56" s="1399"/>
      <c r="Y56" s="1408"/>
      <c r="Z56" s="1400"/>
      <c r="AA56" s="1063"/>
      <c r="AB56" s="267"/>
      <c r="AC56" s="259"/>
      <c r="AD56" s="1042"/>
      <c r="AE56" s="267"/>
      <c r="AF56" s="268"/>
      <c r="AG56" s="269">
        <f t="shared" si="4"/>
        <v>0</v>
      </c>
      <c r="AH56" s="271" t="e">
        <f t="shared" si="5"/>
        <v>#N/A</v>
      </c>
      <c r="AI56" s="272" t="e">
        <f>IF(AH56&lt;=1,"Remota",VLOOKUP(AH56,[71]Listas!$C$6:$D$10,2,0))</f>
        <v>#N/A</v>
      </c>
      <c r="AJ56" s="271" t="e">
        <f t="shared" si="6"/>
        <v>#N/A</v>
      </c>
      <c r="AK56" s="272" t="e">
        <f>IF(AJ56&lt;=1,"Insignificante",HLOOKUP(AJ56,[71]Listas!$F$3:$J$4,2,0))</f>
        <v>#N/A</v>
      </c>
      <c r="AL56" s="273" t="e">
        <f t="shared" si="7"/>
        <v>#N/A</v>
      </c>
      <c r="AM56" s="270" t="e">
        <f>INDEX([71]Listas!$F$6:$J$10,MATCH(AI56,[71]Listas!$D$6:$D$10,0),MATCH(AK56,[71]Listas!$F$4:$J$4,0))</f>
        <v>#N/A</v>
      </c>
      <c r="AN56" s="259"/>
      <c r="AO56" s="259"/>
      <c r="AP56" s="1044"/>
      <c r="AQ56" s="259"/>
      <c r="AR56" s="259" t="s">
        <v>2877</v>
      </c>
      <c r="AS56" s="1042"/>
      <c r="AT56" s="259"/>
      <c r="AU56" s="259"/>
      <c r="AV56" s="261"/>
      <c r="AW56" s="261"/>
      <c r="AX56" s="1042"/>
      <c r="AY56" s="262"/>
    </row>
    <row r="57" spans="1:51" s="260" customFormat="1" ht="103.5" hidden="1" customHeight="1">
      <c r="A57" s="1042"/>
      <c r="B57" s="266"/>
      <c r="C57" s="1399"/>
      <c r="D57" s="1408"/>
      <c r="E57" s="1400"/>
      <c r="F57" s="267"/>
      <c r="G57" s="1399"/>
      <c r="H57" s="1408"/>
      <c r="I57" s="1400"/>
      <c r="J57" s="1380"/>
      <c r="K57" s="1380"/>
      <c r="L57" s="1380"/>
      <c r="M57" s="1042"/>
      <c r="N57" s="1042"/>
      <c r="O57" s="1042"/>
      <c r="P57" s="1042"/>
      <c r="Q57" s="266"/>
      <c r="R57" s="266"/>
      <c r="S57" s="268"/>
      <c r="T57" s="269" t="e">
        <f>VLOOKUP(Q57,[71]Listas!$D$6:$E$10,2,0)</f>
        <v>#N/A</v>
      </c>
      <c r="U57" s="269" t="e">
        <f>HLOOKUP(R57,[71]Listas!$F$4:$J$5,2,0)</f>
        <v>#N/A</v>
      </c>
      <c r="V57" s="270" t="e">
        <f>INDEX([71]Listas!$F$6:$J$10,MATCH(Q57,[71]Listas!$D$6:$D$10,0),MATCH(R57,[71]Listas!$F$4:$J$4,0))</f>
        <v>#N/A</v>
      </c>
      <c r="W57" s="268"/>
      <c r="X57" s="1399"/>
      <c r="Y57" s="1408"/>
      <c r="Z57" s="1400"/>
      <c r="AA57" s="1063"/>
      <c r="AB57" s="267"/>
      <c r="AC57" s="259"/>
      <c r="AD57" s="1042"/>
      <c r="AE57" s="267"/>
      <c r="AF57" s="268"/>
      <c r="AG57" s="269">
        <f t="shared" si="4"/>
        <v>0</v>
      </c>
      <c r="AH57" s="271" t="e">
        <f t="shared" si="5"/>
        <v>#N/A</v>
      </c>
      <c r="AI57" s="272" t="e">
        <f>IF(AH57&lt;=1,"Remota",VLOOKUP(AH57,[71]Listas!$C$6:$D$10,2,0))</f>
        <v>#N/A</v>
      </c>
      <c r="AJ57" s="271" t="e">
        <f t="shared" si="6"/>
        <v>#N/A</v>
      </c>
      <c r="AK57" s="272" t="e">
        <f>IF(AJ57&lt;=1,"Insignificante",HLOOKUP(AJ57,[71]Listas!$F$3:$J$4,2,0))</f>
        <v>#N/A</v>
      </c>
      <c r="AL57" s="273" t="e">
        <f t="shared" si="7"/>
        <v>#N/A</v>
      </c>
      <c r="AM57" s="270" t="e">
        <f>INDEX([71]Listas!$F$6:$J$10,MATCH(AI57,[71]Listas!$D$6:$D$10,0),MATCH(AK57,[71]Listas!$F$4:$J$4,0))</f>
        <v>#N/A</v>
      </c>
      <c r="AN57" s="259"/>
      <c r="AO57" s="259"/>
      <c r="AP57" s="1044"/>
      <c r="AQ57" s="259"/>
      <c r="AR57" s="259" t="s">
        <v>2877</v>
      </c>
      <c r="AS57" s="1042"/>
      <c r="AT57" s="259"/>
      <c r="AU57" s="259"/>
      <c r="AV57" s="261"/>
      <c r="AW57" s="261"/>
      <c r="AX57" s="1042"/>
      <c r="AY57" s="262"/>
    </row>
    <row r="58" spans="1:51" s="260" customFormat="1" ht="103.5" hidden="1" customHeight="1">
      <c r="A58" s="1042"/>
      <c r="B58" s="266"/>
      <c r="C58" s="1399"/>
      <c r="D58" s="1408"/>
      <c r="E58" s="1400"/>
      <c r="F58" s="267"/>
      <c r="G58" s="1399"/>
      <c r="H58" s="1408"/>
      <c r="I58" s="1400"/>
      <c r="J58" s="1380"/>
      <c r="K58" s="1380"/>
      <c r="L58" s="1380"/>
      <c r="M58" s="1042"/>
      <c r="N58" s="1042"/>
      <c r="O58" s="1042"/>
      <c r="P58" s="1042"/>
      <c r="Q58" s="266"/>
      <c r="R58" s="266"/>
      <c r="S58" s="268"/>
      <c r="T58" s="269" t="e">
        <f>VLOOKUP(Q58,[71]Listas!$D$6:$E$10,2,0)</f>
        <v>#N/A</v>
      </c>
      <c r="U58" s="269" t="e">
        <f>HLOOKUP(R58,[71]Listas!$F$4:$J$5,2,0)</f>
        <v>#N/A</v>
      </c>
      <c r="V58" s="270" t="e">
        <f>INDEX([71]Listas!$F$6:$J$10,MATCH(Q58,[71]Listas!$D$6:$D$10,0),MATCH(R58,[71]Listas!$F$4:$J$4,0))</f>
        <v>#N/A</v>
      </c>
      <c r="W58" s="268"/>
      <c r="X58" s="1399"/>
      <c r="Y58" s="1408"/>
      <c r="Z58" s="1400"/>
      <c r="AA58" s="1063"/>
      <c r="AB58" s="267"/>
      <c r="AC58" s="259"/>
      <c r="AD58" s="1042"/>
      <c r="AE58" s="267"/>
      <c r="AF58" s="268"/>
      <c r="AG58" s="269">
        <f t="shared" si="4"/>
        <v>0</v>
      </c>
      <c r="AH58" s="271" t="e">
        <f t="shared" si="5"/>
        <v>#N/A</v>
      </c>
      <c r="AI58" s="272" t="e">
        <f>IF(AH58&lt;=1,"Remota",VLOOKUP(AH58,[71]Listas!$C$6:$D$10,2,0))</f>
        <v>#N/A</v>
      </c>
      <c r="AJ58" s="271" t="e">
        <f t="shared" si="6"/>
        <v>#N/A</v>
      </c>
      <c r="AK58" s="272" t="e">
        <f>IF(AJ58&lt;=1,"Insignificante",HLOOKUP(AJ58,[71]Listas!$F$3:$J$4,2,0))</f>
        <v>#N/A</v>
      </c>
      <c r="AL58" s="273" t="e">
        <f t="shared" si="7"/>
        <v>#N/A</v>
      </c>
      <c r="AM58" s="270" t="e">
        <f>INDEX([71]Listas!$F$6:$J$10,MATCH(AI58,[71]Listas!$D$6:$D$10,0),MATCH(AK58,[71]Listas!$F$4:$J$4,0))</f>
        <v>#N/A</v>
      </c>
      <c r="AN58" s="259"/>
      <c r="AO58" s="259"/>
      <c r="AP58" s="1044"/>
      <c r="AQ58" s="259"/>
      <c r="AR58" s="259" t="s">
        <v>2877</v>
      </c>
      <c r="AS58" s="1042"/>
      <c r="AT58" s="259"/>
      <c r="AU58" s="259"/>
      <c r="AV58" s="261"/>
      <c r="AW58" s="261"/>
      <c r="AX58" s="1042"/>
      <c r="AY58" s="262"/>
    </row>
    <row r="59" spans="1:51" s="260" customFormat="1" ht="103.5" hidden="1" customHeight="1">
      <c r="A59" s="1042"/>
      <c r="B59" s="266"/>
      <c r="C59" s="1399"/>
      <c r="D59" s="1408"/>
      <c r="E59" s="1400"/>
      <c r="F59" s="267"/>
      <c r="G59" s="1399"/>
      <c r="H59" s="1408"/>
      <c r="I59" s="1400"/>
      <c r="J59" s="1380"/>
      <c r="K59" s="1380"/>
      <c r="L59" s="1380"/>
      <c r="M59" s="1042"/>
      <c r="N59" s="1042"/>
      <c r="O59" s="1042"/>
      <c r="P59" s="1042"/>
      <c r="Q59" s="266"/>
      <c r="R59" s="266"/>
      <c r="S59" s="268"/>
      <c r="T59" s="269" t="e">
        <f>VLOOKUP(Q59,[71]Listas!$D$6:$E$10,2,0)</f>
        <v>#N/A</v>
      </c>
      <c r="U59" s="269" t="e">
        <f>HLOOKUP(R59,[71]Listas!$F$4:$J$5,2,0)</f>
        <v>#N/A</v>
      </c>
      <c r="V59" s="270" t="e">
        <f>INDEX([71]Listas!$F$6:$J$10,MATCH(Q59,[71]Listas!$D$6:$D$10,0),MATCH(R59,[71]Listas!$F$4:$J$4,0))</f>
        <v>#N/A</v>
      </c>
      <c r="W59" s="268"/>
      <c r="X59" s="1399"/>
      <c r="Y59" s="1408"/>
      <c r="Z59" s="1400"/>
      <c r="AA59" s="1063"/>
      <c r="AB59" s="267"/>
      <c r="AC59" s="259"/>
      <c r="AD59" s="1042"/>
      <c r="AE59" s="267"/>
      <c r="AF59" s="268"/>
      <c r="AG59" s="269">
        <f t="shared" si="4"/>
        <v>0</v>
      </c>
      <c r="AH59" s="271" t="e">
        <f t="shared" si="5"/>
        <v>#N/A</v>
      </c>
      <c r="AI59" s="272" t="e">
        <f>IF(AH59&lt;=1,"Remota",VLOOKUP(AH59,[71]Listas!$C$6:$D$10,2,0))</f>
        <v>#N/A</v>
      </c>
      <c r="AJ59" s="271" t="e">
        <f t="shared" si="6"/>
        <v>#N/A</v>
      </c>
      <c r="AK59" s="272" t="e">
        <f>IF(AJ59&lt;=1,"Insignificante",HLOOKUP(AJ59,[71]Listas!$F$3:$J$4,2,0))</f>
        <v>#N/A</v>
      </c>
      <c r="AL59" s="273" t="e">
        <f t="shared" si="7"/>
        <v>#N/A</v>
      </c>
      <c r="AM59" s="270" t="e">
        <f>INDEX([71]Listas!$F$6:$J$10,MATCH(AI59,[71]Listas!$D$6:$D$10,0),MATCH(AK59,[71]Listas!$F$4:$J$4,0))</f>
        <v>#N/A</v>
      </c>
      <c r="AN59" s="259"/>
      <c r="AO59" s="259"/>
      <c r="AP59" s="1044"/>
      <c r="AQ59" s="259"/>
      <c r="AR59" s="259" t="s">
        <v>2877</v>
      </c>
      <c r="AS59" s="1042"/>
      <c r="AT59" s="259"/>
      <c r="AU59" s="259"/>
      <c r="AV59" s="261"/>
      <c r="AW59" s="261"/>
      <c r="AX59" s="1042"/>
      <c r="AY59" s="262"/>
    </row>
    <row r="60" spans="1:51" s="260" customFormat="1" ht="103.5" hidden="1" customHeight="1">
      <c r="A60" s="1042"/>
      <c r="B60" s="266"/>
      <c r="C60" s="1399"/>
      <c r="D60" s="1408"/>
      <c r="E60" s="1400"/>
      <c r="F60" s="267"/>
      <c r="G60" s="1399"/>
      <c r="H60" s="1408"/>
      <c r="I60" s="1400"/>
      <c r="J60" s="1380"/>
      <c r="K60" s="1380"/>
      <c r="L60" s="1380"/>
      <c r="M60" s="1042"/>
      <c r="N60" s="1042"/>
      <c r="O60" s="1042"/>
      <c r="P60" s="1042"/>
      <c r="Q60" s="266"/>
      <c r="R60" s="266"/>
      <c r="S60" s="268"/>
      <c r="T60" s="269" t="e">
        <f>VLOOKUP(Q60,[71]Listas!$D$6:$E$10,2,0)</f>
        <v>#N/A</v>
      </c>
      <c r="U60" s="269" t="e">
        <f>HLOOKUP(R60,[71]Listas!$F$4:$J$5,2,0)</f>
        <v>#N/A</v>
      </c>
      <c r="V60" s="270" t="e">
        <f>INDEX([71]Listas!$F$6:$J$10,MATCH(Q60,[71]Listas!$D$6:$D$10,0),MATCH(R60,[71]Listas!$F$4:$J$4,0))</f>
        <v>#N/A</v>
      </c>
      <c r="W60" s="268"/>
      <c r="X60" s="1399"/>
      <c r="Y60" s="1408"/>
      <c r="Z60" s="1400"/>
      <c r="AA60" s="1063"/>
      <c r="AB60" s="267"/>
      <c r="AC60" s="259"/>
      <c r="AD60" s="1042"/>
      <c r="AE60" s="267"/>
      <c r="AF60" s="268"/>
      <c r="AG60" s="269">
        <f t="shared" si="4"/>
        <v>0</v>
      </c>
      <c r="AH60" s="271" t="e">
        <f t="shared" si="5"/>
        <v>#N/A</v>
      </c>
      <c r="AI60" s="272" t="e">
        <f>IF(AH60&lt;=1,"Remota",VLOOKUP(AH60,[71]Listas!$C$6:$D$10,2,0))</f>
        <v>#N/A</v>
      </c>
      <c r="AJ60" s="271" t="e">
        <f t="shared" si="6"/>
        <v>#N/A</v>
      </c>
      <c r="AK60" s="272" t="e">
        <f>IF(AJ60&lt;=1,"Insignificante",HLOOKUP(AJ60,[71]Listas!$F$3:$J$4,2,0))</f>
        <v>#N/A</v>
      </c>
      <c r="AL60" s="273" t="e">
        <f t="shared" si="7"/>
        <v>#N/A</v>
      </c>
      <c r="AM60" s="270" t="e">
        <f>INDEX([71]Listas!$F$6:$J$10,MATCH(AI60,[71]Listas!$D$6:$D$10,0),MATCH(AK60,[71]Listas!$F$4:$J$4,0))</f>
        <v>#N/A</v>
      </c>
      <c r="AN60" s="259"/>
      <c r="AO60" s="259"/>
      <c r="AP60" s="1044"/>
      <c r="AQ60" s="259"/>
      <c r="AR60" s="259" t="s">
        <v>2877</v>
      </c>
      <c r="AS60" s="1042"/>
      <c r="AT60" s="259"/>
      <c r="AU60" s="259"/>
      <c r="AV60" s="261"/>
      <c r="AW60" s="261"/>
      <c r="AX60" s="1042"/>
      <c r="AY60" s="262"/>
    </row>
    <row r="61" spans="1:51" s="260" customFormat="1" ht="103.5" hidden="1" customHeight="1">
      <c r="A61" s="1042"/>
      <c r="B61" s="266"/>
      <c r="C61" s="1399"/>
      <c r="D61" s="1408"/>
      <c r="E61" s="1400"/>
      <c r="F61" s="267"/>
      <c r="G61" s="1399"/>
      <c r="H61" s="1408"/>
      <c r="I61" s="1400"/>
      <c r="J61" s="1380"/>
      <c r="K61" s="1380"/>
      <c r="L61" s="1380"/>
      <c r="M61" s="1042"/>
      <c r="N61" s="1042"/>
      <c r="O61" s="1042"/>
      <c r="P61" s="1042"/>
      <c r="Q61" s="266"/>
      <c r="R61" s="266"/>
      <c r="S61" s="268"/>
      <c r="T61" s="269" t="e">
        <f>VLOOKUP(Q61,[71]Listas!$D$6:$E$10,2,0)</f>
        <v>#N/A</v>
      </c>
      <c r="U61" s="269" t="e">
        <f>HLOOKUP(R61,[71]Listas!$F$4:$J$5,2,0)</f>
        <v>#N/A</v>
      </c>
      <c r="V61" s="270" t="e">
        <f>INDEX([71]Listas!$F$6:$J$10,MATCH(Q61,[71]Listas!$D$6:$D$10,0),MATCH(R61,[71]Listas!$F$4:$J$4,0))</f>
        <v>#N/A</v>
      </c>
      <c r="W61" s="268"/>
      <c r="X61" s="1399"/>
      <c r="Y61" s="1408"/>
      <c r="Z61" s="1400"/>
      <c r="AA61" s="1063"/>
      <c r="AB61" s="267"/>
      <c r="AC61" s="259"/>
      <c r="AD61" s="1042"/>
      <c r="AE61" s="267"/>
      <c r="AF61" s="268"/>
      <c r="AG61" s="269">
        <f t="shared" si="4"/>
        <v>0</v>
      </c>
      <c r="AH61" s="271" t="e">
        <f t="shared" si="5"/>
        <v>#N/A</v>
      </c>
      <c r="AI61" s="272" t="e">
        <f>IF(AH61&lt;=1,"Remota",VLOOKUP(AH61,[71]Listas!$C$6:$D$10,2,0))</f>
        <v>#N/A</v>
      </c>
      <c r="AJ61" s="271" t="e">
        <f t="shared" si="6"/>
        <v>#N/A</v>
      </c>
      <c r="AK61" s="272" t="e">
        <f>IF(AJ61&lt;=1,"Insignificante",HLOOKUP(AJ61,[71]Listas!$F$3:$J$4,2,0))</f>
        <v>#N/A</v>
      </c>
      <c r="AL61" s="273" t="e">
        <f t="shared" si="7"/>
        <v>#N/A</v>
      </c>
      <c r="AM61" s="270" t="e">
        <f>INDEX([71]Listas!$F$6:$J$10,MATCH(AI61,[71]Listas!$D$6:$D$10,0),MATCH(AK61,[71]Listas!$F$4:$J$4,0))</f>
        <v>#N/A</v>
      </c>
      <c r="AN61" s="259"/>
      <c r="AO61" s="259"/>
      <c r="AP61" s="1044"/>
      <c r="AQ61" s="259"/>
      <c r="AR61" s="259" t="s">
        <v>2877</v>
      </c>
      <c r="AS61" s="1042"/>
      <c r="AT61" s="259"/>
      <c r="AU61" s="259"/>
      <c r="AV61" s="261"/>
      <c r="AW61" s="261"/>
      <c r="AX61" s="1042"/>
      <c r="AY61" s="262"/>
    </row>
    <row r="62" spans="1:51" s="260" customFormat="1" ht="103.5" hidden="1" customHeight="1">
      <c r="A62" s="1042"/>
      <c r="B62" s="266"/>
      <c r="C62" s="1399"/>
      <c r="D62" s="1408"/>
      <c r="E62" s="1400"/>
      <c r="F62" s="266"/>
      <c r="G62" s="1399"/>
      <c r="H62" s="1408"/>
      <c r="I62" s="1400"/>
      <c r="J62" s="1380"/>
      <c r="K62" s="1380"/>
      <c r="L62" s="1380"/>
      <c r="M62" s="1042"/>
      <c r="N62" s="1042"/>
      <c r="O62" s="1042"/>
      <c r="P62" s="1042"/>
      <c r="Q62" s="266"/>
      <c r="R62" s="266"/>
      <c r="S62" s="268"/>
      <c r="T62" s="269" t="e">
        <f>VLOOKUP(Q62,[71]Listas!$D$6:$E$10,2,0)</f>
        <v>#N/A</v>
      </c>
      <c r="U62" s="269" t="e">
        <f>HLOOKUP(R62,[71]Listas!$F$4:$J$5,2,0)</f>
        <v>#N/A</v>
      </c>
      <c r="V62" s="270" t="e">
        <f>INDEX([71]Listas!$F$6:$J$10,MATCH(Q62,[71]Listas!$D$6:$D$10,0),MATCH(R62,[71]Listas!$F$4:$J$4,0))</f>
        <v>#N/A</v>
      </c>
      <c r="W62" s="268"/>
      <c r="X62" s="1399"/>
      <c r="Y62" s="1408"/>
      <c r="Z62" s="1400"/>
      <c r="AA62" s="1063"/>
      <c r="AB62" s="267"/>
      <c r="AC62" s="259"/>
      <c r="AD62" s="1042"/>
      <c r="AE62" s="267"/>
      <c r="AF62" s="268"/>
      <c r="AG62" s="269">
        <f>IF(AD62&lt;=33,0,IF(AD62&gt;81,2,1))</f>
        <v>0</v>
      </c>
      <c r="AH62" s="271" t="e">
        <f>IF(OR(AE62="Probabilidad",AE62="Ambos"),T62-AG62,T62)</f>
        <v>#N/A</v>
      </c>
      <c r="AI62" s="272" t="e">
        <f>IF(AH62&lt;=1,"Remota",VLOOKUP(AH62,[71]Listas!$C$6:$D$10,2,0))</f>
        <v>#N/A</v>
      </c>
      <c r="AJ62" s="271" t="e">
        <f>IF(OR(AE62="Impacto",AE62="Ambos"),U62-AG62,U62)</f>
        <v>#N/A</v>
      </c>
      <c r="AK62" s="272" t="e">
        <f>IF(AJ62&lt;=1,"Insignificante",HLOOKUP(AJ62,[71]Listas!$F$3:$J$4,2,0))</f>
        <v>#N/A</v>
      </c>
      <c r="AL62" s="273" t="e">
        <f>AH62*AJ62</f>
        <v>#N/A</v>
      </c>
      <c r="AM62" s="270" t="e">
        <f>INDEX([71]Listas!$F$6:$J$10,MATCH(AI62,[71]Listas!$D$6:$D$10,0),MATCH(AK62,[71]Listas!$F$4:$J$4,0))</f>
        <v>#N/A</v>
      </c>
      <c r="AN62" s="259"/>
      <c r="AO62" s="259"/>
      <c r="AP62" s="1044"/>
      <c r="AQ62" s="259"/>
      <c r="AR62" s="259" t="s">
        <v>2877</v>
      </c>
      <c r="AS62" s="1042"/>
      <c r="AU62" s="259"/>
      <c r="AV62" s="261"/>
      <c r="AW62" s="261"/>
      <c r="AX62" s="1042"/>
      <c r="AY62" s="262"/>
    </row>
    <row r="63" spans="1:51" s="260" customFormat="1" ht="103.5" hidden="1" customHeight="1">
      <c r="A63" s="1042"/>
      <c r="B63" s="266"/>
      <c r="C63" s="1399"/>
      <c r="D63" s="1408"/>
      <c r="E63" s="1400"/>
      <c r="F63" s="267"/>
      <c r="G63" s="1399"/>
      <c r="H63" s="1408"/>
      <c r="I63" s="1400"/>
      <c r="J63" s="1380"/>
      <c r="K63" s="1380"/>
      <c r="L63" s="1380"/>
      <c r="M63" s="1042"/>
      <c r="N63" s="1042"/>
      <c r="O63" s="1042"/>
      <c r="P63" s="1042"/>
      <c r="Q63" s="266"/>
      <c r="R63" s="266"/>
      <c r="S63" s="268"/>
      <c r="T63" s="269" t="e">
        <f>VLOOKUP(Q63,[71]Listas!$D$6:$E$10,2,0)</f>
        <v>#N/A</v>
      </c>
      <c r="U63" s="269" t="e">
        <f>HLOOKUP(R63,[71]Listas!$F$4:$J$5,2,0)</f>
        <v>#N/A</v>
      </c>
      <c r="V63" s="270" t="e">
        <f>INDEX([71]Listas!$F$6:$J$10,MATCH(Q63,[71]Listas!$D$6:$D$10,0),MATCH(R63,[71]Listas!$F$4:$J$4,0))</f>
        <v>#N/A</v>
      </c>
      <c r="W63" s="268"/>
      <c r="X63" s="1399"/>
      <c r="Y63" s="1408"/>
      <c r="Z63" s="1400"/>
      <c r="AA63" s="1063"/>
      <c r="AB63" s="267"/>
      <c r="AC63" s="259"/>
      <c r="AD63" s="1042"/>
      <c r="AE63" s="267"/>
      <c r="AF63" s="268"/>
      <c r="AG63" s="269">
        <f t="shared" ref="AG63:AG83" si="8">IF(AD63&lt;=33,0,IF(AD63&gt;81,2,1))</f>
        <v>0</v>
      </c>
      <c r="AH63" s="271" t="e">
        <f t="shared" ref="AH63:AH83" si="9">IF(OR(AE63="Probabilidad",AE63="Ambos"),T63-AG63,T63)</f>
        <v>#N/A</v>
      </c>
      <c r="AI63" s="272" t="e">
        <f>IF(AH63&lt;=1,"Remota",VLOOKUP(AH63,[71]Listas!$C$6:$D$10,2,0))</f>
        <v>#N/A</v>
      </c>
      <c r="AJ63" s="271" t="e">
        <f t="shared" ref="AJ63:AJ83" si="10">IF(OR(AE63="Impacto",AE63="Ambos"),U63-AG63,U63)</f>
        <v>#N/A</v>
      </c>
      <c r="AK63" s="272" t="e">
        <f>IF(AJ63&lt;=1,"Insignificante",HLOOKUP(AJ63,[71]Listas!$F$3:$J$4,2,0))</f>
        <v>#N/A</v>
      </c>
      <c r="AL63" s="273" t="e">
        <f t="shared" ref="AL63:AL83" si="11">AH63*AJ63</f>
        <v>#N/A</v>
      </c>
      <c r="AM63" s="270" t="e">
        <f>INDEX([71]Listas!$F$6:$J$10,MATCH(AI63,[71]Listas!$D$6:$D$10,0),MATCH(AK63,[71]Listas!$F$4:$J$4,0))</f>
        <v>#N/A</v>
      </c>
      <c r="AN63" s="259"/>
      <c r="AO63" s="259"/>
      <c r="AP63" s="1044"/>
      <c r="AQ63" s="259"/>
      <c r="AR63" s="259" t="s">
        <v>2877</v>
      </c>
      <c r="AS63" s="1042"/>
      <c r="AT63" s="259"/>
      <c r="AU63" s="259"/>
      <c r="AV63" s="261"/>
      <c r="AW63" s="261"/>
      <c r="AX63" s="1042"/>
      <c r="AY63" s="262"/>
    </row>
    <row r="64" spans="1:51" s="260" customFormat="1" ht="103.5" hidden="1" customHeight="1">
      <c r="A64" s="1042"/>
      <c r="B64" s="266"/>
      <c r="C64" s="1399"/>
      <c r="D64" s="1408"/>
      <c r="E64" s="1400"/>
      <c r="F64" s="267"/>
      <c r="G64" s="1399"/>
      <c r="H64" s="1408"/>
      <c r="I64" s="1400"/>
      <c r="J64" s="1380"/>
      <c r="K64" s="1380"/>
      <c r="L64" s="1380"/>
      <c r="M64" s="1042"/>
      <c r="N64" s="1042"/>
      <c r="O64" s="1042"/>
      <c r="P64" s="1042"/>
      <c r="Q64" s="266"/>
      <c r="R64" s="266"/>
      <c r="S64" s="268"/>
      <c r="T64" s="269" t="e">
        <f>VLOOKUP(Q64,[71]Listas!$D$6:$E$10,2,0)</f>
        <v>#N/A</v>
      </c>
      <c r="U64" s="269" t="e">
        <f>HLOOKUP(R64,[71]Listas!$F$4:$J$5,2,0)</f>
        <v>#N/A</v>
      </c>
      <c r="V64" s="270" t="e">
        <f>INDEX([71]Listas!$F$6:$J$10,MATCH(Q64,[71]Listas!$D$6:$D$10,0),MATCH(R64,[71]Listas!$F$4:$J$4,0))</f>
        <v>#N/A</v>
      </c>
      <c r="W64" s="268"/>
      <c r="X64" s="1399"/>
      <c r="Y64" s="1408"/>
      <c r="Z64" s="1400"/>
      <c r="AA64" s="1063"/>
      <c r="AB64" s="267"/>
      <c r="AC64" s="259"/>
      <c r="AD64" s="1042"/>
      <c r="AE64" s="267"/>
      <c r="AF64" s="268"/>
      <c r="AG64" s="269">
        <f t="shared" si="8"/>
        <v>0</v>
      </c>
      <c r="AH64" s="271" t="e">
        <f t="shared" si="9"/>
        <v>#N/A</v>
      </c>
      <c r="AI64" s="272" t="e">
        <f>IF(AH64&lt;=1,"Remota",VLOOKUP(AH64,[71]Listas!$C$6:$D$10,2,0))</f>
        <v>#N/A</v>
      </c>
      <c r="AJ64" s="271" t="e">
        <f t="shared" si="10"/>
        <v>#N/A</v>
      </c>
      <c r="AK64" s="272" t="e">
        <f>IF(AJ64&lt;=1,"Insignificante",HLOOKUP(AJ64,[71]Listas!$F$3:$J$4,2,0))</f>
        <v>#N/A</v>
      </c>
      <c r="AL64" s="273" t="e">
        <f t="shared" si="11"/>
        <v>#N/A</v>
      </c>
      <c r="AM64" s="270" t="e">
        <f>INDEX([71]Listas!$F$6:$J$10,MATCH(AI64,[71]Listas!$D$6:$D$10,0),MATCH(AK64,[71]Listas!$F$4:$J$4,0))</f>
        <v>#N/A</v>
      </c>
      <c r="AN64" s="259"/>
      <c r="AO64" s="259"/>
      <c r="AP64" s="1044"/>
      <c r="AQ64" s="259"/>
      <c r="AR64" s="259" t="s">
        <v>2877</v>
      </c>
      <c r="AS64" s="1042"/>
      <c r="AT64" s="259"/>
      <c r="AU64" s="259"/>
      <c r="AV64" s="261"/>
      <c r="AW64" s="261"/>
      <c r="AX64" s="1042"/>
      <c r="AY64" s="262"/>
    </row>
    <row r="65" spans="1:51" s="260" customFormat="1" ht="103.5" hidden="1" customHeight="1">
      <c r="A65" s="1042"/>
      <c r="B65" s="266"/>
      <c r="C65" s="1399"/>
      <c r="D65" s="1408"/>
      <c r="E65" s="1400"/>
      <c r="F65" s="267"/>
      <c r="G65" s="1399"/>
      <c r="H65" s="1408"/>
      <c r="I65" s="1400"/>
      <c r="J65" s="1380"/>
      <c r="K65" s="1380"/>
      <c r="L65" s="1380"/>
      <c r="M65" s="1042"/>
      <c r="N65" s="1042"/>
      <c r="O65" s="1042"/>
      <c r="P65" s="1042"/>
      <c r="Q65" s="266"/>
      <c r="R65" s="266"/>
      <c r="S65" s="268"/>
      <c r="T65" s="269" t="e">
        <f>VLOOKUP(Q65,[71]Listas!$D$6:$E$10,2,0)</f>
        <v>#N/A</v>
      </c>
      <c r="U65" s="269" t="e">
        <f>HLOOKUP(R65,[71]Listas!$F$4:$J$5,2,0)</f>
        <v>#N/A</v>
      </c>
      <c r="V65" s="270" t="e">
        <f>INDEX([71]Listas!$F$6:$J$10,MATCH(Q65,[71]Listas!$D$6:$D$10,0),MATCH(R65,[71]Listas!$F$4:$J$4,0))</f>
        <v>#N/A</v>
      </c>
      <c r="W65" s="268"/>
      <c r="X65" s="1399"/>
      <c r="Y65" s="1408"/>
      <c r="Z65" s="1400"/>
      <c r="AA65" s="1063"/>
      <c r="AB65" s="267"/>
      <c r="AC65" s="259"/>
      <c r="AD65" s="1042"/>
      <c r="AE65" s="267"/>
      <c r="AF65" s="268"/>
      <c r="AG65" s="269">
        <f t="shared" si="8"/>
        <v>0</v>
      </c>
      <c r="AH65" s="271" t="e">
        <f t="shared" si="9"/>
        <v>#N/A</v>
      </c>
      <c r="AI65" s="272" t="e">
        <f>IF(AH65&lt;=1,"Remota",VLOOKUP(AH65,[71]Listas!$C$6:$D$10,2,0))</f>
        <v>#N/A</v>
      </c>
      <c r="AJ65" s="271" t="e">
        <f t="shared" si="10"/>
        <v>#N/A</v>
      </c>
      <c r="AK65" s="272" t="e">
        <f>IF(AJ65&lt;=1,"Insignificante",HLOOKUP(AJ65,[71]Listas!$F$3:$J$4,2,0))</f>
        <v>#N/A</v>
      </c>
      <c r="AL65" s="273" t="e">
        <f t="shared" si="11"/>
        <v>#N/A</v>
      </c>
      <c r="AM65" s="270" t="e">
        <f>INDEX([71]Listas!$F$6:$J$10,MATCH(AI65,[71]Listas!$D$6:$D$10,0),MATCH(AK65,[71]Listas!$F$4:$J$4,0))</f>
        <v>#N/A</v>
      </c>
      <c r="AN65" s="259"/>
      <c r="AO65" s="259"/>
      <c r="AP65" s="1044"/>
      <c r="AQ65" s="259"/>
      <c r="AR65" s="259" t="s">
        <v>2877</v>
      </c>
      <c r="AS65" s="1042"/>
      <c r="AT65" s="259"/>
      <c r="AU65" s="259"/>
      <c r="AV65" s="261"/>
      <c r="AW65" s="261"/>
      <c r="AX65" s="1042"/>
      <c r="AY65" s="262"/>
    </row>
    <row r="66" spans="1:51" s="260" customFormat="1" ht="103.5" hidden="1" customHeight="1">
      <c r="A66" s="1042"/>
      <c r="B66" s="266"/>
      <c r="C66" s="1399"/>
      <c r="D66" s="1408"/>
      <c r="E66" s="1400"/>
      <c r="F66" s="267"/>
      <c r="G66" s="1399"/>
      <c r="H66" s="1408"/>
      <c r="I66" s="1400"/>
      <c r="J66" s="1380"/>
      <c r="K66" s="1380"/>
      <c r="L66" s="1380"/>
      <c r="M66" s="1042"/>
      <c r="N66" s="1042"/>
      <c r="O66" s="1042"/>
      <c r="P66" s="1042"/>
      <c r="Q66" s="266"/>
      <c r="R66" s="266"/>
      <c r="S66" s="268"/>
      <c r="T66" s="269" t="e">
        <f>VLOOKUP(Q66,[71]Listas!$D$6:$E$10,2,0)</f>
        <v>#N/A</v>
      </c>
      <c r="U66" s="269" t="e">
        <f>HLOOKUP(R66,[71]Listas!$F$4:$J$5,2,0)</f>
        <v>#N/A</v>
      </c>
      <c r="V66" s="270" t="e">
        <f>INDEX([71]Listas!$F$6:$J$10,MATCH(Q66,[71]Listas!$D$6:$D$10,0),MATCH(R66,[71]Listas!$F$4:$J$4,0))</f>
        <v>#N/A</v>
      </c>
      <c r="W66" s="268"/>
      <c r="X66" s="1399"/>
      <c r="Y66" s="1408"/>
      <c r="Z66" s="1400"/>
      <c r="AA66" s="1063"/>
      <c r="AB66" s="267"/>
      <c r="AC66" s="259"/>
      <c r="AD66" s="1042"/>
      <c r="AE66" s="267"/>
      <c r="AF66" s="268"/>
      <c r="AG66" s="269">
        <f t="shared" si="8"/>
        <v>0</v>
      </c>
      <c r="AH66" s="271" t="e">
        <f t="shared" si="9"/>
        <v>#N/A</v>
      </c>
      <c r="AI66" s="272" t="e">
        <f>IF(AH66&lt;=1,"Remota",VLOOKUP(AH66,[71]Listas!$C$6:$D$10,2,0))</f>
        <v>#N/A</v>
      </c>
      <c r="AJ66" s="271" t="e">
        <f t="shared" si="10"/>
        <v>#N/A</v>
      </c>
      <c r="AK66" s="272" t="e">
        <f>IF(AJ66&lt;=1,"Insignificante",HLOOKUP(AJ66,[71]Listas!$F$3:$J$4,2,0))</f>
        <v>#N/A</v>
      </c>
      <c r="AL66" s="273" t="e">
        <f t="shared" si="11"/>
        <v>#N/A</v>
      </c>
      <c r="AM66" s="270" t="e">
        <f>INDEX([71]Listas!$F$6:$J$10,MATCH(AI66,[71]Listas!$D$6:$D$10,0),MATCH(AK66,[71]Listas!$F$4:$J$4,0))</f>
        <v>#N/A</v>
      </c>
      <c r="AN66" s="259"/>
      <c r="AO66" s="259"/>
      <c r="AP66" s="1044"/>
      <c r="AQ66" s="259"/>
      <c r="AR66" s="259" t="s">
        <v>2877</v>
      </c>
      <c r="AS66" s="1042"/>
      <c r="AT66" s="259"/>
      <c r="AU66" s="259"/>
      <c r="AV66" s="261"/>
      <c r="AW66" s="261"/>
      <c r="AX66" s="1042"/>
      <c r="AY66" s="262"/>
    </row>
    <row r="67" spans="1:51" s="260" customFormat="1" ht="103.5" hidden="1" customHeight="1">
      <c r="A67" s="1042"/>
      <c r="B67" s="266"/>
      <c r="C67" s="1399"/>
      <c r="D67" s="1408"/>
      <c r="E67" s="1400"/>
      <c r="F67" s="267"/>
      <c r="G67" s="1399"/>
      <c r="H67" s="1408"/>
      <c r="I67" s="1400"/>
      <c r="J67" s="1380"/>
      <c r="K67" s="1380"/>
      <c r="L67" s="1380"/>
      <c r="M67" s="1042"/>
      <c r="N67" s="1042"/>
      <c r="O67" s="1042"/>
      <c r="P67" s="1042"/>
      <c r="Q67" s="266"/>
      <c r="R67" s="266"/>
      <c r="S67" s="268"/>
      <c r="T67" s="269" t="e">
        <f>VLOOKUP(Q67,[71]Listas!$D$6:$E$10,2,0)</f>
        <v>#N/A</v>
      </c>
      <c r="U67" s="269" t="e">
        <f>HLOOKUP(R67,[71]Listas!$F$4:$J$5,2,0)</f>
        <v>#N/A</v>
      </c>
      <c r="V67" s="270" t="e">
        <f>INDEX([71]Listas!$F$6:$J$10,MATCH(Q67,[71]Listas!$D$6:$D$10,0),MATCH(R67,[71]Listas!$F$4:$J$4,0))</f>
        <v>#N/A</v>
      </c>
      <c r="W67" s="268"/>
      <c r="X67" s="1399"/>
      <c r="Y67" s="1408"/>
      <c r="Z67" s="1400"/>
      <c r="AA67" s="1063"/>
      <c r="AB67" s="267"/>
      <c r="AC67" s="259"/>
      <c r="AD67" s="1042"/>
      <c r="AE67" s="267"/>
      <c r="AF67" s="268"/>
      <c r="AG67" s="269">
        <f t="shared" si="8"/>
        <v>0</v>
      </c>
      <c r="AH67" s="271" t="e">
        <f t="shared" si="9"/>
        <v>#N/A</v>
      </c>
      <c r="AI67" s="272" t="e">
        <f>IF(AH67&lt;=1,"Remota",VLOOKUP(AH67,[71]Listas!$C$6:$D$10,2,0))</f>
        <v>#N/A</v>
      </c>
      <c r="AJ67" s="271" t="e">
        <f t="shared" si="10"/>
        <v>#N/A</v>
      </c>
      <c r="AK67" s="272" t="e">
        <f>IF(AJ67&lt;=1,"Insignificante",HLOOKUP(AJ67,[71]Listas!$F$3:$J$4,2,0))</f>
        <v>#N/A</v>
      </c>
      <c r="AL67" s="273" t="e">
        <f t="shared" si="11"/>
        <v>#N/A</v>
      </c>
      <c r="AM67" s="270" t="e">
        <f>INDEX([71]Listas!$F$6:$J$10,MATCH(AI67,[71]Listas!$D$6:$D$10,0),MATCH(AK67,[71]Listas!$F$4:$J$4,0))</f>
        <v>#N/A</v>
      </c>
      <c r="AN67" s="259"/>
      <c r="AO67" s="259"/>
      <c r="AP67" s="1044"/>
      <c r="AQ67" s="259"/>
      <c r="AR67" s="259" t="s">
        <v>2877</v>
      </c>
      <c r="AS67" s="1042"/>
      <c r="AT67" s="259"/>
      <c r="AU67" s="259"/>
      <c r="AV67" s="261"/>
      <c r="AW67" s="261"/>
      <c r="AX67" s="1042"/>
      <c r="AY67" s="262"/>
    </row>
    <row r="68" spans="1:51" s="260" customFormat="1" ht="103.5" hidden="1" customHeight="1">
      <c r="A68" s="1042"/>
      <c r="B68" s="266"/>
      <c r="C68" s="1399"/>
      <c r="D68" s="1408"/>
      <c r="E68" s="1400"/>
      <c r="F68" s="267"/>
      <c r="G68" s="1399"/>
      <c r="H68" s="1408"/>
      <c r="I68" s="1400"/>
      <c r="J68" s="1380"/>
      <c r="K68" s="1380"/>
      <c r="L68" s="1380"/>
      <c r="M68" s="1042"/>
      <c r="N68" s="1042"/>
      <c r="O68" s="1042"/>
      <c r="P68" s="1042"/>
      <c r="Q68" s="266"/>
      <c r="R68" s="266"/>
      <c r="S68" s="268"/>
      <c r="T68" s="269" t="e">
        <f>VLOOKUP(Q68,[71]Listas!$D$6:$E$10,2,0)</f>
        <v>#N/A</v>
      </c>
      <c r="U68" s="269" t="e">
        <f>HLOOKUP(R68,[71]Listas!$F$4:$J$5,2,0)</f>
        <v>#N/A</v>
      </c>
      <c r="V68" s="270" t="e">
        <f>INDEX([71]Listas!$F$6:$J$10,MATCH(Q68,[71]Listas!$D$6:$D$10,0),MATCH(R68,[71]Listas!$F$4:$J$4,0))</f>
        <v>#N/A</v>
      </c>
      <c r="W68" s="268"/>
      <c r="X68" s="1399"/>
      <c r="Y68" s="1408"/>
      <c r="Z68" s="1400"/>
      <c r="AA68" s="1063"/>
      <c r="AB68" s="267"/>
      <c r="AC68" s="259"/>
      <c r="AD68" s="1042"/>
      <c r="AE68" s="267"/>
      <c r="AF68" s="268"/>
      <c r="AG68" s="269">
        <f t="shared" si="8"/>
        <v>0</v>
      </c>
      <c r="AH68" s="271" t="e">
        <f t="shared" si="9"/>
        <v>#N/A</v>
      </c>
      <c r="AI68" s="272" t="e">
        <f>IF(AH68&lt;=1,"Remota",VLOOKUP(AH68,[71]Listas!$C$6:$D$10,2,0))</f>
        <v>#N/A</v>
      </c>
      <c r="AJ68" s="271" t="e">
        <f t="shared" si="10"/>
        <v>#N/A</v>
      </c>
      <c r="AK68" s="272" t="e">
        <f>IF(AJ68&lt;=1,"Insignificante",HLOOKUP(AJ68,[71]Listas!$F$3:$J$4,2,0))</f>
        <v>#N/A</v>
      </c>
      <c r="AL68" s="273" t="e">
        <f t="shared" si="11"/>
        <v>#N/A</v>
      </c>
      <c r="AM68" s="270" t="e">
        <f>INDEX([71]Listas!$F$6:$J$10,MATCH(AI68,[71]Listas!$D$6:$D$10,0),MATCH(AK68,[71]Listas!$F$4:$J$4,0))</f>
        <v>#N/A</v>
      </c>
      <c r="AN68" s="259"/>
      <c r="AO68" s="259"/>
      <c r="AP68" s="1044"/>
      <c r="AQ68" s="259"/>
      <c r="AR68" s="259" t="s">
        <v>2877</v>
      </c>
      <c r="AS68" s="1042"/>
      <c r="AT68" s="259"/>
      <c r="AU68" s="259"/>
      <c r="AV68" s="261"/>
      <c r="AW68" s="261"/>
      <c r="AX68" s="1042"/>
      <c r="AY68" s="262"/>
    </row>
    <row r="69" spans="1:51" s="260" customFormat="1" ht="103.5" hidden="1" customHeight="1">
      <c r="A69" s="1042"/>
      <c r="B69" s="266"/>
      <c r="C69" s="1399"/>
      <c r="D69" s="1408"/>
      <c r="E69" s="1400"/>
      <c r="F69" s="267"/>
      <c r="G69" s="1399"/>
      <c r="H69" s="1408"/>
      <c r="I69" s="1400"/>
      <c r="J69" s="1380"/>
      <c r="K69" s="1380"/>
      <c r="L69" s="1380"/>
      <c r="M69" s="1042"/>
      <c r="N69" s="1042"/>
      <c r="O69" s="1042"/>
      <c r="P69" s="1042"/>
      <c r="Q69" s="266"/>
      <c r="R69" s="266"/>
      <c r="S69" s="268"/>
      <c r="T69" s="269" t="e">
        <f>VLOOKUP(Q69,[71]Listas!$D$6:$E$10,2,0)</f>
        <v>#N/A</v>
      </c>
      <c r="U69" s="269" t="e">
        <f>HLOOKUP(R69,[71]Listas!$F$4:$J$5,2,0)</f>
        <v>#N/A</v>
      </c>
      <c r="V69" s="270" t="e">
        <f>INDEX([71]Listas!$F$6:$J$10,MATCH(Q69,[71]Listas!$D$6:$D$10,0),MATCH(R69,[71]Listas!$F$4:$J$4,0))</f>
        <v>#N/A</v>
      </c>
      <c r="W69" s="268"/>
      <c r="X69" s="1399"/>
      <c r="Y69" s="1408"/>
      <c r="Z69" s="1400"/>
      <c r="AA69" s="1063"/>
      <c r="AB69" s="267"/>
      <c r="AC69" s="259"/>
      <c r="AD69" s="1042"/>
      <c r="AE69" s="267"/>
      <c r="AF69" s="268"/>
      <c r="AG69" s="269">
        <f t="shared" si="8"/>
        <v>0</v>
      </c>
      <c r="AH69" s="271" t="e">
        <f t="shared" si="9"/>
        <v>#N/A</v>
      </c>
      <c r="AI69" s="272" t="e">
        <f>IF(AH69&lt;=1,"Remota",VLOOKUP(AH69,[71]Listas!$C$6:$D$10,2,0))</f>
        <v>#N/A</v>
      </c>
      <c r="AJ69" s="271" t="e">
        <f t="shared" si="10"/>
        <v>#N/A</v>
      </c>
      <c r="AK69" s="272" t="e">
        <f>IF(AJ69&lt;=1,"Insignificante",HLOOKUP(AJ69,[71]Listas!$F$3:$J$4,2,0))</f>
        <v>#N/A</v>
      </c>
      <c r="AL69" s="273" t="e">
        <f t="shared" si="11"/>
        <v>#N/A</v>
      </c>
      <c r="AM69" s="270" t="e">
        <f>INDEX([71]Listas!$F$6:$J$10,MATCH(AI69,[71]Listas!$D$6:$D$10,0),MATCH(AK69,[71]Listas!$F$4:$J$4,0))</f>
        <v>#N/A</v>
      </c>
      <c r="AN69" s="259"/>
      <c r="AO69" s="259"/>
      <c r="AP69" s="1044"/>
      <c r="AQ69" s="259"/>
      <c r="AR69" s="259" t="s">
        <v>2877</v>
      </c>
      <c r="AS69" s="1042"/>
      <c r="AT69" s="259"/>
      <c r="AU69" s="259"/>
      <c r="AV69" s="261"/>
      <c r="AW69" s="261"/>
      <c r="AX69" s="1042"/>
      <c r="AY69" s="262"/>
    </row>
    <row r="70" spans="1:51" s="260" customFormat="1" ht="103.5" hidden="1" customHeight="1">
      <c r="A70" s="1042"/>
      <c r="B70" s="266"/>
      <c r="C70" s="1399"/>
      <c r="D70" s="1408"/>
      <c r="E70" s="1400"/>
      <c r="F70" s="267"/>
      <c r="G70" s="1399"/>
      <c r="H70" s="1408"/>
      <c r="I70" s="1400"/>
      <c r="J70" s="1380"/>
      <c r="K70" s="1380"/>
      <c r="L70" s="1380"/>
      <c r="M70" s="1042"/>
      <c r="N70" s="1042"/>
      <c r="O70" s="1042"/>
      <c r="P70" s="1042"/>
      <c r="Q70" s="266"/>
      <c r="R70" s="266"/>
      <c r="S70" s="268"/>
      <c r="T70" s="269" t="e">
        <f>VLOOKUP(Q70,[71]Listas!$D$6:$E$10,2,0)</f>
        <v>#N/A</v>
      </c>
      <c r="U70" s="269" t="e">
        <f>HLOOKUP(R70,[71]Listas!$F$4:$J$5,2,0)</f>
        <v>#N/A</v>
      </c>
      <c r="V70" s="270" t="e">
        <f>INDEX([71]Listas!$F$6:$J$10,MATCH(Q70,[71]Listas!$D$6:$D$10,0),MATCH(R70,[71]Listas!$F$4:$J$4,0))</f>
        <v>#N/A</v>
      </c>
      <c r="W70" s="268"/>
      <c r="X70" s="1399"/>
      <c r="Y70" s="1408"/>
      <c r="Z70" s="1400"/>
      <c r="AA70" s="1063"/>
      <c r="AB70" s="267"/>
      <c r="AC70" s="259"/>
      <c r="AD70" s="1042"/>
      <c r="AE70" s="267"/>
      <c r="AF70" s="268"/>
      <c r="AG70" s="269">
        <f t="shared" si="8"/>
        <v>0</v>
      </c>
      <c r="AH70" s="271" t="e">
        <f t="shared" si="9"/>
        <v>#N/A</v>
      </c>
      <c r="AI70" s="272" t="e">
        <f>IF(AH70&lt;=1,"Remota",VLOOKUP(AH70,[71]Listas!$C$6:$D$10,2,0))</f>
        <v>#N/A</v>
      </c>
      <c r="AJ70" s="271" t="e">
        <f t="shared" si="10"/>
        <v>#N/A</v>
      </c>
      <c r="AK70" s="272" t="e">
        <f>IF(AJ70&lt;=1,"Insignificante",HLOOKUP(AJ70,[71]Listas!$F$3:$J$4,2,0))</f>
        <v>#N/A</v>
      </c>
      <c r="AL70" s="273" t="e">
        <f t="shared" si="11"/>
        <v>#N/A</v>
      </c>
      <c r="AM70" s="270" t="e">
        <f>INDEX([71]Listas!$F$6:$J$10,MATCH(AI70,[71]Listas!$D$6:$D$10,0),MATCH(AK70,[71]Listas!$F$4:$J$4,0))</f>
        <v>#N/A</v>
      </c>
      <c r="AN70" s="259"/>
      <c r="AO70" s="259"/>
      <c r="AP70" s="1044"/>
      <c r="AQ70" s="259"/>
      <c r="AR70" s="259" t="s">
        <v>2877</v>
      </c>
      <c r="AS70" s="1042"/>
      <c r="AT70" s="259"/>
      <c r="AU70" s="259"/>
      <c r="AV70" s="261"/>
      <c r="AW70" s="261"/>
      <c r="AX70" s="1042"/>
      <c r="AY70" s="262"/>
    </row>
    <row r="71" spans="1:51" s="260" customFormat="1" ht="103.5" hidden="1" customHeight="1">
      <c r="A71" s="1042"/>
      <c r="B71" s="266"/>
      <c r="C71" s="1399"/>
      <c r="D71" s="1408"/>
      <c r="E71" s="1400"/>
      <c r="F71" s="267"/>
      <c r="G71" s="1399"/>
      <c r="H71" s="1408"/>
      <c r="I71" s="1400"/>
      <c r="J71" s="1380"/>
      <c r="K71" s="1380"/>
      <c r="L71" s="1380"/>
      <c r="M71" s="1042"/>
      <c r="N71" s="1042"/>
      <c r="O71" s="1042"/>
      <c r="P71" s="1042"/>
      <c r="Q71" s="266"/>
      <c r="R71" s="266"/>
      <c r="S71" s="268"/>
      <c r="T71" s="269" t="e">
        <f>VLOOKUP(Q71,[71]Listas!$D$6:$E$10,2,0)</f>
        <v>#N/A</v>
      </c>
      <c r="U71" s="269" t="e">
        <f>HLOOKUP(R71,[71]Listas!$F$4:$J$5,2,0)</f>
        <v>#N/A</v>
      </c>
      <c r="V71" s="270" t="e">
        <f>INDEX([71]Listas!$F$6:$J$10,MATCH(Q71,[71]Listas!$D$6:$D$10,0),MATCH(R71,[71]Listas!$F$4:$J$4,0))</f>
        <v>#N/A</v>
      </c>
      <c r="W71" s="268"/>
      <c r="X71" s="1399"/>
      <c r="Y71" s="1408"/>
      <c r="Z71" s="1400"/>
      <c r="AA71" s="1063"/>
      <c r="AB71" s="267"/>
      <c r="AC71" s="259"/>
      <c r="AD71" s="1042"/>
      <c r="AE71" s="267"/>
      <c r="AF71" s="268"/>
      <c r="AG71" s="269">
        <f t="shared" si="8"/>
        <v>0</v>
      </c>
      <c r="AH71" s="271" t="e">
        <f t="shared" si="9"/>
        <v>#N/A</v>
      </c>
      <c r="AI71" s="272" t="e">
        <f>IF(AH71&lt;=1,"Remota",VLOOKUP(AH71,[71]Listas!$C$6:$D$10,2,0))</f>
        <v>#N/A</v>
      </c>
      <c r="AJ71" s="271" t="e">
        <f t="shared" si="10"/>
        <v>#N/A</v>
      </c>
      <c r="AK71" s="272" t="e">
        <f>IF(AJ71&lt;=1,"Insignificante",HLOOKUP(AJ71,[71]Listas!$F$3:$J$4,2,0))</f>
        <v>#N/A</v>
      </c>
      <c r="AL71" s="273" t="e">
        <f t="shared" si="11"/>
        <v>#N/A</v>
      </c>
      <c r="AM71" s="270" t="e">
        <f>INDEX([71]Listas!$F$6:$J$10,MATCH(AI71,[71]Listas!$D$6:$D$10,0),MATCH(AK71,[71]Listas!$F$4:$J$4,0))</f>
        <v>#N/A</v>
      </c>
      <c r="AN71" s="259"/>
      <c r="AO71" s="259"/>
      <c r="AP71" s="1044"/>
      <c r="AQ71" s="259"/>
      <c r="AR71" s="259" t="s">
        <v>2877</v>
      </c>
      <c r="AS71" s="1042"/>
      <c r="AT71" s="259"/>
      <c r="AU71" s="259"/>
      <c r="AV71" s="261"/>
      <c r="AW71" s="261"/>
      <c r="AX71" s="1042"/>
      <c r="AY71" s="262"/>
    </row>
    <row r="72" spans="1:51" s="260" customFormat="1" ht="103.5" hidden="1" customHeight="1">
      <c r="A72" s="1042"/>
      <c r="B72" s="266"/>
      <c r="C72" s="1399"/>
      <c r="D72" s="1408"/>
      <c r="E72" s="1400"/>
      <c r="F72" s="267"/>
      <c r="G72" s="1399"/>
      <c r="H72" s="1408"/>
      <c r="I72" s="1400"/>
      <c r="J72" s="1380"/>
      <c r="K72" s="1380"/>
      <c r="L72" s="1380"/>
      <c r="M72" s="1042"/>
      <c r="N72" s="1042"/>
      <c r="O72" s="1042"/>
      <c r="P72" s="1042"/>
      <c r="Q72" s="266"/>
      <c r="R72" s="266"/>
      <c r="S72" s="268"/>
      <c r="T72" s="269" t="e">
        <f>VLOOKUP(Q72,[71]Listas!$D$6:$E$10,2,0)</f>
        <v>#N/A</v>
      </c>
      <c r="U72" s="269" t="e">
        <f>HLOOKUP(R72,[71]Listas!$F$4:$J$5,2,0)</f>
        <v>#N/A</v>
      </c>
      <c r="V72" s="270" t="e">
        <f>INDEX([71]Listas!$F$6:$J$10,MATCH(Q72,[71]Listas!$D$6:$D$10,0),MATCH(R72,[71]Listas!$F$4:$J$4,0))</f>
        <v>#N/A</v>
      </c>
      <c r="W72" s="268"/>
      <c r="X72" s="1399"/>
      <c r="Y72" s="1408"/>
      <c r="Z72" s="1400"/>
      <c r="AA72" s="1063"/>
      <c r="AB72" s="267"/>
      <c r="AC72" s="259"/>
      <c r="AD72" s="1042"/>
      <c r="AE72" s="267"/>
      <c r="AF72" s="268"/>
      <c r="AG72" s="269">
        <f t="shared" si="8"/>
        <v>0</v>
      </c>
      <c r="AH72" s="271" t="e">
        <f t="shared" si="9"/>
        <v>#N/A</v>
      </c>
      <c r="AI72" s="272" t="e">
        <f>IF(AH72&lt;=1,"Remota",VLOOKUP(AH72,[71]Listas!$C$6:$D$10,2,0))</f>
        <v>#N/A</v>
      </c>
      <c r="AJ72" s="271" t="e">
        <f t="shared" si="10"/>
        <v>#N/A</v>
      </c>
      <c r="AK72" s="272" t="e">
        <f>IF(AJ72&lt;=1,"Insignificante",HLOOKUP(AJ72,[71]Listas!$F$3:$J$4,2,0))</f>
        <v>#N/A</v>
      </c>
      <c r="AL72" s="273" t="e">
        <f t="shared" si="11"/>
        <v>#N/A</v>
      </c>
      <c r="AM72" s="270" t="e">
        <f>INDEX([71]Listas!$F$6:$J$10,MATCH(AI72,[71]Listas!$D$6:$D$10,0),MATCH(AK72,[71]Listas!$F$4:$J$4,0))</f>
        <v>#N/A</v>
      </c>
      <c r="AN72" s="259"/>
      <c r="AO72" s="259"/>
      <c r="AP72" s="1044"/>
      <c r="AQ72" s="259"/>
      <c r="AR72" s="259" t="s">
        <v>2877</v>
      </c>
      <c r="AS72" s="1042"/>
      <c r="AT72" s="259"/>
      <c r="AU72" s="259"/>
      <c r="AV72" s="261"/>
      <c r="AW72" s="261"/>
      <c r="AX72" s="1042"/>
      <c r="AY72" s="262"/>
    </row>
    <row r="73" spans="1:51" s="260" customFormat="1" ht="103.5" hidden="1" customHeight="1">
      <c r="A73" s="1042"/>
      <c r="B73" s="266"/>
      <c r="C73" s="1399"/>
      <c r="D73" s="1408"/>
      <c r="E73" s="1400"/>
      <c r="F73" s="267"/>
      <c r="G73" s="1399"/>
      <c r="H73" s="1408"/>
      <c r="I73" s="1400"/>
      <c r="J73" s="1380"/>
      <c r="K73" s="1380"/>
      <c r="L73" s="1380"/>
      <c r="M73" s="1042"/>
      <c r="N73" s="1042"/>
      <c r="O73" s="1042"/>
      <c r="P73" s="1042"/>
      <c r="Q73" s="266"/>
      <c r="R73" s="266"/>
      <c r="S73" s="268"/>
      <c r="T73" s="269" t="e">
        <f>VLOOKUP(Q73,[71]Listas!$D$6:$E$10,2,0)</f>
        <v>#N/A</v>
      </c>
      <c r="U73" s="269" t="e">
        <f>HLOOKUP(R73,[71]Listas!$F$4:$J$5,2,0)</f>
        <v>#N/A</v>
      </c>
      <c r="V73" s="270" t="e">
        <f>INDEX([71]Listas!$F$6:$J$10,MATCH(Q73,[71]Listas!$D$6:$D$10,0),MATCH(R73,[71]Listas!$F$4:$J$4,0))</f>
        <v>#N/A</v>
      </c>
      <c r="W73" s="268"/>
      <c r="X73" s="1399"/>
      <c r="Y73" s="1408"/>
      <c r="Z73" s="1400"/>
      <c r="AA73" s="1063"/>
      <c r="AB73" s="267"/>
      <c r="AC73" s="259"/>
      <c r="AD73" s="1042"/>
      <c r="AE73" s="267"/>
      <c r="AF73" s="268"/>
      <c r="AG73" s="269">
        <f t="shared" si="8"/>
        <v>0</v>
      </c>
      <c r="AH73" s="271" t="e">
        <f t="shared" si="9"/>
        <v>#N/A</v>
      </c>
      <c r="AI73" s="272" t="e">
        <f>IF(AH73&lt;=1,"Remota",VLOOKUP(AH73,[71]Listas!$C$6:$D$10,2,0))</f>
        <v>#N/A</v>
      </c>
      <c r="AJ73" s="271" t="e">
        <f t="shared" si="10"/>
        <v>#N/A</v>
      </c>
      <c r="AK73" s="272" t="e">
        <f>IF(AJ73&lt;=1,"Insignificante",HLOOKUP(AJ73,[71]Listas!$F$3:$J$4,2,0))</f>
        <v>#N/A</v>
      </c>
      <c r="AL73" s="273" t="e">
        <f t="shared" si="11"/>
        <v>#N/A</v>
      </c>
      <c r="AM73" s="270" t="e">
        <f>INDEX([71]Listas!$F$6:$J$10,MATCH(AI73,[71]Listas!$D$6:$D$10,0),MATCH(AK73,[71]Listas!$F$4:$J$4,0))</f>
        <v>#N/A</v>
      </c>
      <c r="AN73" s="259"/>
      <c r="AO73" s="259"/>
      <c r="AP73" s="1044"/>
      <c r="AQ73" s="259"/>
      <c r="AR73" s="259" t="s">
        <v>2877</v>
      </c>
      <c r="AS73" s="1042"/>
      <c r="AT73" s="259"/>
      <c r="AU73" s="259"/>
      <c r="AV73" s="261"/>
      <c r="AW73" s="261"/>
      <c r="AX73" s="1042"/>
      <c r="AY73" s="262"/>
    </row>
    <row r="74" spans="1:51" s="260" customFormat="1" ht="103.5" hidden="1" customHeight="1">
      <c r="A74" s="1042"/>
      <c r="B74" s="266"/>
      <c r="C74" s="1399"/>
      <c r="D74" s="1408"/>
      <c r="E74" s="1400"/>
      <c r="F74" s="267"/>
      <c r="G74" s="1399"/>
      <c r="H74" s="1408"/>
      <c r="I74" s="1400"/>
      <c r="J74" s="1380"/>
      <c r="K74" s="1380"/>
      <c r="L74" s="1380"/>
      <c r="M74" s="1042"/>
      <c r="N74" s="1042"/>
      <c r="O74" s="1042"/>
      <c r="P74" s="1042"/>
      <c r="Q74" s="266"/>
      <c r="R74" s="266"/>
      <c r="S74" s="268"/>
      <c r="T74" s="269" t="e">
        <f>VLOOKUP(Q74,[71]Listas!$D$6:$E$10,2,0)</f>
        <v>#N/A</v>
      </c>
      <c r="U74" s="269" t="e">
        <f>HLOOKUP(R74,[71]Listas!$F$4:$J$5,2,0)</f>
        <v>#N/A</v>
      </c>
      <c r="V74" s="270" t="e">
        <f>INDEX([71]Listas!$F$6:$J$10,MATCH(Q74,[71]Listas!$D$6:$D$10,0),MATCH(R74,[71]Listas!$F$4:$J$4,0))</f>
        <v>#N/A</v>
      </c>
      <c r="W74" s="268"/>
      <c r="X74" s="1399"/>
      <c r="Y74" s="1408"/>
      <c r="Z74" s="1400"/>
      <c r="AA74" s="1063"/>
      <c r="AB74" s="267"/>
      <c r="AC74" s="259"/>
      <c r="AD74" s="1042"/>
      <c r="AE74" s="267"/>
      <c r="AF74" s="268"/>
      <c r="AG74" s="269">
        <f t="shared" si="8"/>
        <v>0</v>
      </c>
      <c r="AH74" s="271" t="e">
        <f t="shared" si="9"/>
        <v>#N/A</v>
      </c>
      <c r="AI74" s="272" t="e">
        <f>IF(AH74&lt;=1,"Remota",VLOOKUP(AH74,[71]Listas!$C$6:$D$10,2,0))</f>
        <v>#N/A</v>
      </c>
      <c r="AJ74" s="271" t="e">
        <f t="shared" si="10"/>
        <v>#N/A</v>
      </c>
      <c r="AK74" s="272" t="e">
        <f>IF(AJ74&lt;=1,"Insignificante",HLOOKUP(AJ74,[71]Listas!$F$3:$J$4,2,0))</f>
        <v>#N/A</v>
      </c>
      <c r="AL74" s="273" t="e">
        <f t="shared" si="11"/>
        <v>#N/A</v>
      </c>
      <c r="AM74" s="270" t="e">
        <f>INDEX([71]Listas!$F$6:$J$10,MATCH(AI74,[71]Listas!$D$6:$D$10,0),MATCH(AK74,[71]Listas!$F$4:$J$4,0))</f>
        <v>#N/A</v>
      </c>
      <c r="AN74" s="259"/>
      <c r="AO74" s="259"/>
      <c r="AP74" s="1044"/>
      <c r="AQ74" s="259"/>
      <c r="AR74" s="259" t="s">
        <v>2877</v>
      </c>
      <c r="AS74" s="1042"/>
      <c r="AT74" s="259"/>
      <c r="AU74" s="259"/>
      <c r="AV74" s="261"/>
      <c r="AW74" s="261"/>
      <c r="AX74" s="1042"/>
      <c r="AY74" s="262"/>
    </row>
    <row r="75" spans="1:51" s="260" customFormat="1" ht="103.5" hidden="1" customHeight="1">
      <c r="A75" s="1042"/>
      <c r="B75" s="266"/>
      <c r="C75" s="1399"/>
      <c r="D75" s="1408"/>
      <c r="E75" s="1400"/>
      <c r="F75" s="267"/>
      <c r="G75" s="1399"/>
      <c r="H75" s="1408"/>
      <c r="I75" s="1400"/>
      <c r="J75" s="1380"/>
      <c r="K75" s="1380"/>
      <c r="L75" s="1380"/>
      <c r="M75" s="1042"/>
      <c r="N75" s="1042"/>
      <c r="O75" s="1042"/>
      <c r="P75" s="1042"/>
      <c r="Q75" s="266"/>
      <c r="R75" s="266"/>
      <c r="S75" s="268"/>
      <c r="T75" s="269" t="e">
        <f>VLOOKUP(Q75,[71]Listas!$D$6:$E$10,2,0)</f>
        <v>#N/A</v>
      </c>
      <c r="U75" s="269" t="e">
        <f>HLOOKUP(R75,[71]Listas!$F$4:$J$5,2,0)</f>
        <v>#N/A</v>
      </c>
      <c r="V75" s="270" t="e">
        <f>INDEX([71]Listas!$F$6:$J$10,MATCH(Q75,[71]Listas!$D$6:$D$10,0),MATCH(R75,[71]Listas!$F$4:$J$4,0))</f>
        <v>#N/A</v>
      </c>
      <c r="W75" s="268"/>
      <c r="X75" s="1399"/>
      <c r="Y75" s="1408"/>
      <c r="Z75" s="1400"/>
      <c r="AA75" s="1063"/>
      <c r="AB75" s="267"/>
      <c r="AC75" s="259"/>
      <c r="AD75" s="1042"/>
      <c r="AE75" s="267"/>
      <c r="AF75" s="268"/>
      <c r="AG75" s="269">
        <f t="shared" si="8"/>
        <v>0</v>
      </c>
      <c r="AH75" s="271" t="e">
        <f t="shared" si="9"/>
        <v>#N/A</v>
      </c>
      <c r="AI75" s="272" t="e">
        <f>IF(AH75&lt;=1,"Remota",VLOOKUP(AH75,[71]Listas!$C$6:$D$10,2,0))</f>
        <v>#N/A</v>
      </c>
      <c r="AJ75" s="271" t="e">
        <f t="shared" si="10"/>
        <v>#N/A</v>
      </c>
      <c r="AK75" s="272" t="e">
        <f>IF(AJ75&lt;=1,"Insignificante",HLOOKUP(AJ75,[71]Listas!$F$3:$J$4,2,0))</f>
        <v>#N/A</v>
      </c>
      <c r="AL75" s="273" t="e">
        <f t="shared" si="11"/>
        <v>#N/A</v>
      </c>
      <c r="AM75" s="270" t="e">
        <f>INDEX([71]Listas!$F$6:$J$10,MATCH(AI75,[71]Listas!$D$6:$D$10,0),MATCH(AK75,[71]Listas!$F$4:$J$4,0))</f>
        <v>#N/A</v>
      </c>
      <c r="AN75" s="259"/>
      <c r="AO75" s="259"/>
      <c r="AP75" s="1044"/>
      <c r="AQ75" s="259"/>
      <c r="AR75" s="259" t="s">
        <v>2877</v>
      </c>
      <c r="AS75" s="1042"/>
      <c r="AT75" s="259"/>
      <c r="AU75" s="259"/>
      <c r="AV75" s="261"/>
      <c r="AW75" s="261"/>
      <c r="AX75" s="1042"/>
      <c r="AY75" s="262"/>
    </row>
    <row r="76" spans="1:51" s="260" customFormat="1" ht="103.5" hidden="1" customHeight="1">
      <c r="A76" s="1042"/>
      <c r="B76" s="266"/>
      <c r="C76" s="1399"/>
      <c r="D76" s="1408"/>
      <c r="E76" s="1400"/>
      <c r="F76" s="267"/>
      <c r="G76" s="1399"/>
      <c r="H76" s="1408"/>
      <c r="I76" s="1400"/>
      <c r="J76" s="1380"/>
      <c r="K76" s="1380"/>
      <c r="L76" s="1380"/>
      <c r="M76" s="1042"/>
      <c r="N76" s="1042"/>
      <c r="O76" s="1042"/>
      <c r="P76" s="1042"/>
      <c r="Q76" s="266"/>
      <c r="R76" s="266"/>
      <c r="S76" s="268"/>
      <c r="T76" s="269" t="e">
        <f>VLOOKUP(Q76,[71]Listas!$D$6:$E$10,2,0)</f>
        <v>#N/A</v>
      </c>
      <c r="U76" s="269" t="e">
        <f>HLOOKUP(R76,[71]Listas!$F$4:$J$5,2,0)</f>
        <v>#N/A</v>
      </c>
      <c r="V76" s="270" t="e">
        <f>INDEX([71]Listas!$F$6:$J$10,MATCH(Q76,[71]Listas!$D$6:$D$10,0),MATCH(R76,[71]Listas!$F$4:$J$4,0))</f>
        <v>#N/A</v>
      </c>
      <c r="W76" s="268"/>
      <c r="X76" s="1399"/>
      <c r="Y76" s="1408"/>
      <c r="Z76" s="1400"/>
      <c r="AA76" s="1063"/>
      <c r="AB76" s="267"/>
      <c r="AC76" s="259"/>
      <c r="AD76" s="1042"/>
      <c r="AE76" s="267"/>
      <c r="AF76" s="268"/>
      <c r="AG76" s="269">
        <f t="shared" si="8"/>
        <v>0</v>
      </c>
      <c r="AH76" s="271" t="e">
        <f t="shared" si="9"/>
        <v>#N/A</v>
      </c>
      <c r="AI76" s="272" t="e">
        <f>IF(AH76&lt;=1,"Remota",VLOOKUP(AH76,[71]Listas!$C$6:$D$10,2,0))</f>
        <v>#N/A</v>
      </c>
      <c r="AJ76" s="271" t="e">
        <f t="shared" si="10"/>
        <v>#N/A</v>
      </c>
      <c r="AK76" s="272" t="e">
        <f>IF(AJ76&lt;=1,"Insignificante",HLOOKUP(AJ76,[71]Listas!$F$3:$J$4,2,0))</f>
        <v>#N/A</v>
      </c>
      <c r="AL76" s="273" t="e">
        <f t="shared" si="11"/>
        <v>#N/A</v>
      </c>
      <c r="AM76" s="270" t="e">
        <f>INDEX([71]Listas!$F$6:$J$10,MATCH(AI76,[71]Listas!$D$6:$D$10,0),MATCH(AK76,[71]Listas!$F$4:$J$4,0))</f>
        <v>#N/A</v>
      </c>
      <c r="AN76" s="259"/>
      <c r="AO76" s="259"/>
      <c r="AP76" s="1044"/>
      <c r="AQ76" s="259"/>
      <c r="AR76" s="259" t="s">
        <v>2877</v>
      </c>
      <c r="AS76" s="1042"/>
      <c r="AT76" s="259"/>
      <c r="AU76" s="259"/>
      <c r="AV76" s="261"/>
      <c r="AW76" s="261"/>
      <c r="AX76" s="1042"/>
      <c r="AY76" s="262"/>
    </row>
    <row r="77" spans="1:51" s="260" customFormat="1" ht="103.5" hidden="1" customHeight="1">
      <c r="A77" s="1042"/>
      <c r="B77" s="266"/>
      <c r="C77" s="1399"/>
      <c r="D77" s="1408"/>
      <c r="E77" s="1400"/>
      <c r="F77" s="267"/>
      <c r="G77" s="1399"/>
      <c r="H77" s="1408"/>
      <c r="I77" s="1400"/>
      <c r="J77" s="1380"/>
      <c r="K77" s="1380"/>
      <c r="L77" s="1380"/>
      <c r="M77" s="1042"/>
      <c r="N77" s="1042"/>
      <c r="O77" s="1042"/>
      <c r="P77" s="1042"/>
      <c r="Q77" s="266"/>
      <c r="R77" s="266"/>
      <c r="S77" s="268"/>
      <c r="T77" s="269" t="e">
        <f>VLOOKUP(Q77,[71]Listas!$D$6:$E$10,2,0)</f>
        <v>#N/A</v>
      </c>
      <c r="U77" s="269" t="e">
        <f>HLOOKUP(R77,[71]Listas!$F$4:$J$5,2,0)</f>
        <v>#N/A</v>
      </c>
      <c r="V77" s="270" t="e">
        <f>INDEX([71]Listas!$F$6:$J$10,MATCH(Q77,[71]Listas!$D$6:$D$10,0),MATCH(R77,[71]Listas!$F$4:$J$4,0))</f>
        <v>#N/A</v>
      </c>
      <c r="W77" s="268"/>
      <c r="X77" s="1399"/>
      <c r="Y77" s="1408"/>
      <c r="Z77" s="1400"/>
      <c r="AA77" s="1063"/>
      <c r="AB77" s="267"/>
      <c r="AC77" s="259"/>
      <c r="AD77" s="1042"/>
      <c r="AE77" s="267"/>
      <c r="AF77" s="268"/>
      <c r="AG77" s="269">
        <f t="shared" si="8"/>
        <v>0</v>
      </c>
      <c r="AH77" s="271" t="e">
        <f t="shared" si="9"/>
        <v>#N/A</v>
      </c>
      <c r="AI77" s="272" t="e">
        <f>IF(AH77&lt;=1,"Remota",VLOOKUP(AH77,[71]Listas!$C$6:$D$10,2,0))</f>
        <v>#N/A</v>
      </c>
      <c r="AJ77" s="271" t="e">
        <f t="shared" si="10"/>
        <v>#N/A</v>
      </c>
      <c r="AK77" s="272" t="e">
        <f>IF(AJ77&lt;=1,"Insignificante",HLOOKUP(AJ77,[71]Listas!$F$3:$J$4,2,0))</f>
        <v>#N/A</v>
      </c>
      <c r="AL77" s="273" t="e">
        <f t="shared" si="11"/>
        <v>#N/A</v>
      </c>
      <c r="AM77" s="270" t="e">
        <f>INDEX([71]Listas!$F$6:$J$10,MATCH(AI77,[71]Listas!$D$6:$D$10,0),MATCH(AK77,[71]Listas!$F$4:$J$4,0))</f>
        <v>#N/A</v>
      </c>
      <c r="AN77" s="259"/>
      <c r="AO77" s="259"/>
      <c r="AP77" s="1044"/>
      <c r="AQ77" s="259"/>
      <c r="AR77" s="259" t="s">
        <v>2877</v>
      </c>
      <c r="AS77" s="1042"/>
      <c r="AT77" s="259"/>
      <c r="AU77" s="259"/>
      <c r="AV77" s="261"/>
      <c r="AW77" s="261"/>
      <c r="AX77" s="1042"/>
      <c r="AY77" s="262"/>
    </row>
    <row r="78" spans="1:51" s="260" customFormat="1" ht="103.5" hidden="1" customHeight="1">
      <c r="A78" s="1042"/>
      <c r="B78" s="266"/>
      <c r="C78" s="1399"/>
      <c r="D78" s="1408"/>
      <c r="E78" s="1400"/>
      <c r="F78" s="267"/>
      <c r="G78" s="1399"/>
      <c r="H78" s="1408"/>
      <c r="I78" s="1400"/>
      <c r="J78" s="1380"/>
      <c r="K78" s="1380"/>
      <c r="L78" s="1380"/>
      <c r="M78" s="1042"/>
      <c r="N78" s="1042"/>
      <c r="O78" s="1042"/>
      <c r="P78" s="1042"/>
      <c r="Q78" s="266"/>
      <c r="R78" s="266"/>
      <c r="S78" s="268"/>
      <c r="T78" s="269" t="e">
        <f>VLOOKUP(Q78,[71]Listas!$D$6:$E$10,2,0)</f>
        <v>#N/A</v>
      </c>
      <c r="U78" s="269" t="e">
        <f>HLOOKUP(R78,[71]Listas!$F$4:$J$5,2,0)</f>
        <v>#N/A</v>
      </c>
      <c r="V78" s="270" t="e">
        <f>INDEX([71]Listas!$F$6:$J$10,MATCH(Q78,[71]Listas!$D$6:$D$10,0),MATCH(R78,[71]Listas!$F$4:$J$4,0))</f>
        <v>#N/A</v>
      </c>
      <c r="W78" s="268"/>
      <c r="X78" s="1399"/>
      <c r="Y78" s="1408"/>
      <c r="Z78" s="1400"/>
      <c r="AA78" s="1063"/>
      <c r="AB78" s="267"/>
      <c r="AC78" s="259"/>
      <c r="AD78" s="1042"/>
      <c r="AE78" s="267"/>
      <c r="AF78" s="268"/>
      <c r="AG78" s="269">
        <f t="shared" si="8"/>
        <v>0</v>
      </c>
      <c r="AH78" s="271" t="e">
        <f t="shared" si="9"/>
        <v>#N/A</v>
      </c>
      <c r="AI78" s="272" t="e">
        <f>IF(AH78&lt;=1,"Remota",VLOOKUP(AH78,[71]Listas!$C$6:$D$10,2,0))</f>
        <v>#N/A</v>
      </c>
      <c r="AJ78" s="271" t="e">
        <f t="shared" si="10"/>
        <v>#N/A</v>
      </c>
      <c r="AK78" s="272" t="e">
        <f>IF(AJ78&lt;=1,"Insignificante",HLOOKUP(AJ78,[71]Listas!$F$3:$J$4,2,0))</f>
        <v>#N/A</v>
      </c>
      <c r="AL78" s="273" t="e">
        <f t="shared" si="11"/>
        <v>#N/A</v>
      </c>
      <c r="AM78" s="270" t="e">
        <f>INDEX([71]Listas!$F$6:$J$10,MATCH(AI78,[71]Listas!$D$6:$D$10,0),MATCH(AK78,[71]Listas!$F$4:$J$4,0))</f>
        <v>#N/A</v>
      </c>
      <c r="AN78" s="259"/>
      <c r="AO78" s="259"/>
      <c r="AP78" s="1044"/>
      <c r="AQ78" s="259"/>
      <c r="AR78" s="259" t="s">
        <v>2877</v>
      </c>
      <c r="AS78" s="1042"/>
      <c r="AT78" s="259"/>
      <c r="AU78" s="259"/>
      <c r="AV78" s="261"/>
      <c r="AW78" s="261"/>
      <c r="AX78" s="1042"/>
      <c r="AY78" s="262"/>
    </row>
    <row r="79" spans="1:51" s="260" customFormat="1" ht="103.5" hidden="1" customHeight="1">
      <c r="A79" s="1042"/>
      <c r="B79" s="266"/>
      <c r="C79" s="1399"/>
      <c r="D79" s="1408"/>
      <c r="E79" s="1400"/>
      <c r="F79" s="267"/>
      <c r="G79" s="1399"/>
      <c r="H79" s="1408"/>
      <c r="I79" s="1400"/>
      <c r="J79" s="1380"/>
      <c r="K79" s="1380"/>
      <c r="L79" s="1380"/>
      <c r="M79" s="1042"/>
      <c r="N79" s="1042"/>
      <c r="O79" s="1042"/>
      <c r="P79" s="1042"/>
      <c r="Q79" s="266"/>
      <c r="R79" s="266"/>
      <c r="S79" s="268"/>
      <c r="T79" s="269" t="e">
        <f>VLOOKUP(Q79,[71]Listas!$D$6:$E$10,2,0)</f>
        <v>#N/A</v>
      </c>
      <c r="U79" s="269" t="e">
        <f>HLOOKUP(R79,[71]Listas!$F$4:$J$5,2,0)</f>
        <v>#N/A</v>
      </c>
      <c r="V79" s="270" t="e">
        <f>INDEX([71]Listas!$F$6:$J$10,MATCH(Q79,[71]Listas!$D$6:$D$10,0),MATCH(R79,[71]Listas!$F$4:$J$4,0))</f>
        <v>#N/A</v>
      </c>
      <c r="W79" s="268"/>
      <c r="X79" s="1399"/>
      <c r="Y79" s="1408"/>
      <c r="Z79" s="1400"/>
      <c r="AA79" s="1063"/>
      <c r="AB79" s="267"/>
      <c r="AC79" s="259"/>
      <c r="AD79" s="1042"/>
      <c r="AE79" s="267"/>
      <c r="AF79" s="268"/>
      <c r="AG79" s="269">
        <f t="shared" si="8"/>
        <v>0</v>
      </c>
      <c r="AH79" s="271" t="e">
        <f t="shared" si="9"/>
        <v>#N/A</v>
      </c>
      <c r="AI79" s="272" t="e">
        <f>IF(AH79&lt;=1,"Remota",VLOOKUP(AH79,[71]Listas!$C$6:$D$10,2,0))</f>
        <v>#N/A</v>
      </c>
      <c r="AJ79" s="271" t="e">
        <f t="shared" si="10"/>
        <v>#N/A</v>
      </c>
      <c r="AK79" s="272" t="e">
        <f>IF(AJ79&lt;=1,"Insignificante",HLOOKUP(AJ79,[71]Listas!$F$3:$J$4,2,0))</f>
        <v>#N/A</v>
      </c>
      <c r="AL79" s="273" t="e">
        <f t="shared" si="11"/>
        <v>#N/A</v>
      </c>
      <c r="AM79" s="270" t="e">
        <f>INDEX([71]Listas!$F$6:$J$10,MATCH(AI79,[71]Listas!$D$6:$D$10,0),MATCH(AK79,[71]Listas!$F$4:$J$4,0))</f>
        <v>#N/A</v>
      </c>
      <c r="AN79" s="259"/>
      <c r="AO79" s="259"/>
      <c r="AP79" s="1044"/>
      <c r="AQ79" s="259"/>
      <c r="AR79" s="259" t="s">
        <v>2877</v>
      </c>
      <c r="AS79" s="1042"/>
      <c r="AT79" s="259"/>
      <c r="AU79" s="259"/>
      <c r="AV79" s="261"/>
      <c r="AW79" s="261"/>
      <c r="AX79" s="1042"/>
      <c r="AY79" s="262"/>
    </row>
    <row r="80" spans="1:51" s="260" customFormat="1" ht="103.5" hidden="1" customHeight="1">
      <c r="A80" s="1042"/>
      <c r="B80" s="266"/>
      <c r="C80" s="1399"/>
      <c r="D80" s="1408"/>
      <c r="E80" s="1400"/>
      <c r="F80" s="267"/>
      <c r="G80" s="1399"/>
      <c r="H80" s="1408"/>
      <c r="I80" s="1400"/>
      <c r="J80" s="1380"/>
      <c r="K80" s="1380"/>
      <c r="L80" s="1380"/>
      <c r="M80" s="1042"/>
      <c r="N80" s="1042"/>
      <c r="O80" s="1042"/>
      <c r="P80" s="1042"/>
      <c r="Q80" s="266"/>
      <c r="R80" s="266"/>
      <c r="S80" s="268"/>
      <c r="T80" s="269" t="e">
        <f>VLOOKUP(Q80,[71]Listas!$D$6:$E$10,2,0)</f>
        <v>#N/A</v>
      </c>
      <c r="U80" s="269" t="e">
        <f>HLOOKUP(R80,[71]Listas!$F$4:$J$5,2,0)</f>
        <v>#N/A</v>
      </c>
      <c r="V80" s="270" t="e">
        <f>INDEX([71]Listas!$F$6:$J$10,MATCH(Q80,[71]Listas!$D$6:$D$10,0),MATCH(R80,[71]Listas!$F$4:$J$4,0))</f>
        <v>#N/A</v>
      </c>
      <c r="W80" s="268"/>
      <c r="X80" s="1399"/>
      <c r="Y80" s="1408"/>
      <c r="Z80" s="1400"/>
      <c r="AA80" s="1063"/>
      <c r="AB80" s="267"/>
      <c r="AC80" s="259"/>
      <c r="AD80" s="1042"/>
      <c r="AE80" s="267"/>
      <c r="AF80" s="268"/>
      <c r="AG80" s="269">
        <f t="shared" si="8"/>
        <v>0</v>
      </c>
      <c r="AH80" s="271" t="e">
        <f t="shared" si="9"/>
        <v>#N/A</v>
      </c>
      <c r="AI80" s="272" t="e">
        <f>IF(AH80&lt;=1,"Remota",VLOOKUP(AH80,[71]Listas!$C$6:$D$10,2,0))</f>
        <v>#N/A</v>
      </c>
      <c r="AJ80" s="271" t="e">
        <f t="shared" si="10"/>
        <v>#N/A</v>
      </c>
      <c r="AK80" s="272" t="e">
        <f>IF(AJ80&lt;=1,"Insignificante",HLOOKUP(AJ80,[71]Listas!$F$3:$J$4,2,0))</f>
        <v>#N/A</v>
      </c>
      <c r="AL80" s="273" t="e">
        <f t="shared" si="11"/>
        <v>#N/A</v>
      </c>
      <c r="AM80" s="270" t="e">
        <f>INDEX([71]Listas!$F$6:$J$10,MATCH(AI80,[71]Listas!$D$6:$D$10,0),MATCH(AK80,[71]Listas!$F$4:$J$4,0))</f>
        <v>#N/A</v>
      </c>
      <c r="AN80" s="259"/>
      <c r="AO80" s="259"/>
      <c r="AP80" s="1044"/>
      <c r="AQ80" s="259"/>
      <c r="AR80" s="259" t="s">
        <v>2877</v>
      </c>
      <c r="AS80" s="1042"/>
      <c r="AT80" s="259"/>
      <c r="AU80" s="259"/>
      <c r="AV80" s="261"/>
      <c r="AW80" s="261"/>
      <c r="AX80" s="1042"/>
      <c r="AY80" s="262"/>
    </row>
    <row r="81" spans="1:51" s="260" customFormat="1" ht="103.5" hidden="1" customHeight="1">
      <c r="A81" s="1042"/>
      <c r="B81" s="266"/>
      <c r="C81" s="1399"/>
      <c r="D81" s="1408"/>
      <c r="E81" s="1400"/>
      <c r="F81" s="267"/>
      <c r="G81" s="1399"/>
      <c r="H81" s="1408"/>
      <c r="I81" s="1400"/>
      <c r="J81" s="1380"/>
      <c r="K81" s="1380"/>
      <c r="L81" s="1380"/>
      <c r="M81" s="1042"/>
      <c r="N81" s="1042"/>
      <c r="O81" s="1042"/>
      <c r="P81" s="1042"/>
      <c r="Q81" s="266"/>
      <c r="R81" s="266"/>
      <c r="S81" s="268"/>
      <c r="T81" s="269" t="e">
        <f>VLOOKUP(Q81,[71]Listas!$D$6:$E$10,2,0)</f>
        <v>#N/A</v>
      </c>
      <c r="U81" s="269" t="e">
        <f>HLOOKUP(R81,[71]Listas!$F$4:$J$5,2,0)</f>
        <v>#N/A</v>
      </c>
      <c r="V81" s="270" t="e">
        <f>INDEX([71]Listas!$F$6:$J$10,MATCH(Q81,[71]Listas!$D$6:$D$10,0),MATCH(R81,[71]Listas!$F$4:$J$4,0))</f>
        <v>#N/A</v>
      </c>
      <c r="W81" s="268"/>
      <c r="X81" s="1399"/>
      <c r="Y81" s="1408"/>
      <c r="Z81" s="1400"/>
      <c r="AA81" s="1063"/>
      <c r="AB81" s="267"/>
      <c r="AC81" s="259"/>
      <c r="AD81" s="1042"/>
      <c r="AE81" s="267"/>
      <c r="AF81" s="268"/>
      <c r="AG81" s="269">
        <f t="shared" si="8"/>
        <v>0</v>
      </c>
      <c r="AH81" s="271" t="e">
        <f t="shared" si="9"/>
        <v>#N/A</v>
      </c>
      <c r="AI81" s="272" t="e">
        <f>IF(AH81&lt;=1,"Remota",VLOOKUP(AH81,[71]Listas!$C$6:$D$10,2,0))</f>
        <v>#N/A</v>
      </c>
      <c r="AJ81" s="271" t="e">
        <f t="shared" si="10"/>
        <v>#N/A</v>
      </c>
      <c r="AK81" s="272" t="e">
        <f>IF(AJ81&lt;=1,"Insignificante",HLOOKUP(AJ81,[71]Listas!$F$3:$J$4,2,0))</f>
        <v>#N/A</v>
      </c>
      <c r="AL81" s="273" t="e">
        <f t="shared" si="11"/>
        <v>#N/A</v>
      </c>
      <c r="AM81" s="270" t="e">
        <f>INDEX([71]Listas!$F$6:$J$10,MATCH(AI81,[71]Listas!$D$6:$D$10,0),MATCH(AK81,[71]Listas!$F$4:$J$4,0))</f>
        <v>#N/A</v>
      </c>
      <c r="AN81" s="259"/>
      <c r="AO81" s="259"/>
      <c r="AP81" s="1044"/>
      <c r="AQ81" s="259"/>
      <c r="AR81" s="259" t="s">
        <v>2877</v>
      </c>
      <c r="AS81" s="1042"/>
      <c r="AT81" s="259"/>
      <c r="AU81" s="259"/>
      <c r="AV81" s="261"/>
      <c r="AW81" s="261"/>
      <c r="AX81" s="1042"/>
      <c r="AY81" s="262"/>
    </row>
    <row r="82" spans="1:51" s="260" customFormat="1" ht="103.5" hidden="1" customHeight="1">
      <c r="A82" s="1042"/>
      <c r="B82" s="266"/>
      <c r="C82" s="1399"/>
      <c r="D82" s="1408"/>
      <c r="E82" s="1400"/>
      <c r="F82" s="267"/>
      <c r="G82" s="1399"/>
      <c r="H82" s="1408"/>
      <c r="I82" s="1400"/>
      <c r="J82" s="1380"/>
      <c r="K82" s="1380"/>
      <c r="L82" s="1380"/>
      <c r="M82" s="1042"/>
      <c r="N82" s="1042"/>
      <c r="O82" s="1042"/>
      <c r="P82" s="1042"/>
      <c r="Q82" s="266"/>
      <c r="R82" s="266"/>
      <c r="S82" s="268"/>
      <c r="T82" s="269" t="e">
        <f>VLOOKUP(Q82,[71]Listas!$D$6:$E$10,2,0)</f>
        <v>#N/A</v>
      </c>
      <c r="U82" s="269" t="e">
        <f>HLOOKUP(R82,[71]Listas!$F$4:$J$5,2,0)</f>
        <v>#N/A</v>
      </c>
      <c r="V82" s="270" t="e">
        <f>INDEX([71]Listas!$F$6:$J$10,MATCH(Q82,[71]Listas!$D$6:$D$10,0),MATCH(R82,[71]Listas!$F$4:$J$4,0))</f>
        <v>#N/A</v>
      </c>
      <c r="W82" s="268"/>
      <c r="X82" s="1399"/>
      <c r="Y82" s="1408"/>
      <c r="Z82" s="1400"/>
      <c r="AA82" s="1063"/>
      <c r="AB82" s="267"/>
      <c r="AC82" s="259"/>
      <c r="AD82" s="1042"/>
      <c r="AE82" s="267"/>
      <c r="AF82" s="268"/>
      <c r="AG82" s="269">
        <f t="shared" si="8"/>
        <v>0</v>
      </c>
      <c r="AH82" s="271" t="e">
        <f t="shared" si="9"/>
        <v>#N/A</v>
      </c>
      <c r="AI82" s="272" t="e">
        <f>IF(AH82&lt;=1,"Remota",VLOOKUP(AH82,[71]Listas!$C$6:$D$10,2,0))</f>
        <v>#N/A</v>
      </c>
      <c r="AJ82" s="271" t="e">
        <f t="shared" si="10"/>
        <v>#N/A</v>
      </c>
      <c r="AK82" s="272" t="e">
        <f>IF(AJ82&lt;=1,"Insignificante",HLOOKUP(AJ82,[71]Listas!$F$3:$J$4,2,0))</f>
        <v>#N/A</v>
      </c>
      <c r="AL82" s="273" t="e">
        <f t="shared" si="11"/>
        <v>#N/A</v>
      </c>
      <c r="AM82" s="270" t="e">
        <f>INDEX([71]Listas!$F$6:$J$10,MATCH(AI82,[71]Listas!$D$6:$D$10,0),MATCH(AK82,[71]Listas!$F$4:$J$4,0))</f>
        <v>#N/A</v>
      </c>
      <c r="AN82" s="259"/>
      <c r="AO82" s="259"/>
      <c r="AP82" s="1044"/>
      <c r="AQ82" s="259"/>
      <c r="AR82" s="259" t="s">
        <v>2877</v>
      </c>
      <c r="AS82" s="1042"/>
      <c r="AT82" s="259"/>
      <c r="AU82" s="259"/>
      <c r="AV82" s="261"/>
      <c r="AW82" s="261"/>
      <c r="AX82" s="1042"/>
      <c r="AY82" s="262"/>
    </row>
    <row r="83" spans="1:51" s="260" customFormat="1" ht="103.5" hidden="1" customHeight="1">
      <c r="A83" s="1042"/>
      <c r="B83" s="266"/>
      <c r="C83" s="1399"/>
      <c r="D83" s="1408"/>
      <c r="E83" s="1400"/>
      <c r="F83" s="267"/>
      <c r="G83" s="1399"/>
      <c r="H83" s="1408"/>
      <c r="I83" s="1400"/>
      <c r="J83" s="1380"/>
      <c r="K83" s="1380"/>
      <c r="L83" s="1380"/>
      <c r="M83" s="1042"/>
      <c r="N83" s="1042"/>
      <c r="O83" s="1042"/>
      <c r="P83" s="1042"/>
      <c r="Q83" s="266"/>
      <c r="R83" s="266"/>
      <c r="S83" s="268"/>
      <c r="T83" s="269" t="e">
        <f>VLOOKUP(Q83,[71]Listas!$D$6:$E$10,2,0)</f>
        <v>#N/A</v>
      </c>
      <c r="U83" s="269" t="e">
        <f>HLOOKUP(R83,[71]Listas!$F$4:$J$5,2,0)</f>
        <v>#N/A</v>
      </c>
      <c r="V83" s="270" t="e">
        <f>INDEX([71]Listas!$F$6:$J$10,MATCH(Q83,[71]Listas!$D$6:$D$10,0),MATCH(R83,[71]Listas!$F$4:$J$4,0))</f>
        <v>#N/A</v>
      </c>
      <c r="W83" s="268"/>
      <c r="X83" s="1399"/>
      <c r="Y83" s="1408"/>
      <c r="Z83" s="1400"/>
      <c r="AA83" s="1063"/>
      <c r="AB83" s="267"/>
      <c r="AC83" s="259"/>
      <c r="AD83" s="1042"/>
      <c r="AE83" s="267"/>
      <c r="AF83" s="268"/>
      <c r="AG83" s="269">
        <f t="shared" si="8"/>
        <v>0</v>
      </c>
      <c r="AH83" s="271" t="e">
        <f t="shared" si="9"/>
        <v>#N/A</v>
      </c>
      <c r="AI83" s="272" t="e">
        <f>IF(AH83&lt;=1,"Remota",VLOOKUP(AH83,[71]Listas!$C$6:$D$10,2,0))</f>
        <v>#N/A</v>
      </c>
      <c r="AJ83" s="271" t="e">
        <f t="shared" si="10"/>
        <v>#N/A</v>
      </c>
      <c r="AK83" s="272" t="e">
        <f>IF(AJ83&lt;=1,"Insignificante",HLOOKUP(AJ83,[71]Listas!$F$3:$J$4,2,0))</f>
        <v>#N/A</v>
      </c>
      <c r="AL83" s="273" t="e">
        <f t="shared" si="11"/>
        <v>#N/A</v>
      </c>
      <c r="AM83" s="270" t="e">
        <f>INDEX([71]Listas!$F$6:$J$10,MATCH(AI83,[71]Listas!$D$6:$D$10,0),MATCH(AK83,[71]Listas!$F$4:$J$4,0))</f>
        <v>#N/A</v>
      </c>
      <c r="AN83" s="259"/>
      <c r="AO83" s="259"/>
      <c r="AP83" s="1044"/>
      <c r="AQ83" s="259"/>
      <c r="AR83" s="259" t="s">
        <v>2877</v>
      </c>
      <c r="AS83" s="1042"/>
      <c r="AT83" s="259"/>
      <c r="AU83" s="259"/>
      <c r="AV83" s="261"/>
      <c r="AW83" s="261"/>
      <c r="AX83" s="1042"/>
      <c r="AY83" s="262"/>
    </row>
    <row r="84" spans="1:51" s="260" customFormat="1" ht="103.5" hidden="1" customHeight="1">
      <c r="A84" s="1042"/>
      <c r="B84" s="266"/>
      <c r="C84" s="1399"/>
      <c r="D84" s="1408"/>
      <c r="E84" s="1400"/>
      <c r="F84" s="266"/>
      <c r="G84" s="1399"/>
      <c r="H84" s="1408"/>
      <c r="I84" s="1400"/>
      <c r="J84" s="1380"/>
      <c r="K84" s="1380"/>
      <c r="L84" s="1380"/>
      <c r="M84" s="1042"/>
      <c r="N84" s="1042"/>
      <c r="O84" s="1042"/>
      <c r="P84" s="1042"/>
      <c r="Q84" s="266"/>
      <c r="R84" s="266"/>
      <c r="S84" s="268"/>
      <c r="T84" s="269" t="e">
        <f>VLOOKUP(Q84,[71]Listas!$D$6:$E$10,2,0)</f>
        <v>#N/A</v>
      </c>
      <c r="U84" s="269" t="e">
        <f>HLOOKUP(R84,[71]Listas!$F$4:$J$5,2,0)</f>
        <v>#N/A</v>
      </c>
      <c r="V84" s="270" t="e">
        <f>INDEX([71]Listas!$F$6:$J$10,MATCH(Q84,[71]Listas!$D$6:$D$10,0),MATCH(R84,[71]Listas!$F$4:$J$4,0))</f>
        <v>#N/A</v>
      </c>
      <c r="W84" s="268"/>
      <c r="X84" s="1399"/>
      <c r="Y84" s="1408"/>
      <c r="Z84" s="1400"/>
      <c r="AA84" s="1063"/>
      <c r="AB84" s="267"/>
      <c r="AC84" s="259"/>
      <c r="AD84" s="1042"/>
      <c r="AE84" s="267"/>
      <c r="AF84" s="268"/>
      <c r="AG84" s="269">
        <f>IF(AD84&lt;=33,0,IF(AD84&gt;81,2,1))</f>
        <v>0</v>
      </c>
      <c r="AH84" s="271" t="e">
        <f>IF(OR(AE84="Probabilidad",AE84="Ambos"),T84-AG84,T84)</f>
        <v>#N/A</v>
      </c>
      <c r="AI84" s="272" t="e">
        <f>IF(AH84&lt;=1,"Remota",VLOOKUP(AH84,[71]Listas!$C$6:$D$10,2,0))</f>
        <v>#N/A</v>
      </c>
      <c r="AJ84" s="271" t="e">
        <f>IF(OR(AE84="Impacto",AE84="Ambos"),U84-AG84,U84)</f>
        <v>#N/A</v>
      </c>
      <c r="AK84" s="272" t="e">
        <f>IF(AJ84&lt;=1,"Insignificante",HLOOKUP(AJ84,[71]Listas!$F$3:$J$4,2,0))</f>
        <v>#N/A</v>
      </c>
      <c r="AL84" s="273" t="e">
        <f>AH84*AJ84</f>
        <v>#N/A</v>
      </c>
      <c r="AM84" s="270" t="e">
        <f>INDEX([71]Listas!$F$6:$J$10,MATCH(AI84,[71]Listas!$D$6:$D$10,0),MATCH(AK84,[71]Listas!$F$4:$J$4,0))</f>
        <v>#N/A</v>
      </c>
      <c r="AN84" s="259"/>
      <c r="AO84" s="259"/>
      <c r="AP84" s="1044"/>
      <c r="AQ84" s="259"/>
      <c r="AR84" s="259" t="s">
        <v>2877</v>
      </c>
      <c r="AS84" s="1042"/>
      <c r="AU84" s="259"/>
      <c r="AV84" s="261"/>
      <c r="AW84" s="261"/>
      <c r="AX84" s="1042"/>
      <c r="AY84" s="262"/>
    </row>
    <row r="85" spans="1:51" s="260" customFormat="1" ht="103.5" hidden="1" customHeight="1">
      <c r="A85" s="1042"/>
      <c r="B85" s="266"/>
      <c r="C85" s="1399"/>
      <c r="D85" s="1408"/>
      <c r="E85" s="1400"/>
      <c r="F85" s="267"/>
      <c r="G85" s="1399"/>
      <c r="H85" s="1408"/>
      <c r="I85" s="1400"/>
      <c r="J85" s="1380"/>
      <c r="K85" s="1380"/>
      <c r="L85" s="1380"/>
      <c r="M85" s="1042"/>
      <c r="N85" s="1042"/>
      <c r="O85" s="1042"/>
      <c r="P85" s="1042"/>
      <c r="Q85" s="266"/>
      <c r="R85" s="266"/>
      <c r="S85" s="268"/>
      <c r="T85" s="269" t="e">
        <f>VLOOKUP(Q85,[71]Listas!$D$6:$E$10,2,0)</f>
        <v>#N/A</v>
      </c>
      <c r="U85" s="269" t="e">
        <f>HLOOKUP(R85,[71]Listas!$F$4:$J$5,2,0)</f>
        <v>#N/A</v>
      </c>
      <c r="V85" s="270" t="e">
        <f>INDEX([71]Listas!$F$6:$J$10,MATCH(Q85,[71]Listas!$D$6:$D$10,0),MATCH(R85,[71]Listas!$F$4:$J$4,0))</f>
        <v>#N/A</v>
      </c>
      <c r="W85" s="268"/>
      <c r="X85" s="1399"/>
      <c r="Y85" s="1408"/>
      <c r="Z85" s="1400"/>
      <c r="AA85" s="1063"/>
      <c r="AB85" s="267"/>
      <c r="AC85" s="259"/>
      <c r="AD85" s="1042"/>
      <c r="AE85" s="267"/>
      <c r="AF85" s="268"/>
      <c r="AG85" s="269">
        <f t="shared" ref="AG85:AG148" si="12">IF(AD85&lt;=33,0,IF(AD85&gt;81,2,1))</f>
        <v>0</v>
      </c>
      <c r="AH85" s="271" t="e">
        <f t="shared" ref="AH85:AH148" si="13">IF(OR(AE85="Probabilidad",AE85="Ambos"),T85-AG85,T85)</f>
        <v>#N/A</v>
      </c>
      <c r="AI85" s="272" t="e">
        <f>IF(AH85&lt;=1,"Remota",VLOOKUP(AH85,[71]Listas!$C$6:$D$10,2,0))</f>
        <v>#N/A</v>
      </c>
      <c r="AJ85" s="271" t="e">
        <f t="shared" ref="AJ85:AJ148" si="14">IF(OR(AE85="Impacto",AE85="Ambos"),U85-AG85,U85)</f>
        <v>#N/A</v>
      </c>
      <c r="AK85" s="272" t="e">
        <f>IF(AJ85&lt;=1,"Insignificante",HLOOKUP(AJ85,[71]Listas!$F$3:$J$4,2,0))</f>
        <v>#N/A</v>
      </c>
      <c r="AL85" s="273" t="e">
        <f t="shared" ref="AL85:AL148" si="15">AH85*AJ85</f>
        <v>#N/A</v>
      </c>
      <c r="AM85" s="270" t="e">
        <f>INDEX([71]Listas!$F$6:$J$10,MATCH(AI85,[71]Listas!$D$6:$D$10,0),MATCH(AK85,[71]Listas!$F$4:$J$4,0))</f>
        <v>#N/A</v>
      </c>
      <c r="AN85" s="259"/>
      <c r="AO85" s="259"/>
      <c r="AP85" s="1044"/>
      <c r="AQ85" s="259"/>
      <c r="AR85" s="259" t="s">
        <v>2877</v>
      </c>
      <c r="AS85" s="1042"/>
      <c r="AT85" s="259"/>
      <c r="AU85" s="259"/>
      <c r="AV85" s="261"/>
      <c r="AW85" s="261"/>
      <c r="AX85" s="1042"/>
      <c r="AY85" s="262"/>
    </row>
    <row r="86" spans="1:51" s="260" customFormat="1" ht="103.5" hidden="1" customHeight="1">
      <c r="A86" s="1042"/>
      <c r="B86" s="266"/>
      <c r="C86" s="1399"/>
      <c r="D86" s="1408"/>
      <c r="E86" s="1400"/>
      <c r="F86" s="267"/>
      <c r="G86" s="1399"/>
      <c r="H86" s="1408"/>
      <c r="I86" s="1400"/>
      <c r="J86" s="1380"/>
      <c r="K86" s="1380"/>
      <c r="L86" s="1380"/>
      <c r="M86" s="1042"/>
      <c r="N86" s="1042"/>
      <c r="O86" s="1042"/>
      <c r="P86" s="1042"/>
      <c r="Q86" s="266"/>
      <c r="R86" s="266"/>
      <c r="S86" s="268"/>
      <c r="T86" s="269" t="e">
        <f>VLOOKUP(Q86,[71]Listas!$D$6:$E$10,2,0)</f>
        <v>#N/A</v>
      </c>
      <c r="U86" s="269" t="e">
        <f>HLOOKUP(R86,[71]Listas!$F$4:$J$5,2,0)</f>
        <v>#N/A</v>
      </c>
      <c r="V86" s="270" t="e">
        <f>INDEX([71]Listas!$F$6:$J$10,MATCH(Q86,[71]Listas!$D$6:$D$10,0),MATCH(R86,[71]Listas!$F$4:$J$4,0))</f>
        <v>#N/A</v>
      </c>
      <c r="W86" s="268"/>
      <c r="X86" s="1399"/>
      <c r="Y86" s="1408"/>
      <c r="Z86" s="1400"/>
      <c r="AA86" s="1063"/>
      <c r="AB86" s="267"/>
      <c r="AC86" s="259"/>
      <c r="AD86" s="1042"/>
      <c r="AE86" s="267"/>
      <c r="AF86" s="268"/>
      <c r="AG86" s="269">
        <f t="shared" si="12"/>
        <v>0</v>
      </c>
      <c r="AH86" s="271" t="e">
        <f t="shared" si="13"/>
        <v>#N/A</v>
      </c>
      <c r="AI86" s="272" t="e">
        <f>IF(AH86&lt;=1,"Remota",VLOOKUP(AH86,[71]Listas!$C$6:$D$10,2,0))</f>
        <v>#N/A</v>
      </c>
      <c r="AJ86" s="271" t="e">
        <f t="shared" si="14"/>
        <v>#N/A</v>
      </c>
      <c r="AK86" s="272" t="e">
        <f>IF(AJ86&lt;=1,"Insignificante",HLOOKUP(AJ86,[71]Listas!$F$3:$J$4,2,0))</f>
        <v>#N/A</v>
      </c>
      <c r="AL86" s="273" t="e">
        <f t="shared" si="15"/>
        <v>#N/A</v>
      </c>
      <c r="AM86" s="270" t="e">
        <f>INDEX([71]Listas!$F$6:$J$10,MATCH(AI86,[71]Listas!$D$6:$D$10,0),MATCH(AK86,[71]Listas!$F$4:$J$4,0))</f>
        <v>#N/A</v>
      </c>
      <c r="AN86" s="259"/>
      <c r="AO86" s="259"/>
      <c r="AP86" s="1044"/>
      <c r="AQ86" s="259"/>
      <c r="AR86" s="259" t="s">
        <v>2877</v>
      </c>
      <c r="AS86" s="1042"/>
      <c r="AT86" s="259"/>
      <c r="AU86" s="259"/>
      <c r="AV86" s="261"/>
      <c r="AW86" s="261"/>
      <c r="AX86" s="1042"/>
      <c r="AY86" s="262"/>
    </row>
    <row r="87" spans="1:51" s="260" customFormat="1" ht="103.5" hidden="1" customHeight="1">
      <c r="A87" s="1042"/>
      <c r="B87" s="266"/>
      <c r="C87" s="1399"/>
      <c r="D87" s="1408"/>
      <c r="E87" s="1400"/>
      <c r="F87" s="267"/>
      <c r="G87" s="1399"/>
      <c r="H87" s="1408"/>
      <c r="I87" s="1400"/>
      <c r="J87" s="1380"/>
      <c r="K87" s="1380"/>
      <c r="L87" s="1380"/>
      <c r="M87" s="1042"/>
      <c r="N87" s="1042"/>
      <c r="O87" s="1042"/>
      <c r="P87" s="1042"/>
      <c r="Q87" s="266"/>
      <c r="R87" s="266"/>
      <c r="S87" s="268"/>
      <c r="T87" s="269" t="e">
        <f>VLOOKUP(Q87,[71]Listas!$D$6:$E$10,2,0)</f>
        <v>#N/A</v>
      </c>
      <c r="U87" s="269" t="e">
        <f>HLOOKUP(R87,[71]Listas!$F$4:$J$5,2,0)</f>
        <v>#N/A</v>
      </c>
      <c r="V87" s="270" t="e">
        <f>INDEX([71]Listas!$F$6:$J$10,MATCH(Q87,[71]Listas!$D$6:$D$10,0),MATCH(R87,[71]Listas!$F$4:$J$4,0))</f>
        <v>#N/A</v>
      </c>
      <c r="W87" s="268"/>
      <c r="X87" s="1399"/>
      <c r="Y87" s="1408"/>
      <c r="Z87" s="1400"/>
      <c r="AA87" s="1063"/>
      <c r="AB87" s="267"/>
      <c r="AC87" s="259"/>
      <c r="AD87" s="1042"/>
      <c r="AE87" s="267"/>
      <c r="AF87" s="268"/>
      <c r="AG87" s="269">
        <f t="shared" si="12"/>
        <v>0</v>
      </c>
      <c r="AH87" s="271" t="e">
        <f t="shared" si="13"/>
        <v>#N/A</v>
      </c>
      <c r="AI87" s="272" t="e">
        <f>IF(AH87&lt;=1,"Remota",VLOOKUP(AH87,[71]Listas!$C$6:$D$10,2,0))</f>
        <v>#N/A</v>
      </c>
      <c r="AJ87" s="271" t="e">
        <f t="shared" si="14"/>
        <v>#N/A</v>
      </c>
      <c r="AK87" s="272" t="e">
        <f>IF(AJ87&lt;=1,"Insignificante",HLOOKUP(AJ87,[71]Listas!$F$3:$J$4,2,0))</f>
        <v>#N/A</v>
      </c>
      <c r="AL87" s="273" t="e">
        <f t="shared" si="15"/>
        <v>#N/A</v>
      </c>
      <c r="AM87" s="270" t="e">
        <f>INDEX([71]Listas!$F$6:$J$10,MATCH(AI87,[71]Listas!$D$6:$D$10,0),MATCH(AK87,[71]Listas!$F$4:$J$4,0))</f>
        <v>#N/A</v>
      </c>
      <c r="AN87" s="259"/>
      <c r="AO87" s="259"/>
      <c r="AP87" s="1044"/>
      <c r="AQ87" s="259"/>
      <c r="AR87" s="259" t="s">
        <v>2877</v>
      </c>
      <c r="AS87" s="1042"/>
      <c r="AT87" s="259"/>
      <c r="AU87" s="259"/>
      <c r="AV87" s="261"/>
      <c r="AW87" s="261"/>
      <c r="AX87" s="1042"/>
      <c r="AY87" s="262"/>
    </row>
    <row r="88" spans="1:51" s="260" customFormat="1" ht="103.5" hidden="1" customHeight="1">
      <c r="A88" s="1042"/>
      <c r="B88" s="266"/>
      <c r="C88" s="1399"/>
      <c r="D88" s="1408"/>
      <c r="E88" s="1400"/>
      <c r="F88" s="267"/>
      <c r="G88" s="1399"/>
      <c r="H88" s="1408"/>
      <c r="I88" s="1400"/>
      <c r="J88" s="1380"/>
      <c r="K88" s="1380"/>
      <c r="L88" s="1380"/>
      <c r="M88" s="1042"/>
      <c r="N88" s="1042"/>
      <c r="O88" s="1042"/>
      <c r="P88" s="1042"/>
      <c r="Q88" s="266"/>
      <c r="R88" s="266"/>
      <c r="S88" s="268"/>
      <c r="T88" s="269" t="e">
        <f>VLOOKUP(Q88,[71]Listas!$D$6:$E$10,2,0)</f>
        <v>#N/A</v>
      </c>
      <c r="U88" s="269" t="e">
        <f>HLOOKUP(R88,[71]Listas!$F$4:$J$5,2,0)</f>
        <v>#N/A</v>
      </c>
      <c r="V88" s="270" t="e">
        <f>INDEX([71]Listas!$F$6:$J$10,MATCH(Q88,[71]Listas!$D$6:$D$10,0),MATCH(R88,[71]Listas!$F$4:$J$4,0))</f>
        <v>#N/A</v>
      </c>
      <c r="W88" s="268"/>
      <c r="X88" s="1399"/>
      <c r="Y88" s="1408"/>
      <c r="Z88" s="1400"/>
      <c r="AA88" s="1063"/>
      <c r="AB88" s="267"/>
      <c r="AC88" s="259"/>
      <c r="AD88" s="1042"/>
      <c r="AE88" s="267"/>
      <c r="AF88" s="268"/>
      <c r="AG88" s="269">
        <f t="shared" si="12"/>
        <v>0</v>
      </c>
      <c r="AH88" s="271" t="e">
        <f t="shared" si="13"/>
        <v>#N/A</v>
      </c>
      <c r="AI88" s="272" t="e">
        <f>IF(AH88&lt;=1,"Remota",VLOOKUP(AH88,[71]Listas!$C$6:$D$10,2,0))</f>
        <v>#N/A</v>
      </c>
      <c r="AJ88" s="271" t="e">
        <f t="shared" si="14"/>
        <v>#N/A</v>
      </c>
      <c r="AK88" s="272" t="e">
        <f>IF(AJ88&lt;=1,"Insignificante",HLOOKUP(AJ88,[71]Listas!$F$3:$J$4,2,0))</f>
        <v>#N/A</v>
      </c>
      <c r="AL88" s="273" t="e">
        <f t="shared" si="15"/>
        <v>#N/A</v>
      </c>
      <c r="AM88" s="270" t="e">
        <f>INDEX([71]Listas!$F$6:$J$10,MATCH(AI88,[71]Listas!$D$6:$D$10,0),MATCH(AK88,[71]Listas!$F$4:$J$4,0))</f>
        <v>#N/A</v>
      </c>
      <c r="AN88" s="259"/>
      <c r="AO88" s="259"/>
      <c r="AP88" s="1044"/>
      <c r="AQ88" s="259"/>
      <c r="AR88" s="259" t="s">
        <v>2877</v>
      </c>
      <c r="AS88" s="1042"/>
      <c r="AT88" s="259"/>
      <c r="AU88" s="259"/>
      <c r="AV88" s="261"/>
      <c r="AW88" s="261"/>
      <c r="AX88" s="1042"/>
      <c r="AY88" s="262"/>
    </row>
    <row r="89" spans="1:51" s="260" customFormat="1" ht="103.5" hidden="1" customHeight="1">
      <c r="A89" s="1042"/>
      <c r="B89" s="266"/>
      <c r="C89" s="1399"/>
      <c r="D89" s="1408"/>
      <c r="E89" s="1400"/>
      <c r="F89" s="267"/>
      <c r="G89" s="1399"/>
      <c r="H89" s="1408"/>
      <c r="I89" s="1400"/>
      <c r="J89" s="1380"/>
      <c r="K89" s="1380"/>
      <c r="L89" s="1380"/>
      <c r="M89" s="1042"/>
      <c r="N89" s="1042"/>
      <c r="O89" s="1042"/>
      <c r="P89" s="1042"/>
      <c r="Q89" s="266"/>
      <c r="R89" s="266"/>
      <c r="S89" s="268"/>
      <c r="T89" s="269" t="e">
        <f>VLOOKUP(Q89,[71]Listas!$D$6:$E$10,2,0)</f>
        <v>#N/A</v>
      </c>
      <c r="U89" s="269" t="e">
        <f>HLOOKUP(R89,[71]Listas!$F$4:$J$5,2,0)</f>
        <v>#N/A</v>
      </c>
      <c r="V89" s="270" t="e">
        <f>INDEX([71]Listas!$F$6:$J$10,MATCH(Q89,[71]Listas!$D$6:$D$10,0),MATCH(R89,[71]Listas!$F$4:$J$4,0))</f>
        <v>#N/A</v>
      </c>
      <c r="W89" s="268"/>
      <c r="X89" s="1399"/>
      <c r="Y89" s="1408"/>
      <c r="Z89" s="1400"/>
      <c r="AA89" s="1063"/>
      <c r="AB89" s="267"/>
      <c r="AC89" s="259"/>
      <c r="AD89" s="1042"/>
      <c r="AE89" s="267"/>
      <c r="AF89" s="268"/>
      <c r="AG89" s="269">
        <f t="shared" si="12"/>
        <v>0</v>
      </c>
      <c r="AH89" s="271" t="e">
        <f t="shared" si="13"/>
        <v>#N/A</v>
      </c>
      <c r="AI89" s="272" t="e">
        <f>IF(AH89&lt;=1,"Remota",VLOOKUP(AH89,[71]Listas!$C$6:$D$10,2,0))</f>
        <v>#N/A</v>
      </c>
      <c r="AJ89" s="271" t="e">
        <f t="shared" si="14"/>
        <v>#N/A</v>
      </c>
      <c r="AK89" s="272" t="e">
        <f>IF(AJ89&lt;=1,"Insignificante",HLOOKUP(AJ89,[71]Listas!$F$3:$J$4,2,0))</f>
        <v>#N/A</v>
      </c>
      <c r="AL89" s="273" t="e">
        <f t="shared" si="15"/>
        <v>#N/A</v>
      </c>
      <c r="AM89" s="270" t="e">
        <f>INDEX([71]Listas!$F$6:$J$10,MATCH(AI89,[71]Listas!$D$6:$D$10,0),MATCH(AK89,[71]Listas!$F$4:$J$4,0))</f>
        <v>#N/A</v>
      </c>
      <c r="AN89" s="259"/>
      <c r="AO89" s="259"/>
      <c r="AP89" s="1044"/>
      <c r="AQ89" s="259"/>
      <c r="AR89" s="259" t="s">
        <v>2877</v>
      </c>
      <c r="AS89" s="1042"/>
      <c r="AT89" s="259"/>
      <c r="AU89" s="259"/>
      <c r="AV89" s="261"/>
      <c r="AW89" s="261"/>
      <c r="AX89" s="1042"/>
      <c r="AY89" s="262"/>
    </row>
    <row r="90" spans="1:51" s="260" customFormat="1" ht="103.5" hidden="1" customHeight="1">
      <c r="A90" s="1042"/>
      <c r="B90" s="266"/>
      <c r="C90" s="1399"/>
      <c r="D90" s="1408"/>
      <c r="E90" s="1400"/>
      <c r="F90" s="267"/>
      <c r="G90" s="1399"/>
      <c r="H90" s="1408"/>
      <c r="I90" s="1400"/>
      <c r="J90" s="1380"/>
      <c r="K90" s="1380"/>
      <c r="L90" s="1380"/>
      <c r="M90" s="1042"/>
      <c r="N90" s="1042"/>
      <c r="O90" s="1042"/>
      <c r="P90" s="1042"/>
      <c r="Q90" s="266"/>
      <c r="R90" s="266"/>
      <c r="S90" s="268"/>
      <c r="T90" s="269" t="e">
        <f>VLOOKUP(Q90,[71]Listas!$D$6:$E$10,2,0)</f>
        <v>#N/A</v>
      </c>
      <c r="U90" s="269" t="e">
        <f>HLOOKUP(R90,[71]Listas!$F$4:$J$5,2,0)</f>
        <v>#N/A</v>
      </c>
      <c r="V90" s="270" t="e">
        <f>INDEX([71]Listas!$F$6:$J$10,MATCH(Q90,[71]Listas!$D$6:$D$10,0),MATCH(R90,[71]Listas!$F$4:$J$4,0))</f>
        <v>#N/A</v>
      </c>
      <c r="W90" s="268"/>
      <c r="X90" s="1399"/>
      <c r="Y90" s="1408"/>
      <c r="Z90" s="1400"/>
      <c r="AA90" s="1063"/>
      <c r="AB90" s="267"/>
      <c r="AC90" s="259"/>
      <c r="AD90" s="1042"/>
      <c r="AE90" s="267"/>
      <c r="AF90" s="268"/>
      <c r="AG90" s="269">
        <f t="shared" si="12"/>
        <v>0</v>
      </c>
      <c r="AH90" s="271" t="e">
        <f t="shared" si="13"/>
        <v>#N/A</v>
      </c>
      <c r="AI90" s="272" t="e">
        <f>IF(AH90&lt;=1,"Remota",VLOOKUP(AH90,[71]Listas!$C$6:$D$10,2,0))</f>
        <v>#N/A</v>
      </c>
      <c r="AJ90" s="271" t="e">
        <f t="shared" si="14"/>
        <v>#N/A</v>
      </c>
      <c r="AK90" s="272" t="e">
        <f>IF(AJ90&lt;=1,"Insignificante",HLOOKUP(AJ90,[71]Listas!$F$3:$J$4,2,0))</f>
        <v>#N/A</v>
      </c>
      <c r="AL90" s="273" t="e">
        <f t="shared" si="15"/>
        <v>#N/A</v>
      </c>
      <c r="AM90" s="270" t="e">
        <f>INDEX([71]Listas!$F$6:$J$10,MATCH(AI90,[71]Listas!$D$6:$D$10,0),MATCH(AK90,[71]Listas!$F$4:$J$4,0))</f>
        <v>#N/A</v>
      </c>
      <c r="AN90" s="259"/>
      <c r="AO90" s="259"/>
      <c r="AP90" s="1044"/>
      <c r="AQ90" s="259"/>
      <c r="AR90" s="259" t="s">
        <v>2877</v>
      </c>
      <c r="AS90" s="1042"/>
      <c r="AT90" s="259"/>
      <c r="AU90" s="259"/>
      <c r="AV90" s="261"/>
      <c r="AW90" s="261"/>
      <c r="AX90" s="1042"/>
      <c r="AY90" s="262"/>
    </row>
    <row r="91" spans="1:51" s="260" customFormat="1" ht="103.5" hidden="1" customHeight="1">
      <c r="A91" s="1042"/>
      <c r="B91" s="266"/>
      <c r="C91" s="1399"/>
      <c r="D91" s="1408"/>
      <c r="E91" s="1400"/>
      <c r="F91" s="267"/>
      <c r="G91" s="1399"/>
      <c r="H91" s="1408"/>
      <c r="I91" s="1400"/>
      <c r="J91" s="1380"/>
      <c r="K91" s="1380"/>
      <c r="L91" s="1380"/>
      <c r="M91" s="1042"/>
      <c r="N91" s="1042"/>
      <c r="O91" s="1042"/>
      <c r="P91" s="1042"/>
      <c r="Q91" s="266"/>
      <c r="R91" s="266"/>
      <c r="S91" s="268"/>
      <c r="T91" s="269" t="e">
        <f>VLOOKUP(Q91,[71]Listas!$D$6:$E$10,2,0)</f>
        <v>#N/A</v>
      </c>
      <c r="U91" s="269" t="e">
        <f>HLOOKUP(R91,[71]Listas!$F$4:$J$5,2,0)</f>
        <v>#N/A</v>
      </c>
      <c r="V91" s="270" t="e">
        <f>INDEX([71]Listas!$F$6:$J$10,MATCH(Q91,[71]Listas!$D$6:$D$10,0),MATCH(R91,[71]Listas!$F$4:$J$4,0))</f>
        <v>#N/A</v>
      </c>
      <c r="W91" s="268"/>
      <c r="X91" s="1399"/>
      <c r="Y91" s="1408"/>
      <c r="Z91" s="1400"/>
      <c r="AA91" s="1063"/>
      <c r="AB91" s="267"/>
      <c r="AC91" s="259"/>
      <c r="AD91" s="1042"/>
      <c r="AE91" s="267"/>
      <c r="AF91" s="268"/>
      <c r="AG91" s="269">
        <f t="shared" si="12"/>
        <v>0</v>
      </c>
      <c r="AH91" s="271" t="e">
        <f t="shared" si="13"/>
        <v>#N/A</v>
      </c>
      <c r="AI91" s="272" t="e">
        <f>IF(AH91&lt;=1,"Remota",VLOOKUP(AH91,[71]Listas!$C$6:$D$10,2,0))</f>
        <v>#N/A</v>
      </c>
      <c r="AJ91" s="271" t="e">
        <f t="shared" si="14"/>
        <v>#N/A</v>
      </c>
      <c r="AK91" s="272" t="e">
        <f>IF(AJ91&lt;=1,"Insignificante",HLOOKUP(AJ91,[71]Listas!$F$3:$J$4,2,0))</f>
        <v>#N/A</v>
      </c>
      <c r="AL91" s="273" t="e">
        <f t="shared" si="15"/>
        <v>#N/A</v>
      </c>
      <c r="AM91" s="270" t="e">
        <f>INDEX([71]Listas!$F$6:$J$10,MATCH(AI91,[71]Listas!$D$6:$D$10,0),MATCH(AK91,[71]Listas!$F$4:$J$4,0))</f>
        <v>#N/A</v>
      </c>
      <c r="AN91" s="259"/>
      <c r="AO91" s="259"/>
      <c r="AP91" s="1044"/>
      <c r="AQ91" s="259"/>
      <c r="AR91" s="259" t="s">
        <v>2877</v>
      </c>
      <c r="AS91" s="1042"/>
      <c r="AT91" s="259"/>
      <c r="AU91" s="259"/>
      <c r="AV91" s="261"/>
      <c r="AW91" s="261"/>
      <c r="AX91" s="1042"/>
      <c r="AY91" s="262"/>
    </row>
    <row r="92" spans="1:51" s="260" customFormat="1" ht="103.5" hidden="1" customHeight="1">
      <c r="A92" s="1042"/>
      <c r="B92" s="266"/>
      <c r="C92" s="1399"/>
      <c r="D92" s="1408"/>
      <c r="E92" s="1400"/>
      <c r="F92" s="267"/>
      <c r="G92" s="1399"/>
      <c r="H92" s="1408"/>
      <c r="I92" s="1400"/>
      <c r="J92" s="1380"/>
      <c r="K92" s="1380"/>
      <c r="L92" s="1380"/>
      <c r="M92" s="1042"/>
      <c r="N92" s="1042"/>
      <c r="O92" s="1042"/>
      <c r="P92" s="1042"/>
      <c r="Q92" s="266"/>
      <c r="R92" s="266"/>
      <c r="S92" s="268"/>
      <c r="T92" s="269" t="e">
        <f>VLOOKUP(Q92,[71]Listas!$D$6:$E$10,2,0)</f>
        <v>#N/A</v>
      </c>
      <c r="U92" s="269" t="e">
        <f>HLOOKUP(R92,[71]Listas!$F$4:$J$5,2,0)</f>
        <v>#N/A</v>
      </c>
      <c r="V92" s="270" t="e">
        <f>INDEX([71]Listas!$F$6:$J$10,MATCH(Q92,[71]Listas!$D$6:$D$10,0),MATCH(R92,[71]Listas!$F$4:$J$4,0))</f>
        <v>#N/A</v>
      </c>
      <c r="W92" s="268"/>
      <c r="X92" s="1399"/>
      <c r="Y92" s="1408"/>
      <c r="Z92" s="1400"/>
      <c r="AA92" s="1063"/>
      <c r="AB92" s="267"/>
      <c r="AC92" s="259"/>
      <c r="AD92" s="1042"/>
      <c r="AE92" s="267"/>
      <c r="AF92" s="268"/>
      <c r="AG92" s="269">
        <f t="shared" si="12"/>
        <v>0</v>
      </c>
      <c r="AH92" s="271" t="e">
        <f t="shared" si="13"/>
        <v>#N/A</v>
      </c>
      <c r="AI92" s="272" t="e">
        <f>IF(AH92&lt;=1,"Remota",VLOOKUP(AH92,[71]Listas!$C$6:$D$10,2,0))</f>
        <v>#N/A</v>
      </c>
      <c r="AJ92" s="271" t="e">
        <f t="shared" si="14"/>
        <v>#N/A</v>
      </c>
      <c r="AK92" s="272" t="e">
        <f>IF(AJ92&lt;=1,"Insignificante",HLOOKUP(AJ92,[71]Listas!$F$3:$J$4,2,0))</f>
        <v>#N/A</v>
      </c>
      <c r="AL92" s="273" t="e">
        <f t="shared" si="15"/>
        <v>#N/A</v>
      </c>
      <c r="AM92" s="270" t="e">
        <f>INDEX([71]Listas!$F$6:$J$10,MATCH(AI92,[71]Listas!$D$6:$D$10,0),MATCH(AK92,[71]Listas!$F$4:$J$4,0))</f>
        <v>#N/A</v>
      </c>
      <c r="AN92" s="259"/>
      <c r="AO92" s="259"/>
      <c r="AP92" s="1044"/>
      <c r="AQ92" s="259"/>
      <c r="AR92" s="259" t="s">
        <v>2877</v>
      </c>
      <c r="AS92" s="1042"/>
      <c r="AT92" s="259"/>
      <c r="AU92" s="259"/>
      <c r="AV92" s="261"/>
      <c r="AW92" s="261"/>
      <c r="AX92" s="1042"/>
      <c r="AY92" s="262"/>
    </row>
    <row r="93" spans="1:51" s="260" customFormat="1" ht="103.5" hidden="1" customHeight="1">
      <c r="A93" s="1042"/>
      <c r="B93" s="266"/>
      <c r="C93" s="1399"/>
      <c r="D93" s="1408"/>
      <c r="E93" s="1400"/>
      <c r="F93" s="267"/>
      <c r="G93" s="1399"/>
      <c r="H93" s="1408"/>
      <c r="I93" s="1400"/>
      <c r="J93" s="1380"/>
      <c r="K93" s="1380"/>
      <c r="L93" s="1380"/>
      <c r="M93" s="1042"/>
      <c r="N93" s="1042"/>
      <c r="O93" s="1042"/>
      <c r="P93" s="1042"/>
      <c r="Q93" s="266"/>
      <c r="R93" s="266"/>
      <c r="S93" s="268"/>
      <c r="T93" s="269" t="e">
        <f>VLOOKUP(Q93,[71]Listas!$D$6:$E$10,2,0)</f>
        <v>#N/A</v>
      </c>
      <c r="U93" s="269" t="e">
        <f>HLOOKUP(R93,[71]Listas!$F$4:$J$5,2,0)</f>
        <v>#N/A</v>
      </c>
      <c r="V93" s="270" t="e">
        <f>INDEX([71]Listas!$F$6:$J$10,MATCH(Q93,[71]Listas!$D$6:$D$10,0),MATCH(R93,[71]Listas!$F$4:$J$4,0))</f>
        <v>#N/A</v>
      </c>
      <c r="W93" s="268"/>
      <c r="X93" s="1399"/>
      <c r="Y93" s="1408"/>
      <c r="Z93" s="1400"/>
      <c r="AA93" s="1063"/>
      <c r="AB93" s="267"/>
      <c r="AC93" s="259"/>
      <c r="AD93" s="1042"/>
      <c r="AE93" s="267"/>
      <c r="AF93" s="268"/>
      <c r="AG93" s="269">
        <f t="shared" si="12"/>
        <v>0</v>
      </c>
      <c r="AH93" s="271" t="e">
        <f t="shared" si="13"/>
        <v>#N/A</v>
      </c>
      <c r="AI93" s="272" t="e">
        <f>IF(AH93&lt;=1,"Remota",VLOOKUP(AH93,[71]Listas!$C$6:$D$10,2,0))</f>
        <v>#N/A</v>
      </c>
      <c r="AJ93" s="271" t="e">
        <f t="shared" si="14"/>
        <v>#N/A</v>
      </c>
      <c r="AK93" s="272" t="e">
        <f>IF(AJ93&lt;=1,"Insignificante",HLOOKUP(AJ93,[71]Listas!$F$3:$J$4,2,0))</f>
        <v>#N/A</v>
      </c>
      <c r="AL93" s="273" t="e">
        <f t="shared" si="15"/>
        <v>#N/A</v>
      </c>
      <c r="AM93" s="270" t="e">
        <f>INDEX([71]Listas!$F$6:$J$10,MATCH(AI93,[71]Listas!$D$6:$D$10,0),MATCH(AK93,[71]Listas!$F$4:$J$4,0))</f>
        <v>#N/A</v>
      </c>
      <c r="AN93" s="259"/>
      <c r="AO93" s="259"/>
      <c r="AP93" s="1044"/>
      <c r="AQ93" s="259"/>
      <c r="AR93" s="259" t="s">
        <v>2877</v>
      </c>
      <c r="AS93" s="1042"/>
      <c r="AT93" s="259"/>
      <c r="AU93" s="259"/>
      <c r="AV93" s="261"/>
      <c r="AW93" s="261"/>
      <c r="AX93" s="1042"/>
      <c r="AY93" s="262"/>
    </row>
    <row r="94" spans="1:51" s="260" customFormat="1" ht="103.5" hidden="1" customHeight="1">
      <c r="A94" s="1042"/>
      <c r="B94" s="266"/>
      <c r="C94" s="1399"/>
      <c r="D94" s="1408"/>
      <c r="E94" s="1400"/>
      <c r="F94" s="267"/>
      <c r="G94" s="1399"/>
      <c r="H94" s="1408"/>
      <c r="I94" s="1400"/>
      <c r="J94" s="1380"/>
      <c r="K94" s="1380"/>
      <c r="L94" s="1380"/>
      <c r="M94" s="1042"/>
      <c r="N94" s="1042"/>
      <c r="O94" s="1042"/>
      <c r="P94" s="1042"/>
      <c r="Q94" s="266"/>
      <c r="R94" s="266"/>
      <c r="S94" s="268"/>
      <c r="T94" s="269" t="e">
        <f>VLOOKUP(Q94,[71]Listas!$D$6:$E$10,2,0)</f>
        <v>#N/A</v>
      </c>
      <c r="U94" s="269" t="e">
        <f>HLOOKUP(R94,[71]Listas!$F$4:$J$5,2,0)</f>
        <v>#N/A</v>
      </c>
      <c r="V94" s="270" t="e">
        <f>INDEX([71]Listas!$F$6:$J$10,MATCH(Q94,[71]Listas!$D$6:$D$10,0),MATCH(R94,[71]Listas!$F$4:$J$4,0))</f>
        <v>#N/A</v>
      </c>
      <c r="W94" s="268"/>
      <c r="X94" s="1399"/>
      <c r="Y94" s="1408"/>
      <c r="Z94" s="1400"/>
      <c r="AA94" s="1063"/>
      <c r="AB94" s="267"/>
      <c r="AC94" s="259"/>
      <c r="AD94" s="1042"/>
      <c r="AE94" s="267"/>
      <c r="AF94" s="268"/>
      <c r="AG94" s="269">
        <f t="shared" si="12"/>
        <v>0</v>
      </c>
      <c r="AH94" s="271" t="e">
        <f t="shared" si="13"/>
        <v>#N/A</v>
      </c>
      <c r="AI94" s="272" t="e">
        <f>IF(AH94&lt;=1,"Remota",VLOOKUP(AH94,[71]Listas!$C$6:$D$10,2,0))</f>
        <v>#N/A</v>
      </c>
      <c r="AJ94" s="271" t="e">
        <f t="shared" si="14"/>
        <v>#N/A</v>
      </c>
      <c r="AK94" s="272" t="e">
        <f>IF(AJ94&lt;=1,"Insignificante",HLOOKUP(AJ94,[71]Listas!$F$3:$J$4,2,0))</f>
        <v>#N/A</v>
      </c>
      <c r="AL94" s="273" t="e">
        <f t="shared" si="15"/>
        <v>#N/A</v>
      </c>
      <c r="AM94" s="270" t="e">
        <f>INDEX([71]Listas!$F$6:$J$10,MATCH(AI94,[71]Listas!$D$6:$D$10,0),MATCH(AK94,[71]Listas!$F$4:$J$4,0))</f>
        <v>#N/A</v>
      </c>
      <c r="AN94" s="259"/>
      <c r="AO94" s="259"/>
      <c r="AP94" s="1044"/>
      <c r="AQ94" s="259"/>
      <c r="AR94" s="259" t="s">
        <v>2877</v>
      </c>
      <c r="AS94" s="1042"/>
      <c r="AT94" s="259"/>
      <c r="AU94" s="259"/>
      <c r="AV94" s="261"/>
      <c r="AW94" s="261"/>
      <c r="AX94" s="1042"/>
      <c r="AY94" s="262"/>
    </row>
    <row r="95" spans="1:51" s="260" customFormat="1" ht="103.5" hidden="1" customHeight="1">
      <c r="A95" s="1042"/>
      <c r="B95" s="266"/>
      <c r="C95" s="1399"/>
      <c r="D95" s="1408"/>
      <c r="E95" s="1400"/>
      <c r="F95" s="267"/>
      <c r="G95" s="1399"/>
      <c r="H95" s="1408"/>
      <c r="I95" s="1400"/>
      <c r="J95" s="1380"/>
      <c r="K95" s="1380"/>
      <c r="L95" s="1380"/>
      <c r="M95" s="1042"/>
      <c r="N95" s="1042"/>
      <c r="O95" s="1042"/>
      <c r="P95" s="1042"/>
      <c r="Q95" s="266"/>
      <c r="R95" s="266"/>
      <c r="S95" s="268"/>
      <c r="T95" s="269" t="e">
        <f>VLOOKUP(Q95,[71]Listas!$D$6:$E$10,2,0)</f>
        <v>#N/A</v>
      </c>
      <c r="U95" s="269" t="e">
        <f>HLOOKUP(R95,[71]Listas!$F$4:$J$5,2,0)</f>
        <v>#N/A</v>
      </c>
      <c r="V95" s="270" t="e">
        <f>INDEX([71]Listas!$F$6:$J$10,MATCH(Q95,[71]Listas!$D$6:$D$10,0),MATCH(R95,[71]Listas!$F$4:$J$4,0))</f>
        <v>#N/A</v>
      </c>
      <c r="W95" s="268"/>
      <c r="X95" s="1399"/>
      <c r="Y95" s="1408"/>
      <c r="Z95" s="1400"/>
      <c r="AA95" s="1063"/>
      <c r="AB95" s="267"/>
      <c r="AC95" s="259"/>
      <c r="AD95" s="1042"/>
      <c r="AE95" s="267"/>
      <c r="AF95" s="268"/>
      <c r="AG95" s="269">
        <f t="shared" si="12"/>
        <v>0</v>
      </c>
      <c r="AH95" s="271" t="e">
        <f t="shared" si="13"/>
        <v>#N/A</v>
      </c>
      <c r="AI95" s="272" t="e">
        <f>IF(AH95&lt;=1,"Remota",VLOOKUP(AH95,[71]Listas!$C$6:$D$10,2,0))</f>
        <v>#N/A</v>
      </c>
      <c r="AJ95" s="271" t="e">
        <f t="shared" si="14"/>
        <v>#N/A</v>
      </c>
      <c r="AK95" s="272" t="e">
        <f>IF(AJ95&lt;=1,"Insignificante",HLOOKUP(AJ95,[71]Listas!$F$3:$J$4,2,0))</f>
        <v>#N/A</v>
      </c>
      <c r="AL95" s="273" t="e">
        <f t="shared" si="15"/>
        <v>#N/A</v>
      </c>
      <c r="AM95" s="270" t="e">
        <f>INDEX([71]Listas!$F$6:$J$10,MATCH(AI95,[71]Listas!$D$6:$D$10,0),MATCH(AK95,[71]Listas!$F$4:$J$4,0))</f>
        <v>#N/A</v>
      </c>
      <c r="AN95" s="259"/>
      <c r="AO95" s="259"/>
      <c r="AP95" s="1044"/>
      <c r="AQ95" s="259"/>
      <c r="AR95" s="259" t="s">
        <v>2877</v>
      </c>
      <c r="AS95" s="1042"/>
      <c r="AT95" s="259"/>
      <c r="AU95" s="259"/>
      <c r="AV95" s="261"/>
      <c r="AW95" s="261"/>
      <c r="AX95" s="1042"/>
      <c r="AY95" s="262"/>
    </row>
    <row r="96" spans="1:51" s="260" customFormat="1" ht="103.5" hidden="1" customHeight="1">
      <c r="A96" s="1042"/>
      <c r="B96" s="266"/>
      <c r="C96" s="1399"/>
      <c r="D96" s="1408"/>
      <c r="E96" s="1400"/>
      <c r="F96" s="267"/>
      <c r="G96" s="1399"/>
      <c r="H96" s="1408"/>
      <c r="I96" s="1400"/>
      <c r="J96" s="1380"/>
      <c r="K96" s="1380"/>
      <c r="L96" s="1380"/>
      <c r="M96" s="1042"/>
      <c r="N96" s="1042"/>
      <c r="O96" s="1042"/>
      <c r="P96" s="1042"/>
      <c r="Q96" s="266"/>
      <c r="R96" s="266"/>
      <c r="S96" s="268"/>
      <c r="T96" s="269" t="e">
        <f>VLOOKUP(Q96,[71]Listas!$D$6:$E$10,2,0)</f>
        <v>#N/A</v>
      </c>
      <c r="U96" s="269" t="e">
        <f>HLOOKUP(R96,[71]Listas!$F$4:$J$5,2,0)</f>
        <v>#N/A</v>
      </c>
      <c r="V96" s="270" t="e">
        <f>INDEX([71]Listas!$F$6:$J$10,MATCH(Q96,[71]Listas!$D$6:$D$10,0),MATCH(R96,[71]Listas!$F$4:$J$4,0))</f>
        <v>#N/A</v>
      </c>
      <c r="W96" s="268"/>
      <c r="X96" s="1399"/>
      <c r="Y96" s="1408"/>
      <c r="Z96" s="1400"/>
      <c r="AA96" s="1063"/>
      <c r="AB96" s="267"/>
      <c r="AC96" s="259"/>
      <c r="AD96" s="1042"/>
      <c r="AE96" s="267"/>
      <c r="AF96" s="268"/>
      <c r="AG96" s="269">
        <f t="shared" si="12"/>
        <v>0</v>
      </c>
      <c r="AH96" s="271" t="e">
        <f t="shared" si="13"/>
        <v>#N/A</v>
      </c>
      <c r="AI96" s="272" t="e">
        <f>IF(AH96&lt;=1,"Remota",VLOOKUP(AH96,[71]Listas!$C$6:$D$10,2,0))</f>
        <v>#N/A</v>
      </c>
      <c r="AJ96" s="271" t="e">
        <f t="shared" si="14"/>
        <v>#N/A</v>
      </c>
      <c r="AK96" s="272" t="e">
        <f>IF(AJ96&lt;=1,"Insignificante",HLOOKUP(AJ96,[71]Listas!$F$3:$J$4,2,0))</f>
        <v>#N/A</v>
      </c>
      <c r="AL96" s="273" t="e">
        <f t="shared" si="15"/>
        <v>#N/A</v>
      </c>
      <c r="AM96" s="270" t="e">
        <f>INDEX([71]Listas!$F$6:$J$10,MATCH(AI96,[71]Listas!$D$6:$D$10,0),MATCH(AK96,[71]Listas!$F$4:$J$4,0))</f>
        <v>#N/A</v>
      </c>
      <c r="AN96" s="259"/>
      <c r="AO96" s="259"/>
      <c r="AP96" s="1044"/>
      <c r="AQ96" s="259"/>
      <c r="AR96" s="259" t="s">
        <v>2877</v>
      </c>
      <c r="AS96" s="1042"/>
      <c r="AT96" s="259"/>
      <c r="AU96" s="259"/>
      <c r="AV96" s="261"/>
      <c r="AW96" s="261"/>
      <c r="AX96" s="1042"/>
      <c r="AY96" s="262"/>
    </row>
    <row r="97" spans="1:51" s="260" customFormat="1" ht="103.5" hidden="1" customHeight="1">
      <c r="A97" s="1042"/>
      <c r="B97" s="266"/>
      <c r="C97" s="1399"/>
      <c r="D97" s="1408"/>
      <c r="E97" s="1400"/>
      <c r="F97" s="267"/>
      <c r="G97" s="1399"/>
      <c r="H97" s="1408"/>
      <c r="I97" s="1400"/>
      <c r="J97" s="1380"/>
      <c r="K97" s="1380"/>
      <c r="L97" s="1380"/>
      <c r="M97" s="1042"/>
      <c r="N97" s="1042"/>
      <c r="O97" s="1042"/>
      <c r="P97" s="1042"/>
      <c r="Q97" s="266"/>
      <c r="R97" s="266"/>
      <c r="S97" s="268"/>
      <c r="T97" s="269" t="e">
        <f>VLOOKUP(Q97,[71]Listas!$D$6:$E$10,2,0)</f>
        <v>#N/A</v>
      </c>
      <c r="U97" s="269" t="e">
        <f>HLOOKUP(R97,[71]Listas!$F$4:$J$5,2,0)</f>
        <v>#N/A</v>
      </c>
      <c r="V97" s="270" t="e">
        <f>INDEX([71]Listas!$F$6:$J$10,MATCH(Q97,[71]Listas!$D$6:$D$10,0),MATCH(R97,[71]Listas!$F$4:$J$4,0))</f>
        <v>#N/A</v>
      </c>
      <c r="W97" s="268"/>
      <c r="X97" s="1399"/>
      <c r="Y97" s="1408"/>
      <c r="Z97" s="1400"/>
      <c r="AA97" s="1063"/>
      <c r="AB97" s="267"/>
      <c r="AC97" s="259"/>
      <c r="AD97" s="1042"/>
      <c r="AE97" s="267"/>
      <c r="AF97" s="268"/>
      <c r="AG97" s="269">
        <f t="shared" si="12"/>
        <v>0</v>
      </c>
      <c r="AH97" s="271" t="e">
        <f t="shared" si="13"/>
        <v>#N/A</v>
      </c>
      <c r="AI97" s="272" t="e">
        <f>IF(AH97&lt;=1,"Remota",VLOOKUP(AH97,[71]Listas!$C$6:$D$10,2,0))</f>
        <v>#N/A</v>
      </c>
      <c r="AJ97" s="271" t="e">
        <f t="shared" si="14"/>
        <v>#N/A</v>
      </c>
      <c r="AK97" s="272" t="e">
        <f>IF(AJ97&lt;=1,"Insignificante",HLOOKUP(AJ97,[71]Listas!$F$3:$J$4,2,0))</f>
        <v>#N/A</v>
      </c>
      <c r="AL97" s="273" t="e">
        <f t="shared" si="15"/>
        <v>#N/A</v>
      </c>
      <c r="AM97" s="270" t="e">
        <f>INDEX([71]Listas!$F$6:$J$10,MATCH(AI97,[71]Listas!$D$6:$D$10,0),MATCH(AK97,[71]Listas!$F$4:$J$4,0))</f>
        <v>#N/A</v>
      </c>
      <c r="AN97" s="259"/>
      <c r="AO97" s="259"/>
      <c r="AP97" s="1044"/>
      <c r="AQ97" s="259"/>
      <c r="AR97" s="259" t="s">
        <v>2877</v>
      </c>
      <c r="AS97" s="1042"/>
      <c r="AT97" s="259"/>
      <c r="AU97" s="259"/>
      <c r="AV97" s="261"/>
      <c r="AW97" s="261"/>
      <c r="AX97" s="1042"/>
      <c r="AY97" s="262"/>
    </row>
    <row r="98" spans="1:51" s="260" customFormat="1" ht="103.5" hidden="1" customHeight="1">
      <c r="A98" s="1050"/>
      <c r="B98" s="274"/>
      <c r="C98" s="1399"/>
      <c r="D98" s="1408"/>
      <c r="E98" s="1400"/>
      <c r="F98" s="267"/>
      <c r="G98" s="1399"/>
      <c r="H98" s="1408"/>
      <c r="I98" s="1400"/>
      <c r="J98" s="1380"/>
      <c r="K98" s="1380"/>
      <c r="L98" s="1380"/>
      <c r="M98" s="1042"/>
      <c r="N98" s="1042"/>
      <c r="O98" s="1042"/>
      <c r="P98" s="1042"/>
      <c r="Q98" s="266"/>
      <c r="R98" s="266"/>
      <c r="S98" s="268"/>
      <c r="T98" s="269" t="e">
        <f>VLOOKUP(Q98,[71]Listas!$D$6:$E$10,2,0)</f>
        <v>#N/A</v>
      </c>
      <c r="U98" s="269" t="e">
        <f>HLOOKUP(R98,[71]Listas!$F$4:$J$5,2,0)</f>
        <v>#N/A</v>
      </c>
      <c r="V98" s="270" t="e">
        <f>INDEX([71]Listas!$F$6:$J$10,MATCH(Q98,[71]Listas!$D$6:$D$10,0),MATCH(R98,[71]Listas!$F$4:$J$4,0))</f>
        <v>#N/A</v>
      </c>
      <c r="W98" s="268"/>
      <c r="X98" s="1399"/>
      <c r="Y98" s="1408"/>
      <c r="Z98" s="1400"/>
      <c r="AA98" s="1063"/>
      <c r="AB98" s="267"/>
      <c r="AC98" s="259"/>
      <c r="AD98" s="1042"/>
      <c r="AE98" s="267"/>
      <c r="AF98" s="268"/>
      <c r="AG98" s="269">
        <f t="shared" si="12"/>
        <v>0</v>
      </c>
      <c r="AH98" s="271" t="e">
        <f t="shared" si="13"/>
        <v>#N/A</v>
      </c>
      <c r="AI98" s="272" t="e">
        <f>IF(AH98&lt;=1,"Remota",VLOOKUP(AH98,[71]Listas!$C$6:$D$10,2,0))</f>
        <v>#N/A</v>
      </c>
      <c r="AJ98" s="271" t="e">
        <f t="shared" si="14"/>
        <v>#N/A</v>
      </c>
      <c r="AK98" s="272" t="e">
        <f>IF(AJ98&lt;=1,"Insignificante",HLOOKUP(AJ98,[71]Listas!$F$3:$J$4,2,0))</f>
        <v>#N/A</v>
      </c>
      <c r="AL98" s="273" t="e">
        <f t="shared" si="15"/>
        <v>#N/A</v>
      </c>
      <c r="AM98" s="270" t="e">
        <f>INDEX([71]Listas!$F$6:$J$10,MATCH(AI98,[71]Listas!$D$6:$D$10,0),MATCH(AK98,[71]Listas!$F$4:$J$4,0))</f>
        <v>#N/A</v>
      </c>
      <c r="AN98" s="259"/>
      <c r="AO98" s="259"/>
      <c r="AP98" s="1044"/>
      <c r="AQ98" s="259"/>
      <c r="AR98" s="259" t="s">
        <v>2877</v>
      </c>
      <c r="AS98" s="1042"/>
      <c r="AT98" s="259"/>
      <c r="AU98" s="259"/>
      <c r="AV98" s="261"/>
      <c r="AW98" s="261"/>
      <c r="AX98" s="1042"/>
      <c r="AY98" s="262"/>
    </row>
    <row r="99" spans="1:51" s="260" customFormat="1" ht="103.5" hidden="1" customHeight="1">
      <c r="A99" s="1042"/>
      <c r="B99" s="266"/>
      <c r="C99" s="1399"/>
      <c r="D99" s="1408"/>
      <c r="E99" s="1400"/>
      <c r="F99" s="267"/>
      <c r="G99" s="1399"/>
      <c r="H99" s="1408"/>
      <c r="I99" s="1400"/>
      <c r="J99" s="1380"/>
      <c r="K99" s="1380"/>
      <c r="L99" s="1380"/>
      <c r="M99" s="1042"/>
      <c r="N99" s="1042"/>
      <c r="O99" s="1042"/>
      <c r="P99" s="1042"/>
      <c r="Q99" s="266"/>
      <c r="R99" s="266"/>
      <c r="S99" s="268"/>
      <c r="T99" s="269" t="e">
        <f>VLOOKUP(Q99,[71]Listas!$D$6:$E$10,2,0)</f>
        <v>#N/A</v>
      </c>
      <c r="U99" s="269" t="e">
        <f>HLOOKUP(R99,[71]Listas!$F$4:$J$5,2,0)</f>
        <v>#N/A</v>
      </c>
      <c r="V99" s="270" t="e">
        <f>INDEX([71]Listas!$F$6:$J$10,MATCH(Q99,[71]Listas!$D$6:$D$10,0),MATCH(R99,[71]Listas!$F$4:$J$4,0))</f>
        <v>#N/A</v>
      </c>
      <c r="W99" s="268"/>
      <c r="X99" s="1399"/>
      <c r="Y99" s="1408"/>
      <c r="Z99" s="1400"/>
      <c r="AA99" s="1063"/>
      <c r="AB99" s="267"/>
      <c r="AC99" s="259"/>
      <c r="AD99" s="1042"/>
      <c r="AE99" s="267"/>
      <c r="AF99" s="268"/>
      <c r="AG99" s="269">
        <f t="shared" si="12"/>
        <v>0</v>
      </c>
      <c r="AH99" s="271" t="e">
        <f t="shared" si="13"/>
        <v>#N/A</v>
      </c>
      <c r="AI99" s="272" t="e">
        <f>IF(AH99&lt;=1,"Remota",VLOOKUP(AH99,[71]Listas!$C$6:$D$10,2,0))</f>
        <v>#N/A</v>
      </c>
      <c r="AJ99" s="271" t="e">
        <f t="shared" si="14"/>
        <v>#N/A</v>
      </c>
      <c r="AK99" s="272" t="e">
        <f>IF(AJ99&lt;=1,"Insignificante",HLOOKUP(AJ99,[71]Listas!$F$3:$J$4,2,0))</f>
        <v>#N/A</v>
      </c>
      <c r="AL99" s="273" t="e">
        <f t="shared" si="15"/>
        <v>#N/A</v>
      </c>
      <c r="AM99" s="270" t="e">
        <f>INDEX([71]Listas!$F$6:$J$10,MATCH(AI99,[71]Listas!$D$6:$D$10,0),MATCH(AK99,[71]Listas!$F$4:$J$4,0))</f>
        <v>#N/A</v>
      </c>
      <c r="AN99" s="259"/>
      <c r="AO99" s="259"/>
      <c r="AP99" s="1044"/>
      <c r="AQ99" s="259"/>
      <c r="AR99" s="259" t="s">
        <v>2877</v>
      </c>
      <c r="AS99" s="1042"/>
      <c r="AT99" s="259"/>
      <c r="AU99" s="259"/>
      <c r="AV99" s="261"/>
      <c r="AW99" s="261"/>
      <c r="AX99" s="1042"/>
      <c r="AY99" s="262"/>
    </row>
    <row r="100" spans="1:51" s="260" customFormat="1" ht="103.5" hidden="1" customHeight="1">
      <c r="A100" s="1042"/>
      <c r="B100" s="266"/>
      <c r="C100" s="1399"/>
      <c r="D100" s="1408"/>
      <c r="E100" s="1400"/>
      <c r="F100" s="267"/>
      <c r="G100" s="1399"/>
      <c r="H100" s="1408"/>
      <c r="I100" s="1400"/>
      <c r="J100" s="1380"/>
      <c r="K100" s="1380"/>
      <c r="L100" s="1380"/>
      <c r="M100" s="1042"/>
      <c r="N100" s="1042"/>
      <c r="O100" s="1042"/>
      <c r="P100" s="1042"/>
      <c r="Q100" s="266"/>
      <c r="R100" s="266"/>
      <c r="S100" s="268"/>
      <c r="T100" s="269" t="e">
        <f>VLOOKUP(Q100,[71]Listas!$D$6:$E$10,2,0)</f>
        <v>#N/A</v>
      </c>
      <c r="U100" s="269" t="e">
        <f>HLOOKUP(R100,[71]Listas!$F$4:$J$5,2,0)</f>
        <v>#N/A</v>
      </c>
      <c r="V100" s="270" t="e">
        <f>INDEX([71]Listas!$F$6:$J$10,MATCH(Q100,[71]Listas!$D$6:$D$10,0),MATCH(R100,[71]Listas!$F$4:$J$4,0))</f>
        <v>#N/A</v>
      </c>
      <c r="W100" s="268"/>
      <c r="X100" s="1399"/>
      <c r="Y100" s="1408"/>
      <c r="Z100" s="1400"/>
      <c r="AA100" s="1063"/>
      <c r="AB100" s="267"/>
      <c r="AC100" s="259"/>
      <c r="AD100" s="1042"/>
      <c r="AE100" s="267"/>
      <c r="AF100" s="268"/>
      <c r="AG100" s="269">
        <f t="shared" si="12"/>
        <v>0</v>
      </c>
      <c r="AH100" s="271" t="e">
        <f t="shared" si="13"/>
        <v>#N/A</v>
      </c>
      <c r="AI100" s="272" t="e">
        <f>IF(AH100&lt;=1,"Remota",VLOOKUP(AH100,[71]Listas!$C$6:$D$10,2,0))</f>
        <v>#N/A</v>
      </c>
      <c r="AJ100" s="271" t="e">
        <f t="shared" si="14"/>
        <v>#N/A</v>
      </c>
      <c r="AK100" s="272" t="e">
        <f>IF(AJ100&lt;=1,"Insignificante",HLOOKUP(AJ100,[71]Listas!$F$3:$J$4,2,0))</f>
        <v>#N/A</v>
      </c>
      <c r="AL100" s="273" t="e">
        <f t="shared" si="15"/>
        <v>#N/A</v>
      </c>
      <c r="AM100" s="270" t="e">
        <f>INDEX([71]Listas!$F$6:$J$10,MATCH(AI100,[71]Listas!$D$6:$D$10,0),MATCH(AK100,[71]Listas!$F$4:$J$4,0))</f>
        <v>#N/A</v>
      </c>
      <c r="AN100" s="259"/>
      <c r="AO100" s="259"/>
      <c r="AP100" s="1044"/>
      <c r="AQ100" s="259"/>
      <c r="AR100" s="259" t="s">
        <v>2877</v>
      </c>
      <c r="AS100" s="1042"/>
      <c r="AT100" s="259"/>
      <c r="AU100" s="259"/>
      <c r="AV100" s="261"/>
      <c r="AW100" s="261"/>
      <c r="AX100" s="1042"/>
      <c r="AY100" s="262"/>
    </row>
    <row r="101" spans="1:51" s="260" customFormat="1" ht="103.5" hidden="1" customHeight="1">
      <c r="A101" s="1042"/>
      <c r="B101" s="266"/>
      <c r="C101" s="1399"/>
      <c r="D101" s="1408"/>
      <c r="E101" s="1400"/>
      <c r="F101" s="267"/>
      <c r="G101" s="1399"/>
      <c r="H101" s="1408"/>
      <c r="I101" s="1400"/>
      <c r="J101" s="1380"/>
      <c r="K101" s="1380"/>
      <c r="L101" s="1380"/>
      <c r="M101" s="1042"/>
      <c r="N101" s="1042"/>
      <c r="O101" s="1042"/>
      <c r="P101" s="1042"/>
      <c r="Q101" s="266"/>
      <c r="R101" s="266"/>
      <c r="S101" s="268"/>
      <c r="T101" s="269" t="e">
        <f>VLOOKUP(Q101,[71]Listas!$D$6:$E$10,2,0)</f>
        <v>#N/A</v>
      </c>
      <c r="U101" s="269" t="e">
        <f>HLOOKUP(R101,[71]Listas!$F$4:$J$5,2,0)</f>
        <v>#N/A</v>
      </c>
      <c r="V101" s="270" t="e">
        <f>INDEX([71]Listas!$F$6:$J$10,MATCH(Q101,[71]Listas!$D$6:$D$10,0),MATCH(R101,[71]Listas!$F$4:$J$4,0))</f>
        <v>#N/A</v>
      </c>
      <c r="W101" s="268"/>
      <c r="X101" s="1399"/>
      <c r="Y101" s="1408"/>
      <c r="Z101" s="1400"/>
      <c r="AA101" s="1063"/>
      <c r="AB101" s="267"/>
      <c r="AC101" s="259"/>
      <c r="AD101" s="1042"/>
      <c r="AE101" s="267"/>
      <c r="AF101" s="268"/>
      <c r="AG101" s="269">
        <f t="shared" si="12"/>
        <v>0</v>
      </c>
      <c r="AH101" s="271" t="e">
        <f t="shared" si="13"/>
        <v>#N/A</v>
      </c>
      <c r="AI101" s="272" t="e">
        <f>IF(AH101&lt;=1,"Remota",VLOOKUP(AH101,[71]Listas!$C$6:$D$10,2,0))</f>
        <v>#N/A</v>
      </c>
      <c r="AJ101" s="271" t="e">
        <f t="shared" si="14"/>
        <v>#N/A</v>
      </c>
      <c r="AK101" s="272" t="e">
        <f>IF(AJ101&lt;=1,"Insignificante",HLOOKUP(AJ101,[71]Listas!$F$3:$J$4,2,0))</f>
        <v>#N/A</v>
      </c>
      <c r="AL101" s="273" t="e">
        <f t="shared" si="15"/>
        <v>#N/A</v>
      </c>
      <c r="AM101" s="270" t="e">
        <f>INDEX([71]Listas!$F$6:$J$10,MATCH(AI101,[71]Listas!$D$6:$D$10,0),MATCH(AK101,[71]Listas!$F$4:$J$4,0))</f>
        <v>#N/A</v>
      </c>
      <c r="AN101" s="259"/>
      <c r="AO101" s="259"/>
      <c r="AP101" s="1044"/>
      <c r="AQ101" s="259"/>
      <c r="AR101" s="259" t="s">
        <v>2877</v>
      </c>
      <c r="AS101" s="1042"/>
      <c r="AT101" s="259"/>
      <c r="AU101" s="259"/>
      <c r="AV101" s="261"/>
      <c r="AW101" s="261"/>
      <c r="AX101" s="1042"/>
      <c r="AY101" s="262"/>
    </row>
    <row r="102" spans="1:51" s="260" customFormat="1" ht="103.5" hidden="1" customHeight="1">
      <c r="A102" s="1042"/>
      <c r="B102" s="266"/>
      <c r="C102" s="1399"/>
      <c r="D102" s="1408"/>
      <c r="E102" s="1400"/>
      <c r="F102" s="267"/>
      <c r="G102" s="1399"/>
      <c r="H102" s="1408"/>
      <c r="I102" s="1400"/>
      <c r="J102" s="1380"/>
      <c r="K102" s="1380"/>
      <c r="L102" s="1380"/>
      <c r="M102" s="1042"/>
      <c r="N102" s="1042"/>
      <c r="O102" s="1042"/>
      <c r="P102" s="1042"/>
      <c r="Q102" s="266"/>
      <c r="R102" s="266"/>
      <c r="S102" s="268"/>
      <c r="T102" s="269" t="e">
        <f>VLOOKUP(Q102,[71]Listas!$D$6:$E$10,2,0)</f>
        <v>#N/A</v>
      </c>
      <c r="U102" s="269" t="e">
        <f>HLOOKUP(R102,[71]Listas!$F$4:$J$5,2,0)</f>
        <v>#N/A</v>
      </c>
      <c r="V102" s="270" t="e">
        <f>INDEX([71]Listas!$F$6:$J$10,MATCH(Q102,[71]Listas!$D$6:$D$10,0),MATCH(R102,[71]Listas!$F$4:$J$4,0))</f>
        <v>#N/A</v>
      </c>
      <c r="W102" s="268"/>
      <c r="X102" s="1399"/>
      <c r="Y102" s="1408"/>
      <c r="Z102" s="1400"/>
      <c r="AA102" s="1063"/>
      <c r="AB102" s="267"/>
      <c r="AC102" s="259"/>
      <c r="AD102" s="1042"/>
      <c r="AE102" s="267"/>
      <c r="AF102" s="268"/>
      <c r="AG102" s="269">
        <f t="shared" si="12"/>
        <v>0</v>
      </c>
      <c r="AH102" s="271" t="e">
        <f t="shared" si="13"/>
        <v>#N/A</v>
      </c>
      <c r="AI102" s="272" t="e">
        <f>IF(AH102&lt;=1,"Remota",VLOOKUP(AH102,[71]Listas!$C$6:$D$10,2,0))</f>
        <v>#N/A</v>
      </c>
      <c r="AJ102" s="271" t="e">
        <f t="shared" si="14"/>
        <v>#N/A</v>
      </c>
      <c r="AK102" s="272" t="e">
        <f>IF(AJ102&lt;=1,"Insignificante",HLOOKUP(AJ102,[71]Listas!$F$3:$J$4,2,0))</f>
        <v>#N/A</v>
      </c>
      <c r="AL102" s="273" t="e">
        <f t="shared" si="15"/>
        <v>#N/A</v>
      </c>
      <c r="AM102" s="270" t="e">
        <f>INDEX([71]Listas!$F$6:$J$10,MATCH(AI102,[71]Listas!$D$6:$D$10,0),MATCH(AK102,[71]Listas!$F$4:$J$4,0))</f>
        <v>#N/A</v>
      </c>
      <c r="AN102" s="259"/>
      <c r="AO102" s="259"/>
      <c r="AP102" s="1044"/>
      <c r="AQ102" s="259"/>
      <c r="AR102" s="259" t="s">
        <v>2877</v>
      </c>
      <c r="AS102" s="1042"/>
      <c r="AT102" s="259"/>
      <c r="AU102" s="259"/>
      <c r="AV102" s="261"/>
      <c r="AW102" s="261"/>
      <c r="AX102" s="1042"/>
      <c r="AY102" s="262"/>
    </row>
    <row r="103" spans="1:51" s="260" customFormat="1" ht="103.5" hidden="1" customHeight="1">
      <c r="A103" s="1042"/>
      <c r="B103" s="266"/>
      <c r="C103" s="1399"/>
      <c r="D103" s="1408"/>
      <c r="E103" s="1400"/>
      <c r="F103" s="267"/>
      <c r="G103" s="1399"/>
      <c r="H103" s="1408"/>
      <c r="I103" s="1400"/>
      <c r="J103" s="1380"/>
      <c r="K103" s="1380"/>
      <c r="L103" s="1380"/>
      <c r="M103" s="1042"/>
      <c r="N103" s="1042"/>
      <c r="O103" s="1042"/>
      <c r="P103" s="1042"/>
      <c r="Q103" s="266"/>
      <c r="R103" s="266"/>
      <c r="S103" s="268"/>
      <c r="T103" s="269" t="e">
        <f>VLOOKUP(Q103,[71]Listas!$D$6:$E$10,2,0)</f>
        <v>#N/A</v>
      </c>
      <c r="U103" s="269" t="e">
        <f>HLOOKUP(R103,[71]Listas!$F$4:$J$5,2,0)</f>
        <v>#N/A</v>
      </c>
      <c r="V103" s="270" t="e">
        <f>INDEX([71]Listas!$F$6:$J$10,MATCH(Q103,[71]Listas!$D$6:$D$10,0),MATCH(R103,[71]Listas!$F$4:$J$4,0))</f>
        <v>#N/A</v>
      </c>
      <c r="W103" s="268"/>
      <c r="X103" s="1399"/>
      <c r="Y103" s="1408"/>
      <c r="Z103" s="1400"/>
      <c r="AA103" s="1063"/>
      <c r="AB103" s="267"/>
      <c r="AC103" s="259"/>
      <c r="AD103" s="1042"/>
      <c r="AE103" s="267"/>
      <c r="AF103" s="268"/>
      <c r="AG103" s="269">
        <f t="shared" si="12"/>
        <v>0</v>
      </c>
      <c r="AH103" s="271" t="e">
        <f t="shared" si="13"/>
        <v>#N/A</v>
      </c>
      <c r="AI103" s="272" t="e">
        <f>IF(AH103&lt;=1,"Remota",VLOOKUP(AH103,[71]Listas!$C$6:$D$10,2,0))</f>
        <v>#N/A</v>
      </c>
      <c r="AJ103" s="271" t="e">
        <f t="shared" si="14"/>
        <v>#N/A</v>
      </c>
      <c r="AK103" s="272" t="e">
        <f>IF(AJ103&lt;=1,"Insignificante",HLOOKUP(AJ103,[71]Listas!$F$3:$J$4,2,0))</f>
        <v>#N/A</v>
      </c>
      <c r="AL103" s="273" t="e">
        <f t="shared" si="15"/>
        <v>#N/A</v>
      </c>
      <c r="AM103" s="270" t="e">
        <f>INDEX([71]Listas!$F$6:$J$10,MATCH(AI103,[71]Listas!$D$6:$D$10,0),MATCH(AK103,[71]Listas!$F$4:$J$4,0))</f>
        <v>#N/A</v>
      </c>
      <c r="AN103" s="259"/>
      <c r="AO103" s="259"/>
      <c r="AP103" s="1044"/>
      <c r="AQ103" s="259"/>
      <c r="AR103" s="259" t="s">
        <v>2877</v>
      </c>
      <c r="AS103" s="1042"/>
      <c r="AT103" s="259"/>
      <c r="AU103" s="259"/>
      <c r="AV103" s="261"/>
      <c r="AW103" s="261"/>
      <c r="AX103" s="1042"/>
      <c r="AY103" s="262"/>
    </row>
    <row r="104" spans="1:51" s="260" customFormat="1" ht="103.5" hidden="1" customHeight="1">
      <c r="A104" s="1042"/>
      <c r="B104" s="266"/>
      <c r="C104" s="1399"/>
      <c r="D104" s="1408"/>
      <c r="E104" s="1400"/>
      <c r="F104" s="267"/>
      <c r="G104" s="1399"/>
      <c r="H104" s="1408"/>
      <c r="I104" s="1400"/>
      <c r="J104" s="1380"/>
      <c r="K104" s="1380"/>
      <c r="L104" s="1380"/>
      <c r="M104" s="1042"/>
      <c r="N104" s="1042"/>
      <c r="O104" s="1042"/>
      <c r="P104" s="1042"/>
      <c r="Q104" s="266"/>
      <c r="R104" s="266"/>
      <c r="S104" s="268"/>
      <c r="T104" s="269" t="e">
        <f>VLOOKUP(Q104,[71]Listas!$D$6:$E$10,2,0)</f>
        <v>#N/A</v>
      </c>
      <c r="U104" s="269" t="e">
        <f>HLOOKUP(R104,[71]Listas!$F$4:$J$5,2,0)</f>
        <v>#N/A</v>
      </c>
      <c r="V104" s="270" t="e">
        <f>INDEX([71]Listas!$F$6:$J$10,MATCH(Q104,[71]Listas!$D$6:$D$10,0),MATCH(R104,[71]Listas!$F$4:$J$4,0))</f>
        <v>#N/A</v>
      </c>
      <c r="W104" s="268"/>
      <c r="X104" s="1399"/>
      <c r="Y104" s="1408"/>
      <c r="Z104" s="1400"/>
      <c r="AA104" s="1063"/>
      <c r="AB104" s="267"/>
      <c r="AC104" s="259"/>
      <c r="AD104" s="1042"/>
      <c r="AE104" s="267"/>
      <c r="AF104" s="268"/>
      <c r="AG104" s="269">
        <f t="shared" si="12"/>
        <v>0</v>
      </c>
      <c r="AH104" s="271" t="e">
        <f t="shared" si="13"/>
        <v>#N/A</v>
      </c>
      <c r="AI104" s="272" t="e">
        <f>IF(AH104&lt;=1,"Remota",VLOOKUP(AH104,[71]Listas!$C$6:$D$10,2,0))</f>
        <v>#N/A</v>
      </c>
      <c r="AJ104" s="271" t="e">
        <f t="shared" si="14"/>
        <v>#N/A</v>
      </c>
      <c r="AK104" s="272" t="e">
        <f>IF(AJ104&lt;=1,"Insignificante",HLOOKUP(AJ104,[71]Listas!$F$3:$J$4,2,0))</f>
        <v>#N/A</v>
      </c>
      <c r="AL104" s="273" t="e">
        <f t="shared" si="15"/>
        <v>#N/A</v>
      </c>
      <c r="AM104" s="270" t="e">
        <f>INDEX([71]Listas!$F$6:$J$10,MATCH(AI104,[71]Listas!$D$6:$D$10,0),MATCH(AK104,[71]Listas!$F$4:$J$4,0))</f>
        <v>#N/A</v>
      </c>
      <c r="AN104" s="259"/>
      <c r="AO104" s="259"/>
      <c r="AP104" s="1044"/>
      <c r="AQ104" s="259"/>
      <c r="AR104" s="259" t="s">
        <v>2877</v>
      </c>
      <c r="AS104" s="1042"/>
      <c r="AT104" s="259"/>
      <c r="AU104" s="259"/>
      <c r="AV104" s="261"/>
      <c r="AW104" s="261"/>
      <c r="AX104" s="1042"/>
      <c r="AY104" s="262"/>
    </row>
    <row r="105" spans="1:51" s="260" customFormat="1" ht="103.5" hidden="1" customHeight="1">
      <c r="A105" s="1042"/>
      <c r="B105" s="266"/>
      <c r="C105" s="1399"/>
      <c r="D105" s="1408"/>
      <c r="E105" s="1400"/>
      <c r="F105" s="267"/>
      <c r="G105" s="1399"/>
      <c r="H105" s="1408"/>
      <c r="I105" s="1400"/>
      <c r="J105" s="1380"/>
      <c r="K105" s="1380"/>
      <c r="L105" s="1380"/>
      <c r="M105" s="1042"/>
      <c r="N105" s="1042"/>
      <c r="O105" s="1042"/>
      <c r="P105" s="1042"/>
      <c r="Q105" s="266"/>
      <c r="R105" s="266"/>
      <c r="S105" s="268"/>
      <c r="T105" s="269" t="e">
        <f>VLOOKUP(Q105,[71]Listas!$D$6:$E$10,2,0)</f>
        <v>#N/A</v>
      </c>
      <c r="U105" s="269" t="e">
        <f>HLOOKUP(R105,[71]Listas!$F$4:$J$5,2,0)</f>
        <v>#N/A</v>
      </c>
      <c r="V105" s="270" t="e">
        <f>INDEX([71]Listas!$F$6:$J$10,MATCH(Q105,[71]Listas!$D$6:$D$10,0),MATCH(R105,[71]Listas!$F$4:$J$4,0))</f>
        <v>#N/A</v>
      </c>
      <c r="W105" s="268"/>
      <c r="X105" s="1399"/>
      <c r="Y105" s="1408"/>
      <c r="Z105" s="1400"/>
      <c r="AA105" s="1063"/>
      <c r="AB105" s="267"/>
      <c r="AC105" s="259"/>
      <c r="AD105" s="1042"/>
      <c r="AE105" s="267"/>
      <c r="AF105" s="268"/>
      <c r="AG105" s="269">
        <f t="shared" si="12"/>
        <v>0</v>
      </c>
      <c r="AH105" s="271" t="e">
        <f t="shared" si="13"/>
        <v>#N/A</v>
      </c>
      <c r="AI105" s="272" t="e">
        <f>IF(AH105&lt;=1,"Remota",VLOOKUP(AH105,[71]Listas!$C$6:$D$10,2,0))</f>
        <v>#N/A</v>
      </c>
      <c r="AJ105" s="271" t="e">
        <f t="shared" si="14"/>
        <v>#N/A</v>
      </c>
      <c r="AK105" s="272" t="e">
        <f>IF(AJ105&lt;=1,"Insignificante",HLOOKUP(AJ105,[71]Listas!$F$3:$J$4,2,0))</f>
        <v>#N/A</v>
      </c>
      <c r="AL105" s="273" t="e">
        <f t="shared" si="15"/>
        <v>#N/A</v>
      </c>
      <c r="AM105" s="270" t="e">
        <f>INDEX([71]Listas!$F$6:$J$10,MATCH(AI105,[71]Listas!$D$6:$D$10,0),MATCH(AK105,[71]Listas!$F$4:$J$4,0))</f>
        <v>#N/A</v>
      </c>
      <c r="AN105" s="259"/>
      <c r="AO105" s="259"/>
      <c r="AP105" s="1044"/>
      <c r="AQ105" s="259"/>
      <c r="AR105" s="259" t="s">
        <v>2877</v>
      </c>
      <c r="AS105" s="1042"/>
      <c r="AT105" s="259"/>
      <c r="AU105" s="259"/>
      <c r="AV105" s="261"/>
      <c r="AW105" s="261"/>
      <c r="AX105" s="1042"/>
      <c r="AY105" s="262"/>
    </row>
    <row r="106" spans="1:51" s="260" customFormat="1" ht="103.5" hidden="1" customHeight="1">
      <c r="A106" s="1042"/>
      <c r="B106" s="266"/>
      <c r="C106" s="1399"/>
      <c r="D106" s="1408"/>
      <c r="E106" s="1400"/>
      <c r="F106" s="267"/>
      <c r="G106" s="1399"/>
      <c r="H106" s="1408"/>
      <c r="I106" s="1400"/>
      <c r="J106" s="1380"/>
      <c r="K106" s="1380"/>
      <c r="L106" s="1380"/>
      <c r="M106" s="1042"/>
      <c r="N106" s="1042"/>
      <c r="O106" s="1042"/>
      <c r="P106" s="1042"/>
      <c r="Q106" s="266"/>
      <c r="R106" s="266"/>
      <c r="S106" s="268"/>
      <c r="T106" s="269" t="e">
        <f>VLOOKUP(Q106,[71]Listas!$D$6:$E$10,2,0)</f>
        <v>#N/A</v>
      </c>
      <c r="U106" s="269" t="e">
        <f>HLOOKUP(R106,[71]Listas!$F$4:$J$5,2,0)</f>
        <v>#N/A</v>
      </c>
      <c r="V106" s="270" t="e">
        <f>INDEX([71]Listas!$F$6:$J$10,MATCH(Q106,[71]Listas!$D$6:$D$10,0),MATCH(R106,[71]Listas!$F$4:$J$4,0))</f>
        <v>#N/A</v>
      </c>
      <c r="W106" s="268"/>
      <c r="X106" s="1399"/>
      <c r="Y106" s="1408"/>
      <c r="Z106" s="1400"/>
      <c r="AA106" s="1063"/>
      <c r="AB106" s="267"/>
      <c r="AC106" s="259"/>
      <c r="AD106" s="1042"/>
      <c r="AE106" s="267"/>
      <c r="AF106" s="268"/>
      <c r="AG106" s="269">
        <f t="shared" si="12"/>
        <v>0</v>
      </c>
      <c r="AH106" s="271" t="e">
        <f t="shared" si="13"/>
        <v>#N/A</v>
      </c>
      <c r="AI106" s="272" t="e">
        <f>IF(AH106&lt;=1,"Remota",VLOOKUP(AH106,[71]Listas!$C$6:$D$10,2,0))</f>
        <v>#N/A</v>
      </c>
      <c r="AJ106" s="271" t="e">
        <f t="shared" si="14"/>
        <v>#N/A</v>
      </c>
      <c r="AK106" s="272" t="e">
        <f>IF(AJ106&lt;=1,"Insignificante",HLOOKUP(AJ106,[71]Listas!$F$3:$J$4,2,0))</f>
        <v>#N/A</v>
      </c>
      <c r="AL106" s="273" t="e">
        <f t="shared" si="15"/>
        <v>#N/A</v>
      </c>
      <c r="AM106" s="270" t="e">
        <f>INDEX([71]Listas!$F$6:$J$10,MATCH(AI106,[71]Listas!$D$6:$D$10,0),MATCH(AK106,[71]Listas!$F$4:$J$4,0))</f>
        <v>#N/A</v>
      </c>
      <c r="AN106" s="259"/>
      <c r="AO106" s="259"/>
      <c r="AP106" s="1044"/>
      <c r="AQ106" s="259"/>
      <c r="AR106" s="259" t="s">
        <v>2877</v>
      </c>
      <c r="AS106" s="1042"/>
      <c r="AT106" s="259"/>
      <c r="AU106" s="259"/>
      <c r="AV106" s="261"/>
      <c r="AW106" s="261"/>
      <c r="AX106" s="1042"/>
      <c r="AY106" s="262"/>
    </row>
    <row r="107" spans="1:51" s="260" customFormat="1" ht="103.5" hidden="1" customHeight="1">
      <c r="A107" s="1042"/>
      <c r="B107" s="266"/>
      <c r="C107" s="1399"/>
      <c r="D107" s="1408"/>
      <c r="E107" s="1400"/>
      <c r="F107" s="267"/>
      <c r="G107" s="1399"/>
      <c r="H107" s="1408"/>
      <c r="I107" s="1400"/>
      <c r="J107" s="1380"/>
      <c r="K107" s="1380"/>
      <c r="L107" s="1380"/>
      <c r="M107" s="1042"/>
      <c r="N107" s="1042"/>
      <c r="O107" s="1042"/>
      <c r="P107" s="1042"/>
      <c r="Q107" s="266"/>
      <c r="R107" s="266"/>
      <c r="S107" s="268"/>
      <c r="T107" s="269" t="e">
        <f>VLOOKUP(Q107,[71]Listas!$D$6:$E$10,2,0)</f>
        <v>#N/A</v>
      </c>
      <c r="U107" s="269" t="e">
        <f>HLOOKUP(R107,[71]Listas!$F$4:$J$5,2,0)</f>
        <v>#N/A</v>
      </c>
      <c r="V107" s="270" t="e">
        <f>INDEX([71]Listas!$F$6:$J$10,MATCH(Q107,[71]Listas!$D$6:$D$10,0),MATCH(R107,[71]Listas!$F$4:$J$4,0))</f>
        <v>#N/A</v>
      </c>
      <c r="W107" s="268"/>
      <c r="X107" s="1399"/>
      <c r="Y107" s="1408"/>
      <c r="Z107" s="1400"/>
      <c r="AA107" s="1063"/>
      <c r="AB107" s="267"/>
      <c r="AC107" s="259"/>
      <c r="AD107" s="1042"/>
      <c r="AE107" s="267"/>
      <c r="AF107" s="268"/>
      <c r="AG107" s="269">
        <f t="shared" si="12"/>
        <v>0</v>
      </c>
      <c r="AH107" s="271" t="e">
        <f t="shared" si="13"/>
        <v>#N/A</v>
      </c>
      <c r="AI107" s="272" t="e">
        <f>IF(AH107&lt;=1,"Remota",VLOOKUP(AH107,[71]Listas!$C$6:$D$10,2,0))</f>
        <v>#N/A</v>
      </c>
      <c r="AJ107" s="271" t="e">
        <f t="shared" si="14"/>
        <v>#N/A</v>
      </c>
      <c r="AK107" s="272" t="e">
        <f>IF(AJ107&lt;=1,"Insignificante",HLOOKUP(AJ107,[71]Listas!$F$3:$J$4,2,0))</f>
        <v>#N/A</v>
      </c>
      <c r="AL107" s="273" t="e">
        <f t="shared" si="15"/>
        <v>#N/A</v>
      </c>
      <c r="AM107" s="270" t="e">
        <f>INDEX([71]Listas!$F$6:$J$10,MATCH(AI107,[71]Listas!$D$6:$D$10,0),MATCH(AK107,[71]Listas!$F$4:$J$4,0))</f>
        <v>#N/A</v>
      </c>
      <c r="AN107" s="259"/>
      <c r="AO107" s="259"/>
      <c r="AP107" s="1044"/>
      <c r="AQ107" s="259"/>
      <c r="AR107" s="259" t="s">
        <v>2877</v>
      </c>
      <c r="AS107" s="1042"/>
      <c r="AT107" s="259"/>
      <c r="AU107" s="259"/>
      <c r="AV107" s="261"/>
      <c r="AW107" s="261"/>
      <c r="AX107" s="1042"/>
      <c r="AY107" s="262"/>
    </row>
    <row r="108" spans="1:51" s="260" customFormat="1" ht="103.5" hidden="1" customHeight="1">
      <c r="A108" s="1042"/>
      <c r="B108" s="266"/>
      <c r="C108" s="1399"/>
      <c r="D108" s="1408"/>
      <c r="E108" s="1400"/>
      <c r="F108" s="267"/>
      <c r="G108" s="1399"/>
      <c r="H108" s="1408"/>
      <c r="I108" s="1400"/>
      <c r="J108" s="1380"/>
      <c r="K108" s="1380"/>
      <c r="L108" s="1380"/>
      <c r="M108" s="1042"/>
      <c r="N108" s="1042"/>
      <c r="O108" s="1042"/>
      <c r="P108" s="1042"/>
      <c r="Q108" s="266"/>
      <c r="R108" s="266"/>
      <c r="S108" s="268"/>
      <c r="T108" s="269" t="e">
        <f>VLOOKUP(Q108,[71]Listas!$D$6:$E$10,2,0)</f>
        <v>#N/A</v>
      </c>
      <c r="U108" s="269" t="e">
        <f>HLOOKUP(R108,[71]Listas!$F$4:$J$5,2,0)</f>
        <v>#N/A</v>
      </c>
      <c r="V108" s="270" t="e">
        <f>INDEX([71]Listas!$F$6:$J$10,MATCH(Q108,[71]Listas!$D$6:$D$10,0),MATCH(R108,[71]Listas!$F$4:$J$4,0))</f>
        <v>#N/A</v>
      </c>
      <c r="W108" s="268"/>
      <c r="X108" s="1399"/>
      <c r="Y108" s="1408"/>
      <c r="Z108" s="1400"/>
      <c r="AA108" s="1063"/>
      <c r="AB108" s="267"/>
      <c r="AC108" s="259"/>
      <c r="AD108" s="1042"/>
      <c r="AE108" s="267"/>
      <c r="AF108" s="268"/>
      <c r="AG108" s="269">
        <f t="shared" si="12"/>
        <v>0</v>
      </c>
      <c r="AH108" s="271" t="e">
        <f t="shared" si="13"/>
        <v>#N/A</v>
      </c>
      <c r="AI108" s="272" t="e">
        <f>IF(AH108&lt;=1,"Remota",VLOOKUP(AH108,[71]Listas!$C$6:$D$10,2,0))</f>
        <v>#N/A</v>
      </c>
      <c r="AJ108" s="271" t="e">
        <f t="shared" si="14"/>
        <v>#N/A</v>
      </c>
      <c r="AK108" s="272" t="e">
        <f>IF(AJ108&lt;=1,"Insignificante",HLOOKUP(AJ108,[71]Listas!$F$3:$J$4,2,0))</f>
        <v>#N/A</v>
      </c>
      <c r="AL108" s="273" t="e">
        <f t="shared" si="15"/>
        <v>#N/A</v>
      </c>
      <c r="AM108" s="270" t="e">
        <f>INDEX([71]Listas!$F$6:$J$10,MATCH(AI108,[71]Listas!$D$6:$D$10,0),MATCH(AK108,[71]Listas!$F$4:$J$4,0))</f>
        <v>#N/A</v>
      </c>
      <c r="AN108" s="259"/>
      <c r="AO108" s="259"/>
      <c r="AP108" s="1044"/>
      <c r="AQ108" s="259"/>
      <c r="AR108" s="259" t="s">
        <v>2877</v>
      </c>
      <c r="AS108" s="1042"/>
      <c r="AT108" s="259"/>
      <c r="AU108" s="259"/>
      <c r="AV108" s="261"/>
      <c r="AW108" s="261"/>
      <c r="AX108" s="1042"/>
      <c r="AY108" s="262"/>
    </row>
    <row r="109" spans="1:51" s="260" customFormat="1" ht="103.5" hidden="1" customHeight="1">
      <c r="A109" s="1042"/>
      <c r="B109" s="266"/>
      <c r="C109" s="1399"/>
      <c r="D109" s="1408"/>
      <c r="E109" s="1400"/>
      <c r="F109" s="267"/>
      <c r="G109" s="1399"/>
      <c r="H109" s="1408"/>
      <c r="I109" s="1400"/>
      <c r="J109" s="1380"/>
      <c r="K109" s="1380"/>
      <c r="L109" s="1380"/>
      <c r="M109" s="1042"/>
      <c r="N109" s="1042"/>
      <c r="O109" s="1042"/>
      <c r="P109" s="1042"/>
      <c r="Q109" s="266"/>
      <c r="R109" s="266"/>
      <c r="S109" s="268"/>
      <c r="T109" s="269" t="e">
        <f>VLOOKUP(Q109,[71]Listas!$D$6:$E$10,2,0)</f>
        <v>#N/A</v>
      </c>
      <c r="U109" s="269" t="e">
        <f>HLOOKUP(R109,[71]Listas!$F$4:$J$5,2,0)</f>
        <v>#N/A</v>
      </c>
      <c r="V109" s="270" t="e">
        <f>INDEX([71]Listas!$F$6:$J$10,MATCH(Q109,[71]Listas!$D$6:$D$10,0),MATCH(R109,[71]Listas!$F$4:$J$4,0))</f>
        <v>#N/A</v>
      </c>
      <c r="W109" s="268"/>
      <c r="X109" s="1399"/>
      <c r="Y109" s="1408"/>
      <c r="Z109" s="1400"/>
      <c r="AA109" s="1063"/>
      <c r="AB109" s="267"/>
      <c r="AC109" s="259"/>
      <c r="AD109" s="1042"/>
      <c r="AE109" s="267"/>
      <c r="AF109" s="268"/>
      <c r="AG109" s="269">
        <f t="shared" si="12"/>
        <v>0</v>
      </c>
      <c r="AH109" s="271" t="e">
        <f t="shared" si="13"/>
        <v>#N/A</v>
      </c>
      <c r="AI109" s="272" t="e">
        <f>IF(AH109&lt;=1,"Remota",VLOOKUP(AH109,[71]Listas!$C$6:$D$10,2,0))</f>
        <v>#N/A</v>
      </c>
      <c r="AJ109" s="271" t="e">
        <f t="shared" si="14"/>
        <v>#N/A</v>
      </c>
      <c r="AK109" s="272" t="e">
        <f>IF(AJ109&lt;=1,"Insignificante",HLOOKUP(AJ109,[71]Listas!$F$3:$J$4,2,0))</f>
        <v>#N/A</v>
      </c>
      <c r="AL109" s="273" t="e">
        <f t="shared" si="15"/>
        <v>#N/A</v>
      </c>
      <c r="AM109" s="270" t="e">
        <f>INDEX([71]Listas!$F$6:$J$10,MATCH(AI109,[71]Listas!$D$6:$D$10,0),MATCH(AK109,[71]Listas!$F$4:$J$4,0))</f>
        <v>#N/A</v>
      </c>
      <c r="AN109" s="259"/>
      <c r="AO109" s="259"/>
      <c r="AP109" s="1044"/>
      <c r="AQ109" s="259"/>
      <c r="AR109" s="259" t="s">
        <v>2877</v>
      </c>
      <c r="AS109" s="1042"/>
      <c r="AT109" s="259"/>
      <c r="AU109" s="259"/>
      <c r="AV109" s="261"/>
      <c r="AW109" s="261"/>
      <c r="AX109" s="1042"/>
      <c r="AY109" s="262"/>
    </row>
    <row r="110" spans="1:51" s="260" customFormat="1" ht="103.5" hidden="1" customHeight="1">
      <c r="A110" s="1042"/>
      <c r="B110" s="266"/>
      <c r="C110" s="1399"/>
      <c r="D110" s="1408"/>
      <c r="E110" s="1400"/>
      <c r="F110" s="267"/>
      <c r="G110" s="1399"/>
      <c r="H110" s="1408"/>
      <c r="I110" s="1400"/>
      <c r="J110" s="1380"/>
      <c r="K110" s="1380"/>
      <c r="L110" s="1380"/>
      <c r="M110" s="1042"/>
      <c r="N110" s="1042"/>
      <c r="O110" s="1042"/>
      <c r="P110" s="1042"/>
      <c r="Q110" s="266"/>
      <c r="R110" s="266"/>
      <c r="S110" s="268"/>
      <c r="T110" s="269" t="e">
        <f>VLOOKUP(Q110,[71]Listas!$D$6:$E$10,2,0)</f>
        <v>#N/A</v>
      </c>
      <c r="U110" s="269" t="e">
        <f>HLOOKUP(R110,[71]Listas!$F$4:$J$5,2,0)</f>
        <v>#N/A</v>
      </c>
      <c r="V110" s="270" t="e">
        <f>INDEX([71]Listas!$F$6:$J$10,MATCH(Q110,[71]Listas!$D$6:$D$10,0),MATCH(R110,[71]Listas!$F$4:$J$4,0))</f>
        <v>#N/A</v>
      </c>
      <c r="W110" s="268"/>
      <c r="X110" s="1399"/>
      <c r="Y110" s="1408"/>
      <c r="Z110" s="1400"/>
      <c r="AA110" s="1063"/>
      <c r="AB110" s="267"/>
      <c r="AC110" s="259"/>
      <c r="AD110" s="1042"/>
      <c r="AE110" s="267"/>
      <c r="AF110" s="268"/>
      <c r="AG110" s="269">
        <f t="shared" si="12"/>
        <v>0</v>
      </c>
      <c r="AH110" s="271" t="e">
        <f t="shared" si="13"/>
        <v>#N/A</v>
      </c>
      <c r="AI110" s="272" t="e">
        <f>IF(AH110&lt;=1,"Remota",VLOOKUP(AH110,[71]Listas!$C$6:$D$10,2,0))</f>
        <v>#N/A</v>
      </c>
      <c r="AJ110" s="271" t="e">
        <f t="shared" si="14"/>
        <v>#N/A</v>
      </c>
      <c r="AK110" s="272" t="e">
        <f>IF(AJ110&lt;=1,"Insignificante",HLOOKUP(AJ110,[71]Listas!$F$3:$J$4,2,0))</f>
        <v>#N/A</v>
      </c>
      <c r="AL110" s="273" t="e">
        <f t="shared" si="15"/>
        <v>#N/A</v>
      </c>
      <c r="AM110" s="270" t="e">
        <f>INDEX([71]Listas!$F$6:$J$10,MATCH(AI110,[71]Listas!$D$6:$D$10,0),MATCH(AK110,[71]Listas!$F$4:$J$4,0))</f>
        <v>#N/A</v>
      </c>
      <c r="AN110" s="259"/>
      <c r="AO110" s="259"/>
      <c r="AP110" s="1044"/>
      <c r="AQ110" s="259"/>
      <c r="AR110" s="259" t="s">
        <v>2877</v>
      </c>
      <c r="AS110" s="1042"/>
      <c r="AT110" s="259"/>
      <c r="AU110" s="259"/>
      <c r="AV110" s="261"/>
      <c r="AW110" s="261"/>
      <c r="AX110" s="1042"/>
      <c r="AY110" s="262"/>
    </row>
    <row r="111" spans="1:51" s="260" customFormat="1" ht="103.5" hidden="1" customHeight="1">
      <c r="A111" s="1042"/>
      <c r="B111" s="266"/>
      <c r="C111" s="1399"/>
      <c r="D111" s="1408"/>
      <c r="E111" s="1400"/>
      <c r="F111" s="267"/>
      <c r="G111" s="1399"/>
      <c r="H111" s="1408"/>
      <c r="I111" s="1400"/>
      <c r="J111" s="1380"/>
      <c r="K111" s="1380"/>
      <c r="L111" s="1380"/>
      <c r="M111" s="1042"/>
      <c r="N111" s="1042"/>
      <c r="O111" s="1042"/>
      <c r="P111" s="1042"/>
      <c r="Q111" s="266"/>
      <c r="R111" s="266"/>
      <c r="S111" s="268"/>
      <c r="T111" s="269" t="e">
        <f>VLOOKUP(Q111,[71]Listas!$D$6:$E$10,2,0)</f>
        <v>#N/A</v>
      </c>
      <c r="U111" s="269" t="e">
        <f>HLOOKUP(R111,[71]Listas!$F$4:$J$5,2,0)</f>
        <v>#N/A</v>
      </c>
      <c r="V111" s="270" t="e">
        <f>INDEX([71]Listas!$F$6:$J$10,MATCH(Q111,[71]Listas!$D$6:$D$10,0),MATCH(R111,[71]Listas!$F$4:$J$4,0))</f>
        <v>#N/A</v>
      </c>
      <c r="W111" s="268"/>
      <c r="X111" s="1399"/>
      <c r="Y111" s="1408"/>
      <c r="Z111" s="1400"/>
      <c r="AA111" s="1063"/>
      <c r="AB111" s="267"/>
      <c r="AC111" s="259"/>
      <c r="AD111" s="1042"/>
      <c r="AE111" s="267"/>
      <c r="AF111" s="268"/>
      <c r="AG111" s="269">
        <f t="shared" si="12"/>
        <v>0</v>
      </c>
      <c r="AH111" s="271" t="e">
        <f t="shared" si="13"/>
        <v>#N/A</v>
      </c>
      <c r="AI111" s="272" t="e">
        <f>IF(AH111&lt;=1,"Remota",VLOOKUP(AH111,[71]Listas!$C$6:$D$10,2,0))</f>
        <v>#N/A</v>
      </c>
      <c r="AJ111" s="271" t="e">
        <f t="shared" si="14"/>
        <v>#N/A</v>
      </c>
      <c r="AK111" s="272" t="e">
        <f>IF(AJ111&lt;=1,"Insignificante",HLOOKUP(AJ111,[71]Listas!$F$3:$J$4,2,0))</f>
        <v>#N/A</v>
      </c>
      <c r="AL111" s="273" t="e">
        <f t="shared" si="15"/>
        <v>#N/A</v>
      </c>
      <c r="AM111" s="270" t="e">
        <f>INDEX([71]Listas!$F$6:$J$10,MATCH(AI111,[71]Listas!$D$6:$D$10,0),MATCH(AK111,[71]Listas!$F$4:$J$4,0))</f>
        <v>#N/A</v>
      </c>
      <c r="AN111" s="259"/>
      <c r="AO111" s="259"/>
      <c r="AP111" s="1044"/>
      <c r="AQ111" s="259"/>
      <c r="AR111" s="259" t="s">
        <v>2877</v>
      </c>
      <c r="AS111" s="1042"/>
      <c r="AT111" s="259"/>
      <c r="AU111" s="259"/>
      <c r="AV111" s="261"/>
      <c r="AW111" s="261"/>
      <c r="AX111" s="1042"/>
      <c r="AY111" s="262"/>
    </row>
    <row r="112" spans="1:51" s="260" customFormat="1" ht="103.5" hidden="1" customHeight="1">
      <c r="A112" s="1042"/>
      <c r="B112" s="266"/>
      <c r="C112" s="1399"/>
      <c r="D112" s="1408"/>
      <c r="E112" s="1400"/>
      <c r="F112" s="267"/>
      <c r="G112" s="1399"/>
      <c r="H112" s="1408"/>
      <c r="I112" s="1400"/>
      <c r="J112" s="1380"/>
      <c r="K112" s="1380"/>
      <c r="L112" s="1380"/>
      <c r="M112" s="1042"/>
      <c r="N112" s="1042"/>
      <c r="O112" s="1042"/>
      <c r="P112" s="1042"/>
      <c r="Q112" s="266"/>
      <c r="R112" s="266"/>
      <c r="S112" s="268"/>
      <c r="T112" s="269" t="e">
        <f>VLOOKUP(Q112,[71]Listas!$D$6:$E$10,2,0)</f>
        <v>#N/A</v>
      </c>
      <c r="U112" s="269" t="e">
        <f>HLOOKUP(R112,[71]Listas!$F$4:$J$5,2,0)</f>
        <v>#N/A</v>
      </c>
      <c r="V112" s="270" t="e">
        <f>INDEX([71]Listas!$F$6:$J$10,MATCH(Q112,[71]Listas!$D$6:$D$10,0),MATCH(R112,[71]Listas!$F$4:$J$4,0))</f>
        <v>#N/A</v>
      </c>
      <c r="W112" s="268"/>
      <c r="X112" s="1399"/>
      <c r="Y112" s="1408"/>
      <c r="Z112" s="1400"/>
      <c r="AA112" s="1063"/>
      <c r="AB112" s="267"/>
      <c r="AC112" s="259"/>
      <c r="AD112" s="1042"/>
      <c r="AE112" s="267"/>
      <c r="AF112" s="268"/>
      <c r="AG112" s="269">
        <f t="shared" si="12"/>
        <v>0</v>
      </c>
      <c r="AH112" s="271" t="e">
        <f t="shared" si="13"/>
        <v>#N/A</v>
      </c>
      <c r="AI112" s="272" t="e">
        <f>IF(AH112&lt;=1,"Remota",VLOOKUP(AH112,[71]Listas!$C$6:$D$10,2,0))</f>
        <v>#N/A</v>
      </c>
      <c r="AJ112" s="271" t="e">
        <f t="shared" si="14"/>
        <v>#N/A</v>
      </c>
      <c r="AK112" s="272" t="e">
        <f>IF(AJ112&lt;=1,"Insignificante",HLOOKUP(AJ112,[71]Listas!$F$3:$J$4,2,0))</f>
        <v>#N/A</v>
      </c>
      <c r="AL112" s="273" t="e">
        <f t="shared" si="15"/>
        <v>#N/A</v>
      </c>
      <c r="AM112" s="270" t="e">
        <f>INDEX([71]Listas!$F$6:$J$10,MATCH(AI112,[71]Listas!$D$6:$D$10,0),MATCH(AK112,[71]Listas!$F$4:$J$4,0))</f>
        <v>#N/A</v>
      </c>
      <c r="AN112" s="259"/>
      <c r="AO112" s="259"/>
      <c r="AP112" s="1044"/>
      <c r="AQ112" s="259"/>
      <c r="AR112" s="259" t="s">
        <v>2877</v>
      </c>
      <c r="AS112" s="1042"/>
      <c r="AT112" s="259"/>
      <c r="AU112" s="259"/>
      <c r="AV112" s="261"/>
      <c r="AW112" s="261"/>
      <c r="AX112" s="1042"/>
      <c r="AY112" s="262"/>
    </row>
    <row r="113" spans="1:51" s="260" customFormat="1" ht="103.5" hidden="1" customHeight="1">
      <c r="A113" s="1042"/>
      <c r="B113" s="266"/>
      <c r="C113" s="1399"/>
      <c r="D113" s="1408"/>
      <c r="E113" s="1400"/>
      <c r="F113" s="267"/>
      <c r="G113" s="1399"/>
      <c r="H113" s="1408"/>
      <c r="I113" s="1400"/>
      <c r="J113" s="1380"/>
      <c r="K113" s="1380"/>
      <c r="L113" s="1380"/>
      <c r="M113" s="1042"/>
      <c r="N113" s="1042"/>
      <c r="O113" s="1042"/>
      <c r="P113" s="1042"/>
      <c r="Q113" s="266"/>
      <c r="R113" s="266"/>
      <c r="S113" s="268"/>
      <c r="T113" s="269" t="e">
        <f>VLOOKUP(Q113,[71]Listas!$D$6:$E$10,2,0)</f>
        <v>#N/A</v>
      </c>
      <c r="U113" s="269" t="e">
        <f>HLOOKUP(R113,[71]Listas!$F$4:$J$5,2,0)</f>
        <v>#N/A</v>
      </c>
      <c r="V113" s="270" t="e">
        <f>INDEX([71]Listas!$F$6:$J$10,MATCH(Q113,[71]Listas!$D$6:$D$10,0),MATCH(R113,[71]Listas!$F$4:$J$4,0))</f>
        <v>#N/A</v>
      </c>
      <c r="W113" s="268"/>
      <c r="X113" s="1399"/>
      <c r="Y113" s="1408"/>
      <c r="Z113" s="1400"/>
      <c r="AA113" s="1063"/>
      <c r="AB113" s="267"/>
      <c r="AC113" s="259"/>
      <c r="AD113" s="1042"/>
      <c r="AE113" s="267"/>
      <c r="AF113" s="268"/>
      <c r="AG113" s="269">
        <f t="shared" si="12"/>
        <v>0</v>
      </c>
      <c r="AH113" s="271" t="e">
        <f t="shared" si="13"/>
        <v>#N/A</v>
      </c>
      <c r="AI113" s="272" t="e">
        <f>IF(AH113&lt;=1,"Remota",VLOOKUP(AH113,[71]Listas!$C$6:$D$10,2,0))</f>
        <v>#N/A</v>
      </c>
      <c r="AJ113" s="271" t="e">
        <f t="shared" si="14"/>
        <v>#N/A</v>
      </c>
      <c r="AK113" s="272" t="e">
        <f>IF(AJ113&lt;=1,"Insignificante",HLOOKUP(AJ113,[71]Listas!$F$3:$J$4,2,0))</f>
        <v>#N/A</v>
      </c>
      <c r="AL113" s="273" t="e">
        <f t="shared" si="15"/>
        <v>#N/A</v>
      </c>
      <c r="AM113" s="270" t="e">
        <f>INDEX([71]Listas!$F$6:$J$10,MATCH(AI113,[71]Listas!$D$6:$D$10,0),MATCH(AK113,[71]Listas!$F$4:$J$4,0))</f>
        <v>#N/A</v>
      </c>
      <c r="AN113" s="259"/>
      <c r="AO113" s="259"/>
      <c r="AP113" s="1044"/>
      <c r="AQ113" s="259"/>
      <c r="AR113" s="259" t="s">
        <v>2877</v>
      </c>
      <c r="AS113" s="1042"/>
      <c r="AT113" s="259"/>
      <c r="AU113" s="259"/>
      <c r="AV113" s="261"/>
      <c r="AW113" s="261"/>
      <c r="AX113" s="1042"/>
      <c r="AY113" s="262"/>
    </row>
    <row r="114" spans="1:51" s="260" customFormat="1" ht="103.5" hidden="1" customHeight="1">
      <c r="A114" s="1042"/>
      <c r="B114" s="266"/>
      <c r="C114" s="1399"/>
      <c r="D114" s="1408"/>
      <c r="E114" s="1400"/>
      <c r="F114" s="267"/>
      <c r="G114" s="1399"/>
      <c r="H114" s="1408"/>
      <c r="I114" s="1400"/>
      <c r="J114" s="1380"/>
      <c r="K114" s="1380"/>
      <c r="L114" s="1380"/>
      <c r="M114" s="1042"/>
      <c r="N114" s="1042"/>
      <c r="O114" s="1042"/>
      <c r="P114" s="1042"/>
      <c r="Q114" s="266"/>
      <c r="R114" s="266"/>
      <c r="S114" s="268"/>
      <c r="T114" s="269" t="e">
        <f>VLOOKUP(Q114,[71]Listas!$D$6:$E$10,2,0)</f>
        <v>#N/A</v>
      </c>
      <c r="U114" s="269" t="e">
        <f>HLOOKUP(R114,[71]Listas!$F$4:$J$5,2,0)</f>
        <v>#N/A</v>
      </c>
      <c r="V114" s="270" t="e">
        <f>INDEX([71]Listas!$F$6:$J$10,MATCH(Q114,[71]Listas!$D$6:$D$10,0),MATCH(R114,[71]Listas!$F$4:$J$4,0))</f>
        <v>#N/A</v>
      </c>
      <c r="W114" s="268"/>
      <c r="X114" s="1399"/>
      <c r="Y114" s="1408"/>
      <c r="Z114" s="1400"/>
      <c r="AA114" s="1063"/>
      <c r="AB114" s="267"/>
      <c r="AC114" s="259"/>
      <c r="AD114" s="1042"/>
      <c r="AE114" s="267"/>
      <c r="AF114" s="268"/>
      <c r="AG114" s="269">
        <f t="shared" si="12"/>
        <v>0</v>
      </c>
      <c r="AH114" s="271" t="e">
        <f t="shared" si="13"/>
        <v>#N/A</v>
      </c>
      <c r="AI114" s="272" t="e">
        <f>IF(AH114&lt;=1,"Remota",VLOOKUP(AH114,[71]Listas!$C$6:$D$10,2,0))</f>
        <v>#N/A</v>
      </c>
      <c r="AJ114" s="271" t="e">
        <f t="shared" si="14"/>
        <v>#N/A</v>
      </c>
      <c r="AK114" s="272" t="e">
        <f>IF(AJ114&lt;=1,"Insignificante",HLOOKUP(AJ114,[71]Listas!$F$3:$J$4,2,0))</f>
        <v>#N/A</v>
      </c>
      <c r="AL114" s="273" t="e">
        <f t="shared" si="15"/>
        <v>#N/A</v>
      </c>
      <c r="AM114" s="270" t="e">
        <f>INDEX([71]Listas!$F$6:$J$10,MATCH(AI114,[71]Listas!$D$6:$D$10,0),MATCH(AK114,[71]Listas!$F$4:$J$4,0))</f>
        <v>#N/A</v>
      </c>
      <c r="AN114" s="259"/>
      <c r="AO114" s="259"/>
      <c r="AP114" s="1044"/>
      <c r="AQ114" s="259"/>
      <c r="AR114" s="259" t="s">
        <v>2877</v>
      </c>
      <c r="AS114" s="1042"/>
      <c r="AT114" s="259"/>
      <c r="AU114" s="259"/>
      <c r="AV114" s="261"/>
      <c r="AW114" s="261"/>
      <c r="AX114" s="1042"/>
      <c r="AY114" s="262"/>
    </row>
    <row r="115" spans="1:51" s="260" customFormat="1" ht="103.5" hidden="1" customHeight="1">
      <c r="A115" s="1042"/>
      <c r="B115" s="266"/>
      <c r="C115" s="1399"/>
      <c r="D115" s="1408"/>
      <c r="E115" s="1400"/>
      <c r="F115" s="267"/>
      <c r="G115" s="1399"/>
      <c r="H115" s="1408"/>
      <c r="I115" s="1400"/>
      <c r="J115" s="1380"/>
      <c r="K115" s="1380"/>
      <c r="L115" s="1380"/>
      <c r="M115" s="1042"/>
      <c r="N115" s="1042"/>
      <c r="O115" s="1042"/>
      <c r="P115" s="1042"/>
      <c r="Q115" s="266"/>
      <c r="R115" s="266"/>
      <c r="S115" s="268"/>
      <c r="T115" s="269" t="e">
        <f>VLOOKUP(Q115,[71]Listas!$D$6:$E$10,2,0)</f>
        <v>#N/A</v>
      </c>
      <c r="U115" s="269" t="e">
        <f>HLOOKUP(R115,[71]Listas!$F$4:$J$5,2,0)</f>
        <v>#N/A</v>
      </c>
      <c r="V115" s="270" t="e">
        <f>INDEX([71]Listas!$F$6:$J$10,MATCH(Q115,[71]Listas!$D$6:$D$10,0),MATCH(R115,[71]Listas!$F$4:$J$4,0))</f>
        <v>#N/A</v>
      </c>
      <c r="W115" s="268"/>
      <c r="X115" s="1399"/>
      <c r="Y115" s="1408"/>
      <c r="Z115" s="1400"/>
      <c r="AA115" s="1063"/>
      <c r="AB115" s="267"/>
      <c r="AC115" s="259"/>
      <c r="AD115" s="1042"/>
      <c r="AE115" s="267"/>
      <c r="AF115" s="268"/>
      <c r="AG115" s="269">
        <f t="shared" si="12"/>
        <v>0</v>
      </c>
      <c r="AH115" s="271" t="e">
        <f t="shared" si="13"/>
        <v>#N/A</v>
      </c>
      <c r="AI115" s="272" t="e">
        <f>IF(AH115&lt;=1,"Remota",VLOOKUP(AH115,[71]Listas!$C$6:$D$10,2,0))</f>
        <v>#N/A</v>
      </c>
      <c r="AJ115" s="271" t="e">
        <f t="shared" si="14"/>
        <v>#N/A</v>
      </c>
      <c r="AK115" s="272" t="e">
        <f>IF(AJ115&lt;=1,"Insignificante",HLOOKUP(AJ115,[71]Listas!$F$3:$J$4,2,0))</f>
        <v>#N/A</v>
      </c>
      <c r="AL115" s="273" t="e">
        <f t="shared" si="15"/>
        <v>#N/A</v>
      </c>
      <c r="AM115" s="270" t="e">
        <f>INDEX([71]Listas!$F$6:$J$10,MATCH(AI115,[71]Listas!$D$6:$D$10,0),MATCH(AK115,[71]Listas!$F$4:$J$4,0))</f>
        <v>#N/A</v>
      </c>
      <c r="AN115" s="259"/>
      <c r="AO115" s="259"/>
      <c r="AP115" s="1044"/>
      <c r="AQ115" s="259"/>
      <c r="AR115" s="259" t="s">
        <v>2877</v>
      </c>
      <c r="AS115" s="1042"/>
      <c r="AT115" s="259"/>
      <c r="AU115" s="259"/>
      <c r="AV115" s="261"/>
      <c r="AW115" s="261"/>
      <c r="AX115" s="1042"/>
      <c r="AY115" s="262"/>
    </row>
    <row r="116" spans="1:51" s="260" customFormat="1" ht="103.5" hidden="1" customHeight="1">
      <c r="A116" s="1042"/>
      <c r="B116" s="266"/>
      <c r="C116" s="1399"/>
      <c r="D116" s="1408"/>
      <c r="E116" s="1400"/>
      <c r="F116" s="267"/>
      <c r="G116" s="1399"/>
      <c r="H116" s="1408"/>
      <c r="I116" s="1400"/>
      <c r="J116" s="1380"/>
      <c r="K116" s="1380"/>
      <c r="L116" s="1380"/>
      <c r="M116" s="1042"/>
      <c r="N116" s="1042"/>
      <c r="O116" s="1042"/>
      <c r="P116" s="1042"/>
      <c r="Q116" s="266"/>
      <c r="R116" s="266"/>
      <c r="S116" s="268"/>
      <c r="T116" s="269" t="e">
        <f>VLOOKUP(Q116,[71]Listas!$D$6:$E$10,2,0)</f>
        <v>#N/A</v>
      </c>
      <c r="U116" s="269" t="e">
        <f>HLOOKUP(R116,[71]Listas!$F$4:$J$5,2,0)</f>
        <v>#N/A</v>
      </c>
      <c r="V116" s="270" t="e">
        <f>INDEX([71]Listas!$F$6:$J$10,MATCH(Q116,[71]Listas!$D$6:$D$10,0),MATCH(R116,[71]Listas!$F$4:$J$4,0))</f>
        <v>#N/A</v>
      </c>
      <c r="W116" s="268"/>
      <c r="X116" s="1399"/>
      <c r="Y116" s="1408"/>
      <c r="Z116" s="1400"/>
      <c r="AA116" s="1063"/>
      <c r="AB116" s="267"/>
      <c r="AC116" s="259"/>
      <c r="AD116" s="1042"/>
      <c r="AE116" s="267"/>
      <c r="AF116" s="268"/>
      <c r="AG116" s="269">
        <f t="shared" si="12"/>
        <v>0</v>
      </c>
      <c r="AH116" s="271" t="e">
        <f t="shared" si="13"/>
        <v>#N/A</v>
      </c>
      <c r="AI116" s="272" t="e">
        <f>IF(AH116&lt;=1,"Remota",VLOOKUP(AH116,[71]Listas!$C$6:$D$10,2,0))</f>
        <v>#N/A</v>
      </c>
      <c r="AJ116" s="271" t="e">
        <f t="shared" si="14"/>
        <v>#N/A</v>
      </c>
      <c r="AK116" s="272" t="e">
        <f>IF(AJ116&lt;=1,"Insignificante",HLOOKUP(AJ116,[71]Listas!$F$3:$J$4,2,0))</f>
        <v>#N/A</v>
      </c>
      <c r="AL116" s="273" t="e">
        <f t="shared" si="15"/>
        <v>#N/A</v>
      </c>
      <c r="AM116" s="270" t="e">
        <f>INDEX([71]Listas!$F$6:$J$10,MATCH(AI116,[71]Listas!$D$6:$D$10,0),MATCH(AK116,[71]Listas!$F$4:$J$4,0))</f>
        <v>#N/A</v>
      </c>
      <c r="AN116" s="259"/>
      <c r="AO116" s="259"/>
      <c r="AP116" s="1044"/>
      <c r="AQ116" s="259"/>
      <c r="AR116" s="259" t="s">
        <v>2877</v>
      </c>
      <c r="AS116" s="1042"/>
      <c r="AT116" s="259"/>
      <c r="AU116" s="259"/>
      <c r="AV116" s="261"/>
      <c r="AW116" s="261"/>
      <c r="AX116" s="1042"/>
      <c r="AY116" s="262"/>
    </row>
    <row r="117" spans="1:51" s="260" customFormat="1" ht="103.5" hidden="1" customHeight="1">
      <c r="A117" s="1042"/>
      <c r="B117" s="266"/>
      <c r="C117" s="1399"/>
      <c r="D117" s="1408"/>
      <c r="E117" s="1400"/>
      <c r="F117" s="267"/>
      <c r="G117" s="1399"/>
      <c r="H117" s="1408"/>
      <c r="I117" s="1400"/>
      <c r="J117" s="1380"/>
      <c r="K117" s="1380"/>
      <c r="L117" s="1380"/>
      <c r="M117" s="1042"/>
      <c r="N117" s="1042"/>
      <c r="O117" s="1042"/>
      <c r="P117" s="1042"/>
      <c r="Q117" s="266"/>
      <c r="R117" s="266"/>
      <c r="S117" s="268"/>
      <c r="T117" s="269" t="e">
        <f>VLOOKUP(Q117,[71]Listas!$D$6:$E$10,2,0)</f>
        <v>#N/A</v>
      </c>
      <c r="U117" s="269" t="e">
        <f>HLOOKUP(R117,[71]Listas!$F$4:$J$5,2,0)</f>
        <v>#N/A</v>
      </c>
      <c r="V117" s="270" t="e">
        <f>INDEX([71]Listas!$F$6:$J$10,MATCH(Q117,[71]Listas!$D$6:$D$10,0),MATCH(R117,[71]Listas!$F$4:$J$4,0))</f>
        <v>#N/A</v>
      </c>
      <c r="W117" s="268"/>
      <c r="X117" s="1399"/>
      <c r="Y117" s="1408"/>
      <c r="Z117" s="1400"/>
      <c r="AA117" s="1063"/>
      <c r="AB117" s="267"/>
      <c r="AC117" s="259"/>
      <c r="AD117" s="1042"/>
      <c r="AE117" s="267"/>
      <c r="AF117" s="268"/>
      <c r="AG117" s="269">
        <f t="shared" si="12"/>
        <v>0</v>
      </c>
      <c r="AH117" s="271" t="e">
        <f t="shared" si="13"/>
        <v>#N/A</v>
      </c>
      <c r="AI117" s="272" t="e">
        <f>IF(AH117&lt;=1,"Remota",VLOOKUP(AH117,[71]Listas!$C$6:$D$10,2,0))</f>
        <v>#N/A</v>
      </c>
      <c r="AJ117" s="271" t="e">
        <f t="shared" si="14"/>
        <v>#N/A</v>
      </c>
      <c r="AK117" s="272" t="e">
        <f>IF(AJ117&lt;=1,"Insignificante",HLOOKUP(AJ117,[71]Listas!$F$3:$J$4,2,0))</f>
        <v>#N/A</v>
      </c>
      <c r="AL117" s="273" t="e">
        <f t="shared" si="15"/>
        <v>#N/A</v>
      </c>
      <c r="AM117" s="270" t="e">
        <f>INDEX([71]Listas!$F$6:$J$10,MATCH(AI117,[71]Listas!$D$6:$D$10,0),MATCH(AK117,[71]Listas!$F$4:$J$4,0))</f>
        <v>#N/A</v>
      </c>
      <c r="AN117" s="259"/>
      <c r="AO117" s="259"/>
      <c r="AP117" s="1044"/>
      <c r="AQ117" s="259"/>
      <c r="AR117" s="259" t="s">
        <v>2877</v>
      </c>
      <c r="AS117" s="1042"/>
      <c r="AT117" s="259"/>
      <c r="AU117" s="259"/>
      <c r="AV117" s="261"/>
      <c r="AW117" s="261"/>
      <c r="AX117" s="1042"/>
      <c r="AY117" s="262"/>
    </row>
    <row r="118" spans="1:51" s="260" customFormat="1" ht="103.5" hidden="1" customHeight="1">
      <c r="A118" s="1042"/>
      <c r="B118" s="266"/>
      <c r="C118" s="1399"/>
      <c r="D118" s="1408"/>
      <c r="E118" s="1400"/>
      <c r="F118" s="267"/>
      <c r="G118" s="1399"/>
      <c r="H118" s="1408"/>
      <c r="I118" s="1400"/>
      <c r="J118" s="1380"/>
      <c r="K118" s="1380"/>
      <c r="L118" s="1380"/>
      <c r="M118" s="1042"/>
      <c r="N118" s="1042"/>
      <c r="O118" s="1042"/>
      <c r="P118" s="1042"/>
      <c r="Q118" s="266"/>
      <c r="R118" s="266"/>
      <c r="S118" s="268"/>
      <c r="T118" s="269" t="e">
        <f>VLOOKUP(Q118,[71]Listas!$D$6:$E$10,2,0)</f>
        <v>#N/A</v>
      </c>
      <c r="U118" s="269" t="e">
        <f>HLOOKUP(R118,[71]Listas!$F$4:$J$5,2,0)</f>
        <v>#N/A</v>
      </c>
      <c r="V118" s="270" t="e">
        <f>INDEX([71]Listas!$F$6:$J$10,MATCH(Q118,[71]Listas!$D$6:$D$10,0),MATCH(R118,[71]Listas!$F$4:$J$4,0))</f>
        <v>#N/A</v>
      </c>
      <c r="W118" s="268"/>
      <c r="X118" s="1399"/>
      <c r="Y118" s="1408"/>
      <c r="Z118" s="1400"/>
      <c r="AA118" s="1063"/>
      <c r="AB118" s="267"/>
      <c r="AC118" s="259"/>
      <c r="AD118" s="1042"/>
      <c r="AE118" s="267"/>
      <c r="AF118" s="268"/>
      <c r="AG118" s="269">
        <f t="shared" si="12"/>
        <v>0</v>
      </c>
      <c r="AH118" s="271" t="e">
        <f t="shared" si="13"/>
        <v>#N/A</v>
      </c>
      <c r="AI118" s="272" t="e">
        <f>IF(AH118&lt;=1,"Remota",VLOOKUP(AH118,[71]Listas!$C$6:$D$10,2,0))</f>
        <v>#N/A</v>
      </c>
      <c r="AJ118" s="271" t="e">
        <f t="shared" si="14"/>
        <v>#N/A</v>
      </c>
      <c r="AK118" s="272" t="e">
        <f>IF(AJ118&lt;=1,"Insignificante",HLOOKUP(AJ118,[71]Listas!$F$3:$J$4,2,0))</f>
        <v>#N/A</v>
      </c>
      <c r="AL118" s="273" t="e">
        <f t="shared" si="15"/>
        <v>#N/A</v>
      </c>
      <c r="AM118" s="270" t="e">
        <f>INDEX([71]Listas!$F$6:$J$10,MATCH(AI118,[71]Listas!$D$6:$D$10,0),MATCH(AK118,[71]Listas!$F$4:$J$4,0))</f>
        <v>#N/A</v>
      </c>
      <c r="AN118" s="259"/>
      <c r="AO118" s="259"/>
      <c r="AP118" s="1044"/>
      <c r="AQ118" s="259"/>
      <c r="AR118" s="259" t="s">
        <v>2877</v>
      </c>
      <c r="AS118" s="1042"/>
      <c r="AT118" s="259"/>
      <c r="AU118" s="259"/>
      <c r="AV118" s="261"/>
      <c r="AW118" s="261"/>
      <c r="AX118" s="1042"/>
      <c r="AY118" s="262"/>
    </row>
    <row r="119" spans="1:51" s="260" customFormat="1" ht="103.5" hidden="1" customHeight="1">
      <c r="A119" s="1042"/>
      <c r="B119" s="266"/>
      <c r="C119" s="1399"/>
      <c r="D119" s="1408"/>
      <c r="E119" s="1400"/>
      <c r="F119" s="267"/>
      <c r="G119" s="1399"/>
      <c r="H119" s="1408"/>
      <c r="I119" s="1400"/>
      <c r="J119" s="1380"/>
      <c r="K119" s="1380"/>
      <c r="L119" s="1380"/>
      <c r="M119" s="1042"/>
      <c r="N119" s="1042"/>
      <c r="O119" s="1042"/>
      <c r="P119" s="1042"/>
      <c r="Q119" s="266"/>
      <c r="R119" s="266"/>
      <c r="S119" s="268"/>
      <c r="T119" s="269" t="e">
        <f>VLOOKUP(Q119,[71]Listas!$D$6:$E$10,2,0)</f>
        <v>#N/A</v>
      </c>
      <c r="U119" s="269" t="e">
        <f>HLOOKUP(R119,[71]Listas!$F$4:$J$5,2,0)</f>
        <v>#N/A</v>
      </c>
      <c r="V119" s="270" t="e">
        <f>INDEX([71]Listas!$F$6:$J$10,MATCH(Q119,[71]Listas!$D$6:$D$10,0),MATCH(R119,[71]Listas!$F$4:$J$4,0))</f>
        <v>#N/A</v>
      </c>
      <c r="W119" s="268"/>
      <c r="X119" s="1399"/>
      <c r="Y119" s="1408"/>
      <c r="Z119" s="1400"/>
      <c r="AA119" s="1063"/>
      <c r="AB119" s="267"/>
      <c r="AC119" s="259"/>
      <c r="AD119" s="1042"/>
      <c r="AE119" s="267"/>
      <c r="AF119" s="268"/>
      <c r="AG119" s="269">
        <f t="shared" si="12"/>
        <v>0</v>
      </c>
      <c r="AH119" s="271" t="e">
        <f t="shared" si="13"/>
        <v>#N/A</v>
      </c>
      <c r="AI119" s="272" t="e">
        <f>IF(AH119&lt;=1,"Remota",VLOOKUP(AH119,[71]Listas!$C$6:$D$10,2,0))</f>
        <v>#N/A</v>
      </c>
      <c r="AJ119" s="271" t="e">
        <f t="shared" si="14"/>
        <v>#N/A</v>
      </c>
      <c r="AK119" s="272" t="e">
        <f>IF(AJ119&lt;=1,"Insignificante",HLOOKUP(AJ119,[71]Listas!$F$3:$J$4,2,0))</f>
        <v>#N/A</v>
      </c>
      <c r="AL119" s="273" t="e">
        <f t="shared" si="15"/>
        <v>#N/A</v>
      </c>
      <c r="AM119" s="270" t="e">
        <f>INDEX([71]Listas!$F$6:$J$10,MATCH(AI119,[71]Listas!$D$6:$D$10,0),MATCH(AK119,[71]Listas!$F$4:$J$4,0))</f>
        <v>#N/A</v>
      </c>
      <c r="AN119" s="259"/>
      <c r="AO119" s="259"/>
      <c r="AP119" s="1044"/>
      <c r="AQ119" s="259"/>
      <c r="AR119" s="259" t="s">
        <v>2877</v>
      </c>
      <c r="AS119" s="1042"/>
      <c r="AT119" s="259"/>
      <c r="AU119" s="259"/>
      <c r="AV119" s="261"/>
      <c r="AW119" s="261"/>
      <c r="AX119" s="1042"/>
      <c r="AY119" s="262"/>
    </row>
    <row r="120" spans="1:51" s="260" customFormat="1" ht="103.5" hidden="1" customHeight="1">
      <c r="A120" s="1042"/>
      <c r="B120" s="266"/>
      <c r="C120" s="1399"/>
      <c r="D120" s="1408"/>
      <c r="E120" s="1400"/>
      <c r="F120" s="267"/>
      <c r="G120" s="1399"/>
      <c r="H120" s="1408"/>
      <c r="I120" s="1400"/>
      <c r="J120" s="1380"/>
      <c r="K120" s="1380"/>
      <c r="L120" s="1380"/>
      <c r="M120" s="1042"/>
      <c r="N120" s="1042"/>
      <c r="O120" s="1042"/>
      <c r="P120" s="1042"/>
      <c r="Q120" s="266"/>
      <c r="R120" s="266"/>
      <c r="S120" s="268"/>
      <c r="T120" s="269" t="e">
        <f>VLOOKUP(Q120,[71]Listas!$D$6:$E$10,2,0)</f>
        <v>#N/A</v>
      </c>
      <c r="U120" s="269" t="e">
        <f>HLOOKUP(R120,[71]Listas!$F$4:$J$5,2,0)</f>
        <v>#N/A</v>
      </c>
      <c r="V120" s="270" t="e">
        <f>INDEX([71]Listas!$F$6:$J$10,MATCH(Q120,[71]Listas!$D$6:$D$10,0),MATCH(R120,[71]Listas!$F$4:$J$4,0))</f>
        <v>#N/A</v>
      </c>
      <c r="W120" s="268"/>
      <c r="X120" s="1399"/>
      <c r="Y120" s="1408"/>
      <c r="Z120" s="1400"/>
      <c r="AA120" s="1063"/>
      <c r="AB120" s="267"/>
      <c r="AC120" s="259"/>
      <c r="AD120" s="1042"/>
      <c r="AE120" s="267"/>
      <c r="AF120" s="268"/>
      <c r="AG120" s="269">
        <f t="shared" si="12"/>
        <v>0</v>
      </c>
      <c r="AH120" s="271" t="e">
        <f t="shared" si="13"/>
        <v>#N/A</v>
      </c>
      <c r="AI120" s="272" t="e">
        <f>IF(AH120&lt;=1,"Remota",VLOOKUP(AH120,[71]Listas!$C$6:$D$10,2,0))</f>
        <v>#N/A</v>
      </c>
      <c r="AJ120" s="271" t="e">
        <f t="shared" si="14"/>
        <v>#N/A</v>
      </c>
      <c r="AK120" s="272" t="e">
        <f>IF(AJ120&lt;=1,"Insignificante",HLOOKUP(AJ120,[71]Listas!$F$3:$J$4,2,0))</f>
        <v>#N/A</v>
      </c>
      <c r="AL120" s="273" t="e">
        <f t="shared" si="15"/>
        <v>#N/A</v>
      </c>
      <c r="AM120" s="270" t="e">
        <f>INDEX([71]Listas!$F$6:$J$10,MATCH(AI120,[71]Listas!$D$6:$D$10,0),MATCH(AK120,[71]Listas!$F$4:$J$4,0))</f>
        <v>#N/A</v>
      </c>
      <c r="AN120" s="259"/>
      <c r="AO120" s="259"/>
      <c r="AP120" s="1044"/>
      <c r="AQ120" s="259"/>
      <c r="AR120" s="259" t="s">
        <v>2877</v>
      </c>
      <c r="AS120" s="1042"/>
      <c r="AT120" s="259"/>
      <c r="AU120" s="259"/>
      <c r="AV120" s="261"/>
      <c r="AW120" s="261"/>
      <c r="AX120" s="1042"/>
      <c r="AY120" s="262"/>
    </row>
    <row r="121" spans="1:51" s="260" customFormat="1" ht="103.5" hidden="1" customHeight="1">
      <c r="A121" s="1042"/>
      <c r="B121" s="266"/>
      <c r="C121" s="1399"/>
      <c r="D121" s="1408"/>
      <c r="E121" s="1400"/>
      <c r="F121" s="267"/>
      <c r="G121" s="1399"/>
      <c r="H121" s="1408"/>
      <c r="I121" s="1400"/>
      <c r="J121" s="1380"/>
      <c r="K121" s="1380"/>
      <c r="L121" s="1380"/>
      <c r="M121" s="1042"/>
      <c r="N121" s="1042"/>
      <c r="O121" s="1042"/>
      <c r="P121" s="1042"/>
      <c r="Q121" s="266"/>
      <c r="R121" s="266"/>
      <c r="S121" s="268"/>
      <c r="T121" s="269" t="e">
        <f>VLOOKUP(Q121,[71]Listas!$D$6:$E$10,2,0)</f>
        <v>#N/A</v>
      </c>
      <c r="U121" s="269" t="e">
        <f>HLOOKUP(R121,[71]Listas!$F$4:$J$5,2,0)</f>
        <v>#N/A</v>
      </c>
      <c r="V121" s="270" t="e">
        <f>INDEX([71]Listas!$F$6:$J$10,MATCH(Q121,[71]Listas!$D$6:$D$10,0),MATCH(R121,[71]Listas!$F$4:$J$4,0))</f>
        <v>#N/A</v>
      </c>
      <c r="W121" s="268"/>
      <c r="X121" s="1399"/>
      <c r="Y121" s="1408"/>
      <c r="Z121" s="1400"/>
      <c r="AA121" s="1063"/>
      <c r="AB121" s="267"/>
      <c r="AC121" s="259"/>
      <c r="AD121" s="1042"/>
      <c r="AE121" s="267"/>
      <c r="AF121" s="268"/>
      <c r="AG121" s="269">
        <f t="shared" si="12"/>
        <v>0</v>
      </c>
      <c r="AH121" s="271" t="e">
        <f t="shared" si="13"/>
        <v>#N/A</v>
      </c>
      <c r="AI121" s="272" t="e">
        <f>IF(AH121&lt;=1,"Remota",VLOOKUP(AH121,[71]Listas!$C$6:$D$10,2,0))</f>
        <v>#N/A</v>
      </c>
      <c r="AJ121" s="271" t="e">
        <f t="shared" si="14"/>
        <v>#N/A</v>
      </c>
      <c r="AK121" s="272" t="e">
        <f>IF(AJ121&lt;=1,"Insignificante",HLOOKUP(AJ121,[71]Listas!$F$3:$J$4,2,0))</f>
        <v>#N/A</v>
      </c>
      <c r="AL121" s="273" t="e">
        <f t="shared" si="15"/>
        <v>#N/A</v>
      </c>
      <c r="AM121" s="270" t="e">
        <f>INDEX([71]Listas!$F$6:$J$10,MATCH(AI121,[71]Listas!$D$6:$D$10,0),MATCH(AK121,[71]Listas!$F$4:$J$4,0))</f>
        <v>#N/A</v>
      </c>
      <c r="AN121" s="259"/>
      <c r="AO121" s="259"/>
      <c r="AP121" s="1044"/>
      <c r="AQ121" s="259"/>
      <c r="AR121" s="259" t="s">
        <v>2877</v>
      </c>
      <c r="AS121" s="1042"/>
      <c r="AT121" s="259"/>
      <c r="AU121" s="259"/>
      <c r="AV121" s="261"/>
      <c r="AW121" s="261"/>
      <c r="AX121" s="1042"/>
      <c r="AY121" s="262"/>
    </row>
    <row r="122" spans="1:51" s="260" customFormat="1" ht="103.5" hidden="1" customHeight="1">
      <c r="A122" s="1042"/>
      <c r="B122" s="266"/>
      <c r="C122" s="1399"/>
      <c r="D122" s="1408"/>
      <c r="E122" s="1400"/>
      <c r="F122" s="267"/>
      <c r="G122" s="1399"/>
      <c r="H122" s="1408"/>
      <c r="I122" s="1400"/>
      <c r="J122" s="1380"/>
      <c r="K122" s="1380"/>
      <c r="L122" s="1380"/>
      <c r="M122" s="1042"/>
      <c r="N122" s="1042"/>
      <c r="O122" s="1042"/>
      <c r="P122" s="1042"/>
      <c r="Q122" s="266"/>
      <c r="R122" s="266"/>
      <c r="S122" s="268"/>
      <c r="T122" s="269" t="e">
        <f>VLOOKUP(Q122,[71]Listas!$D$6:$E$10,2,0)</f>
        <v>#N/A</v>
      </c>
      <c r="U122" s="269" t="e">
        <f>HLOOKUP(R122,[71]Listas!$F$4:$J$5,2,0)</f>
        <v>#N/A</v>
      </c>
      <c r="V122" s="270" t="e">
        <f>INDEX([71]Listas!$F$6:$J$10,MATCH(Q122,[71]Listas!$D$6:$D$10,0),MATCH(R122,[71]Listas!$F$4:$J$4,0))</f>
        <v>#N/A</v>
      </c>
      <c r="W122" s="268"/>
      <c r="X122" s="1399"/>
      <c r="Y122" s="1408"/>
      <c r="Z122" s="1400"/>
      <c r="AA122" s="1063"/>
      <c r="AB122" s="267"/>
      <c r="AC122" s="259"/>
      <c r="AD122" s="1042"/>
      <c r="AE122" s="267"/>
      <c r="AF122" s="268"/>
      <c r="AG122" s="269">
        <f t="shared" si="12"/>
        <v>0</v>
      </c>
      <c r="AH122" s="271" t="e">
        <f t="shared" si="13"/>
        <v>#N/A</v>
      </c>
      <c r="AI122" s="272" t="e">
        <f>IF(AH122&lt;=1,"Remota",VLOOKUP(AH122,[71]Listas!$C$6:$D$10,2,0))</f>
        <v>#N/A</v>
      </c>
      <c r="AJ122" s="271" t="e">
        <f t="shared" si="14"/>
        <v>#N/A</v>
      </c>
      <c r="AK122" s="272" t="e">
        <f>IF(AJ122&lt;=1,"Insignificante",HLOOKUP(AJ122,[71]Listas!$F$3:$J$4,2,0))</f>
        <v>#N/A</v>
      </c>
      <c r="AL122" s="273" t="e">
        <f t="shared" si="15"/>
        <v>#N/A</v>
      </c>
      <c r="AM122" s="270" t="e">
        <f>INDEX([71]Listas!$F$6:$J$10,MATCH(AI122,[71]Listas!$D$6:$D$10,0),MATCH(AK122,[71]Listas!$F$4:$J$4,0))</f>
        <v>#N/A</v>
      </c>
      <c r="AN122" s="259"/>
      <c r="AO122" s="259"/>
      <c r="AP122" s="1044"/>
      <c r="AQ122" s="259"/>
      <c r="AR122" s="259" t="s">
        <v>2877</v>
      </c>
      <c r="AS122" s="1042"/>
      <c r="AT122" s="259"/>
      <c r="AU122" s="259"/>
      <c r="AV122" s="261"/>
      <c r="AW122" s="261"/>
      <c r="AX122" s="1042"/>
      <c r="AY122" s="262"/>
    </row>
    <row r="123" spans="1:51" s="260" customFormat="1" ht="103.5" hidden="1" customHeight="1">
      <c r="A123" s="1042"/>
      <c r="B123" s="266"/>
      <c r="C123" s="1399"/>
      <c r="D123" s="1408"/>
      <c r="E123" s="1400"/>
      <c r="F123" s="267"/>
      <c r="G123" s="1399"/>
      <c r="H123" s="1408"/>
      <c r="I123" s="1400"/>
      <c r="J123" s="1380"/>
      <c r="K123" s="1380"/>
      <c r="L123" s="1380"/>
      <c r="M123" s="1042"/>
      <c r="N123" s="1042"/>
      <c r="O123" s="1042"/>
      <c r="P123" s="1042"/>
      <c r="Q123" s="266"/>
      <c r="R123" s="266"/>
      <c r="S123" s="268"/>
      <c r="T123" s="269" t="e">
        <f>VLOOKUP(Q123,[71]Listas!$D$6:$E$10,2,0)</f>
        <v>#N/A</v>
      </c>
      <c r="U123" s="269" t="e">
        <f>HLOOKUP(R123,[71]Listas!$F$4:$J$5,2,0)</f>
        <v>#N/A</v>
      </c>
      <c r="V123" s="270" t="e">
        <f>INDEX([71]Listas!$F$6:$J$10,MATCH(Q123,[71]Listas!$D$6:$D$10,0),MATCH(R123,[71]Listas!$F$4:$J$4,0))</f>
        <v>#N/A</v>
      </c>
      <c r="W123" s="268"/>
      <c r="X123" s="1399"/>
      <c r="Y123" s="1408"/>
      <c r="Z123" s="1400"/>
      <c r="AA123" s="1063"/>
      <c r="AB123" s="267"/>
      <c r="AC123" s="259"/>
      <c r="AD123" s="1042"/>
      <c r="AE123" s="267"/>
      <c r="AF123" s="268"/>
      <c r="AG123" s="269">
        <f t="shared" si="12"/>
        <v>0</v>
      </c>
      <c r="AH123" s="271" t="e">
        <f t="shared" si="13"/>
        <v>#N/A</v>
      </c>
      <c r="AI123" s="272" t="e">
        <f>IF(AH123&lt;=1,"Remota",VLOOKUP(AH123,[71]Listas!$C$6:$D$10,2,0))</f>
        <v>#N/A</v>
      </c>
      <c r="AJ123" s="271" t="e">
        <f t="shared" si="14"/>
        <v>#N/A</v>
      </c>
      <c r="AK123" s="272" t="e">
        <f>IF(AJ123&lt;=1,"Insignificante",HLOOKUP(AJ123,[71]Listas!$F$3:$J$4,2,0))</f>
        <v>#N/A</v>
      </c>
      <c r="AL123" s="273" t="e">
        <f t="shared" si="15"/>
        <v>#N/A</v>
      </c>
      <c r="AM123" s="270" t="e">
        <f>INDEX([71]Listas!$F$6:$J$10,MATCH(AI123,[71]Listas!$D$6:$D$10,0),MATCH(AK123,[71]Listas!$F$4:$J$4,0))</f>
        <v>#N/A</v>
      </c>
      <c r="AN123" s="259"/>
      <c r="AO123" s="259"/>
      <c r="AP123" s="1044"/>
      <c r="AQ123" s="259"/>
      <c r="AR123" s="259" t="s">
        <v>2877</v>
      </c>
      <c r="AS123" s="1042"/>
      <c r="AT123" s="259"/>
      <c r="AU123" s="259"/>
      <c r="AV123" s="261"/>
      <c r="AW123" s="261"/>
      <c r="AX123" s="1042"/>
      <c r="AY123" s="262"/>
    </row>
    <row r="124" spans="1:51" s="260" customFormat="1" ht="103.5" hidden="1" customHeight="1">
      <c r="A124" s="1042"/>
      <c r="B124" s="266"/>
      <c r="C124" s="1399"/>
      <c r="D124" s="1408"/>
      <c r="E124" s="1400"/>
      <c r="F124" s="267"/>
      <c r="G124" s="1399"/>
      <c r="H124" s="1408"/>
      <c r="I124" s="1400"/>
      <c r="J124" s="1380"/>
      <c r="K124" s="1380"/>
      <c r="L124" s="1380"/>
      <c r="M124" s="1042"/>
      <c r="N124" s="1042"/>
      <c r="O124" s="1042"/>
      <c r="P124" s="1042"/>
      <c r="Q124" s="266"/>
      <c r="R124" s="266"/>
      <c r="S124" s="268"/>
      <c r="T124" s="269" t="e">
        <f>VLOOKUP(Q124,[71]Listas!$D$6:$E$10,2,0)</f>
        <v>#N/A</v>
      </c>
      <c r="U124" s="269" t="e">
        <f>HLOOKUP(R124,[71]Listas!$F$4:$J$5,2,0)</f>
        <v>#N/A</v>
      </c>
      <c r="V124" s="270" t="e">
        <f>INDEX([71]Listas!$F$6:$J$10,MATCH(Q124,[71]Listas!$D$6:$D$10,0),MATCH(R124,[71]Listas!$F$4:$J$4,0))</f>
        <v>#N/A</v>
      </c>
      <c r="W124" s="268"/>
      <c r="X124" s="1399"/>
      <c r="Y124" s="1408"/>
      <c r="Z124" s="1400"/>
      <c r="AA124" s="1063"/>
      <c r="AB124" s="267"/>
      <c r="AC124" s="259"/>
      <c r="AD124" s="1042"/>
      <c r="AE124" s="267"/>
      <c r="AF124" s="268"/>
      <c r="AG124" s="269">
        <f t="shared" si="12"/>
        <v>0</v>
      </c>
      <c r="AH124" s="271" t="e">
        <f t="shared" si="13"/>
        <v>#N/A</v>
      </c>
      <c r="AI124" s="272" t="e">
        <f>IF(AH124&lt;=1,"Remota",VLOOKUP(AH124,[71]Listas!$C$6:$D$10,2,0))</f>
        <v>#N/A</v>
      </c>
      <c r="AJ124" s="271" t="e">
        <f t="shared" si="14"/>
        <v>#N/A</v>
      </c>
      <c r="AK124" s="272" t="e">
        <f>IF(AJ124&lt;=1,"Insignificante",HLOOKUP(AJ124,[71]Listas!$F$3:$J$4,2,0))</f>
        <v>#N/A</v>
      </c>
      <c r="AL124" s="273" t="e">
        <f t="shared" si="15"/>
        <v>#N/A</v>
      </c>
      <c r="AM124" s="270" t="e">
        <f>INDEX([71]Listas!$F$6:$J$10,MATCH(AI124,[71]Listas!$D$6:$D$10,0),MATCH(AK124,[71]Listas!$F$4:$J$4,0))</f>
        <v>#N/A</v>
      </c>
      <c r="AN124" s="259"/>
      <c r="AO124" s="259"/>
      <c r="AP124" s="1044"/>
      <c r="AQ124" s="259"/>
      <c r="AR124" s="259" t="s">
        <v>2877</v>
      </c>
      <c r="AS124" s="1042"/>
      <c r="AT124" s="259"/>
      <c r="AU124" s="259"/>
      <c r="AV124" s="261"/>
      <c r="AW124" s="261"/>
      <c r="AX124" s="1042"/>
      <c r="AY124" s="262"/>
    </row>
    <row r="125" spans="1:51" s="260" customFormat="1" ht="103.5" hidden="1" customHeight="1">
      <c r="A125" s="1042"/>
      <c r="B125" s="266"/>
      <c r="C125" s="1399"/>
      <c r="D125" s="1408"/>
      <c r="E125" s="1400"/>
      <c r="F125" s="267"/>
      <c r="G125" s="1399"/>
      <c r="H125" s="1408"/>
      <c r="I125" s="1400"/>
      <c r="J125" s="1380"/>
      <c r="K125" s="1380"/>
      <c r="L125" s="1380"/>
      <c r="M125" s="1042"/>
      <c r="N125" s="1042"/>
      <c r="O125" s="1042"/>
      <c r="P125" s="1042"/>
      <c r="Q125" s="266"/>
      <c r="R125" s="266"/>
      <c r="S125" s="268"/>
      <c r="T125" s="269" t="e">
        <f>VLOOKUP(Q125,[71]Listas!$D$6:$E$10,2,0)</f>
        <v>#N/A</v>
      </c>
      <c r="U125" s="269" t="e">
        <f>HLOOKUP(R125,[71]Listas!$F$4:$J$5,2,0)</f>
        <v>#N/A</v>
      </c>
      <c r="V125" s="270" t="e">
        <f>INDEX([71]Listas!$F$6:$J$10,MATCH(Q125,[71]Listas!$D$6:$D$10,0),MATCH(R125,[71]Listas!$F$4:$J$4,0))</f>
        <v>#N/A</v>
      </c>
      <c r="W125" s="268"/>
      <c r="X125" s="1399"/>
      <c r="Y125" s="1408"/>
      <c r="Z125" s="1400"/>
      <c r="AA125" s="1063"/>
      <c r="AB125" s="267"/>
      <c r="AC125" s="259"/>
      <c r="AD125" s="1042"/>
      <c r="AE125" s="267"/>
      <c r="AF125" s="268"/>
      <c r="AG125" s="269">
        <f t="shared" si="12"/>
        <v>0</v>
      </c>
      <c r="AH125" s="271" t="e">
        <f t="shared" si="13"/>
        <v>#N/A</v>
      </c>
      <c r="AI125" s="272" t="e">
        <f>IF(AH125&lt;=1,"Remota",VLOOKUP(AH125,[71]Listas!$C$6:$D$10,2,0))</f>
        <v>#N/A</v>
      </c>
      <c r="AJ125" s="271" t="e">
        <f t="shared" si="14"/>
        <v>#N/A</v>
      </c>
      <c r="AK125" s="272" t="e">
        <f>IF(AJ125&lt;=1,"Insignificante",HLOOKUP(AJ125,[71]Listas!$F$3:$J$4,2,0))</f>
        <v>#N/A</v>
      </c>
      <c r="AL125" s="273" t="e">
        <f t="shared" si="15"/>
        <v>#N/A</v>
      </c>
      <c r="AM125" s="270" t="e">
        <f>INDEX([71]Listas!$F$6:$J$10,MATCH(AI125,[71]Listas!$D$6:$D$10,0),MATCH(AK125,[71]Listas!$F$4:$J$4,0))</f>
        <v>#N/A</v>
      </c>
      <c r="AN125" s="259"/>
      <c r="AO125" s="259"/>
      <c r="AP125" s="1044"/>
      <c r="AQ125" s="259"/>
      <c r="AR125" s="259" t="s">
        <v>2877</v>
      </c>
      <c r="AS125" s="1042"/>
      <c r="AT125" s="259"/>
      <c r="AU125" s="259"/>
      <c r="AV125" s="261"/>
      <c r="AW125" s="261"/>
      <c r="AX125" s="1042"/>
      <c r="AY125" s="262"/>
    </row>
    <row r="126" spans="1:51" s="260" customFormat="1" ht="103.5" hidden="1" customHeight="1">
      <c r="A126" s="1042"/>
      <c r="B126" s="266"/>
      <c r="C126" s="1399"/>
      <c r="D126" s="1408"/>
      <c r="E126" s="1400"/>
      <c r="F126" s="267"/>
      <c r="G126" s="1399"/>
      <c r="H126" s="1408"/>
      <c r="I126" s="1400"/>
      <c r="J126" s="1380"/>
      <c r="K126" s="1380"/>
      <c r="L126" s="1380"/>
      <c r="M126" s="1042"/>
      <c r="N126" s="1042"/>
      <c r="O126" s="1042"/>
      <c r="P126" s="1042"/>
      <c r="Q126" s="266"/>
      <c r="R126" s="266"/>
      <c r="S126" s="268"/>
      <c r="T126" s="269" t="e">
        <f>VLOOKUP(Q126,[71]Listas!$D$6:$E$10,2,0)</f>
        <v>#N/A</v>
      </c>
      <c r="U126" s="269" t="e">
        <f>HLOOKUP(R126,[71]Listas!$F$4:$J$5,2,0)</f>
        <v>#N/A</v>
      </c>
      <c r="V126" s="270" t="e">
        <f>INDEX([71]Listas!$F$6:$J$10,MATCH(Q126,[71]Listas!$D$6:$D$10,0),MATCH(R126,[71]Listas!$F$4:$J$4,0))</f>
        <v>#N/A</v>
      </c>
      <c r="W126" s="268"/>
      <c r="X126" s="1399"/>
      <c r="Y126" s="1408"/>
      <c r="Z126" s="1400"/>
      <c r="AA126" s="1063"/>
      <c r="AB126" s="267"/>
      <c r="AC126" s="259"/>
      <c r="AD126" s="1042"/>
      <c r="AE126" s="267"/>
      <c r="AF126" s="268"/>
      <c r="AG126" s="269">
        <f t="shared" si="12"/>
        <v>0</v>
      </c>
      <c r="AH126" s="271" t="e">
        <f t="shared" si="13"/>
        <v>#N/A</v>
      </c>
      <c r="AI126" s="272" t="e">
        <f>IF(AH126&lt;=1,"Remota",VLOOKUP(AH126,[71]Listas!$C$6:$D$10,2,0))</f>
        <v>#N/A</v>
      </c>
      <c r="AJ126" s="271" t="e">
        <f t="shared" si="14"/>
        <v>#N/A</v>
      </c>
      <c r="AK126" s="272" t="e">
        <f>IF(AJ126&lt;=1,"Insignificante",HLOOKUP(AJ126,[71]Listas!$F$3:$J$4,2,0))</f>
        <v>#N/A</v>
      </c>
      <c r="AL126" s="273" t="e">
        <f t="shared" si="15"/>
        <v>#N/A</v>
      </c>
      <c r="AM126" s="270" t="e">
        <f>INDEX([71]Listas!$F$6:$J$10,MATCH(AI126,[71]Listas!$D$6:$D$10,0),MATCH(AK126,[71]Listas!$F$4:$J$4,0))</f>
        <v>#N/A</v>
      </c>
      <c r="AN126" s="259"/>
      <c r="AO126" s="259"/>
      <c r="AP126" s="1044"/>
      <c r="AQ126" s="259"/>
      <c r="AR126" s="259" t="s">
        <v>2877</v>
      </c>
      <c r="AS126" s="1042"/>
      <c r="AT126" s="259"/>
      <c r="AU126" s="259"/>
      <c r="AV126" s="261"/>
      <c r="AW126" s="261"/>
      <c r="AX126" s="1042"/>
      <c r="AY126" s="262"/>
    </row>
    <row r="127" spans="1:51" s="260" customFormat="1" ht="103.5" hidden="1" customHeight="1">
      <c r="A127" s="1042"/>
      <c r="B127" s="266"/>
      <c r="C127" s="1399"/>
      <c r="D127" s="1408"/>
      <c r="E127" s="1400"/>
      <c r="F127" s="267"/>
      <c r="G127" s="1399"/>
      <c r="H127" s="1408"/>
      <c r="I127" s="1400"/>
      <c r="J127" s="1380"/>
      <c r="K127" s="1380"/>
      <c r="L127" s="1380"/>
      <c r="M127" s="1042"/>
      <c r="N127" s="1042"/>
      <c r="O127" s="1042"/>
      <c r="P127" s="1042"/>
      <c r="Q127" s="266"/>
      <c r="R127" s="266"/>
      <c r="S127" s="268"/>
      <c r="T127" s="269" t="e">
        <f>VLOOKUP(Q127,[71]Listas!$D$6:$E$10,2,0)</f>
        <v>#N/A</v>
      </c>
      <c r="U127" s="269" t="e">
        <f>HLOOKUP(R127,[71]Listas!$F$4:$J$5,2,0)</f>
        <v>#N/A</v>
      </c>
      <c r="V127" s="270" t="e">
        <f>INDEX([71]Listas!$F$6:$J$10,MATCH(Q127,[71]Listas!$D$6:$D$10,0),MATCH(R127,[71]Listas!$F$4:$J$4,0))</f>
        <v>#N/A</v>
      </c>
      <c r="W127" s="268"/>
      <c r="X127" s="1399"/>
      <c r="Y127" s="1408"/>
      <c r="Z127" s="1400"/>
      <c r="AA127" s="1063"/>
      <c r="AB127" s="267"/>
      <c r="AC127" s="259"/>
      <c r="AD127" s="1042"/>
      <c r="AE127" s="267"/>
      <c r="AF127" s="268"/>
      <c r="AG127" s="269">
        <f t="shared" si="12"/>
        <v>0</v>
      </c>
      <c r="AH127" s="271" t="e">
        <f t="shared" si="13"/>
        <v>#N/A</v>
      </c>
      <c r="AI127" s="272" t="e">
        <f>IF(AH127&lt;=1,"Remota",VLOOKUP(AH127,[71]Listas!$C$6:$D$10,2,0))</f>
        <v>#N/A</v>
      </c>
      <c r="AJ127" s="271" t="e">
        <f t="shared" si="14"/>
        <v>#N/A</v>
      </c>
      <c r="AK127" s="272" t="e">
        <f>IF(AJ127&lt;=1,"Insignificante",HLOOKUP(AJ127,[71]Listas!$F$3:$J$4,2,0))</f>
        <v>#N/A</v>
      </c>
      <c r="AL127" s="273" t="e">
        <f t="shared" si="15"/>
        <v>#N/A</v>
      </c>
      <c r="AM127" s="270" t="e">
        <f>INDEX([71]Listas!$F$6:$J$10,MATCH(AI127,[71]Listas!$D$6:$D$10,0),MATCH(AK127,[71]Listas!$F$4:$J$4,0))</f>
        <v>#N/A</v>
      </c>
      <c r="AN127" s="259"/>
      <c r="AO127" s="259"/>
      <c r="AP127" s="1044"/>
      <c r="AQ127" s="259"/>
      <c r="AR127" s="259" t="s">
        <v>2877</v>
      </c>
      <c r="AS127" s="1042"/>
      <c r="AT127" s="259"/>
      <c r="AU127" s="259"/>
      <c r="AV127" s="261"/>
      <c r="AW127" s="261"/>
      <c r="AX127" s="1042"/>
      <c r="AY127" s="262"/>
    </row>
    <row r="128" spans="1:51" s="260" customFormat="1" ht="103.5" hidden="1" customHeight="1">
      <c r="A128" s="1042"/>
      <c r="B128" s="266"/>
      <c r="C128" s="1399"/>
      <c r="D128" s="1408"/>
      <c r="E128" s="1400"/>
      <c r="F128" s="267"/>
      <c r="G128" s="1399"/>
      <c r="H128" s="1408"/>
      <c r="I128" s="1400"/>
      <c r="J128" s="1380"/>
      <c r="K128" s="1380"/>
      <c r="L128" s="1380"/>
      <c r="M128" s="1042"/>
      <c r="N128" s="1042"/>
      <c r="O128" s="1042"/>
      <c r="P128" s="1042"/>
      <c r="Q128" s="266"/>
      <c r="R128" s="266"/>
      <c r="S128" s="268"/>
      <c r="T128" s="269" t="e">
        <f>VLOOKUP(Q128,[71]Listas!$D$6:$E$10,2,0)</f>
        <v>#N/A</v>
      </c>
      <c r="U128" s="269" t="e">
        <f>HLOOKUP(R128,[71]Listas!$F$4:$J$5,2,0)</f>
        <v>#N/A</v>
      </c>
      <c r="V128" s="270" t="e">
        <f>INDEX([71]Listas!$F$6:$J$10,MATCH(Q128,[71]Listas!$D$6:$D$10,0),MATCH(R128,[71]Listas!$F$4:$J$4,0))</f>
        <v>#N/A</v>
      </c>
      <c r="W128" s="268"/>
      <c r="X128" s="1399"/>
      <c r="Y128" s="1408"/>
      <c r="Z128" s="1400"/>
      <c r="AA128" s="1063"/>
      <c r="AB128" s="267"/>
      <c r="AC128" s="259"/>
      <c r="AD128" s="1042"/>
      <c r="AE128" s="267"/>
      <c r="AF128" s="268"/>
      <c r="AG128" s="269">
        <f t="shared" si="12"/>
        <v>0</v>
      </c>
      <c r="AH128" s="271" t="e">
        <f t="shared" si="13"/>
        <v>#N/A</v>
      </c>
      <c r="AI128" s="272" t="e">
        <f>IF(AH128&lt;=1,"Remota",VLOOKUP(AH128,[71]Listas!$C$6:$D$10,2,0))</f>
        <v>#N/A</v>
      </c>
      <c r="AJ128" s="271" t="e">
        <f t="shared" si="14"/>
        <v>#N/A</v>
      </c>
      <c r="AK128" s="272" t="e">
        <f>IF(AJ128&lt;=1,"Insignificante",HLOOKUP(AJ128,[71]Listas!$F$3:$J$4,2,0))</f>
        <v>#N/A</v>
      </c>
      <c r="AL128" s="273" t="e">
        <f t="shared" si="15"/>
        <v>#N/A</v>
      </c>
      <c r="AM128" s="270" t="e">
        <f>INDEX([71]Listas!$F$6:$J$10,MATCH(AI128,[71]Listas!$D$6:$D$10,0),MATCH(AK128,[71]Listas!$F$4:$J$4,0))</f>
        <v>#N/A</v>
      </c>
      <c r="AN128" s="259"/>
      <c r="AO128" s="259"/>
      <c r="AP128" s="1044"/>
      <c r="AQ128" s="259"/>
      <c r="AR128" s="259" t="s">
        <v>2877</v>
      </c>
      <c r="AS128" s="1042"/>
      <c r="AT128" s="259"/>
      <c r="AU128" s="259"/>
      <c r="AV128" s="261"/>
      <c r="AW128" s="261"/>
      <c r="AX128" s="1042"/>
      <c r="AY128" s="262"/>
    </row>
    <row r="129" spans="1:51" s="260" customFormat="1" ht="103.5" hidden="1" customHeight="1">
      <c r="A129" s="1042"/>
      <c r="B129" s="266"/>
      <c r="C129" s="1399"/>
      <c r="D129" s="1408"/>
      <c r="E129" s="1400"/>
      <c r="F129" s="267"/>
      <c r="G129" s="1399"/>
      <c r="H129" s="1408"/>
      <c r="I129" s="1400"/>
      <c r="J129" s="1380"/>
      <c r="K129" s="1380"/>
      <c r="L129" s="1380"/>
      <c r="M129" s="1042"/>
      <c r="N129" s="1042"/>
      <c r="O129" s="1042"/>
      <c r="P129" s="1042"/>
      <c r="Q129" s="266"/>
      <c r="R129" s="266"/>
      <c r="S129" s="268"/>
      <c r="T129" s="269" t="e">
        <f>VLOOKUP(Q129,[71]Listas!$D$6:$E$10,2,0)</f>
        <v>#N/A</v>
      </c>
      <c r="U129" s="269" t="e">
        <f>HLOOKUP(R129,[71]Listas!$F$4:$J$5,2,0)</f>
        <v>#N/A</v>
      </c>
      <c r="V129" s="270" t="e">
        <f>INDEX([71]Listas!$F$6:$J$10,MATCH(Q129,[71]Listas!$D$6:$D$10,0),MATCH(R129,[71]Listas!$F$4:$J$4,0))</f>
        <v>#N/A</v>
      </c>
      <c r="W129" s="268"/>
      <c r="X129" s="1399"/>
      <c r="Y129" s="1408"/>
      <c r="Z129" s="1400"/>
      <c r="AA129" s="1063"/>
      <c r="AB129" s="267"/>
      <c r="AC129" s="259"/>
      <c r="AD129" s="1042"/>
      <c r="AE129" s="267"/>
      <c r="AF129" s="268"/>
      <c r="AG129" s="269">
        <f t="shared" si="12"/>
        <v>0</v>
      </c>
      <c r="AH129" s="271" t="e">
        <f t="shared" si="13"/>
        <v>#N/A</v>
      </c>
      <c r="AI129" s="272" t="e">
        <f>IF(AH129&lt;=1,"Remota",VLOOKUP(AH129,[71]Listas!$C$6:$D$10,2,0))</f>
        <v>#N/A</v>
      </c>
      <c r="AJ129" s="271" t="e">
        <f t="shared" si="14"/>
        <v>#N/A</v>
      </c>
      <c r="AK129" s="272" t="e">
        <f>IF(AJ129&lt;=1,"Insignificante",HLOOKUP(AJ129,[71]Listas!$F$3:$J$4,2,0))</f>
        <v>#N/A</v>
      </c>
      <c r="AL129" s="273" t="e">
        <f t="shared" si="15"/>
        <v>#N/A</v>
      </c>
      <c r="AM129" s="270" t="e">
        <f>INDEX([71]Listas!$F$6:$J$10,MATCH(AI129,[71]Listas!$D$6:$D$10,0),MATCH(AK129,[71]Listas!$F$4:$J$4,0))</f>
        <v>#N/A</v>
      </c>
      <c r="AN129" s="259"/>
      <c r="AO129" s="259"/>
      <c r="AP129" s="1044"/>
      <c r="AQ129" s="259"/>
      <c r="AR129" s="259" t="s">
        <v>2877</v>
      </c>
      <c r="AS129" s="1042"/>
      <c r="AT129" s="259"/>
      <c r="AU129" s="259"/>
      <c r="AV129" s="261"/>
      <c r="AW129" s="261"/>
      <c r="AX129" s="1042"/>
      <c r="AY129" s="262"/>
    </row>
    <row r="130" spans="1:51" s="260" customFormat="1" ht="103.5" hidden="1" customHeight="1">
      <c r="A130" s="1042"/>
      <c r="B130" s="266"/>
      <c r="C130" s="1399"/>
      <c r="D130" s="1408"/>
      <c r="E130" s="1400"/>
      <c r="F130" s="267"/>
      <c r="G130" s="1399"/>
      <c r="H130" s="1408"/>
      <c r="I130" s="1400"/>
      <c r="J130" s="1380"/>
      <c r="K130" s="1380"/>
      <c r="L130" s="1380"/>
      <c r="M130" s="1042"/>
      <c r="N130" s="1042"/>
      <c r="O130" s="1042"/>
      <c r="P130" s="1042"/>
      <c r="Q130" s="266"/>
      <c r="R130" s="266"/>
      <c r="S130" s="268"/>
      <c r="T130" s="269" t="e">
        <f>VLOOKUP(Q130,[71]Listas!$D$6:$E$10,2,0)</f>
        <v>#N/A</v>
      </c>
      <c r="U130" s="269" t="e">
        <f>HLOOKUP(R130,[71]Listas!$F$4:$J$5,2,0)</f>
        <v>#N/A</v>
      </c>
      <c r="V130" s="270" t="e">
        <f>INDEX([71]Listas!$F$6:$J$10,MATCH(Q130,[71]Listas!$D$6:$D$10,0),MATCH(R130,[71]Listas!$F$4:$J$4,0))</f>
        <v>#N/A</v>
      </c>
      <c r="W130" s="268"/>
      <c r="X130" s="1399"/>
      <c r="Y130" s="1408"/>
      <c r="Z130" s="1400"/>
      <c r="AA130" s="1063"/>
      <c r="AB130" s="267"/>
      <c r="AC130" s="259"/>
      <c r="AD130" s="1042"/>
      <c r="AE130" s="267"/>
      <c r="AF130" s="268"/>
      <c r="AG130" s="269">
        <f t="shared" si="12"/>
        <v>0</v>
      </c>
      <c r="AH130" s="271" t="e">
        <f t="shared" si="13"/>
        <v>#N/A</v>
      </c>
      <c r="AI130" s="272" t="e">
        <f>IF(AH130&lt;=1,"Remota",VLOOKUP(AH130,[71]Listas!$C$6:$D$10,2,0))</f>
        <v>#N/A</v>
      </c>
      <c r="AJ130" s="271" t="e">
        <f t="shared" si="14"/>
        <v>#N/A</v>
      </c>
      <c r="AK130" s="272" t="e">
        <f>IF(AJ130&lt;=1,"Insignificante",HLOOKUP(AJ130,[71]Listas!$F$3:$J$4,2,0))</f>
        <v>#N/A</v>
      </c>
      <c r="AL130" s="273" t="e">
        <f t="shared" si="15"/>
        <v>#N/A</v>
      </c>
      <c r="AM130" s="270" t="e">
        <f>INDEX([71]Listas!$F$6:$J$10,MATCH(AI130,[71]Listas!$D$6:$D$10,0),MATCH(AK130,[71]Listas!$F$4:$J$4,0))</f>
        <v>#N/A</v>
      </c>
      <c r="AN130" s="259"/>
      <c r="AO130" s="259"/>
      <c r="AP130" s="1044"/>
      <c r="AQ130" s="259"/>
      <c r="AR130" s="259" t="s">
        <v>2877</v>
      </c>
      <c r="AS130" s="1042"/>
      <c r="AT130" s="259"/>
      <c r="AU130" s="259"/>
      <c r="AV130" s="261"/>
      <c r="AW130" s="261"/>
      <c r="AX130" s="1042"/>
      <c r="AY130" s="262"/>
    </row>
    <row r="131" spans="1:51" s="260" customFormat="1" ht="103.5" hidden="1" customHeight="1">
      <c r="A131" s="1042"/>
      <c r="B131" s="266"/>
      <c r="C131" s="1399"/>
      <c r="D131" s="1408"/>
      <c r="E131" s="1400"/>
      <c r="F131" s="267"/>
      <c r="G131" s="1399"/>
      <c r="H131" s="1408"/>
      <c r="I131" s="1400"/>
      <c r="J131" s="1380"/>
      <c r="K131" s="1380"/>
      <c r="L131" s="1380"/>
      <c r="M131" s="1042"/>
      <c r="N131" s="1042"/>
      <c r="O131" s="1042"/>
      <c r="P131" s="1042"/>
      <c r="Q131" s="266"/>
      <c r="R131" s="266"/>
      <c r="S131" s="268"/>
      <c r="T131" s="269" t="e">
        <f>VLOOKUP(Q131,[71]Listas!$D$6:$E$10,2,0)</f>
        <v>#N/A</v>
      </c>
      <c r="U131" s="269" t="e">
        <f>HLOOKUP(R131,[71]Listas!$F$4:$J$5,2,0)</f>
        <v>#N/A</v>
      </c>
      <c r="V131" s="270" t="e">
        <f>INDEX([71]Listas!$F$6:$J$10,MATCH(Q131,[71]Listas!$D$6:$D$10,0),MATCH(R131,[71]Listas!$F$4:$J$4,0))</f>
        <v>#N/A</v>
      </c>
      <c r="W131" s="268"/>
      <c r="X131" s="1399"/>
      <c r="Y131" s="1408"/>
      <c r="Z131" s="1400"/>
      <c r="AA131" s="1063"/>
      <c r="AB131" s="267"/>
      <c r="AC131" s="259"/>
      <c r="AD131" s="1042"/>
      <c r="AE131" s="267"/>
      <c r="AF131" s="268"/>
      <c r="AG131" s="269">
        <f t="shared" si="12"/>
        <v>0</v>
      </c>
      <c r="AH131" s="271" t="e">
        <f t="shared" si="13"/>
        <v>#N/A</v>
      </c>
      <c r="AI131" s="272" t="e">
        <f>IF(AH131&lt;=1,"Remota",VLOOKUP(AH131,[71]Listas!$C$6:$D$10,2,0))</f>
        <v>#N/A</v>
      </c>
      <c r="AJ131" s="271" t="e">
        <f t="shared" si="14"/>
        <v>#N/A</v>
      </c>
      <c r="AK131" s="272" t="e">
        <f>IF(AJ131&lt;=1,"Insignificante",HLOOKUP(AJ131,[71]Listas!$F$3:$J$4,2,0))</f>
        <v>#N/A</v>
      </c>
      <c r="AL131" s="273" t="e">
        <f t="shared" si="15"/>
        <v>#N/A</v>
      </c>
      <c r="AM131" s="270" t="e">
        <f>INDEX([71]Listas!$F$6:$J$10,MATCH(AI131,[71]Listas!$D$6:$D$10,0),MATCH(AK131,[71]Listas!$F$4:$J$4,0))</f>
        <v>#N/A</v>
      </c>
      <c r="AN131" s="259"/>
      <c r="AO131" s="259"/>
      <c r="AP131" s="1044"/>
      <c r="AQ131" s="259"/>
      <c r="AR131" s="259" t="s">
        <v>2877</v>
      </c>
      <c r="AS131" s="1042"/>
      <c r="AT131" s="259"/>
      <c r="AU131" s="259"/>
      <c r="AV131" s="261"/>
      <c r="AW131" s="261"/>
      <c r="AX131" s="1042"/>
      <c r="AY131" s="262"/>
    </row>
    <row r="132" spans="1:51" s="260" customFormat="1" ht="103.5" hidden="1" customHeight="1">
      <c r="A132" s="1042"/>
      <c r="B132" s="266"/>
      <c r="C132" s="1399"/>
      <c r="D132" s="1408"/>
      <c r="E132" s="1400"/>
      <c r="F132" s="267"/>
      <c r="G132" s="1399"/>
      <c r="H132" s="1408"/>
      <c r="I132" s="1400"/>
      <c r="J132" s="1380"/>
      <c r="K132" s="1380"/>
      <c r="L132" s="1380"/>
      <c r="M132" s="1042"/>
      <c r="N132" s="1042"/>
      <c r="O132" s="1042"/>
      <c r="P132" s="1042"/>
      <c r="Q132" s="266"/>
      <c r="R132" s="266"/>
      <c r="S132" s="268"/>
      <c r="T132" s="269" t="e">
        <f>VLOOKUP(Q132,[71]Listas!$D$6:$E$10,2,0)</f>
        <v>#N/A</v>
      </c>
      <c r="U132" s="269" t="e">
        <f>HLOOKUP(R132,[71]Listas!$F$4:$J$5,2,0)</f>
        <v>#N/A</v>
      </c>
      <c r="V132" s="270" t="e">
        <f>INDEX([71]Listas!$F$6:$J$10,MATCH(Q132,[71]Listas!$D$6:$D$10,0),MATCH(R132,[71]Listas!$F$4:$J$4,0))</f>
        <v>#N/A</v>
      </c>
      <c r="W132" s="268"/>
      <c r="X132" s="1399"/>
      <c r="Y132" s="1408"/>
      <c r="Z132" s="1400"/>
      <c r="AA132" s="1063"/>
      <c r="AB132" s="267"/>
      <c r="AC132" s="259"/>
      <c r="AD132" s="1042"/>
      <c r="AE132" s="267"/>
      <c r="AF132" s="268"/>
      <c r="AG132" s="269">
        <f t="shared" si="12"/>
        <v>0</v>
      </c>
      <c r="AH132" s="271" t="e">
        <f t="shared" si="13"/>
        <v>#N/A</v>
      </c>
      <c r="AI132" s="272" t="e">
        <f>IF(AH132&lt;=1,"Remota",VLOOKUP(AH132,[71]Listas!$C$6:$D$10,2,0))</f>
        <v>#N/A</v>
      </c>
      <c r="AJ132" s="271" t="e">
        <f t="shared" si="14"/>
        <v>#N/A</v>
      </c>
      <c r="AK132" s="272" t="e">
        <f>IF(AJ132&lt;=1,"Insignificante",HLOOKUP(AJ132,[71]Listas!$F$3:$J$4,2,0))</f>
        <v>#N/A</v>
      </c>
      <c r="AL132" s="273" t="e">
        <f t="shared" si="15"/>
        <v>#N/A</v>
      </c>
      <c r="AM132" s="270" t="e">
        <f>INDEX([71]Listas!$F$6:$J$10,MATCH(AI132,[71]Listas!$D$6:$D$10,0),MATCH(AK132,[71]Listas!$F$4:$J$4,0))</f>
        <v>#N/A</v>
      </c>
      <c r="AN132" s="259"/>
      <c r="AO132" s="259"/>
      <c r="AP132" s="1044"/>
      <c r="AQ132" s="259"/>
      <c r="AR132" s="259" t="s">
        <v>2877</v>
      </c>
      <c r="AS132" s="1042"/>
      <c r="AT132" s="259"/>
      <c r="AU132" s="259"/>
      <c r="AV132" s="261"/>
      <c r="AW132" s="261"/>
      <c r="AX132" s="1042"/>
      <c r="AY132" s="262"/>
    </row>
    <row r="133" spans="1:51" s="260" customFormat="1" ht="103.5" hidden="1" customHeight="1">
      <c r="A133" s="1042"/>
      <c r="B133" s="266"/>
      <c r="C133" s="1399"/>
      <c r="D133" s="1408"/>
      <c r="E133" s="1400"/>
      <c r="F133" s="267"/>
      <c r="G133" s="1399"/>
      <c r="H133" s="1408"/>
      <c r="I133" s="1400"/>
      <c r="J133" s="1380"/>
      <c r="K133" s="1380"/>
      <c r="L133" s="1380"/>
      <c r="M133" s="1042"/>
      <c r="N133" s="1042"/>
      <c r="O133" s="1042"/>
      <c r="P133" s="1042"/>
      <c r="Q133" s="266"/>
      <c r="R133" s="266"/>
      <c r="S133" s="268"/>
      <c r="T133" s="269" t="e">
        <f>VLOOKUP(Q133,[71]Listas!$D$6:$E$10,2,0)</f>
        <v>#N/A</v>
      </c>
      <c r="U133" s="269" t="e">
        <f>HLOOKUP(R133,[71]Listas!$F$4:$J$5,2,0)</f>
        <v>#N/A</v>
      </c>
      <c r="V133" s="270" t="e">
        <f>INDEX([71]Listas!$F$6:$J$10,MATCH(Q133,[71]Listas!$D$6:$D$10,0),MATCH(R133,[71]Listas!$F$4:$J$4,0))</f>
        <v>#N/A</v>
      </c>
      <c r="W133" s="268"/>
      <c r="X133" s="1399"/>
      <c r="Y133" s="1408"/>
      <c r="Z133" s="1400"/>
      <c r="AA133" s="1063"/>
      <c r="AB133" s="267"/>
      <c r="AC133" s="259"/>
      <c r="AD133" s="1042"/>
      <c r="AE133" s="267"/>
      <c r="AF133" s="268"/>
      <c r="AG133" s="269">
        <f t="shared" si="12"/>
        <v>0</v>
      </c>
      <c r="AH133" s="271" t="e">
        <f t="shared" si="13"/>
        <v>#N/A</v>
      </c>
      <c r="AI133" s="272" t="e">
        <f>IF(AH133&lt;=1,"Remota",VLOOKUP(AH133,[71]Listas!$C$6:$D$10,2,0))</f>
        <v>#N/A</v>
      </c>
      <c r="AJ133" s="271" t="e">
        <f t="shared" si="14"/>
        <v>#N/A</v>
      </c>
      <c r="AK133" s="272" t="e">
        <f>IF(AJ133&lt;=1,"Insignificante",HLOOKUP(AJ133,[71]Listas!$F$3:$J$4,2,0))</f>
        <v>#N/A</v>
      </c>
      <c r="AL133" s="273" t="e">
        <f t="shared" si="15"/>
        <v>#N/A</v>
      </c>
      <c r="AM133" s="270" t="e">
        <f>INDEX([71]Listas!$F$6:$J$10,MATCH(AI133,[71]Listas!$D$6:$D$10,0),MATCH(AK133,[71]Listas!$F$4:$J$4,0))</f>
        <v>#N/A</v>
      </c>
      <c r="AN133" s="259"/>
      <c r="AO133" s="259"/>
      <c r="AP133" s="1044"/>
      <c r="AQ133" s="259"/>
      <c r="AR133" s="259" t="s">
        <v>2877</v>
      </c>
      <c r="AS133" s="1042"/>
      <c r="AT133" s="259"/>
      <c r="AU133" s="259"/>
      <c r="AV133" s="261"/>
      <c r="AW133" s="261"/>
      <c r="AX133" s="1042"/>
      <c r="AY133" s="262"/>
    </row>
    <row r="134" spans="1:51" s="260" customFormat="1" ht="103.5" hidden="1" customHeight="1">
      <c r="A134" s="1042"/>
      <c r="B134" s="266"/>
      <c r="C134" s="1399"/>
      <c r="D134" s="1408"/>
      <c r="E134" s="1400"/>
      <c r="F134" s="267"/>
      <c r="G134" s="1399"/>
      <c r="H134" s="1408"/>
      <c r="I134" s="1400"/>
      <c r="J134" s="1380"/>
      <c r="K134" s="1380"/>
      <c r="L134" s="1380"/>
      <c r="M134" s="1042"/>
      <c r="N134" s="1042"/>
      <c r="O134" s="1042"/>
      <c r="P134" s="1042"/>
      <c r="Q134" s="266"/>
      <c r="R134" s="266"/>
      <c r="S134" s="268"/>
      <c r="T134" s="269" t="e">
        <f>VLOOKUP(Q134,[71]Listas!$D$6:$E$10,2,0)</f>
        <v>#N/A</v>
      </c>
      <c r="U134" s="269" t="e">
        <f>HLOOKUP(R134,[71]Listas!$F$4:$J$5,2,0)</f>
        <v>#N/A</v>
      </c>
      <c r="V134" s="270" t="e">
        <f>INDEX([71]Listas!$F$6:$J$10,MATCH(Q134,[71]Listas!$D$6:$D$10,0),MATCH(R134,[71]Listas!$F$4:$J$4,0))</f>
        <v>#N/A</v>
      </c>
      <c r="W134" s="268"/>
      <c r="X134" s="1399"/>
      <c r="Y134" s="1408"/>
      <c r="Z134" s="1400"/>
      <c r="AA134" s="1063"/>
      <c r="AB134" s="267"/>
      <c r="AC134" s="259"/>
      <c r="AD134" s="1042"/>
      <c r="AE134" s="267"/>
      <c r="AF134" s="268"/>
      <c r="AG134" s="269">
        <f t="shared" si="12"/>
        <v>0</v>
      </c>
      <c r="AH134" s="271" t="e">
        <f t="shared" si="13"/>
        <v>#N/A</v>
      </c>
      <c r="AI134" s="272" t="e">
        <f>IF(AH134&lt;=1,"Remota",VLOOKUP(AH134,[71]Listas!$C$6:$D$10,2,0))</f>
        <v>#N/A</v>
      </c>
      <c r="AJ134" s="271" t="e">
        <f t="shared" si="14"/>
        <v>#N/A</v>
      </c>
      <c r="AK134" s="272" t="e">
        <f>IF(AJ134&lt;=1,"Insignificante",HLOOKUP(AJ134,[71]Listas!$F$3:$J$4,2,0))</f>
        <v>#N/A</v>
      </c>
      <c r="AL134" s="273" t="e">
        <f t="shared" si="15"/>
        <v>#N/A</v>
      </c>
      <c r="AM134" s="270" t="e">
        <f>INDEX([71]Listas!$F$6:$J$10,MATCH(AI134,[71]Listas!$D$6:$D$10,0),MATCH(AK134,[71]Listas!$F$4:$J$4,0))</f>
        <v>#N/A</v>
      </c>
      <c r="AN134" s="259"/>
      <c r="AO134" s="259"/>
      <c r="AP134" s="1044"/>
      <c r="AQ134" s="259"/>
      <c r="AR134" s="259" t="s">
        <v>2877</v>
      </c>
      <c r="AS134" s="1042"/>
      <c r="AT134" s="259"/>
      <c r="AU134" s="259"/>
      <c r="AV134" s="261"/>
      <c r="AW134" s="261"/>
      <c r="AX134" s="1042"/>
      <c r="AY134" s="262"/>
    </row>
    <row r="135" spans="1:51" s="260" customFormat="1" ht="103.5" hidden="1" customHeight="1">
      <c r="A135" s="1042"/>
      <c r="B135" s="266"/>
      <c r="C135" s="1399"/>
      <c r="D135" s="1408"/>
      <c r="E135" s="1400"/>
      <c r="F135" s="267"/>
      <c r="G135" s="1399"/>
      <c r="H135" s="1408"/>
      <c r="I135" s="1400"/>
      <c r="J135" s="1380"/>
      <c r="K135" s="1380"/>
      <c r="L135" s="1380"/>
      <c r="M135" s="1042"/>
      <c r="N135" s="1042"/>
      <c r="O135" s="1042"/>
      <c r="P135" s="1042"/>
      <c r="Q135" s="266"/>
      <c r="R135" s="266"/>
      <c r="S135" s="268"/>
      <c r="T135" s="269" t="e">
        <f>VLOOKUP(Q135,[71]Listas!$D$6:$E$10,2,0)</f>
        <v>#N/A</v>
      </c>
      <c r="U135" s="269" t="e">
        <f>HLOOKUP(R135,[71]Listas!$F$4:$J$5,2,0)</f>
        <v>#N/A</v>
      </c>
      <c r="V135" s="270" t="e">
        <f>INDEX([71]Listas!$F$6:$J$10,MATCH(Q135,[71]Listas!$D$6:$D$10,0),MATCH(R135,[71]Listas!$F$4:$J$4,0))</f>
        <v>#N/A</v>
      </c>
      <c r="W135" s="268"/>
      <c r="X135" s="1399"/>
      <c r="Y135" s="1408"/>
      <c r="Z135" s="1400"/>
      <c r="AA135" s="1063"/>
      <c r="AB135" s="267"/>
      <c r="AC135" s="259"/>
      <c r="AD135" s="1042"/>
      <c r="AE135" s="267"/>
      <c r="AF135" s="268"/>
      <c r="AG135" s="269">
        <f t="shared" si="12"/>
        <v>0</v>
      </c>
      <c r="AH135" s="271" t="e">
        <f t="shared" si="13"/>
        <v>#N/A</v>
      </c>
      <c r="AI135" s="272" t="e">
        <f>IF(AH135&lt;=1,"Remota",VLOOKUP(AH135,[71]Listas!$C$6:$D$10,2,0))</f>
        <v>#N/A</v>
      </c>
      <c r="AJ135" s="271" t="e">
        <f t="shared" si="14"/>
        <v>#N/A</v>
      </c>
      <c r="AK135" s="272" t="e">
        <f>IF(AJ135&lt;=1,"Insignificante",HLOOKUP(AJ135,[71]Listas!$F$3:$J$4,2,0))</f>
        <v>#N/A</v>
      </c>
      <c r="AL135" s="273" t="e">
        <f t="shared" si="15"/>
        <v>#N/A</v>
      </c>
      <c r="AM135" s="270" t="e">
        <f>INDEX([71]Listas!$F$6:$J$10,MATCH(AI135,[71]Listas!$D$6:$D$10,0),MATCH(AK135,[71]Listas!$F$4:$J$4,0))</f>
        <v>#N/A</v>
      </c>
      <c r="AN135" s="259"/>
      <c r="AO135" s="259"/>
      <c r="AP135" s="1044"/>
      <c r="AQ135" s="259"/>
      <c r="AR135" s="259" t="s">
        <v>2877</v>
      </c>
      <c r="AS135" s="1042"/>
      <c r="AT135" s="259"/>
      <c r="AU135" s="259"/>
      <c r="AV135" s="261"/>
      <c r="AW135" s="261"/>
      <c r="AX135" s="1042"/>
      <c r="AY135" s="262"/>
    </row>
    <row r="136" spans="1:51" s="260" customFormat="1" ht="103.5" hidden="1" customHeight="1">
      <c r="A136" s="1042"/>
      <c r="B136" s="266"/>
      <c r="C136" s="1399"/>
      <c r="D136" s="1408"/>
      <c r="E136" s="1400"/>
      <c r="F136" s="267"/>
      <c r="G136" s="1399"/>
      <c r="H136" s="1408"/>
      <c r="I136" s="1400"/>
      <c r="J136" s="1380"/>
      <c r="K136" s="1380"/>
      <c r="L136" s="1380"/>
      <c r="M136" s="1042"/>
      <c r="N136" s="1042"/>
      <c r="O136" s="1042"/>
      <c r="P136" s="1042"/>
      <c r="Q136" s="266"/>
      <c r="R136" s="266"/>
      <c r="S136" s="268"/>
      <c r="T136" s="269" t="e">
        <f>VLOOKUP(Q136,[71]Listas!$D$6:$E$10,2,0)</f>
        <v>#N/A</v>
      </c>
      <c r="U136" s="269" t="e">
        <f>HLOOKUP(R136,[71]Listas!$F$4:$J$5,2,0)</f>
        <v>#N/A</v>
      </c>
      <c r="V136" s="270" t="e">
        <f>INDEX([71]Listas!$F$6:$J$10,MATCH(Q136,[71]Listas!$D$6:$D$10,0),MATCH(R136,[71]Listas!$F$4:$J$4,0))</f>
        <v>#N/A</v>
      </c>
      <c r="W136" s="268"/>
      <c r="X136" s="1399"/>
      <c r="Y136" s="1408"/>
      <c r="Z136" s="1400"/>
      <c r="AA136" s="1063"/>
      <c r="AB136" s="267"/>
      <c r="AC136" s="259"/>
      <c r="AD136" s="1042"/>
      <c r="AE136" s="267"/>
      <c r="AF136" s="268"/>
      <c r="AG136" s="269">
        <f t="shared" si="12"/>
        <v>0</v>
      </c>
      <c r="AH136" s="271" t="e">
        <f t="shared" si="13"/>
        <v>#N/A</v>
      </c>
      <c r="AI136" s="272" t="e">
        <f>IF(AH136&lt;=1,"Remota",VLOOKUP(AH136,[71]Listas!$C$6:$D$10,2,0))</f>
        <v>#N/A</v>
      </c>
      <c r="AJ136" s="271" t="e">
        <f t="shared" si="14"/>
        <v>#N/A</v>
      </c>
      <c r="AK136" s="272" t="e">
        <f>IF(AJ136&lt;=1,"Insignificante",HLOOKUP(AJ136,[71]Listas!$F$3:$J$4,2,0))</f>
        <v>#N/A</v>
      </c>
      <c r="AL136" s="273" t="e">
        <f t="shared" si="15"/>
        <v>#N/A</v>
      </c>
      <c r="AM136" s="270" t="e">
        <f>INDEX([71]Listas!$F$6:$J$10,MATCH(AI136,[71]Listas!$D$6:$D$10,0),MATCH(AK136,[71]Listas!$F$4:$J$4,0))</f>
        <v>#N/A</v>
      </c>
      <c r="AN136" s="259"/>
      <c r="AO136" s="259"/>
      <c r="AP136" s="1044"/>
      <c r="AQ136" s="259"/>
      <c r="AR136" s="259" t="s">
        <v>2877</v>
      </c>
      <c r="AS136" s="1042"/>
      <c r="AT136" s="259"/>
      <c r="AU136" s="259"/>
      <c r="AV136" s="261"/>
      <c r="AW136" s="261"/>
      <c r="AX136" s="1042"/>
      <c r="AY136" s="262"/>
    </row>
    <row r="137" spans="1:51" s="260" customFormat="1" ht="103.5" hidden="1" customHeight="1">
      <c r="A137" s="1042"/>
      <c r="B137" s="266"/>
      <c r="C137" s="1399"/>
      <c r="D137" s="1408"/>
      <c r="E137" s="1400"/>
      <c r="F137" s="267"/>
      <c r="G137" s="1399"/>
      <c r="H137" s="1408"/>
      <c r="I137" s="1400"/>
      <c r="J137" s="1380"/>
      <c r="K137" s="1380"/>
      <c r="L137" s="1380"/>
      <c r="M137" s="1042"/>
      <c r="N137" s="1042"/>
      <c r="O137" s="1042"/>
      <c r="P137" s="1042"/>
      <c r="Q137" s="266"/>
      <c r="R137" s="266"/>
      <c r="S137" s="268"/>
      <c r="T137" s="269" t="e">
        <f>VLOOKUP(Q137,[71]Listas!$D$6:$E$10,2,0)</f>
        <v>#N/A</v>
      </c>
      <c r="U137" s="269" t="e">
        <f>HLOOKUP(R137,[71]Listas!$F$4:$J$5,2,0)</f>
        <v>#N/A</v>
      </c>
      <c r="V137" s="270" t="e">
        <f>INDEX([71]Listas!$F$6:$J$10,MATCH(Q137,[71]Listas!$D$6:$D$10,0),MATCH(R137,[71]Listas!$F$4:$J$4,0))</f>
        <v>#N/A</v>
      </c>
      <c r="W137" s="268"/>
      <c r="X137" s="1399"/>
      <c r="Y137" s="1408"/>
      <c r="Z137" s="1400"/>
      <c r="AA137" s="1063"/>
      <c r="AB137" s="267"/>
      <c r="AC137" s="259"/>
      <c r="AD137" s="1042"/>
      <c r="AE137" s="267"/>
      <c r="AF137" s="268"/>
      <c r="AG137" s="269">
        <f t="shared" si="12"/>
        <v>0</v>
      </c>
      <c r="AH137" s="271" t="e">
        <f t="shared" si="13"/>
        <v>#N/A</v>
      </c>
      <c r="AI137" s="272" t="e">
        <f>IF(AH137&lt;=1,"Remota",VLOOKUP(AH137,[71]Listas!$C$6:$D$10,2,0))</f>
        <v>#N/A</v>
      </c>
      <c r="AJ137" s="271" t="e">
        <f t="shared" si="14"/>
        <v>#N/A</v>
      </c>
      <c r="AK137" s="272" t="e">
        <f>IF(AJ137&lt;=1,"Insignificante",HLOOKUP(AJ137,[71]Listas!$F$3:$J$4,2,0))</f>
        <v>#N/A</v>
      </c>
      <c r="AL137" s="273" t="e">
        <f t="shared" si="15"/>
        <v>#N/A</v>
      </c>
      <c r="AM137" s="270" t="e">
        <f>INDEX([71]Listas!$F$6:$J$10,MATCH(AI137,[71]Listas!$D$6:$D$10,0),MATCH(AK137,[71]Listas!$F$4:$J$4,0))</f>
        <v>#N/A</v>
      </c>
      <c r="AN137" s="259"/>
      <c r="AO137" s="259"/>
      <c r="AP137" s="1044"/>
      <c r="AQ137" s="259"/>
      <c r="AR137" s="259" t="s">
        <v>2877</v>
      </c>
      <c r="AS137" s="1042"/>
      <c r="AT137" s="259"/>
      <c r="AU137" s="259"/>
      <c r="AV137" s="261"/>
      <c r="AW137" s="261"/>
      <c r="AX137" s="1042"/>
      <c r="AY137" s="262"/>
    </row>
    <row r="138" spans="1:51" s="260" customFormat="1" ht="103.5" hidden="1" customHeight="1">
      <c r="A138" s="1042"/>
      <c r="B138" s="266"/>
      <c r="C138" s="1399"/>
      <c r="D138" s="1408"/>
      <c r="E138" s="1400"/>
      <c r="F138" s="267"/>
      <c r="G138" s="1399"/>
      <c r="H138" s="1408"/>
      <c r="I138" s="1400"/>
      <c r="J138" s="1380"/>
      <c r="K138" s="1380"/>
      <c r="L138" s="1380"/>
      <c r="M138" s="1042"/>
      <c r="N138" s="1042"/>
      <c r="O138" s="1042"/>
      <c r="P138" s="1042"/>
      <c r="Q138" s="266"/>
      <c r="R138" s="266"/>
      <c r="S138" s="268"/>
      <c r="T138" s="269" t="e">
        <f>VLOOKUP(Q138,[71]Listas!$D$6:$E$10,2,0)</f>
        <v>#N/A</v>
      </c>
      <c r="U138" s="269" t="e">
        <f>HLOOKUP(R138,[71]Listas!$F$4:$J$5,2,0)</f>
        <v>#N/A</v>
      </c>
      <c r="V138" s="270" t="e">
        <f>INDEX([71]Listas!$F$6:$J$10,MATCH(Q138,[71]Listas!$D$6:$D$10,0),MATCH(R138,[71]Listas!$F$4:$J$4,0))</f>
        <v>#N/A</v>
      </c>
      <c r="W138" s="268"/>
      <c r="X138" s="1399"/>
      <c r="Y138" s="1408"/>
      <c r="Z138" s="1400"/>
      <c r="AA138" s="1063"/>
      <c r="AB138" s="267"/>
      <c r="AC138" s="259"/>
      <c r="AD138" s="1042"/>
      <c r="AE138" s="267"/>
      <c r="AF138" s="268"/>
      <c r="AG138" s="269">
        <f t="shared" si="12"/>
        <v>0</v>
      </c>
      <c r="AH138" s="271" t="e">
        <f t="shared" si="13"/>
        <v>#N/A</v>
      </c>
      <c r="AI138" s="272" t="e">
        <f>IF(AH138&lt;=1,"Remota",VLOOKUP(AH138,[71]Listas!$C$6:$D$10,2,0))</f>
        <v>#N/A</v>
      </c>
      <c r="AJ138" s="271" t="e">
        <f t="shared" si="14"/>
        <v>#N/A</v>
      </c>
      <c r="AK138" s="272" t="e">
        <f>IF(AJ138&lt;=1,"Insignificante",HLOOKUP(AJ138,[71]Listas!$F$3:$J$4,2,0))</f>
        <v>#N/A</v>
      </c>
      <c r="AL138" s="273" t="e">
        <f t="shared" si="15"/>
        <v>#N/A</v>
      </c>
      <c r="AM138" s="270" t="e">
        <f>INDEX([71]Listas!$F$6:$J$10,MATCH(AI138,[71]Listas!$D$6:$D$10,0),MATCH(AK138,[71]Listas!$F$4:$J$4,0))</f>
        <v>#N/A</v>
      </c>
      <c r="AN138" s="259"/>
      <c r="AO138" s="259"/>
      <c r="AP138" s="1044"/>
      <c r="AQ138" s="259"/>
      <c r="AR138" s="259" t="s">
        <v>2877</v>
      </c>
      <c r="AS138" s="1042"/>
      <c r="AT138" s="259"/>
      <c r="AU138" s="259"/>
      <c r="AV138" s="261"/>
      <c r="AW138" s="261"/>
      <c r="AX138" s="1042"/>
      <c r="AY138" s="262"/>
    </row>
    <row r="139" spans="1:51" s="260" customFormat="1" ht="103.5" hidden="1" customHeight="1">
      <c r="A139" s="1042"/>
      <c r="B139" s="266"/>
      <c r="C139" s="1399"/>
      <c r="D139" s="1408"/>
      <c r="E139" s="1400"/>
      <c r="F139" s="267"/>
      <c r="G139" s="1399"/>
      <c r="H139" s="1408"/>
      <c r="I139" s="1400"/>
      <c r="J139" s="1380"/>
      <c r="K139" s="1380"/>
      <c r="L139" s="1380"/>
      <c r="M139" s="1042"/>
      <c r="N139" s="1042"/>
      <c r="O139" s="1042"/>
      <c r="P139" s="1042"/>
      <c r="Q139" s="266"/>
      <c r="R139" s="266"/>
      <c r="S139" s="268"/>
      <c r="T139" s="269" t="e">
        <f>VLOOKUP(Q139,[71]Listas!$D$6:$E$10,2,0)</f>
        <v>#N/A</v>
      </c>
      <c r="U139" s="269" t="e">
        <f>HLOOKUP(R139,[71]Listas!$F$4:$J$5,2,0)</f>
        <v>#N/A</v>
      </c>
      <c r="V139" s="270" t="e">
        <f>INDEX([71]Listas!$F$6:$J$10,MATCH(Q139,[71]Listas!$D$6:$D$10,0),MATCH(R139,[71]Listas!$F$4:$J$4,0))</f>
        <v>#N/A</v>
      </c>
      <c r="W139" s="268"/>
      <c r="X139" s="1399"/>
      <c r="Y139" s="1408"/>
      <c r="Z139" s="1400"/>
      <c r="AA139" s="1063"/>
      <c r="AB139" s="267"/>
      <c r="AC139" s="259"/>
      <c r="AD139" s="1042"/>
      <c r="AE139" s="267"/>
      <c r="AF139" s="268"/>
      <c r="AG139" s="269">
        <f t="shared" si="12"/>
        <v>0</v>
      </c>
      <c r="AH139" s="271" t="e">
        <f t="shared" si="13"/>
        <v>#N/A</v>
      </c>
      <c r="AI139" s="272" t="e">
        <f>IF(AH139&lt;=1,"Remota",VLOOKUP(AH139,[71]Listas!$C$6:$D$10,2,0))</f>
        <v>#N/A</v>
      </c>
      <c r="AJ139" s="271" t="e">
        <f t="shared" si="14"/>
        <v>#N/A</v>
      </c>
      <c r="AK139" s="272" t="e">
        <f>IF(AJ139&lt;=1,"Insignificante",HLOOKUP(AJ139,[71]Listas!$F$3:$J$4,2,0))</f>
        <v>#N/A</v>
      </c>
      <c r="AL139" s="273" t="e">
        <f t="shared" si="15"/>
        <v>#N/A</v>
      </c>
      <c r="AM139" s="270" t="e">
        <f>INDEX([71]Listas!$F$6:$J$10,MATCH(AI139,[71]Listas!$D$6:$D$10,0),MATCH(AK139,[71]Listas!$F$4:$J$4,0))</f>
        <v>#N/A</v>
      </c>
      <c r="AN139" s="259"/>
      <c r="AO139" s="259"/>
      <c r="AP139" s="1044"/>
      <c r="AQ139" s="259"/>
      <c r="AR139" s="259" t="s">
        <v>2877</v>
      </c>
      <c r="AS139" s="1042"/>
      <c r="AT139" s="259"/>
      <c r="AU139" s="259"/>
      <c r="AV139" s="261"/>
      <c r="AW139" s="261"/>
      <c r="AX139" s="1042"/>
      <c r="AY139" s="262"/>
    </row>
    <row r="140" spans="1:51" s="260" customFormat="1" ht="103.5" hidden="1" customHeight="1">
      <c r="A140" s="1042"/>
      <c r="B140" s="266"/>
      <c r="C140" s="1399"/>
      <c r="D140" s="1408"/>
      <c r="E140" s="1400"/>
      <c r="F140" s="267"/>
      <c r="G140" s="1399"/>
      <c r="H140" s="1408"/>
      <c r="I140" s="1400"/>
      <c r="J140" s="1380"/>
      <c r="K140" s="1380"/>
      <c r="L140" s="1380"/>
      <c r="M140" s="1042"/>
      <c r="N140" s="1042"/>
      <c r="O140" s="1042"/>
      <c r="P140" s="1042"/>
      <c r="Q140" s="266"/>
      <c r="R140" s="266"/>
      <c r="S140" s="268"/>
      <c r="T140" s="269" t="e">
        <f>VLOOKUP(Q140,[71]Listas!$D$6:$E$10,2,0)</f>
        <v>#N/A</v>
      </c>
      <c r="U140" s="269" t="e">
        <f>HLOOKUP(R140,[71]Listas!$F$4:$J$5,2,0)</f>
        <v>#N/A</v>
      </c>
      <c r="V140" s="270" t="e">
        <f>INDEX([71]Listas!$F$6:$J$10,MATCH(Q140,[71]Listas!$D$6:$D$10,0),MATCH(R140,[71]Listas!$F$4:$J$4,0))</f>
        <v>#N/A</v>
      </c>
      <c r="W140" s="268"/>
      <c r="X140" s="1399"/>
      <c r="Y140" s="1408"/>
      <c r="Z140" s="1400"/>
      <c r="AA140" s="1063"/>
      <c r="AB140" s="267"/>
      <c r="AC140" s="259"/>
      <c r="AD140" s="1042"/>
      <c r="AE140" s="267"/>
      <c r="AF140" s="268"/>
      <c r="AG140" s="269">
        <f t="shared" si="12"/>
        <v>0</v>
      </c>
      <c r="AH140" s="271" t="e">
        <f t="shared" si="13"/>
        <v>#N/A</v>
      </c>
      <c r="AI140" s="272" t="e">
        <f>IF(AH140&lt;=1,"Remota",VLOOKUP(AH140,[71]Listas!$C$6:$D$10,2,0))</f>
        <v>#N/A</v>
      </c>
      <c r="AJ140" s="271" t="e">
        <f t="shared" si="14"/>
        <v>#N/A</v>
      </c>
      <c r="AK140" s="272" t="e">
        <f>IF(AJ140&lt;=1,"Insignificante",HLOOKUP(AJ140,[71]Listas!$F$3:$J$4,2,0))</f>
        <v>#N/A</v>
      </c>
      <c r="AL140" s="273" t="e">
        <f t="shared" si="15"/>
        <v>#N/A</v>
      </c>
      <c r="AM140" s="270" t="e">
        <f>INDEX([71]Listas!$F$6:$J$10,MATCH(AI140,[71]Listas!$D$6:$D$10,0),MATCH(AK140,[71]Listas!$F$4:$J$4,0))</f>
        <v>#N/A</v>
      </c>
      <c r="AN140" s="259"/>
      <c r="AO140" s="259"/>
      <c r="AP140" s="1044"/>
      <c r="AQ140" s="259"/>
      <c r="AR140" s="259" t="s">
        <v>2877</v>
      </c>
      <c r="AS140" s="1042"/>
      <c r="AT140" s="259"/>
      <c r="AU140" s="259"/>
      <c r="AV140" s="261"/>
      <c r="AW140" s="261"/>
      <c r="AX140" s="1042"/>
      <c r="AY140" s="262"/>
    </row>
    <row r="141" spans="1:51" s="260" customFormat="1" ht="103.5" hidden="1" customHeight="1">
      <c r="A141" s="1042"/>
      <c r="B141" s="266"/>
      <c r="C141" s="1399"/>
      <c r="D141" s="1408"/>
      <c r="E141" s="1400"/>
      <c r="F141" s="267"/>
      <c r="G141" s="1399"/>
      <c r="H141" s="1408"/>
      <c r="I141" s="1400"/>
      <c r="J141" s="1380"/>
      <c r="K141" s="1380"/>
      <c r="L141" s="1380"/>
      <c r="M141" s="1042"/>
      <c r="N141" s="1042"/>
      <c r="O141" s="1042"/>
      <c r="P141" s="1042"/>
      <c r="Q141" s="266"/>
      <c r="R141" s="266"/>
      <c r="S141" s="268"/>
      <c r="T141" s="269" t="e">
        <f>VLOOKUP(Q141,[71]Listas!$D$6:$E$10,2,0)</f>
        <v>#N/A</v>
      </c>
      <c r="U141" s="269" t="e">
        <f>HLOOKUP(R141,[71]Listas!$F$4:$J$5,2,0)</f>
        <v>#N/A</v>
      </c>
      <c r="V141" s="270" t="e">
        <f>INDEX([71]Listas!$F$6:$J$10,MATCH(Q141,[71]Listas!$D$6:$D$10,0),MATCH(R141,[71]Listas!$F$4:$J$4,0))</f>
        <v>#N/A</v>
      </c>
      <c r="W141" s="268"/>
      <c r="X141" s="1399"/>
      <c r="Y141" s="1408"/>
      <c r="Z141" s="1400"/>
      <c r="AA141" s="1063"/>
      <c r="AB141" s="267"/>
      <c r="AC141" s="259"/>
      <c r="AD141" s="1042"/>
      <c r="AE141" s="267"/>
      <c r="AF141" s="268"/>
      <c r="AG141" s="269">
        <f t="shared" si="12"/>
        <v>0</v>
      </c>
      <c r="AH141" s="271" t="e">
        <f t="shared" si="13"/>
        <v>#N/A</v>
      </c>
      <c r="AI141" s="272" t="e">
        <f>IF(AH141&lt;=1,"Remota",VLOOKUP(AH141,[71]Listas!$C$6:$D$10,2,0))</f>
        <v>#N/A</v>
      </c>
      <c r="AJ141" s="271" t="e">
        <f t="shared" si="14"/>
        <v>#N/A</v>
      </c>
      <c r="AK141" s="272" t="e">
        <f>IF(AJ141&lt;=1,"Insignificante",HLOOKUP(AJ141,[71]Listas!$F$3:$J$4,2,0))</f>
        <v>#N/A</v>
      </c>
      <c r="AL141" s="273" t="e">
        <f t="shared" si="15"/>
        <v>#N/A</v>
      </c>
      <c r="AM141" s="270" t="e">
        <f>INDEX([71]Listas!$F$6:$J$10,MATCH(AI141,[71]Listas!$D$6:$D$10,0),MATCH(AK141,[71]Listas!$F$4:$J$4,0))</f>
        <v>#N/A</v>
      </c>
      <c r="AN141" s="259"/>
      <c r="AO141" s="259"/>
      <c r="AP141" s="1044"/>
      <c r="AQ141" s="259"/>
      <c r="AR141" s="259" t="s">
        <v>2877</v>
      </c>
      <c r="AS141" s="1042"/>
      <c r="AT141" s="259"/>
      <c r="AU141" s="259"/>
      <c r="AV141" s="261"/>
      <c r="AW141" s="261"/>
      <c r="AX141" s="1042"/>
      <c r="AY141" s="262"/>
    </row>
    <row r="142" spans="1:51" s="260" customFormat="1" ht="103.5" hidden="1" customHeight="1">
      <c r="A142" s="1042"/>
      <c r="B142" s="266"/>
      <c r="C142" s="1399"/>
      <c r="D142" s="1408"/>
      <c r="E142" s="1400"/>
      <c r="F142" s="267"/>
      <c r="G142" s="1399"/>
      <c r="H142" s="1408"/>
      <c r="I142" s="1400"/>
      <c r="J142" s="1380"/>
      <c r="K142" s="1380"/>
      <c r="L142" s="1380"/>
      <c r="M142" s="1042"/>
      <c r="N142" s="1042"/>
      <c r="O142" s="1042"/>
      <c r="P142" s="1042"/>
      <c r="Q142" s="266"/>
      <c r="R142" s="266"/>
      <c r="S142" s="268"/>
      <c r="T142" s="269" t="e">
        <f>VLOOKUP(Q142,[71]Listas!$D$6:$E$10,2,0)</f>
        <v>#N/A</v>
      </c>
      <c r="U142" s="269" t="e">
        <f>HLOOKUP(R142,[71]Listas!$F$4:$J$5,2,0)</f>
        <v>#N/A</v>
      </c>
      <c r="V142" s="270" t="e">
        <f>INDEX([71]Listas!$F$6:$J$10,MATCH(Q142,[71]Listas!$D$6:$D$10,0),MATCH(R142,[71]Listas!$F$4:$J$4,0))</f>
        <v>#N/A</v>
      </c>
      <c r="W142" s="268"/>
      <c r="X142" s="1399"/>
      <c r="Y142" s="1408"/>
      <c r="Z142" s="1400"/>
      <c r="AA142" s="1063"/>
      <c r="AB142" s="267"/>
      <c r="AC142" s="259"/>
      <c r="AD142" s="1042"/>
      <c r="AE142" s="267"/>
      <c r="AF142" s="268"/>
      <c r="AG142" s="269">
        <f t="shared" si="12"/>
        <v>0</v>
      </c>
      <c r="AH142" s="271" t="e">
        <f t="shared" si="13"/>
        <v>#N/A</v>
      </c>
      <c r="AI142" s="272" t="e">
        <f>IF(AH142&lt;=1,"Remota",VLOOKUP(AH142,[71]Listas!$C$6:$D$10,2,0))</f>
        <v>#N/A</v>
      </c>
      <c r="AJ142" s="271" t="e">
        <f t="shared" si="14"/>
        <v>#N/A</v>
      </c>
      <c r="AK142" s="272" t="e">
        <f>IF(AJ142&lt;=1,"Insignificante",HLOOKUP(AJ142,[71]Listas!$F$3:$J$4,2,0))</f>
        <v>#N/A</v>
      </c>
      <c r="AL142" s="273" t="e">
        <f t="shared" si="15"/>
        <v>#N/A</v>
      </c>
      <c r="AM142" s="270" t="e">
        <f>INDEX([71]Listas!$F$6:$J$10,MATCH(AI142,[71]Listas!$D$6:$D$10,0),MATCH(AK142,[71]Listas!$F$4:$J$4,0))</f>
        <v>#N/A</v>
      </c>
      <c r="AN142" s="259"/>
      <c r="AO142" s="259"/>
      <c r="AP142" s="1044"/>
      <c r="AQ142" s="259"/>
      <c r="AR142" s="259" t="s">
        <v>2877</v>
      </c>
      <c r="AS142" s="1042"/>
      <c r="AT142" s="259"/>
      <c r="AU142" s="259"/>
      <c r="AV142" s="261"/>
      <c r="AW142" s="261"/>
      <c r="AX142" s="1042"/>
      <c r="AY142" s="262"/>
    </row>
    <row r="143" spans="1:51" s="260" customFormat="1" ht="103.5" hidden="1" customHeight="1">
      <c r="A143" s="1042"/>
      <c r="B143" s="266"/>
      <c r="C143" s="1399"/>
      <c r="D143" s="1408"/>
      <c r="E143" s="1400"/>
      <c r="F143" s="267"/>
      <c r="G143" s="1399"/>
      <c r="H143" s="1408"/>
      <c r="I143" s="1400"/>
      <c r="J143" s="1380"/>
      <c r="K143" s="1380"/>
      <c r="L143" s="1380"/>
      <c r="M143" s="1042"/>
      <c r="N143" s="1042"/>
      <c r="O143" s="1042"/>
      <c r="P143" s="1042"/>
      <c r="Q143" s="266"/>
      <c r="R143" s="266"/>
      <c r="S143" s="268"/>
      <c r="T143" s="269" t="e">
        <f>VLOOKUP(Q143,[71]Listas!$D$6:$E$10,2,0)</f>
        <v>#N/A</v>
      </c>
      <c r="U143" s="269" t="e">
        <f>HLOOKUP(R143,[71]Listas!$F$4:$J$5,2,0)</f>
        <v>#N/A</v>
      </c>
      <c r="V143" s="270" t="e">
        <f>INDEX([71]Listas!$F$6:$J$10,MATCH(Q143,[71]Listas!$D$6:$D$10,0),MATCH(R143,[71]Listas!$F$4:$J$4,0))</f>
        <v>#N/A</v>
      </c>
      <c r="W143" s="268"/>
      <c r="X143" s="1399"/>
      <c r="Y143" s="1408"/>
      <c r="Z143" s="1400"/>
      <c r="AA143" s="1063"/>
      <c r="AB143" s="267"/>
      <c r="AC143" s="259"/>
      <c r="AD143" s="1042"/>
      <c r="AE143" s="267"/>
      <c r="AF143" s="268"/>
      <c r="AG143" s="269">
        <f t="shared" si="12"/>
        <v>0</v>
      </c>
      <c r="AH143" s="271" t="e">
        <f t="shared" si="13"/>
        <v>#N/A</v>
      </c>
      <c r="AI143" s="272" t="e">
        <f>IF(AH143&lt;=1,"Remota",VLOOKUP(AH143,[71]Listas!$C$6:$D$10,2,0))</f>
        <v>#N/A</v>
      </c>
      <c r="AJ143" s="271" t="e">
        <f t="shared" si="14"/>
        <v>#N/A</v>
      </c>
      <c r="AK143" s="272" t="e">
        <f>IF(AJ143&lt;=1,"Insignificante",HLOOKUP(AJ143,[71]Listas!$F$3:$J$4,2,0))</f>
        <v>#N/A</v>
      </c>
      <c r="AL143" s="273" t="e">
        <f t="shared" si="15"/>
        <v>#N/A</v>
      </c>
      <c r="AM143" s="270" t="e">
        <f>INDEX([71]Listas!$F$6:$J$10,MATCH(AI143,[71]Listas!$D$6:$D$10,0),MATCH(AK143,[71]Listas!$F$4:$J$4,0))</f>
        <v>#N/A</v>
      </c>
      <c r="AN143" s="259"/>
      <c r="AO143" s="259"/>
      <c r="AP143" s="1044"/>
      <c r="AQ143" s="259"/>
      <c r="AR143" s="259" t="s">
        <v>2877</v>
      </c>
      <c r="AS143" s="1042"/>
      <c r="AT143" s="259"/>
      <c r="AU143" s="259"/>
      <c r="AV143" s="261"/>
      <c r="AW143" s="261"/>
      <c r="AX143" s="1042"/>
      <c r="AY143" s="262"/>
    </row>
    <row r="144" spans="1:51" s="260" customFormat="1" ht="103.5" hidden="1" customHeight="1">
      <c r="A144" s="1042"/>
      <c r="B144" s="266"/>
      <c r="C144" s="1399"/>
      <c r="D144" s="1408"/>
      <c r="E144" s="1400"/>
      <c r="F144" s="267"/>
      <c r="G144" s="1399"/>
      <c r="H144" s="1408"/>
      <c r="I144" s="1400"/>
      <c r="J144" s="1380"/>
      <c r="K144" s="1380"/>
      <c r="L144" s="1380"/>
      <c r="M144" s="1042"/>
      <c r="N144" s="1042"/>
      <c r="O144" s="1042"/>
      <c r="P144" s="1042"/>
      <c r="Q144" s="266"/>
      <c r="R144" s="266"/>
      <c r="S144" s="268"/>
      <c r="T144" s="269" t="e">
        <f>VLOOKUP(Q144,[71]Listas!$D$6:$E$10,2,0)</f>
        <v>#N/A</v>
      </c>
      <c r="U144" s="269" t="e">
        <f>HLOOKUP(R144,[71]Listas!$F$4:$J$5,2,0)</f>
        <v>#N/A</v>
      </c>
      <c r="V144" s="270" t="e">
        <f>INDEX([71]Listas!$F$6:$J$10,MATCH(Q144,[71]Listas!$D$6:$D$10,0),MATCH(R144,[71]Listas!$F$4:$J$4,0))</f>
        <v>#N/A</v>
      </c>
      <c r="W144" s="268"/>
      <c r="X144" s="1399"/>
      <c r="Y144" s="1408"/>
      <c r="Z144" s="1400"/>
      <c r="AA144" s="1063"/>
      <c r="AB144" s="267"/>
      <c r="AC144" s="259"/>
      <c r="AD144" s="1042"/>
      <c r="AE144" s="267"/>
      <c r="AF144" s="268"/>
      <c r="AG144" s="269">
        <f t="shared" si="12"/>
        <v>0</v>
      </c>
      <c r="AH144" s="271" t="e">
        <f t="shared" si="13"/>
        <v>#N/A</v>
      </c>
      <c r="AI144" s="272" t="e">
        <f>IF(AH144&lt;=1,"Remota",VLOOKUP(AH144,[71]Listas!$C$6:$D$10,2,0))</f>
        <v>#N/A</v>
      </c>
      <c r="AJ144" s="271" t="e">
        <f t="shared" si="14"/>
        <v>#N/A</v>
      </c>
      <c r="AK144" s="272" t="e">
        <f>IF(AJ144&lt;=1,"Insignificante",HLOOKUP(AJ144,[71]Listas!$F$3:$J$4,2,0))</f>
        <v>#N/A</v>
      </c>
      <c r="AL144" s="273" t="e">
        <f t="shared" si="15"/>
        <v>#N/A</v>
      </c>
      <c r="AM144" s="270" t="e">
        <f>INDEX([71]Listas!$F$6:$J$10,MATCH(AI144,[71]Listas!$D$6:$D$10,0),MATCH(AK144,[71]Listas!$F$4:$J$4,0))</f>
        <v>#N/A</v>
      </c>
      <c r="AN144" s="259"/>
      <c r="AO144" s="259"/>
      <c r="AP144" s="1044"/>
      <c r="AQ144" s="259"/>
      <c r="AR144" s="259" t="s">
        <v>2877</v>
      </c>
      <c r="AS144" s="1042"/>
      <c r="AT144" s="259"/>
      <c r="AU144" s="259"/>
      <c r="AV144" s="261"/>
      <c r="AW144" s="261"/>
      <c r="AX144" s="1042"/>
      <c r="AY144" s="262"/>
    </row>
    <row r="145" spans="1:51" s="260" customFormat="1" ht="103.5" hidden="1" customHeight="1">
      <c r="A145" s="1042"/>
      <c r="B145" s="266"/>
      <c r="C145" s="1399"/>
      <c r="D145" s="1408"/>
      <c r="E145" s="1400"/>
      <c r="F145" s="267"/>
      <c r="G145" s="1399"/>
      <c r="H145" s="1408"/>
      <c r="I145" s="1400"/>
      <c r="J145" s="1380"/>
      <c r="K145" s="1380"/>
      <c r="L145" s="1380"/>
      <c r="M145" s="1042"/>
      <c r="N145" s="1042"/>
      <c r="O145" s="1042"/>
      <c r="P145" s="1042"/>
      <c r="Q145" s="266"/>
      <c r="R145" s="266"/>
      <c r="S145" s="268"/>
      <c r="T145" s="269" t="e">
        <f>VLOOKUP(Q145,[71]Listas!$D$6:$E$10,2,0)</f>
        <v>#N/A</v>
      </c>
      <c r="U145" s="269" t="e">
        <f>HLOOKUP(R145,[71]Listas!$F$4:$J$5,2,0)</f>
        <v>#N/A</v>
      </c>
      <c r="V145" s="270" t="e">
        <f>INDEX([71]Listas!$F$6:$J$10,MATCH(Q145,[71]Listas!$D$6:$D$10,0),MATCH(R145,[71]Listas!$F$4:$J$4,0))</f>
        <v>#N/A</v>
      </c>
      <c r="W145" s="268"/>
      <c r="X145" s="1399"/>
      <c r="Y145" s="1408"/>
      <c r="Z145" s="1400"/>
      <c r="AA145" s="1063"/>
      <c r="AB145" s="267"/>
      <c r="AC145" s="259"/>
      <c r="AD145" s="1042"/>
      <c r="AE145" s="267"/>
      <c r="AF145" s="268"/>
      <c r="AG145" s="269">
        <f t="shared" si="12"/>
        <v>0</v>
      </c>
      <c r="AH145" s="271" t="e">
        <f t="shared" si="13"/>
        <v>#N/A</v>
      </c>
      <c r="AI145" s="272" t="e">
        <f>IF(AH145&lt;=1,"Remota",VLOOKUP(AH145,[71]Listas!$C$6:$D$10,2,0))</f>
        <v>#N/A</v>
      </c>
      <c r="AJ145" s="271" t="e">
        <f t="shared" si="14"/>
        <v>#N/A</v>
      </c>
      <c r="AK145" s="272" t="e">
        <f>IF(AJ145&lt;=1,"Insignificante",HLOOKUP(AJ145,[71]Listas!$F$3:$J$4,2,0))</f>
        <v>#N/A</v>
      </c>
      <c r="AL145" s="273" t="e">
        <f t="shared" si="15"/>
        <v>#N/A</v>
      </c>
      <c r="AM145" s="270" t="e">
        <f>INDEX([71]Listas!$F$6:$J$10,MATCH(AI145,[71]Listas!$D$6:$D$10,0),MATCH(AK145,[71]Listas!$F$4:$J$4,0))</f>
        <v>#N/A</v>
      </c>
      <c r="AN145" s="259"/>
      <c r="AO145" s="259"/>
      <c r="AP145" s="1044"/>
      <c r="AQ145" s="259"/>
      <c r="AR145" s="259" t="s">
        <v>2877</v>
      </c>
      <c r="AS145" s="1042"/>
      <c r="AT145" s="259"/>
      <c r="AU145" s="259"/>
      <c r="AV145" s="261"/>
      <c r="AW145" s="261"/>
      <c r="AX145" s="1042"/>
      <c r="AY145" s="262"/>
    </row>
    <row r="146" spans="1:51" s="260" customFormat="1" ht="103.5" hidden="1" customHeight="1">
      <c r="A146" s="1042"/>
      <c r="B146" s="266"/>
      <c r="C146" s="1399"/>
      <c r="D146" s="1408"/>
      <c r="E146" s="1400"/>
      <c r="F146" s="267"/>
      <c r="G146" s="1399"/>
      <c r="H146" s="1408"/>
      <c r="I146" s="1400"/>
      <c r="J146" s="1380"/>
      <c r="K146" s="1380"/>
      <c r="L146" s="1380"/>
      <c r="M146" s="1042"/>
      <c r="N146" s="1042"/>
      <c r="O146" s="1042"/>
      <c r="P146" s="1042"/>
      <c r="Q146" s="266"/>
      <c r="R146" s="266"/>
      <c r="S146" s="268"/>
      <c r="T146" s="269" t="e">
        <f>VLOOKUP(Q146,[71]Listas!$D$6:$E$10,2,0)</f>
        <v>#N/A</v>
      </c>
      <c r="U146" s="269" t="e">
        <f>HLOOKUP(R146,[71]Listas!$F$4:$J$5,2,0)</f>
        <v>#N/A</v>
      </c>
      <c r="V146" s="270" t="e">
        <f>INDEX([71]Listas!$F$6:$J$10,MATCH(Q146,[71]Listas!$D$6:$D$10,0),MATCH(R146,[71]Listas!$F$4:$J$4,0))</f>
        <v>#N/A</v>
      </c>
      <c r="W146" s="268"/>
      <c r="X146" s="1399"/>
      <c r="Y146" s="1408"/>
      <c r="Z146" s="1400"/>
      <c r="AA146" s="1063"/>
      <c r="AB146" s="267"/>
      <c r="AC146" s="259"/>
      <c r="AD146" s="1042"/>
      <c r="AE146" s="267"/>
      <c r="AF146" s="268"/>
      <c r="AG146" s="269">
        <f t="shared" si="12"/>
        <v>0</v>
      </c>
      <c r="AH146" s="271" t="e">
        <f t="shared" si="13"/>
        <v>#N/A</v>
      </c>
      <c r="AI146" s="272" t="e">
        <f>IF(AH146&lt;=1,"Remota",VLOOKUP(AH146,[71]Listas!$C$6:$D$10,2,0))</f>
        <v>#N/A</v>
      </c>
      <c r="AJ146" s="271" t="e">
        <f t="shared" si="14"/>
        <v>#N/A</v>
      </c>
      <c r="AK146" s="272" t="e">
        <f>IF(AJ146&lt;=1,"Insignificante",HLOOKUP(AJ146,[71]Listas!$F$3:$J$4,2,0))</f>
        <v>#N/A</v>
      </c>
      <c r="AL146" s="273" t="e">
        <f t="shared" si="15"/>
        <v>#N/A</v>
      </c>
      <c r="AM146" s="270" t="e">
        <f>INDEX([71]Listas!$F$6:$J$10,MATCH(AI146,[71]Listas!$D$6:$D$10,0),MATCH(AK146,[71]Listas!$F$4:$J$4,0))</f>
        <v>#N/A</v>
      </c>
      <c r="AN146" s="259"/>
      <c r="AO146" s="259"/>
      <c r="AP146" s="1044"/>
      <c r="AQ146" s="259"/>
      <c r="AR146" s="259" t="s">
        <v>2877</v>
      </c>
      <c r="AS146" s="1042"/>
      <c r="AT146" s="259"/>
      <c r="AU146" s="259"/>
      <c r="AV146" s="261"/>
      <c r="AW146" s="261"/>
      <c r="AX146" s="1042"/>
      <c r="AY146" s="262"/>
    </row>
    <row r="147" spans="1:51" s="260" customFormat="1" ht="103.5" hidden="1" customHeight="1">
      <c r="A147" s="1042"/>
      <c r="B147" s="266"/>
      <c r="C147" s="1399"/>
      <c r="D147" s="1408"/>
      <c r="E147" s="1400"/>
      <c r="F147" s="267"/>
      <c r="G147" s="1399"/>
      <c r="H147" s="1408"/>
      <c r="I147" s="1400"/>
      <c r="J147" s="1380"/>
      <c r="K147" s="1380"/>
      <c r="L147" s="1380"/>
      <c r="M147" s="1042"/>
      <c r="N147" s="1042"/>
      <c r="O147" s="1042"/>
      <c r="P147" s="1042"/>
      <c r="Q147" s="266"/>
      <c r="R147" s="266"/>
      <c r="S147" s="268"/>
      <c r="T147" s="269" t="e">
        <f>VLOOKUP(Q147,[71]Listas!$D$6:$E$10,2,0)</f>
        <v>#N/A</v>
      </c>
      <c r="U147" s="269" t="e">
        <f>HLOOKUP(R147,[71]Listas!$F$4:$J$5,2,0)</f>
        <v>#N/A</v>
      </c>
      <c r="V147" s="270" t="e">
        <f>INDEX([71]Listas!$F$6:$J$10,MATCH(Q147,[71]Listas!$D$6:$D$10,0),MATCH(R147,[71]Listas!$F$4:$J$4,0))</f>
        <v>#N/A</v>
      </c>
      <c r="W147" s="268"/>
      <c r="X147" s="1399"/>
      <c r="Y147" s="1408"/>
      <c r="Z147" s="1400"/>
      <c r="AA147" s="1063"/>
      <c r="AB147" s="267"/>
      <c r="AC147" s="259"/>
      <c r="AD147" s="1042"/>
      <c r="AE147" s="267"/>
      <c r="AF147" s="268"/>
      <c r="AG147" s="269">
        <f t="shared" si="12"/>
        <v>0</v>
      </c>
      <c r="AH147" s="271" t="e">
        <f t="shared" si="13"/>
        <v>#N/A</v>
      </c>
      <c r="AI147" s="272" t="e">
        <f>IF(AH147&lt;=1,"Remota",VLOOKUP(AH147,[71]Listas!$C$6:$D$10,2,0))</f>
        <v>#N/A</v>
      </c>
      <c r="AJ147" s="271" t="e">
        <f t="shared" si="14"/>
        <v>#N/A</v>
      </c>
      <c r="AK147" s="272" t="e">
        <f>IF(AJ147&lt;=1,"Insignificante",HLOOKUP(AJ147,[71]Listas!$F$3:$J$4,2,0))</f>
        <v>#N/A</v>
      </c>
      <c r="AL147" s="273" t="e">
        <f t="shared" si="15"/>
        <v>#N/A</v>
      </c>
      <c r="AM147" s="270" t="e">
        <f>INDEX([71]Listas!$F$6:$J$10,MATCH(AI147,[71]Listas!$D$6:$D$10,0),MATCH(AK147,[71]Listas!$F$4:$J$4,0))</f>
        <v>#N/A</v>
      </c>
      <c r="AN147" s="259"/>
      <c r="AO147" s="259"/>
      <c r="AP147" s="1044"/>
      <c r="AQ147" s="259"/>
      <c r="AR147" s="259" t="s">
        <v>2877</v>
      </c>
      <c r="AS147" s="1042"/>
      <c r="AT147" s="259"/>
      <c r="AU147" s="259"/>
      <c r="AV147" s="261"/>
      <c r="AW147" s="261"/>
      <c r="AX147" s="1042"/>
      <c r="AY147" s="262"/>
    </row>
    <row r="148" spans="1:51" s="260" customFormat="1" ht="103.5" hidden="1" customHeight="1">
      <c r="A148" s="1042"/>
      <c r="B148" s="266"/>
      <c r="C148" s="1399"/>
      <c r="D148" s="1408"/>
      <c r="E148" s="1400"/>
      <c r="F148" s="267"/>
      <c r="G148" s="1399"/>
      <c r="H148" s="1408"/>
      <c r="I148" s="1400"/>
      <c r="J148" s="1380"/>
      <c r="K148" s="1380"/>
      <c r="L148" s="1380"/>
      <c r="M148" s="1042"/>
      <c r="N148" s="1042"/>
      <c r="O148" s="1042"/>
      <c r="P148" s="1042"/>
      <c r="Q148" s="266"/>
      <c r="R148" s="266"/>
      <c r="S148" s="268"/>
      <c r="T148" s="269" t="e">
        <f>VLOOKUP(Q148,[71]Listas!$D$6:$E$10,2,0)</f>
        <v>#N/A</v>
      </c>
      <c r="U148" s="269" t="e">
        <f>HLOOKUP(R148,[71]Listas!$F$4:$J$5,2,0)</f>
        <v>#N/A</v>
      </c>
      <c r="V148" s="270" t="e">
        <f>INDEX([71]Listas!$F$6:$J$10,MATCH(Q148,[71]Listas!$D$6:$D$10,0),MATCH(R148,[71]Listas!$F$4:$J$4,0))</f>
        <v>#N/A</v>
      </c>
      <c r="W148" s="268"/>
      <c r="X148" s="1399"/>
      <c r="Y148" s="1408"/>
      <c r="Z148" s="1400"/>
      <c r="AA148" s="1063"/>
      <c r="AB148" s="267"/>
      <c r="AC148" s="259"/>
      <c r="AD148" s="1042"/>
      <c r="AE148" s="267"/>
      <c r="AF148" s="268"/>
      <c r="AG148" s="269">
        <f t="shared" si="12"/>
        <v>0</v>
      </c>
      <c r="AH148" s="271" t="e">
        <f t="shared" si="13"/>
        <v>#N/A</v>
      </c>
      <c r="AI148" s="272" t="e">
        <f>IF(AH148&lt;=1,"Remota",VLOOKUP(AH148,[71]Listas!$C$6:$D$10,2,0))</f>
        <v>#N/A</v>
      </c>
      <c r="AJ148" s="271" t="e">
        <f t="shared" si="14"/>
        <v>#N/A</v>
      </c>
      <c r="AK148" s="272" t="e">
        <f>IF(AJ148&lt;=1,"Insignificante",HLOOKUP(AJ148,[71]Listas!$F$3:$J$4,2,0))</f>
        <v>#N/A</v>
      </c>
      <c r="AL148" s="273" t="e">
        <f t="shared" si="15"/>
        <v>#N/A</v>
      </c>
      <c r="AM148" s="270" t="e">
        <f>INDEX([71]Listas!$F$6:$J$10,MATCH(AI148,[71]Listas!$D$6:$D$10,0),MATCH(AK148,[71]Listas!$F$4:$J$4,0))</f>
        <v>#N/A</v>
      </c>
      <c r="AN148" s="259"/>
      <c r="AO148" s="259"/>
      <c r="AP148" s="1044"/>
      <c r="AQ148" s="259"/>
      <c r="AR148" s="259" t="s">
        <v>2877</v>
      </c>
      <c r="AS148" s="1042"/>
      <c r="AT148" s="259"/>
      <c r="AU148" s="259"/>
      <c r="AV148" s="261"/>
      <c r="AW148" s="261"/>
      <c r="AX148" s="1042"/>
      <c r="AY148" s="262"/>
    </row>
    <row r="149" spans="1:51" s="260" customFormat="1" ht="103.5" hidden="1" customHeight="1">
      <c r="A149" s="1042"/>
      <c r="B149" s="266"/>
      <c r="C149" s="1399"/>
      <c r="D149" s="1408"/>
      <c r="E149" s="1400"/>
      <c r="F149" s="267"/>
      <c r="G149" s="1399"/>
      <c r="H149" s="1408"/>
      <c r="I149" s="1400"/>
      <c r="J149" s="1380"/>
      <c r="K149" s="1380"/>
      <c r="L149" s="1380"/>
      <c r="M149" s="1042"/>
      <c r="N149" s="1042"/>
      <c r="O149" s="1042"/>
      <c r="P149" s="1042"/>
      <c r="Q149" s="266"/>
      <c r="R149" s="266"/>
      <c r="S149" s="268"/>
      <c r="T149" s="269" t="e">
        <f>VLOOKUP(Q149,[71]Listas!$D$6:$E$10,2,0)</f>
        <v>#N/A</v>
      </c>
      <c r="U149" s="269" t="e">
        <f>HLOOKUP(R149,[71]Listas!$F$4:$J$5,2,0)</f>
        <v>#N/A</v>
      </c>
      <c r="V149" s="270" t="e">
        <f>INDEX([71]Listas!$F$6:$J$10,MATCH(Q149,[71]Listas!$D$6:$D$10,0),MATCH(R149,[71]Listas!$F$4:$J$4,0))</f>
        <v>#N/A</v>
      </c>
      <c r="W149" s="268"/>
      <c r="X149" s="1399"/>
      <c r="Y149" s="1408"/>
      <c r="Z149" s="1400"/>
      <c r="AA149" s="1063"/>
      <c r="AB149" s="267"/>
      <c r="AC149" s="259"/>
      <c r="AD149" s="1042"/>
      <c r="AE149" s="267"/>
      <c r="AF149" s="268"/>
      <c r="AG149" s="269">
        <f t="shared" ref="AG149:AG166" si="16">IF(AD149&lt;=33,0,IF(AD149&gt;81,2,1))</f>
        <v>0</v>
      </c>
      <c r="AH149" s="271" t="e">
        <f t="shared" ref="AH149:AH166" si="17">IF(OR(AE149="Probabilidad",AE149="Ambos"),T149-AG149,T149)</f>
        <v>#N/A</v>
      </c>
      <c r="AI149" s="272" t="e">
        <f>IF(AH149&lt;=1,"Remota",VLOOKUP(AH149,[71]Listas!$C$6:$D$10,2,0))</f>
        <v>#N/A</v>
      </c>
      <c r="AJ149" s="271" t="e">
        <f t="shared" ref="AJ149:AJ166" si="18">IF(OR(AE149="Impacto",AE149="Ambos"),U149-AG149,U149)</f>
        <v>#N/A</v>
      </c>
      <c r="AK149" s="272" t="e">
        <f>IF(AJ149&lt;=1,"Insignificante",HLOOKUP(AJ149,[71]Listas!$F$3:$J$4,2,0))</f>
        <v>#N/A</v>
      </c>
      <c r="AL149" s="273" t="e">
        <f t="shared" ref="AL149:AL166" si="19">AH149*AJ149</f>
        <v>#N/A</v>
      </c>
      <c r="AM149" s="270" t="e">
        <f>INDEX([71]Listas!$F$6:$J$10,MATCH(AI149,[71]Listas!$D$6:$D$10,0),MATCH(AK149,[71]Listas!$F$4:$J$4,0))</f>
        <v>#N/A</v>
      </c>
      <c r="AN149" s="259"/>
      <c r="AO149" s="259"/>
      <c r="AP149" s="1044"/>
      <c r="AQ149" s="259"/>
      <c r="AR149" s="259" t="s">
        <v>2877</v>
      </c>
      <c r="AS149" s="1042"/>
      <c r="AT149" s="259"/>
      <c r="AU149" s="259"/>
      <c r="AV149" s="261"/>
      <c r="AW149" s="261"/>
      <c r="AX149" s="1042"/>
      <c r="AY149" s="262"/>
    </row>
    <row r="150" spans="1:51" s="260" customFormat="1" ht="103.5" hidden="1" customHeight="1">
      <c r="A150" s="1042"/>
      <c r="B150" s="266"/>
      <c r="C150" s="1399"/>
      <c r="D150" s="1408"/>
      <c r="E150" s="1400"/>
      <c r="F150" s="267"/>
      <c r="G150" s="1399"/>
      <c r="H150" s="1408"/>
      <c r="I150" s="1400"/>
      <c r="J150" s="1380"/>
      <c r="K150" s="1380"/>
      <c r="L150" s="1380"/>
      <c r="M150" s="1042"/>
      <c r="N150" s="1042"/>
      <c r="O150" s="1042"/>
      <c r="P150" s="1042"/>
      <c r="Q150" s="266"/>
      <c r="R150" s="266"/>
      <c r="S150" s="268"/>
      <c r="T150" s="269" t="e">
        <f>VLOOKUP(Q150,[71]Listas!$D$6:$E$10,2,0)</f>
        <v>#N/A</v>
      </c>
      <c r="U150" s="269" t="e">
        <f>HLOOKUP(R150,[71]Listas!$F$4:$J$5,2,0)</f>
        <v>#N/A</v>
      </c>
      <c r="V150" s="270" t="e">
        <f>INDEX([71]Listas!$F$6:$J$10,MATCH(Q150,[71]Listas!$D$6:$D$10,0),MATCH(R150,[71]Listas!$F$4:$J$4,0))</f>
        <v>#N/A</v>
      </c>
      <c r="W150" s="268"/>
      <c r="X150" s="1399"/>
      <c r="Y150" s="1408"/>
      <c r="Z150" s="1400"/>
      <c r="AA150" s="1063"/>
      <c r="AB150" s="267"/>
      <c r="AC150" s="259"/>
      <c r="AD150" s="1042"/>
      <c r="AE150" s="267"/>
      <c r="AF150" s="268"/>
      <c r="AG150" s="269">
        <f t="shared" si="16"/>
        <v>0</v>
      </c>
      <c r="AH150" s="271" t="e">
        <f t="shared" si="17"/>
        <v>#N/A</v>
      </c>
      <c r="AI150" s="272" t="e">
        <f>IF(AH150&lt;=1,"Remota",VLOOKUP(AH150,[71]Listas!$C$6:$D$10,2,0))</f>
        <v>#N/A</v>
      </c>
      <c r="AJ150" s="271" t="e">
        <f t="shared" si="18"/>
        <v>#N/A</v>
      </c>
      <c r="AK150" s="272" t="e">
        <f>IF(AJ150&lt;=1,"Insignificante",HLOOKUP(AJ150,[71]Listas!$F$3:$J$4,2,0))</f>
        <v>#N/A</v>
      </c>
      <c r="AL150" s="273" t="e">
        <f t="shared" si="19"/>
        <v>#N/A</v>
      </c>
      <c r="AM150" s="270" t="e">
        <f>INDEX([71]Listas!$F$6:$J$10,MATCH(AI150,[71]Listas!$D$6:$D$10,0),MATCH(AK150,[71]Listas!$F$4:$J$4,0))</f>
        <v>#N/A</v>
      </c>
      <c r="AN150" s="259"/>
      <c r="AO150" s="259"/>
      <c r="AP150" s="1044"/>
      <c r="AQ150" s="259"/>
      <c r="AR150" s="259" t="s">
        <v>2877</v>
      </c>
      <c r="AS150" s="1042"/>
      <c r="AT150" s="259"/>
      <c r="AU150" s="259"/>
      <c r="AV150" s="261"/>
      <c r="AW150" s="261"/>
      <c r="AX150" s="1042"/>
      <c r="AY150" s="262"/>
    </row>
    <row r="151" spans="1:51" s="260" customFormat="1" ht="103.5" hidden="1" customHeight="1">
      <c r="A151" s="1042"/>
      <c r="B151" s="266"/>
      <c r="C151" s="1399"/>
      <c r="D151" s="1408"/>
      <c r="E151" s="1400"/>
      <c r="F151" s="267"/>
      <c r="G151" s="1399"/>
      <c r="H151" s="1408"/>
      <c r="I151" s="1400"/>
      <c r="J151" s="1380"/>
      <c r="K151" s="1380"/>
      <c r="L151" s="1380"/>
      <c r="M151" s="1042"/>
      <c r="N151" s="1042"/>
      <c r="O151" s="1042"/>
      <c r="P151" s="1042"/>
      <c r="Q151" s="266"/>
      <c r="R151" s="266"/>
      <c r="S151" s="268"/>
      <c r="T151" s="269" t="e">
        <f>VLOOKUP(Q151,[71]Listas!$D$6:$E$10,2,0)</f>
        <v>#N/A</v>
      </c>
      <c r="U151" s="269" t="e">
        <f>HLOOKUP(R151,[71]Listas!$F$4:$J$5,2,0)</f>
        <v>#N/A</v>
      </c>
      <c r="V151" s="270" t="e">
        <f>INDEX([71]Listas!$F$6:$J$10,MATCH(Q151,[71]Listas!$D$6:$D$10,0),MATCH(R151,[71]Listas!$F$4:$J$4,0))</f>
        <v>#N/A</v>
      </c>
      <c r="W151" s="268"/>
      <c r="X151" s="1399"/>
      <c r="Y151" s="1408"/>
      <c r="Z151" s="1400"/>
      <c r="AA151" s="1063"/>
      <c r="AB151" s="267"/>
      <c r="AC151" s="259"/>
      <c r="AD151" s="1042"/>
      <c r="AE151" s="267"/>
      <c r="AF151" s="268"/>
      <c r="AG151" s="269">
        <f t="shared" si="16"/>
        <v>0</v>
      </c>
      <c r="AH151" s="271" t="e">
        <f t="shared" si="17"/>
        <v>#N/A</v>
      </c>
      <c r="AI151" s="272" t="e">
        <f>IF(AH151&lt;=1,"Remota",VLOOKUP(AH151,[71]Listas!$C$6:$D$10,2,0))</f>
        <v>#N/A</v>
      </c>
      <c r="AJ151" s="271" t="e">
        <f t="shared" si="18"/>
        <v>#N/A</v>
      </c>
      <c r="AK151" s="272" t="e">
        <f>IF(AJ151&lt;=1,"Insignificante",HLOOKUP(AJ151,[71]Listas!$F$3:$J$4,2,0))</f>
        <v>#N/A</v>
      </c>
      <c r="AL151" s="273" t="e">
        <f t="shared" si="19"/>
        <v>#N/A</v>
      </c>
      <c r="AM151" s="270" t="e">
        <f>INDEX([71]Listas!$F$6:$J$10,MATCH(AI151,[71]Listas!$D$6:$D$10,0),MATCH(AK151,[71]Listas!$F$4:$J$4,0))</f>
        <v>#N/A</v>
      </c>
      <c r="AN151" s="259"/>
      <c r="AO151" s="259"/>
      <c r="AP151" s="1044"/>
      <c r="AQ151" s="259"/>
      <c r="AR151" s="259" t="s">
        <v>2877</v>
      </c>
      <c r="AS151" s="1042"/>
      <c r="AT151" s="259"/>
      <c r="AU151" s="259"/>
      <c r="AV151" s="261"/>
      <c r="AW151" s="261"/>
      <c r="AX151" s="1042"/>
      <c r="AY151" s="262"/>
    </row>
    <row r="152" spans="1:51" s="260" customFormat="1" ht="103.5" hidden="1" customHeight="1">
      <c r="A152" s="1042"/>
      <c r="B152" s="266"/>
      <c r="C152" s="1399"/>
      <c r="D152" s="1408"/>
      <c r="E152" s="1400"/>
      <c r="F152" s="267"/>
      <c r="G152" s="1399"/>
      <c r="H152" s="1408"/>
      <c r="I152" s="1400"/>
      <c r="J152" s="1380"/>
      <c r="K152" s="1380"/>
      <c r="L152" s="1380"/>
      <c r="M152" s="1042"/>
      <c r="N152" s="1042"/>
      <c r="O152" s="1042"/>
      <c r="P152" s="1042"/>
      <c r="Q152" s="266"/>
      <c r="R152" s="266"/>
      <c r="S152" s="268"/>
      <c r="T152" s="269" t="e">
        <f>VLOOKUP(Q152,[71]Listas!$D$6:$E$10,2,0)</f>
        <v>#N/A</v>
      </c>
      <c r="U152" s="269" t="e">
        <f>HLOOKUP(R152,[71]Listas!$F$4:$J$5,2,0)</f>
        <v>#N/A</v>
      </c>
      <c r="V152" s="270" t="e">
        <f>INDEX([71]Listas!$F$6:$J$10,MATCH(Q152,[71]Listas!$D$6:$D$10,0),MATCH(R152,[71]Listas!$F$4:$J$4,0))</f>
        <v>#N/A</v>
      </c>
      <c r="W152" s="268"/>
      <c r="X152" s="1399"/>
      <c r="Y152" s="1408"/>
      <c r="Z152" s="1400"/>
      <c r="AA152" s="1063"/>
      <c r="AB152" s="267"/>
      <c r="AC152" s="259"/>
      <c r="AD152" s="1042"/>
      <c r="AE152" s="267"/>
      <c r="AF152" s="268"/>
      <c r="AG152" s="269">
        <f t="shared" si="16"/>
        <v>0</v>
      </c>
      <c r="AH152" s="271" t="e">
        <f t="shared" si="17"/>
        <v>#N/A</v>
      </c>
      <c r="AI152" s="272" t="e">
        <f>IF(AH152&lt;=1,"Remota",VLOOKUP(AH152,[71]Listas!$C$6:$D$10,2,0))</f>
        <v>#N/A</v>
      </c>
      <c r="AJ152" s="271" t="e">
        <f t="shared" si="18"/>
        <v>#N/A</v>
      </c>
      <c r="AK152" s="272" t="e">
        <f>IF(AJ152&lt;=1,"Insignificante",HLOOKUP(AJ152,[71]Listas!$F$3:$J$4,2,0))</f>
        <v>#N/A</v>
      </c>
      <c r="AL152" s="273" t="e">
        <f t="shared" si="19"/>
        <v>#N/A</v>
      </c>
      <c r="AM152" s="270" t="e">
        <f>INDEX([71]Listas!$F$6:$J$10,MATCH(AI152,[71]Listas!$D$6:$D$10,0),MATCH(AK152,[71]Listas!$F$4:$J$4,0))</f>
        <v>#N/A</v>
      </c>
      <c r="AN152" s="259"/>
      <c r="AO152" s="259"/>
      <c r="AP152" s="1044"/>
      <c r="AQ152" s="259"/>
      <c r="AR152" s="259" t="s">
        <v>2877</v>
      </c>
      <c r="AS152" s="1042"/>
      <c r="AT152" s="259"/>
      <c r="AU152" s="259"/>
      <c r="AV152" s="261"/>
      <c r="AW152" s="261"/>
      <c r="AX152" s="1042"/>
      <c r="AY152" s="262"/>
    </row>
    <row r="153" spans="1:51" s="260" customFormat="1" ht="103.5" hidden="1" customHeight="1">
      <c r="A153" s="1042"/>
      <c r="B153" s="266"/>
      <c r="C153" s="1399"/>
      <c r="D153" s="1408"/>
      <c r="E153" s="1400"/>
      <c r="F153" s="267"/>
      <c r="G153" s="1399"/>
      <c r="H153" s="1408"/>
      <c r="I153" s="1400"/>
      <c r="J153" s="1380"/>
      <c r="K153" s="1380"/>
      <c r="L153" s="1380"/>
      <c r="M153" s="1042"/>
      <c r="N153" s="1042"/>
      <c r="O153" s="1042"/>
      <c r="P153" s="1042"/>
      <c r="Q153" s="266"/>
      <c r="R153" s="266"/>
      <c r="S153" s="268"/>
      <c r="T153" s="269" t="e">
        <f>VLOOKUP(Q153,[71]Listas!$D$6:$E$10,2,0)</f>
        <v>#N/A</v>
      </c>
      <c r="U153" s="269" t="e">
        <f>HLOOKUP(R153,[71]Listas!$F$4:$J$5,2,0)</f>
        <v>#N/A</v>
      </c>
      <c r="V153" s="270" t="e">
        <f>INDEX([71]Listas!$F$6:$J$10,MATCH(Q153,[71]Listas!$D$6:$D$10,0),MATCH(R153,[71]Listas!$F$4:$J$4,0))</f>
        <v>#N/A</v>
      </c>
      <c r="W153" s="268"/>
      <c r="X153" s="1399"/>
      <c r="Y153" s="1408"/>
      <c r="Z153" s="1400"/>
      <c r="AA153" s="1063"/>
      <c r="AB153" s="267"/>
      <c r="AC153" s="259"/>
      <c r="AD153" s="1042"/>
      <c r="AE153" s="267"/>
      <c r="AF153" s="268"/>
      <c r="AG153" s="269">
        <f t="shared" si="16"/>
        <v>0</v>
      </c>
      <c r="AH153" s="271" t="e">
        <f t="shared" si="17"/>
        <v>#N/A</v>
      </c>
      <c r="AI153" s="272" t="e">
        <f>IF(AH153&lt;=1,"Remota",VLOOKUP(AH153,[71]Listas!$C$6:$D$10,2,0))</f>
        <v>#N/A</v>
      </c>
      <c r="AJ153" s="271" t="e">
        <f t="shared" si="18"/>
        <v>#N/A</v>
      </c>
      <c r="AK153" s="272" t="e">
        <f>IF(AJ153&lt;=1,"Insignificante",HLOOKUP(AJ153,[71]Listas!$F$3:$J$4,2,0))</f>
        <v>#N/A</v>
      </c>
      <c r="AL153" s="273" t="e">
        <f t="shared" si="19"/>
        <v>#N/A</v>
      </c>
      <c r="AM153" s="270" t="e">
        <f>INDEX([71]Listas!$F$6:$J$10,MATCH(AI153,[71]Listas!$D$6:$D$10,0),MATCH(AK153,[71]Listas!$F$4:$J$4,0))</f>
        <v>#N/A</v>
      </c>
      <c r="AN153" s="259"/>
      <c r="AO153" s="259"/>
      <c r="AP153" s="1044"/>
      <c r="AQ153" s="259"/>
      <c r="AR153" s="259" t="s">
        <v>2877</v>
      </c>
      <c r="AS153" s="1042"/>
      <c r="AT153" s="259"/>
      <c r="AU153" s="259"/>
      <c r="AV153" s="261"/>
      <c r="AW153" s="261"/>
      <c r="AX153" s="1042"/>
      <c r="AY153" s="262"/>
    </row>
    <row r="154" spans="1:51" s="260" customFormat="1" ht="103.5" hidden="1" customHeight="1">
      <c r="A154" s="1042"/>
      <c r="B154" s="266"/>
      <c r="C154" s="1399"/>
      <c r="D154" s="1408"/>
      <c r="E154" s="1400"/>
      <c r="F154" s="267"/>
      <c r="G154" s="1399"/>
      <c r="H154" s="1408"/>
      <c r="I154" s="1400"/>
      <c r="J154" s="1380"/>
      <c r="K154" s="1380"/>
      <c r="L154" s="1380"/>
      <c r="M154" s="1042"/>
      <c r="N154" s="1042"/>
      <c r="O154" s="1042"/>
      <c r="P154" s="1042"/>
      <c r="Q154" s="266"/>
      <c r="R154" s="266"/>
      <c r="S154" s="268"/>
      <c r="T154" s="269" t="e">
        <f>VLOOKUP(Q154,[71]Listas!$D$6:$E$10,2,0)</f>
        <v>#N/A</v>
      </c>
      <c r="U154" s="269" t="e">
        <f>HLOOKUP(R154,[71]Listas!$F$4:$J$5,2,0)</f>
        <v>#N/A</v>
      </c>
      <c r="V154" s="270" t="e">
        <f>INDEX([71]Listas!$F$6:$J$10,MATCH(Q154,[71]Listas!$D$6:$D$10,0),MATCH(R154,[71]Listas!$F$4:$J$4,0))</f>
        <v>#N/A</v>
      </c>
      <c r="W154" s="268"/>
      <c r="X154" s="1399"/>
      <c r="Y154" s="1408"/>
      <c r="Z154" s="1400"/>
      <c r="AA154" s="1063"/>
      <c r="AB154" s="267"/>
      <c r="AC154" s="259"/>
      <c r="AD154" s="1042"/>
      <c r="AE154" s="267"/>
      <c r="AF154" s="268"/>
      <c r="AG154" s="269">
        <f t="shared" si="16"/>
        <v>0</v>
      </c>
      <c r="AH154" s="271" t="e">
        <f t="shared" si="17"/>
        <v>#N/A</v>
      </c>
      <c r="AI154" s="272" t="e">
        <f>IF(AH154&lt;=1,"Remota",VLOOKUP(AH154,[71]Listas!$C$6:$D$10,2,0))</f>
        <v>#N/A</v>
      </c>
      <c r="AJ154" s="271" t="e">
        <f t="shared" si="18"/>
        <v>#N/A</v>
      </c>
      <c r="AK154" s="272" t="e">
        <f>IF(AJ154&lt;=1,"Insignificante",HLOOKUP(AJ154,[71]Listas!$F$3:$J$4,2,0))</f>
        <v>#N/A</v>
      </c>
      <c r="AL154" s="273" t="e">
        <f t="shared" si="19"/>
        <v>#N/A</v>
      </c>
      <c r="AM154" s="270" t="e">
        <f>INDEX([71]Listas!$F$6:$J$10,MATCH(AI154,[71]Listas!$D$6:$D$10,0),MATCH(AK154,[71]Listas!$F$4:$J$4,0))</f>
        <v>#N/A</v>
      </c>
      <c r="AN154" s="259"/>
      <c r="AO154" s="259"/>
      <c r="AP154" s="1044"/>
      <c r="AQ154" s="259"/>
      <c r="AR154" s="259" t="s">
        <v>2877</v>
      </c>
      <c r="AS154" s="1042"/>
      <c r="AT154" s="259"/>
      <c r="AU154" s="259"/>
      <c r="AV154" s="261"/>
      <c r="AW154" s="261"/>
      <c r="AX154" s="1042"/>
      <c r="AY154" s="262"/>
    </row>
    <row r="155" spans="1:51" s="260" customFormat="1" ht="103.5" hidden="1" customHeight="1">
      <c r="A155" s="1042"/>
      <c r="B155" s="266"/>
      <c r="C155" s="1399"/>
      <c r="D155" s="1408"/>
      <c r="E155" s="1400"/>
      <c r="F155" s="267"/>
      <c r="G155" s="1399"/>
      <c r="H155" s="1408"/>
      <c r="I155" s="1400"/>
      <c r="J155" s="1380"/>
      <c r="K155" s="1380"/>
      <c r="L155" s="1380"/>
      <c r="M155" s="1042"/>
      <c r="N155" s="1042"/>
      <c r="O155" s="1042"/>
      <c r="P155" s="1042"/>
      <c r="Q155" s="266"/>
      <c r="R155" s="266"/>
      <c r="S155" s="268"/>
      <c r="T155" s="269" t="e">
        <f>VLOOKUP(Q155,[71]Listas!$D$6:$E$10,2,0)</f>
        <v>#N/A</v>
      </c>
      <c r="U155" s="269" t="e">
        <f>HLOOKUP(R155,[71]Listas!$F$4:$J$5,2,0)</f>
        <v>#N/A</v>
      </c>
      <c r="V155" s="270" t="e">
        <f>INDEX([71]Listas!$F$6:$J$10,MATCH(Q155,[71]Listas!$D$6:$D$10,0),MATCH(R155,[71]Listas!$F$4:$J$4,0))</f>
        <v>#N/A</v>
      </c>
      <c r="W155" s="268"/>
      <c r="X155" s="1399"/>
      <c r="Y155" s="1408"/>
      <c r="Z155" s="1400"/>
      <c r="AA155" s="1063"/>
      <c r="AB155" s="267"/>
      <c r="AC155" s="259"/>
      <c r="AD155" s="1042"/>
      <c r="AE155" s="267"/>
      <c r="AF155" s="268"/>
      <c r="AG155" s="269">
        <f t="shared" si="16"/>
        <v>0</v>
      </c>
      <c r="AH155" s="271" t="e">
        <f t="shared" si="17"/>
        <v>#N/A</v>
      </c>
      <c r="AI155" s="272" t="e">
        <f>IF(AH155&lt;=1,"Remota",VLOOKUP(AH155,[71]Listas!$C$6:$D$10,2,0))</f>
        <v>#N/A</v>
      </c>
      <c r="AJ155" s="271" t="e">
        <f t="shared" si="18"/>
        <v>#N/A</v>
      </c>
      <c r="AK155" s="272" t="e">
        <f>IF(AJ155&lt;=1,"Insignificante",HLOOKUP(AJ155,[71]Listas!$F$3:$J$4,2,0))</f>
        <v>#N/A</v>
      </c>
      <c r="AL155" s="273" t="e">
        <f t="shared" si="19"/>
        <v>#N/A</v>
      </c>
      <c r="AM155" s="270" t="e">
        <f>INDEX([71]Listas!$F$6:$J$10,MATCH(AI155,[71]Listas!$D$6:$D$10,0),MATCH(AK155,[71]Listas!$F$4:$J$4,0))</f>
        <v>#N/A</v>
      </c>
      <c r="AN155" s="259"/>
      <c r="AO155" s="259"/>
      <c r="AP155" s="1044"/>
      <c r="AQ155" s="259"/>
      <c r="AR155" s="259" t="s">
        <v>2877</v>
      </c>
      <c r="AS155" s="1042"/>
      <c r="AT155" s="259"/>
      <c r="AU155" s="259"/>
      <c r="AV155" s="261"/>
      <c r="AW155" s="261"/>
      <c r="AX155" s="1042"/>
      <c r="AY155" s="262"/>
    </row>
    <row r="156" spans="1:51" s="260" customFormat="1" ht="103.5" hidden="1" customHeight="1">
      <c r="A156" s="1042"/>
      <c r="B156" s="266"/>
      <c r="C156" s="1399"/>
      <c r="D156" s="1408"/>
      <c r="E156" s="1400"/>
      <c r="F156" s="267"/>
      <c r="G156" s="1399"/>
      <c r="H156" s="1408"/>
      <c r="I156" s="1400"/>
      <c r="J156" s="1380"/>
      <c r="K156" s="1380"/>
      <c r="L156" s="1380"/>
      <c r="M156" s="1042"/>
      <c r="N156" s="1042"/>
      <c r="O156" s="1042"/>
      <c r="P156" s="1042"/>
      <c r="Q156" s="266"/>
      <c r="R156" s="266"/>
      <c r="S156" s="268"/>
      <c r="T156" s="269" t="e">
        <f>VLOOKUP(Q156,[71]Listas!$D$6:$E$10,2,0)</f>
        <v>#N/A</v>
      </c>
      <c r="U156" s="269" t="e">
        <f>HLOOKUP(R156,[71]Listas!$F$4:$J$5,2,0)</f>
        <v>#N/A</v>
      </c>
      <c r="V156" s="270" t="e">
        <f>INDEX([71]Listas!$F$6:$J$10,MATCH(Q156,[71]Listas!$D$6:$D$10,0),MATCH(R156,[71]Listas!$F$4:$J$4,0))</f>
        <v>#N/A</v>
      </c>
      <c r="W156" s="268"/>
      <c r="X156" s="1399"/>
      <c r="Y156" s="1408"/>
      <c r="Z156" s="1400"/>
      <c r="AA156" s="1063"/>
      <c r="AB156" s="267"/>
      <c r="AC156" s="259"/>
      <c r="AD156" s="1042"/>
      <c r="AE156" s="267"/>
      <c r="AF156" s="268"/>
      <c r="AG156" s="269">
        <f t="shared" si="16"/>
        <v>0</v>
      </c>
      <c r="AH156" s="271" t="e">
        <f t="shared" si="17"/>
        <v>#N/A</v>
      </c>
      <c r="AI156" s="272" t="e">
        <f>IF(AH156&lt;=1,"Remota",VLOOKUP(AH156,[71]Listas!$C$6:$D$10,2,0))</f>
        <v>#N/A</v>
      </c>
      <c r="AJ156" s="271" t="e">
        <f t="shared" si="18"/>
        <v>#N/A</v>
      </c>
      <c r="AK156" s="272" t="e">
        <f>IF(AJ156&lt;=1,"Insignificante",HLOOKUP(AJ156,[71]Listas!$F$3:$J$4,2,0))</f>
        <v>#N/A</v>
      </c>
      <c r="AL156" s="273" t="e">
        <f t="shared" si="19"/>
        <v>#N/A</v>
      </c>
      <c r="AM156" s="270" t="e">
        <f>INDEX([71]Listas!$F$6:$J$10,MATCH(AI156,[71]Listas!$D$6:$D$10,0),MATCH(AK156,[71]Listas!$F$4:$J$4,0))</f>
        <v>#N/A</v>
      </c>
      <c r="AN156" s="259"/>
      <c r="AO156" s="259"/>
      <c r="AP156" s="1044"/>
      <c r="AQ156" s="259"/>
      <c r="AR156" s="259" t="s">
        <v>2877</v>
      </c>
      <c r="AS156" s="1042"/>
      <c r="AT156" s="259"/>
      <c r="AU156" s="259"/>
      <c r="AV156" s="261"/>
      <c r="AW156" s="261"/>
      <c r="AX156" s="1042"/>
      <c r="AY156" s="262"/>
    </row>
    <row r="157" spans="1:51" s="260" customFormat="1" ht="103.5" hidden="1" customHeight="1">
      <c r="A157" s="1042"/>
      <c r="B157" s="266"/>
      <c r="C157" s="1399"/>
      <c r="D157" s="1408"/>
      <c r="E157" s="1400"/>
      <c r="F157" s="267"/>
      <c r="G157" s="1399"/>
      <c r="H157" s="1408"/>
      <c r="I157" s="1400"/>
      <c r="J157" s="1380"/>
      <c r="K157" s="1380"/>
      <c r="L157" s="1380"/>
      <c r="M157" s="1042"/>
      <c r="N157" s="1042"/>
      <c r="O157" s="1042"/>
      <c r="P157" s="1042"/>
      <c r="Q157" s="266"/>
      <c r="R157" s="266"/>
      <c r="S157" s="268"/>
      <c r="T157" s="269" t="e">
        <f>VLOOKUP(Q157,[71]Listas!$D$6:$E$10,2,0)</f>
        <v>#N/A</v>
      </c>
      <c r="U157" s="269" t="e">
        <f>HLOOKUP(R157,[71]Listas!$F$4:$J$5,2,0)</f>
        <v>#N/A</v>
      </c>
      <c r="V157" s="270" t="e">
        <f>INDEX([71]Listas!$F$6:$J$10,MATCH(Q157,[71]Listas!$D$6:$D$10,0),MATCH(R157,[71]Listas!$F$4:$J$4,0))</f>
        <v>#N/A</v>
      </c>
      <c r="W157" s="268"/>
      <c r="X157" s="1399"/>
      <c r="Y157" s="1408"/>
      <c r="Z157" s="1400"/>
      <c r="AA157" s="1063"/>
      <c r="AB157" s="267"/>
      <c r="AC157" s="259"/>
      <c r="AD157" s="1042"/>
      <c r="AE157" s="267"/>
      <c r="AF157" s="268"/>
      <c r="AG157" s="269">
        <f t="shared" si="16"/>
        <v>0</v>
      </c>
      <c r="AH157" s="271" t="e">
        <f t="shared" si="17"/>
        <v>#N/A</v>
      </c>
      <c r="AI157" s="272" t="e">
        <f>IF(AH157&lt;=1,"Remota",VLOOKUP(AH157,[71]Listas!$C$6:$D$10,2,0))</f>
        <v>#N/A</v>
      </c>
      <c r="AJ157" s="271" t="e">
        <f t="shared" si="18"/>
        <v>#N/A</v>
      </c>
      <c r="AK157" s="272" t="e">
        <f>IF(AJ157&lt;=1,"Insignificante",HLOOKUP(AJ157,[71]Listas!$F$3:$J$4,2,0))</f>
        <v>#N/A</v>
      </c>
      <c r="AL157" s="273" t="e">
        <f t="shared" si="19"/>
        <v>#N/A</v>
      </c>
      <c r="AM157" s="270" t="e">
        <f>INDEX([71]Listas!$F$6:$J$10,MATCH(AI157,[71]Listas!$D$6:$D$10,0),MATCH(AK157,[71]Listas!$F$4:$J$4,0))</f>
        <v>#N/A</v>
      </c>
      <c r="AN157" s="259"/>
      <c r="AO157" s="259"/>
      <c r="AP157" s="1044"/>
      <c r="AQ157" s="259"/>
      <c r="AR157" s="259" t="s">
        <v>2877</v>
      </c>
      <c r="AS157" s="1042"/>
      <c r="AT157" s="259"/>
      <c r="AU157" s="259"/>
      <c r="AV157" s="261"/>
      <c r="AW157" s="261"/>
      <c r="AX157" s="1042"/>
      <c r="AY157" s="262"/>
    </row>
    <row r="158" spans="1:51" s="260" customFormat="1" ht="103.5" hidden="1" customHeight="1">
      <c r="A158" s="1042"/>
      <c r="B158" s="266"/>
      <c r="C158" s="1399"/>
      <c r="D158" s="1408"/>
      <c r="E158" s="1400"/>
      <c r="F158" s="267"/>
      <c r="G158" s="1399"/>
      <c r="H158" s="1408"/>
      <c r="I158" s="1400"/>
      <c r="J158" s="1380"/>
      <c r="K158" s="1380"/>
      <c r="L158" s="1380"/>
      <c r="M158" s="1042"/>
      <c r="N158" s="1042"/>
      <c r="O158" s="1042"/>
      <c r="P158" s="1042"/>
      <c r="Q158" s="266"/>
      <c r="R158" s="266"/>
      <c r="S158" s="268"/>
      <c r="T158" s="269" t="e">
        <f>VLOOKUP(Q158,[71]Listas!$D$6:$E$10,2,0)</f>
        <v>#N/A</v>
      </c>
      <c r="U158" s="269" t="e">
        <f>HLOOKUP(R158,[71]Listas!$F$4:$J$5,2,0)</f>
        <v>#N/A</v>
      </c>
      <c r="V158" s="270" t="e">
        <f>INDEX([71]Listas!$F$6:$J$10,MATCH(Q158,[71]Listas!$D$6:$D$10,0),MATCH(R158,[71]Listas!$F$4:$J$4,0))</f>
        <v>#N/A</v>
      </c>
      <c r="W158" s="268"/>
      <c r="X158" s="1399"/>
      <c r="Y158" s="1408"/>
      <c r="Z158" s="1400"/>
      <c r="AA158" s="1063"/>
      <c r="AB158" s="267"/>
      <c r="AC158" s="259"/>
      <c r="AD158" s="1042"/>
      <c r="AE158" s="267"/>
      <c r="AF158" s="268"/>
      <c r="AG158" s="269">
        <f t="shared" si="16"/>
        <v>0</v>
      </c>
      <c r="AH158" s="271" t="e">
        <f t="shared" si="17"/>
        <v>#N/A</v>
      </c>
      <c r="AI158" s="272" t="e">
        <f>IF(AH158&lt;=1,"Remota",VLOOKUP(AH158,[71]Listas!$C$6:$D$10,2,0))</f>
        <v>#N/A</v>
      </c>
      <c r="AJ158" s="271" t="e">
        <f t="shared" si="18"/>
        <v>#N/A</v>
      </c>
      <c r="AK158" s="272" t="e">
        <f>IF(AJ158&lt;=1,"Insignificante",HLOOKUP(AJ158,[71]Listas!$F$3:$J$4,2,0))</f>
        <v>#N/A</v>
      </c>
      <c r="AL158" s="273" t="e">
        <f t="shared" si="19"/>
        <v>#N/A</v>
      </c>
      <c r="AM158" s="270" t="e">
        <f>INDEX([71]Listas!$F$6:$J$10,MATCH(AI158,[71]Listas!$D$6:$D$10,0),MATCH(AK158,[71]Listas!$F$4:$J$4,0))</f>
        <v>#N/A</v>
      </c>
      <c r="AN158" s="259"/>
      <c r="AO158" s="259"/>
      <c r="AP158" s="1044"/>
      <c r="AQ158" s="259"/>
      <c r="AR158" s="259" t="s">
        <v>2877</v>
      </c>
      <c r="AS158" s="1042"/>
      <c r="AT158" s="259"/>
      <c r="AU158" s="259"/>
      <c r="AV158" s="261"/>
      <c r="AW158" s="261"/>
      <c r="AX158" s="1042"/>
      <c r="AY158" s="262"/>
    </row>
    <row r="159" spans="1:51" s="260" customFormat="1" ht="103.5" hidden="1" customHeight="1">
      <c r="A159" s="1042"/>
      <c r="B159" s="266"/>
      <c r="C159" s="1399"/>
      <c r="D159" s="1408"/>
      <c r="E159" s="1400"/>
      <c r="F159" s="267"/>
      <c r="G159" s="1399"/>
      <c r="H159" s="1408"/>
      <c r="I159" s="1400"/>
      <c r="J159" s="1380"/>
      <c r="K159" s="1380"/>
      <c r="L159" s="1380"/>
      <c r="M159" s="1042"/>
      <c r="N159" s="1042"/>
      <c r="O159" s="1042"/>
      <c r="P159" s="1042"/>
      <c r="Q159" s="266"/>
      <c r="R159" s="266"/>
      <c r="S159" s="268"/>
      <c r="T159" s="269" t="e">
        <f>VLOOKUP(Q159,[71]Listas!$D$6:$E$10,2,0)</f>
        <v>#N/A</v>
      </c>
      <c r="U159" s="269" t="e">
        <f>HLOOKUP(R159,[71]Listas!$F$4:$J$5,2,0)</f>
        <v>#N/A</v>
      </c>
      <c r="V159" s="270" t="e">
        <f>INDEX([71]Listas!$F$6:$J$10,MATCH(Q159,[71]Listas!$D$6:$D$10,0),MATCH(R159,[71]Listas!$F$4:$J$4,0))</f>
        <v>#N/A</v>
      </c>
      <c r="W159" s="268"/>
      <c r="X159" s="1399"/>
      <c r="Y159" s="1408"/>
      <c r="Z159" s="1400"/>
      <c r="AA159" s="1063"/>
      <c r="AB159" s="267"/>
      <c r="AC159" s="259"/>
      <c r="AD159" s="1042"/>
      <c r="AE159" s="267"/>
      <c r="AF159" s="268"/>
      <c r="AG159" s="269">
        <f t="shared" si="16"/>
        <v>0</v>
      </c>
      <c r="AH159" s="271" t="e">
        <f t="shared" si="17"/>
        <v>#N/A</v>
      </c>
      <c r="AI159" s="272" t="e">
        <f>IF(AH159&lt;=1,"Remota",VLOOKUP(AH159,[71]Listas!$C$6:$D$10,2,0))</f>
        <v>#N/A</v>
      </c>
      <c r="AJ159" s="271" t="e">
        <f t="shared" si="18"/>
        <v>#N/A</v>
      </c>
      <c r="AK159" s="272" t="e">
        <f>IF(AJ159&lt;=1,"Insignificante",HLOOKUP(AJ159,[71]Listas!$F$3:$J$4,2,0))</f>
        <v>#N/A</v>
      </c>
      <c r="AL159" s="273" t="e">
        <f t="shared" si="19"/>
        <v>#N/A</v>
      </c>
      <c r="AM159" s="270" t="e">
        <f>INDEX([71]Listas!$F$6:$J$10,MATCH(AI159,[71]Listas!$D$6:$D$10,0),MATCH(AK159,[71]Listas!$F$4:$J$4,0))</f>
        <v>#N/A</v>
      </c>
      <c r="AN159" s="259"/>
      <c r="AO159" s="259"/>
      <c r="AP159" s="1044"/>
      <c r="AQ159" s="259"/>
      <c r="AR159" s="259" t="s">
        <v>2877</v>
      </c>
      <c r="AS159" s="1042"/>
      <c r="AT159" s="259"/>
      <c r="AU159" s="259"/>
      <c r="AV159" s="261"/>
      <c r="AW159" s="261"/>
      <c r="AX159" s="1042"/>
      <c r="AY159" s="262"/>
    </row>
    <row r="160" spans="1:51" s="260" customFormat="1" ht="103.5" hidden="1" customHeight="1">
      <c r="A160" s="1042"/>
      <c r="B160" s="266"/>
      <c r="C160" s="1399"/>
      <c r="D160" s="1408"/>
      <c r="E160" s="1400"/>
      <c r="F160" s="267"/>
      <c r="G160" s="1399"/>
      <c r="H160" s="1408"/>
      <c r="I160" s="1400"/>
      <c r="J160" s="1380"/>
      <c r="K160" s="1380"/>
      <c r="L160" s="1380"/>
      <c r="M160" s="1042"/>
      <c r="N160" s="1042"/>
      <c r="O160" s="1042"/>
      <c r="P160" s="1042"/>
      <c r="Q160" s="266"/>
      <c r="R160" s="266"/>
      <c r="S160" s="268"/>
      <c r="T160" s="269" t="e">
        <f>VLOOKUP(Q160,[71]Listas!$D$6:$E$10,2,0)</f>
        <v>#N/A</v>
      </c>
      <c r="U160" s="269" t="e">
        <f>HLOOKUP(R160,[71]Listas!$F$4:$J$5,2,0)</f>
        <v>#N/A</v>
      </c>
      <c r="V160" s="270" t="e">
        <f>INDEX([71]Listas!$F$6:$J$10,MATCH(Q160,[71]Listas!$D$6:$D$10,0),MATCH(R160,[71]Listas!$F$4:$J$4,0))</f>
        <v>#N/A</v>
      </c>
      <c r="W160" s="268"/>
      <c r="X160" s="1399"/>
      <c r="Y160" s="1408"/>
      <c r="Z160" s="1400"/>
      <c r="AA160" s="1063"/>
      <c r="AB160" s="267"/>
      <c r="AC160" s="259"/>
      <c r="AD160" s="1042"/>
      <c r="AE160" s="267"/>
      <c r="AF160" s="268"/>
      <c r="AG160" s="269">
        <f t="shared" si="16"/>
        <v>0</v>
      </c>
      <c r="AH160" s="271" t="e">
        <f t="shared" si="17"/>
        <v>#N/A</v>
      </c>
      <c r="AI160" s="272" t="e">
        <f>IF(AH160&lt;=1,"Remota",VLOOKUP(AH160,[71]Listas!$C$6:$D$10,2,0))</f>
        <v>#N/A</v>
      </c>
      <c r="AJ160" s="271" t="e">
        <f t="shared" si="18"/>
        <v>#N/A</v>
      </c>
      <c r="AK160" s="272" t="e">
        <f>IF(AJ160&lt;=1,"Insignificante",HLOOKUP(AJ160,[71]Listas!$F$3:$J$4,2,0))</f>
        <v>#N/A</v>
      </c>
      <c r="AL160" s="273" t="e">
        <f t="shared" si="19"/>
        <v>#N/A</v>
      </c>
      <c r="AM160" s="270" t="e">
        <f>INDEX([71]Listas!$F$6:$J$10,MATCH(AI160,[71]Listas!$D$6:$D$10,0),MATCH(AK160,[71]Listas!$F$4:$J$4,0))</f>
        <v>#N/A</v>
      </c>
      <c r="AN160" s="259"/>
      <c r="AO160" s="259"/>
      <c r="AP160" s="1044"/>
      <c r="AQ160" s="259"/>
      <c r="AR160" s="259" t="s">
        <v>2877</v>
      </c>
      <c r="AS160" s="1042"/>
      <c r="AT160" s="259"/>
      <c r="AU160" s="259"/>
      <c r="AV160" s="261"/>
      <c r="AW160" s="261"/>
      <c r="AX160" s="1042"/>
      <c r="AY160" s="262"/>
    </row>
    <row r="161" spans="1:1027" s="260" customFormat="1" ht="103.5" hidden="1" customHeight="1">
      <c r="A161" s="1042"/>
      <c r="B161" s="266"/>
      <c r="C161" s="1399"/>
      <c r="D161" s="1408"/>
      <c r="E161" s="1400"/>
      <c r="F161" s="267"/>
      <c r="G161" s="1399"/>
      <c r="H161" s="1408"/>
      <c r="I161" s="1400"/>
      <c r="J161" s="1380"/>
      <c r="K161" s="1380"/>
      <c r="L161" s="1380"/>
      <c r="M161" s="1042"/>
      <c r="N161" s="1042"/>
      <c r="O161" s="1042"/>
      <c r="P161" s="1042"/>
      <c r="Q161" s="266"/>
      <c r="R161" s="266"/>
      <c r="S161" s="268"/>
      <c r="T161" s="269" t="e">
        <f>VLOOKUP(Q161,[71]Listas!$D$6:$E$10,2,0)</f>
        <v>#N/A</v>
      </c>
      <c r="U161" s="269" t="e">
        <f>HLOOKUP(R161,[71]Listas!$F$4:$J$5,2,0)</f>
        <v>#N/A</v>
      </c>
      <c r="V161" s="270" t="e">
        <f>INDEX([71]Listas!$F$6:$J$10,MATCH(Q161,[71]Listas!$D$6:$D$10,0),MATCH(R161,[71]Listas!$F$4:$J$4,0))</f>
        <v>#N/A</v>
      </c>
      <c r="W161" s="268"/>
      <c r="X161" s="1399"/>
      <c r="Y161" s="1408"/>
      <c r="Z161" s="1400"/>
      <c r="AA161" s="1063"/>
      <c r="AB161" s="267"/>
      <c r="AC161" s="259"/>
      <c r="AD161" s="1042"/>
      <c r="AE161" s="267"/>
      <c r="AF161" s="268"/>
      <c r="AG161" s="269">
        <f t="shared" si="16"/>
        <v>0</v>
      </c>
      <c r="AH161" s="271" t="e">
        <f t="shared" si="17"/>
        <v>#N/A</v>
      </c>
      <c r="AI161" s="272" t="e">
        <f>IF(AH161&lt;=1,"Remota",VLOOKUP(AH161,[71]Listas!$C$6:$D$10,2,0))</f>
        <v>#N/A</v>
      </c>
      <c r="AJ161" s="271" t="e">
        <f t="shared" si="18"/>
        <v>#N/A</v>
      </c>
      <c r="AK161" s="272" t="e">
        <f>IF(AJ161&lt;=1,"Insignificante",HLOOKUP(AJ161,[71]Listas!$F$3:$J$4,2,0))</f>
        <v>#N/A</v>
      </c>
      <c r="AL161" s="273" t="e">
        <f t="shared" si="19"/>
        <v>#N/A</v>
      </c>
      <c r="AM161" s="270" t="e">
        <f>INDEX([71]Listas!$F$6:$J$10,MATCH(AI161,[71]Listas!$D$6:$D$10,0),MATCH(AK161,[71]Listas!$F$4:$J$4,0))</f>
        <v>#N/A</v>
      </c>
      <c r="AN161" s="259"/>
      <c r="AO161" s="259"/>
      <c r="AP161" s="1044"/>
      <c r="AQ161" s="259"/>
      <c r="AR161" s="259" t="s">
        <v>2877</v>
      </c>
      <c r="AS161" s="1042"/>
      <c r="AT161" s="259"/>
      <c r="AU161" s="259"/>
      <c r="AV161" s="261"/>
      <c r="AW161" s="261"/>
      <c r="AX161" s="1042"/>
      <c r="AY161" s="262"/>
    </row>
    <row r="162" spans="1:1027" s="260" customFormat="1" ht="103.5" hidden="1" customHeight="1">
      <c r="A162" s="1042"/>
      <c r="B162" s="266"/>
      <c r="C162" s="1399"/>
      <c r="D162" s="1408"/>
      <c r="E162" s="1400"/>
      <c r="F162" s="267"/>
      <c r="G162" s="1399"/>
      <c r="H162" s="1408"/>
      <c r="I162" s="1400"/>
      <c r="J162" s="1380"/>
      <c r="K162" s="1380"/>
      <c r="L162" s="1380"/>
      <c r="M162" s="1042"/>
      <c r="N162" s="1042"/>
      <c r="O162" s="1042"/>
      <c r="P162" s="1042"/>
      <c r="Q162" s="266"/>
      <c r="R162" s="266"/>
      <c r="S162" s="268"/>
      <c r="T162" s="269" t="e">
        <f>VLOOKUP(Q162,[71]Listas!$D$6:$E$10,2,0)</f>
        <v>#N/A</v>
      </c>
      <c r="U162" s="269" t="e">
        <f>HLOOKUP(R162,[71]Listas!$F$4:$J$5,2,0)</f>
        <v>#N/A</v>
      </c>
      <c r="V162" s="270" t="e">
        <f>INDEX([71]Listas!$F$6:$J$10,MATCH(Q162,[71]Listas!$D$6:$D$10,0),MATCH(R162,[71]Listas!$F$4:$J$4,0))</f>
        <v>#N/A</v>
      </c>
      <c r="W162" s="268"/>
      <c r="X162" s="1399"/>
      <c r="Y162" s="1408"/>
      <c r="Z162" s="1400"/>
      <c r="AA162" s="1063"/>
      <c r="AB162" s="267"/>
      <c r="AC162" s="259"/>
      <c r="AD162" s="1042"/>
      <c r="AE162" s="267"/>
      <c r="AF162" s="268"/>
      <c r="AG162" s="269">
        <f t="shared" si="16"/>
        <v>0</v>
      </c>
      <c r="AH162" s="271" t="e">
        <f t="shared" si="17"/>
        <v>#N/A</v>
      </c>
      <c r="AI162" s="272" t="e">
        <f>IF(AH162&lt;=1,"Remota",VLOOKUP(AH162,[71]Listas!$C$6:$D$10,2,0))</f>
        <v>#N/A</v>
      </c>
      <c r="AJ162" s="271" t="e">
        <f t="shared" si="18"/>
        <v>#N/A</v>
      </c>
      <c r="AK162" s="272" t="e">
        <f>IF(AJ162&lt;=1,"Insignificante",HLOOKUP(AJ162,[71]Listas!$F$3:$J$4,2,0))</f>
        <v>#N/A</v>
      </c>
      <c r="AL162" s="273" t="e">
        <f t="shared" si="19"/>
        <v>#N/A</v>
      </c>
      <c r="AM162" s="270" t="e">
        <f>INDEX([71]Listas!$F$6:$J$10,MATCH(AI162,[71]Listas!$D$6:$D$10,0),MATCH(AK162,[71]Listas!$F$4:$J$4,0))</f>
        <v>#N/A</v>
      </c>
      <c r="AN162" s="259"/>
      <c r="AO162" s="259"/>
      <c r="AP162" s="1044"/>
      <c r="AQ162" s="259"/>
      <c r="AR162" s="259" t="s">
        <v>2877</v>
      </c>
      <c r="AS162" s="1042"/>
      <c r="AT162" s="259"/>
      <c r="AU162" s="259"/>
      <c r="AV162" s="261"/>
      <c r="AW162" s="261"/>
      <c r="AX162" s="1042"/>
      <c r="AY162" s="262"/>
    </row>
    <row r="163" spans="1:1027" s="260" customFormat="1" ht="103.5" hidden="1" customHeight="1">
      <c r="A163" s="1042"/>
      <c r="B163" s="266"/>
      <c r="C163" s="1399"/>
      <c r="D163" s="1408"/>
      <c r="E163" s="1400"/>
      <c r="F163" s="267"/>
      <c r="G163" s="1399"/>
      <c r="H163" s="1408"/>
      <c r="I163" s="1400"/>
      <c r="J163" s="1380"/>
      <c r="K163" s="1380"/>
      <c r="L163" s="1380"/>
      <c r="M163" s="1042"/>
      <c r="N163" s="1042"/>
      <c r="O163" s="1042"/>
      <c r="P163" s="1042"/>
      <c r="Q163" s="266"/>
      <c r="R163" s="266"/>
      <c r="S163" s="268"/>
      <c r="T163" s="269" t="e">
        <f>VLOOKUP(Q163,[71]Listas!$D$6:$E$10,2,0)</f>
        <v>#N/A</v>
      </c>
      <c r="U163" s="269" t="e">
        <f>HLOOKUP(R163,[71]Listas!$F$4:$J$5,2,0)</f>
        <v>#N/A</v>
      </c>
      <c r="V163" s="270" t="e">
        <f>INDEX([71]Listas!$F$6:$J$10,MATCH(Q163,[71]Listas!$D$6:$D$10,0),MATCH(R163,[71]Listas!$F$4:$J$4,0))</f>
        <v>#N/A</v>
      </c>
      <c r="W163" s="268"/>
      <c r="X163" s="1399"/>
      <c r="Y163" s="1408"/>
      <c r="Z163" s="1400"/>
      <c r="AA163" s="1063"/>
      <c r="AB163" s="267"/>
      <c r="AC163" s="259"/>
      <c r="AD163" s="1042"/>
      <c r="AE163" s="267"/>
      <c r="AF163" s="268"/>
      <c r="AG163" s="269">
        <f t="shared" si="16"/>
        <v>0</v>
      </c>
      <c r="AH163" s="271" t="e">
        <f t="shared" si="17"/>
        <v>#N/A</v>
      </c>
      <c r="AI163" s="272" t="e">
        <f>IF(AH163&lt;=1,"Remota",VLOOKUP(AH163,[71]Listas!$C$6:$D$10,2,0))</f>
        <v>#N/A</v>
      </c>
      <c r="AJ163" s="271" t="e">
        <f t="shared" si="18"/>
        <v>#N/A</v>
      </c>
      <c r="AK163" s="272" t="e">
        <f>IF(AJ163&lt;=1,"Insignificante",HLOOKUP(AJ163,[71]Listas!$F$3:$J$4,2,0))</f>
        <v>#N/A</v>
      </c>
      <c r="AL163" s="273" t="e">
        <f t="shared" si="19"/>
        <v>#N/A</v>
      </c>
      <c r="AM163" s="270" t="e">
        <f>INDEX([71]Listas!$F$6:$J$10,MATCH(AI163,[71]Listas!$D$6:$D$10,0),MATCH(AK163,[71]Listas!$F$4:$J$4,0))</f>
        <v>#N/A</v>
      </c>
      <c r="AN163" s="259"/>
      <c r="AO163" s="259"/>
      <c r="AP163" s="1044"/>
      <c r="AQ163" s="259"/>
      <c r="AR163" s="259" t="s">
        <v>2877</v>
      </c>
      <c r="AS163" s="1042"/>
      <c r="AT163" s="259"/>
      <c r="AU163" s="259"/>
      <c r="AV163" s="261"/>
      <c r="AW163" s="261"/>
      <c r="AX163" s="1042"/>
      <c r="AY163" s="262"/>
    </row>
    <row r="164" spans="1:1027" s="260" customFormat="1" ht="103.5" hidden="1" customHeight="1">
      <c r="A164" s="1042"/>
      <c r="B164" s="266"/>
      <c r="C164" s="1399"/>
      <c r="D164" s="1408"/>
      <c r="E164" s="1400"/>
      <c r="F164" s="267"/>
      <c r="G164" s="1399"/>
      <c r="H164" s="1408"/>
      <c r="I164" s="1400"/>
      <c r="J164" s="1380"/>
      <c r="K164" s="1380"/>
      <c r="L164" s="1380"/>
      <c r="M164" s="1042"/>
      <c r="N164" s="1042"/>
      <c r="O164" s="1042"/>
      <c r="P164" s="1042"/>
      <c r="Q164" s="266"/>
      <c r="R164" s="266"/>
      <c r="S164" s="268"/>
      <c r="T164" s="269" t="e">
        <f>VLOOKUP(Q164,[71]Listas!$D$6:$E$10,2,0)</f>
        <v>#N/A</v>
      </c>
      <c r="U164" s="269" t="e">
        <f>HLOOKUP(R164,[71]Listas!$F$4:$J$5,2,0)</f>
        <v>#N/A</v>
      </c>
      <c r="V164" s="270" t="e">
        <f>INDEX([71]Listas!$F$6:$J$10,MATCH(Q164,[71]Listas!$D$6:$D$10,0),MATCH(R164,[71]Listas!$F$4:$J$4,0))</f>
        <v>#N/A</v>
      </c>
      <c r="W164" s="268"/>
      <c r="X164" s="1399"/>
      <c r="Y164" s="1408"/>
      <c r="Z164" s="1400"/>
      <c r="AA164" s="1063"/>
      <c r="AB164" s="267"/>
      <c r="AC164" s="259"/>
      <c r="AD164" s="1042"/>
      <c r="AE164" s="267"/>
      <c r="AF164" s="268"/>
      <c r="AG164" s="269">
        <f t="shared" si="16"/>
        <v>0</v>
      </c>
      <c r="AH164" s="271" t="e">
        <f t="shared" si="17"/>
        <v>#N/A</v>
      </c>
      <c r="AI164" s="272" t="e">
        <f>IF(AH164&lt;=1,"Remota",VLOOKUP(AH164,[71]Listas!$C$6:$D$10,2,0))</f>
        <v>#N/A</v>
      </c>
      <c r="AJ164" s="271" t="e">
        <f t="shared" si="18"/>
        <v>#N/A</v>
      </c>
      <c r="AK164" s="272" t="e">
        <f>IF(AJ164&lt;=1,"Insignificante",HLOOKUP(AJ164,[71]Listas!$F$3:$J$4,2,0))</f>
        <v>#N/A</v>
      </c>
      <c r="AL164" s="273" t="e">
        <f t="shared" si="19"/>
        <v>#N/A</v>
      </c>
      <c r="AM164" s="270" t="e">
        <f>INDEX([71]Listas!$F$6:$J$10,MATCH(AI164,[71]Listas!$D$6:$D$10,0),MATCH(AK164,[71]Listas!$F$4:$J$4,0))</f>
        <v>#N/A</v>
      </c>
      <c r="AN164" s="259"/>
      <c r="AO164" s="259"/>
      <c r="AP164" s="1044"/>
      <c r="AQ164" s="259"/>
      <c r="AR164" s="259" t="s">
        <v>2877</v>
      </c>
      <c r="AS164" s="1042"/>
      <c r="AT164" s="259"/>
      <c r="AU164" s="259"/>
      <c r="AV164" s="261"/>
      <c r="AW164" s="261"/>
      <c r="AX164" s="1042"/>
      <c r="AY164" s="262"/>
    </row>
    <row r="165" spans="1:1027" s="260" customFormat="1" ht="103.5" hidden="1" customHeight="1">
      <c r="A165" s="1042"/>
      <c r="B165" s="266"/>
      <c r="C165" s="1399"/>
      <c r="D165" s="1408"/>
      <c r="E165" s="1400"/>
      <c r="F165" s="267"/>
      <c r="G165" s="1399"/>
      <c r="H165" s="1408"/>
      <c r="I165" s="1400"/>
      <c r="J165" s="1380"/>
      <c r="K165" s="1380"/>
      <c r="L165" s="1380"/>
      <c r="M165" s="1042"/>
      <c r="N165" s="1042"/>
      <c r="O165" s="1042"/>
      <c r="P165" s="1042"/>
      <c r="Q165" s="266"/>
      <c r="R165" s="266"/>
      <c r="S165" s="268"/>
      <c r="T165" s="269" t="e">
        <f>VLOOKUP(Q165,[71]Listas!$D$6:$E$10,2,0)</f>
        <v>#N/A</v>
      </c>
      <c r="U165" s="269" t="e">
        <f>HLOOKUP(R165,[71]Listas!$F$4:$J$5,2,0)</f>
        <v>#N/A</v>
      </c>
      <c r="V165" s="270" t="e">
        <f>INDEX([71]Listas!$F$6:$J$10,MATCH(Q165,[71]Listas!$D$6:$D$10,0),MATCH(R165,[71]Listas!$F$4:$J$4,0))</f>
        <v>#N/A</v>
      </c>
      <c r="W165" s="268"/>
      <c r="X165" s="1399"/>
      <c r="Y165" s="1408"/>
      <c r="Z165" s="1400"/>
      <c r="AA165" s="1063"/>
      <c r="AB165" s="267"/>
      <c r="AC165" s="259"/>
      <c r="AD165" s="1042"/>
      <c r="AE165" s="267"/>
      <c r="AF165" s="268"/>
      <c r="AG165" s="269">
        <f t="shared" si="16"/>
        <v>0</v>
      </c>
      <c r="AH165" s="271" t="e">
        <f t="shared" si="17"/>
        <v>#N/A</v>
      </c>
      <c r="AI165" s="272" t="e">
        <f>IF(AH165&lt;=1,"Remota",VLOOKUP(AH165,[71]Listas!$C$6:$D$10,2,0))</f>
        <v>#N/A</v>
      </c>
      <c r="AJ165" s="271" t="e">
        <f t="shared" si="18"/>
        <v>#N/A</v>
      </c>
      <c r="AK165" s="272" t="e">
        <f>IF(AJ165&lt;=1,"Insignificante",HLOOKUP(AJ165,[71]Listas!$F$3:$J$4,2,0))</f>
        <v>#N/A</v>
      </c>
      <c r="AL165" s="273" t="e">
        <f t="shared" si="19"/>
        <v>#N/A</v>
      </c>
      <c r="AM165" s="270" t="e">
        <f>INDEX([71]Listas!$F$6:$J$10,MATCH(AI165,[71]Listas!$D$6:$D$10,0),MATCH(AK165,[71]Listas!$F$4:$J$4,0))</f>
        <v>#N/A</v>
      </c>
      <c r="AN165" s="259"/>
      <c r="AO165" s="259"/>
      <c r="AP165" s="1044"/>
      <c r="AQ165" s="259"/>
      <c r="AR165" s="259" t="s">
        <v>2877</v>
      </c>
      <c r="AS165" s="1042"/>
      <c r="AT165" s="259"/>
      <c r="AU165" s="259"/>
      <c r="AV165" s="261"/>
      <c r="AW165" s="261"/>
      <c r="AX165" s="1042"/>
      <c r="AY165" s="262"/>
    </row>
    <row r="166" spans="1:1027" s="260" customFormat="1" ht="103.5" hidden="1" customHeight="1">
      <c r="A166" s="1042"/>
      <c r="B166" s="266"/>
      <c r="C166" s="1399"/>
      <c r="D166" s="1408"/>
      <c r="E166" s="1400"/>
      <c r="F166" s="267"/>
      <c r="G166" s="1399"/>
      <c r="H166" s="1408"/>
      <c r="I166" s="1400"/>
      <c r="J166" s="1380"/>
      <c r="K166" s="1380"/>
      <c r="L166" s="1380"/>
      <c r="M166" s="1042"/>
      <c r="N166" s="1042"/>
      <c r="O166" s="1042"/>
      <c r="P166" s="1042"/>
      <c r="Q166" s="266"/>
      <c r="R166" s="266"/>
      <c r="S166" s="268"/>
      <c r="T166" s="269" t="e">
        <f>VLOOKUP(Q166,[71]Listas!$D$6:$E$10,2,0)</f>
        <v>#N/A</v>
      </c>
      <c r="U166" s="269" t="e">
        <f>HLOOKUP(R166,[71]Listas!$F$4:$J$5,2,0)</f>
        <v>#N/A</v>
      </c>
      <c r="V166" s="270" t="e">
        <f>INDEX([71]Listas!$F$6:$J$10,MATCH(Q166,[71]Listas!$D$6:$D$10,0),MATCH(R166,[71]Listas!$F$4:$J$4,0))</f>
        <v>#N/A</v>
      </c>
      <c r="W166" s="268"/>
      <c r="X166" s="1399"/>
      <c r="Y166" s="1408"/>
      <c r="Z166" s="1400"/>
      <c r="AA166" s="1063"/>
      <c r="AB166" s="267"/>
      <c r="AC166" s="259"/>
      <c r="AD166" s="1042"/>
      <c r="AE166" s="267"/>
      <c r="AF166" s="268"/>
      <c r="AG166" s="269">
        <f t="shared" si="16"/>
        <v>0</v>
      </c>
      <c r="AH166" s="271" t="e">
        <f t="shared" si="17"/>
        <v>#N/A</v>
      </c>
      <c r="AI166" s="272" t="e">
        <f>IF(AH166&lt;=1,"Remota",VLOOKUP(AH166,[71]Listas!$C$6:$D$10,2,0))</f>
        <v>#N/A</v>
      </c>
      <c r="AJ166" s="271" t="e">
        <f t="shared" si="18"/>
        <v>#N/A</v>
      </c>
      <c r="AK166" s="272" t="e">
        <f>IF(AJ166&lt;=1,"Insignificante",HLOOKUP(AJ166,[71]Listas!$F$3:$J$4,2,0))</f>
        <v>#N/A</v>
      </c>
      <c r="AL166" s="273" t="e">
        <f t="shared" si="19"/>
        <v>#N/A</v>
      </c>
      <c r="AM166" s="270" t="e">
        <f>INDEX([71]Listas!$F$6:$J$10,MATCH(AI166,[71]Listas!$D$6:$D$10,0),MATCH(AK166,[71]Listas!$F$4:$J$4,0))</f>
        <v>#N/A</v>
      </c>
      <c r="AN166" s="259"/>
      <c r="AO166" s="259"/>
      <c r="AP166" s="1044"/>
      <c r="AQ166" s="259"/>
      <c r="AR166" s="259" t="s">
        <v>2877</v>
      </c>
      <c r="AS166" s="1042"/>
      <c r="AT166" s="259"/>
      <c r="AU166" s="259"/>
      <c r="AV166" s="261"/>
      <c r="AW166" s="261"/>
      <c r="AX166" s="1042"/>
      <c r="AY166" s="262"/>
    </row>
    <row r="167" spans="1:1027" ht="5.25" customHeight="1">
      <c r="A167" s="275"/>
      <c r="B167" s="276"/>
      <c r="C167" s="276"/>
      <c r="D167" s="276"/>
      <c r="E167" s="275"/>
      <c r="F167" s="275"/>
      <c r="G167" s="277"/>
      <c r="H167" s="277"/>
      <c r="I167" s="277"/>
      <c r="J167" s="275"/>
      <c r="K167" s="275"/>
      <c r="L167" s="278"/>
      <c r="M167" s="278"/>
      <c r="N167" s="278"/>
      <c r="O167" s="278"/>
      <c r="P167" s="278"/>
      <c r="Q167" s="278"/>
      <c r="R167" s="278"/>
      <c r="S167" s="278"/>
      <c r="T167" s="278"/>
      <c r="U167" s="278"/>
      <c r="V167" s="275"/>
      <c r="W167" s="275"/>
      <c r="X167" s="277"/>
      <c r="Y167" s="277"/>
      <c r="Z167" s="277"/>
      <c r="AA167" s="275"/>
      <c r="AB167" s="277"/>
      <c r="AC167" s="277"/>
      <c r="AD167" s="275"/>
      <c r="AE167" s="275"/>
      <c r="AF167" s="275"/>
      <c r="AG167" s="275"/>
      <c r="AH167" s="275"/>
      <c r="AI167" s="275"/>
      <c r="AJ167" s="275"/>
      <c r="AK167" s="275"/>
      <c r="AL167" s="275"/>
      <c r="AM167" s="279"/>
      <c r="AN167" s="262"/>
      <c r="AO167" s="262"/>
      <c r="AP167" s="262"/>
      <c r="AQ167" s="262"/>
      <c r="AR167" s="262"/>
      <c r="AS167" s="262"/>
      <c r="AT167" s="262"/>
      <c r="AU167" s="262"/>
      <c r="AV167" s="262"/>
      <c r="AW167" s="262"/>
      <c r="AX167" s="262"/>
      <c r="AY167" s="262"/>
      <c r="AZ167" s="236"/>
      <c r="BA167" s="236"/>
      <c r="BB167" s="236"/>
      <c r="BC167" s="236"/>
      <c r="BD167" s="236"/>
      <c r="BE167" s="236"/>
      <c r="BF167" s="236"/>
      <c r="BG167" s="236"/>
      <c r="BH167" s="236"/>
      <c r="BI167" s="236"/>
      <c r="BJ167" s="236"/>
      <c r="BK167" s="236"/>
      <c r="BL167" s="236"/>
      <c r="BM167" s="236"/>
      <c r="BN167" s="236"/>
      <c r="BO167" s="236"/>
      <c r="BP167" s="236"/>
      <c r="BQ167" s="236"/>
      <c r="BR167" s="236"/>
      <c r="BS167" s="236"/>
      <c r="BT167" s="236"/>
      <c r="BU167" s="236"/>
      <c r="BV167" s="236"/>
      <c r="BW167" s="236"/>
      <c r="BX167" s="236"/>
      <c r="BY167" s="236"/>
      <c r="BZ167" s="236"/>
      <c r="CA167" s="236"/>
      <c r="CB167" s="236"/>
      <c r="CC167" s="236"/>
      <c r="CD167" s="236"/>
      <c r="CE167" s="236"/>
      <c r="CF167" s="236"/>
      <c r="CG167" s="236"/>
      <c r="CH167" s="236"/>
      <c r="CI167" s="236"/>
      <c r="CJ167" s="236"/>
      <c r="CK167" s="236"/>
      <c r="CL167" s="236"/>
      <c r="CM167" s="236"/>
      <c r="CN167" s="236"/>
      <c r="CO167" s="236"/>
      <c r="CP167" s="236"/>
      <c r="CQ167" s="236"/>
      <c r="CR167" s="236"/>
      <c r="CS167" s="236"/>
      <c r="CT167" s="236"/>
      <c r="CU167" s="236"/>
      <c r="CV167" s="236"/>
      <c r="CW167" s="236"/>
      <c r="CX167" s="236"/>
      <c r="CY167" s="236"/>
      <c r="CZ167" s="236"/>
      <c r="DA167" s="236"/>
      <c r="DB167" s="236"/>
      <c r="DC167" s="236"/>
      <c r="DD167" s="236"/>
      <c r="DE167" s="236"/>
      <c r="DF167" s="236"/>
      <c r="DG167" s="236"/>
      <c r="DH167" s="236"/>
      <c r="DI167" s="236"/>
      <c r="DJ167" s="236"/>
      <c r="DK167" s="236"/>
      <c r="DL167" s="236"/>
      <c r="DM167" s="236"/>
      <c r="DN167" s="236"/>
      <c r="DO167" s="236"/>
      <c r="DP167" s="236"/>
      <c r="DQ167" s="236"/>
      <c r="DR167" s="236"/>
      <c r="DS167" s="236"/>
      <c r="DT167" s="236"/>
      <c r="DU167" s="236"/>
      <c r="DV167" s="236"/>
      <c r="DW167" s="236"/>
      <c r="DX167" s="236"/>
      <c r="DY167" s="236"/>
      <c r="DZ167" s="236"/>
      <c r="EA167" s="236"/>
      <c r="EB167" s="236"/>
      <c r="EC167" s="236"/>
      <c r="ED167" s="236"/>
      <c r="EE167" s="236"/>
      <c r="EF167" s="236"/>
      <c r="EG167" s="236"/>
      <c r="EH167" s="236"/>
      <c r="EI167" s="236"/>
      <c r="EJ167" s="236"/>
      <c r="EK167" s="236"/>
      <c r="EL167" s="236"/>
      <c r="EM167" s="236"/>
      <c r="EN167" s="236"/>
      <c r="EO167" s="236"/>
      <c r="EP167" s="236"/>
      <c r="EQ167" s="236"/>
      <c r="ER167" s="236"/>
      <c r="ES167" s="236"/>
      <c r="ET167" s="236"/>
      <c r="EU167" s="236"/>
      <c r="EV167" s="236"/>
      <c r="EW167" s="236"/>
      <c r="EX167" s="236"/>
      <c r="EY167" s="236"/>
      <c r="EZ167" s="236"/>
      <c r="FA167" s="236"/>
      <c r="FB167" s="236"/>
      <c r="FC167" s="236"/>
      <c r="FD167" s="236"/>
      <c r="FE167" s="236"/>
      <c r="FF167" s="236"/>
      <c r="FG167" s="236"/>
      <c r="FH167" s="236"/>
      <c r="FI167" s="236"/>
      <c r="FJ167" s="236"/>
      <c r="FK167" s="236"/>
      <c r="FL167" s="236"/>
      <c r="FM167" s="236"/>
      <c r="FN167" s="236"/>
      <c r="FO167" s="236"/>
      <c r="FP167" s="236"/>
      <c r="FQ167" s="236"/>
      <c r="FR167" s="236"/>
      <c r="FS167" s="236"/>
      <c r="FT167" s="236"/>
      <c r="FU167" s="236"/>
      <c r="FV167" s="236"/>
      <c r="FW167" s="236"/>
      <c r="FX167" s="236"/>
      <c r="FY167" s="236"/>
      <c r="FZ167" s="236"/>
      <c r="GA167" s="236"/>
      <c r="GB167" s="236"/>
      <c r="GC167" s="236"/>
      <c r="GD167" s="236"/>
      <c r="GE167" s="236"/>
      <c r="GF167" s="236"/>
      <c r="GG167" s="236"/>
      <c r="GH167" s="236"/>
      <c r="GI167" s="236"/>
      <c r="GJ167" s="236"/>
      <c r="GK167" s="236"/>
      <c r="GL167" s="236"/>
      <c r="GM167" s="236"/>
      <c r="GN167" s="236"/>
      <c r="GO167" s="236"/>
      <c r="GP167" s="236"/>
      <c r="GQ167" s="236"/>
      <c r="GR167" s="236"/>
      <c r="GS167" s="236"/>
      <c r="GT167" s="236"/>
      <c r="GU167" s="236"/>
      <c r="GV167" s="236"/>
      <c r="GW167" s="236"/>
      <c r="GX167" s="236"/>
      <c r="GY167" s="236"/>
      <c r="GZ167" s="236"/>
      <c r="HA167" s="236"/>
      <c r="HB167" s="236"/>
      <c r="HC167" s="236"/>
      <c r="HD167" s="236"/>
      <c r="HE167" s="236"/>
      <c r="HF167" s="236"/>
      <c r="HG167" s="236"/>
      <c r="HH167" s="236"/>
      <c r="HI167" s="236"/>
      <c r="HJ167" s="236"/>
      <c r="HK167" s="236"/>
      <c r="HL167" s="236"/>
      <c r="HM167" s="236"/>
      <c r="HN167" s="236"/>
      <c r="HO167" s="236"/>
      <c r="HP167" s="236"/>
      <c r="HQ167" s="236"/>
      <c r="HR167" s="236"/>
      <c r="HS167" s="236"/>
      <c r="HT167" s="236"/>
      <c r="HU167" s="236"/>
      <c r="HV167" s="236"/>
      <c r="HW167" s="236"/>
      <c r="HX167" s="236"/>
      <c r="HY167" s="236"/>
      <c r="HZ167" s="236"/>
      <c r="IA167" s="236"/>
      <c r="IB167" s="236"/>
      <c r="IC167" s="236"/>
      <c r="ID167" s="236"/>
      <c r="IE167" s="236"/>
      <c r="IF167" s="236"/>
      <c r="IG167" s="236"/>
      <c r="IH167" s="236"/>
      <c r="II167" s="236"/>
      <c r="IJ167" s="236"/>
      <c r="IK167" s="236"/>
      <c r="IL167" s="236"/>
      <c r="IM167" s="236"/>
      <c r="IN167" s="236"/>
      <c r="IO167" s="236"/>
      <c r="IP167" s="236"/>
      <c r="IQ167" s="236"/>
      <c r="IR167" s="236"/>
      <c r="IS167" s="236"/>
      <c r="IT167" s="236"/>
      <c r="IU167" s="236"/>
      <c r="IV167" s="236"/>
      <c r="IW167" s="236"/>
      <c r="IX167" s="236"/>
      <c r="IY167" s="236"/>
      <c r="IZ167" s="236"/>
      <c r="JA167" s="236"/>
      <c r="JB167" s="236"/>
      <c r="JC167" s="236"/>
      <c r="JD167" s="236"/>
      <c r="JE167" s="236"/>
      <c r="JF167" s="236"/>
      <c r="JG167" s="236"/>
      <c r="JH167" s="236"/>
      <c r="JI167" s="236"/>
      <c r="JJ167" s="236"/>
      <c r="JK167" s="236"/>
      <c r="JL167" s="236"/>
      <c r="JM167" s="236"/>
      <c r="JN167" s="236"/>
      <c r="JO167" s="236"/>
      <c r="JP167" s="236"/>
      <c r="JQ167" s="236"/>
      <c r="JR167" s="236"/>
      <c r="JS167" s="236"/>
      <c r="JT167" s="236"/>
      <c r="JU167" s="236"/>
      <c r="JV167" s="236"/>
      <c r="JW167" s="236"/>
      <c r="JX167" s="236"/>
      <c r="JY167" s="236"/>
      <c r="JZ167" s="236"/>
      <c r="KA167" s="236"/>
      <c r="KB167" s="236"/>
      <c r="KC167" s="236"/>
      <c r="KD167" s="236"/>
      <c r="KE167" s="236"/>
      <c r="KF167" s="236"/>
      <c r="KG167" s="236"/>
      <c r="KH167" s="236"/>
      <c r="KI167" s="236"/>
      <c r="KJ167" s="236"/>
      <c r="KK167" s="236"/>
      <c r="KL167" s="236"/>
      <c r="KM167" s="236"/>
      <c r="KN167" s="236"/>
      <c r="KO167" s="236"/>
      <c r="KP167" s="236"/>
      <c r="KQ167" s="236"/>
      <c r="KR167" s="236"/>
      <c r="KS167" s="236"/>
      <c r="KT167" s="236"/>
      <c r="KU167" s="236"/>
      <c r="KV167" s="236"/>
      <c r="KW167" s="236"/>
      <c r="KX167" s="236"/>
      <c r="KY167" s="236"/>
      <c r="KZ167" s="236"/>
      <c r="LA167" s="236"/>
      <c r="LB167" s="236"/>
      <c r="LC167" s="236"/>
      <c r="LD167" s="236"/>
      <c r="LE167" s="236"/>
      <c r="LF167" s="236"/>
      <c r="LG167" s="236"/>
      <c r="LH167" s="236"/>
      <c r="LI167" s="236"/>
      <c r="LJ167" s="236"/>
      <c r="LK167" s="236"/>
      <c r="LL167" s="236"/>
      <c r="LM167" s="236"/>
      <c r="LN167" s="236"/>
      <c r="LO167" s="236"/>
      <c r="LP167" s="236"/>
      <c r="LQ167" s="236"/>
      <c r="LR167" s="236"/>
      <c r="LS167" s="236"/>
      <c r="LT167" s="236"/>
      <c r="LU167" s="236"/>
      <c r="LV167" s="236"/>
      <c r="LW167" s="236"/>
      <c r="LX167" s="236"/>
      <c r="LY167" s="236"/>
      <c r="LZ167" s="236"/>
      <c r="MA167" s="236"/>
      <c r="MB167" s="236"/>
      <c r="MC167" s="236"/>
      <c r="MD167" s="236"/>
      <c r="ME167" s="236"/>
      <c r="MF167" s="236"/>
      <c r="MG167" s="236"/>
      <c r="MH167" s="236"/>
      <c r="MI167" s="236"/>
      <c r="MJ167" s="236"/>
      <c r="MK167" s="236"/>
      <c r="ML167" s="236"/>
      <c r="MM167" s="236"/>
      <c r="MN167" s="236"/>
      <c r="MO167" s="236"/>
      <c r="MP167" s="236"/>
      <c r="MQ167" s="236"/>
      <c r="MR167" s="236"/>
      <c r="MS167" s="236"/>
      <c r="MT167" s="236"/>
      <c r="MU167" s="236"/>
      <c r="MV167" s="236"/>
      <c r="MW167" s="236"/>
      <c r="MX167" s="236"/>
      <c r="MY167" s="236"/>
      <c r="MZ167" s="236"/>
      <c r="NA167" s="236"/>
      <c r="NB167" s="236"/>
      <c r="NC167" s="236"/>
      <c r="ND167" s="236"/>
      <c r="NE167" s="236"/>
      <c r="NF167" s="236"/>
      <c r="NG167" s="236"/>
      <c r="NH167" s="236"/>
      <c r="NI167" s="236"/>
      <c r="NJ167" s="236"/>
      <c r="NK167" s="236"/>
      <c r="NL167" s="236"/>
      <c r="NM167" s="236"/>
      <c r="NN167" s="236"/>
      <c r="NO167" s="236"/>
      <c r="NP167" s="236"/>
      <c r="NQ167" s="236"/>
      <c r="NR167" s="236"/>
      <c r="NS167" s="236"/>
      <c r="NT167" s="236"/>
      <c r="NU167" s="236"/>
      <c r="NV167" s="236"/>
      <c r="NW167" s="236"/>
      <c r="NX167" s="236"/>
      <c r="NY167" s="236"/>
      <c r="NZ167" s="236"/>
      <c r="OA167" s="236"/>
      <c r="OB167" s="236"/>
      <c r="OC167" s="236"/>
      <c r="OD167" s="236"/>
      <c r="OE167" s="236"/>
      <c r="OF167" s="236"/>
      <c r="OG167" s="236"/>
      <c r="OH167" s="236"/>
      <c r="OI167" s="236"/>
      <c r="OJ167" s="236"/>
      <c r="OK167" s="236"/>
      <c r="OL167" s="236"/>
      <c r="OM167" s="236"/>
      <c r="ON167" s="236"/>
      <c r="OO167" s="236"/>
      <c r="OP167" s="236"/>
      <c r="OQ167" s="236"/>
      <c r="OR167" s="236"/>
      <c r="OS167" s="236"/>
      <c r="OT167" s="236"/>
      <c r="OU167" s="236"/>
      <c r="OV167" s="236"/>
      <c r="OW167" s="236"/>
      <c r="OX167" s="236"/>
      <c r="OY167" s="236"/>
      <c r="OZ167" s="236"/>
      <c r="PA167" s="236"/>
      <c r="PB167" s="236"/>
      <c r="PC167" s="236"/>
      <c r="PD167" s="236"/>
      <c r="PE167" s="236"/>
      <c r="PF167" s="236"/>
      <c r="PG167" s="236"/>
      <c r="PH167" s="236"/>
      <c r="PI167" s="236"/>
      <c r="PJ167" s="236"/>
      <c r="PK167" s="236"/>
      <c r="PL167" s="236"/>
      <c r="PM167" s="236"/>
      <c r="PN167" s="236"/>
      <c r="PO167" s="236"/>
      <c r="PP167" s="236"/>
      <c r="PQ167" s="236"/>
      <c r="PR167" s="236"/>
      <c r="PS167" s="236"/>
      <c r="PT167" s="236"/>
      <c r="PU167" s="236"/>
      <c r="PV167" s="236"/>
      <c r="PW167" s="236"/>
      <c r="PX167" s="236"/>
      <c r="PY167" s="236"/>
      <c r="PZ167" s="236"/>
      <c r="QA167" s="236"/>
      <c r="QB167" s="236"/>
      <c r="QC167" s="236"/>
      <c r="QD167" s="236"/>
      <c r="QE167" s="236"/>
      <c r="QF167" s="236"/>
      <c r="QG167" s="236"/>
      <c r="QH167" s="236"/>
      <c r="QI167" s="236"/>
      <c r="QJ167" s="236"/>
      <c r="QK167" s="236"/>
      <c r="QL167" s="236"/>
      <c r="QM167" s="236"/>
      <c r="QN167" s="236"/>
      <c r="QO167" s="236"/>
      <c r="QP167" s="236"/>
      <c r="QQ167" s="236"/>
      <c r="QR167" s="236"/>
      <c r="QS167" s="236"/>
      <c r="QT167" s="236"/>
      <c r="QU167" s="236"/>
      <c r="QV167" s="236"/>
      <c r="QW167" s="236"/>
      <c r="QX167" s="236"/>
      <c r="QY167" s="236"/>
      <c r="QZ167" s="236"/>
      <c r="RA167" s="236"/>
      <c r="RB167" s="236"/>
      <c r="RC167" s="236"/>
      <c r="RD167" s="236"/>
      <c r="RE167" s="236"/>
      <c r="RF167" s="236"/>
      <c r="RG167" s="236"/>
      <c r="RH167" s="236"/>
      <c r="RI167" s="236"/>
      <c r="RJ167" s="236"/>
      <c r="RK167" s="236"/>
      <c r="RL167" s="236"/>
      <c r="RM167" s="236"/>
      <c r="RN167" s="236"/>
      <c r="RO167" s="236"/>
      <c r="RP167" s="236"/>
      <c r="RQ167" s="236"/>
      <c r="RR167" s="236"/>
      <c r="RS167" s="236"/>
      <c r="RT167" s="236"/>
      <c r="RU167" s="236"/>
      <c r="RV167" s="236"/>
      <c r="RW167" s="236"/>
      <c r="RX167" s="236"/>
      <c r="RY167" s="236"/>
      <c r="RZ167" s="236"/>
      <c r="SA167" s="236"/>
      <c r="SB167" s="236"/>
      <c r="SC167" s="236"/>
      <c r="SD167" s="236"/>
      <c r="SE167" s="236"/>
      <c r="SF167" s="236"/>
      <c r="SG167" s="236"/>
      <c r="SH167" s="236"/>
      <c r="SI167" s="236"/>
      <c r="SJ167" s="236"/>
      <c r="SK167" s="236"/>
      <c r="SL167" s="236"/>
      <c r="SM167" s="236"/>
      <c r="SN167" s="236"/>
      <c r="SO167" s="236"/>
      <c r="SP167" s="236"/>
      <c r="SQ167" s="236"/>
      <c r="SR167" s="236"/>
      <c r="SS167" s="236"/>
      <c r="ST167" s="236"/>
      <c r="SU167" s="236"/>
      <c r="SV167" s="236"/>
      <c r="SW167" s="236"/>
      <c r="SX167" s="236"/>
      <c r="SY167" s="236"/>
      <c r="SZ167" s="236"/>
      <c r="TA167" s="236"/>
      <c r="TB167" s="236"/>
      <c r="TC167" s="236"/>
      <c r="TD167" s="236"/>
      <c r="TE167" s="236"/>
      <c r="TF167" s="236"/>
      <c r="TG167" s="236"/>
      <c r="TH167" s="236"/>
      <c r="TI167" s="236"/>
      <c r="TJ167" s="236"/>
      <c r="TK167" s="236"/>
      <c r="TL167" s="236"/>
      <c r="TM167" s="236"/>
      <c r="TN167" s="236"/>
      <c r="TO167" s="236"/>
      <c r="TP167" s="236"/>
      <c r="TQ167" s="236"/>
      <c r="TR167" s="236"/>
      <c r="TS167" s="236"/>
      <c r="TT167" s="236"/>
      <c r="TU167" s="236"/>
      <c r="TV167" s="236"/>
      <c r="TW167" s="236"/>
      <c r="TX167" s="236"/>
      <c r="TY167" s="236"/>
      <c r="TZ167" s="236"/>
      <c r="UA167" s="236"/>
      <c r="UB167" s="236"/>
      <c r="UC167" s="236"/>
      <c r="UD167" s="236"/>
      <c r="UE167" s="236"/>
      <c r="UF167" s="236"/>
      <c r="UG167" s="236"/>
      <c r="UH167" s="236"/>
      <c r="UI167" s="236"/>
      <c r="UJ167" s="236"/>
      <c r="UK167" s="236"/>
      <c r="UL167" s="236"/>
      <c r="UM167" s="236"/>
      <c r="UN167" s="236"/>
      <c r="UO167" s="236"/>
      <c r="UP167" s="236"/>
      <c r="UQ167" s="236"/>
      <c r="UR167" s="236"/>
      <c r="US167" s="236"/>
      <c r="UT167" s="236"/>
      <c r="UU167" s="236"/>
      <c r="UV167" s="236"/>
      <c r="UW167" s="236"/>
      <c r="UX167" s="236"/>
      <c r="UY167" s="236"/>
      <c r="UZ167" s="236"/>
      <c r="VA167" s="236"/>
      <c r="VB167" s="236"/>
      <c r="VC167" s="236"/>
      <c r="VD167" s="236"/>
      <c r="VE167" s="236"/>
      <c r="VF167" s="236"/>
      <c r="VG167" s="236"/>
      <c r="VH167" s="236"/>
      <c r="VI167" s="236"/>
      <c r="VJ167" s="236"/>
      <c r="VK167" s="236"/>
      <c r="VL167" s="236"/>
      <c r="VM167" s="236"/>
      <c r="VN167" s="236"/>
      <c r="VO167" s="236"/>
      <c r="VP167" s="236"/>
      <c r="VQ167" s="236"/>
      <c r="VR167" s="236"/>
      <c r="VS167" s="236"/>
      <c r="VT167" s="236"/>
      <c r="VU167" s="236"/>
      <c r="VV167" s="236"/>
      <c r="VW167" s="236"/>
      <c r="VX167" s="236"/>
      <c r="VY167" s="236"/>
      <c r="VZ167" s="236"/>
      <c r="WA167" s="236"/>
      <c r="WB167" s="236"/>
      <c r="WC167" s="236"/>
      <c r="WD167" s="236"/>
      <c r="WE167" s="236"/>
      <c r="WF167" s="236"/>
      <c r="WG167" s="236"/>
      <c r="WH167" s="236"/>
      <c r="WI167" s="236"/>
      <c r="WJ167" s="236"/>
      <c r="WK167" s="236"/>
      <c r="WL167" s="236"/>
      <c r="WM167" s="236"/>
      <c r="WN167" s="236"/>
      <c r="WO167" s="236"/>
      <c r="WP167" s="236"/>
      <c r="WQ167" s="236"/>
      <c r="WR167" s="236"/>
      <c r="WS167" s="236"/>
      <c r="WT167" s="236"/>
      <c r="WU167" s="236"/>
      <c r="WV167" s="236"/>
      <c r="WW167" s="236"/>
      <c r="WX167" s="236"/>
      <c r="WY167" s="236"/>
      <c r="WZ167" s="236"/>
      <c r="XA167" s="236"/>
      <c r="XB167" s="236"/>
      <c r="XC167" s="236"/>
      <c r="XD167" s="236"/>
      <c r="XE167" s="236"/>
      <c r="XF167" s="236"/>
      <c r="XG167" s="236"/>
      <c r="XH167" s="236"/>
      <c r="XI167" s="236"/>
      <c r="XJ167" s="236"/>
      <c r="XK167" s="236"/>
      <c r="XL167" s="236"/>
      <c r="XM167" s="236"/>
      <c r="XN167" s="236"/>
      <c r="XO167" s="236"/>
      <c r="XP167" s="236"/>
      <c r="XQ167" s="236"/>
      <c r="XR167" s="236"/>
      <c r="XS167" s="236"/>
      <c r="XT167" s="236"/>
      <c r="XU167" s="236"/>
      <c r="XV167" s="236"/>
      <c r="XW167" s="236"/>
      <c r="XX167" s="236"/>
      <c r="XY167" s="236"/>
      <c r="XZ167" s="236"/>
      <c r="YA167" s="236"/>
      <c r="YB167" s="236"/>
      <c r="YC167" s="236"/>
      <c r="YD167" s="236"/>
      <c r="YE167" s="236"/>
      <c r="YF167" s="236"/>
      <c r="YG167" s="236"/>
      <c r="YH167" s="236"/>
      <c r="YI167" s="236"/>
      <c r="YJ167" s="236"/>
      <c r="YK167" s="236"/>
      <c r="YL167" s="236"/>
      <c r="YM167" s="236"/>
      <c r="YN167" s="236"/>
      <c r="YO167" s="236"/>
      <c r="YP167" s="236"/>
      <c r="YQ167" s="236"/>
      <c r="YR167" s="236"/>
      <c r="YS167" s="236"/>
      <c r="YT167" s="236"/>
      <c r="YU167" s="236"/>
      <c r="YV167" s="236"/>
      <c r="YW167" s="236"/>
      <c r="YX167" s="236"/>
      <c r="YY167" s="236"/>
      <c r="YZ167" s="236"/>
      <c r="ZA167" s="236"/>
      <c r="ZB167" s="236"/>
      <c r="ZC167" s="236"/>
      <c r="ZD167" s="236"/>
      <c r="ZE167" s="236"/>
      <c r="ZF167" s="236"/>
      <c r="ZG167" s="236"/>
      <c r="ZH167" s="236"/>
      <c r="ZI167" s="236"/>
      <c r="ZJ167" s="236"/>
      <c r="ZK167" s="236"/>
      <c r="ZL167" s="236"/>
      <c r="ZM167" s="236"/>
      <c r="ZN167" s="236"/>
      <c r="ZO167" s="236"/>
      <c r="ZP167" s="236"/>
      <c r="ZQ167" s="236"/>
      <c r="ZR167" s="236"/>
      <c r="ZS167" s="236"/>
      <c r="ZT167" s="236"/>
      <c r="ZU167" s="236"/>
      <c r="ZV167" s="236"/>
      <c r="ZW167" s="236"/>
      <c r="ZX167" s="236"/>
      <c r="ZY167" s="236"/>
      <c r="ZZ167" s="236"/>
      <c r="AAA167" s="236"/>
      <c r="AAB167" s="236"/>
      <c r="AAC167" s="236"/>
      <c r="AAD167" s="236"/>
      <c r="AAE167" s="236"/>
      <c r="AAF167" s="236"/>
      <c r="AAG167" s="236"/>
      <c r="AAH167" s="236"/>
      <c r="AAI167" s="236"/>
      <c r="AAJ167" s="236"/>
      <c r="AAK167" s="236"/>
      <c r="AAL167" s="236"/>
      <c r="AAM167" s="236"/>
      <c r="AAN167" s="236"/>
      <c r="AAO167" s="236"/>
      <c r="AAP167" s="236"/>
      <c r="AAQ167" s="236"/>
      <c r="AAR167" s="236"/>
      <c r="AAS167" s="236"/>
      <c r="AAT167" s="236"/>
      <c r="AAU167" s="236"/>
      <c r="AAV167" s="236"/>
      <c r="AAW167" s="236"/>
      <c r="AAX167" s="236"/>
      <c r="AAY167" s="236"/>
      <c r="AAZ167" s="236"/>
      <c r="ABA167" s="236"/>
      <c r="ABB167" s="236"/>
      <c r="ABC167" s="236"/>
      <c r="ABD167" s="236"/>
      <c r="ABE167" s="236"/>
      <c r="ABF167" s="236"/>
      <c r="ABG167" s="236"/>
      <c r="ABH167" s="236"/>
      <c r="ABI167" s="236"/>
      <c r="ABJ167" s="236"/>
      <c r="ABK167" s="236"/>
      <c r="ABL167" s="236"/>
      <c r="ABM167" s="236"/>
      <c r="ABN167" s="236"/>
      <c r="ABO167" s="236"/>
      <c r="ABP167" s="236"/>
      <c r="ABQ167" s="236"/>
      <c r="ABR167" s="236"/>
      <c r="ABS167" s="236"/>
      <c r="ABT167" s="236"/>
      <c r="ABU167" s="236"/>
      <c r="ABV167" s="236"/>
      <c r="ABW167" s="236"/>
      <c r="ABX167" s="236"/>
      <c r="ABY167" s="236"/>
      <c r="ABZ167" s="236"/>
      <c r="ACA167" s="236"/>
      <c r="ACB167" s="236"/>
      <c r="ACC167" s="236"/>
      <c r="ACD167" s="236"/>
      <c r="ACE167" s="236"/>
      <c r="ACF167" s="236"/>
      <c r="ACG167" s="236"/>
      <c r="ACH167" s="236"/>
      <c r="ACI167" s="236"/>
      <c r="ACJ167" s="236"/>
      <c r="ACK167" s="236"/>
      <c r="ACL167" s="236"/>
      <c r="ACM167" s="236"/>
      <c r="ACN167" s="236"/>
      <c r="ACO167" s="236"/>
      <c r="ACP167" s="236"/>
      <c r="ACQ167" s="236"/>
      <c r="ACR167" s="236"/>
      <c r="ACS167" s="236"/>
      <c r="ACT167" s="236"/>
      <c r="ACU167" s="236"/>
      <c r="ACV167" s="236"/>
      <c r="ACW167" s="236"/>
      <c r="ACX167" s="236"/>
      <c r="ACY167" s="236"/>
      <c r="ACZ167" s="236"/>
      <c r="ADA167" s="236"/>
      <c r="ADB167" s="236"/>
      <c r="ADC167" s="236"/>
      <c r="ADD167" s="236"/>
      <c r="ADE167" s="236"/>
      <c r="ADF167" s="236"/>
      <c r="ADG167" s="236"/>
      <c r="ADH167" s="236"/>
      <c r="ADI167" s="236"/>
      <c r="ADJ167" s="236"/>
      <c r="ADK167" s="236"/>
      <c r="ADL167" s="236"/>
      <c r="ADM167" s="236"/>
      <c r="ADN167" s="236"/>
      <c r="ADO167" s="236"/>
      <c r="ADP167" s="236"/>
      <c r="ADQ167" s="236"/>
      <c r="ADR167" s="236"/>
      <c r="ADS167" s="236"/>
      <c r="ADT167" s="236"/>
      <c r="ADU167" s="236"/>
      <c r="ADV167" s="236"/>
      <c r="ADW167" s="236"/>
      <c r="ADX167" s="236"/>
      <c r="ADY167" s="236"/>
      <c r="ADZ167" s="236"/>
      <c r="AEA167" s="236"/>
      <c r="AEB167" s="236"/>
      <c r="AEC167" s="236"/>
      <c r="AED167" s="236"/>
      <c r="AEE167" s="236"/>
      <c r="AEF167" s="236"/>
      <c r="AEG167" s="236"/>
      <c r="AEH167" s="236"/>
      <c r="AEI167" s="236"/>
      <c r="AEJ167" s="236"/>
      <c r="AEK167" s="236"/>
      <c r="AEL167" s="236"/>
      <c r="AEM167" s="236"/>
      <c r="AEN167" s="236"/>
      <c r="AEO167" s="236"/>
      <c r="AEP167" s="236"/>
      <c r="AEQ167" s="236"/>
      <c r="AER167" s="236"/>
      <c r="AES167" s="236"/>
      <c r="AET167" s="236"/>
      <c r="AEU167" s="236"/>
      <c r="AEV167" s="236"/>
      <c r="AEW167" s="236"/>
      <c r="AEX167" s="236"/>
      <c r="AEY167" s="236"/>
      <c r="AEZ167" s="236"/>
      <c r="AFA167" s="236"/>
      <c r="AFB167" s="236"/>
      <c r="AFC167" s="236"/>
      <c r="AFD167" s="236"/>
      <c r="AFE167" s="236"/>
      <c r="AFF167" s="236"/>
      <c r="AFG167" s="236"/>
      <c r="AFH167" s="236"/>
      <c r="AFI167" s="236"/>
      <c r="AFJ167" s="236"/>
      <c r="AFK167" s="236"/>
      <c r="AFL167" s="236"/>
      <c r="AFM167" s="236"/>
      <c r="AFN167" s="236"/>
      <c r="AFO167" s="236"/>
      <c r="AFP167" s="236"/>
      <c r="AFQ167" s="236"/>
      <c r="AFR167" s="236"/>
      <c r="AFS167" s="236"/>
      <c r="AFT167" s="236"/>
      <c r="AFU167" s="236"/>
      <c r="AFV167" s="236"/>
      <c r="AFW167" s="236"/>
      <c r="AFX167" s="236"/>
      <c r="AFY167" s="236"/>
      <c r="AFZ167" s="236"/>
      <c r="AGA167" s="236"/>
      <c r="AGB167" s="236"/>
      <c r="AGC167" s="236"/>
      <c r="AGD167" s="236"/>
      <c r="AGE167" s="236"/>
      <c r="AGF167" s="236"/>
      <c r="AGG167" s="236"/>
      <c r="AGH167" s="236"/>
      <c r="AGI167" s="236"/>
      <c r="AGJ167" s="236"/>
      <c r="AGK167" s="236"/>
      <c r="AGL167" s="236"/>
      <c r="AGM167" s="236"/>
      <c r="AGN167" s="236"/>
      <c r="AGO167" s="236"/>
      <c r="AGP167" s="236"/>
      <c r="AGQ167" s="236"/>
      <c r="AGR167" s="236"/>
      <c r="AGS167" s="236"/>
      <c r="AGT167" s="236"/>
      <c r="AGU167" s="236"/>
      <c r="AGV167" s="236"/>
      <c r="AGW167" s="236"/>
      <c r="AGX167" s="236"/>
      <c r="AGY167" s="236"/>
      <c r="AGZ167" s="236"/>
      <c r="AHA167" s="236"/>
      <c r="AHB167" s="236"/>
      <c r="AHC167" s="236"/>
      <c r="AHD167" s="236"/>
      <c r="AHE167" s="236"/>
      <c r="AHF167" s="236"/>
      <c r="AHG167" s="236"/>
      <c r="AHH167" s="236"/>
      <c r="AHI167" s="236"/>
      <c r="AHJ167" s="236"/>
      <c r="AHK167" s="236"/>
      <c r="AHL167" s="236"/>
      <c r="AHM167" s="236"/>
      <c r="AHN167" s="236"/>
      <c r="AHO167" s="236"/>
      <c r="AHP167" s="236"/>
      <c r="AHQ167" s="236"/>
      <c r="AHR167" s="236"/>
      <c r="AHS167" s="236"/>
      <c r="AHT167" s="236"/>
      <c r="AHU167" s="236"/>
      <c r="AHV167" s="236"/>
      <c r="AHW167" s="236"/>
      <c r="AHX167" s="236"/>
      <c r="AHY167" s="236"/>
      <c r="AHZ167" s="236"/>
      <c r="AIA167" s="236"/>
      <c r="AIB167" s="236"/>
      <c r="AIC167" s="236"/>
      <c r="AID167" s="236"/>
      <c r="AIE167" s="236"/>
      <c r="AIF167" s="236"/>
      <c r="AIG167" s="236"/>
      <c r="AIH167" s="236"/>
      <c r="AII167" s="236"/>
      <c r="AIJ167" s="236"/>
      <c r="AIK167" s="236"/>
      <c r="AIL167" s="236"/>
      <c r="AIM167" s="236"/>
      <c r="AIN167" s="236"/>
      <c r="AIO167" s="236"/>
      <c r="AIP167" s="236"/>
      <c r="AIQ167" s="236"/>
      <c r="AIR167" s="236"/>
      <c r="AIS167" s="236"/>
      <c r="AIT167" s="236"/>
      <c r="AIU167" s="236"/>
      <c r="AIV167" s="236"/>
      <c r="AIW167" s="236"/>
      <c r="AIX167" s="236"/>
      <c r="AIY167" s="236"/>
      <c r="AIZ167" s="236"/>
      <c r="AJA167" s="236"/>
      <c r="AJB167" s="236"/>
      <c r="AJC167" s="236"/>
      <c r="AJD167" s="236"/>
      <c r="AJE167" s="236"/>
      <c r="AJF167" s="236"/>
      <c r="AJG167" s="236"/>
      <c r="AJH167" s="236"/>
      <c r="AJI167" s="236"/>
      <c r="AJJ167" s="236"/>
      <c r="AJK167" s="236"/>
      <c r="AJL167" s="236"/>
      <c r="AJM167" s="236"/>
      <c r="AJN167" s="236"/>
      <c r="AJO167" s="236"/>
      <c r="AJP167" s="236"/>
      <c r="AJQ167" s="236"/>
      <c r="AJR167" s="236"/>
      <c r="AJS167" s="236"/>
      <c r="AJT167" s="236"/>
      <c r="AJU167" s="236"/>
      <c r="AJV167" s="236"/>
      <c r="AJW167" s="236"/>
      <c r="AJX167" s="236"/>
      <c r="AJY167" s="236"/>
      <c r="AJZ167" s="236"/>
      <c r="AKA167" s="236"/>
      <c r="AKB167" s="236"/>
      <c r="AKC167" s="236"/>
      <c r="AKD167" s="236"/>
      <c r="AKE167" s="236"/>
      <c r="AKF167" s="236"/>
      <c r="AKG167" s="236"/>
      <c r="AKH167" s="236"/>
      <c r="AKI167" s="236"/>
      <c r="AKJ167" s="236"/>
      <c r="AKK167" s="236"/>
      <c r="AKL167" s="236"/>
      <c r="AKM167" s="236"/>
      <c r="AKN167" s="236"/>
      <c r="AKO167" s="236"/>
      <c r="AKP167" s="236"/>
      <c r="AKQ167" s="236"/>
      <c r="AKR167" s="236"/>
      <c r="AKS167" s="236"/>
      <c r="AKT167" s="236"/>
      <c r="AKU167" s="236"/>
      <c r="AKV167" s="236"/>
      <c r="AKW167" s="236"/>
      <c r="AKX167" s="236"/>
      <c r="AKY167" s="236"/>
      <c r="AKZ167" s="236"/>
      <c r="ALA167" s="236"/>
      <c r="ALB167" s="236"/>
      <c r="ALC167" s="236"/>
      <c r="ALD167" s="236"/>
      <c r="ALE167" s="236"/>
      <c r="ALF167" s="236"/>
      <c r="ALG167" s="236"/>
      <c r="ALH167" s="236"/>
      <c r="ALI167" s="236"/>
      <c r="ALJ167" s="236"/>
      <c r="ALK167" s="236"/>
      <c r="ALL167" s="236"/>
      <c r="ALM167" s="236"/>
      <c r="ALN167" s="236"/>
      <c r="ALO167" s="236"/>
      <c r="ALP167" s="236"/>
      <c r="ALQ167" s="236"/>
      <c r="ALR167" s="236"/>
      <c r="ALS167" s="236"/>
      <c r="ALT167" s="236"/>
      <c r="ALU167" s="236"/>
      <c r="ALV167" s="236"/>
      <c r="ALW167" s="236"/>
      <c r="ALX167" s="236"/>
      <c r="ALY167" s="236"/>
      <c r="ALZ167" s="236"/>
      <c r="AMA167" s="236"/>
      <c r="AMB167" s="236"/>
      <c r="AMC167" s="236"/>
      <c r="AMD167" s="236"/>
      <c r="AME167" s="236"/>
      <c r="AMF167" s="236"/>
      <c r="AMG167" s="236"/>
      <c r="AMH167" s="236"/>
      <c r="AMI167" s="236"/>
      <c r="AMJ167" s="236"/>
      <c r="AMK167" s="236"/>
      <c r="AML167" s="236"/>
      <c r="AMM167" s="236"/>
    </row>
    <row r="168" spans="1:1027" ht="11.25" customHeight="1">
      <c r="A168" s="1386" t="s">
        <v>717</v>
      </c>
      <c r="B168" s="1387"/>
      <c r="C168" s="1387"/>
      <c r="D168" s="1387"/>
      <c r="E168" s="1387"/>
      <c r="F168" s="1387"/>
      <c r="G168" s="1387"/>
      <c r="H168" s="1387"/>
      <c r="I168" s="1387"/>
      <c r="J168" s="1387"/>
      <c r="K168" s="1387"/>
      <c r="L168" s="1388"/>
      <c r="M168" s="275"/>
      <c r="N168" s="280" t="s">
        <v>650</v>
      </c>
      <c r="O168" s="280"/>
      <c r="P168" s="281"/>
      <c r="Q168" s="281"/>
      <c r="R168" s="281"/>
      <c r="S168" s="281"/>
      <c r="T168" s="281"/>
      <c r="U168" s="281"/>
      <c r="V168" s="281"/>
      <c r="W168" s="281"/>
      <c r="X168" s="282"/>
      <c r="Y168" s="282"/>
      <c r="Z168" s="282"/>
      <c r="AA168" s="281"/>
      <c r="AB168" s="282"/>
      <c r="AC168" s="282"/>
      <c r="AD168" s="281"/>
      <c r="AE168" s="281"/>
      <c r="AF168" s="281"/>
      <c r="AG168" s="281"/>
      <c r="AH168" s="281"/>
      <c r="AI168" s="281"/>
      <c r="AJ168" s="275"/>
      <c r="AK168" s="275"/>
      <c r="AL168" s="275"/>
      <c r="AM168" s="279"/>
      <c r="AN168" s="262"/>
      <c r="AO168" s="262"/>
      <c r="AP168" s="262"/>
      <c r="AQ168" s="262"/>
      <c r="AR168" s="262"/>
      <c r="AS168" s="262"/>
      <c r="AT168" s="262"/>
      <c r="AU168" s="262"/>
      <c r="AV168" s="262"/>
      <c r="AW168" s="262"/>
      <c r="AX168" s="262"/>
      <c r="AY168" s="236"/>
      <c r="AZ168" s="236"/>
      <c r="BA168" s="236"/>
      <c r="BB168" s="236"/>
      <c r="BC168" s="236"/>
      <c r="BD168" s="236"/>
      <c r="BE168" s="236"/>
      <c r="BF168" s="236"/>
      <c r="BG168" s="236"/>
      <c r="BH168" s="236"/>
      <c r="BI168" s="236"/>
      <c r="BJ168" s="236"/>
      <c r="BK168" s="236"/>
      <c r="BL168" s="236"/>
      <c r="BM168" s="236"/>
      <c r="BN168" s="236"/>
      <c r="BO168" s="236"/>
      <c r="BP168" s="236"/>
      <c r="BQ168" s="236"/>
      <c r="BR168" s="236"/>
      <c r="BS168" s="236"/>
      <c r="BT168" s="236"/>
      <c r="BU168" s="236"/>
      <c r="BV168" s="236"/>
      <c r="BW168" s="236"/>
      <c r="BX168" s="236"/>
      <c r="BY168" s="236"/>
      <c r="BZ168" s="236"/>
      <c r="CA168" s="236"/>
      <c r="CB168" s="236"/>
      <c r="CC168" s="236"/>
      <c r="CD168" s="236"/>
      <c r="CE168" s="236"/>
      <c r="CF168" s="236"/>
      <c r="CG168" s="236"/>
      <c r="CH168" s="236"/>
      <c r="CI168" s="236"/>
      <c r="CJ168" s="236"/>
      <c r="CK168" s="236"/>
      <c r="CL168" s="236"/>
      <c r="CM168" s="236"/>
      <c r="CN168" s="236"/>
      <c r="CO168" s="236"/>
      <c r="CP168" s="236"/>
      <c r="CQ168" s="236"/>
      <c r="CR168" s="236"/>
      <c r="CS168" s="236"/>
      <c r="CT168" s="236"/>
      <c r="CU168" s="236"/>
      <c r="CV168" s="236"/>
      <c r="CW168" s="236"/>
      <c r="CX168" s="236"/>
      <c r="CY168" s="236"/>
      <c r="CZ168" s="236"/>
      <c r="DA168" s="236"/>
      <c r="DB168" s="236"/>
      <c r="DC168" s="236"/>
      <c r="DD168" s="236"/>
      <c r="DE168" s="236"/>
      <c r="DF168" s="236"/>
      <c r="DG168" s="236"/>
      <c r="DH168" s="236"/>
      <c r="DI168" s="236"/>
      <c r="DJ168" s="236"/>
      <c r="DK168" s="236"/>
      <c r="DL168" s="236"/>
      <c r="DM168" s="236"/>
      <c r="DN168" s="236"/>
      <c r="DO168" s="236"/>
      <c r="DP168" s="236"/>
      <c r="DQ168" s="236"/>
      <c r="DR168" s="236"/>
      <c r="DS168" s="236"/>
      <c r="DT168" s="236"/>
      <c r="DU168" s="236"/>
      <c r="DV168" s="236"/>
      <c r="DW168" s="236"/>
      <c r="DX168" s="236"/>
      <c r="DY168" s="236"/>
      <c r="DZ168" s="236"/>
      <c r="EA168" s="236"/>
      <c r="EB168" s="236"/>
      <c r="EC168" s="236"/>
      <c r="ED168" s="236"/>
      <c r="EE168" s="236"/>
      <c r="EF168" s="236"/>
      <c r="EG168" s="236"/>
      <c r="EH168" s="236"/>
      <c r="EI168" s="236"/>
      <c r="EJ168" s="236"/>
      <c r="EK168" s="236"/>
      <c r="EL168" s="236"/>
      <c r="EM168" s="236"/>
      <c r="EN168" s="236"/>
      <c r="EO168" s="236"/>
      <c r="EP168" s="236"/>
      <c r="EQ168" s="236"/>
      <c r="ER168" s="236"/>
      <c r="ES168" s="236"/>
      <c r="ET168" s="236"/>
      <c r="EU168" s="236"/>
      <c r="EV168" s="236"/>
      <c r="EW168" s="236"/>
      <c r="EX168" s="236"/>
      <c r="EY168" s="236"/>
      <c r="EZ168" s="236"/>
      <c r="FA168" s="236"/>
      <c r="FB168" s="236"/>
      <c r="FC168" s="236"/>
      <c r="FD168" s="236"/>
      <c r="FE168" s="236"/>
      <c r="FF168" s="236"/>
      <c r="FG168" s="236"/>
      <c r="FH168" s="236"/>
      <c r="FI168" s="236"/>
      <c r="FJ168" s="236"/>
      <c r="FK168" s="236"/>
      <c r="FL168" s="236"/>
      <c r="FM168" s="236"/>
      <c r="FN168" s="236"/>
      <c r="FO168" s="236"/>
      <c r="FP168" s="236"/>
      <c r="FQ168" s="236"/>
      <c r="FR168" s="236"/>
      <c r="FS168" s="236"/>
      <c r="FT168" s="236"/>
      <c r="FU168" s="236"/>
      <c r="FV168" s="236"/>
      <c r="FW168" s="236"/>
      <c r="FX168" s="236"/>
      <c r="FY168" s="236"/>
      <c r="FZ168" s="236"/>
      <c r="GA168" s="236"/>
      <c r="GB168" s="236"/>
      <c r="GC168" s="236"/>
      <c r="GD168" s="236"/>
      <c r="GE168" s="236"/>
      <c r="GF168" s="236"/>
      <c r="GG168" s="236"/>
      <c r="GH168" s="236"/>
      <c r="GI168" s="236"/>
      <c r="GJ168" s="236"/>
      <c r="GK168" s="236"/>
      <c r="GL168" s="236"/>
      <c r="GM168" s="236"/>
      <c r="GN168" s="236"/>
      <c r="GO168" s="236"/>
      <c r="GP168" s="236"/>
      <c r="GQ168" s="236"/>
      <c r="GR168" s="236"/>
      <c r="GS168" s="236"/>
      <c r="GT168" s="236"/>
      <c r="GU168" s="236"/>
      <c r="GV168" s="236"/>
      <c r="GW168" s="236"/>
      <c r="GX168" s="236"/>
      <c r="GY168" s="236"/>
      <c r="GZ168" s="236"/>
      <c r="HA168" s="236"/>
      <c r="HB168" s="236"/>
      <c r="HC168" s="236"/>
      <c r="HD168" s="236"/>
      <c r="HE168" s="236"/>
      <c r="HF168" s="236"/>
      <c r="HG168" s="236"/>
      <c r="HH168" s="236"/>
      <c r="HI168" s="236"/>
      <c r="HJ168" s="236"/>
      <c r="HK168" s="236"/>
      <c r="HL168" s="236"/>
      <c r="HM168" s="236"/>
      <c r="HN168" s="236"/>
      <c r="HO168" s="236"/>
      <c r="HP168" s="236"/>
      <c r="HQ168" s="236"/>
      <c r="HR168" s="236"/>
      <c r="HS168" s="236"/>
      <c r="HT168" s="236"/>
      <c r="HU168" s="236"/>
      <c r="HV168" s="236"/>
      <c r="HW168" s="236"/>
      <c r="HX168" s="236"/>
      <c r="HY168" s="236"/>
      <c r="HZ168" s="236"/>
      <c r="IA168" s="236"/>
      <c r="IB168" s="236"/>
      <c r="IC168" s="236"/>
      <c r="ID168" s="236"/>
      <c r="IE168" s="236"/>
      <c r="IF168" s="236"/>
      <c r="IG168" s="236"/>
      <c r="IH168" s="236"/>
      <c r="II168" s="236"/>
      <c r="IJ168" s="236"/>
      <c r="IK168" s="236"/>
      <c r="IL168" s="236"/>
      <c r="IM168" s="236"/>
      <c r="IN168" s="236"/>
      <c r="IO168" s="236"/>
      <c r="IP168" s="236"/>
      <c r="IQ168" s="236"/>
      <c r="IR168" s="236"/>
      <c r="IS168" s="236"/>
      <c r="IT168" s="236"/>
      <c r="IU168" s="236"/>
      <c r="IV168" s="236"/>
      <c r="IW168" s="236"/>
      <c r="IX168" s="236"/>
      <c r="IY168" s="236"/>
      <c r="IZ168" s="236"/>
      <c r="JA168" s="236"/>
      <c r="JB168" s="236"/>
      <c r="JC168" s="236"/>
      <c r="JD168" s="236"/>
      <c r="JE168" s="236"/>
      <c r="JF168" s="236"/>
      <c r="JG168" s="236"/>
      <c r="JH168" s="236"/>
      <c r="JI168" s="236"/>
      <c r="JJ168" s="236"/>
      <c r="JK168" s="236"/>
      <c r="JL168" s="236"/>
      <c r="JM168" s="236"/>
      <c r="JN168" s="236"/>
      <c r="JO168" s="236"/>
      <c r="JP168" s="236"/>
      <c r="JQ168" s="236"/>
      <c r="JR168" s="236"/>
      <c r="JS168" s="236"/>
      <c r="JT168" s="236"/>
      <c r="JU168" s="236"/>
      <c r="JV168" s="236"/>
      <c r="JW168" s="236"/>
      <c r="JX168" s="236"/>
      <c r="JY168" s="236"/>
      <c r="JZ168" s="236"/>
      <c r="KA168" s="236"/>
      <c r="KB168" s="236"/>
      <c r="KC168" s="236"/>
      <c r="KD168" s="236"/>
      <c r="KE168" s="236"/>
      <c r="KF168" s="236"/>
      <c r="KG168" s="236"/>
      <c r="KH168" s="236"/>
      <c r="KI168" s="236"/>
      <c r="KJ168" s="236"/>
      <c r="KK168" s="236"/>
      <c r="KL168" s="236"/>
      <c r="KM168" s="236"/>
      <c r="KN168" s="236"/>
      <c r="KO168" s="236"/>
      <c r="KP168" s="236"/>
      <c r="KQ168" s="236"/>
      <c r="KR168" s="236"/>
      <c r="KS168" s="236"/>
      <c r="KT168" s="236"/>
      <c r="KU168" s="236"/>
      <c r="KV168" s="236"/>
      <c r="KW168" s="236"/>
      <c r="KX168" s="236"/>
      <c r="KY168" s="236"/>
      <c r="KZ168" s="236"/>
      <c r="LA168" s="236"/>
      <c r="LB168" s="236"/>
      <c r="LC168" s="236"/>
      <c r="LD168" s="236"/>
      <c r="LE168" s="236"/>
      <c r="LF168" s="236"/>
      <c r="LG168" s="236"/>
      <c r="LH168" s="236"/>
      <c r="LI168" s="236"/>
      <c r="LJ168" s="236"/>
      <c r="LK168" s="236"/>
      <c r="LL168" s="236"/>
      <c r="LM168" s="236"/>
      <c r="LN168" s="236"/>
      <c r="LO168" s="236"/>
      <c r="LP168" s="236"/>
      <c r="LQ168" s="236"/>
      <c r="LR168" s="236"/>
      <c r="LS168" s="236"/>
      <c r="LT168" s="236"/>
      <c r="LU168" s="236"/>
      <c r="LV168" s="236"/>
      <c r="LW168" s="236"/>
      <c r="LX168" s="236"/>
      <c r="LY168" s="236"/>
      <c r="LZ168" s="236"/>
      <c r="MA168" s="236"/>
      <c r="MB168" s="236"/>
      <c r="MC168" s="236"/>
      <c r="MD168" s="236"/>
      <c r="ME168" s="236"/>
      <c r="MF168" s="236"/>
      <c r="MG168" s="236"/>
      <c r="MH168" s="236"/>
      <c r="MI168" s="236"/>
      <c r="MJ168" s="236"/>
      <c r="MK168" s="236"/>
      <c r="ML168" s="236"/>
      <c r="MM168" s="236"/>
      <c r="MN168" s="236"/>
      <c r="MO168" s="236"/>
      <c r="MP168" s="236"/>
      <c r="MQ168" s="236"/>
      <c r="MR168" s="236"/>
      <c r="MS168" s="236"/>
      <c r="MT168" s="236"/>
      <c r="MU168" s="236"/>
      <c r="MV168" s="236"/>
      <c r="MW168" s="236"/>
      <c r="MX168" s="236"/>
      <c r="MY168" s="236"/>
      <c r="MZ168" s="236"/>
      <c r="NA168" s="236"/>
      <c r="NB168" s="236"/>
      <c r="NC168" s="236"/>
      <c r="ND168" s="236"/>
      <c r="NE168" s="236"/>
      <c r="NF168" s="236"/>
      <c r="NG168" s="236"/>
      <c r="NH168" s="236"/>
      <c r="NI168" s="236"/>
      <c r="NJ168" s="236"/>
      <c r="NK168" s="236"/>
      <c r="NL168" s="236"/>
      <c r="NM168" s="236"/>
      <c r="NN168" s="236"/>
      <c r="NO168" s="236"/>
      <c r="NP168" s="236"/>
      <c r="NQ168" s="236"/>
      <c r="NR168" s="236"/>
      <c r="NS168" s="236"/>
      <c r="NT168" s="236"/>
      <c r="NU168" s="236"/>
      <c r="NV168" s="236"/>
      <c r="NW168" s="236"/>
      <c r="NX168" s="236"/>
      <c r="NY168" s="236"/>
      <c r="NZ168" s="236"/>
      <c r="OA168" s="236"/>
      <c r="OB168" s="236"/>
      <c r="OC168" s="236"/>
      <c r="OD168" s="236"/>
      <c r="OE168" s="236"/>
      <c r="OF168" s="236"/>
      <c r="OG168" s="236"/>
      <c r="OH168" s="236"/>
      <c r="OI168" s="236"/>
      <c r="OJ168" s="236"/>
      <c r="OK168" s="236"/>
      <c r="OL168" s="236"/>
      <c r="OM168" s="236"/>
      <c r="ON168" s="236"/>
      <c r="OO168" s="236"/>
      <c r="OP168" s="236"/>
      <c r="OQ168" s="236"/>
      <c r="OR168" s="236"/>
      <c r="OS168" s="236"/>
      <c r="OT168" s="236"/>
      <c r="OU168" s="236"/>
      <c r="OV168" s="236"/>
      <c r="OW168" s="236"/>
      <c r="OX168" s="236"/>
      <c r="OY168" s="236"/>
      <c r="OZ168" s="236"/>
      <c r="PA168" s="236"/>
      <c r="PB168" s="236"/>
      <c r="PC168" s="236"/>
      <c r="PD168" s="236"/>
      <c r="PE168" s="236"/>
      <c r="PF168" s="236"/>
      <c r="PG168" s="236"/>
      <c r="PH168" s="236"/>
      <c r="PI168" s="236"/>
      <c r="PJ168" s="236"/>
      <c r="PK168" s="236"/>
      <c r="PL168" s="236"/>
      <c r="PM168" s="236"/>
      <c r="PN168" s="236"/>
      <c r="PO168" s="236"/>
      <c r="PP168" s="236"/>
      <c r="PQ168" s="236"/>
      <c r="PR168" s="236"/>
      <c r="PS168" s="236"/>
      <c r="PT168" s="236"/>
      <c r="PU168" s="236"/>
      <c r="PV168" s="236"/>
      <c r="PW168" s="236"/>
      <c r="PX168" s="236"/>
      <c r="PY168" s="236"/>
      <c r="PZ168" s="236"/>
      <c r="QA168" s="236"/>
      <c r="QB168" s="236"/>
      <c r="QC168" s="236"/>
      <c r="QD168" s="236"/>
      <c r="QE168" s="236"/>
      <c r="QF168" s="236"/>
      <c r="QG168" s="236"/>
      <c r="QH168" s="236"/>
      <c r="QI168" s="236"/>
      <c r="QJ168" s="236"/>
      <c r="QK168" s="236"/>
      <c r="QL168" s="236"/>
      <c r="QM168" s="236"/>
      <c r="QN168" s="236"/>
      <c r="QO168" s="236"/>
      <c r="QP168" s="236"/>
      <c r="QQ168" s="236"/>
      <c r="QR168" s="236"/>
      <c r="QS168" s="236"/>
      <c r="QT168" s="236"/>
      <c r="QU168" s="236"/>
      <c r="QV168" s="236"/>
      <c r="QW168" s="236"/>
      <c r="QX168" s="236"/>
      <c r="QY168" s="236"/>
      <c r="QZ168" s="236"/>
      <c r="RA168" s="236"/>
      <c r="RB168" s="236"/>
      <c r="RC168" s="236"/>
      <c r="RD168" s="236"/>
      <c r="RE168" s="236"/>
      <c r="RF168" s="236"/>
      <c r="RG168" s="236"/>
      <c r="RH168" s="236"/>
      <c r="RI168" s="236"/>
      <c r="RJ168" s="236"/>
      <c r="RK168" s="236"/>
      <c r="RL168" s="236"/>
      <c r="RM168" s="236"/>
      <c r="RN168" s="236"/>
      <c r="RO168" s="236"/>
      <c r="RP168" s="236"/>
      <c r="RQ168" s="236"/>
      <c r="RR168" s="236"/>
      <c r="RS168" s="236"/>
      <c r="RT168" s="236"/>
      <c r="RU168" s="236"/>
      <c r="RV168" s="236"/>
      <c r="RW168" s="236"/>
      <c r="RX168" s="236"/>
      <c r="RY168" s="236"/>
      <c r="RZ168" s="236"/>
      <c r="SA168" s="236"/>
      <c r="SB168" s="236"/>
      <c r="SC168" s="236"/>
      <c r="SD168" s="236"/>
      <c r="SE168" s="236"/>
      <c r="SF168" s="236"/>
      <c r="SG168" s="236"/>
      <c r="SH168" s="236"/>
      <c r="SI168" s="236"/>
      <c r="SJ168" s="236"/>
      <c r="SK168" s="236"/>
      <c r="SL168" s="236"/>
      <c r="SM168" s="236"/>
      <c r="SN168" s="236"/>
      <c r="SO168" s="236"/>
      <c r="SP168" s="236"/>
      <c r="SQ168" s="236"/>
      <c r="SR168" s="236"/>
      <c r="SS168" s="236"/>
      <c r="ST168" s="236"/>
      <c r="SU168" s="236"/>
      <c r="SV168" s="236"/>
      <c r="SW168" s="236"/>
      <c r="SX168" s="236"/>
      <c r="SY168" s="236"/>
      <c r="SZ168" s="236"/>
      <c r="TA168" s="236"/>
      <c r="TB168" s="236"/>
      <c r="TC168" s="236"/>
      <c r="TD168" s="236"/>
      <c r="TE168" s="236"/>
      <c r="TF168" s="236"/>
      <c r="TG168" s="236"/>
      <c r="TH168" s="236"/>
      <c r="TI168" s="236"/>
      <c r="TJ168" s="236"/>
      <c r="TK168" s="236"/>
      <c r="TL168" s="236"/>
      <c r="TM168" s="236"/>
      <c r="TN168" s="236"/>
      <c r="TO168" s="236"/>
      <c r="TP168" s="236"/>
      <c r="TQ168" s="236"/>
      <c r="TR168" s="236"/>
      <c r="TS168" s="236"/>
      <c r="TT168" s="236"/>
      <c r="TU168" s="236"/>
      <c r="TV168" s="236"/>
      <c r="TW168" s="236"/>
      <c r="TX168" s="236"/>
      <c r="TY168" s="236"/>
      <c r="TZ168" s="236"/>
      <c r="UA168" s="236"/>
      <c r="UB168" s="236"/>
      <c r="UC168" s="236"/>
      <c r="UD168" s="236"/>
      <c r="UE168" s="236"/>
      <c r="UF168" s="236"/>
      <c r="UG168" s="236"/>
      <c r="UH168" s="236"/>
      <c r="UI168" s="236"/>
      <c r="UJ168" s="236"/>
      <c r="UK168" s="236"/>
      <c r="UL168" s="236"/>
      <c r="UM168" s="236"/>
      <c r="UN168" s="236"/>
      <c r="UO168" s="236"/>
      <c r="UP168" s="236"/>
      <c r="UQ168" s="236"/>
      <c r="UR168" s="236"/>
      <c r="US168" s="236"/>
      <c r="UT168" s="236"/>
      <c r="UU168" s="236"/>
      <c r="UV168" s="236"/>
      <c r="UW168" s="236"/>
      <c r="UX168" s="236"/>
      <c r="UY168" s="236"/>
      <c r="UZ168" s="236"/>
      <c r="VA168" s="236"/>
      <c r="VB168" s="236"/>
      <c r="VC168" s="236"/>
      <c r="VD168" s="236"/>
      <c r="VE168" s="236"/>
      <c r="VF168" s="236"/>
      <c r="VG168" s="236"/>
      <c r="VH168" s="236"/>
      <c r="VI168" s="236"/>
      <c r="VJ168" s="236"/>
      <c r="VK168" s="236"/>
      <c r="VL168" s="236"/>
      <c r="VM168" s="236"/>
      <c r="VN168" s="236"/>
      <c r="VO168" s="236"/>
      <c r="VP168" s="236"/>
      <c r="VQ168" s="236"/>
      <c r="VR168" s="236"/>
      <c r="VS168" s="236"/>
      <c r="VT168" s="236"/>
      <c r="VU168" s="236"/>
      <c r="VV168" s="236"/>
      <c r="VW168" s="236"/>
      <c r="VX168" s="236"/>
      <c r="VY168" s="236"/>
      <c r="VZ168" s="236"/>
      <c r="WA168" s="236"/>
      <c r="WB168" s="236"/>
      <c r="WC168" s="236"/>
      <c r="WD168" s="236"/>
      <c r="WE168" s="236"/>
      <c r="WF168" s="236"/>
      <c r="WG168" s="236"/>
      <c r="WH168" s="236"/>
      <c r="WI168" s="236"/>
      <c r="WJ168" s="236"/>
      <c r="WK168" s="236"/>
      <c r="WL168" s="236"/>
      <c r="WM168" s="236"/>
      <c r="WN168" s="236"/>
      <c r="WO168" s="236"/>
      <c r="WP168" s="236"/>
      <c r="WQ168" s="236"/>
      <c r="WR168" s="236"/>
      <c r="WS168" s="236"/>
      <c r="WT168" s="236"/>
      <c r="WU168" s="236"/>
      <c r="WV168" s="236"/>
      <c r="WW168" s="236"/>
      <c r="WX168" s="236"/>
      <c r="WY168" s="236"/>
      <c r="WZ168" s="236"/>
      <c r="XA168" s="236"/>
      <c r="XB168" s="236"/>
      <c r="XC168" s="236"/>
      <c r="XD168" s="236"/>
      <c r="XE168" s="236"/>
      <c r="XF168" s="236"/>
      <c r="XG168" s="236"/>
      <c r="XH168" s="236"/>
      <c r="XI168" s="236"/>
      <c r="XJ168" s="236"/>
      <c r="XK168" s="236"/>
      <c r="XL168" s="236"/>
      <c r="XM168" s="236"/>
      <c r="XN168" s="236"/>
      <c r="XO168" s="236"/>
      <c r="XP168" s="236"/>
      <c r="XQ168" s="236"/>
      <c r="XR168" s="236"/>
      <c r="XS168" s="236"/>
      <c r="XT168" s="236"/>
      <c r="XU168" s="236"/>
      <c r="XV168" s="236"/>
      <c r="XW168" s="236"/>
      <c r="XX168" s="236"/>
      <c r="XY168" s="236"/>
      <c r="XZ168" s="236"/>
      <c r="YA168" s="236"/>
      <c r="YB168" s="236"/>
      <c r="YC168" s="236"/>
      <c r="YD168" s="236"/>
      <c r="YE168" s="236"/>
      <c r="YF168" s="236"/>
      <c r="YG168" s="236"/>
      <c r="YH168" s="236"/>
      <c r="YI168" s="236"/>
      <c r="YJ168" s="236"/>
      <c r="YK168" s="236"/>
      <c r="YL168" s="236"/>
      <c r="YM168" s="236"/>
      <c r="YN168" s="236"/>
      <c r="YO168" s="236"/>
      <c r="YP168" s="236"/>
      <c r="YQ168" s="236"/>
      <c r="YR168" s="236"/>
      <c r="YS168" s="236"/>
      <c r="YT168" s="236"/>
      <c r="YU168" s="236"/>
      <c r="YV168" s="236"/>
      <c r="YW168" s="236"/>
      <c r="YX168" s="236"/>
      <c r="YY168" s="236"/>
      <c r="YZ168" s="236"/>
      <c r="ZA168" s="236"/>
      <c r="ZB168" s="236"/>
      <c r="ZC168" s="236"/>
      <c r="ZD168" s="236"/>
      <c r="ZE168" s="236"/>
      <c r="ZF168" s="236"/>
      <c r="ZG168" s="236"/>
      <c r="ZH168" s="236"/>
      <c r="ZI168" s="236"/>
      <c r="ZJ168" s="236"/>
      <c r="ZK168" s="236"/>
      <c r="ZL168" s="236"/>
      <c r="ZM168" s="236"/>
      <c r="ZN168" s="236"/>
      <c r="ZO168" s="236"/>
      <c r="ZP168" s="236"/>
      <c r="ZQ168" s="236"/>
      <c r="ZR168" s="236"/>
      <c r="ZS168" s="236"/>
      <c r="ZT168" s="236"/>
      <c r="ZU168" s="236"/>
      <c r="ZV168" s="236"/>
      <c r="ZW168" s="236"/>
      <c r="ZX168" s="236"/>
      <c r="ZY168" s="236"/>
      <c r="ZZ168" s="236"/>
      <c r="AAA168" s="236"/>
      <c r="AAB168" s="236"/>
      <c r="AAC168" s="236"/>
      <c r="AAD168" s="236"/>
      <c r="AAE168" s="236"/>
      <c r="AAF168" s="236"/>
      <c r="AAG168" s="236"/>
      <c r="AAH168" s="236"/>
      <c r="AAI168" s="236"/>
      <c r="AAJ168" s="236"/>
      <c r="AAK168" s="236"/>
      <c r="AAL168" s="236"/>
      <c r="AAM168" s="236"/>
      <c r="AAN168" s="236"/>
      <c r="AAO168" s="236"/>
      <c r="AAP168" s="236"/>
      <c r="AAQ168" s="236"/>
      <c r="AAR168" s="236"/>
      <c r="AAS168" s="236"/>
      <c r="AAT168" s="236"/>
      <c r="AAU168" s="236"/>
      <c r="AAV168" s="236"/>
      <c r="AAW168" s="236"/>
      <c r="AAX168" s="236"/>
      <c r="AAY168" s="236"/>
      <c r="AAZ168" s="236"/>
      <c r="ABA168" s="236"/>
      <c r="ABB168" s="236"/>
      <c r="ABC168" s="236"/>
      <c r="ABD168" s="236"/>
      <c r="ABE168" s="236"/>
      <c r="ABF168" s="236"/>
      <c r="ABG168" s="236"/>
      <c r="ABH168" s="236"/>
      <c r="ABI168" s="236"/>
      <c r="ABJ168" s="236"/>
      <c r="ABK168" s="236"/>
      <c r="ABL168" s="236"/>
      <c r="ABM168" s="236"/>
      <c r="ABN168" s="236"/>
      <c r="ABO168" s="236"/>
      <c r="ABP168" s="236"/>
      <c r="ABQ168" s="236"/>
      <c r="ABR168" s="236"/>
      <c r="ABS168" s="236"/>
      <c r="ABT168" s="236"/>
      <c r="ABU168" s="236"/>
      <c r="ABV168" s="236"/>
      <c r="ABW168" s="236"/>
      <c r="ABX168" s="236"/>
      <c r="ABY168" s="236"/>
      <c r="ABZ168" s="236"/>
      <c r="ACA168" s="236"/>
      <c r="ACB168" s="236"/>
      <c r="ACC168" s="236"/>
      <c r="ACD168" s="236"/>
      <c r="ACE168" s="236"/>
      <c r="ACF168" s="236"/>
      <c r="ACG168" s="236"/>
      <c r="ACH168" s="236"/>
      <c r="ACI168" s="236"/>
      <c r="ACJ168" s="236"/>
      <c r="ACK168" s="236"/>
      <c r="ACL168" s="236"/>
      <c r="ACM168" s="236"/>
      <c r="ACN168" s="236"/>
      <c r="ACO168" s="236"/>
      <c r="ACP168" s="236"/>
      <c r="ACQ168" s="236"/>
      <c r="ACR168" s="236"/>
      <c r="ACS168" s="236"/>
      <c r="ACT168" s="236"/>
      <c r="ACU168" s="236"/>
      <c r="ACV168" s="236"/>
      <c r="ACW168" s="236"/>
      <c r="ACX168" s="236"/>
      <c r="ACY168" s="236"/>
      <c r="ACZ168" s="236"/>
      <c r="ADA168" s="236"/>
      <c r="ADB168" s="236"/>
      <c r="ADC168" s="236"/>
      <c r="ADD168" s="236"/>
      <c r="ADE168" s="236"/>
      <c r="ADF168" s="236"/>
      <c r="ADG168" s="236"/>
      <c r="ADH168" s="236"/>
      <c r="ADI168" s="236"/>
      <c r="ADJ168" s="236"/>
      <c r="ADK168" s="236"/>
      <c r="ADL168" s="236"/>
      <c r="ADM168" s="236"/>
      <c r="ADN168" s="236"/>
      <c r="ADO168" s="236"/>
      <c r="ADP168" s="236"/>
      <c r="ADQ168" s="236"/>
      <c r="ADR168" s="236"/>
      <c r="ADS168" s="236"/>
      <c r="ADT168" s="236"/>
      <c r="ADU168" s="236"/>
      <c r="ADV168" s="236"/>
      <c r="ADW168" s="236"/>
      <c r="ADX168" s="236"/>
      <c r="ADY168" s="236"/>
      <c r="ADZ168" s="236"/>
      <c r="AEA168" s="236"/>
      <c r="AEB168" s="236"/>
      <c r="AEC168" s="236"/>
      <c r="AED168" s="236"/>
      <c r="AEE168" s="236"/>
      <c r="AEF168" s="236"/>
      <c r="AEG168" s="236"/>
      <c r="AEH168" s="236"/>
      <c r="AEI168" s="236"/>
      <c r="AEJ168" s="236"/>
      <c r="AEK168" s="236"/>
      <c r="AEL168" s="236"/>
      <c r="AEM168" s="236"/>
      <c r="AEN168" s="236"/>
      <c r="AEO168" s="236"/>
      <c r="AEP168" s="236"/>
      <c r="AEQ168" s="236"/>
      <c r="AER168" s="236"/>
      <c r="AES168" s="236"/>
      <c r="AET168" s="236"/>
      <c r="AEU168" s="236"/>
      <c r="AEV168" s="236"/>
      <c r="AEW168" s="236"/>
      <c r="AEX168" s="236"/>
      <c r="AEY168" s="236"/>
      <c r="AEZ168" s="236"/>
      <c r="AFA168" s="236"/>
      <c r="AFB168" s="236"/>
      <c r="AFC168" s="236"/>
      <c r="AFD168" s="236"/>
      <c r="AFE168" s="236"/>
      <c r="AFF168" s="236"/>
      <c r="AFG168" s="236"/>
      <c r="AFH168" s="236"/>
      <c r="AFI168" s="236"/>
      <c r="AFJ168" s="236"/>
      <c r="AFK168" s="236"/>
      <c r="AFL168" s="236"/>
      <c r="AFM168" s="236"/>
      <c r="AFN168" s="236"/>
      <c r="AFO168" s="236"/>
      <c r="AFP168" s="236"/>
      <c r="AFQ168" s="236"/>
      <c r="AFR168" s="236"/>
      <c r="AFS168" s="236"/>
      <c r="AFT168" s="236"/>
      <c r="AFU168" s="236"/>
      <c r="AFV168" s="236"/>
      <c r="AFW168" s="236"/>
      <c r="AFX168" s="236"/>
      <c r="AFY168" s="236"/>
      <c r="AFZ168" s="236"/>
      <c r="AGA168" s="236"/>
      <c r="AGB168" s="236"/>
      <c r="AGC168" s="236"/>
      <c r="AGD168" s="236"/>
      <c r="AGE168" s="236"/>
      <c r="AGF168" s="236"/>
      <c r="AGG168" s="236"/>
      <c r="AGH168" s="236"/>
      <c r="AGI168" s="236"/>
      <c r="AGJ168" s="236"/>
      <c r="AGK168" s="236"/>
      <c r="AGL168" s="236"/>
      <c r="AGM168" s="236"/>
      <c r="AGN168" s="236"/>
      <c r="AGO168" s="236"/>
      <c r="AGP168" s="236"/>
      <c r="AGQ168" s="236"/>
      <c r="AGR168" s="236"/>
      <c r="AGS168" s="236"/>
      <c r="AGT168" s="236"/>
      <c r="AGU168" s="236"/>
      <c r="AGV168" s="236"/>
      <c r="AGW168" s="236"/>
      <c r="AGX168" s="236"/>
      <c r="AGY168" s="236"/>
      <c r="AGZ168" s="236"/>
      <c r="AHA168" s="236"/>
      <c r="AHB168" s="236"/>
      <c r="AHC168" s="236"/>
      <c r="AHD168" s="236"/>
      <c r="AHE168" s="236"/>
      <c r="AHF168" s="236"/>
      <c r="AHG168" s="236"/>
      <c r="AHH168" s="236"/>
      <c r="AHI168" s="236"/>
      <c r="AHJ168" s="236"/>
      <c r="AHK168" s="236"/>
      <c r="AHL168" s="236"/>
      <c r="AHM168" s="236"/>
      <c r="AHN168" s="236"/>
      <c r="AHO168" s="236"/>
      <c r="AHP168" s="236"/>
      <c r="AHQ168" s="236"/>
      <c r="AHR168" s="236"/>
      <c r="AHS168" s="236"/>
      <c r="AHT168" s="236"/>
      <c r="AHU168" s="236"/>
      <c r="AHV168" s="236"/>
      <c r="AHW168" s="236"/>
      <c r="AHX168" s="236"/>
      <c r="AHY168" s="236"/>
      <c r="AHZ168" s="236"/>
      <c r="AIA168" s="236"/>
      <c r="AIB168" s="236"/>
      <c r="AIC168" s="236"/>
      <c r="AID168" s="236"/>
      <c r="AIE168" s="236"/>
      <c r="AIF168" s="236"/>
      <c r="AIG168" s="236"/>
      <c r="AIH168" s="236"/>
      <c r="AII168" s="236"/>
      <c r="AIJ168" s="236"/>
      <c r="AIK168" s="236"/>
      <c r="AIL168" s="236"/>
      <c r="AIM168" s="236"/>
      <c r="AIN168" s="236"/>
      <c r="AIO168" s="236"/>
      <c r="AIP168" s="236"/>
      <c r="AIQ168" s="236"/>
      <c r="AIR168" s="236"/>
      <c r="AIS168" s="236"/>
      <c r="AIT168" s="236"/>
      <c r="AIU168" s="236"/>
      <c r="AIV168" s="236"/>
      <c r="AIW168" s="236"/>
      <c r="AIX168" s="236"/>
      <c r="AIY168" s="236"/>
      <c r="AIZ168" s="236"/>
      <c r="AJA168" s="236"/>
      <c r="AJB168" s="236"/>
      <c r="AJC168" s="236"/>
      <c r="AJD168" s="236"/>
      <c r="AJE168" s="236"/>
      <c r="AJF168" s="236"/>
      <c r="AJG168" s="236"/>
      <c r="AJH168" s="236"/>
      <c r="AJI168" s="236"/>
      <c r="AJJ168" s="236"/>
      <c r="AJK168" s="236"/>
      <c r="AJL168" s="236"/>
      <c r="AJM168" s="236"/>
      <c r="AJN168" s="236"/>
      <c r="AJO168" s="236"/>
      <c r="AJP168" s="236"/>
      <c r="AJQ168" s="236"/>
      <c r="AJR168" s="236"/>
      <c r="AJS168" s="236"/>
      <c r="AJT168" s="236"/>
      <c r="AJU168" s="236"/>
      <c r="AJV168" s="236"/>
      <c r="AJW168" s="236"/>
      <c r="AJX168" s="236"/>
      <c r="AJY168" s="236"/>
      <c r="AJZ168" s="236"/>
      <c r="AKA168" s="236"/>
      <c r="AKB168" s="236"/>
      <c r="AKC168" s="236"/>
      <c r="AKD168" s="236"/>
      <c r="AKE168" s="236"/>
      <c r="AKF168" s="236"/>
      <c r="AKG168" s="236"/>
      <c r="AKH168" s="236"/>
      <c r="AKI168" s="236"/>
      <c r="AKJ168" s="236"/>
      <c r="AKK168" s="236"/>
      <c r="AKL168" s="236"/>
      <c r="AKM168" s="236"/>
      <c r="AKN168" s="236"/>
      <c r="AKO168" s="236"/>
      <c r="AKP168" s="236"/>
      <c r="AKQ168" s="236"/>
      <c r="AKR168" s="236"/>
      <c r="AKS168" s="236"/>
      <c r="AKT168" s="236"/>
      <c r="AKU168" s="236"/>
      <c r="AKV168" s="236"/>
      <c r="AKW168" s="236"/>
      <c r="AKX168" s="236"/>
      <c r="AKY168" s="236"/>
      <c r="AKZ168" s="236"/>
      <c r="ALA168" s="236"/>
      <c r="ALB168" s="236"/>
      <c r="ALC168" s="236"/>
      <c r="ALD168" s="236"/>
      <c r="ALE168" s="236"/>
      <c r="ALF168" s="236"/>
      <c r="ALG168" s="236"/>
      <c r="ALH168" s="236"/>
      <c r="ALI168" s="236"/>
      <c r="ALJ168" s="236"/>
      <c r="ALK168" s="236"/>
      <c r="ALL168" s="236"/>
      <c r="ALM168" s="236"/>
      <c r="ALN168" s="236"/>
      <c r="ALO168" s="236"/>
      <c r="ALP168" s="236"/>
      <c r="ALQ168" s="236"/>
      <c r="ALR168" s="236"/>
      <c r="ALS168" s="236"/>
      <c r="ALT168" s="236"/>
      <c r="ALU168" s="236"/>
      <c r="ALV168" s="236"/>
      <c r="ALW168" s="236"/>
      <c r="ALX168" s="236"/>
      <c r="ALY168" s="236"/>
      <c r="ALZ168" s="236"/>
      <c r="AMA168" s="236"/>
      <c r="AMB168" s="236"/>
      <c r="AMC168" s="236"/>
      <c r="AMD168" s="236"/>
      <c r="AME168" s="236"/>
      <c r="AMF168" s="236"/>
      <c r="AMG168" s="236"/>
      <c r="AMH168" s="236"/>
      <c r="AMI168" s="236"/>
      <c r="AMJ168" s="236"/>
      <c r="AMK168" s="236"/>
      <c r="AML168" s="236"/>
      <c r="AMM168" s="236"/>
    </row>
    <row r="169" spans="1:1027">
      <c r="A169" s="1418"/>
      <c r="B169" s="1419"/>
      <c r="C169" s="1419"/>
      <c r="D169" s="1419"/>
      <c r="E169" s="1419"/>
      <c r="F169" s="1419"/>
      <c r="G169" s="1419"/>
      <c r="H169" s="1419"/>
      <c r="I169" s="1419"/>
      <c r="J169" s="1419"/>
      <c r="K169" s="1419"/>
      <c r="L169" s="1420"/>
      <c r="M169" s="283"/>
      <c r="N169" s="1392" t="s">
        <v>278</v>
      </c>
      <c r="O169" s="1393"/>
      <c r="P169" s="1393"/>
      <c r="Q169" s="1393"/>
      <c r="R169" s="1394"/>
      <c r="S169" s="284"/>
      <c r="T169" s="284"/>
      <c r="U169" s="284"/>
      <c r="V169" s="1392" t="s">
        <v>170</v>
      </c>
      <c r="W169" s="1393"/>
      <c r="X169" s="1393"/>
      <c r="Y169" s="1393"/>
      <c r="Z169" s="1394"/>
      <c r="AA169" s="1065"/>
      <c r="AB169" s="1392" t="s">
        <v>171</v>
      </c>
      <c r="AC169" s="1394"/>
      <c r="AD169" s="1395" t="s">
        <v>172</v>
      </c>
      <c r="AE169" s="1395"/>
      <c r="AF169" s="1395"/>
      <c r="AG169" s="1395"/>
      <c r="AH169" s="1395"/>
      <c r="AI169" s="1395"/>
      <c r="AJ169" s="1395"/>
      <c r="AK169" s="1395"/>
      <c r="AL169" s="1395"/>
      <c r="AM169" s="1395"/>
      <c r="AN169" s="1395"/>
      <c r="AO169" s="262"/>
      <c r="AP169" s="262"/>
      <c r="AQ169" s="262"/>
      <c r="AR169" s="262"/>
      <c r="AS169" s="262"/>
      <c r="AT169" s="262"/>
      <c r="AU169" s="262"/>
      <c r="AV169" s="262"/>
      <c r="AW169" s="262"/>
      <c r="AX169" s="262"/>
      <c r="AY169" s="236"/>
      <c r="AZ169" s="236"/>
      <c r="BA169" s="236"/>
      <c r="BB169" s="236"/>
      <c r="BC169" s="236"/>
      <c r="BD169" s="236"/>
      <c r="BE169" s="236"/>
      <c r="BF169" s="236"/>
      <c r="BG169" s="236"/>
      <c r="BH169" s="236"/>
      <c r="BI169" s="236"/>
      <c r="BJ169" s="236"/>
      <c r="BK169" s="236"/>
      <c r="BL169" s="236"/>
      <c r="BM169" s="236"/>
      <c r="BN169" s="236"/>
      <c r="BO169" s="236"/>
      <c r="BP169" s="236"/>
      <c r="BQ169" s="236"/>
      <c r="BR169" s="236"/>
      <c r="BS169" s="236"/>
      <c r="BT169" s="236"/>
      <c r="BU169" s="236"/>
      <c r="BV169" s="236"/>
      <c r="BW169" s="236"/>
      <c r="BX169" s="236"/>
      <c r="BY169" s="236"/>
      <c r="BZ169" s="236"/>
      <c r="CA169" s="236"/>
      <c r="CB169" s="236"/>
      <c r="CC169" s="236"/>
      <c r="CD169" s="236"/>
      <c r="CE169" s="236"/>
      <c r="CF169" s="236"/>
      <c r="CG169" s="236"/>
      <c r="CH169" s="236"/>
      <c r="CI169" s="236"/>
      <c r="CJ169" s="236"/>
      <c r="CK169" s="236"/>
      <c r="CL169" s="236"/>
      <c r="CM169" s="236"/>
      <c r="CN169" s="236"/>
      <c r="CO169" s="236"/>
      <c r="CP169" s="236"/>
      <c r="CQ169" s="236"/>
      <c r="CR169" s="236"/>
      <c r="CS169" s="236"/>
      <c r="CT169" s="236"/>
      <c r="CU169" s="236"/>
      <c r="CV169" s="236"/>
      <c r="CW169" s="236"/>
      <c r="CX169" s="236"/>
      <c r="CY169" s="236"/>
      <c r="CZ169" s="236"/>
      <c r="DA169" s="236"/>
      <c r="DB169" s="236"/>
      <c r="DC169" s="236"/>
      <c r="DD169" s="236"/>
      <c r="DE169" s="236"/>
      <c r="DF169" s="236"/>
      <c r="DG169" s="236"/>
      <c r="DH169" s="236"/>
      <c r="DI169" s="236"/>
      <c r="DJ169" s="236"/>
      <c r="DK169" s="236"/>
      <c r="DL169" s="236"/>
      <c r="DM169" s="236"/>
      <c r="DN169" s="236"/>
      <c r="DO169" s="236"/>
      <c r="DP169" s="236"/>
      <c r="DQ169" s="236"/>
      <c r="DR169" s="236"/>
      <c r="DS169" s="236"/>
      <c r="DT169" s="236"/>
      <c r="DU169" s="236"/>
      <c r="DV169" s="236"/>
      <c r="DW169" s="236"/>
      <c r="DX169" s="236"/>
      <c r="DY169" s="236"/>
      <c r="DZ169" s="236"/>
      <c r="EA169" s="236"/>
      <c r="EB169" s="236"/>
      <c r="EC169" s="236"/>
      <c r="ED169" s="236"/>
      <c r="EE169" s="236"/>
      <c r="EF169" s="236"/>
      <c r="EG169" s="236"/>
      <c r="EH169" s="236"/>
      <c r="EI169" s="236"/>
      <c r="EJ169" s="236"/>
      <c r="EK169" s="236"/>
      <c r="EL169" s="236"/>
      <c r="EM169" s="236"/>
      <c r="EN169" s="236"/>
      <c r="EO169" s="236"/>
      <c r="EP169" s="236"/>
      <c r="EQ169" s="236"/>
      <c r="ER169" s="236"/>
      <c r="ES169" s="236"/>
      <c r="ET169" s="236"/>
      <c r="EU169" s="236"/>
      <c r="EV169" s="236"/>
      <c r="EW169" s="236"/>
      <c r="EX169" s="236"/>
      <c r="EY169" s="236"/>
      <c r="EZ169" s="236"/>
      <c r="FA169" s="236"/>
      <c r="FB169" s="236"/>
      <c r="FC169" s="236"/>
      <c r="FD169" s="236"/>
      <c r="FE169" s="236"/>
      <c r="FF169" s="236"/>
      <c r="FG169" s="236"/>
      <c r="FH169" s="236"/>
      <c r="FI169" s="236"/>
      <c r="FJ169" s="236"/>
      <c r="FK169" s="236"/>
      <c r="FL169" s="236"/>
      <c r="FM169" s="236"/>
      <c r="FN169" s="236"/>
      <c r="FO169" s="236"/>
      <c r="FP169" s="236"/>
      <c r="FQ169" s="236"/>
      <c r="FR169" s="236"/>
      <c r="FS169" s="236"/>
      <c r="FT169" s="236"/>
      <c r="FU169" s="236"/>
      <c r="FV169" s="236"/>
      <c r="FW169" s="236"/>
      <c r="FX169" s="236"/>
      <c r="FY169" s="236"/>
      <c r="FZ169" s="236"/>
      <c r="GA169" s="236"/>
      <c r="GB169" s="236"/>
      <c r="GC169" s="236"/>
      <c r="GD169" s="236"/>
      <c r="GE169" s="236"/>
      <c r="GF169" s="236"/>
      <c r="GG169" s="236"/>
      <c r="GH169" s="236"/>
      <c r="GI169" s="236"/>
      <c r="GJ169" s="236"/>
      <c r="GK169" s="236"/>
      <c r="GL169" s="236"/>
      <c r="GM169" s="236"/>
      <c r="GN169" s="236"/>
      <c r="GO169" s="236"/>
      <c r="GP169" s="236"/>
      <c r="GQ169" s="236"/>
      <c r="GR169" s="236"/>
      <c r="GS169" s="236"/>
      <c r="GT169" s="236"/>
      <c r="GU169" s="236"/>
      <c r="GV169" s="236"/>
      <c r="GW169" s="236"/>
      <c r="GX169" s="236"/>
      <c r="GY169" s="236"/>
      <c r="GZ169" s="236"/>
      <c r="HA169" s="236"/>
      <c r="HB169" s="236"/>
      <c r="HC169" s="236"/>
      <c r="HD169" s="236"/>
      <c r="HE169" s="236"/>
      <c r="HF169" s="236"/>
      <c r="HG169" s="236"/>
      <c r="HH169" s="236"/>
      <c r="HI169" s="236"/>
      <c r="HJ169" s="236"/>
      <c r="HK169" s="236"/>
      <c r="HL169" s="236"/>
      <c r="HM169" s="236"/>
      <c r="HN169" s="236"/>
      <c r="HO169" s="236"/>
      <c r="HP169" s="236"/>
      <c r="HQ169" s="236"/>
      <c r="HR169" s="236"/>
      <c r="HS169" s="236"/>
      <c r="HT169" s="236"/>
      <c r="HU169" s="236"/>
      <c r="HV169" s="236"/>
      <c r="HW169" s="236"/>
      <c r="HX169" s="236"/>
      <c r="HY169" s="236"/>
      <c r="HZ169" s="236"/>
      <c r="IA169" s="236"/>
      <c r="IB169" s="236"/>
      <c r="IC169" s="236"/>
      <c r="ID169" s="236"/>
      <c r="IE169" s="236"/>
      <c r="IF169" s="236"/>
      <c r="IG169" s="236"/>
      <c r="IH169" s="236"/>
      <c r="II169" s="236"/>
      <c r="IJ169" s="236"/>
      <c r="IK169" s="236"/>
      <c r="IL169" s="236"/>
      <c r="IM169" s="236"/>
      <c r="IN169" s="236"/>
      <c r="IO169" s="236"/>
      <c r="IP169" s="236"/>
      <c r="IQ169" s="236"/>
      <c r="IR169" s="236"/>
      <c r="IS169" s="236"/>
      <c r="IT169" s="236"/>
      <c r="IU169" s="236"/>
      <c r="IV169" s="236"/>
      <c r="IW169" s="236"/>
      <c r="IX169" s="236"/>
      <c r="IY169" s="236"/>
      <c r="IZ169" s="236"/>
      <c r="JA169" s="236"/>
      <c r="JB169" s="236"/>
      <c r="JC169" s="236"/>
      <c r="JD169" s="236"/>
      <c r="JE169" s="236"/>
      <c r="JF169" s="236"/>
      <c r="JG169" s="236"/>
      <c r="JH169" s="236"/>
      <c r="JI169" s="236"/>
      <c r="JJ169" s="236"/>
      <c r="JK169" s="236"/>
      <c r="JL169" s="236"/>
      <c r="JM169" s="236"/>
      <c r="JN169" s="236"/>
      <c r="JO169" s="236"/>
      <c r="JP169" s="236"/>
      <c r="JQ169" s="236"/>
      <c r="JR169" s="236"/>
      <c r="JS169" s="236"/>
      <c r="JT169" s="236"/>
      <c r="JU169" s="236"/>
      <c r="JV169" s="236"/>
      <c r="JW169" s="236"/>
      <c r="JX169" s="236"/>
      <c r="JY169" s="236"/>
      <c r="JZ169" s="236"/>
      <c r="KA169" s="236"/>
      <c r="KB169" s="236"/>
      <c r="KC169" s="236"/>
      <c r="KD169" s="236"/>
      <c r="KE169" s="236"/>
      <c r="KF169" s="236"/>
      <c r="KG169" s="236"/>
      <c r="KH169" s="236"/>
      <c r="KI169" s="236"/>
      <c r="KJ169" s="236"/>
      <c r="KK169" s="236"/>
      <c r="KL169" s="236"/>
      <c r="KM169" s="236"/>
      <c r="KN169" s="236"/>
      <c r="KO169" s="236"/>
      <c r="KP169" s="236"/>
      <c r="KQ169" s="236"/>
      <c r="KR169" s="236"/>
      <c r="KS169" s="236"/>
      <c r="KT169" s="236"/>
      <c r="KU169" s="236"/>
      <c r="KV169" s="236"/>
      <c r="KW169" s="236"/>
      <c r="KX169" s="236"/>
      <c r="KY169" s="236"/>
      <c r="KZ169" s="236"/>
      <c r="LA169" s="236"/>
      <c r="LB169" s="236"/>
      <c r="LC169" s="236"/>
      <c r="LD169" s="236"/>
      <c r="LE169" s="236"/>
      <c r="LF169" s="236"/>
      <c r="LG169" s="236"/>
      <c r="LH169" s="236"/>
      <c r="LI169" s="236"/>
      <c r="LJ169" s="236"/>
      <c r="LK169" s="236"/>
      <c r="LL169" s="236"/>
      <c r="LM169" s="236"/>
      <c r="LN169" s="236"/>
      <c r="LO169" s="236"/>
      <c r="LP169" s="236"/>
      <c r="LQ169" s="236"/>
      <c r="LR169" s="236"/>
      <c r="LS169" s="236"/>
      <c r="LT169" s="236"/>
      <c r="LU169" s="236"/>
      <c r="LV169" s="236"/>
      <c r="LW169" s="236"/>
      <c r="LX169" s="236"/>
      <c r="LY169" s="236"/>
      <c r="LZ169" s="236"/>
      <c r="MA169" s="236"/>
      <c r="MB169" s="236"/>
      <c r="MC169" s="236"/>
      <c r="MD169" s="236"/>
      <c r="ME169" s="236"/>
      <c r="MF169" s="236"/>
      <c r="MG169" s="236"/>
      <c r="MH169" s="236"/>
      <c r="MI169" s="236"/>
      <c r="MJ169" s="236"/>
      <c r="MK169" s="236"/>
      <c r="ML169" s="236"/>
      <c r="MM169" s="236"/>
      <c r="MN169" s="236"/>
      <c r="MO169" s="236"/>
      <c r="MP169" s="236"/>
      <c r="MQ169" s="236"/>
      <c r="MR169" s="236"/>
      <c r="MS169" s="236"/>
      <c r="MT169" s="236"/>
      <c r="MU169" s="236"/>
      <c r="MV169" s="236"/>
      <c r="MW169" s="236"/>
      <c r="MX169" s="236"/>
      <c r="MY169" s="236"/>
      <c r="MZ169" s="236"/>
      <c r="NA169" s="236"/>
      <c r="NB169" s="236"/>
      <c r="NC169" s="236"/>
      <c r="ND169" s="236"/>
      <c r="NE169" s="236"/>
      <c r="NF169" s="236"/>
      <c r="NG169" s="236"/>
      <c r="NH169" s="236"/>
      <c r="NI169" s="236"/>
      <c r="NJ169" s="236"/>
      <c r="NK169" s="236"/>
      <c r="NL169" s="236"/>
      <c r="NM169" s="236"/>
      <c r="NN169" s="236"/>
      <c r="NO169" s="236"/>
      <c r="NP169" s="236"/>
      <c r="NQ169" s="236"/>
      <c r="NR169" s="236"/>
      <c r="NS169" s="236"/>
      <c r="NT169" s="236"/>
      <c r="NU169" s="236"/>
      <c r="NV169" s="236"/>
      <c r="NW169" s="236"/>
      <c r="NX169" s="236"/>
      <c r="NY169" s="236"/>
      <c r="NZ169" s="236"/>
      <c r="OA169" s="236"/>
      <c r="OB169" s="236"/>
      <c r="OC169" s="236"/>
      <c r="OD169" s="236"/>
      <c r="OE169" s="236"/>
      <c r="OF169" s="236"/>
      <c r="OG169" s="236"/>
      <c r="OH169" s="236"/>
      <c r="OI169" s="236"/>
      <c r="OJ169" s="236"/>
      <c r="OK169" s="236"/>
      <c r="OL169" s="236"/>
      <c r="OM169" s="236"/>
      <c r="ON169" s="236"/>
      <c r="OO169" s="236"/>
      <c r="OP169" s="236"/>
      <c r="OQ169" s="236"/>
      <c r="OR169" s="236"/>
      <c r="OS169" s="236"/>
      <c r="OT169" s="236"/>
      <c r="OU169" s="236"/>
      <c r="OV169" s="236"/>
      <c r="OW169" s="236"/>
      <c r="OX169" s="236"/>
      <c r="OY169" s="236"/>
      <c r="OZ169" s="236"/>
      <c r="PA169" s="236"/>
      <c r="PB169" s="236"/>
      <c r="PC169" s="236"/>
      <c r="PD169" s="236"/>
      <c r="PE169" s="236"/>
      <c r="PF169" s="236"/>
      <c r="PG169" s="236"/>
      <c r="PH169" s="236"/>
      <c r="PI169" s="236"/>
      <c r="PJ169" s="236"/>
      <c r="PK169" s="236"/>
      <c r="PL169" s="236"/>
      <c r="PM169" s="236"/>
      <c r="PN169" s="236"/>
      <c r="PO169" s="236"/>
      <c r="PP169" s="236"/>
      <c r="PQ169" s="236"/>
      <c r="PR169" s="236"/>
      <c r="PS169" s="236"/>
      <c r="PT169" s="236"/>
      <c r="PU169" s="236"/>
      <c r="PV169" s="236"/>
      <c r="PW169" s="236"/>
      <c r="PX169" s="236"/>
      <c r="PY169" s="236"/>
      <c r="PZ169" s="236"/>
      <c r="QA169" s="236"/>
      <c r="QB169" s="236"/>
      <c r="QC169" s="236"/>
      <c r="QD169" s="236"/>
      <c r="QE169" s="236"/>
      <c r="QF169" s="236"/>
      <c r="QG169" s="236"/>
      <c r="QH169" s="236"/>
      <c r="QI169" s="236"/>
      <c r="QJ169" s="236"/>
      <c r="QK169" s="236"/>
      <c r="QL169" s="236"/>
      <c r="QM169" s="236"/>
      <c r="QN169" s="236"/>
      <c r="QO169" s="236"/>
      <c r="QP169" s="236"/>
      <c r="QQ169" s="236"/>
      <c r="QR169" s="236"/>
      <c r="QS169" s="236"/>
      <c r="QT169" s="236"/>
      <c r="QU169" s="236"/>
      <c r="QV169" s="236"/>
      <c r="QW169" s="236"/>
      <c r="QX169" s="236"/>
      <c r="QY169" s="236"/>
      <c r="QZ169" s="236"/>
      <c r="RA169" s="236"/>
      <c r="RB169" s="236"/>
      <c r="RC169" s="236"/>
      <c r="RD169" s="236"/>
      <c r="RE169" s="236"/>
      <c r="RF169" s="236"/>
      <c r="RG169" s="236"/>
      <c r="RH169" s="236"/>
      <c r="RI169" s="236"/>
      <c r="RJ169" s="236"/>
      <c r="RK169" s="236"/>
      <c r="RL169" s="236"/>
      <c r="RM169" s="236"/>
      <c r="RN169" s="236"/>
      <c r="RO169" s="236"/>
      <c r="RP169" s="236"/>
      <c r="RQ169" s="236"/>
      <c r="RR169" s="236"/>
      <c r="RS169" s="236"/>
      <c r="RT169" s="236"/>
      <c r="RU169" s="236"/>
      <c r="RV169" s="236"/>
      <c r="RW169" s="236"/>
      <c r="RX169" s="236"/>
      <c r="RY169" s="236"/>
      <c r="RZ169" s="236"/>
      <c r="SA169" s="236"/>
      <c r="SB169" s="236"/>
      <c r="SC169" s="236"/>
      <c r="SD169" s="236"/>
      <c r="SE169" s="236"/>
      <c r="SF169" s="236"/>
      <c r="SG169" s="236"/>
      <c r="SH169" s="236"/>
      <c r="SI169" s="236"/>
      <c r="SJ169" s="236"/>
      <c r="SK169" s="236"/>
      <c r="SL169" s="236"/>
      <c r="SM169" s="236"/>
      <c r="SN169" s="236"/>
      <c r="SO169" s="236"/>
      <c r="SP169" s="236"/>
      <c r="SQ169" s="236"/>
      <c r="SR169" s="236"/>
      <c r="SS169" s="236"/>
      <c r="ST169" s="236"/>
      <c r="SU169" s="236"/>
      <c r="SV169" s="236"/>
      <c r="SW169" s="236"/>
      <c r="SX169" s="236"/>
      <c r="SY169" s="236"/>
      <c r="SZ169" s="236"/>
      <c r="TA169" s="236"/>
      <c r="TB169" s="236"/>
      <c r="TC169" s="236"/>
      <c r="TD169" s="236"/>
      <c r="TE169" s="236"/>
      <c r="TF169" s="236"/>
      <c r="TG169" s="236"/>
      <c r="TH169" s="236"/>
      <c r="TI169" s="236"/>
      <c r="TJ169" s="236"/>
      <c r="TK169" s="236"/>
      <c r="TL169" s="236"/>
      <c r="TM169" s="236"/>
      <c r="TN169" s="236"/>
      <c r="TO169" s="236"/>
      <c r="TP169" s="236"/>
      <c r="TQ169" s="236"/>
      <c r="TR169" s="236"/>
      <c r="TS169" s="236"/>
      <c r="TT169" s="236"/>
      <c r="TU169" s="236"/>
      <c r="TV169" s="236"/>
      <c r="TW169" s="236"/>
      <c r="TX169" s="236"/>
      <c r="TY169" s="236"/>
      <c r="TZ169" s="236"/>
      <c r="UA169" s="236"/>
      <c r="UB169" s="236"/>
      <c r="UC169" s="236"/>
      <c r="UD169" s="236"/>
      <c r="UE169" s="236"/>
      <c r="UF169" s="236"/>
      <c r="UG169" s="236"/>
      <c r="UH169" s="236"/>
      <c r="UI169" s="236"/>
      <c r="UJ169" s="236"/>
      <c r="UK169" s="236"/>
      <c r="UL169" s="236"/>
      <c r="UM169" s="236"/>
      <c r="UN169" s="236"/>
      <c r="UO169" s="236"/>
      <c r="UP169" s="236"/>
      <c r="UQ169" s="236"/>
      <c r="UR169" s="236"/>
      <c r="US169" s="236"/>
      <c r="UT169" s="236"/>
      <c r="UU169" s="236"/>
      <c r="UV169" s="236"/>
      <c r="UW169" s="236"/>
      <c r="UX169" s="236"/>
      <c r="UY169" s="236"/>
      <c r="UZ169" s="236"/>
      <c r="VA169" s="236"/>
      <c r="VB169" s="236"/>
      <c r="VC169" s="236"/>
      <c r="VD169" s="236"/>
      <c r="VE169" s="236"/>
      <c r="VF169" s="236"/>
      <c r="VG169" s="236"/>
      <c r="VH169" s="236"/>
      <c r="VI169" s="236"/>
      <c r="VJ169" s="236"/>
      <c r="VK169" s="236"/>
      <c r="VL169" s="236"/>
      <c r="VM169" s="236"/>
      <c r="VN169" s="236"/>
      <c r="VO169" s="236"/>
      <c r="VP169" s="236"/>
      <c r="VQ169" s="236"/>
      <c r="VR169" s="236"/>
      <c r="VS169" s="236"/>
      <c r="VT169" s="236"/>
      <c r="VU169" s="236"/>
      <c r="VV169" s="236"/>
      <c r="VW169" s="236"/>
      <c r="VX169" s="236"/>
      <c r="VY169" s="236"/>
      <c r="VZ169" s="236"/>
      <c r="WA169" s="236"/>
      <c r="WB169" s="236"/>
      <c r="WC169" s="236"/>
      <c r="WD169" s="236"/>
      <c r="WE169" s="236"/>
      <c r="WF169" s="236"/>
      <c r="WG169" s="236"/>
      <c r="WH169" s="236"/>
      <c r="WI169" s="236"/>
      <c r="WJ169" s="236"/>
      <c r="WK169" s="236"/>
      <c r="WL169" s="236"/>
      <c r="WM169" s="236"/>
      <c r="WN169" s="236"/>
      <c r="WO169" s="236"/>
      <c r="WP169" s="236"/>
      <c r="WQ169" s="236"/>
      <c r="WR169" s="236"/>
      <c r="WS169" s="236"/>
      <c r="WT169" s="236"/>
      <c r="WU169" s="236"/>
      <c r="WV169" s="236"/>
      <c r="WW169" s="236"/>
      <c r="WX169" s="236"/>
      <c r="WY169" s="236"/>
      <c r="WZ169" s="236"/>
      <c r="XA169" s="236"/>
      <c r="XB169" s="236"/>
      <c r="XC169" s="236"/>
      <c r="XD169" s="236"/>
      <c r="XE169" s="236"/>
      <c r="XF169" s="236"/>
      <c r="XG169" s="236"/>
      <c r="XH169" s="236"/>
      <c r="XI169" s="236"/>
      <c r="XJ169" s="236"/>
      <c r="XK169" s="236"/>
      <c r="XL169" s="236"/>
      <c r="XM169" s="236"/>
      <c r="XN169" s="236"/>
      <c r="XO169" s="236"/>
      <c r="XP169" s="236"/>
      <c r="XQ169" s="236"/>
      <c r="XR169" s="236"/>
      <c r="XS169" s="236"/>
      <c r="XT169" s="236"/>
      <c r="XU169" s="236"/>
      <c r="XV169" s="236"/>
      <c r="XW169" s="236"/>
      <c r="XX169" s="236"/>
      <c r="XY169" s="236"/>
      <c r="XZ169" s="236"/>
      <c r="YA169" s="236"/>
      <c r="YB169" s="236"/>
      <c r="YC169" s="236"/>
      <c r="YD169" s="236"/>
      <c r="YE169" s="236"/>
      <c r="YF169" s="236"/>
      <c r="YG169" s="236"/>
      <c r="YH169" s="236"/>
      <c r="YI169" s="236"/>
      <c r="YJ169" s="236"/>
      <c r="YK169" s="236"/>
      <c r="YL169" s="236"/>
      <c r="YM169" s="236"/>
      <c r="YN169" s="236"/>
      <c r="YO169" s="236"/>
      <c r="YP169" s="236"/>
      <c r="YQ169" s="236"/>
      <c r="YR169" s="236"/>
      <c r="YS169" s="236"/>
      <c r="YT169" s="236"/>
      <c r="YU169" s="236"/>
      <c r="YV169" s="236"/>
      <c r="YW169" s="236"/>
      <c r="YX169" s="236"/>
      <c r="YY169" s="236"/>
      <c r="YZ169" s="236"/>
      <c r="ZA169" s="236"/>
      <c r="ZB169" s="236"/>
      <c r="ZC169" s="236"/>
      <c r="ZD169" s="236"/>
      <c r="ZE169" s="236"/>
      <c r="ZF169" s="236"/>
      <c r="ZG169" s="236"/>
      <c r="ZH169" s="236"/>
      <c r="ZI169" s="236"/>
      <c r="ZJ169" s="236"/>
      <c r="ZK169" s="236"/>
      <c r="ZL169" s="236"/>
      <c r="ZM169" s="236"/>
      <c r="ZN169" s="236"/>
      <c r="ZO169" s="236"/>
      <c r="ZP169" s="236"/>
      <c r="ZQ169" s="236"/>
      <c r="ZR169" s="236"/>
      <c r="ZS169" s="236"/>
      <c r="ZT169" s="236"/>
      <c r="ZU169" s="236"/>
      <c r="ZV169" s="236"/>
      <c r="ZW169" s="236"/>
      <c r="ZX169" s="236"/>
      <c r="ZY169" s="236"/>
      <c r="ZZ169" s="236"/>
      <c r="AAA169" s="236"/>
      <c r="AAB169" s="236"/>
      <c r="AAC169" s="236"/>
      <c r="AAD169" s="236"/>
      <c r="AAE169" s="236"/>
      <c r="AAF169" s="236"/>
      <c r="AAG169" s="236"/>
      <c r="AAH169" s="236"/>
      <c r="AAI169" s="236"/>
      <c r="AAJ169" s="236"/>
      <c r="AAK169" s="236"/>
      <c r="AAL169" s="236"/>
      <c r="AAM169" s="236"/>
      <c r="AAN169" s="236"/>
      <c r="AAO169" s="236"/>
      <c r="AAP169" s="236"/>
      <c r="AAQ169" s="236"/>
      <c r="AAR169" s="236"/>
      <c r="AAS169" s="236"/>
      <c r="AAT169" s="236"/>
      <c r="AAU169" s="236"/>
      <c r="AAV169" s="236"/>
      <c r="AAW169" s="236"/>
      <c r="AAX169" s="236"/>
      <c r="AAY169" s="236"/>
      <c r="AAZ169" s="236"/>
      <c r="ABA169" s="236"/>
      <c r="ABB169" s="236"/>
      <c r="ABC169" s="236"/>
      <c r="ABD169" s="236"/>
      <c r="ABE169" s="236"/>
      <c r="ABF169" s="236"/>
      <c r="ABG169" s="236"/>
      <c r="ABH169" s="236"/>
      <c r="ABI169" s="236"/>
      <c r="ABJ169" s="236"/>
      <c r="ABK169" s="236"/>
      <c r="ABL169" s="236"/>
      <c r="ABM169" s="236"/>
      <c r="ABN169" s="236"/>
      <c r="ABO169" s="236"/>
      <c r="ABP169" s="236"/>
      <c r="ABQ169" s="236"/>
      <c r="ABR169" s="236"/>
      <c r="ABS169" s="236"/>
      <c r="ABT169" s="236"/>
      <c r="ABU169" s="236"/>
      <c r="ABV169" s="236"/>
      <c r="ABW169" s="236"/>
      <c r="ABX169" s="236"/>
      <c r="ABY169" s="236"/>
      <c r="ABZ169" s="236"/>
      <c r="ACA169" s="236"/>
      <c r="ACB169" s="236"/>
      <c r="ACC169" s="236"/>
      <c r="ACD169" s="236"/>
      <c r="ACE169" s="236"/>
      <c r="ACF169" s="236"/>
      <c r="ACG169" s="236"/>
      <c r="ACH169" s="236"/>
      <c r="ACI169" s="236"/>
      <c r="ACJ169" s="236"/>
      <c r="ACK169" s="236"/>
      <c r="ACL169" s="236"/>
      <c r="ACM169" s="236"/>
      <c r="ACN169" s="236"/>
      <c r="ACO169" s="236"/>
      <c r="ACP169" s="236"/>
      <c r="ACQ169" s="236"/>
      <c r="ACR169" s="236"/>
      <c r="ACS169" s="236"/>
      <c r="ACT169" s="236"/>
      <c r="ACU169" s="236"/>
      <c r="ACV169" s="236"/>
      <c r="ACW169" s="236"/>
      <c r="ACX169" s="236"/>
      <c r="ACY169" s="236"/>
      <c r="ACZ169" s="236"/>
      <c r="ADA169" s="236"/>
      <c r="ADB169" s="236"/>
      <c r="ADC169" s="236"/>
      <c r="ADD169" s="236"/>
      <c r="ADE169" s="236"/>
      <c r="ADF169" s="236"/>
      <c r="ADG169" s="236"/>
      <c r="ADH169" s="236"/>
      <c r="ADI169" s="236"/>
      <c r="ADJ169" s="236"/>
      <c r="ADK169" s="236"/>
      <c r="ADL169" s="236"/>
      <c r="ADM169" s="236"/>
      <c r="ADN169" s="236"/>
      <c r="ADO169" s="236"/>
      <c r="ADP169" s="236"/>
      <c r="ADQ169" s="236"/>
      <c r="ADR169" s="236"/>
      <c r="ADS169" s="236"/>
      <c r="ADT169" s="236"/>
      <c r="ADU169" s="236"/>
      <c r="ADV169" s="236"/>
      <c r="ADW169" s="236"/>
      <c r="ADX169" s="236"/>
      <c r="ADY169" s="236"/>
      <c r="ADZ169" s="236"/>
      <c r="AEA169" s="236"/>
      <c r="AEB169" s="236"/>
      <c r="AEC169" s="236"/>
      <c r="AED169" s="236"/>
      <c r="AEE169" s="236"/>
      <c r="AEF169" s="236"/>
      <c r="AEG169" s="236"/>
      <c r="AEH169" s="236"/>
      <c r="AEI169" s="236"/>
      <c r="AEJ169" s="236"/>
      <c r="AEK169" s="236"/>
      <c r="AEL169" s="236"/>
      <c r="AEM169" s="236"/>
      <c r="AEN169" s="236"/>
      <c r="AEO169" s="236"/>
      <c r="AEP169" s="236"/>
      <c r="AEQ169" s="236"/>
      <c r="AER169" s="236"/>
      <c r="AES169" s="236"/>
      <c r="AET169" s="236"/>
      <c r="AEU169" s="236"/>
      <c r="AEV169" s="236"/>
      <c r="AEW169" s="236"/>
      <c r="AEX169" s="236"/>
      <c r="AEY169" s="236"/>
      <c r="AEZ169" s="236"/>
      <c r="AFA169" s="236"/>
      <c r="AFB169" s="236"/>
      <c r="AFC169" s="236"/>
      <c r="AFD169" s="236"/>
      <c r="AFE169" s="236"/>
      <c r="AFF169" s="236"/>
      <c r="AFG169" s="236"/>
      <c r="AFH169" s="236"/>
      <c r="AFI169" s="236"/>
      <c r="AFJ169" s="236"/>
      <c r="AFK169" s="236"/>
      <c r="AFL169" s="236"/>
      <c r="AFM169" s="236"/>
      <c r="AFN169" s="236"/>
      <c r="AFO169" s="236"/>
      <c r="AFP169" s="236"/>
      <c r="AFQ169" s="236"/>
      <c r="AFR169" s="236"/>
      <c r="AFS169" s="236"/>
      <c r="AFT169" s="236"/>
      <c r="AFU169" s="236"/>
      <c r="AFV169" s="236"/>
      <c r="AFW169" s="236"/>
      <c r="AFX169" s="236"/>
      <c r="AFY169" s="236"/>
      <c r="AFZ169" s="236"/>
      <c r="AGA169" s="236"/>
      <c r="AGB169" s="236"/>
      <c r="AGC169" s="236"/>
      <c r="AGD169" s="236"/>
      <c r="AGE169" s="236"/>
      <c r="AGF169" s="236"/>
      <c r="AGG169" s="236"/>
      <c r="AGH169" s="236"/>
      <c r="AGI169" s="236"/>
      <c r="AGJ169" s="236"/>
      <c r="AGK169" s="236"/>
      <c r="AGL169" s="236"/>
      <c r="AGM169" s="236"/>
      <c r="AGN169" s="236"/>
      <c r="AGO169" s="236"/>
      <c r="AGP169" s="236"/>
      <c r="AGQ169" s="236"/>
      <c r="AGR169" s="236"/>
      <c r="AGS169" s="236"/>
      <c r="AGT169" s="236"/>
      <c r="AGU169" s="236"/>
      <c r="AGV169" s="236"/>
      <c r="AGW169" s="236"/>
      <c r="AGX169" s="236"/>
      <c r="AGY169" s="236"/>
      <c r="AGZ169" s="236"/>
      <c r="AHA169" s="236"/>
      <c r="AHB169" s="236"/>
      <c r="AHC169" s="236"/>
      <c r="AHD169" s="236"/>
      <c r="AHE169" s="236"/>
      <c r="AHF169" s="236"/>
      <c r="AHG169" s="236"/>
      <c r="AHH169" s="236"/>
      <c r="AHI169" s="236"/>
      <c r="AHJ169" s="236"/>
      <c r="AHK169" s="236"/>
      <c r="AHL169" s="236"/>
      <c r="AHM169" s="236"/>
      <c r="AHN169" s="236"/>
      <c r="AHO169" s="236"/>
      <c r="AHP169" s="236"/>
      <c r="AHQ169" s="236"/>
      <c r="AHR169" s="236"/>
      <c r="AHS169" s="236"/>
      <c r="AHT169" s="236"/>
      <c r="AHU169" s="236"/>
      <c r="AHV169" s="236"/>
      <c r="AHW169" s="236"/>
      <c r="AHX169" s="236"/>
      <c r="AHY169" s="236"/>
      <c r="AHZ169" s="236"/>
      <c r="AIA169" s="236"/>
      <c r="AIB169" s="236"/>
      <c r="AIC169" s="236"/>
      <c r="AID169" s="236"/>
      <c r="AIE169" s="236"/>
      <c r="AIF169" s="236"/>
      <c r="AIG169" s="236"/>
      <c r="AIH169" s="236"/>
      <c r="AII169" s="236"/>
      <c r="AIJ169" s="236"/>
      <c r="AIK169" s="236"/>
      <c r="AIL169" s="236"/>
      <c r="AIM169" s="236"/>
      <c r="AIN169" s="236"/>
      <c r="AIO169" s="236"/>
      <c r="AIP169" s="236"/>
      <c r="AIQ169" s="236"/>
      <c r="AIR169" s="236"/>
      <c r="AIS169" s="236"/>
      <c r="AIT169" s="236"/>
      <c r="AIU169" s="236"/>
      <c r="AIV169" s="236"/>
      <c r="AIW169" s="236"/>
      <c r="AIX169" s="236"/>
      <c r="AIY169" s="236"/>
      <c r="AIZ169" s="236"/>
      <c r="AJA169" s="236"/>
      <c r="AJB169" s="236"/>
      <c r="AJC169" s="236"/>
      <c r="AJD169" s="236"/>
      <c r="AJE169" s="236"/>
      <c r="AJF169" s="236"/>
      <c r="AJG169" s="236"/>
      <c r="AJH169" s="236"/>
      <c r="AJI169" s="236"/>
      <c r="AJJ169" s="236"/>
      <c r="AJK169" s="236"/>
      <c r="AJL169" s="236"/>
      <c r="AJM169" s="236"/>
      <c r="AJN169" s="236"/>
      <c r="AJO169" s="236"/>
      <c r="AJP169" s="236"/>
      <c r="AJQ169" s="236"/>
      <c r="AJR169" s="236"/>
      <c r="AJS169" s="236"/>
      <c r="AJT169" s="236"/>
      <c r="AJU169" s="236"/>
      <c r="AJV169" s="236"/>
      <c r="AJW169" s="236"/>
      <c r="AJX169" s="236"/>
      <c r="AJY169" s="236"/>
      <c r="AJZ169" s="236"/>
      <c r="AKA169" s="236"/>
      <c r="AKB169" s="236"/>
      <c r="AKC169" s="236"/>
      <c r="AKD169" s="236"/>
      <c r="AKE169" s="236"/>
      <c r="AKF169" s="236"/>
      <c r="AKG169" s="236"/>
      <c r="AKH169" s="236"/>
      <c r="AKI169" s="236"/>
      <c r="AKJ169" s="236"/>
      <c r="AKK169" s="236"/>
      <c r="AKL169" s="236"/>
      <c r="AKM169" s="236"/>
      <c r="AKN169" s="236"/>
      <c r="AKO169" s="236"/>
      <c r="AKP169" s="236"/>
      <c r="AKQ169" s="236"/>
      <c r="AKR169" s="236"/>
      <c r="AKS169" s="236"/>
      <c r="AKT169" s="236"/>
      <c r="AKU169" s="236"/>
      <c r="AKV169" s="236"/>
      <c r="AKW169" s="236"/>
      <c r="AKX169" s="236"/>
      <c r="AKY169" s="236"/>
      <c r="AKZ169" s="236"/>
      <c r="ALA169" s="236"/>
      <c r="ALB169" s="236"/>
      <c r="ALC169" s="236"/>
      <c r="ALD169" s="236"/>
      <c r="ALE169" s="236"/>
      <c r="ALF169" s="236"/>
      <c r="ALG169" s="236"/>
      <c r="ALH169" s="236"/>
      <c r="ALI169" s="236"/>
      <c r="ALJ169" s="236"/>
      <c r="ALK169" s="236"/>
      <c r="ALL169" s="236"/>
      <c r="ALM169" s="236"/>
      <c r="ALN169" s="236"/>
      <c r="ALO169" s="236"/>
      <c r="ALP169" s="236"/>
      <c r="ALQ169" s="236"/>
      <c r="ALR169" s="236"/>
      <c r="ALS169" s="236"/>
      <c r="ALT169" s="236"/>
      <c r="ALU169" s="236"/>
      <c r="ALV169" s="236"/>
      <c r="ALW169" s="236"/>
      <c r="ALX169" s="236"/>
      <c r="ALY169" s="236"/>
      <c r="ALZ169" s="236"/>
      <c r="AMA169" s="236"/>
      <c r="AMB169" s="236"/>
      <c r="AMC169" s="236"/>
      <c r="AMD169" s="236"/>
      <c r="AME169" s="236"/>
      <c r="AMF169" s="236"/>
      <c r="AMG169" s="236"/>
      <c r="AMH169" s="236"/>
      <c r="AMI169" s="236"/>
      <c r="AMJ169" s="236"/>
      <c r="AMK169" s="236"/>
      <c r="AML169" s="236"/>
      <c r="AMM169" s="236"/>
    </row>
    <row r="170" spans="1:1027" s="243" customFormat="1" ht="30" customHeight="1">
      <c r="A170" s="1415" t="s">
        <v>4137</v>
      </c>
      <c r="B170" s="2283"/>
      <c r="C170" s="2283"/>
      <c r="D170" s="2283"/>
      <c r="E170" s="2283"/>
      <c r="F170" s="2283"/>
      <c r="G170" s="2283"/>
      <c r="H170" s="2283"/>
      <c r="I170" s="2283"/>
      <c r="J170" s="2283"/>
      <c r="K170" s="2283"/>
      <c r="L170" s="2284"/>
      <c r="M170" s="285"/>
      <c r="N170" s="1409" t="s">
        <v>28</v>
      </c>
      <c r="O170" s="1410"/>
      <c r="P170" s="1410"/>
      <c r="Q170" s="1410"/>
      <c r="R170" s="1411"/>
      <c r="S170" s="341"/>
      <c r="T170" s="341"/>
      <c r="U170" s="1409" t="s">
        <v>771</v>
      </c>
      <c r="V170" s="1410"/>
      <c r="W170" s="1410"/>
      <c r="X170" s="1410"/>
      <c r="Y170" s="1410"/>
      <c r="Z170" s="1411"/>
      <c r="AA170" s="1078"/>
      <c r="AB170" s="2497" t="s">
        <v>772</v>
      </c>
      <c r="AC170" s="2497"/>
      <c r="AD170" s="1401"/>
      <c r="AE170" s="1401"/>
      <c r="AF170" s="1401"/>
      <c r="AG170" s="1401"/>
      <c r="AH170" s="1401"/>
      <c r="AI170" s="1401"/>
      <c r="AJ170" s="1401"/>
      <c r="AK170" s="1401"/>
      <c r="AL170" s="1401"/>
      <c r="AM170" s="1401"/>
      <c r="AN170" s="1401"/>
      <c r="AO170" s="245"/>
      <c r="AP170" s="245"/>
      <c r="AQ170" s="245"/>
      <c r="AR170" s="245"/>
      <c r="AS170" s="245"/>
      <c r="AT170" s="245"/>
      <c r="AU170" s="245"/>
      <c r="AV170" s="245"/>
      <c r="AW170" s="245"/>
      <c r="AX170" s="245"/>
    </row>
    <row r="171" spans="1:1027" s="243" customFormat="1" ht="30" customHeight="1">
      <c r="A171" s="2285"/>
      <c r="B171" s="2283"/>
      <c r="C171" s="2283"/>
      <c r="D171" s="2283"/>
      <c r="E171" s="2283"/>
      <c r="F171" s="2283"/>
      <c r="G171" s="2283"/>
      <c r="H171" s="2283"/>
      <c r="I171" s="2283"/>
      <c r="J171" s="2283"/>
      <c r="K171" s="2283"/>
      <c r="L171" s="2284"/>
      <c r="M171" s="285"/>
      <c r="N171" s="1409" t="s">
        <v>199</v>
      </c>
      <c r="O171" s="1410"/>
      <c r="P171" s="1410"/>
      <c r="Q171" s="1410"/>
      <c r="R171" s="1411"/>
      <c r="S171" s="341"/>
      <c r="T171" s="341"/>
      <c r="U171" s="341"/>
      <c r="V171" s="1409" t="s">
        <v>1487</v>
      </c>
      <c r="W171" s="1410"/>
      <c r="X171" s="1410"/>
      <c r="Y171" s="1410"/>
      <c r="Z171" s="1411"/>
      <c r="AA171" s="1077"/>
      <c r="AB171" s="1409" t="s">
        <v>1570</v>
      </c>
      <c r="AC171" s="1411"/>
      <c r="AD171" s="1401"/>
      <c r="AE171" s="1401"/>
      <c r="AF171" s="1401"/>
      <c r="AG171" s="1401"/>
      <c r="AH171" s="1401"/>
      <c r="AI171" s="1401"/>
      <c r="AJ171" s="1401"/>
      <c r="AK171" s="1401"/>
      <c r="AL171" s="1401"/>
      <c r="AM171" s="1401"/>
      <c r="AN171" s="1401"/>
      <c r="AO171" s="245"/>
      <c r="AP171" s="245"/>
      <c r="AQ171" s="245"/>
      <c r="AR171" s="245"/>
      <c r="AS171" s="245"/>
      <c r="AT171" s="245"/>
      <c r="AU171" s="245"/>
      <c r="AV171" s="245"/>
      <c r="AW171" s="245"/>
      <c r="AX171" s="245"/>
    </row>
    <row r="172" spans="1:1027" s="243" customFormat="1" ht="30" customHeight="1">
      <c r="A172" s="2285"/>
      <c r="B172" s="2283"/>
      <c r="C172" s="2283"/>
      <c r="D172" s="2283"/>
      <c r="E172" s="2283"/>
      <c r="F172" s="2283"/>
      <c r="G172" s="2283"/>
      <c r="H172" s="2283"/>
      <c r="I172" s="2283"/>
      <c r="J172" s="2283"/>
      <c r="K172" s="2283"/>
      <c r="L172" s="2284"/>
      <c r="M172" s="285"/>
      <c r="N172" s="1409" t="s">
        <v>198</v>
      </c>
      <c r="O172" s="1410"/>
      <c r="P172" s="1410"/>
      <c r="Q172" s="1410"/>
      <c r="R172" s="1411"/>
      <c r="S172" s="341"/>
      <c r="T172" s="341"/>
      <c r="U172" s="341"/>
      <c r="V172" s="1409" t="s">
        <v>3571</v>
      </c>
      <c r="W172" s="1410"/>
      <c r="X172" s="1410"/>
      <c r="Y172" s="1410"/>
      <c r="Z172" s="1411"/>
      <c r="AA172" s="1077"/>
      <c r="AB172" s="1409" t="s">
        <v>3572</v>
      </c>
      <c r="AC172" s="1411"/>
      <c r="AD172" s="1401"/>
      <c r="AE172" s="1401"/>
      <c r="AF172" s="1401"/>
      <c r="AG172" s="1401"/>
      <c r="AH172" s="1401"/>
      <c r="AI172" s="1401"/>
      <c r="AJ172" s="1401"/>
      <c r="AK172" s="1401"/>
      <c r="AL172" s="1401"/>
      <c r="AM172" s="1401"/>
      <c r="AN172" s="1401"/>
      <c r="AO172" s="245"/>
      <c r="AP172" s="245"/>
      <c r="AQ172" s="245"/>
      <c r="AR172" s="245"/>
      <c r="AS172" s="245"/>
      <c r="AT172" s="245"/>
      <c r="AU172" s="245"/>
      <c r="AV172" s="245"/>
      <c r="AW172" s="245"/>
      <c r="AX172" s="245"/>
    </row>
    <row r="173" spans="1:1027" s="243" customFormat="1" ht="30" customHeight="1">
      <c r="A173" s="2286"/>
      <c r="B173" s="2287"/>
      <c r="C173" s="2287"/>
      <c r="D173" s="2287"/>
      <c r="E173" s="2287"/>
      <c r="F173" s="2287"/>
      <c r="G173" s="2287"/>
      <c r="H173" s="2287"/>
      <c r="I173" s="2287"/>
      <c r="J173" s="2287"/>
      <c r="K173" s="2287"/>
      <c r="L173" s="2288"/>
      <c r="M173" s="285"/>
      <c r="N173" s="1396"/>
      <c r="O173" s="1397"/>
      <c r="P173" s="1397"/>
      <c r="Q173" s="1397"/>
      <c r="R173" s="1398"/>
      <c r="S173" s="286"/>
      <c r="T173" s="286"/>
      <c r="U173" s="286"/>
      <c r="V173" s="1396"/>
      <c r="W173" s="1397"/>
      <c r="X173" s="1397"/>
      <c r="Y173" s="1397"/>
      <c r="Z173" s="1398"/>
      <c r="AA173" s="1062"/>
      <c r="AB173" s="1396"/>
      <c r="AC173" s="1398"/>
      <c r="AD173" s="1401"/>
      <c r="AE173" s="1401"/>
      <c r="AF173" s="1401"/>
      <c r="AG173" s="1401"/>
      <c r="AH173" s="1401"/>
      <c r="AI173" s="1401"/>
      <c r="AJ173" s="1401"/>
      <c r="AK173" s="1401"/>
      <c r="AL173" s="1401"/>
      <c r="AM173" s="1401"/>
      <c r="AN173" s="1401"/>
      <c r="AO173" s="245"/>
      <c r="AP173" s="245"/>
      <c r="AQ173" s="245"/>
      <c r="AR173" s="245"/>
      <c r="AS173" s="245"/>
      <c r="AT173" s="245"/>
      <c r="AU173" s="245"/>
      <c r="AV173" s="245"/>
      <c r="AW173" s="245"/>
      <c r="AX173" s="245"/>
    </row>
    <row r="174" spans="1:1027" s="243" customFormat="1" ht="30" customHeight="1">
      <c r="A174" s="300"/>
      <c r="B174" s="300"/>
      <c r="C174" s="300"/>
      <c r="D174" s="300"/>
      <c r="E174" s="300"/>
      <c r="F174" s="300"/>
      <c r="G174" s="300"/>
      <c r="H174" s="300"/>
      <c r="I174" s="300"/>
      <c r="J174" s="300"/>
      <c r="K174" s="300"/>
      <c r="L174" s="300"/>
      <c r="M174" s="285"/>
      <c r="N174" s="1403"/>
      <c r="O174" s="1403"/>
      <c r="P174" s="1403"/>
      <c r="Q174" s="1403"/>
      <c r="R174" s="1403"/>
      <c r="S174" s="288"/>
      <c r="T174" s="288"/>
      <c r="U174" s="288"/>
      <c r="V174" s="1403"/>
      <c r="W174" s="1403"/>
      <c r="X174" s="1403"/>
      <c r="Y174" s="1403"/>
      <c r="Z174" s="1403"/>
      <c r="AA174" s="1064"/>
      <c r="AB174" s="1041"/>
      <c r="AC174" s="1041"/>
      <c r="AD174" s="285"/>
      <c r="AE174" s="285"/>
      <c r="AF174" s="285"/>
      <c r="AG174" s="285"/>
      <c r="AH174" s="285"/>
      <c r="AI174" s="285"/>
      <c r="AJ174" s="285"/>
      <c r="AK174" s="285"/>
      <c r="AL174" s="285"/>
      <c r="AM174" s="285"/>
      <c r="AN174" s="245"/>
      <c r="AO174" s="245"/>
      <c r="AP174" s="245"/>
      <c r="AQ174" s="245"/>
      <c r="AR174" s="245"/>
      <c r="AS174" s="245"/>
      <c r="AT174" s="245"/>
      <c r="AU174" s="245"/>
      <c r="AV174" s="245"/>
      <c r="AW174" s="245"/>
      <c r="AX174" s="245"/>
    </row>
    <row r="175" spans="1:1027">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1076"/>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row>
    <row r="176" spans="1:1027">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1076"/>
      <c r="AB176" s="233"/>
      <c r="AC176" s="233"/>
      <c r="AD176" s="233"/>
      <c r="AE176" s="233"/>
      <c r="AF176" s="233"/>
      <c r="AG176" s="233"/>
      <c r="AH176" s="233"/>
      <c r="AI176" s="233"/>
      <c r="AJ176" s="233"/>
      <c r="AK176" s="233"/>
      <c r="AL176" s="233"/>
      <c r="AM176" s="233"/>
    </row>
  </sheetData>
  <sheetProtection formatCells="0" formatColumns="0" formatRows="0" insertRows="0" deleteColumns="0" sort="0" autoFilter="0"/>
  <autoFilter ref="A7:I166">
    <filterColumn colId="2" showButton="0"/>
    <filterColumn colId="3" showButton="0"/>
    <filterColumn colId="6" showButton="0"/>
    <filterColumn colId="7" showButton="0"/>
  </autoFilter>
  <mergeCells count="710">
    <mergeCell ref="N174:R174"/>
    <mergeCell ref="V174:Z174"/>
    <mergeCell ref="AD171:AN171"/>
    <mergeCell ref="N172:R172"/>
    <mergeCell ref="V172:Z172"/>
    <mergeCell ref="AB172:AC172"/>
    <mergeCell ref="AD172:AN172"/>
    <mergeCell ref="N173:R173"/>
    <mergeCell ref="V173:Z173"/>
    <mergeCell ref="AB173:AC173"/>
    <mergeCell ref="AD173:AN173"/>
    <mergeCell ref="AB169:AC169"/>
    <mergeCell ref="AD169:AN169"/>
    <mergeCell ref="A170:L173"/>
    <mergeCell ref="N170:R170"/>
    <mergeCell ref="U170:Z170"/>
    <mergeCell ref="AB170:AC170"/>
    <mergeCell ref="AD170:AN170"/>
    <mergeCell ref="N171:R171"/>
    <mergeCell ref="V171:Z171"/>
    <mergeCell ref="AB171:AC171"/>
    <mergeCell ref="C166:E166"/>
    <mergeCell ref="G166:I166"/>
    <mergeCell ref="J166:L166"/>
    <mergeCell ref="X166:Z166"/>
    <mergeCell ref="A168:L169"/>
    <mergeCell ref="N169:R169"/>
    <mergeCell ref="V169:Z169"/>
    <mergeCell ref="C164:E164"/>
    <mergeCell ref="G164:I164"/>
    <mergeCell ref="J164:L164"/>
    <mergeCell ref="X164:Z164"/>
    <mergeCell ref="C165:E165"/>
    <mergeCell ref="G165:I165"/>
    <mergeCell ref="J165:L165"/>
    <mergeCell ref="X165:Z165"/>
    <mergeCell ref="C162:E162"/>
    <mergeCell ref="G162:I162"/>
    <mergeCell ref="J162:L162"/>
    <mergeCell ref="X162:Z162"/>
    <mergeCell ref="C163:E163"/>
    <mergeCell ref="G163:I163"/>
    <mergeCell ref="J163:L163"/>
    <mergeCell ref="X163:Z163"/>
    <mergeCell ref="C160:E160"/>
    <mergeCell ref="G160:I160"/>
    <mergeCell ref="J160:L160"/>
    <mergeCell ref="X160:Z160"/>
    <mergeCell ref="C161:E161"/>
    <mergeCell ref="G161:I161"/>
    <mergeCell ref="J161:L161"/>
    <mergeCell ref="X161:Z161"/>
    <mergeCell ref="C158:E158"/>
    <mergeCell ref="G158:I158"/>
    <mergeCell ref="J158:L158"/>
    <mergeCell ref="X158:Z158"/>
    <mergeCell ref="C159:E159"/>
    <mergeCell ref="G159:I159"/>
    <mergeCell ref="J159:L159"/>
    <mergeCell ref="X159:Z159"/>
    <mergeCell ref="C156:E156"/>
    <mergeCell ref="G156:I156"/>
    <mergeCell ref="J156:L156"/>
    <mergeCell ref="X156:Z156"/>
    <mergeCell ref="C157:E157"/>
    <mergeCell ref="G157:I157"/>
    <mergeCell ref="J157:L157"/>
    <mergeCell ref="X157:Z157"/>
    <mergeCell ref="C154:E154"/>
    <mergeCell ref="G154:I154"/>
    <mergeCell ref="J154:L154"/>
    <mergeCell ref="X154:Z154"/>
    <mergeCell ref="C155:E155"/>
    <mergeCell ref="G155:I155"/>
    <mergeCell ref="J155:L155"/>
    <mergeCell ref="X155:Z155"/>
    <mergeCell ref="C152:E152"/>
    <mergeCell ref="G152:I152"/>
    <mergeCell ref="J152:L152"/>
    <mergeCell ref="X152:Z152"/>
    <mergeCell ref="C153:E153"/>
    <mergeCell ref="G153:I153"/>
    <mergeCell ref="J153:L153"/>
    <mergeCell ref="X153:Z153"/>
    <mergeCell ref="C150:E150"/>
    <mergeCell ref="G150:I150"/>
    <mergeCell ref="J150:L150"/>
    <mergeCell ref="X150:Z150"/>
    <mergeCell ref="C151:E151"/>
    <mergeCell ref="G151:I151"/>
    <mergeCell ref="J151:L151"/>
    <mergeCell ref="X151:Z151"/>
    <mergeCell ref="C148:E148"/>
    <mergeCell ref="G148:I148"/>
    <mergeCell ref="J148:L148"/>
    <mergeCell ref="X148:Z148"/>
    <mergeCell ref="C149:E149"/>
    <mergeCell ref="G149:I149"/>
    <mergeCell ref="J149:L149"/>
    <mergeCell ref="X149:Z149"/>
    <mergeCell ref="C146:E146"/>
    <mergeCell ref="G146:I146"/>
    <mergeCell ref="J146:L146"/>
    <mergeCell ref="X146:Z146"/>
    <mergeCell ref="C147:E147"/>
    <mergeCell ref="G147:I147"/>
    <mergeCell ref="J147:L147"/>
    <mergeCell ref="X147:Z147"/>
    <mergeCell ref="C144:E144"/>
    <mergeCell ref="G144:I144"/>
    <mergeCell ref="J144:L144"/>
    <mergeCell ref="X144:Z144"/>
    <mergeCell ref="C145:E145"/>
    <mergeCell ref="G145:I145"/>
    <mergeCell ref="J145:L145"/>
    <mergeCell ref="X145:Z145"/>
    <mergeCell ref="C142:E142"/>
    <mergeCell ref="G142:I142"/>
    <mergeCell ref="J142:L142"/>
    <mergeCell ref="X142:Z142"/>
    <mergeCell ref="C143:E143"/>
    <mergeCell ref="G143:I143"/>
    <mergeCell ref="J143:L143"/>
    <mergeCell ref="X143:Z143"/>
    <mergeCell ref="C140:E140"/>
    <mergeCell ref="G140:I140"/>
    <mergeCell ref="J140:L140"/>
    <mergeCell ref="X140:Z140"/>
    <mergeCell ref="C141:E141"/>
    <mergeCell ref="G141:I141"/>
    <mergeCell ref="J141:L141"/>
    <mergeCell ref="X141:Z141"/>
    <mergeCell ref="C138:E138"/>
    <mergeCell ref="G138:I138"/>
    <mergeCell ref="J138:L138"/>
    <mergeCell ref="X138:Z138"/>
    <mergeCell ref="C139:E139"/>
    <mergeCell ref="G139:I139"/>
    <mergeCell ref="J139:L139"/>
    <mergeCell ref="X139:Z139"/>
    <mergeCell ref="C136:E136"/>
    <mergeCell ref="G136:I136"/>
    <mergeCell ref="J136:L136"/>
    <mergeCell ref="X136:Z136"/>
    <mergeCell ref="C137:E137"/>
    <mergeCell ref="G137:I137"/>
    <mergeCell ref="J137:L137"/>
    <mergeCell ref="X137:Z137"/>
    <mergeCell ref="C134:E134"/>
    <mergeCell ref="G134:I134"/>
    <mergeCell ref="J134:L134"/>
    <mergeCell ref="X134:Z134"/>
    <mergeCell ref="C135:E135"/>
    <mergeCell ref="G135:I135"/>
    <mergeCell ref="J135:L135"/>
    <mergeCell ref="X135:Z135"/>
    <mergeCell ref="C132:E132"/>
    <mergeCell ref="G132:I132"/>
    <mergeCell ref="J132:L132"/>
    <mergeCell ref="X132:Z132"/>
    <mergeCell ref="C133:E133"/>
    <mergeCell ref="G133:I133"/>
    <mergeCell ref="J133:L133"/>
    <mergeCell ref="X133:Z133"/>
    <mergeCell ref="C130:E130"/>
    <mergeCell ref="G130:I130"/>
    <mergeCell ref="J130:L130"/>
    <mergeCell ref="X130:Z130"/>
    <mergeCell ref="C131:E131"/>
    <mergeCell ref="G131:I131"/>
    <mergeCell ref="J131:L131"/>
    <mergeCell ref="X131:Z131"/>
    <mergeCell ref="C128:E128"/>
    <mergeCell ref="G128:I128"/>
    <mergeCell ref="J128:L128"/>
    <mergeCell ref="X128:Z128"/>
    <mergeCell ref="C129:E129"/>
    <mergeCell ref="G129:I129"/>
    <mergeCell ref="J129:L129"/>
    <mergeCell ref="X129:Z129"/>
    <mergeCell ref="C126:E126"/>
    <mergeCell ref="G126:I126"/>
    <mergeCell ref="J126:L126"/>
    <mergeCell ref="X126:Z126"/>
    <mergeCell ref="C127:E127"/>
    <mergeCell ref="G127:I127"/>
    <mergeCell ref="J127:L127"/>
    <mergeCell ref="X127:Z127"/>
    <mergeCell ref="C124:E124"/>
    <mergeCell ref="G124:I124"/>
    <mergeCell ref="J124:L124"/>
    <mergeCell ref="X124:Z124"/>
    <mergeCell ref="C125:E125"/>
    <mergeCell ref="G125:I125"/>
    <mergeCell ref="J125:L125"/>
    <mergeCell ref="X125:Z125"/>
    <mergeCell ref="C122:E122"/>
    <mergeCell ref="G122:I122"/>
    <mergeCell ref="J122:L122"/>
    <mergeCell ref="X122:Z122"/>
    <mergeCell ref="C123:E123"/>
    <mergeCell ref="G123:I123"/>
    <mergeCell ref="J123:L123"/>
    <mergeCell ref="X123:Z123"/>
    <mergeCell ref="C120:E120"/>
    <mergeCell ref="G120:I120"/>
    <mergeCell ref="J120:L120"/>
    <mergeCell ref="X120:Z120"/>
    <mergeCell ref="C121:E121"/>
    <mergeCell ref="G121:I121"/>
    <mergeCell ref="J121:L121"/>
    <mergeCell ref="X121:Z121"/>
    <mergeCell ref="C118:E118"/>
    <mergeCell ref="G118:I118"/>
    <mergeCell ref="J118:L118"/>
    <mergeCell ref="X118:Z118"/>
    <mergeCell ref="C119:E119"/>
    <mergeCell ref="G119:I119"/>
    <mergeCell ref="J119:L119"/>
    <mergeCell ref="X119:Z119"/>
    <mergeCell ref="C116:E116"/>
    <mergeCell ref="G116:I116"/>
    <mergeCell ref="J116:L116"/>
    <mergeCell ref="X116:Z116"/>
    <mergeCell ref="C117:E117"/>
    <mergeCell ref="G117:I117"/>
    <mergeCell ref="J117:L117"/>
    <mergeCell ref="X117:Z117"/>
    <mergeCell ref="C114:E114"/>
    <mergeCell ref="G114:I114"/>
    <mergeCell ref="J114:L114"/>
    <mergeCell ref="X114:Z114"/>
    <mergeCell ref="C115:E115"/>
    <mergeCell ref="G115:I115"/>
    <mergeCell ref="J115:L115"/>
    <mergeCell ref="X115:Z115"/>
    <mergeCell ref="C112:E112"/>
    <mergeCell ref="G112:I112"/>
    <mergeCell ref="J112:L112"/>
    <mergeCell ref="X112:Z112"/>
    <mergeCell ref="C113:E113"/>
    <mergeCell ref="G113:I113"/>
    <mergeCell ref="J113:L113"/>
    <mergeCell ref="X113:Z113"/>
    <mergeCell ref="C110:E110"/>
    <mergeCell ref="G110:I110"/>
    <mergeCell ref="J110:L110"/>
    <mergeCell ref="X110:Z110"/>
    <mergeCell ref="C111:E111"/>
    <mergeCell ref="G111:I111"/>
    <mergeCell ref="J111:L111"/>
    <mergeCell ref="X111:Z111"/>
    <mergeCell ref="C108:E108"/>
    <mergeCell ref="G108:I108"/>
    <mergeCell ref="J108:L108"/>
    <mergeCell ref="X108:Z108"/>
    <mergeCell ref="C109:E109"/>
    <mergeCell ref="G109:I109"/>
    <mergeCell ref="J109:L109"/>
    <mergeCell ref="X109:Z109"/>
    <mergeCell ref="C106:E106"/>
    <mergeCell ref="G106:I106"/>
    <mergeCell ref="J106:L106"/>
    <mergeCell ref="X106:Z106"/>
    <mergeCell ref="C107:E107"/>
    <mergeCell ref="G107:I107"/>
    <mergeCell ref="J107:L107"/>
    <mergeCell ref="X107:Z107"/>
    <mergeCell ref="C104:E104"/>
    <mergeCell ref="G104:I104"/>
    <mergeCell ref="J104:L104"/>
    <mergeCell ref="X104:Z104"/>
    <mergeCell ref="C105:E105"/>
    <mergeCell ref="G105:I105"/>
    <mergeCell ref="J105:L105"/>
    <mergeCell ref="X105:Z105"/>
    <mergeCell ref="C102:E102"/>
    <mergeCell ref="G102:I102"/>
    <mergeCell ref="J102:L102"/>
    <mergeCell ref="X102:Z102"/>
    <mergeCell ref="C103:E103"/>
    <mergeCell ref="G103:I103"/>
    <mergeCell ref="J103:L103"/>
    <mergeCell ref="X103:Z103"/>
    <mergeCell ref="C100:E100"/>
    <mergeCell ref="G100:I100"/>
    <mergeCell ref="J100:L100"/>
    <mergeCell ref="X100:Z100"/>
    <mergeCell ref="C101:E101"/>
    <mergeCell ref="G101:I101"/>
    <mergeCell ref="J101:L101"/>
    <mergeCell ref="X101:Z101"/>
    <mergeCell ref="C98:E98"/>
    <mergeCell ref="G98:I98"/>
    <mergeCell ref="J98:L98"/>
    <mergeCell ref="X98:Z98"/>
    <mergeCell ref="C99:E99"/>
    <mergeCell ref="G99:I99"/>
    <mergeCell ref="J99:L99"/>
    <mergeCell ref="X99:Z99"/>
    <mergeCell ref="C96:E96"/>
    <mergeCell ref="G96:I96"/>
    <mergeCell ref="J96:L96"/>
    <mergeCell ref="X96:Z96"/>
    <mergeCell ref="C97:E97"/>
    <mergeCell ref="G97:I97"/>
    <mergeCell ref="J97:L97"/>
    <mergeCell ref="X97:Z97"/>
    <mergeCell ref="C94:E94"/>
    <mergeCell ref="G94:I94"/>
    <mergeCell ref="J94:L94"/>
    <mergeCell ref="X94:Z94"/>
    <mergeCell ref="C95:E95"/>
    <mergeCell ref="G95:I95"/>
    <mergeCell ref="J95:L95"/>
    <mergeCell ref="X95:Z95"/>
    <mergeCell ref="C92:E92"/>
    <mergeCell ref="G92:I92"/>
    <mergeCell ref="J92:L92"/>
    <mergeCell ref="X92:Z92"/>
    <mergeCell ref="C93:E93"/>
    <mergeCell ref="G93:I93"/>
    <mergeCell ref="J93:L93"/>
    <mergeCell ref="X93:Z93"/>
    <mergeCell ref="C90:E90"/>
    <mergeCell ref="G90:I90"/>
    <mergeCell ref="J90:L90"/>
    <mergeCell ref="X90:Z90"/>
    <mergeCell ref="C91:E91"/>
    <mergeCell ref="G91:I91"/>
    <mergeCell ref="J91:L91"/>
    <mergeCell ref="X91:Z91"/>
    <mergeCell ref="C88:E88"/>
    <mergeCell ref="G88:I88"/>
    <mergeCell ref="J88:L88"/>
    <mergeCell ref="X88:Z88"/>
    <mergeCell ref="C89:E89"/>
    <mergeCell ref="G89:I89"/>
    <mergeCell ref="J89:L89"/>
    <mergeCell ref="X89:Z89"/>
    <mergeCell ref="C86:E86"/>
    <mergeCell ref="G86:I86"/>
    <mergeCell ref="J86:L86"/>
    <mergeCell ref="X86:Z86"/>
    <mergeCell ref="C87:E87"/>
    <mergeCell ref="G87:I87"/>
    <mergeCell ref="J87:L87"/>
    <mergeCell ref="X87:Z87"/>
    <mergeCell ref="C84:E84"/>
    <mergeCell ref="G84:I84"/>
    <mergeCell ref="J84:L84"/>
    <mergeCell ref="X84:Z84"/>
    <mergeCell ref="C85:E85"/>
    <mergeCell ref="G85:I85"/>
    <mergeCell ref="J85:L85"/>
    <mergeCell ref="X85:Z85"/>
    <mergeCell ref="C82:E82"/>
    <mergeCell ref="G82:I82"/>
    <mergeCell ref="J82:L82"/>
    <mergeCell ref="X82:Z82"/>
    <mergeCell ref="C83:E83"/>
    <mergeCell ref="G83:I83"/>
    <mergeCell ref="J83:L83"/>
    <mergeCell ref="X83:Z83"/>
    <mergeCell ref="C80:E80"/>
    <mergeCell ref="G80:I80"/>
    <mergeCell ref="J80:L80"/>
    <mergeCell ref="X80:Z80"/>
    <mergeCell ref="C81:E81"/>
    <mergeCell ref="G81:I81"/>
    <mergeCell ref="J81:L81"/>
    <mergeCell ref="X81:Z81"/>
    <mergeCell ref="C78:E78"/>
    <mergeCell ref="G78:I78"/>
    <mergeCell ref="J78:L78"/>
    <mergeCell ref="X78:Z78"/>
    <mergeCell ref="C79:E79"/>
    <mergeCell ref="G79:I79"/>
    <mergeCell ref="J79:L79"/>
    <mergeCell ref="X79:Z79"/>
    <mergeCell ref="C76:E76"/>
    <mergeCell ref="G76:I76"/>
    <mergeCell ref="J76:L76"/>
    <mergeCell ref="X76:Z76"/>
    <mergeCell ref="C77:E77"/>
    <mergeCell ref="G77:I77"/>
    <mergeCell ref="J77:L77"/>
    <mergeCell ref="X77:Z77"/>
    <mergeCell ref="C74:E74"/>
    <mergeCell ref="G74:I74"/>
    <mergeCell ref="J74:L74"/>
    <mergeCell ref="X74:Z74"/>
    <mergeCell ref="C75:E75"/>
    <mergeCell ref="G75:I75"/>
    <mergeCell ref="J75:L75"/>
    <mergeCell ref="X75:Z75"/>
    <mergeCell ref="C72:E72"/>
    <mergeCell ref="G72:I72"/>
    <mergeCell ref="J72:L72"/>
    <mergeCell ref="X72:Z72"/>
    <mergeCell ref="C73:E73"/>
    <mergeCell ref="G73:I73"/>
    <mergeCell ref="J73:L73"/>
    <mergeCell ref="X73:Z73"/>
    <mergeCell ref="C70:E70"/>
    <mergeCell ref="G70:I70"/>
    <mergeCell ref="J70:L70"/>
    <mergeCell ref="X70:Z70"/>
    <mergeCell ref="C71:E71"/>
    <mergeCell ref="G71:I71"/>
    <mergeCell ref="J71:L71"/>
    <mergeCell ref="X71:Z71"/>
    <mergeCell ref="C68:E68"/>
    <mergeCell ref="G68:I68"/>
    <mergeCell ref="J68:L68"/>
    <mergeCell ref="X68:Z68"/>
    <mergeCell ref="C69:E69"/>
    <mergeCell ref="G69:I69"/>
    <mergeCell ref="J69:L69"/>
    <mergeCell ref="X69:Z69"/>
    <mergeCell ref="C66:E66"/>
    <mergeCell ref="G66:I66"/>
    <mergeCell ref="J66:L66"/>
    <mergeCell ref="X66:Z66"/>
    <mergeCell ref="C67:E67"/>
    <mergeCell ref="G67:I67"/>
    <mergeCell ref="J67:L67"/>
    <mergeCell ref="X67:Z67"/>
    <mergeCell ref="C64:E64"/>
    <mergeCell ref="G64:I64"/>
    <mergeCell ref="J64:L64"/>
    <mergeCell ref="X64:Z64"/>
    <mergeCell ref="C65:E65"/>
    <mergeCell ref="G65:I65"/>
    <mergeCell ref="J65:L65"/>
    <mergeCell ref="X65:Z65"/>
    <mergeCell ref="C62:E62"/>
    <mergeCell ref="G62:I62"/>
    <mergeCell ref="J62:L62"/>
    <mergeCell ref="X62:Z62"/>
    <mergeCell ref="C63:E63"/>
    <mergeCell ref="G63:I63"/>
    <mergeCell ref="J63:L63"/>
    <mergeCell ref="X63:Z63"/>
    <mergeCell ref="C60:E60"/>
    <mergeCell ref="G60:I60"/>
    <mergeCell ref="J60:L60"/>
    <mergeCell ref="X60:Z60"/>
    <mergeCell ref="C61:E61"/>
    <mergeCell ref="G61:I61"/>
    <mergeCell ref="J61:L61"/>
    <mergeCell ref="X61:Z61"/>
    <mergeCell ref="C58:E58"/>
    <mergeCell ref="G58:I58"/>
    <mergeCell ref="J58:L58"/>
    <mergeCell ref="X58:Z58"/>
    <mergeCell ref="C59:E59"/>
    <mergeCell ref="G59:I59"/>
    <mergeCell ref="J59:L59"/>
    <mergeCell ref="X59:Z59"/>
    <mergeCell ref="C56:E56"/>
    <mergeCell ref="G56:I56"/>
    <mergeCell ref="J56:L56"/>
    <mergeCell ref="X56:Z56"/>
    <mergeCell ref="C57:E57"/>
    <mergeCell ref="G57:I57"/>
    <mergeCell ref="J57:L57"/>
    <mergeCell ref="X57:Z57"/>
    <mergeCell ref="C54:E54"/>
    <mergeCell ref="G54:I54"/>
    <mergeCell ref="J54:L54"/>
    <mergeCell ref="X54:Z54"/>
    <mergeCell ref="C55:E55"/>
    <mergeCell ref="G55:I55"/>
    <mergeCell ref="J55:L55"/>
    <mergeCell ref="X55:Z55"/>
    <mergeCell ref="C52:E52"/>
    <mergeCell ref="G52:I52"/>
    <mergeCell ref="J52:L52"/>
    <mergeCell ref="X52:Z52"/>
    <mergeCell ref="C53:E53"/>
    <mergeCell ref="G53:I53"/>
    <mergeCell ref="J53:L53"/>
    <mergeCell ref="X53:Z53"/>
    <mergeCell ref="C50:E50"/>
    <mergeCell ref="G50:I50"/>
    <mergeCell ref="J50:L50"/>
    <mergeCell ref="X50:Z50"/>
    <mergeCell ref="C51:E51"/>
    <mergeCell ref="G51:I51"/>
    <mergeCell ref="J51:L51"/>
    <mergeCell ref="X51:Z51"/>
    <mergeCell ref="C48:E48"/>
    <mergeCell ref="G48:I48"/>
    <mergeCell ref="J48:L48"/>
    <mergeCell ref="X48:Z48"/>
    <mergeCell ref="C49:E49"/>
    <mergeCell ref="G49:I49"/>
    <mergeCell ref="J49:L49"/>
    <mergeCell ref="X49:Z49"/>
    <mergeCell ref="C46:E46"/>
    <mergeCell ref="G46:I46"/>
    <mergeCell ref="J46:L46"/>
    <mergeCell ref="X46:Z46"/>
    <mergeCell ref="C47:E47"/>
    <mergeCell ref="G47:I47"/>
    <mergeCell ref="J47:L47"/>
    <mergeCell ref="X47:Z47"/>
    <mergeCell ref="C44:E44"/>
    <mergeCell ref="G44:I44"/>
    <mergeCell ref="J44:L44"/>
    <mergeCell ref="X44:Z44"/>
    <mergeCell ref="C45:E45"/>
    <mergeCell ref="G45:I45"/>
    <mergeCell ref="J45:L45"/>
    <mergeCell ref="X45:Z45"/>
    <mergeCell ref="C42:E42"/>
    <mergeCell ref="G42:I42"/>
    <mergeCell ref="J42:L42"/>
    <mergeCell ref="X42:Z42"/>
    <mergeCell ref="C43:E43"/>
    <mergeCell ref="G43:I43"/>
    <mergeCell ref="J43:L43"/>
    <mergeCell ref="X43:Z43"/>
    <mergeCell ref="C40:E40"/>
    <mergeCell ref="G40:I40"/>
    <mergeCell ref="J40:L40"/>
    <mergeCell ref="X40:Z40"/>
    <mergeCell ref="C41:E41"/>
    <mergeCell ref="G41:I41"/>
    <mergeCell ref="J41:L41"/>
    <mergeCell ref="X41:Z41"/>
    <mergeCell ref="C38:E38"/>
    <mergeCell ref="G38:I38"/>
    <mergeCell ref="J38:L38"/>
    <mergeCell ref="X38:Z38"/>
    <mergeCell ref="C39:E39"/>
    <mergeCell ref="G39:I39"/>
    <mergeCell ref="J39:L39"/>
    <mergeCell ref="X39:Z39"/>
    <mergeCell ref="C36:E36"/>
    <mergeCell ref="G36:I36"/>
    <mergeCell ref="J36:L36"/>
    <mergeCell ref="X36:Z36"/>
    <mergeCell ref="C37:E37"/>
    <mergeCell ref="G37:I37"/>
    <mergeCell ref="J37:L37"/>
    <mergeCell ref="X37:Z37"/>
    <mergeCell ref="C34:E34"/>
    <mergeCell ref="G34:I34"/>
    <mergeCell ref="J34:L34"/>
    <mergeCell ref="X34:Z34"/>
    <mergeCell ref="C35:E35"/>
    <mergeCell ref="G35:I35"/>
    <mergeCell ref="J35:L35"/>
    <mergeCell ref="X35:Z35"/>
    <mergeCell ref="C32:E32"/>
    <mergeCell ref="G32:I32"/>
    <mergeCell ref="J32:L32"/>
    <mergeCell ref="X32:Z32"/>
    <mergeCell ref="C33:E33"/>
    <mergeCell ref="G33:I33"/>
    <mergeCell ref="J33:L33"/>
    <mergeCell ref="X33:Z33"/>
    <mergeCell ref="C30:E30"/>
    <mergeCell ref="G30:I30"/>
    <mergeCell ref="J30:L30"/>
    <mergeCell ref="X30:Z30"/>
    <mergeCell ref="C31:E31"/>
    <mergeCell ref="G31:I31"/>
    <mergeCell ref="J31:L31"/>
    <mergeCell ref="X31:Z31"/>
    <mergeCell ref="C28:E28"/>
    <mergeCell ref="G28:I28"/>
    <mergeCell ref="J28:L28"/>
    <mergeCell ref="X28:Z28"/>
    <mergeCell ref="C29:E29"/>
    <mergeCell ref="G29:I29"/>
    <mergeCell ref="J29:L29"/>
    <mergeCell ref="X29:Z29"/>
    <mergeCell ref="C26:E26"/>
    <mergeCell ref="G26:I26"/>
    <mergeCell ref="J26:L26"/>
    <mergeCell ref="X26:Z26"/>
    <mergeCell ref="C27:E27"/>
    <mergeCell ref="G27:I27"/>
    <mergeCell ref="J27:L27"/>
    <mergeCell ref="X27:Z27"/>
    <mergeCell ref="C24:E24"/>
    <mergeCell ref="G24:I24"/>
    <mergeCell ref="J24:L24"/>
    <mergeCell ref="X24:Z24"/>
    <mergeCell ref="C25:E25"/>
    <mergeCell ref="G25:I25"/>
    <mergeCell ref="J25:L25"/>
    <mergeCell ref="X25:Z25"/>
    <mergeCell ref="C22:E22"/>
    <mergeCell ref="G22:I22"/>
    <mergeCell ref="J22:L22"/>
    <mergeCell ref="X22:Z22"/>
    <mergeCell ref="C23:E23"/>
    <mergeCell ref="G23:I23"/>
    <mergeCell ref="J23:L23"/>
    <mergeCell ref="X23:Z23"/>
    <mergeCell ref="C20:E20"/>
    <mergeCell ref="G20:I20"/>
    <mergeCell ref="J20:L20"/>
    <mergeCell ref="X20:Z20"/>
    <mergeCell ref="C21:E21"/>
    <mergeCell ref="G21:I21"/>
    <mergeCell ref="J21:L21"/>
    <mergeCell ref="X21:Z21"/>
    <mergeCell ref="C18:E18"/>
    <mergeCell ref="G18:I18"/>
    <mergeCell ref="J18:L18"/>
    <mergeCell ref="X18:Z18"/>
    <mergeCell ref="C19:E19"/>
    <mergeCell ref="G19:I19"/>
    <mergeCell ref="J19:L19"/>
    <mergeCell ref="X19:Z19"/>
    <mergeCell ref="C16:E16"/>
    <mergeCell ref="G16:I16"/>
    <mergeCell ref="J16:L16"/>
    <mergeCell ref="X16:Z16"/>
    <mergeCell ref="C17:E17"/>
    <mergeCell ref="G17:I17"/>
    <mergeCell ref="J17:L17"/>
    <mergeCell ref="X17:Z17"/>
    <mergeCell ref="C14:E14"/>
    <mergeCell ref="G14:I14"/>
    <mergeCell ref="J14:L14"/>
    <mergeCell ref="X14:Z14"/>
    <mergeCell ref="C15:E15"/>
    <mergeCell ref="G15:I15"/>
    <mergeCell ref="J15:L15"/>
    <mergeCell ref="X15:Z15"/>
    <mergeCell ref="C12:E12"/>
    <mergeCell ref="G12:I12"/>
    <mergeCell ref="J12:L12"/>
    <mergeCell ref="X12:Z12"/>
    <mergeCell ref="C13:E13"/>
    <mergeCell ref="G13:I13"/>
    <mergeCell ref="J13:L13"/>
    <mergeCell ref="X13:Z13"/>
    <mergeCell ref="C10:E10"/>
    <mergeCell ref="G10:I10"/>
    <mergeCell ref="J10:L10"/>
    <mergeCell ref="X10:Z10"/>
    <mergeCell ref="C11:E11"/>
    <mergeCell ref="G11:I11"/>
    <mergeCell ref="J11:L11"/>
    <mergeCell ref="X11:Z11"/>
    <mergeCell ref="AU7:AU8"/>
    <mergeCell ref="AA7:AA8"/>
    <mergeCell ref="C9:E9"/>
    <mergeCell ref="G9:I9"/>
    <mergeCell ref="J9:L9"/>
    <mergeCell ref="X9:Z9"/>
    <mergeCell ref="AO7:AO8"/>
    <mergeCell ref="AP7:AP8"/>
    <mergeCell ref="AQ7:AQ8"/>
    <mergeCell ref="AR7:AR8"/>
    <mergeCell ref="AS7:AS8"/>
    <mergeCell ref="AB7:AB8"/>
    <mergeCell ref="AC7:AC8"/>
    <mergeCell ref="AD7:AD8"/>
    <mergeCell ref="AE7:AE8"/>
    <mergeCell ref="AI7:AM7"/>
    <mergeCell ref="AN7:AN8"/>
    <mergeCell ref="AT6:AX6"/>
    <mergeCell ref="A7:A8"/>
    <mergeCell ref="B7:B8"/>
    <mergeCell ref="C7:E8"/>
    <mergeCell ref="F7:F8"/>
    <mergeCell ref="G7:I8"/>
    <mergeCell ref="J7:L8"/>
    <mergeCell ref="M7:P7"/>
    <mergeCell ref="Q7:V7"/>
    <mergeCell ref="X7:Z8"/>
    <mergeCell ref="AV7:AV8"/>
    <mergeCell ref="AW7:AW8"/>
    <mergeCell ref="AX7:AX8"/>
    <mergeCell ref="AT7:AT8"/>
    <mergeCell ref="A6:P6"/>
    <mergeCell ref="Q6:V6"/>
    <mergeCell ref="X6:AM6"/>
    <mergeCell ref="AW1:AX4"/>
    <mergeCell ref="G2:V2"/>
    <mergeCell ref="AP2:AQ2"/>
    <mergeCell ref="AR2:AS2"/>
    <mergeCell ref="A3:A4"/>
    <mergeCell ref="G3:H3"/>
    <mergeCell ref="I3:N3"/>
    <mergeCell ref="O3:V3"/>
    <mergeCell ref="Z3:AB4"/>
    <mergeCell ref="AC3:AC4"/>
    <mergeCell ref="G1:V1"/>
    <mergeCell ref="X1:Y4"/>
    <mergeCell ref="Z1:AB2"/>
    <mergeCell ref="AC1:AC2"/>
    <mergeCell ref="AD1:AN2"/>
    <mergeCell ref="AP1:AS1"/>
    <mergeCell ref="AD3:AN4"/>
    <mergeCell ref="AP3:AQ3"/>
    <mergeCell ref="AR3:AS3"/>
    <mergeCell ref="G4:H4"/>
    <mergeCell ref="I4:N4"/>
    <mergeCell ref="O4:V4"/>
    <mergeCell ref="AP4:AQ4"/>
    <mergeCell ref="AR4:AS4"/>
  </mergeCells>
  <dataValidations count="6">
    <dataValidation type="list" allowBlank="1" showInputMessage="1" showErrorMessage="1" sqref="WVZ9:WVZ166 WMD9:WMD166 JN9:JN166 TJ9:TJ166 ADF9:ADF166 ANB9:ANB166 AWX9:AWX166 BGT9:BGT166 BQP9:BQP166 CAL9:CAL166 CKH9:CKH166 CUD9:CUD166 DDZ9:DDZ166 DNV9:DNV166 DXR9:DXR166 EHN9:EHN166 ERJ9:ERJ166 FBF9:FBF166 FLB9:FLB166 FUX9:FUX166 GET9:GET166 GOP9:GOP166 GYL9:GYL166 HIH9:HIH166 HSD9:HSD166 IBZ9:IBZ166 ILV9:ILV166 IVR9:IVR166 JFN9:JFN166 JPJ9:JPJ166 JZF9:JZF166 KJB9:KJB166 KSX9:KSX166 LCT9:LCT166 LMP9:LMP166 LWL9:LWL166 MGH9:MGH166 MQD9:MQD166 MZZ9:MZZ166 NJV9:NJV166 NTR9:NTR166 ODN9:ODN166 ONJ9:ONJ166 OXF9:OXF166 PHB9:PHB166 PQX9:PQX166 QAT9:QAT166 QKP9:QKP166 QUL9:QUL166 REH9:REH166 ROD9:ROD166 RXZ9:RXZ166 SHV9:SHV166 SRR9:SRR166 TBN9:TBN166 TLJ9:TLJ166 TVF9:TVF166 UFB9:UFB166 UOX9:UOX166 UYT9:UYT166 VIP9:VIP166 VSL9:VSL166 WCH9:WCH166 Q9:Q166">
      <formula1>PROBAB</formula1>
    </dataValidation>
    <dataValidation type="list" allowBlank="1" showInputMessage="1" showErrorMessage="1" sqref="WWA9:WWA166 WME9:WME166 JO9:JO166 TK9:TK166 ADG9:ADG166 ANC9:ANC166 AWY9:AWY166 BGU9:BGU166 BQQ9:BQQ166 CAM9:CAM166 CKI9:CKI166 CUE9:CUE166 DEA9:DEA166 DNW9:DNW166 DXS9:DXS166 EHO9:EHO166 ERK9:ERK166 FBG9:FBG166 FLC9:FLC166 FUY9:FUY166 GEU9:GEU166 GOQ9:GOQ166 GYM9:GYM166 HII9:HII166 HSE9:HSE166 ICA9:ICA166 ILW9:ILW166 IVS9:IVS166 JFO9:JFO166 JPK9:JPK166 JZG9:JZG166 KJC9:KJC166 KSY9:KSY166 LCU9:LCU166 LMQ9:LMQ166 LWM9:LWM166 MGI9:MGI166 MQE9:MQE166 NAA9:NAA166 NJW9:NJW166 NTS9:NTS166 ODO9:ODO166 ONK9:ONK166 OXG9:OXG166 PHC9:PHC166 PQY9:PQY166 QAU9:QAU166 QKQ9:QKQ166 QUM9:QUM166 REI9:REI166 ROE9:ROE166 RYA9:RYA166 SHW9:SHW166 SRS9:SRS166 TBO9:TBO166 TLK9:TLK166 TVG9:TVG166 UFC9:UFC166 UOY9:UOY166 UYU9:UYU166 VIQ9:VIQ166 VSM9:VSM166 WCI9:WCI166 R9:R166">
      <formula1>IMPACTO</formula1>
    </dataValidation>
    <dataValidation type="list" showInputMessage="1" showErrorMessage="1" errorTitle="Rechazado" error="Solo son validadas las opciones de la lista" sqref="WWM9:WWM166 WMQ9:WMQ166 KA9:KA166 TW9:TW166 ADS9:ADS166 ANO9:ANO166 AXK9:AXK166 BHG9:BHG166 BRC9:BRC166 CAY9:CAY166 CKU9:CKU166 CUQ9:CUQ166 DEM9:DEM166 DOI9:DOI166 DYE9:DYE166 EIA9:EIA166 ERW9:ERW166 FBS9:FBS166 FLO9:FLO166 FVK9:FVK166 GFG9:GFG166 GPC9:GPC166 GYY9:GYY166 HIU9:HIU166 HSQ9:HSQ166 ICM9:ICM166 IMI9:IMI166 IWE9:IWE166 JGA9:JGA166 JPW9:JPW166 JZS9:JZS166 KJO9:KJO166 KTK9:KTK166 LDG9:LDG166 LNC9:LNC166 LWY9:LWY166 MGU9:MGU166 MQQ9:MQQ166 NAM9:NAM166 NKI9:NKI166 NUE9:NUE166 OEA9:OEA166 ONW9:ONW166 OXS9:OXS166 PHO9:PHO166 PRK9:PRK166 QBG9:QBG166 QLC9:QLC166 QUY9:QUY166 REU9:REU166 ROQ9:ROQ166 RYM9:RYM166 SII9:SII166 SSE9:SSE166 TCA9:TCA166 TLW9:TLW166 TVS9:TVS166 UFO9:UFO166 UPK9:UPK166 UZG9:UZG166 VJC9:VJC166 VSY9:VSY166 WCU9:WCU166 AE9:AE166">
      <formula1>Efecto</formula1>
    </dataValidation>
    <dataValidation showInputMessage="1" showErrorMessage="1" sqref="WWO9:WWS166 WMS9:WMW166 KC9:KG166 TY9:UC166 ADU9:ADY166 ANQ9:ANU166 AXM9:AXQ166 BHI9:BHM166 BRE9:BRI166 CBA9:CBE166 CKW9:CLA166 CUS9:CUW166 DEO9:DES166 DOK9:DOO166 DYG9:DYK166 EIC9:EIG166 ERY9:ESC166 FBU9:FBY166 FLQ9:FLU166 FVM9:FVQ166 GFI9:GFM166 GPE9:GPI166 GZA9:GZE166 HIW9:HJA166 HSS9:HSW166 ICO9:ICS166 IMK9:IMO166 IWG9:IWK166 JGC9:JGG166 JPY9:JQC166 JZU9:JZY166 KJQ9:KJU166 KTM9:KTQ166 LDI9:LDM166 LNE9:LNI166 LXA9:LXE166 MGW9:MHA166 MQS9:MQW166 NAO9:NAS166 NKK9:NKO166 NUG9:NUK166 OEC9:OEG166 ONY9:OOC166 OXU9:OXY166 PHQ9:PHU166 PRM9:PRQ166 QBI9:QBM166 QLE9:QLI166 QVA9:QVE166 REW9:RFA166 ROS9:ROW166 RYO9:RYS166 SIK9:SIO166 SSG9:SSK166 TCC9:TCG166 TLY9:TMC166 TVU9:TVY166 UFQ9:UFU166 UPM9:UPQ166 UZI9:UZM166 VJE9:VJI166 VTA9:VTE166 WCW9:WDA166 AG9:AK166"/>
    <dataValidation type="whole" allowBlank="1" showInputMessage="1" showErrorMessage="1" sqref="WWL9:WWL166 WMP9:WMP166 JZ9:JZ166 TV9:TV166 ADR9:ADR166 ANN9:ANN166 AXJ9:AXJ166 BHF9:BHF166 BRB9:BRB166 CAX9:CAX166 CKT9:CKT166 CUP9:CUP166 DEL9:DEL166 DOH9:DOH166 DYD9:DYD166 EHZ9:EHZ166 ERV9:ERV166 FBR9:FBR166 FLN9:FLN166 FVJ9:FVJ166 GFF9:GFF166 GPB9:GPB166 GYX9:GYX166 HIT9:HIT166 HSP9:HSP166 ICL9:ICL166 IMH9:IMH166 IWD9:IWD166 JFZ9:JFZ166 JPV9:JPV166 JZR9:JZR166 KJN9:KJN166 KTJ9:KTJ166 LDF9:LDF166 LNB9:LNB166 LWX9:LWX166 MGT9:MGT166 MQP9:MQP166 NAL9:NAL166 NKH9:NKH166 NUD9:NUD166 ODZ9:ODZ166 ONV9:ONV166 OXR9:OXR166 PHN9:PHN166 PRJ9:PRJ166 QBF9:QBF166 QLB9:QLB166 QUX9:QUX166 RET9:RET166 ROP9:ROP166 RYL9:RYL166 SIH9:SIH166 SSD9:SSD166 TBZ9:TBZ166 TLV9:TLV166 TVR9:TVR166 UFN9:UFN166 UPJ9:UPJ166 UZF9:UZF166 VJB9:VJB166 VSX9:VSX166 WCT9:WCT166 AD9:AD166">
      <formula1>0</formula1>
      <formula2>100</formula2>
    </dataValidation>
    <dataValidation type="list" allowBlank="1" showInputMessage="1" showErrorMessage="1" sqref="AS9:AS166 WXA9:WXA166 KO9:KO166 UK9:UK166 AEG9:AEG166 AOC9:AOC166 AXY9:AXY166 BHU9:BHU166 BRQ9:BRQ166 CBM9:CBM166 CLI9:CLI166 CVE9:CVE166 DFA9:DFA166 DOW9:DOW166 DYS9:DYS166 EIO9:EIO166 ESK9:ESK166 FCG9:FCG166 FMC9:FMC166 FVY9:FVY166 GFU9:GFU166 GPQ9:GPQ166 GZM9:GZM166 HJI9:HJI166 HTE9:HTE166 IDA9:IDA166 IMW9:IMW166 IWS9:IWS166 JGO9:JGO166 JQK9:JQK166 KAG9:KAG166 KKC9:KKC166 KTY9:KTY166 LDU9:LDU166 LNQ9:LNQ166 LXM9:LXM166 MHI9:MHI166 MRE9:MRE166 NBA9:NBA166 NKW9:NKW166 NUS9:NUS166 OEO9:OEO166 OOK9:OOK166 OYG9:OYG166 PIC9:PIC166 PRY9:PRY166 QBU9:QBU166 QLQ9:QLQ166 QVM9:QVM166 RFI9:RFI166 RPE9:RPE166 RZA9:RZA166 SIW9:SIW166 SSS9:SSS166 TCO9:TCO166 TMK9:TMK166 TWG9:TWG166 UGC9:UGC166 UPY9:UPY166 UZU9:UZU166 VJQ9:VJQ166 VTM9:VTM166 WDI9:WDI166 WNE9:WNE166">
      <formula1>SINO</formula1>
    </dataValidation>
  </dataValidations>
  <printOptions horizontalCentered="1" verticalCentered="1"/>
  <pageMargins left="0.39370078740157483" right="0.19685039370078741" top="0.59055118110236227" bottom="0.59055118110236227" header="0.51181102362204722" footer="0.27559055118110237"/>
  <pageSetup paperSize="14" scale="44" firstPageNumber="0" fitToHeight="0" orientation="landscape" r:id="rId1"/>
  <headerFooter>
    <oddFooter>&amp;L&amp;9Formato: FO-AC-07 Versión: 3&amp;C&amp;9Página &amp;P</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M178"/>
  <sheetViews>
    <sheetView zoomScale="80" zoomScaleNormal="80" zoomScaleSheetLayoutView="100" zoomScalePageLayoutView="95" workbookViewId="0">
      <pane xSplit="5" ySplit="8" topLeftCell="F9" activePane="bottomRight" state="frozen"/>
      <selection pane="topRight" activeCell="F1" sqref="F1"/>
      <selection pane="bottomLeft" activeCell="A9" sqref="A9"/>
      <selection pane="bottomRight" activeCell="C9" sqref="C9:E14"/>
    </sheetView>
  </sheetViews>
  <sheetFormatPr baseColWidth="10" defaultRowHeight="12.75"/>
  <cols>
    <col min="1" max="1" width="12" style="235" customWidth="1"/>
    <col min="2" max="2" width="2.7109375" style="235" customWidth="1"/>
    <col min="3" max="4" width="6.5703125" style="235" customWidth="1"/>
    <col min="5" max="5" width="5.85546875" style="235" customWidth="1"/>
    <col min="6" max="6" width="6.5703125" style="235" customWidth="1"/>
    <col min="7" max="8" width="8.42578125" style="235" customWidth="1"/>
    <col min="9" max="9" width="18.140625" style="235" customWidth="1"/>
    <col min="10" max="10" width="2.5703125" style="235" customWidth="1"/>
    <col min="11" max="12" width="9.5703125" style="235" customWidth="1"/>
    <col min="13" max="15" width="3.7109375" style="235" customWidth="1"/>
    <col min="16" max="16" width="3.5703125" style="235" customWidth="1"/>
    <col min="17" max="17" width="2.85546875" style="235" customWidth="1"/>
    <col min="18" max="18" width="3" style="235" customWidth="1"/>
    <col min="19" max="21" width="0" style="235" hidden="1" customWidth="1"/>
    <col min="22" max="22" width="4.42578125" style="235" customWidth="1"/>
    <col min="23" max="23" width="0" style="235" hidden="1" customWidth="1"/>
    <col min="24" max="27" width="14.28515625" style="235" customWidth="1"/>
    <col min="28" max="28" width="10.85546875" style="235" customWidth="1"/>
    <col min="29" max="29" width="14.5703125" style="235" customWidth="1"/>
    <col min="30" max="30" width="4.140625" style="235" customWidth="1"/>
    <col min="31" max="31" width="3" style="235" customWidth="1"/>
    <col min="32" max="34" width="0" style="235" hidden="1" customWidth="1"/>
    <col min="35" max="35" width="3" style="235" customWidth="1"/>
    <col min="36" max="36" width="0" style="235" hidden="1" customWidth="1"/>
    <col min="37" max="37" width="3" style="235" customWidth="1"/>
    <col min="38" max="38" width="0" style="235" hidden="1" customWidth="1"/>
    <col min="39" max="39" width="4.42578125" style="235" customWidth="1"/>
    <col min="40" max="40" width="25.5703125" style="235" customWidth="1"/>
    <col min="41" max="41" width="23.42578125" style="235" customWidth="1"/>
    <col min="42" max="42" width="9.140625" style="235" customWidth="1"/>
    <col min="43" max="43" width="19.5703125" style="235" customWidth="1"/>
    <col min="44" max="44" width="42.7109375" style="235" customWidth="1"/>
    <col min="45" max="45" width="5.85546875" style="235" customWidth="1"/>
    <col min="46" max="46" width="31.5703125" style="235" customWidth="1"/>
    <col min="47" max="47" width="16.140625" style="235" customWidth="1"/>
    <col min="48" max="49" width="9.28515625" style="235" customWidth="1"/>
    <col min="50" max="50" width="11.140625" style="235" customWidth="1"/>
    <col min="51" max="51" width="2.140625" style="235" customWidth="1"/>
    <col min="52"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11.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2037" t="s">
        <v>73</v>
      </c>
      <c r="AE1" s="2037"/>
      <c r="AF1" s="2037"/>
      <c r="AG1" s="2037"/>
      <c r="AH1" s="2037"/>
      <c r="AI1" s="2037"/>
      <c r="AJ1" s="2037"/>
      <c r="AK1" s="2037"/>
      <c r="AL1" s="2037"/>
      <c r="AM1" s="2037"/>
      <c r="AN1" s="2037"/>
      <c r="AP1" s="1247" t="s">
        <v>2320</v>
      </c>
      <c r="AQ1" s="1247"/>
      <c r="AR1" s="1247"/>
      <c r="AS1" s="1247"/>
      <c r="AT1" s="233"/>
      <c r="AU1" s="233"/>
      <c r="AV1" s="233"/>
      <c r="AW1" s="1246"/>
      <c r="AX1" s="1246"/>
      <c r="AY1" s="233"/>
    </row>
    <row r="2" spans="1:1027" ht="14.25" customHeight="1">
      <c r="A2" s="237" t="s">
        <v>2348</v>
      </c>
      <c r="B2" s="233"/>
      <c r="C2" s="233"/>
      <c r="D2" s="233"/>
      <c r="E2" s="233"/>
      <c r="F2" s="233"/>
      <c r="G2" s="1214" t="str">
        <f>UPPER([33]Control!A2)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2037"/>
      <c r="AE2" s="2037"/>
      <c r="AF2" s="2037"/>
      <c r="AG2" s="2037"/>
      <c r="AH2" s="2037"/>
      <c r="AI2" s="2037"/>
      <c r="AJ2" s="2037"/>
      <c r="AK2" s="2037"/>
      <c r="AL2" s="2037"/>
      <c r="AM2" s="2037"/>
      <c r="AN2" s="2037"/>
      <c r="AP2" s="1268" t="s">
        <v>138</v>
      </c>
      <c r="AQ2" s="1269"/>
      <c r="AR2" s="1433" t="str">
        <f>AD1</f>
        <v>GESTIÓN DOCUMENTAL</v>
      </c>
      <c r="AS2" s="1434"/>
      <c r="AT2" s="233"/>
      <c r="AU2" s="233"/>
      <c r="AV2" s="233"/>
      <c r="AW2" s="1246"/>
      <c r="AX2" s="1246"/>
      <c r="AY2" s="233"/>
      <c r="AZ2" s="235">
        <f>10500*1.19</f>
        <v>12495</v>
      </c>
      <c r="BA2" s="235">
        <f>+AZ2*3</f>
        <v>37485</v>
      </c>
    </row>
    <row r="3" spans="1:1027" ht="11.25" customHeight="1">
      <c r="A3" s="2316">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1436">
        <v>43446</v>
      </c>
      <c r="AA3" s="1437"/>
      <c r="AB3" s="1438"/>
      <c r="AC3" s="1259" t="s">
        <v>2349</v>
      </c>
      <c r="AD3" s="2038" t="s">
        <v>200</v>
      </c>
      <c r="AE3" s="2038"/>
      <c r="AF3" s="2038"/>
      <c r="AG3" s="2038"/>
      <c r="AH3" s="2038"/>
      <c r="AI3" s="2038"/>
      <c r="AJ3" s="2038"/>
      <c r="AK3" s="2038"/>
      <c r="AL3" s="2038"/>
      <c r="AM3" s="2038"/>
      <c r="AN3" s="2038"/>
      <c r="AP3" s="1265" t="s">
        <v>2322</v>
      </c>
      <c r="AQ3" s="1266"/>
      <c r="AR3" s="1266" t="s">
        <v>2323</v>
      </c>
      <c r="AS3" s="1267"/>
      <c r="AT3" s="233"/>
      <c r="AU3" s="233"/>
      <c r="AV3" s="233"/>
      <c r="AW3" s="1246"/>
      <c r="AX3" s="1246"/>
      <c r="AY3" s="233"/>
    </row>
    <row r="4" spans="1:1027" ht="14.25" customHeight="1" thickBot="1">
      <c r="A4" s="2316"/>
      <c r="B4" s="233"/>
      <c r="C4" s="233"/>
      <c r="D4" s="233"/>
      <c r="E4" s="233"/>
      <c r="F4" s="233"/>
      <c r="G4" s="1236" t="str">
        <f>[33]Control!A4</f>
        <v>FO-PE-06</v>
      </c>
      <c r="H4" s="1237"/>
      <c r="I4" s="1238" t="str">
        <f>[33]Control!C4</f>
        <v>Planeación Estratégica</v>
      </c>
      <c r="J4" s="1237"/>
      <c r="K4" s="1237"/>
      <c r="L4" s="1237"/>
      <c r="M4" s="1237"/>
      <c r="N4" s="1239"/>
      <c r="O4" s="1238">
        <f>[33]Control!H4</f>
        <v>5</v>
      </c>
      <c r="P4" s="1237"/>
      <c r="Q4" s="1237"/>
      <c r="R4" s="1237"/>
      <c r="S4" s="1237"/>
      <c r="T4" s="1237"/>
      <c r="U4" s="1237"/>
      <c r="V4" s="1239"/>
      <c r="W4" s="239"/>
      <c r="X4" s="1255"/>
      <c r="Y4" s="1256"/>
      <c r="Z4" s="1439"/>
      <c r="AA4" s="1440"/>
      <c r="AB4" s="1441"/>
      <c r="AC4" s="1259"/>
      <c r="AD4" s="2038"/>
      <c r="AE4" s="2038"/>
      <c r="AF4" s="2038"/>
      <c r="AG4" s="2038"/>
      <c r="AH4" s="2038"/>
      <c r="AI4" s="2038"/>
      <c r="AJ4" s="2038"/>
      <c r="AK4" s="2038"/>
      <c r="AL4" s="2038"/>
      <c r="AM4" s="2038"/>
      <c r="AN4" s="2038"/>
      <c r="AP4" s="1240">
        <v>43713</v>
      </c>
      <c r="AQ4" s="1241"/>
      <c r="AR4" s="2315" t="s">
        <v>4083</v>
      </c>
      <c r="AS4" s="1243"/>
      <c r="AT4" s="233"/>
      <c r="AU4" s="233"/>
      <c r="AV4" s="233"/>
      <c r="AW4" s="1246"/>
      <c r="AX4" s="1246"/>
      <c r="AY4" s="233"/>
    </row>
    <row r="5" spans="1:1027"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2"/>
      <c r="AB5" s="242"/>
      <c r="AC5" s="242"/>
      <c r="AD5" s="241"/>
      <c r="AE5" s="241"/>
      <c r="AF5" s="241"/>
      <c r="AG5" s="241"/>
      <c r="AH5" s="241"/>
      <c r="AI5" s="241"/>
      <c r="AJ5" s="241"/>
      <c r="AK5" s="241"/>
      <c r="AL5" s="241"/>
      <c r="AM5" s="240"/>
      <c r="AN5" s="240"/>
      <c r="AO5" s="240"/>
      <c r="AQ5" s="244"/>
      <c r="AY5" s="245"/>
    </row>
    <row r="6" spans="1:1027" s="243" customFormat="1" ht="11.2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782" t="s">
        <v>268</v>
      </c>
      <c r="AO6" s="294"/>
      <c r="AP6" s="247" t="s">
        <v>2325</v>
      </c>
      <c r="AQ6" s="248"/>
      <c r="AR6" s="248"/>
      <c r="AS6" s="249"/>
      <c r="AT6" s="1244" t="s">
        <v>2326</v>
      </c>
      <c r="AU6" s="1244"/>
      <c r="AV6" s="1244"/>
      <c r="AW6" s="1244"/>
      <c r="AX6" s="1245"/>
      <c r="AY6" s="245"/>
    </row>
    <row r="7" spans="1:1027" s="243" customFormat="1" ht="25.5" customHeight="1">
      <c r="A7" s="1217" t="s">
        <v>1002</v>
      </c>
      <c r="B7" s="1218" t="s">
        <v>640</v>
      </c>
      <c r="C7" s="1219" t="s">
        <v>1001</v>
      </c>
      <c r="D7" s="1220"/>
      <c r="E7" s="1221"/>
      <c r="F7" s="1217" t="s">
        <v>1000</v>
      </c>
      <c r="G7" s="1219" t="s">
        <v>999</v>
      </c>
      <c r="H7" s="1220"/>
      <c r="I7" s="1221"/>
      <c r="J7" s="1217" t="s">
        <v>145</v>
      </c>
      <c r="K7" s="1217"/>
      <c r="L7" s="1217"/>
      <c r="M7" s="1225" t="s">
        <v>144</v>
      </c>
      <c r="N7" s="1226"/>
      <c r="O7" s="1226"/>
      <c r="P7" s="1226"/>
      <c r="Q7" s="1227" t="s">
        <v>637</v>
      </c>
      <c r="R7" s="1228"/>
      <c r="S7" s="1228"/>
      <c r="T7" s="1228"/>
      <c r="U7" s="1228"/>
      <c r="V7" s="1229"/>
      <c r="W7" s="250"/>
      <c r="X7" s="1217" t="s">
        <v>2351</v>
      </c>
      <c r="Y7" s="1217"/>
      <c r="Z7" s="1217"/>
      <c r="AA7" s="1284" t="s">
        <v>4175</v>
      </c>
      <c r="AB7" s="1221" t="s">
        <v>998</v>
      </c>
      <c r="AC7" s="1284" t="s">
        <v>641</v>
      </c>
      <c r="AD7" s="1286" t="s">
        <v>546</v>
      </c>
      <c r="AE7" s="1286" t="s">
        <v>638</v>
      </c>
      <c r="AF7" s="251"/>
      <c r="AG7" s="252"/>
      <c r="AH7" s="253"/>
      <c r="AI7" s="1288" t="s">
        <v>639</v>
      </c>
      <c r="AJ7" s="1288"/>
      <c r="AK7" s="1288"/>
      <c r="AL7" s="1288"/>
      <c r="AM7" s="1288"/>
      <c r="AN7" s="1288" t="s">
        <v>2327</v>
      </c>
      <c r="AO7" s="1431" t="s">
        <v>2328</v>
      </c>
      <c r="AP7" s="1432" t="s">
        <v>2353</v>
      </c>
      <c r="AQ7" s="1431" t="s">
        <v>2330</v>
      </c>
      <c r="AR7" s="1432" t="s">
        <v>2354</v>
      </c>
      <c r="AS7" s="1432" t="s">
        <v>2332</v>
      </c>
      <c r="AT7" s="1432" t="s">
        <v>2333</v>
      </c>
      <c r="AU7" s="1432" t="s">
        <v>2334</v>
      </c>
      <c r="AV7" s="1432" t="s">
        <v>2335</v>
      </c>
      <c r="AW7" s="1432" t="s">
        <v>2336</v>
      </c>
      <c r="AX7" s="1432" t="s">
        <v>2337</v>
      </c>
      <c r="AY7" s="245"/>
    </row>
    <row r="8" spans="1:1027" ht="14.25" customHeight="1">
      <c r="A8" s="1217"/>
      <c r="B8" s="1218"/>
      <c r="C8" s="1222"/>
      <c r="D8" s="1223"/>
      <c r="E8" s="1224"/>
      <c r="F8" s="1217"/>
      <c r="G8" s="1222"/>
      <c r="H8" s="1223"/>
      <c r="I8" s="1224"/>
      <c r="J8" s="1217"/>
      <c r="K8" s="1217"/>
      <c r="L8" s="1217"/>
      <c r="M8" s="254" t="s">
        <v>146</v>
      </c>
      <c r="N8" s="254" t="s">
        <v>997</v>
      </c>
      <c r="O8" s="254" t="s">
        <v>65</v>
      </c>
      <c r="P8" s="254" t="s">
        <v>996</v>
      </c>
      <c r="Q8" s="781" t="s">
        <v>147</v>
      </c>
      <c r="R8" s="781" t="s">
        <v>148</v>
      </c>
      <c r="S8" s="255"/>
      <c r="T8" s="255" t="s">
        <v>239</v>
      </c>
      <c r="U8" s="255" t="s">
        <v>242</v>
      </c>
      <c r="V8" s="781" t="s">
        <v>149</v>
      </c>
      <c r="W8" s="256"/>
      <c r="X8" s="1217"/>
      <c r="Y8" s="1217"/>
      <c r="Z8" s="1217"/>
      <c r="AA8" s="1285"/>
      <c r="AB8" s="1224"/>
      <c r="AC8" s="1285"/>
      <c r="AD8" s="1287"/>
      <c r="AE8" s="1287"/>
      <c r="AF8" s="256"/>
      <c r="AG8" s="257" t="s">
        <v>642</v>
      </c>
      <c r="AH8" s="257" t="s">
        <v>264</v>
      </c>
      <c r="AI8" s="781" t="s">
        <v>147</v>
      </c>
      <c r="AJ8" s="258" t="s">
        <v>265</v>
      </c>
      <c r="AK8" s="781" t="s">
        <v>148</v>
      </c>
      <c r="AL8" s="255" t="s">
        <v>150</v>
      </c>
      <c r="AM8" s="781" t="s">
        <v>150</v>
      </c>
      <c r="AN8" s="1288"/>
      <c r="AO8" s="1431"/>
      <c r="AP8" s="1432"/>
      <c r="AQ8" s="1432"/>
      <c r="AR8" s="1432"/>
      <c r="AS8" s="1432"/>
      <c r="AT8" s="1432"/>
      <c r="AU8" s="1432"/>
      <c r="AV8" s="1432"/>
      <c r="AW8" s="1432"/>
      <c r="AX8" s="1432"/>
      <c r="AY8" s="245"/>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103.5" customHeight="1">
      <c r="A9" s="1320" t="s">
        <v>73</v>
      </c>
      <c r="B9" s="1404" t="s">
        <v>2005</v>
      </c>
      <c r="C9" s="1367" t="s">
        <v>1571</v>
      </c>
      <c r="D9" s="1367"/>
      <c r="E9" s="1367"/>
      <c r="F9" s="1356" t="s">
        <v>353</v>
      </c>
      <c r="G9" s="1382" t="s">
        <v>1572</v>
      </c>
      <c r="H9" s="1382"/>
      <c r="I9" s="1382"/>
      <c r="J9" s="1320" t="s">
        <v>1573</v>
      </c>
      <c r="K9" s="1320"/>
      <c r="L9" s="1320"/>
      <c r="M9" s="1320"/>
      <c r="N9" s="1320"/>
      <c r="O9" s="1320" t="s">
        <v>8</v>
      </c>
      <c r="P9" s="1320" t="s">
        <v>8</v>
      </c>
      <c r="Q9" s="1404" t="s">
        <v>648</v>
      </c>
      <c r="R9" s="1404" t="s">
        <v>274</v>
      </c>
      <c r="S9" s="324"/>
      <c r="T9" s="821">
        <f>VLOOKUP(Q9,[96]Listas!$D$6:$E$10,2,0)</f>
        <v>4</v>
      </c>
      <c r="U9" s="821">
        <f>HLOOKUP(R9,[96]Listas!$F$4:$J$5,2,0)</f>
        <v>3</v>
      </c>
      <c r="V9" s="1902" t="str">
        <f>INDEX([96]Listas!$F$6:$J$10,MATCH(Q9,[96]Listas!$D$6:$D$10,0),MATCH(R9,[96]Listas!$F$4:$J$4,0))</f>
        <v>12
ALTO</v>
      </c>
      <c r="W9" s="324"/>
      <c r="X9" s="1545" t="s">
        <v>1574</v>
      </c>
      <c r="Y9" s="1545"/>
      <c r="Z9" s="1545"/>
      <c r="AA9" s="1296" t="s">
        <v>4228</v>
      </c>
      <c r="AB9" s="1356" t="s">
        <v>1575</v>
      </c>
      <c r="AC9" s="791" t="s">
        <v>211</v>
      </c>
      <c r="AD9" s="1320">
        <v>67</v>
      </c>
      <c r="AE9" s="1356" t="s">
        <v>152</v>
      </c>
      <c r="AF9" s="324"/>
      <c r="AG9" s="821">
        <f>IF(AD9&lt;=33,0,IF(AD9&gt;81,2,1))</f>
        <v>1</v>
      </c>
      <c r="AH9" s="824">
        <f>IF(OR(AE9="Probabilidad",AE9="Ambos"),T9-AG9,T9)</f>
        <v>3</v>
      </c>
      <c r="AI9" s="2293" t="str">
        <f>IF(AH9&lt;=1,"Remota",VLOOKUP(AH9,[96]Listas!$C$6:$D$10,2,0))</f>
        <v>Posible</v>
      </c>
      <c r="AJ9" s="824">
        <f t="shared" ref="AJ9:AJ15" si="0">IF(OR(AE9="Impacto",AE9="Ambos"),U9-AG9,U9)</f>
        <v>2</v>
      </c>
      <c r="AK9" s="2293" t="str">
        <f>IF(AJ9&lt;=1,"Insignificante",HLOOKUP(AJ9,[96]Listas!$F$3:$J$4,2,0))</f>
        <v>Menor</v>
      </c>
      <c r="AL9" s="823">
        <f t="shared" ref="AL9:AL15" si="1">AH9*AJ9</f>
        <v>6</v>
      </c>
      <c r="AM9" s="1902" t="str">
        <f>INDEX([96]Listas!$F$6:$J$10,MATCH(AI9,[96]Listas!$D$6:$D$10,0),MATCH(AK9,[96]Listas!$F$4:$J$4,0))</f>
        <v>6
MODERADO</v>
      </c>
      <c r="AN9" s="1325" t="s">
        <v>3120</v>
      </c>
      <c r="AO9" s="1325" t="s">
        <v>3121</v>
      </c>
      <c r="AP9" s="2499">
        <v>0.97</v>
      </c>
      <c r="AQ9" s="1886" t="s">
        <v>4097</v>
      </c>
      <c r="AR9" s="1886" t="s">
        <v>3495</v>
      </c>
      <c r="AS9" s="1886" t="s">
        <v>36</v>
      </c>
      <c r="AT9" s="1325"/>
      <c r="AU9" s="1325"/>
      <c r="AV9" s="1325"/>
      <c r="AW9" s="1325"/>
      <c r="AX9" s="1325"/>
      <c r="AY9" s="262"/>
    </row>
    <row r="10" spans="1:1027" s="260" customFormat="1" ht="103.5" customHeight="1">
      <c r="A10" s="1320"/>
      <c r="B10" s="1404"/>
      <c r="C10" s="1367"/>
      <c r="D10" s="1367"/>
      <c r="E10" s="1367"/>
      <c r="F10" s="1356"/>
      <c r="G10" s="1382" t="s">
        <v>1576</v>
      </c>
      <c r="H10" s="1382"/>
      <c r="I10" s="1382"/>
      <c r="J10" s="1320"/>
      <c r="K10" s="1320"/>
      <c r="L10" s="1320"/>
      <c r="M10" s="1320"/>
      <c r="N10" s="1320"/>
      <c r="O10" s="1320"/>
      <c r="P10" s="1320"/>
      <c r="Q10" s="1404"/>
      <c r="R10" s="1404"/>
      <c r="S10" s="324"/>
      <c r="T10" s="821" t="e">
        <f>VLOOKUP(Q10,[96]Listas!$D$6:$E$10,2,0)</f>
        <v>#N/A</v>
      </c>
      <c r="U10" s="821" t="e">
        <f>HLOOKUP(R10,[96]Listas!$F$4:$J$5,2,0)</f>
        <v>#N/A</v>
      </c>
      <c r="V10" s="1902"/>
      <c r="W10" s="324"/>
      <c r="X10" s="1545" t="s">
        <v>1577</v>
      </c>
      <c r="Y10" s="1545"/>
      <c r="Z10" s="1545"/>
      <c r="AA10" s="1297"/>
      <c r="AB10" s="1356"/>
      <c r="AC10" s="791" t="s">
        <v>1578</v>
      </c>
      <c r="AD10" s="1320"/>
      <c r="AE10" s="1356"/>
      <c r="AF10" s="324"/>
      <c r="AG10" s="821">
        <f t="shared" ref="AG10:AG63" si="2">IF(AD10&lt;=33,0,IF(AD10&gt;81,2,1))</f>
        <v>0</v>
      </c>
      <c r="AH10" s="824" t="e">
        <f t="shared" ref="AH10:AH63" si="3">IF(OR(AE10="Probabilidad",AE10="Ambos"),T10-AG10,T10)</f>
        <v>#N/A</v>
      </c>
      <c r="AI10" s="2293"/>
      <c r="AJ10" s="824" t="e">
        <f t="shared" si="0"/>
        <v>#N/A</v>
      </c>
      <c r="AK10" s="2293"/>
      <c r="AL10" s="823" t="e">
        <f t="shared" si="1"/>
        <v>#N/A</v>
      </c>
      <c r="AM10" s="1902"/>
      <c r="AN10" s="1326"/>
      <c r="AO10" s="1326"/>
      <c r="AP10" s="2500"/>
      <c r="AQ10" s="1887"/>
      <c r="AR10" s="1887" t="s">
        <v>2343</v>
      </c>
      <c r="AS10" s="1887"/>
      <c r="AT10" s="1326"/>
      <c r="AU10" s="1326"/>
      <c r="AV10" s="1326"/>
      <c r="AW10" s="1326"/>
      <c r="AX10" s="1326"/>
      <c r="AY10" s="262"/>
    </row>
    <row r="11" spans="1:1027" s="260" customFormat="1" ht="103.5" customHeight="1">
      <c r="A11" s="1320"/>
      <c r="B11" s="1404"/>
      <c r="C11" s="1367"/>
      <c r="D11" s="1367"/>
      <c r="E11" s="1367"/>
      <c r="F11" s="1356"/>
      <c r="G11" s="1382" t="s">
        <v>1579</v>
      </c>
      <c r="H11" s="1382"/>
      <c r="I11" s="1382"/>
      <c r="J11" s="1320"/>
      <c r="K11" s="1320"/>
      <c r="L11" s="1320"/>
      <c r="M11" s="1320"/>
      <c r="N11" s="1320"/>
      <c r="O11" s="1320"/>
      <c r="P11" s="1320"/>
      <c r="Q11" s="1404"/>
      <c r="R11" s="1404"/>
      <c r="S11" s="324"/>
      <c r="T11" s="821" t="e">
        <f>VLOOKUP(Q11,[96]Listas!$D$6:$E$10,2,0)</f>
        <v>#N/A</v>
      </c>
      <c r="U11" s="821" t="e">
        <f>HLOOKUP(R11,[96]Listas!$F$4:$J$5,2,0)</f>
        <v>#N/A</v>
      </c>
      <c r="V11" s="1902"/>
      <c r="W11" s="324"/>
      <c r="X11" s="1545" t="s">
        <v>1580</v>
      </c>
      <c r="Y11" s="1545"/>
      <c r="Z11" s="1545"/>
      <c r="AA11" s="1297"/>
      <c r="AB11" s="1356"/>
      <c r="AC11" s="791" t="s">
        <v>1581</v>
      </c>
      <c r="AD11" s="1320"/>
      <c r="AE11" s="1356"/>
      <c r="AF11" s="324"/>
      <c r="AG11" s="821">
        <f t="shared" si="2"/>
        <v>0</v>
      </c>
      <c r="AH11" s="824" t="e">
        <f t="shared" si="3"/>
        <v>#N/A</v>
      </c>
      <c r="AI11" s="2293"/>
      <c r="AJ11" s="824" t="e">
        <f t="shared" si="0"/>
        <v>#N/A</v>
      </c>
      <c r="AK11" s="2293"/>
      <c r="AL11" s="823" t="e">
        <f t="shared" si="1"/>
        <v>#N/A</v>
      </c>
      <c r="AM11" s="1902"/>
      <c r="AN11" s="1326"/>
      <c r="AO11" s="1326"/>
      <c r="AP11" s="2500"/>
      <c r="AQ11" s="1887"/>
      <c r="AR11" s="1887" t="s">
        <v>2343</v>
      </c>
      <c r="AS11" s="1887"/>
      <c r="AT11" s="1326"/>
      <c r="AU11" s="1326"/>
      <c r="AV11" s="1326"/>
      <c r="AW11" s="1326"/>
      <c r="AX11" s="1326"/>
      <c r="AY11" s="262"/>
    </row>
    <row r="12" spans="1:1027" s="260" customFormat="1" ht="103.5" customHeight="1">
      <c r="A12" s="1320"/>
      <c r="B12" s="1404"/>
      <c r="C12" s="1367"/>
      <c r="D12" s="1367"/>
      <c r="E12" s="1367"/>
      <c r="F12" s="1356"/>
      <c r="G12" s="1382" t="s">
        <v>212</v>
      </c>
      <c r="H12" s="1382"/>
      <c r="I12" s="1382"/>
      <c r="J12" s="1320"/>
      <c r="K12" s="1320"/>
      <c r="L12" s="1320"/>
      <c r="M12" s="1320"/>
      <c r="N12" s="1320"/>
      <c r="O12" s="1320"/>
      <c r="P12" s="1320"/>
      <c r="Q12" s="1404"/>
      <c r="R12" s="1404"/>
      <c r="S12" s="324"/>
      <c r="T12" s="821" t="e">
        <f>VLOOKUP(Q12,[96]Listas!$D$6:$E$10,2,0)</f>
        <v>#N/A</v>
      </c>
      <c r="U12" s="821" t="e">
        <f>HLOOKUP(R12,[96]Listas!$F$4:$J$5,2,0)</f>
        <v>#N/A</v>
      </c>
      <c r="V12" s="1902"/>
      <c r="W12" s="324"/>
      <c r="X12" s="1545" t="s">
        <v>1582</v>
      </c>
      <c r="Y12" s="1545"/>
      <c r="Z12" s="1545"/>
      <c r="AA12" s="1297"/>
      <c r="AB12" s="1356"/>
      <c r="AC12" s="791" t="s">
        <v>1583</v>
      </c>
      <c r="AD12" s="1320"/>
      <c r="AE12" s="1356"/>
      <c r="AF12" s="324"/>
      <c r="AG12" s="821">
        <f t="shared" si="2"/>
        <v>0</v>
      </c>
      <c r="AH12" s="824" t="e">
        <f t="shared" si="3"/>
        <v>#N/A</v>
      </c>
      <c r="AI12" s="2293"/>
      <c r="AJ12" s="824" t="e">
        <f t="shared" si="0"/>
        <v>#N/A</v>
      </c>
      <c r="AK12" s="2293"/>
      <c r="AL12" s="823" t="e">
        <f t="shared" si="1"/>
        <v>#N/A</v>
      </c>
      <c r="AM12" s="1902"/>
      <c r="AN12" s="1326"/>
      <c r="AO12" s="1326"/>
      <c r="AP12" s="2500"/>
      <c r="AQ12" s="1887"/>
      <c r="AR12" s="1887" t="s">
        <v>2343</v>
      </c>
      <c r="AS12" s="1887"/>
      <c r="AT12" s="1326"/>
      <c r="AU12" s="1326"/>
      <c r="AV12" s="1326"/>
      <c r="AW12" s="1326"/>
      <c r="AX12" s="1326"/>
      <c r="AY12" s="262"/>
    </row>
    <row r="13" spans="1:1027" s="260" customFormat="1" ht="103.5" customHeight="1">
      <c r="A13" s="1320"/>
      <c r="B13" s="1404"/>
      <c r="C13" s="1367"/>
      <c r="D13" s="1367"/>
      <c r="E13" s="1367"/>
      <c r="F13" s="1356"/>
      <c r="G13" s="1382" t="s">
        <v>1584</v>
      </c>
      <c r="H13" s="1382"/>
      <c r="I13" s="1382"/>
      <c r="J13" s="1320"/>
      <c r="K13" s="1320"/>
      <c r="L13" s="1320"/>
      <c r="M13" s="1320"/>
      <c r="N13" s="1320"/>
      <c r="O13" s="1320"/>
      <c r="P13" s="1320"/>
      <c r="Q13" s="1404"/>
      <c r="R13" s="1404"/>
      <c r="S13" s="324"/>
      <c r="T13" s="821" t="e">
        <f>VLOOKUP(Q13,[96]Listas!$D$6:$E$10,2,0)</f>
        <v>#N/A</v>
      </c>
      <c r="U13" s="821" t="e">
        <f>HLOOKUP(R13,[96]Listas!$F$4:$J$5,2,0)</f>
        <v>#N/A</v>
      </c>
      <c r="V13" s="1902"/>
      <c r="W13" s="324"/>
      <c r="X13" s="1545" t="s">
        <v>1585</v>
      </c>
      <c r="Y13" s="1545"/>
      <c r="Z13" s="1545"/>
      <c r="AA13" s="1297"/>
      <c r="AB13" s="1356"/>
      <c r="AC13" s="791" t="s">
        <v>1586</v>
      </c>
      <c r="AD13" s="1320"/>
      <c r="AE13" s="1356"/>
      <c r="AF13" s="324"/>
      <c r="AG13" s="821">
        <f t="shared" si="2"/>
        <v>0</v>
      </c>
      <c r="AH13" s="824" t="e">
        <f t="shared" si="3"/>
        <v>#N/A</v>
      </c>
      <c r="AI13" s="2293"/>
      <c r="AJ13" s="824" t="e">
        <f t="shared" si="0"/>
        <v>#N/A</v>
      </c>
      <c r="AK13" s="2293"/>
      <c r="AL13" s="823" t="e">
        <f t="shared" si="1"/>
        <v>#N/A</v>
      </c>
      <c r="AM13" s="1902"/>
      <c r="AN13" s="1326"/>
      <c r="AO13" s="1326"/>
      <c r="AP13" s="2500"/>
      <c r="AQ13" s="1887"/>
      <c r="AR13" s="1887" t="s">
        <v>2343</v>
      </c>
      <c r="AS13" s="1887"/>
      <c r="AT13" s="1326"/>
      <c r="AU13" s="1326"/>
      <c r="AV13" s="1326"/>
      <c r="AW13" s="1326"/>
      <c r="AX13" s="1326"/>
      <c r="AY13" s="262"/>
    </row>
    <row r="14" spans="1:1027" s="260" customFormat="1" ht="103.5" customHeight="1">
      <c r="A14" s="1320"/>
      <c r="B14" s="1404"/>
      <c r="C14" s="1367"/>
      <c r="D14" s="1367"/>
      <c r="E14" s="1367"/>
      <c r="F14" s="1356"/>
      <c r="G14" s="1382" t="s">
        <v>74</v>
      </c>
      <c r="H14" s="1382"/>
      <c r="I14" s="1382"/>
      <c r="J14" s="1320"/>
      <c r="K14" s="1320"/>
      <c r="L14" s="1320"/>
      <c r="M14" s="1320"/>
      <c r="N14" s="1320"/>
      <c r="O14" s="1320"/>
      <c r="P14" s="1320"/>
      <c r="Q14" s="1404"/>
      <c r="R14" s="1404"/>
      <c r="S14" s="324"/>
      <c r="T14" s="821" t="e">
        <f>VLOOKUP(Q14,[96]Listas!$D$6:$E$10,2,0)</f>
        <v>#N/A</v>
      </c>
      <c r="U14" s="821" t="e">
        <f>HLOOKUP(R14,[96]Listas!$F$4:$J$5,2,0)</f>
        <v>#N/A</v>
      </c>
      <c r="V14" s="1902"/>
      <c r="W14" s="324"/>
      <c r="X14" s="1545" t="s">
        <v>1587</v>
      </c>
      <c r="Y14" s="1545"/>
      <c r="Z14" s="1545"/>
      <c r="AA14" s="1328"/>
      <c r="AB14" s="1356"/>
      <c r="AC14" s="820" t="s">
        <v>1588</v>
      </c>
      <c r="AD14" s="1320"/>
      <c r="AE14" s="1356"/>
      <c r="AF14" s="324"/>
      <c r="AG14" s="821">
        <f t="shared" si="2"/>
        <v>0</v>
      </c>
      <c r="AH14" s="824" t="e">
        <f t="shared" si="3"/>
        <v>#N/A</v>
      </c>
      <c r="AI14" s="2293"/>
      <c r="AJ14" s="824" t="e">
        <f t="shared" si="0"/>
        <v>#N/A</v>
      </c>
      <c r="AK14" s="2293"/>
      <c r="AL14" s="823" t="e">
        <f t="shared" si="1"/>
        <v>#N/A</v>
      </c>
      <c r="AM14" s="1902"/>
      <c r="AN14" s="1327"/>
      <c r="AO14" s="1327"/>
      <c r="AP14" s="2501"/>
      <c r="AQ14" s="1888"/>
      <c r="AR14" s="1888" t="s">
        <v>2343</v>
      </c>
      <c r="AS14" s="1888"/>
      <c r="AT14" s="1327"/>
      <c r="AU14" s="1327"/>
      <c r="AV14" s="1327"/>
      <c r="AW14" s="1327"/>
      <c r="AX14" s="1327"/>
      <c r="AY14" s="262"/>
    </row>
    <row r="15" spans="1:1027" s="260" customFormat="1" ht="103.5" customHeight="1">
      <c r="A15" s="1320" t="s">
        <v>73</v>
      </c>
      <c r="B15" s="1903" t="s">
        <v>2006</v>
      </c>
      <c r="C15" s="1367" t="s">
        <v>214</v>
      </c>
      <c r="D15" s="1367"/>
      <c r="E15" s="1367"/>
      <c r="F15" s="1356" t="s">
        <v>353</v>
      </c>
      <c r="G15" s="1382" t="s">
        <v>1589</v>
      </c>
      <c r="H15" s="1382"/>
      <c r="I15" s="1382"/>
      <c r="J15" s="1320" t="s">
        <v>1590</v>
      </c>
      <c r="K15" s="1320"/>
      <c r="L15" s="1320"/>
      <c r="M15" s="1320"/>
      <c r="N15" s="1320"/>
      <c r="O15" s="1320" t="s">
        <v>8</v>
      </c>
      <c r="P15" s="1320" t="s">
        <v>8</v>
      </c>
      <c r="Q15" s="1404" t="s">
        <v>648</v>
      </c>
      <c r="R15" s="1404" t="s">
        <v>274</v>
      </c>
      <c r="S15" s="324"/>
      <c r="T15" s="821">
        <f>VLOOKUP(Q15,[96]Listas!$D$6:$E$10,2,0)</f>
        <v>4</v>
      </c>
      <c r="U15" s="821">
        <f>HLOOKUP(R15,[96]Listas!$F$4:$J$5,2,0)</f>
        <v>3</v>
      </c>
      <c r="V15" s="1902" t="str">
        <f>INDEX([96]Listas!$F$6:$J$10,MATCH(Q15,[96]Listas!$D$6:$D$10,0),MATCH(R15,[96]Listas!$F$4:$J$4,0))</f>
        <v>12
ALTO</v>
      </c>
      <c r="W15" s="324"/>
      <c r="X15" s="1545" t="s">
        <v>776</v>
      </c>
      <c r="Y15" s="1545"/>
      <c r="Z15" s="1545"/>
      <c r="AA15" s="1296" t="s">
        <v>4249</v>
      </c>
      <c r="AB15" s="1356" t="s">
        <v>1591</v>
      </c>
      <c r="AC15" s="791" t="s">
        <v>469</v>
      </c>
      <c r="AD15" s="1320">
        <v>75</v>
      </c>
      <c r="AE15" s="1356" t="s">
        <v>152</v>
      </c>
      <c r="AF15" s="324"/>
      <c r="AG15" s="821">
        <f t="shared" si="2"/>
        <v>1</v>
      </c>
      <c r="AH15" s="824">
        <f t="shared" si="3"/>
        <v>3</v>
      </c>
      <c r="AI15" s="2293" t="str">
        <f>IF(AH15&lt;=1,"Remota",VLOOKUP(AH15,[96]Listas!$C$6:$D$10,2,0))</f>
        <v>Posible</v>
      </c>
      <c r="AJ15" s="824">
        <f t="shared" si="0"/>
        <v>2</v>
      </c>
      <c r="AK15" s="2293" t="str">
        <f>IF(AJ15&lt;=1,"Insignificante",HLOOKUP(AJ15,[96]Listas!$F$3:$J$4,2,0))</f>
        <v>Menor</v>
      </c>
      <c r="AL15" s="823">
        <f t="shared" si="1"/>
        <v>6</v>
      </c>
      <c r="AM15" s="2293" t="str">
        <f>INDEX([96]Listas!$F$6:$J$10,MATCH(AI15,[96]Listas!$D$6:$D$10,0),MATCH(AK15,[96]Listas!$F$4:$J$4,0))</f>
        <v>6
MODERADO</v>
      </c>
      <c r="AN15" s="1325" t="s">
        <v>3122</v>
      </c>
      <c r="AO15" s="1325" t="s">
        <v>3123</v>
      </c>
      <c r="AP15" s="1886">
        <v>0</v>
      </c>
      <c r="AQ15" s="1886" t="s">
        <v>3577</v>
      </c>
      <c r="AR15" s="1886" t="s">
        <v>3495</v>
      </c>
      <c r="AS15" s="1886" t="s">
        <v>36</v>
      </c>
      <c r="AT15" s="1325"/>
      <c r="AU15" s="1325"/>
      <c r="AV15" s="1325"/>
      <c r="AW15" s="1325"/>
      <c r="AX15" s="1325"/>
      <c r="AY15" s="262"/>
    </row>
    <row r="16" spans="1:1027" s="260" customFormat="1" ht="103.5" customHeight="1">
      <c r="A16" s="1320"/>
      <c r="B16" s="1903"/>
      <c r="C16" s="1367"/>
      <c r="D16" s="1367"/>
      <c r="E16" s="1367"/>
      <c r="F16" s="1356"/>
      <c r="G16" s="1382" t="s">
        <v>1592</v>
      </c>
      <c r="H16" s="1382"/>
      <c r="I16" s="1382"/>
      <c r="J16" s="1320"/>
      <c r="K16" s="1320"/>
      <c r="L16" s="1320"/>
      <c r="M16" s="1320"/>
      <c r="N16" s="1320"/>
      <c r="O16" s="1320"/>
      <c r="P16" s="1320"/>
      <c r="Q16" s="1404"/>
      <c r="R16" s="1404"/>
      <c r="S16" s="324"/>
      <c r="T16" s="821" t="e">
        <f>VLOOKUP(Q16,[96]Listas!$D$6:$E$10,2,0)</f>
        <v>#N/A</v>
      </c>
      <c r="U16" s="821" t="e">
        <f>HLOOKUP(R16,[96]Listas!$F$4:$J$5,2,0)</f>
        <v>#N/A</v>
      </c>
      <c r="V16" s="1902"/>
      <c r="W16" s="324"/>
      <c r="X16" s="1545" t="s">
        <v>1593</v>
      </c>
      <c r="Y16" s="1545"/>
      <c r="Z16" s="1545"/>
      <c r="AA16" s="1297"/>
      <c r="AB16" s="1356"/>
      <c r="AC16" s="809" t="s">
        <v>1594</v>
      </c>
      <c r="AD16" s="1320"/>
      <c r="AE16" s="1356"/>
      <c r="AF16" s="324"/>
      <c r="AG16" s="821">
        <f t="shared" si="2"/>
        <v>0</v>
      </c>
      <c r="AH16" s="824" t="e">
        <f t="shared" si="3"/>
        <v>#N/A</v>
      </c>
      <c r="AI16" s="2293"/>
      <c r="AJ16" s="824"/>
      <c r="AK16" s="2293"/>
      <c r="AL16" s="823"/>
      <c r="AM16" s="2293"/>
      <c r="AN16" s="1326"/>
      <c r="AO16" s="1326"/>
      <c r="AP16" s="1887"/>
      <c r="AQ16" s="1887"/>
      <c r="AR16" s="1887" t="s">
        <v>2343</v>
      </c>
      <c r="AS16" s="1887"/>
      <c r="AT16" s="1326"/>
      <c r="AU16" s="1326"/>
      <c r="AV16" s="1326"/>
      <c r="AW16" s="1326"/>
      <c r="AX16" s="1326"/>
      <c r="AY16" s="262"/>
    </row>
    <row r="17" spans="1:51" s="260" customFormat="1" ht="103.5" customHeight="1">
      <c r="A17" s="1320"/>
      <c r="B17" s="1903"/>
      <c r="C17" s="1367"/>
      <c r="D17" s="1367"/>
      <c r="E17" s="1367"/>
      <c r="F17" s="1356"/>
      <c r="G17" s="1382" t="s">
        <v>1595</v>
      </c>
      <c r="H17" s="1382"/>
      <c r="I17" s="1382"/>
      <c r="J17" s="1320"/>
      <c r="K17" s="1320"/>
      <c r="L17" s="1320"/>
      <c r="M17" s="1320"/>
      <c r="N17" s="1320"/>
      <c r="O17" s="1320"/>
      <c r="P17" s="1320"/>
      <c r="Q17" s="1404"/>
      <c r="R17" s="1404"/>
      <c r="S17" s="324"/>
      <c r="T17" s="821" t="e">
        <f>VLOOKUP(Q17,[96]Listas!$D$6:$E$10,2,0)</f>
        <v>#N/A</v>
      </c>
      <c r="U17" s="821" t="e">
        <f>HLOOKUP(R17,[96]Listas!$F$4:$J$5,2,0)</f>
        <v>#N/A</v>
      </c>
      <c r="V17" s="1902"/>
      <c r="W17" s="324"/>
      <c r="X17" s="1545" t="s">
        <v>213</v>
      </c>
      <c r="Y17" s="1545"/>
      <c r="Z17" s="1545"/>
      <c r="AA17" s="1297"/>
      <c r="AB17" s="1356"/>
      <c r="AC17" s="809" t="s">
        <v>1596</v>
      </c>
      <c r="AD17" s="1320"/>
      <c r="AE17" s="1356"/>
      <c r="AF17" s="324"/>
      <c r="AG17" s="821">
        <f t="shared" si="2"/>
        <v>0</v>
      </c>
      <c r="AH17" s="824" t="e">
        <f t="shared" si="3"/>
        <v>#N/A</v>
      </c>
      <c r="AI17" s="2293"/>
      <c r="AJ17" s="824"/>
      <c r="AK17" s="2293"/>
      <c r="AL17" s="823"/>
      <c r="AM17" s="2293"/>
      <c r="AN17" s="1326"/>
      <c r="AO17" s="1326"/>
      <c r="AP17" s="1887"/>
      <c r="AQ17" s="1887"/>
      <c r="AR17" s="1887" t="s">
        <v>2343</v>
      </c>
      <c r="AS17" s="1887"/>
      <c r="AT17" s="1326"/>
      <c r="AU17" s="1326"/>
      <c r="AV17" s="1326"/>
      <c r="AW17" s="1326"/>
      <c r="AX17" s="1326"/>
      <c r="AY17" s="262"/>
    </row>
    <row r="18" spans="1:51" s="260" customFormat="1" ht="103.5" customHeight="1">
      <c r="A18" s="1320"/>
      <c r="B18" s="1903"/>
      <c r="C18" s="1367"/>
      <c r="D18" s="1367"/>
      <c r="E18" s="1367"/>
      <c r="F18" s="1356"/>
      <c r="G18" s="1382" t="s">
        <v>75</v>
      </c>
      <c r="H18" s="1382"/>
      <c r="I18" s="1382"/>
      <c r="J18" s="1320"/>
      <c r="K18" s="1320"/>
      <c r="L18" s="1320"/>
      <c r="M18" s="1320"/>
      <c r="N18" s="1320"/>
      <c r="O18" s="1320"/>
      <c r="P18" s="1320"/>
      <c r="Q18" s="1404"/>
      <c r="R18" s="1404"/>
      <c r="S18" s="324"/>
      <c r="T18" s="821" t="e">
        <f>VLOOKUP(Q18,[96]Listas!$D$6:$E$10,2,0)</f>
        <v>#N/A</v>
      </c>
      <c r="U18" s="821" t="e">
        <f>HLOOKUP(R18,[96]Listas!$F$4:$J$5,2,0)</f>
        <v>#N/A</v>
      </c>
      <c r="V18" s="1902"/>
      <c r="W18" s="324"/>
      <c r="X18" s="1545" t="s">
        <v>777</v>
      </c>
      <c r="Y18" s="1545"/>
      <c r="Z18" s="1545"/>
      <c r="AA18" s="1297"/>
      <c r="AB18" s="1356"/>
      <c r="AC18" s="809" t="s">
        <v>470</v>
      </c>
      <c r="AD18" s="1320"/>
      <c r="AE18" s="1356"/>
      <c r="AF18" s="324"/>
      <c r="AG18" s="821">
        <f t="shared" si="2"/>
        <v>0</v>
      </c>
      <c r="AH18" s="824" t="e">
        <f t="shared" si="3"/>
        <v>#N/A</v>
      </c>
      <c r="AI18" s="2293"/>
      <c r="AJ18" s="824"/>
      <c r="AK18" s="2293"/>
      <c r="AL18" s="823"/>
      <c r="AM18" s="2293"/>
      <c r="AN18" s="1326"/>
      <c r="AO18" s="1326"/>
      <c r="AP18" s="1887"/>
      <c r="AQ18" s="1887"/>
      <c r="AR18" s="1887" t="s">
        <v>2343</v>
      </c>
      <c r="AS18" s="1887"/>
      <c r="AT18" s="1326"/>
      <c r="AU18" s="1326"/>
      <c r="AV18" s="1326"/>
      <c r="AW18" s="1326"/>
      <c r="AX18" s="1326"/>
      <c r="AY18" s="262"/>
    </row>
    <row r="19" spans="1:51" s="260" customFormat="1" ht="103.5" customHeight="1">
      <c r="A19" s="1320"/>
      <c r="B19" s="1903"/>
      <c r="C19" s="1367"/>
      <c r="D19" s="1367"/>
      <c r="E19" s="1367"/>
      <c r="F19" s="1356"/>
      <c r="G19" s="1382" t="s">
        <v>1597</v>
      </c>
      <c r="H19" s="1382"/>
      <c r="I19" s="1382"/>
      <c r="J19" s="1320"/>
      <c r="K19" s="1320"/>
      <c r="L19" s="1320"/>
      <c r="M19" s="1320"/>
      <c r="N19" s="1320"/>
      <c r="O19" s="1320"/>
      <c r="P19" s="1320"/>
      <c r="Q19" s="1404"/>
      <c r="R19" s="1404"/>
      <c r="S19" s="324"/>
      <c r="T19" s="821" t="e">
        <f>VLOOKUP(Q19,[96]Listas!$D$6:$E$10,2,0)</f>
        <v>#N/A</v>
      </c>
      <c r="U19" s="821" t="e">
        <f>HLOOKUP(R19,[96]Listas!$F$4:$J$5,2,0)</f>
        <v>#N/A</v>
      </c>
      <c r="V19" s="1902"/>
      <c r="W19" s="324"/>
      <c r="X19" s="1545" t="s">
        <v>1598</v>
      </c>
      <c r="Y19" s="1545"/>
      <c r="Z19" s="1545"/>
      <c r="AA19" s="1297"/>
      <c r="AB19" s="1356"/>
      <c r="AC19" s="809" t="s">
        <v>1599</v>
      </c>
      <c r="AD19" s="1320"/>
      <c r="AE19" s="1356"/>
      <c r="AF19" s="324"/>
      <c r="AG19" s="821">
        <f t="shared" si="2"/>
        <v>0</v>
      </c>
      <c r="AH19" s="824" t="e">
        <f t="shared" si="3"/>
        <v>#N/A</v>
      </c>
      <c r="AI19" s="2293"/>
      <c r="AJ19" s="824"/>
      <c r="AK19" s="2293"/>
      <c r="AL19" s="823"/>
      <c r="AM19" s="2293"/>
      <c r="AN19" s="1326"/>
      <c r="AO19" s="1326"/>
      <c r="AP19" s="1887"/>
      <c r="AQ19" s="1887"/>
      <c r="AR19" s="1887" t="s">
        <v>2343</v>
      </c>
      <c r="AS19" s="1887"/>
      <c r="AT19" s="1326"/>
      <c r="AU19" s="1326"/>
      <c r="AV19" s="1326"/>
      <c r="AW19" s="1326"/>
      <c r="AX19" s="1326"/>
      <c r="AY19" s="262"/>
    </row>
    <row r="20" spans="1:51" s="260" customFormat="1" ht="103.5" customHeight="1">
      <c r="A20" s="1320"/>
      <c r="B20" s="1903"/>
      <c r="C20" s="1367"/>
      <c r="D20" s="1367"/>
      <c r="E20" s="1367"/>
      <c r="F20" s="1356"/>
      <c r="G20" s="1382" t="s">
        <v>778</v>
      </c>
      <c r="H20" s="1382"/>
      <c r="I20" s="1382"/>
      <c r="J20" s="1320"/>
      <c r="K20" s="1320"/>
      <c r="L20" s="1320"/>
      <c r="M20" s="1320"/>
      <c r="N20" s="1320"/>
      <c r="O20" s="1320"/>
      <c r="P20" s="1320"/>
      <c r="Q20" s="1404"/>
      <c r="R20" s="1404"/>
      <c r="S20" s="324"/>
      <c r="T20" s="821" t="e">
        <f>VLOOKUP(Q20,[96]Listas!$D$6:$E$10,2,0)</f>
        <v>#N/A</v>
      </c>
      <c r="U20" s="821" t="e">
        <f>HLOOKUP(R20,[96]Listas!$F$4:$J$5,2,0)</f>
        <v>#N/A</v>
      </c>
      <c r="V20" s="1902"/>
      <c r="W20" s="324"/>
      <c r="X20" s="1545" t="s">
        <v>1600</v>
      </c>
      <c r="Y20" s="1545"/>
      <c r="Z20" s="1545"/>
      <c r="AA20" s="1297"/>
      <c r="AB20" s="1356"/>
      <c r="AC20" s="809" t="s">
        <v>1601</v>
      </c>
      <c r="AD20" s="1320"/>
      <c r="AE20" s="1356"/>
      <c r="AF20" s="324"/>
      <c r="AG20" s="821">
        <f t="shared" si="2"/>
        <v>0</v>
      </c>
      <c r="AH20" s="824" t="e">
        <f t="shared" si="3"/>
        <v>#N/A</v>
      </c>
      <c r="AI20" s="2293"/>
      <c r="AJ20" s="824"/>
      <c r="AK20" s="2293"/>
      <c r="AL20" s="823"/>
      <c r="AM20" s="2293"/>
      <c r="AN20" s="1326"/>
      <c r="AO20" s="1326"/>
      <c r="AP20" s="1887"/>
      <c r="AQ20" s="1887"/>
      <c r="AR20" s="1887" t="s">
        <v>2343</v>
      </c>
      <c r="AS20" s="1887"/>
      <c r="AT20" s="1326"/>
      <c r="AU20" s="1326"/>
      <c r="AV20" s="1326"/>
      <c r="AW20" s="1326"/>
      <c r="AX20" s="1326"/>
      <c r="AY20" s="262"/>
    </row>
    <row r="21" spans="1:51" s="260" customFormat="1" ht="103.5" customHeight="1">
      <c r="A21" s="1320"/>
      <c r="B21" s="1903"/>
      <c r="C21" s="1367"/>
      <c r="D21" s="1367"/>
      <c r="E21" s="1367"/>
      <c r="F21" s="1356"/>
      <c r="G21" s="1382" t="s">
        <v>1602</v>
      </c>
      <c r="H21" s="1382"/>
      <c r="I21" s="1382"/>
      <c r="J21" s="1320"/>
      <c r="K21" s="1320"/>
      <c r="L21" s="1320"/>
      <c r="M21" s="1320"/>
      <c r="N21" s="1320"/>
      <c r="O21" s="1320"/>
      <c r="P21" s="1320"/>
      <c r="Q21" s="1404"/>
      <c r="R21" s="1404"/>
      <c r="S21" s="324"/>
      <c r="T21" s="821" t="e">
        <f>VLOOKUP(Q21,[96]Listas!$D$6:$E$10,2,0)</f>
        <v>#N/A</v>
      </c>
      <c r="U21" s="821" t="e">
        <f>HLOOKUP(R21,[96]Listas!$F$4:$J$5,2,0)</f>
        <v>#N/A</v>
      </c>
      <c r="V21" s="1902"/>
      <c r="W21" s="324"/>
      <c r="X21" s="1545" t="s">
        <v>1603</v>
      </c>
      <c r="Y21" s="1545"/>
      <c r="Z21" s="1545"/>
      <c r="AA21" s="1328"/>
      <c r="AB21" s="1356"/>
      <c r="AC21" s="809" t="s">
        <v>1604</v>
      </c>
      <c r="AD21" s="1320"/>
      <c r="AE21" s="1356"/>
      <c r="AF21" s="324"/>
      <c r="AG21" s="821">
        <f t="shared" si="2"/>
        <v>0</v>
      </c>
      <c r="AH21" s="824" t="e">
        <f t="shared" si="3"/>
        <v>#N/A</v>
      </c>
      <c r="AI21" s="2293"/>
      <c r="AJ21" s="824"/>
      <c r="AK21" s="2293"/>
      <c r="AL21" s="823"/>
      <c r="AM21" s="2293"/>
      <c r="AN21" s="1327"/>
      <c r="AO21" s="1327"/>
      <c r="AP21" s="1888"/>
      <c r="AQ21" s="1888"/>
      <c r="AR21" s="1888" t="s">
        <v>2343</v>
      </c>
      <c r="AS21" s="1888"/>
      <c r="AT21" s="1327"/>
      <c r="AU21" s="1327"/>
      <c r="AV21" s="1327"/>
      <c r="AW21" s="1327"/>
      <c r="AX21" s="1327"/>
      <c r="AY21" s="262"/>
    </row>
    <row r="22" spans="1:51" s="260" customFormat="1" ht="103.5" customHeight="1">
      <c r="A22" s="1320" t="s">
        <v>73</v>
      </c>
      <c r="B22" s="1903" t="s">
        <v>2007</v>
      </c>
      <c r="C22" s="1367" t="s">
        <v>1605</v>
      </c>
      <c r="D22" s="1367"/>
      <c r="E22" s="1367"/>
      <c r="F22" s="1356" t="s">
        <v>353</v>
      </c>
      <c r="G22" s="1382" t="s">
        <v>1606</v>
      </c>
      <c r="H22" s="1382"/>
      <c r="I22" s="1382"/>
      <c r="J22" s="1320" t="s">
        <v>3124</v>
      </c>
      <c r="K22" s="1320"/>
      <c r="L22" s="1320"/>
      <c r="M22" s="1320"/>
      <c r="N22" s="1320"/>
      <c r="O22" s="2301"/>
      <c r="P22" s="1320"/>
      <c r="Q22" s="1404" t="s">
        <v>64</v>
      </c>
      <c r="R22" s="1404" t="s">
        <v>274</v>
      </c>
      <c r="S22" s="324"/>
      <c r="T22" s="821">
        <f>VLOOKUP(Q22,[96]Listas!$D$6:$E$10,2,0)</f>
        <v>3</v>
      </c>
      <c r="U22" s="821">
        <f>HLOOKUP(R22,[96]Listas!$F$4:$J$5,2,0)</f>
        <v>3</v>
      </c>
      <c r="V22" s="814" t="str">
        <f>INDEX([96]Listas!$F$6:$J$10,MATCH(Q22,[96]Listas!$D$6:$D$10,0),MATCH(R22,[96]Listas!$F$4:$J$4,0))</f>
        <v>9
MODERADO</v>
      </c>
      <c r="W22" s="324"/>
      <c r="X22" s="1545" t="s">
        <v>1607</v>
      </c>
      <c r="Y22" s="1545"/>
      <c r="Z22" s="1545"/>
      <c r="AA22" s="1296" t="s">
        <v>4250</v>
      </c>
      <c r="AB22" s="1356" t="s">
        <v>1608</v>
      </c>
      <c r="AC22" s="791" t="s">
        <v>1609</v>
      </c>
      <c r="AD22" s="1320">
        <v>67</v>
      </c>
      <c r="AE22" s="1356" t="s">
        <v>152</v>
      </c>
      <c r="AF22" s="324"/>
      <c r="AG22" s="821">
        <f t="shared" si="2"/>
        <v>1</v>
      </c>
      <c r="AH22" s="824">
        <f t="shared" si="3"/>
        <v>2</v>
      </c>
      <c r="AI22" s="2293" t="str">
        <f>IF(AH22&lt;=1,"Remota",VLOOKUP(AH22,[96]Listas!$C$6:$D$10,2,0))</f>
        <v>Baja</v>
      </c>
      <c r="AJ22" s="824">
        <f>IF(OR(AE22="Impacto",AE22="Ambos"),U22-AG22,U22)</f>
        <v>2</v>
      </c>
      <c r="AK22" s="2293" t="str">
        <f>IF(AJ22&lt;=1,"Insignificante",HLOOKUP(AJ22,[96]Listas!$F$3:$J$4,2,0))</f>
        <v>Menor</v>
      </c>
      <c r="AL22" s="823">
        <f>AH22*AJ22</f>
        <v>4</v>
      </c>
      <c r="AM22" s="2293" t="str">
        <f>INDEX([96]Listas!$F$6:$J$10,MATCH(AI22,[96]Listas!$D$6:$D$10,0),MATCH(AK22,[96]Listas!$F$4:$J$4,0))</f>
        <v>4
INFERIOR</v>
      </c>
      <c r="AN22" s="1325" t="s">
        <v>3125</v>
      </c>
      <c r="AO22" s="1325" t="s">
        <v>3126</v>
      </c>
      <c r="AP22" s="1886">
        <v>0</v>
      </c>
      <c r="AQ22" s="1886" t="s">
        <v>3578</v>
      </c>
      <c r="AR22" s="1886" t="s">
        <v>3495</v>
      </c>
      <c r="AS22" s="1886" t="s">
        <v>36</v>
      </c>
      <c r="AT22" s="1325"/>
      <c r="AU22" s="1325"/>
      <c r="AV22" s="1325"/>
      <c r="AW22" s="1325"/>
      <c r="AX22" s="1325"/>
      <c r="AY22" s="262"/>
    </row>
    <row r="23" spans="1:51" s="260" customFormat="1" ht="103.5" customHeight="1">
      <c r="A23" s="1320"/>
      <c r="B23" s="1903"/>
      <c r="C23" s="1367"/>
      <c r="D23" s="1367"/>
      <c r="E23" s="1367"/>
      <c r="F23" s="1356"/>
      <c r="G23" s="1382" t="s">
        <v>1610</v>
      </c>
      <c r="H23" s="1382"/>
      <c r="I23" s="1382"/>
      <c r="J23" s="1320"/>
      <c r="K23" s="1320"/>
      <c r="L23" s="1320"/>
      <c r="M23" s="1320"/>
      <c r="N23" s="1320"/>
      <c r="O23" s="1320"/>
      <c r="P23" s="1320"/>
      <c r="Q23" s="1404"/>
      <c r="R23" s="1404"/>
      <c r="S23" s="324"/>
      <c r="T23" s="821" t="e">
        <f>VLOOKUP(Q23,[96]Listas!$D$6:$E$10,2,0)</f>
        <v>#N/A</v>
      </c>
      <c r="U23" s="821" t="e">
        <f>HLOOKUP(R23,[96]Listas!$F$4:$J$5,2,0)</f>
        <v>#N/A</v>
      </c>
      <c r="V23" s="814"/>
      <c r="W23" s="324"/>
      <c r="X23" s="1545" t="s">
        <v>1611</v>
      </c>
      <c r="Y23" s="1545"/>
      <c r="Z23" s="1545"/>
      <c r="AA23" s="1297"/>
      <c r="AB23" s="1356"/>
      <c r="AC23" s="791" t="s">
        <v>1612</v>
      </c>
      <c r="AD23" s="1320"/>
      <c r="AE23" s="1356"/>
      <c r="AF23" s="324"/>
      <c r="AG23" s="821">
        <f t="shared" si="2"/>
        <v>0</v>
      </c>
      <c r="AH23" s="824" t="e">
        <f t="shared" si="3"/>
        <v>#N/A</v>
      </c>
      <c r="AI23" s="2293"/>
      <c r="AJ23" s="824"/>
      <c r="AK23" s="2293"/>
      <c r="AL23" s="823"/>
      <c r="AM23" s="2293"/>
      <c r="AN23" s="1326"/>
      <c r="AO23" s="1326"/>
      <c r="AP23" s="1887"/>
      <c r="AQ23" s="1887"/>
      <c r="AR23" s="1887" t="s">
        <v>2343</v>
      </c>
      <c r="AS23" s="1887"/>
      <c r="AT23" s="1326"/>
      <c r="AU23" s="1326"/>
      <c r="AV23" s="1326"/>
      <c r="AW23" s="1326"/>
      <c r="AX23" s="1326"/>
      <c r="AY23" s="262"/>
    </row>
    <row r="24" spans="1:51" s="260" customFormat="1" ht="103.5" customHeight="1">
      <c r="A24" s="1320"/>
      <c r="B24" s="1903"/>
      <c r="C24" s="1367"/>
      <c r="D24" s="1367"/>
      <c r="E24" s="1367"/>
      <c r="F24" s="1356"/>
      <c r="G24" s="1382" t="s">
        <v>215</v>
      </c>
      <c r="H24" s="1382"/>
      <c r="I24" s="1382"/>
      <c r="J24" s="1320"/>
      <c r="K24" s="1320"/>
      <c r="L24" s="1320"/>
      <c r="M24" s="1320"/>
      <c r="N24" s="1320"/>
      <c r="O24" s="1320"/>
      <c r="P24" s="1320"/>
      <c r="Q24" s="1404"/>
      <c r="R24" s="1404"/>
      <c r="S24" s="324"/>
      <c r="T24" s="821" t="e">
        <f>VLOOKUP(Q24,[96]Listas!$D$6:$E$10,2,0)</f>
        <v>#N/A</v>
      </c>
      <c r="U24" s="821" t="e">
        <f>HLOOKUP(R24,[96]Listas!$F$4:$J$5,2,0)</f>
        <v>#N/A</v>
      </c>
      <c r="V24" s="814"/>
      <c r="W24" s="324"/>
      <c r="X24" s="1545" t="s">
        <v>471</v>
      </c>
      <c r="Y24" s="1545"/>
      <c r="Z24" s="1545"/>
      <c r="AA24" s="1297"/>
      <c r="AB24" s="1356"/>
      <c r="AC24" s="791" t="s">
        <v>1613</v>
      </c>
      <c r="AD24" s="1320"/>
      <c r="AE24" s="1356"/>
      <c r="AF24" s="324"/>
      <c r="AG24" s="821">
        <f t="shared" si="2"/>
        <v>0</v>
      </c>
      <c r="AH24" s="824" t="e">
        <f t="shared" si="3"/>
        <v>#N/A</v>
      </c>
      <c r="AI24" s="2293"/>
      <c r="AJ24" s="824"/>
      <c r="AK24" s="2293"/>
      <c r="AL24" s="823"/>
      <c r="AM24" s="2293"/>
      <c r="AN24" s="1326"/>
      <c r="AO24" s="1326"/>
      <c r="AP24" s="1887"/>
      <c r="AQ24" s="1887"/>
      <c r="AR24" s="1887" t="s">
        <v>2343</v>
      </c>
      <c r="AS24" s="1887"/>
      <c r="AT24" s="1326"/>
      <c r="AU24" s="1326"/>
      <c r="AV24" s="1326"/>
      <c r="AW24" s="1326"/>
      <c r="AX24" s="1326"/>
      <c r="AY24" s="262"/>
    </row>
    <row r="25" spans="1:51" s="260" customFormat="1" ht="103.5" customHeight="1">
      <c r="A25" s="1320"/>
      <c r="B25" s="1903"/>
      <c r="C25" s="1367"/>
      <c r="D25" s="1367"/>
      <c r="E25" s="1367"/>
      <c r="F25" s="1356"/>
      <c r="G25" s="1382" t="s">
        <v>779</v>
      </c>
      <c r="H25" s="1382"/>
      <c r="I25" s="1382"/>
      <c r="J25" s="1320"/>
      <c r="K25" s="1320"/>
      <c r="L25" s="1320"/>
      <c r="M25" s="1320"/>
      <c r="N25" s="1320"/>
      <c r="O25" s="1320"/>
      <c r="P25" s="1320"/>
      <c r="Q25" s="1404"/>
      <c r="R25" s="1404"/>
      <c r="S25" s="324"/>
      <c r="T25" s="821" t="e">
        <f>VLOOKUP(Q25,[96]Listas!$D$6:$E$10,2,0)</f>
        <v>#N/A</v>
      </c>
      <c r="U25" s="821" t="e">
        <f>HLOOKUP(R25,[96]Listas!$F$4:$J$5,2,0)</f>
        <v>#N/A</v>
      </c>
      <c r="V25" s="814"/>
      <c r="W25" s="324"/>
      <c r="X25" s="1545" t="s">
        <v>1614</v>
      </c>
      <c r="Y25" s="1545"/>
      <c r="Z25" s="1545"/>
      <c r="AA25" s="1297"/>
      <c r="AB25" s="1356"/>
      <c r="AC25" s="791" t="s">
        <v>1615</v>
      </c>
      <c r="AD25" s="1320"/>
      <c r="AE25" s="1356"/>
      <c r="AF25" s="324"/>
      <c r="AG25" s="821">
        <f t="shared" si="2"/>
        <v>0</v>
      </c>
      <c r="AH25" s="824" t="e">
        <f t="shared" si="3"/>
        <v>#N/A</v>
      </c>
      <c r="AI25" s="2293"/>
      <c r="AJ25" s="824"/>
      <c r="AK25" s="2293"/>
      <c r="AL25" s="823"/>
      <c r="AM25" s="2293"/>
      <c r="AN25" s="1326"/>
      <c r="AO25" s="1326"/>
      <c r="AP25" s="1887"/>
      <c r="AQ25" s="1887"/>
      <c r="AR25" s="1887" t="s">
        <v>2343</v>
      </c>
      <c r="AS25" s="1887"/>
      <c r="AT25" s="1326"/>
      <c r="AU25" s="1326"/>
      <c r="AV25" s="1326"/>
      <c r="AW25" s="1326"/>
      <c r="AX25" s="1326"/>
      <c r="AY25" s="262"/>
    </row>
    <row r="26" spans="1:51" s="260" customFormat="1" ht="103.5" customHeight="1">
      <c r="A26" s="1320"/>
      <c r="B26" s="1903"/>
      <c r="C26" s="1367"/>
      <c r="D26" s="1367"/>
      <c r="E26" s="1367"/>
      <c r="F26" s="1356"/>
      <c r="G26" s="2303" t="s">
        <v>1616</v>
      </c>
      <c r="H26" s="2303"/>
      <c r="I26" s="2303"/>
      <c r="J26" s="1320"/>
      <c r="K26" s="1320"/>
      <c r="L26" s="1320"/>
      <c r="M26" s="1320"/>
      <c r="N26" s="1320"/>
      <c r="O26" s="1320"/>
      <c r="P26" s="1320"/>
      <c r="Q26" s="1404"/>
      <c r="R26" s="1404"/>
      <c r="S26" s="324"/>
      <c r="T26" s="821" t="e">
        <f>VLOOKUP(Q26,[96]Listas!$D$6:$E$10,2,0)</f>
        <v>#N/A</v>
      </c>
      <c r="U26" s="821" t="e">
        <f>HLOOKUP(R26,[96]Listas!$F$4:$J$5,2,0)</f>
        <v>#N/A</v>
      </c>
      <c r="V26" s="814"/>
      <c r="W26" s="324"/>
      <c r="X26" s="1545" t="s">
        <v>1617</v>
      </c>
      <c r="Y26" s="1545"/>
      <c r="Z26" s="1545"/>
      <c r="AA26" s="1328"/>
      <c r="AB26" s="1356"/>
      <c r="AC26" s="791" t="s">
        <v>1618</v>
      </c>
      <c r="AD26" s="1320"/>
      <c r="AE26" s="1356"/>
      <c r="AF26" s="324"/>
      <c r="AG26" s="821">
        <f t="shared" si="2"/>
        <v>0</v>
      </c>
      <c r="AH26" s="824" t="e">
        <f t="shared" si="3"/>
        <v>#N/A</v>
      </c>
      <c r="AI26" s="2293"/>
      <c r="AJ26" s="824"/>
      <c r="AK26" s="2293"/>
      <c r="AL26" s="823"/>
      <c r="AM26" s="2293"/>
      <c r="AN26" s="1327"/>
      <c r="AO26" s="1327"/>
      <c r="AP26" s="1888"/>
      <c r="AQ26" s="1888"/>
      <c r="AR26" s="1888" t="s">
        <v>2343</v>
      </c>
      <c r="AS26" s="1888"/>
      <c r="AT26" s="1327"/>
      <c r="AU26" s="1327"/>
      <c r="AV26" s="1327"/>
      <c r="AW26" s="1327"/>
      <c r="AX26" s="1327"/>
      <c r="AY26" s="262"/>
    </row>
    <row r="27" spans="1:51" s="260" customFormat="1" ht="103.5" customHeight="1">
      <c r="A27" s="1320" t="s">
        <v>73</v>
      </c>
      <c r="B27" s="1903" t="s">
        <v>2008</v>
      </c>
      <c r="C27" s="1367" t="s">
        <v>1619</v>
      </c>
      <c r="D27" s="1367"/>
      <c r="E27" s="1367"/>
      <c r="F27" s="1356" t="s">
        <v>1620</v>
      </c>
      <c r="G27" s="2303" t="s">
        <v>1621</v>
      </c>
      <c r="H27" s="2303"/>
      <c r="I27" s="2303"/>
      <c r="J27" s="1320" t="s">
        <v>1622</v>
      </c>
      <c r="K27" s="1320"/>
      <c r="L27" s="1320"/>
      <c r="M27" s="1320"/>
      <c r="N27" s="1320"/>
      <c r="O27" s="1320" t="s">
        <v>8</v>
      </c>
      <c r="P27" s="1320" t="s">
        <v>8</v>
      </c>
      <c r="Q27" s="1404" t="s">
        <v>64</v>
      </c>
      <c r="R27" s="1404" t="s">
        <v>274</v>
      </c>
      <c r="S27" s="324"/>
      <c r="T27" s="821">
        <f>VLOOKUP(Q27,[96]Listas!$D$6:$E$10,2,0)</f>
        <v>3</v>
      </c>
      <c r="U27" s="821">
        <f>HLOOKUP(R27,[96]Listas!$F$4:$J$5,2,0)</f>
        <v>3</v>
      </c>
      <c r="V27" s="814" t="str">
        <f>INDEX([96]Listas!$F$6:$J$10,MATCH(Q27,[96]Listas!$D$6:$D$10,0),MATCH(R27,[96]Listas!$F$4:$J$4,0))</f>
        <v>9
MODERADO</v>
      </c>
      <c r="W27" s="324"/>
      <c r="X27" s="1545" t="s">
        <v>1623</v>
      </c>
      <c r="Y27" s="1545"/>
      <c r="Z27" s="1545"/>
      <c r="AA27" s="1296" t="s">
        <v>4251</v>
      </c>
      <c r="AB27" s="1356" t="s">
        <v>1624</v>
      </c>
      <c r="AC27" s="783" t="s">
        <v>472</v>
      </c>
      <c r="AD27" s="1320">
        <v>76</v>
      </c>
      <c r="AE27" s="1356" t="s">
        <v>153</v>
      </c>
      <c r="AF27" s="324"/>
      <c r="AG27" s="821">
        <f t="shared" si="2"/>
        <v>1</v>
      </c>
      <c r="AH27" s="824">
        <f t="shared" si="3"/>
        <v>2</v>
      </c>
      <c r="AI27" s="2293" t="str">
        <f>IF(AH27&lt;=1,"Remota",VLOOKUP(AH27,[96]Listas!$C$6:$D$10,2,0))</f>
        <v>Baja</v>
      </c>
      <c r="AJ27" s="824">
        <f>IF(OR(AE27="Impacto",AE27="Ambos"),U27-AG27,U27)</f>
        <v>3</v>
      </c>
      <c r="AK27" s="2293" t="str">
        <f>IF(AJ27&lt;=1,"Insignificante",HLOOKUP(AJ27,[96]Listas!$F$3:$J$4,2,0))</f>
        <v>Moderado</v>
      </c>
      <c r="AL27" s="823">
        <f>AH27*AJ27</f>
        <v>6</v>
      </c>
      <c r="AM27" s="2293" t="str">
        <f>INDEX([96]Listas!$F$6:$J$10,MATCH(AI27,[96]Listas!$D$6:$D$10,0),MATCH(AK27,[96]Listas!$F$4:$J$4,0))</f>
        <v>6
MODERADO</v>
      </c>
      <c r="AN27" s="1325" t="s">
        <v>3127</v>
      </c>
      <c r="AO27" s="1325" t="s">
        <v>3128</v>
      </c>
      <c r="AP27" s="1886">
        <v>0</v>
      </c>
      <c r="AQ27" s="1886" t="s">
        <v>3579</v>
      </c>
      <c r="AR27" s="1886" t="s">
        <v>3495</v>
      </c>
      <c r="AS27" s="1886" t="s">
        <v>36</v>
      </c>
      <c r="AT27" s="1325"/>
      <c r="AU27" s="1325"/>
      <c r="AV27" s="1325"/>
      <c r="AW27" s="1325"/>
      <c r="AX27" s="1325"/>
      <c r="AY27" s="262"/>
    </row>
    <row r="28" spans="1:51" s="260" customFormat="1" ht="103.5" customHeight="1">
      <c r="A28" s="1320"/>
      <c r="B28" s="1903"/>
      <c r="C28" s="1367"/>
      <c r="D28" s="1367"/>
      <c r="E28" s="1367"/>
      <c r="F28" s="1356"/>
      <c r="G28" s="1382" t="s">
        <v>1625</v>
      </c>
      <c r="H28" s="1382"/>
      <c r="I28" s="1382"/>
      <c r="J28" s="1320"/>
      <c r="K28" s="1320"/>
      <c r="L28" s="1320"/>
      <c r="M28" s="1320"/>
      <c r="N28" s="1320"/>
      <c r="O28" s="1320"/>
      <c r="P28" s="1320"/>
      <c r="Q28" s="1404"/>
      <c r="R28" s="1404"/>
      <c r="S28" s="324"/>
      <c r="T28" s="821" t="e">
        <f>VLOOKUP(Q28,[96]Listas!$D$6:$E$10,2,0)</f>
        <v>#N/A</v>
      </c>
      <c r="U28" s="821" t="e">
        <f>HLOOKUP(R28,[96]Listas!$F$4:$J$5,2,0)</f>
        <v>#N/A</v>
      </c>
      <c r="V28" s="814"/>
      <c r="W28" s="324"/>
      <c r="X28" s="1545" t="s">
        <v>1626</v>
      </c>
      <c r="Y28" s="1545"/>
      <c r="Z28" s="1545"/>
      <c r="AA28" s="1328"/>
      <c r="AB28" s="1356"/>
      <c r="AC28" s="783" t="s">
        <v>216</v>
      </c>
      <c r="AD28" s="1320"/>
      <c r="AE28" s="1356"/>
      <c r="AF28" s="324"/>
      <c r="AG28" s="821">
        <f t="shared" si="2"/>
        <v>0</v>
      </c>
      <c r="AH28" s="824" t="e">
        <f t="shared" si="3"/>
        <v>#N/A</v>
      </c>
      <c r="AI28" s="2293"/>
      <c r="AJ28" s="824" t="e">
        <f>IF(OR(AE28="Impacto",AE28="Ambos"),U28-AG28,U28)</f>
        <v>#N/A</v>
      </c>
      <c r="AK28" s="2293"/>
      <c r="AL28" s="823" t="e">
        <f>AH28*AJ28</f>
        <v>#N/A</v>
      </c>
      <c r="AM28" s="2293"/>
      <c r="AN28" s="1327"/>
      <c r="AO28" s="1327"/>
      <c r="AP28" s="1888"/>
      <c r="AQ28" s="1888"/>
      <c r="AR28" s="1888" t="s">
        <v>2343</v>
      </c>
      <c r="AS28" s="1888"/>
      <c r="AT28" s="1327"/>
      <c r="AU28" s="1327"/>
      <c r="AV28" s="1327"/>
      <c r="AW28" s="1327"/>
      <c r="AX28" s="1327"/>
      <c r="AY28" s="262"/>
    </row>
    <row r="29" spans="1:51" s="260" customFormat="1" ht="103.5" customHeight="1">
      <c r="A29" s="1772" t="s">
        <v>73</v>
      </c>
      <c r="B29" s="2100" t="s">
        <v>1627</v>
      </c>
      <c r="C29" s="2101" t="s">
        <v>729</v>
      </c>
      <c r="D29" s="2101"/>
      <c r="E29" s="2101"/>
      <c r="F29" s="1356" t="s">
        <v>353</v>
      </c>
      <c r="G29" s="1767" t="s">
        <v>994</v>
      </c>
      <c r="H29" s="1767"/>
      <c r="I29" s="1767"/>
      <c r="J29" s="1772" t="s">
        <v>993</v>
      </c>
      <c r="K29" s="1772"/>
      <c r="L29" s="1772"/>
      <c r="M29" s="1772"/>
      <c r="N29" s="1772"/>
      <c r="O29" s="1772" t="s">
        <v>8</v>
      </c>
      <c r="P29" s="1772"/>
      <c r="Q29" s="1772" t="s">
        <v>654</v>
      </c>
      <c r="R29" s="1772" t="s">
        <v>274</v>
      </c>
      <c r="S29" s="324"/>
      <c r="T29" s="821">
        <f>VLOOKUP(Q29,[96]Listas!$D$6:$E$10,2,0)</f>
        <v>1</v>
      </c>
      <c r="U29" s="821">
        <f>HLOOKUP(R29,[96]Listas!$F$4:$J$5,2,0)</f>
        <v>3</v>
      </c>
      <c r="V29" s="1902" t="str">
        <f>INDEX([96]Listas!$F$6:$J$10,MATCH(Q29,[96]Listas!$D$6:$D$10,0),MATCH(R29,[96]Listas!$F$4:$J$4,0))</f>
        <v>3
INFERIOR</v>
      </c>
      <c r="W29" s="324"/>
      <c r="X29" s="1768" t="s">
        <v>1419</v>
      </c>
      <c r="Y29" s="1768"/>
      <c r="Z29" s="1768"/>
      <c r="AA29" s="1332" t="s">
        <v>4252</v>
      </c>
      <c r="AB29" s="1356" t="s">
        <v>1420</v>
      </c>
      <c r="AC29" s="1772" t="s">
        <v>1628</v>
      </c>
      <c r="AD29" s="1772">
        <v>88</v>
      </c>
      <c r="AE29" s="1772" t="s">
        <v>153</v>
      </c>
      <c r="AF29" s="324"/>
      <c r="AG29" s="821">
        <f t="shared" si="2"/>
        <v>2</v>
      </c>
      <c r="AH29" s="824">
        <f t="shared" si="3"/>
        <v>-1</v>
      </c>
      <c r="AI29" s="2293" t="str">
        <f>IF(AH29&lt;=1,"Remota",VLOOKUP(AH29,[96]Listas!$C$6:$D$10,2,0))</f>
        <v>Remota</v>
      </c>
      <c r="AJ29" s="824">
        <f>IF(OR(AE29="Impacto",AE29="Ambos"),U29-AG29,U29)</f>
        <v>3</v>
      </c>
      <c r="AK29" s="2293" t="str">
        <f>IF(AJ29&lt;=1,"Insignificante",HLOOKUP(AJ29,[96]Listas!$F$3:$J$4,2,0))</f>
        <v>Moderado</v>
      </c>
      <c r="AL29" s="823">
        <f>AH29*AJ29</f>
        <v>-3</v>
      </c>
      <c r="AM29" s="2293" t="str">
        <f>INDEX([96]Listas!$F$6:$J$10,MATCH(AI29,[96]Listas!$D$6:$D$10,0),MATCH(AK29,[96]Listas!$F$4:$J$4,0))</f>
        <v>3
INFERIOR</v>
      </c>
      <c r="AN29" s="1325" t="s">
        <v>3115</v>
      </c>
      <c r="AO29" s="1325" t="s">
        <v>3116</v>
      </c>
      <c r="AP29" s="1886">
        <v>0</v>
      </c>
      <c r="AQ29" s="1886" t="s">
        <v>3503</v>
      </c>
      <c r="AR29" s="1886" t="s">
        <v>3495</v>
      </c>
      <c r="AS29" s="1886" t="s">
        <v>36</v>
      </c>
      <c r="AT29" s="1325"/>
      <c r="AU29" s="1325"/>
      <c r="AV29" s="1325"/>
      <c r="AW29" s="1325"/>
      <c r="AX29" s="1325"/>
      <c r="AY29" s="262"/>
    </row>
    <row r="30" spans="1:51" s="260" customFormat="1" ht="103.5" customHeight="1">
      <c r="A30" s="1772"/>
      <c r="B30" s="2100"/>
      <c r="C30" s="2101"/>
      <c r="D30" s="2101"/>
      <c r="E30" s="2101"/>
      <c r="F30" s="1356"/>
      <c r="G30" s="1767" t="s">
        <v>992</v>
      </c>
      <c r="H30" s="1767"/>
      <c r="I30" s="1767"/>
      <c r="J30" s="1772"/>
      <c r="K30" s="1772"/>
      <c r="L30" s="1772"/>
      <c r="M30" s="1772"/>
      <c r="N30" s="1772"/>
      <c r="O30" s="1772"/>
      <c r="P30" s="1772"/>
      <c r="Q30" s="1772"/>
      <c r="R30" s="1772"/>
      <c r="S30" s="324"/>
      <c r="T30" s="821" t="e">
        <f>VLOOKUP(Q30,[96]Listas!$D$6:$E$10,2,0)</f>
        <v>#N/A</v>
      </c>
      <c r="U30" s="821" t="e">
        <f>HLOOKUP(R30,[96]Listas!$F$4:$J$5,2,0)</f>
        <v>#N/A</v>
      </c>
      <c r="V30" s="1902"/>
      <c r="W30" s="324"/>
      <c r="X30" s="1768" t="s">
        <v>1422</v>
      </c>
      <c r="Y30" s="1768"/>
      <c r="Z30" s="1768"/>
      <c r="AA30" s="1333"/>
      <c r="AB30" s="1356"/>
      <c r="AC30" s="1772"/>
      <c r="AD30" s="1772"/>
      <c r="AE30" s="1772"/>
      <c r="AF30" s="324"/>
      <c r="AG30" s="821">
        <f t="shared" si="2"/>
        <v>0</v>
      </c>
      <c r="AH30" s="824" t="e">
        <f t="shared" si="3"/>
        <v>#N/A</v>
      </c>
      <c r="AI30" s="2293"/>
      <c r="AJ30" s="824" t="e">
        <f t="shared" ref="AJ30:AJ63" si="4">IF(OR(AE30="Impacto",AE30="Ambos"),U30-AG30,U30)</f>
        <v>#N/A</v>
      </c>
      <c r="AK30" s="2293" t="e">
        <f>IF(AJ30&lt;=1,"Insignificante",HLOOKUP(AJ30,[96]Listas!$F$3:$J$4,2,0))</f>
        <v>#N/A</v>
      </c>
      <c r="AL30" s="823" t="e">
        <f t="shared" ref="AL30:AL63" si="5">AH30*AJ30</f>
        <v>#N/A</v>
      </c>
      <c r="AM30" s="2293" t="e">
        <f>INDEX([96]Listas!$F$6:$J$10,MATCH(AI30,[96]Listas!$D$6:$D$10,0),MATCH(AK30,[96]Listas!$F$4:$J$4,0))</f>
        <v>#N/A</v>
      </c>
      <c r="AN30" s="1326"/>
      <c r="AO30" s="1326"/>
      <c r="AP30" s="1887"/>
      <c r="AQ30" s="1887"/>
      <c r="AR30" s="1887" t="s">
        <v>2343</v>
      </c>
      <c r="AS30" s="1887"/>
      <c r="AT30" s="1326"/>
      <c r="AU30" s="1326"/>
      <c r="AV30" s="1326"/>
      <c r="AW30" s="1326"/>
      <c r="AX30" s="1326"/>
      <c r="AY30" s="262"/>
    </row>
    <row r="31" spans="1:51" s="260" customFormat="1" ht="103.5" customHeight="1">
      <c r="A31" s="1772"/>
      <c r="B31" s="2100"/>
      <c r="C31" s="2101"/>
      <c r="D31" s="2101"/>
      <c r="E31" s="2101"/>
      <c r="F31" s="1356"/>
      <c r="G31" s="1767" t="s">
        <v>1096</v>
      </c>
      <c r="H31" s="1767"/>
      <c r="I31" s="1767"/>
      <c r="J31" s="1772"/>
      <c r="K31" s="1772"/>
      <c r="L31" s="1772"/>
      <c r="M31" s="1772"/>
      <c r="N31" s="1772"/>
      <c r="O31" s="1772"/>
      <c r="P31" s="1772"/>
      <c r="Q31" s="1772"/>
      <c r="R31" s="1772"/>
      <c r="S31" s="324"/>
      <c r="T31" s="821" t="e">
        <f>VLOOKUP(Q31,[96]Listas!$D$6:$E$10,2,0)</f>
        <v>#N/A</v>
      </c>
      <c r="U31" s="821" t="e">
        <f>HLOOKUP(R31,[96]Listas!$F$4:$J$5,2,0)</f>
        <v>#N/A</v>
      </c>
      <c r="V31" s="1902"/>
      <c r="W31" s="324"/>
      <c r="X31" s="1768" t="s">
        <v>1423</v>
      </c>
      <c r="Y31" s="1768"/>
      <c r="Z31" s="1768"/>
      <c r="AA31" s="1333"/>
      <c r="AB31" s="1356"/>
      <c r="AC31" s="1772"/>
      <c r="AD31" s="1772"/>
      <c r="AE31" s="1772"/>
      <c r="AF31" s="324"/>
      <c r="AG31" s="821">
        <f t="shared" si="2"/>
        <v>0</v>
      </c>
      <c r="AH31" s="824" t="e">
        <f t="shared" si="3"/>
        <v>#N/A</v>
      </c>
      <c r="AI31" s="2293"/>
      <c r="AJ31" s="824" t="e">
        <f t="shared" si="4"/>
        <v>#N/A</v>
      </c>
      <c r="AK31" s="2293" t="e">
        <f>IF(AJ31&lt;=1,"Insignificante",HLOOKUP(AJ31,[96]Listas!$F$3:$J$4,2,0))</f>
        <v>#N/A</v>
      </c>
      <c r="AL31" s="823" t="e">
        <f t="shared" si="5"/>
        <v>#N/A</v>
      </c>
      <c r="AM31" s="2293" t="e">
        <f>INDEX([96]Listas!$F$6:$J$10,MATCH(AI31,[96]Listas!$D$6:$D$10,0),MATCH(AK31,[96]Listas!$F$4:$J$4,0))</f>
        <v>#N/A</v>
      </c>
      <c r="AN31" s="1326"/>
      <c r="AO31" s="1326"/>
      <c r="AP31" s="1887"/>
      <c r="AQ31" s="1887"/>
      <c r="AR31" s="1887" t="s">
        <v>2343</v>
      </c>
      <c r="AS31" s="1887"/>
      <c r="AT31" s="1326"/>
      <c r="AU31" s="1326"/>
      <c r="AV31" s="1326"/>
      <c r="AW31" s="1326"/>
      <c r="AX31" s="1326"/>
      <c r="AY31" s="262"/>
    </row>
    <row r="32" spans="1:51" s="260" customFormat="1" ht="103.5" customHeight="1">
      <c r="A32" s="1772"/>
      <c r="B32" s="2100"/>
      <c r="C32" s="2101"/>
      <c r="D32" s="2101"/>
      <c r="E32" s="2101"/>
      <c r="F32" s="1356"/>
      <c r="G32" s="1767" t="s">
        <v>1098</v>
      </c>
      <c r="H32" s="1767"/>
      <c r="I32" s="1767"/>
      <c r="J32" s="1772"/>
      <c r="K32" s="1772"/>
      <c r="L32" s="1772"/>
      <c r="M32" s="1772"/>
      <c r="N32" s="1772"/>
      <c r="O32" s="1772"/>
      <c r="P32" s="1772"/>
      <c r="Q32" s="1772"/>
      <c r="R32" s="1772"/>
      <c r="S32" s="324"/>
      <c r="T32" s="821" t="e">
        <f>VLOOKUP(Q32,[96]Listas!$D$6:$E$10,2,0)</f>
        <v>#N/A</v>
      </c>
      <c r="U32" s="821" t="e">
        <f>HLOOKUP(R32,[96]Listas!$F$4:$J$5,2,0)</f>
        <v>#N/A</v>
      </c>
      <c r="V32" s="1902"/>
      <c r="W32" s="324"/>
      <c r="X32" s="1768" t="s">
        <v>1424</v>
      </c>
      <c r="Y32" s="1768"/>
      <c r="Z32" s="1768"/>
      <c r="AA32" s="1333"/>
      <c r="AB32" s="1356"/>
      <c r="AC32" s="1772"/>
      <c r="AD32" s="1772"/>
      <c r="AE32" s="1772"/>
      <c r="AF32" s="324"/>
      <c r="AG32" s="821">
        <f t="shared" si="2"/>
        <v>0</v>
      </c>
      <c r="AH32" s="824" t="e">
        <f t="shared" si="3"/>
        <v>#N/A</v>
      </c>
      <c r="AI32" s="2293"/>
      <c r="AJ32" s="824" t="e">
        <f t="shared" si="4"/>
        <v>#N/A</v>
      </c>
      <c r="AK32" s="2293" t="e">
        <f>IF(AJ32&lt;=1,"Insignificante",HLOOKUP(AJ32,[96]Listas!$F$3:$J$4,2,0))</f>
        <v>#N/A</v>
      </c>
      <c r="AL32" s="823" t="e">
        <f t="shared" si="5"/>
        <v>#N/A</v>
      </c>
      <c r="AM32" s="2293" t="e">
        <f>INDEX([96]Listas!$F$6:$J$10,MATCH(AI32,[96]Listas!$D$6:$D$10,0),MATCH(AK32,[96]Listas!$F$4:$J$4,0))</f>
        <v>#N/A</v>
      </c>
      <c r="AN32" s="1326"/>
      <c r="AO32" s="1326"/>
      <c r="AP32" s="1887"/>
      <c r="AQ32" s="1887"/>
      <c r="AR32" s="1887" t="s">
        <v>2343</v>
      </c>
      <c r="AS32" s="1887"/>
      <c r="AT32" s="1326"/>
      <c r="AU32" s="1326"/>
      <c r="AV32" s="1326"/>
      <c r="AW32" s="1326"/>
      <c r="AX32" s="1326"/>
      <c r="AY32" s="262"/>
    </row>
    <row r="33" spans="1:51" s="260" customFormat="1" ht="103.5" customHeight="1">
      <c r="A33" s="1772"/>
      <c r="B33" s="2100"/>
      <c r="C33" s="2101"/>
      <c r="D33" s="2101"/>
      <c r="E33" s="2101"/>
      <c r="F33" s="1356"/>
      <c r="G33" s="1767" t="s">
        <v>1100</v>
      </c>
      <c r="H33" s="1767"/>
      <c r="I33" s="1767"/>
      <c r="J33" s="1772"/>
      <c r="K33" s="1772"/>
      <c r="L33" s="1772"/>
      <c r="M33" s="1772"/>
      <c r="N33" s="1772"/>
      <c r="O33" s="1772"/>
      <c r="P33" s="1772"/>
      <c r="Q33" s="1772"/>
      <c r="R33" s="1772"/>
      <c r="S33" s="324"/>
      <c r="T33" s="821" t="e">
        <f>VLOOKUP(Q33,[96]Listas!$D$6:$E$10,2,0)</f>
        <v>#N/A</v>
      </c>
      <c r="U33" s="821" t="e">
        <f>HLOOKUP(R33,[96]Listas!$F$4:$J$5,2,0)</f>
        <v>#N/A</v>
      </c>
      <c r="V33" s="1902"/>
      <c r="W33" s="324"/>
      <c r="X33" s="1768" t="s">
        <v>1527</v>
      </c>
      <c r="Y33" s="1768"/>
      <c r="Z33" s="1768"/>
      <c r="AA33" s="1333"/>
      <c r="AB33" s="1356"/>
      <c r="AC33" s="1772"/>
      <c r="AD33" s="1772"/>
      <c r="AE33" s="1772"/>
      <c r="AF33" s="324"/>
      <c r="AG33" s="821">
        <f t="shared" si="2"/>
        <v>0</v>
      </c>
      <c r="AH33" s="824" t="e">
        <f t="shared" si="3"/>
        <v>#N/A</v>
      </c>
      <c r="AI33" s="2293"/>
      <c r="AJ33" s="824" t="e">
        <f t="shared" si="4"/>
        <v>#N/A</v>
      </c>
      <c r="AK33" s="2293" t="e">
        <f>IF(AJ33&lt;=1,"Insignificante",HLOOKUP(AJ33,[96]Listas!$F$3:$J$4,2,0))</f>
        <v>#N/A</v>
      </c>
      <c r="AL33" s="823" t="e">
        <f t="shared" si="5"/>
        <v>#N/A</v>
      </c>
      <c r="AM33" s="2293" t="e">
        <f>INDEX([96]Listas!$F$6:$J$10,MATCH(AI33,[96]Listas!$D$6:$D$10,0),MATCH(AK33,[96]Listas!$F$4:$J$4,0))</f>
        <v>#N/A</v>
      </c>
      <c r="AN33" s="1326"/>
      <c r="AO33" s="1326"/>
      <c r="AP33" s="1887"/>
      <c r="AQ33" s="1887"/>
      <c r="AR33" s="1887" t="s">
        <v>2343</v>
      </c>
      <c r="AS33" s="1887"/>
      <c r="AT33" s="1326"/>
      <c r="AU33" s="1326"/>
      <c r="AV33" s="1326"/>
      <c r="AW33" s="1326"/>
      <c r="AX33" s="1326"/>
      <c r="AY33" s="262"/>
    </row>
    <row r="34" spans="1:51" s="260" customFormat="1" ht="103.5" customHeight="1">
      <c r="A34" s="1772"/>
      <c r="B34" s="2100"/>
      <c r="C34" s="2101"/>
      <c r="D34" s="2101"/>
      <c r="E34" s="2101"/>
      <c r="F34" s="1356"/>
      <c r="G34" s="1767" t="s">
        <v>991</v>
      </c>
      <c r="H34" s="1767"/>
      <c r="I34" s="1767"/>
      <c r="J34" s="1772"/>
      <c r="K34" s="1772"/>
      <c r="L34" s="1772"/>
      <c r="M34" s="1772"/>
      <c r="N34" s="1772"/>
      <c r="O34" s="1772"/>
      <c r="P34" s="1772"/>
      <c r="Q34" s="1772"/>
      <c r="R34" s="1772"/>
      <c r="S34" s="324"/>
      <c r="T34" s="821" t="e">
        <f>VLOOKUP(Q34,[96]Listas!$D$6:$E$10,2,0)</f>
        <v>#N/A</v>
      </c>
      <c r="U34" s="821" t="e">
        <f>HLOOKUP(R34,[96]Listas!$F$4:$J$5,2,0)</f>
        <v>#N/A</v>
      </c>
      <c r="V34" s="1902"/>
      <c r="W34" s="324"/>
      <c r="X34" s="1768" t="s">
        <v>1426</v>
      </c>
      <c r="Y34" s="1768"/>
      <c r="Z34" s="1768"/>
      <c r="AA34" s="1333"/>
      <c r="AB34" s="1356"/>
      <c r="AC34" s="1772"/>
      <c r="AD34" s="1772"/>
      <c r="AE34" s="1772"/>
      <c r="AF34" s="324"/>
      <c r="AG34" s="821">
        <f t="shared" si="2"/>
        <v>0</v>
      </c>
      <c r="AH34" s="824" t="e">
        <f t="shared" si="3"/>
        <v>#N/A</v>
      </c>
      <c r="AI34" s="2293"/>
      <c r="AJ34" s="824" t="e">
        <f t="shared" si="4"/>
        <v>#N/A</v>
      </c>
      <c r="AK34" s="2293" t="e">
        <f>IF(AJ34&lt;=1,"Insignificante",HLOOKUP(AJ34,[96]Listas!$F$3:$J$4,2,0))</f>
        <v>#N/A</v>
      </c>
      <c r="AL34" s="823" t="e">
        <f t="shared" si="5"/>
        <v>#N/A</v>
      </c>
      <c r="AM34" s="2293" t="e">
        <f>INDEX([96]Listas!$F$6:$J$10,MATCH(AI34,[96]Listas!$D$6:$D$10,0),MATCH(AK34,[96]Listas!$F$4:$J$4,0))</f>
        <v>#N/A</v>
      </c>
      <c r="AN34" s="1326"/>
      <c r="AO34" s="1326"/>
      <c r="AP34" s="1887"/>
      <c r="AQ34" s="1887"/>
      <c r="AR34" s="1887" t="s">
        <v>2343</v>
      </c>
      <c r="AS34" s="1887"/>
      <c r="AT34" s="1326"/>
      <c r="AU34" s="1326"/>
      <c r="AV34" s="1326"/>
      <c r="AW34" s="1326"/>
      <c r="AX34" s="1326"/>
      <c r="AY34" s="262"/>
    </row>
    <row r="35" spans="1:51" s="260" customFormat="1" ht="103.5" customHeight="1">
      <c r="A35" s="1772"/>
      <c r="B35" s="2100"/>
      <c r="C35" s="2101"/>
      <c r="D35" s="2101"/>
      <c r="E35" s="2101"/>
      <c r="F35" s="1356"/>
      <c r="G35" s="1895" t="s">
        <v>1629</v>
      </c>
      <c r="H35" s="1895"/>
      <c r="I35" s="1895"/>
      <c r="J35" s="1772"/>
      <c r="K35" s="1772"/>
      <c r="L35" s="1772"/>
      <c r="M35" s="1772"/>
      <c r="N35" s="1772"/>
      <c r="O35" s="1772"/>
      <c r="P35" s="1772"/>
      <c r="Q35" s="1772"/>
      <c r="R35" s="1772"/>
      <c r="S35" s="324"/>
      <c r="T35" s="821" t="e">
        <f>VLOOKUP(Q35,[96]Listas!$D$6:$E$10,2,0)</f>
        <v>#N/A</v>
      </c>
      <c r="U35" s="821" t="e">
        <f>HLOOKUP(R35,[96]Listas!$F$4:$J$5,2,0)</f>
        <v>#N/A</v>
      </c>
      <c r="V35" s="1902"/>
      <c r="W35" s="324"/>
      <c r="X35" s="1768" t="s">
        <v>1428</v>
      </c>
      <c r="Y35" s="1768"/>
      <c r="Z35" s="1768"/>
      <c r="AA35" s="1402"/>
      <c r="AB35" s="1356"/>
      <c r="AC35" s="1772"/>
      <c r="AD35" s="1772"/>
      <c r="AE35" s="1772"/>
      <c r="AF35" s="324"/>
      <c r="AG35" s="821">
        <f t="shared" si="2"/>
        <v>0</v>
      </c>
      <c r="AH35" s="824" t="e">
        <f t="shared" si="3"/>
        <v>#N/A</v>
      </c>
      <c r="AI35" s="2293"/>
      <c r="AJ35" s="824" t="e">
        <f t="shared" si="4"/>
        <v>#N/A</v>
      </c>
      <c r="AK35" s="2293" t="e">
        <f>IF(AJ35&lt;=1,"Insignificante",HLOOKUP(AJ35,[96]Listas!$F$3:$J$4,2,0))</f>
        <v>#N/A</v>
      </c>
      <c r="AL35" s="823" t="e">
        <f t="shared" si="5"/>
        <v>#N/A</v>
      </c>
      <c r="AM35" s="2293" t="e">
        <f>INDEX([96]Listas!$F$6:$J$10,MATCH(AI35,[96]Listas!$D$6:$D$10,0),MATCH(AK35,[96]Listas!$F$4:$J$4,0))</f>
        <v>#N/A</v>
      </c>
      <c r="AN35" s="1327"/>
      <c r="AO35" s="1327"/>
      <c r="AP35" s="1888"/>
      <c r="AQ35" s="1888"/>
      <c r="AR35" s="1888" t="s">
        <v>2343</v>
      </c>
      <c r="AS35" s="1888"/>
      <c r="AT35" s="1327"/>
      <c r="AU35" s="1327"/>
      <c r="AV35" s="1327"/>
      <c r="AW35" s="1327"/>
      <c r="AX35" s="1327"/>
      <c r="AY35" s="262"/>
    </row>
    <row r="36" spans="1:51" s="260" customFormat="1" ht="103.5" customHeight="1">
      <c r="A36" s="1772" t="s">
        <v>73</v>
      </c>
      <c r="B36" s="2100" t="s">
        <v>1630</v>
      </c>
      <c r="C36" s="2101" t="s">
        <v>988</v>
      </c>
      <c r="D36" s="2101"/>
      <c r="E36" s="2101"/>
      <c r="F36" s="1356" t="s">
        <v>353</v>
      </c>
      <c r="G36" s="1767" t="s">
        <v>987</v>
      </c>
      <c r="H36" s="1767"/>
      <c r="I36" s="1767"/>
      <c r="J36" s="1772" t="s">
        <v>986</v>
      </c>
      <c r="K36" s="1772"/>
      <c r="L36" s="1772"/>
      <c r="M36" s="1772"/>
      <c r="N36" s="1772"/>
      <c r="O36" s="1772" t="s">
        <v>8</v>
      </c>
      <c r="P36" s="1772"/>
      <c r="Q36" s="1772" t="s">
        <v>64</v>
      </c>
      <c r="R36" s="1772" t="s">
        <v>643</v>
      </c>
      <c r="S36" s="324"/>
      <c r="T36" s="821">
        <f>VLOOKUP(Q36,[96]Listas!$D$6:$E$10,2,0)</f>
        <v>3</v>
      </c>
      <c r="U36" s="821">
        <f>HLOOKUP(R36,[96]Listas!$F$4:$J$5,2,0)</f>
        <v>2</v>
      </c>
      <c r="V36" s="1902" t="str">
        <f>INDEX([96]Listas!$F$6:$J$10,MATCH(Q36,[96]Listas!$D$6:$D$10,0),MATCH(R36,[96]Listas!$F$4:$J$4,0))</f>
        <v>6
MODERADO</v>
      </c>
      <c r="W36" s="324"/>
      <c r="X36" s="1768" t="s">
        <v>1103</v>
      </c>
      <c r="Y36" s="1768"/>
      <c r="Z36" s="1768"/>
      <c r="AA36" s="1332" t="s">
        <v>4253</v>
      </c>
      <c r="AB36" s="1356" t="s">
        <v>1420</v>
      </c>
      <c r="AC36" s="1772" t="s">
        <v>1436</v>
      </c>
      <c r="AD36" s="1772">
        <v>67</v>
      </c>
      <c r="AE36" s="1772" t="s">
        <v>153</v>
      </c>
      <c r="AF36" s="324"/>
      <c r="AG36" s="821">
        <f t="shared" si="2"/>
        <v>1</v>
      </c>
      <c r="AH36" s="824">
        <f t="shared" si="3"/>
        <v>2</v>
      </c>
      <c r="AI36" s="2293" t="str">
        <f>IF(AH36&lt;=1,"Remota",VLOOKUP(AH36,[96]Listas!$C$6:$D$10,2,0))</f>
        <v>Baja</v>
      </c>
      <c r="AJ36" s="824">
        <f t="shared" si="4"/>
        <v>2</v>
      </c>
      <c r="AK36" s="2293" t="str">
        <f>IF(AJ36&lt;=1,"Insignificante",HLOOKUP(AJ36,[96]Listas!$F$3:$J$4,2,0))</f>
        <v>Menor</v>
      </c>
      <c r="AL36" s="823">
        <f t="shared" si="5"/>
        <v>4</v>
      </c>
      <c r="AM36" s="2293" t="str">
        <f>INDEX([96]Listas!$F$6:$J$10,MATCH(AI36,[96]Listas!$D$6:$D$10,0),MATCH(AK36,[96]Listas!$F$4:$J$4,0))</f>
        <v>4
INFERIOR</v>
      </c>
      <c r="AN36" s="1325" t="s">
        <v>3115</v>
      </c>
      <c r="AO36" s="1325" t="s">
        <v>3116</v>
      </c>
      <c r="AP36" s="1886">
        <v>0</v>
      </c>
      <c r="AQ36" s="1886" t="s">
        <v>3503</v>
      </c>
      <c r="AR36" s="1886" t="s">
        <v>3495</v>
      </c>
      <c r="AS36" s="1886" t="s">
        <v>36</v>
      </c>
      <c r="AT36" s="1325"/>
      <c r="AU36" s="1325"/>
      <c r="AV36" s="1325"/>
      <c r="AW36" s="1325"/>
      <c r="AX36" s="1325"/>
      <c r="AY36" s="262"/>
    </row>
    <row r="37" spans="1:51" s="260" customFormat="1" ht="103.5" customHeight="1">
      <c r="A37" s="1772"/>
      <c r="B37" s="2100" t="s">
        <v>473</v>
      </c>
      <c r="C37" s="2101"/>
      <c r="D37" s="2101"/>
      <c r="E37" s="2101"/>
      <c r="F37" s="1356"/>
      <c r="G37" s="1767" t="s">
        <v>985</v>
      </c>
      <c r="H37" s="1767"/>
      <c r="I37" s="1767"/>
      <c r="J37" s="1772"/>
      <c r="K37" s="1772"/>
      <c r="L37" s="1772"/>
      <c r="M37" s="1772"/>
      <c r="N37" s="1772"/>
      <c r="O37" s="1772"/>
      <c r="P37" s="1772"/>
      <c r="Q37" s="1772"/>
      <c r="R37" s="1772"/>
      <c r="S37" s="324"/>
      <c r="T37" s="821" t="e">
        <f>VLOOKUP(Q37,[96]Listas!$D$6:$E$10,2,0)</f>
        <v>#N/A</v>
      </c>
      <c r="U37" s="821" t="e">
        <f>HLOOKUP(R37,[96]Listas!$F$4:$J$5,2,0)</f>
        <v>#N/A</v>
      </c>
      <c r="V37" s="1902"/>
      <c r="W37" s="324"/>
      <c r="X37" s="1768" t="s">
        <v>1431</v>
      </c>
      <c r="Y37" s="1768"/>
      <c r="Z37" s="1768"/>
      <c r="AA37" s="1333"/>
      <c r="AB37" s="1356"/>
      <c r="AC37" s="1772"/>
      <c r="AD37" s="1772"/>
      <c r="AE37" s="1772"/>
      <c r="AF37" s="324"/>
      <c r="AG37" s="821">
        <f t="shared" si="2"/>
        <v>0</v>
      </c>
      <c r="AH37" s="824" t="e">
        <f t="shared" si="3"/>
        <v>#N/A</v>
      </c>
      <c r="AI37" s="2293"/>
      <c r="AJ37" s="824" t="e">
        <f t="shared" si="4"/>
        <v>#N/A</v>
      </c>
      <c r="AK37" s="2293" t="e">
        <f>IF(AJ37&lt;=1,"Insignificante",HLOOKUP(AJ37,[96]Listas!$F$3:$J$4,2,0))</f>
        <v>#N/A</v>
      </c>
      <c r="AL37" s="823" t="e">
        <f t="shared" si="5"/>
        <v>#N/A</v>
      </c>
      <c r="AM37" s="2293" t="e">
        <f>INDEX([96]Listas!$F$6:$J$10,MATCH(AI37,[96]Listas!$D$6:$D$10,0),MATCH(AK37,[96]Listas!$F$4:$J$4,0))</f>
        <v>#N/A</v>
      </c>
      <c r="AN37" s="1326"/>
      <c r="AO37" s="1326"/>
      <c r="AP37" s="1887"/>
      <c r="AQ37" s="1887"/>
      <c r="AR37" s="1887" t="s">
        <v>2343</v>
      </c>
      <c r="AS37" s="1887"/>
      <c r="AT37" s="1326"/>
      <c r="AU37" s="1326"/>
      <c r="AV37" s="1326"/>
      <c r="AW37" s="1326"/>
      <c r="AX37" s="1326"/>
      <c r="AY37" s="262"/>
    </row>
    <row r="38" spans="1:51" s="260" customFormat="1" ht="103.5" customHeight="1">
      <c r="A38" s="1772"/>
      <c r="B38" s="2100" t="s">
        <v>473</v>
      </c>
      <c r="C38" s="2101"/>
      <c r="D38" s="2101"/>
      <c r="E38" s="2101"/>
      <c r="F38" s="1356"/>
      <c r="G38" s="1767" t="s">
        <v>1061</v>
      </c>
      <c r="H38" s="1767"/>
      <c r="I38" s="1767"/>
      <c r="J38" s="1772"/>
      <c r="K38" s="1772"/>
      <c r="L38" s="1772"/>
      <c r="M38" s="1772"/>
      <c r="N38" s="1772"/>
      <c r="O38" s="1772"/>
      <c r="P38" s="1772"/>
      <c r="Q38" s="1772"/>
      <c r="R38" s="1772"/>
      <c r="S38" s="324"/>
      <c r="T38" s="821" t="e">
        <f>VLOOKUP(Q38,[96]Listas!$D$6:$E$10,2,0)</f>
        <v>#N/A</v>
      </c>
      <c r="U38" s="821" t="e">
        <f>HLOOKUP(R38,[96]Listas!$F$4:$J$5,2,0)</f>
        <v>#N/A</v>
      </c>
      <c r="V38" s="1902"/>
      <c r="W38" s="324"/>
      <c r="X38" s="1768" t="s">
        <v>1432</v>
      </c>
      <c r="Y38" s="1768"/>
      <c r="Z38" s="1768"/>
      <c r="AA38" s="1333"/>
      <c r="AB38" s="1356"/>
      <c r="AC38" s="1772"/>
      <c r="AD38" s="1772"/>
      <c r="AE38" s="1772"/>
      <c r="AF38" s="324"/>
      <c r="AG38" s="821">
        <f t="shared" si="2"/>
        <v>0</v>
      </c>
      <c r="AH38" s="824" t="e">
        <f t="shared" si="3"/>
        <v>#N/A</v>
      </c>
      <c r="AI38" s="2293"/>
      <c r="AJ38" s="824" t="e">
        <f t="shared" si="4"/>
        <v>#N/A</v>
      </c>
      <c r="AK38" s="2293" t="e">
        <f>IF(AJ38&lt;=1,"Insignificante",HLOOKUP(AJ38,[96]Listas!$F$3:$J$4,2,0))</f>
        <v>#N/A</v>
      </c>
      <c r="AL38" s="823" t="e">
        <f t="shared" si="5"/>
        <v>#N/A</v>
      </c>
      <c r="AM38" s="2293" t="e">
        <f>INDEX([96]Listas!$F$6:$J$10,MATCH(AI38,[96]Listas!$D$6:$D$10,0),MATCH(AK38,[96]Listas!$F$4:$J$4,0))</f>
        <v>#N/A</v>
      </c>
      <c r="AN38" s="1326"/>
      <c r="AO38" s="1326"/>
      <c r="AP38" s="1887"/>
      <c r="AQ38" s="1887"/>
      <c r="AR38" s="1887" t="s">
        <v>2343</v>
      </c>
      <c r="AS38" s="1887"/>
      <c r="AT38" s="1326"/>
      <c r="AU38" s="1326"/>
      <c r="AV38" s="1326"/>
      <c r="AW38" s="1326"/>
      <c r="AX38" s="1326"/>
      <c r="AY38" s="262"/>
    </row>
    <row r="39" spans="1:51" s="260" customFormat="1" ht="103.5" customHeight="1">
      <c r="A39" s="1772"/>
      <c r="B39" s="2100" t="s">
        <v>473</v>
      </c>
      <c r="C39" s="2101"/>
      <c r="D39" s="2101"/>
      <c r="E39" s="2101"/>
      <c r="F39" s="1356"/>
      <c r="G39" s="1767" t="s">
        <v>983</v>
      </c>
      <c r="H39" s="1767"/>
      <c r="I39" s="1767"/>
      <c r="J39" s="1772"/>
      <c r="K39" s="1772"/>
      <c r="L39" s="1772"/>
      <c r="M39" s="1772"/>
      <c r="N39" s="1772"/>
      <c r="O39" s="1772"/>
      <c r="P39" s="1772"/>
      <c r="Q39" s="1772"/>
      <c r="R39" s="1772"/>
      <c r="S39" s="324"/>
      <c r="T39" s="821" t="e">
        <f>VLOOKUP(Q39,[96]Listas!$D$6:$E$10,2,0)</f>
        <v>#N/A</v>
      </c>
      <c r="U39" s="821" t="e">
        <f>HLOOKUP(R39,[96]Listas!$F$4:$J$5,2,0)</f>
        <v>#N/A</v>
      </c>
      <c r="V39" s="1902"/>
      <c r="W39" s="324"/>
      <c r="X39" s="1768" t="s">
        <v>1433</v>
      </c>
      <c r="Y39" s="1768"/>
      <c r="Z39" s="1768"/>
      <c r="AA39" s="1402"/>
      <c r="AB39" s="1356"/>
      <c r="AC39" s="1772"/>
      <c r="AD39" s="1772"/>
      <c r="AE39" s="1772"/>
      <c r="AF39" s="324"/>
      <c r="AG39" s="821">
        <f t="shared" si="2"/>
        <v>0</v>
      </c>
      <c r="AH39" s="824" t="e">
        <f t="shared" si="3"/>
        <v>#N/A</v>
      </c>
      <c r="AI39" s="2293"/>
      <c r="AJ39" s="824" t="e">
        <f t="shared" si="4"/>
        <v>#N/A</v>
      </c>
      <c r="AK39" s="2293" t="e">
        <f>IF(AJ39&lt;=1,"Insignificante",HLOOKUP(AJ39,[96]Listas!$F$3:$J$4,2,0))</f>
        <v>#N/A</v>
      </c>
      <c r="AL39" s="823" t="e">
        <f t="shared" si="5"/>
        <v>#N/A</v>
      </c>
      <c r="AM39" s="2293" t="e">
        <f>INDEX([96]Listas!$F$6:$J$10,MATCH(AI39,[96]Listas!$D$6:$D$10,0),MATCH(AK39,[96]Listas!$F$4:$J$4,0))</f>
        <v>#N/A</v>
      </c>
      <c r="AN39" s="1327"/>
      <c r="AO39" s="1327"/>
      <c r="AP39" s="1888"/>
      <c r="AQ39" s="1888"/>
      <c r="AR39" s="1888" t="s">
        <v>2343</v>
      </c>
      <c r="AS39" s="1888"/>
      <c r="AT39" s="1327"/>
      <c r="AU39" s="1327"/>
      <c r="AV39" s="1327"/>
      <c r="AW39" s="1327"/>
      <c r="AX39" s="1327"/>
      <c r="AY39" s="262"/>
    </row>
    <row r="40" spans="1:51" s="260" customFormat="1" ht="103.5" customHeight="1">
      <c r="A40" s="1772" t="s">
        <v>73</v>
      </c>
      <c r="B40" s="2100" t="s">
        <v>1631</v>
      </c>
      <c r="C40" s="2101" t="s">
        <v>982</v>
      </c>
      <c r="D40" s="2101"/>
      <c r="E40" s="2101"/>
      <c r="F40" s="1356" t="s">
        <v>353</v>
      </c>
      <c r="G40" s="1767" t="s">
        <v>981</v>
      </c>
      <c r="H40" s="1767"/>
      <c r="I40" s="1767"/>
      <c r="J40" s="1772" t="s">
        <v>1632</v>
      </c>
      <c r="K40" s="1772"/>
      <c r="L40" s="1772"/>
      <c r="M40" s="1772"/>
      <c r="N40" s="1772"/>
      <c r="O40" s="1772" t="s">
        <v>8</v>
      </c>
      <c r="P40" s="1772"/>
      <c r="Q40" s="1772" t="s">
        <v>64</v>
      </c>
      <c r="R40" s="1772" t="s">
        <v>274</v>
      </c>
      <c r="S40" s="324"/>
      <c r="T40" s="821">
        <f>VLOOKUP(Q40,[96]Listas!$D$6:$E$10,2,0)</f>
        <v>3</v>
      </c>
      <c r="U40" s="821">
        <f>HLOOKUP(R40,[96]Listas!$F$4:$J$5,2,0)</f>
        <v>3</v>
      </c>
      <c r="V40" s="1902" t="str">
        <f>INDEX([96]Listas!$F$6:$J$10,MATCH(Q40,[96]Listas!$D$6:$D$10,0),MATCH(R40,[96]Listas!$F$4:$J$4,0))</f>
        <v>9
MODERADO</v>
      </c>
      <c r="W40" s="324"/>
      <c r="X40" s="1768" t="s">
        <v>1435</v>
      </c>
      <c r="Y40" s="1768"/>
      <c r="Z40" s="1768"/>
      <c r="AA40" s="1332" t="s">
        <v>4254</v>
      </c>
      <c r="AB40" s="1356" t="s">
        <v>1420</v>
      </c>
      <c r="AC40" s="1772" t="s">
        <v>1430</v>
      </c>
      <c r="AD40" s="1772">
        <v>75</v>
      </c>
      <c r="AE40" s="1772" t="s">
        <v>153</v>
      </c>
      <c r="AF40" s="324"/>
      <c r="AG40" s="821">
        <f t="shared" si="2"/>
        <v>1</v>
      </c>
      <c r="AH40" s="824">
        <f>IF(OR(AE40="Probabilidad",AE40="Ambos"),T40-AG40,T40)</f>
        <v>2</v>
      </c>
      <c r="AI40" s="2293" t="str">
        <f>IF(AH40&lt;=1,"Remota",VLOOKUP(AH40,[96]Listas!$C$6:$D$10,2,0))</f>
        <v>Baja</v>
      </c>
      <c r="AJ40" s="824">
        <f t="shared" si="4"/>
        <v>3</v>
      </c>
      <c r="AK40" s="2293" t="str">
        <f>IF(AJ40&lt;=1,"Insignificante",HLOOKUP(AJ40,[96]Listas!$F$3:$J$4,2,0))</f>
        <v>Moderado</v>
      </c>
      <c r="AL40" s="823">
        <f t="shared" si="5"/>
        <v>6</v>
      </c>
      <c r="AM40" s="2293" t="str">
        <f>INDEX([96]Listas!$F$6:$J$10,MATCH(AI40,[96]Listas!$D$6:$D$10,0),MATCH(AK40,[96]Listas!$F$4:$J$4,0))</f>
        <v>6
MODERADO</v>
      </c>
      <c r="AN40" s="1325" t="s">
        <v>3117</v>
      </c>
      <c r="AO40" s="1325" t="s">
        <v>3116</v>
      </c>
      <c r="AP40" s="1886">
        <v>0</v>
      </c>
      <c r="AQ40" s="1886" t="s">
        <v>3503</v>
      </c>
      <c r="AR40" s="1886" t="s">
        <v>3495</v>
      </c>
      <c r="AS40" s="1886" t="s">
        <v>36</v>
      </c>
      <c r="AT40" s="1325"/>
      <c r="AU40" s="1325"/>
      <c r="AV40" s="1325"/>
      <c r="AW40" s="1325"/>
      <c r="AX40" s="1325"/>
      <c r="AY40" s="262"/>
    </row>
    <row r="41" spans="1:51" s="260" customFormat="1" ht="103.5" customHeight="1">
      <c r="A41" s="1772"/>
      <c r="B41" s="2100" t="s">
        <v>473</v>
      </c>
      <c r="C41" s="2101"/>
      <c r="D41" s="2101"/>
      <c r="E41" s="2101"/>
      <c r="F41" s="1356"/>
      <c r="G41" s="1767" t="s">
        <v>976</v>
      </c>
      <c r="H41" s="1767"/>
      <c r="I41" s="1767"/>
      <c r="J41" s="1772"/>
      <c r="K41" s="1772"/>
      <c r="L41" s="1772"/>
      <c r="M41" s="1772"/>
      <c r="N41" s="1772"/>
      <c r="O41" s="1772"/>
      <c r="P41" s="1772"/>
      <c r="Q41" s="1772"/>
      <c r="R41" s="1772"/>
      <c r="S41" s="324"/>
      <c r="T41" s="821" t="e">
        <f>VLOOKUP(Q41,[96]Listas!$D$6:$E$10,2,0)</f>
        <v>#N/A</v>
      </c>
      <c r="U41" s="821" t="e">
        <f>HLOOKUP(R41,[96]Listas!$F$4:$J$5,2,0)</f>
        <v>#N/A</v>
      </c>
      <c r="V41" s="1902"/>
      <c r="W41" s="324"/>
      <c r="X41" s="1768" t="s">
        <v>1437</v>
      </c>
      <c r="Y41" s="1768"/>
      <c r="Z41" s="1768"/>
      <c r="AA41" s="1333"/>
      <c r="AB41" s="1356"/>
      <c r="AC41" s="1772"/>
      <c r="AD41" s="1772"/>
      <c r="AE41" s="1772"/>
      <c r="AF41" s="324"/>
      <c r="AG41" s="821">
        <f t="shared" si="2"/>
        <v>0</v>
      </c>
      <c r="AH41" s="824" t="e">
        <f t="shared" si="3"/>
        <v>#N/A</v>
      </c>
      <c r="AI41" s="2293"/>
      <c r="AJ41" s="824" t="e">
        <f t="shared" si="4"/>
        <v>#N/A</v>
      </c>
      <c r="AK41" s="2293" t="e">
        <f>IF(AJ41&lt;=1,"Insignificante",HLOOKUP(AJ41,[96]Listas!$F$3:$J$4,2,0))</f>
        <v>#N/A</v>
      </c>
      <c r="AL41" s="823" t="e">
        <f t="shared" si="5"/>
        <v>#N/A</v>
      </c>
      <c r="AM41" s="2293" t="e">
        <f>INDEX([96]Listas!$F$6:$J$10,MATCH(AI41,[96]Listas!$D$6:$D$10,0),MATCH(AK41,[96]Listas!$F$4:$J$4,0))</f>
        <v>#N/A</v>
      </c>
      <c r="AN41" s="1326"/>
      <c r="AO41" s="1326"/>
      <c r="AP41" s="1887"/>
      <c r="AQ41" s="1887"/>
      <c r="AR41" s="1887" t="s">
        <v>2343</v>
      </c>
      <c r="AS41" s="1887"/>
      <c r="AT41" s="1326"/>
      <c r="AU41" s="1326"/>
      <c r="AV41" s="1326"/>
      <c r="AW41" s="1326"/>
      <c r="AX41" s="1326"/>
      <c r="AY41" s="262"/>
    </row>
    <row r="42" spans="1:51" s="260" customFormat="1" ht="103.5" customHeight="1">
      <c r="A42" s="1772"/>
      <c r="B42" s="2100" t="s">
        <v>473</v>
      </c>
      <c r="C42" s="2101"/>
      <c r="D42" s="2101"/>
      <c r="E42" s="2101"/>
      <c r="F42" s="1356"/>
      <c r="G42" s="1767" t="s">
        <v>1067</v>
      </c>
      <c r="H42" s="1767"/>
      <c r="I42" s="1767"/>
      <c r="J42" s="1772"/>
      <c r="K42" s="1772"/>
      <c r="L42" s="1772"/>
      <c r="M42" s="1772"/>
      <c r="N42" s="1772"/>
      <c r="O42" s="1772"/>
      <c r="P42" s="1772"/>
      <c r="Q42" s="1772"/>
      <c r="R42" s="1772"/>
      <c r="S42" s="324"/>
      <c r="T42" s="821" t="e">
        <f>VLOOKUP(Q42,[96]Listas!$D$6:$E$10,2,0)</f>
        <v>#N/A</v>
      </c>
      <c r="U42" s="821" t="e">
        <f>HLOOKUP(R42,[96]Listas!$F$4:$J$5,2,0)</f>
        <v>#N/A</v>
      </c>
      <c r="V42" s="1902"/>
      <c r="W42" s="324"/>
      <c r="X42" s="1768" t="s">
        <v>1068</v>
      </c>
      <c r="Y42" s="1768"/>
      <c r="Z42" s="1768"/>
      <c r="AA42" s="1333"/>
      <c r="AB42" s="1356"/>
      <c r="AC42" s="1772"/>
      <c r="AD42" s="1772"/>
      <c r="AE42" s="1772"/>
      <c r="AF42" s="324"/>
      <c r="AG42" s="821">
        <f t="shared" si="2"/>
        <v>0</v>
      </c>
      <c r="AH42" s="824" t="e">
        <f t="shared" si="3"/>
        <v>#N/A</v>
      </c>
      <c r="AI42" s="2293"/>
      <c r="AJ42" s="824" t="e">
        <f t="shared" si="4"/>
        <v>#N/A</v>
      </c>
      <c r="AK42" s="2293" t="e">
        <f>IF(AJ42&lt;=1,"Insignificante",HLOOKUP(AJ42,[96]Listas!$F$3:$J$4,2,0))</f>
        <v>#N/A</v>
      </c>
      <c r="AL42" s="823" t="e">
        <f t="shared" si="5"/>
        <v>#N/A</v>
      </c>
      <c r="AM42" s="2293" t="e">
        <f>INDEX([96]Listas!$F$6:$J$10,MATCH(AI42,[96]Listas!$D$6:$D$10,0),MATCH(AK42,[96]Listas!$F$4:$J$4,0))</f>
        <v>#N/A</v>
      </c>
      <c r="AN42" s="1326"/>
      <c r="AO42" s="1326"/>
      <c r="AP42" s="1887"/>
      <c r="AQ42" s="1887"/>
      <c r="AR42" s="1887" t="s">
        <v>2343</v>
      </c>
      <c r="AS42" s="1887"/>
      <c r="AT42" s="1326"/>
      <c r="AU42" s="1326"/>
      <c r="AV42" s="1326"/>
      <c r="AW42" s="1326"/>
      <c r="AX42" s="1326"/>
      <c r="AY42" s="262"/>
    </row>
    <row r="43" spans="1:51" s="260" customFormat="1" ht="103.5" customHeight="1">
      <c r="A43" s="1772"/>
      <c r="B43" s="2100" t="s">
        <v>473</v>
      </c>
      <c r="C43" s="2101"/>
      <c r="D43" s="2101"/>
      <c r="E43" s="2101"/>
      <c r="F43" s="1356"/>
      <c r="G43" s="1767" t="s">
        <v>974</v>
      </c>
      <c r="H43" s="1767"/>
      <c r="I43" s="1767"/>
      <c r="J43" s="1772"/>
      <c r="K43" s="1772"/>
      <c r="L43" s="1772"/>
      <c r="M43" s="1772"/>
      <c r="N43" s="1772"/>
      <c r="O43" s="1772"/>
      <c r="P43" s="1772"/>
      <c r="Q43" s="1772"/>
      <c r="R43" s="1772"/>
      <c r="S43" s="324"/>
      <c r="T43" s="821" t="e">
        <f>VLOOKUP(Q43,[96]Listas!$D$6:$E$10,2,0)</f>
        <v>#N/A</v>
      </c>
      <c r="U43" s="821" t="e">
        <f>HLOOKUP(R43,[96]Listas!$F$4:$J$5,2,0)</f>
        <v>#N/A</v>
      </c>
      <c r="V43" s="1902"/>
      <c r="W43" s="324"/>
      <c r="X43" s="1768" t="s">
        <v>1113</v>
      </c>
      <c r="Y43" s="1768"/>
      <c r="Z43" s="1768"/>
      <c r="AA43" s="1402"/>
      <c r="AB43" s="1356"/>
      <c r="AC43" s="1772"/>
      <c r="AD43" s="1772"/>
      <c r="AE43" s="1772"/>
      <c r="AF43" s="324"/>
      <c r="AG43" s="821">
        <f t="shared" si="2"/>
        <v>0</v>
      </c>
      <c r="AH43" s="824" t="e">
        <f t="shared" si="3"/>
        <v>#N/A</v>
      </c>
      <c r="AI43" s="2293"/>
      <c r="AJ43" s="824" t="e">
        <f t="shared" si="4"/>
        <v>#N/A</v>
      </c>
      <c r="AK43" s="2293" t="e">
        <f>IF(AJ43&lt;=1,"Insignificante",HLOOKUP(AJ43,[96]Listas!$F$3:$J$4,2,0))</f>
        <v>#N/A</v>
      </c>
      <c r="AL43" s="823" t="e">
        <f t="shared" si="5"/>
        <v>#N/A</v>
      </c>
      <c r="AM43" s="2293" t="e">
        <f>INDEX([96]Listas!$F$6:$J$10,MATCH(AI43,[96]Listas!$D$6:$D$10,0),MATCH(AK43,[96]Listas!$F$4:$J$4,0))</f>
        <v>#N/A</v>
      </c>
      <c r="AN43" s="1327"/>
      <c r="AO43" s="1327"/>
      <c r="AP43" s="1888"/>
      <c r="AQ43" s="1888"/>
      <c r="AR43" s="1888" t="s">
        <v>2343</v>
      </c>
      <c r="AS43" s="1888"/>
      <c r="AT43" s="1327"/>
      <c r="AU43" s="1327"/>
      <c r="AV43" s="1327"/>
      <c r="AW43" s="1327"/>
      <c r="AX43" s="1327"/>
      <c r="AY43" s="262"/>
    </row>
    <row r="44" spans="1:51" s="260" customFormat="1" ht="103.5" customHeight="1">
      <c r="A44" s="1772" t="s">
        <v>73</v>
      </c>
      <c r="B44" s="2100" t="s">
        <v>1633</v>
      </c>
      <c r="C44" s="2101" t="s">
        <v>1634</v>
      </c>
      <c r="D44" s="2101"/>
      <c r="E44" s="2101"/>
      <c r="F44" s="1356" t="s">
        <v>353</v>
      </c>
      <c r="G44" s="1767" t="s">
        <v>1440</v>
      </c>
      <c r="H44" s="1767"/>
      <c r="I44" s="1767"/>
      <c r="J44" s="1772" t="s">
        <v>1073</v>
      </c>
      <c r="K44" s="1772"/>
      <c r="L44" s="1772"/>
      <c r="M44" s="1772"/>
      <c r="N44" s="1772"/>
      <c r="O44" s="1772" t="s">
        <v>8</v>
      </c>
      <c r="P44" s="1772"/>
      <c r="Q44" s="1772" t="s">
        <v>654</v>
      </c>
      <c r="R44" s="1772" t="s">
        <v>643</v>
      </c>
      <c r="S44" s="324"/>
      <c r="T44" s="821">
        <f>VLOOKUP(Q44,[96]Listas!$D$6:$E$10,2,0)</f>
        <v>1</v>
      </c>
      <c r="U44" s="821">
        <f>HLOOKUP(R44,[96]Listas!$F$4:$J$5,2,0)</f>
        <v>2</v>
      </c>
      <c r="V44" s="1902" t="str">
        <f>INDEX([96]Listas!$F$6:$J$10,MATCH(Q44,[96]Listas!$D$6:$D$10,0),MATCH(R44,[96]Listas!$F$4:$J$4,0))</f>
        <v>2
INFERIOR</v>
      </c>
      <c r="W44" s="324"/>
      <c r="X44" s="1768" t="s">
        <v>1441</v>
      </c>
      <c r="Y44" s="1768"/>
      <c r="Z44" s="1768"/>
      <c r="AA44" s="1332" t="s">
        <v>4255</v>
      </c>
      <c r="AB44" s="1356" t="s">
        <v>1420</v>
      </c>
      <c r="AC44" s="1772" t="s">
        <v>1442</v>
      </c>
      <c r="AD44" s="1772">
        <v>62</v>
      </c>
      <c r="AE44" s="1772" t="s">
        <v>151</v>
      </c>
      <c r="AF44" s="324"/>
      <c r="AG44" s="821">
        <f t="shared" si="2"/>
        <v>1</v>
      </c>
      <c r="AH44" s="824">
        <f t="shared" si="3"/>
        <v>1</v>
      </c>
      <c r="AI44" s="2293" t="str">
        <f>IF(AH44&lt;=1,"Remota",VLOOKUP(AH44,[96]Listas!$C$6:$D$10,2,0))</f>
        <v>Remota</v>
      </c>
      <c r="AJ44" s="824">
        <f t="shared" si="4"/>
        <v>1</v>
      </c>
      <c r="AK44" s="2293" t="str">
        <f>IF(AJ44&lt;=1,"Insignificante",HLOOKUP(AJ44,[96]Listas!$F$3:$J$4,2,0))</f>
        <v>Insignificante</v>
      </c>
      <c r="AL44" s="823">
        <f t="shared" si="5"/>
        <v>1</v>
      </c>
      <c r="AM44" s="2293" t="str">
        <f>INDEX([96]Listas!$F$6:$J$10,MATCH(AI44,[96]Listas!$D$6:$D$10,0),MATCH(AK44,[96]Listas!$F$4:$J$4,0))</f>
        <v>1
INFERIOR</v>
      </c>
      <c r="AN44" s="1325" t="s">
        <v>3118</v>
      </c>
      <c r="AO44" s="1325" t="s">
        <v>3119</v>
      </c>
      <c r="AP44" s="1886">
        <v>0</v>
      </c>
      <c r="AQ44" s="1886" t="s">
        <v>4098</v>
      </c>
      <c r="AR44" s="1886" t="s">
        <v>3495</v>
      </c>
      <c r="AS44" s="1886" t="s">
        <v>36</v>
      </c>
      <c r="AT44" s="1325"/>
      <c r="AU44" s="1325"/>
      <c r="AV44" s="1325"/>
      <c r="AW44" s="1325"/>
      <c r="AX44" s="1325"/>
      <c r="AY44" s="262"/>
    </row>
    <row r="45" spans="1:51" s="260" customFormat="1" ht="103.5" customHeight="1">
      <c r="A45" s="1772"/>
      <c r="B45" s="2100" t="s">
        <v>473</v>
      </c>
      <c r="C45" s="2101"/>
      <c r="D45" s="2101"/>
      <c r="E45" s="2101"/>
      <c r="F45" s="1356"/>
      <c r="G45" s="1767" t="s">
        <v>1077</v>
      </c>
      <c r="H45" s="1767"/>
      <c r="I45" s="1767"/>
      <c r="J45" s="1772"/>
      <c r="K45" s="1772"/>
      <c r="L45" s="1772"/>
      <c r="M45" s="1772"/>
      <c r="N45" s="1772"/>
      <c r="O45" s="1772"/>
      <c r="P45" s="1772"/>
      <c r="Q45" s="1772"/>
      <c r="R45" s="1772"/>
      <c r="S45" s="324"/>
      <c r="T45" s="821" t="e">
        <f>VLOOKUP(Q45,[96]Listas!$D$6:$E$10,2,0)</f>
        <v>#N/A</v>
      </c>
      <c r="U45" s="821" t="e">
        <f>HLOOKUP(R45,[96]Listas!$F$4:$J$5,2,0)</f>
        <v>#N/A</v>
      </c>
      <c r="V45" s="1902"/>
      <c r="W45" s="324"/>
      <c r="X45" s="1895" t="s">
        <v>1443</v>
      </c>
      <c r="Y45" s="1895"/>
      <c r="Z45" s="1895"/>
      <c r="AA45" s="1333"/>
      <c r="AB45" s="1356"/>
      <c r="AC45" s="1772"/>
      <c r="AD45" s="1772"/>
      <c r="AE45" s="1772"/>
      <c r="AF45" s="324"/>
      <c r="AG45" s="821">
        <f t="shared" si="2"/>
        <v>0</v>
      </c>
      <c r="AH45" s="824" t="e">
        <f t="shared" si="3"/>
        <v>#N/A</v>
      </c>
      <c r="AI45" s="2293"/>
      <c r="AJ45" s="824" t="e">
        <f t="shared" si="4"/>
        <v>#N/A</v>
      </c>
      <c r="AK45" s="2293" t="e">
        <f>IF(AJ45&lt;=1,"Insignificante",HLOOKUP(AJ45,[96]Listas!$F$3:$J$4,2,0))</f>
        <v>#N/A</v>
      </c>
      <c r="AL45" s="823" t="e">
        <f t="shared" si="5"/>
        <v>#N/A</v>
      </c>
      <c r="AM45" s="2293" t="e">
        <f>INDEX([96]Listas!$F$6:$J$10,MATCH(AI45,[96]Listas!$D$6:$D$10,0),MATCH(AK45,[96]Listas!$F$4:$J$4,0))</f>
        <v>#N/A</v>
      </c>
      <c r="AN45" s="1326"/>
      <c r="AO45" s="1326"/>
      <c r="AP45" s="1887"/>
      <c r="AQ45" s="1887"/>
      <c r="AR45" s="1887" t="s">
        <v>2343</v>
      </c>
      <c r="AS45" s="1887"/>
      <c r="AT45" s="1326"/>
      <c r="AU45" s="1326"/>
      <c r="AV45" s="1326"/>
      <c r="AW45" s="1326"/>
      <c r="AX45" s="1326"/>
      <c r="AY45" s="262"/>
    </row>
    <row r="46" spans="1:51" s="260" customFormat="1" ht="103.5" customHeight="1">
      <c r="A46" s="1772"/>
      <c r="B46" s="2100" t="s">
        <v>473</v>
      </c>
      <c r="C46" s="2101"/>
      <c r="D46" s="2101"/>
      <c r="E46" s="2101"/>
      <c r="F46" s="1356"/>
      <c r="G46" s="1767" t="s">
        <v>1308</v>
      </c>
      <c r="H46" s="1767"/>
      <c r="I46" s="1767"/>
      <c r="J46" s="1772"/>
      <c r="K46" s="1772"/>
      <c r="L46" s="1772"/>
      <c r="M46" s="1772"/>
      <c r="N46" s="1772"/>
      <c r="O46" s="1772"/>
      <c r="P46" s="1772"/>
      <c r="Q46" s="1772"/>
      <c r="R46" s="1772"/>
      <c r="S46" s="324"/>
      <c r="T46" s="821" t="e">
        <f>VLOOKUP(Q46,[96]Listas!$D$6:$E$10,2,0)</f>
        <v>#N/A</v>
      </c>
      <c r="U46" s="821" t="e">
        <f>HLOOKUP(R46,[96]Listas!$F$4:$J$5,2,0)</f>
        <v>#N/A</v>
      </c>
      <c r="V46" s="1902"/>
      <c r="W46" s="324"/>
      <c r="X46" s="1895"/>
      <c r="Y46" s="1895"/>
      <c r="Z46" s="1895"/>
      <c r="AA46" s="1333"/>
      <c r="AB46" s="1356"/>
      <c r="AC46" s="1772"/>
      <c r="AD46" s="1772"/>
      <c r="AE46" s="1772"/>
      <c r="AF46" s="324"/>
      <c r="AG46" s="821">
        <f t="shared" si="2"/>
        <v>0</v>
      </c>
      <c r="AH46" s="824" t="e">
        <f t="shared" si="3"/>
        <v>#N/A</v>
      </c>
      <c r="AI46" s="2293"/>
      <c r="AJ46" s="824" t="e">
        <f t="shared" si="4"/>
        <v>#N/A</v>
      </c>
      <c r="AK46" s="2293" t="e">
        <f>IF(AJ46&lt;=1,"Insignificante",HLOOKUP(AJ46,[96]Listas!$F$3:$J$4,2,0))</f>
        <v>#N/A</v>
      </c>
      <c r="AL46" s="823" t="e">
        <f t="shared" si="5"/>
        <v>#N/A</v>
      </c>
      <c r="AM46" s="2293" t="e">
        <f>INDEX([96]Listas!$F$6:$J$10,MATCH(AI46,[96]Listas!$D$6:$D$10,0),MATCH(AK46,[96]Listas!$F$4:$J$4,0))</f>
        <v>#N/A</v>
      </c>
      <c r="AN46" s="1326"/>
      <c r="AO46" s="1326"/>
      <c r="AP46" s="1887"/>
      <c r="AQ46" s="1887"/>
      <c r="AR46" s="1887" t="s">
        <v>2343</v>
      </c>
      <c r="AS46" s="1887"/>
      <c r="AT46" s="1326"/>
      <c r="AU46" s="1326"/>
      <c r="AV46" s="1326"/>
      <c r="AW46" s="1326"/>
      <c r="AX46" s="1326"/>
      <c r="AY46" s="262"/>
    </row>
    <row r="47" spans="1:51" s="260" customFormat="1" ht="103.5" customHeight="1">
      <c r="A47" s="1772"/>
      <c r="B47" s="2100" t="s">
        <v>473</v>
      </c>
      <c r="C47" s="2101"/>
      <c r="D47" s="2101"/>
      <c r="E47" s="2101"/>
      <c r="F47" s="1356"/>
      <c r="G47" s="1767" t="s">
        <v>1079</v>
      </c>
      <c r="H47" s="1767"/>
      <c r="I47" s="1767"/>
      <c r="J47" s="1772"/>
      <c r="K47" s="1772"/>
      <c r="L47" s="1772"/>
      <c r="M47" s="1772"/>
      <c r="N47" s="1772"/>
      <c r="O47" s="1772"/>
      <c r="P47" s="1772"/>
      <c r="Q47" s="1772"/>
      <c r="R47" s="1772"/>
      <c r="S47" s="324"/>
      <c r="T47" s="821" t="e">
        <f>VLOOKUP(Q47,[96]Listas!$D$6:$E$10,2,0)</f>
        <v>#N/A</v>
      </c>
      <c r="U47" s="821" t="e">
        <f>HLOOKUP(R47,[96]Listas!$F$4:$J$5,2,0)</f>
        <v>#N/A</v>
      </c>
      <c r="V47" s="1902"/>
      <c r="W47" s="324"/>
      <c r="X47" s="1895"/>
      <c r="Y47" s="1895"/>
      <c r="Z47" s="1895"/>
      <c r="AA47" s="1402"/>
      <c r="AB47" s="1356"/>
      <c r="AC47" s="1772"/>
      <c r="AD47" s="1772"/>
      <c r="AE47" s="1772"/>
      <c r="AF47" s="324"/>
      <c r="AG47" s="821">
        <f t="shared" si="2"/>
        <v>0</v>
      </c>
      <c r="AH47" s="824" t="e">
        <f t="shared" si="3"/>
        <v>#N/A</v>
      </c>
      <c r="AI47" s="2293"/>
      <c r="AJ47" s="824" t="e">
        <f t="shared" si="4"/>
        <v>#N/A</v>
      </c>
      <c r="AK47" s="2293" t="e">
        <f>IF(AJ47&lt;=1,"Insignificante",HLOOKUP(AJ47,[96]Listas!$F$3:$J$4,2,0))</f>
        <v>#N/A</v>
      </c>
      <c r="AL47" s="823" t="e">
        <f t="shared" si="5"/>
        <v>#N/A</v>
      </c>
      <c r="AM47" s="2293" t="e">
        <f>INDEX([96]Listas!$F$6:$J$10,MATCH(AI47,[96]Listas!$D$6:$D$10,0),MATCH(AK47,[96]Listas!$F$4:$J$4,0))</f>
        <v>#N/A</v>
      </c>
      <c r="AN47" s="1327"/>
      <c r="AO47" s="1327"/>
      <c r="AP47" s="1888"/>
      <c r="AQ47" s="1888"/>
      <c r="AR47" s="1888" t="s">
        <v>2343</v>
      </c>
      <c r="AS47" s="1888"/>
      <c r="AT47" s="1327"/>
      <c r="AU47" s="1327"/>
      <c r="AV47" s="1327"/>
      <c r="AW47" s="1327"/>
      <c r="AX47" s="1327"/>
      <c r="AY47" s="262"/>
    </row>
    <row r="48" spans="1:51" s="260" customFormat="1" ht="103.5" customHeight="1">
      <c r="A48" s="1772" t="s">
        <v>73</v>
      </c>
      <c r="B48" s="2100" t="s">
        <v>1635</v>
      </c>
      <c r="C48" s="2101" t="s">
        <v>1198</v>
      </c>
      <c r="D48" s="2101"/>
      <c r="E48" s="2101"/>
      <c r="F48" s="1356" t="s">
        <v>353</v>
      </c>
      <c r="G48" s="1767" t="s">
        <v>1199</v>
      </c>
      <c r="H48" s="1767"/>
      <c r="I48" s="1767"/>
      <c r="J48" s="1772" t="s">
        <v>1636</v>
      </c>
      <c r="K48" s="1772"/>
      <c r="L48" s="1772"/>
      <c r="M48" s="1772"/>
      <c r="N48" s="1772"/>
      <c r="O48" s="1772" t="s">
        <v>8</v>
      </c>
      <c r="P48" s="1772"/>
      <c r="Q48" s="1772" t="s">
        <v>64</v>
      </c>
      <c r="R48" s="1772" t="s">
        <v>274</v>
      </c>
      <c r="S48" s="324"/>
      <c r="T48" s="821">
        <f>VLOOKUP(Q48,[96]Listas!$D$6:$E$10,2,0)</f>
        <v>3</v>
      </c>
      <c r="U48" s="821">
        <f>HLOOKUP(R48,[96]Listas!$F$4:$J$5,2,0)</f>
        <v>3</v>
      </c>
      <c r="V48" s="1902" t="str">
        <f>INDEX([96]Listas!$F$6:$J$10,MATCH(Q48,[96]Listas!$D$6:$D$10,0),MATCH(R48,[96]Listas!$F$4:$J$4,0))</f>
        <v>9
MODERADO</v>
      </c>
      <c r="W48" s="324"/>
      <c r="X48" s="1768" t="s">
        <v>1446</v>
      </c>
      <c r="Y48" s="1768"/>
      <c r="Z48" s="1768"/>
      <c r="AA48" s="1332" t="s">
        <v>4256</v>
      </c>
      <c r="AB48" s="1356" t="s">
        <v>1420</v>
      </c>
      <c r="AC48" s="1772" t="s">
        <v>1637</v>
      </c>
      <c r="AD48" s="1772">
        <v>75</v>
      </c>
      <c r="AE48" s="1772" t="s">
        <v>153</v>
      </c>
      <c r="AF48" s="324"/>
      <c r="AG48" s="821">
        <f t="shared" si="2"/>
        <v>1</v>
      </c>
      <c r="AH48" s="824">
        <f t="shared" si="3"/>
        <v>2</v>
      </c>
      <c r="AI48" s="2293" t="str">
        <f>IF(AH48&lt;=1,"Remota",VLOOKUP(AH48,[96]Listas!$C$6:$D$10,2,0))</f>
        <v>Baja</v>
      </c>
      <c r="AJ48" s="824">
        <f t="shared" si="4"/>
        <v>3</v>
      </c>
      <c r="AK48" s="2293" t="str">
        <f>IF(AJ48&lt;=1,"Insignificante",HLOOKUP(AJ48,[96]Listas!$F$3:$J$4,2,0))</f>
        <v>Moderado</v>
      </c>
      <c r="AL48" s="823">
        <f t="shared" si="5"/>
        <v>6</v>
      </c>
      <c r="AM48" s="2293" t="str">
        <f>INDEX([96]Listas!$F$6:$J$10,MATCH(AI48,[96]Listas!$D$6:$D$10,0),MATCH(AK48,[96]Listas!$F$4:$J$4,0))</f>
        <v>6
MODERADO</v>
      </c>
      <c r="AN48" s="1325" t="s">
        <v>3115</v>
      </c>
      <c r="AO48" s="1325" t="s">
        <v>3116</v>
      </c>
      <c r="AP48" s="1886">
        <v>0</v>
      </c>
      <c r="AQ48" s="1886" t="s">
        <v>3503</v>
      </c>
      <c r="AR48" s="1886" t="s">
        <v>3495</v>
      </c>
      <c r="AS48" s="1886" t="s">
        <v>36</v>
      </c>
      <c r="AT48" s="1325"/>
      <c r="AU48" s="1325"/>
      <c r="AV48" s="1325"/>
      <c r="AW48" s="1325"/>
      <c r="AX48" s="1325"/>
      <c r="AY48" s="262"/>
    </row>
    <row r="49" spans="1:51" s="260" customFormat="1" ht="103.5" customHeight="1">
      <c r="A49" s="1772"/>
      <c r="B49" s="2100" t="s">
        <v>473</v>
      </c>
      <c r="C49" s="2101"/>
      <c r="D49" s="2101"/>
      <c r="E49" s="2101"/>
      <c r="F49" s="1356"/>
      <c r="G49" s="1767" t="s">
        <v>1201</v>
      </c>
      <c r="H49" s="1767"/>
      <c r="I49" s="1767"/>
      <c r="J49" s="1772"/>
      <c r="K49" s="1772"/>
      <c r="L49" s="1772"/>
      <c r="M49" s="1772"/>
      <c r="N49" s="1772"/>
      <c r="O49" s="1772"/>
      <c r="P49" s="1772"/>
      <c r="Q49" s="1772"/>
      <c r="R49" s="1772"/>
      <c r="S49" s="324"/>
      <c r="T49" s="821" t="e">
        <f>VLOOKUP(Q49,[96]Listas!$D$6:$E$10,2,0)</f>
        <v>#N/A</v>
      </c>
      <c r="U49" s="821" t="e">
        <f>HLOOKUP(R49,[96]Listas!$F$4:$J$5,2,0)</f>
        <v>#N/A</v>
      </c>
      <c r="V49" s="1902"/>
      <c r="W49" s="324"/>
      <c r="X49" s="1768" t="s">
        <v>1448</v>
      </c>
      <c r="Y49" s="1768"/>
      <c r="Z49" s="1768"/>
      <c r="AA49" s="1333"/>
      <c r="AB49" s="1356"/>
      <c r="AC49" s="1772"/>
      <c r="AD49" s="1772"/>
      <c r="AE49" s="1772"/>
      <c r="AF49" s="324"/>
      <c r="AG49" s="821">
        <f t="shared" si="2"/>
        <v>0</v>
      </c>
      <c r="AH49" s="824" t="e">
        <f t="shared" si="3"/>
        <v>#N/A</v>
      </c>
      <c r="AI49" s="2293"/>
      <c r="AJ49" s="824" t="e">
        <f t="shared" si="4"/>
        <v>#N/A</v>
      </c>
      <c r="AK49" s="2293" t="e">
        <f>IF(AJ49&lt;=1,"Insignificante",HLOOKUP(AJ49,[96]Listas!$F$3:$J$4,2,0))</f>
        <v>#N/A</v>
      </c>
      <c r="AL49" s="823" t="e">
        <f t="shared" si="5"/>
        <v>#N/A</v>
      </c>
      <c r="AM49" s="2293" t="e">
        <f>INDEX([96]Listas!$F$6:$J$10,MATCH(AI49,[96]Listas!$D$6:$D$10,0),MATCH(AK49,[96]Listas!$F$4:$J$4,0))</f>
        <v>#N/A</v>
      </c>
      <c r="AN49" s="1326"/>
      <c r="AO49" s="1326"/>
      <c r="AP49" s="1887"/>
      <c r="AQ49" s="1887"/>
      <c r="AR49" s="1887" t="s">
        <v>2343</v>
      </c>
      <c r="AS49" s="1887"/>
      <c r="AT49" s="1326"/>
      <c r="AU49" s="1326"/>
      <c r="AV49" s="1326"/>
      <c r="AW49" s="1326"/>
      <c r="AX49" s="1326"/>
      <c r="AY49" s="262"/>
    </row>
    <row r="50" spans="1:51" s="260" customFormat="1" ht="103.5" customHeight="1">
      <c r="A50" s="1772"/>
      <c r="B50" s="2100" t="s">
        <v>473</v>
      </c>
      <c r="C50" s="2101"/>
      <c r="D50" s="2101"/>
      <c r="E50" s="2101"/>
      <c r="F50" s="1356"/>
      <c r="G50" s="1767" t="s">
        <v>1449</v>
      </c>
      <c r="H50" s="1767"/>
      <c r="I50" s="1767"/>
      <c r="J50" s="1772"/>
      <c r="K50" s="1772"/>
      <c r="L50" s="1772"/>
      <c r="M50" s="1772"/>
      <c r="N50" s="1772"/>
      <c r="O50" s="1772"/>
      <c r="P50" s="1772"/>
      <c r="Q50" s="1772"/>
      <c r="R50" s="1772"/>
      <c r="S50" s="324"/>
      <c r="T50" s="821" t="e">
        <f>VLOOKUP(Q50,[96]Listas!$D$6:$E$10,2,0)</f>
        <v>#N/A</v>
      </c>
      <c r="U50" s="821" t="e">
        <f>HLOOKUP(R50,[96]Listas!$F$4:$J$5,2,0)</f>
        <v>#N/A</v>
      </c>
      <c r="V50" s="1902"/>
      <c r="W50" s="324"/>
      <c r="X50" s="1768" t="s">
        <v>1448</v>
      </c>
      <c r="Y50" s="1768"/>
      <c r="Z50" s="1768"/>
      <c r="AA50" s="1333"/>
      <c r="AB50" s="1356"/>
      <c r="AC50" s="1772"/>
      <c r="AD50" s="1772"/>
      <c r="AE50" s="1772"/>
      <c r="AF50" s="324"/>
      <c r="AG50" s="821">
        <f t="shared" si="2"/>
        <v>0</v>
      </c>
      <c r="AH50" s="824" t="e">
        <f t="shared" si="3"/>
        <v>#N/A</v>
      </c>
      <c r="AI50" s="2293"/>
      <c r="AJ50" s="824" t="e">
        <f t="shared" si="4"/>
        <v>#N/A</v>
      </c>
      <c r="AK50" s="2293" t="e">
        <f>IF(AJ50&lt;=1,"Insignificante",HLOOKUP(AJ50,[96]Listas!$F$3:$J$4,2,0))</f>
        <v>#N/A</v>
      </c>
      <c r="AL50" s="823" t="e">
        <f t="shared" si="5"/>
        <v>#N/A</v>
      </c>
      <c r="AM50" s="2293" t="e">
        <f>INDEX([96]Listas!$F$6:$J$10,MATCH(AI50,[96]Listas!$D$6:$D$10,0),MATCH(AK50,[96]Listas!$F$4:$J$4,0))</f>
        <v>#N/A</v>
      </c>
      <c r="AN50" s="1326"/>
      <c r="AO50" s="1326"/>
      <c r="AP50" s="1887"/>
      <c r="AQ50" s="1887"/>
      <c r="AR50" s="1887" t="s">
        <v>2343</v>
      </c>
      <c r="AS50" s="1887"/>
      <c r="AT50" s="1326"/>
      <c r="AU50" s="1326"/>
      <c r="AV50" s="1326"/>
      <c r="AW50" s="1326"/>
      <c r="AX50" s="1326"/>
      <c r="AY50" s="262"/>
    </row>
    <row r="51" spans="1:51" s="260" customFormat="1" ht="103.5" customHeight="1">
      <c r="A51" s="1772"/>
      <c r="B51" s="2100" t="s">
        <v>473</v>
      </c>
      <c r="C51" s="2101"/>
      <c r="D51" s="2101"/>
      <c r="E51" s="2101"/>
      <c r="F51" s="1356"/>
      <c r="G51" s="1767" t="s">
        <v>1202</v>
      </c>
      <c r="H51" s="1767"/>
      <c r="I51" s="1767"/>
      <c r="J51" s="1772"/>
      <c r="K51" s="1772"/>
      <c r="L51" s="1772"/>
      <c r="M51" s="1772"/>
      <c r="N51" s="1772"/>
      <c r="O51" s="1772"/>
      <c r="P51" s="1772"/>
      <c r="Q51" s="1772"/>
      <c r="R51" s="1772"/>
      <c r="S51" s="324"/>
      <c r="T51" s="821" t="e">
        <f>VLOOKUP(Q51,[96]Listas!$D$6:$E$10,2,0)</f>
        <v>#N/A</v>
      </c>
      <c r="U51" s="821" t="e">
        <f>HLOOKUP(R51,[96]Listas!$F$4:$J$5,2,0)</f>
        <v>#N/A</v>
      </c>
      <c r="V51" s="1902"/>
      <c r="W51" s="324"/>
      <c r="X51" s="1768" t="s">
        <v>1450</v>
      </c>
      <c r="Y51" s="1768"/>
      <c r="Z51" s="1768"/>
      <c r="AA51" s="1333"/>
      <c r="AB51" s="1356"/>
      <c r="AC51" s="1772"/>
      <c r="AD51" s="1772"/>
      <c r="AE51" s="1772"/>
      <c r="AF51" s="324"/>
      <c r="AG51" s="821">
        <f t="shared" si="2"/>
        <v>0</v>
      </c>
      <c r="AH51" s="824" t="e">
        <f t="shared" si="3"/>
        <v>#N/A</v>
      </c>
      <c r="AI51" s="2293"/>
      <c r="AJ51" s="824" t="e">
        <f t="shared" si="4"/>
        <v>#N/A</v>
      </c>
      <c r="AK51" s="2293" t="e">
        <f>IF(AJ51&lt;=1,"Insignificante",HLOOKUP(AJ51,[96]Listas!$F$3:$J$4,2,0))</f>
        <v>#N/A</v>
      </c>
      <c r="AL51" s="823" t="e">
        <f t="shared" si="5"/>
        <v>#N/A</v>
      </c>
      <c r="AM51" s="2293" t="e">
        <f>INDEX([96]Listas!$F$6:$J$10,MATCH(AI51,[96]Listas!$D$6:$D$10,0),MATCH(AK51,[96]Listas!$F$4:$J$4,0))</f>
        <v>#N/A</v>
      </c>
      <c r="AN51" s="1326"/>
      <c r="AO51" s="1326"/>
      <c r="AP51" s="1887"/>
      <c r="AQ51" s="1887"/>
      <c r="AR51" s="1887" t="s">
        <v>2343</v>
      </c>
      <c r="AS51" s="1887"/>
      <c r="AT51" s="1326"/>
      <c r="AU51" s="1326"/>
      <c r="AV51" s="1326"/>
      <c r="AW51" s="1326"/>
      <c r="AX51" s="1326"/>
      <c r="AY51" s="262"/>
    </row>
    <row r="52" spans="1:51" s="260" customFormat="1" ht="103.5" customHeight="1">
      <c r="A52" s="1772"/>
      <c r="B52" s="2100" t="s">
        <v>473</v>
      </c>
      <c r="C52" s="2101"/>
      <c r="D52" s="2101"/>
      <c r="E52" s="2101"/>
      <c r="F52" s="1356"/>
      <c r="G52" s="1767" t="s">
        <v>1043</v>
      </c>
      <c r="H52" s="1767"/>
      <c r="I52" s="1767"/>
      <c r="J52" s="1772"/>
      <c r="K52" s="1772"/>
      <c r="L52" s="1772"/>
      <c r="M52" s="1772"/>
      <c r="N52" s="1772"/>
      <c r="O52" s="1772"/>
      <c r="P52" s="1772"/>
      <c r="Q52" s="1772"/>
      <c r="R52" s="1772"/>
      <c r="S52" s="324"/>
      <c r="T52" s="821" t="e">
        <f>VLOOKUP(Q52,[96]Listas!$D$6:$E$10,2,0)</f>
        <v>#N/A</v>
      </c>
      <c r="U52" s="821" t="e">
        <f>HLOOKUP(R52,[96]Listas!$F$4:$J$5,2,0)</f>
        <v>#N/A</v>
      </c>
      <c r="V52" s="1902"/>
      <c r="W52" s="324"/>
      <c r="X52" s="1768" t="s">
        <v>1448</v>
      </c>
      <c r="Y52" s="1768"/>
      <c r="Z52" s="1768"/>
      <c r="AA52" s="1402"/>
      <c r="AB52" s="1356"/>
      <c r="AC52" s="1772"/>
      <c r="AD52" s="1772"/>
      <c r="AE52" s="1772"/>
      <c r="AF52" s="324"/>
      <c r="AG52" s="821">
        <f t="shared" si="2"/>
        <v>0</v>
      </c>
      <c r="AH52" s="824" t="e">
        <f t="shared" si="3"/>
        <v>#N/A</v>
      </c>
      <c r="AI52" s="2293"/>
      <c r="AJ52" s="824" t="e">
        <f t="shared" si="4"/>
        <v>#N/A</v>
      </c>
      <c r="AK52" s="2293" t="e">
        <f>IF(AJ52&lt;=1,"Insignificante",HLOOKUP(AJ52,[96]Listas!$F$3:$J$4,2,0))</f>
        <v>#N/A</v>
      </c>
      <c r="AL52" s="823" t="e">
        <f t="shared" si="5"/>
        <v>#N/A</v>
      </c>
      <c r="AM52" s="2293" t="e">
        <f>INDEX([96]Listas!$F$6:$J$10,MATCH(AI52,[96]Listas!$D$6:$D$10,0),MATCH(AK52,[96]Listas!$F$4:$J$4,0))</f>
        <v>#N/A</v>
      </c>
      <c r="AN52" s="1327"/>
      <c r="AO52" s="1327"/>
      <c r="AP52" s="1888"/>
      <c r="AQ52" s="1888"/>
      <c r="AR52" s="1888" t="s">
        <v>2343</v>
      </c>
      <c r="AS52" s="1888"/>
      <c r="AT52" s="1327"/>
      <c r="AU52" s="1327"/>
      <c r="AV52" s="1327"/>
      <c r="AW52" s="1327"/>
      <c r="AX52" s="1327"/>
      <c r="AY52" s="262"/>
    </row>
    <row r="53" spans="1:51" s="260" customFormat="1" ht="103.5" customHeight="1">
      <c r="A53" s="1772" t="s">
        <v>73</v>
      </c>
      <c r="B53" s="2100" t="s">
        <v>1638</v>
      </c>
      <c r="C53" s="2101" t="s">
        <v>1639</v>
      </c>
      <c r="D53" s="2101"/>
      <c r="E53" s="2101"/>
      <c r="F53" s="1356" t="s">
        <v>353</v>
      </c>
      <c r="G53" s="1767" t="s">
        <v>1640</v>
      </c>
      <c r="H53" s="1767"/>
      <c r="I53" s="1767"/>
      <c r="J53" s="1772" t="s">
        <v>1641</v>
      </c>
      <c r="K53" s="1772"/>
      <c r="L53" s="1772"/>
      <c r="M53" s="1772"/>
      <c r="N53" s="1772"/>
      <c r="O53" s="1772" t="s">
        <v>8</v>
      </c>
      <c r="P53" s="1772"/>
      <c r="Q53" s="1772" t="s">
        <v>655</v>
      </c>
      <c r="R53" s="1772" t="s">
        <v>274</v>
      </c>
      <c r="S53" s="324"/>
      <c r="T53" s="821">
        <f>VLOOKUP(Q53,[96]Listas!$D$6:$E$10,2,0)</f>
        <v>2</v>
      </c>
      <c r="U53" s="821">
        <f>HLOOKUP(R53,[96]Listas!$F$4:$J$5,2,0)</f>
        <v>3</v>
      </c>
      <c r="V53" s="1902" t="str">
        <f>INDEX([96]Listas!$F$6:$J$10,MATCH(Q53,[96]Listas!$D$6:$D$10,0),MATCH(R53,[96]Listas!$F$4:$J$4,0))</f>
        <v>6
MODERADO</v>
      </c>
      <c r="W53" s="324"/>
      <c r="X53" s="1768" t="s">
        <v>1642</v>
      </c>
      <c r="Y53" s="1768"/>
      <c r="Z53" s="1768"/>
      <c r="AA53" s="1332" t="s">
        <v>4257</v>
      </c>
      <c r="AB53" s="1356" t="s">
        <v>1643</v>
      </c>
      <c r="AC53" s="1772" t="s">
        <v>1644</v>
      </c>
      <c r="AD53" s="1772">
        <v>62</v>
      </c>
      <c r="AE53" s="1772" t="s">
        <v>153</v>
      </c>
      <c r="AF53" s="324"/>
      <c r="AG53" s="821">
        <f t="shared" si="2"/>
        <v>1</v>
      </c>
      <c r="AH53" s="824">
        <f t="shared" si="3"/>
        <v>1</v>
      </c>
      <c r="AI53" s="2293" t="str">
        <f>IF(AH53&lt;=1,"Remota",VLOOKUP(AH53,[96]Listas!$C$6:$D$10,2,0))</f>
        <v>Remota</v>
      </c>
      <c r="AJ53" s="824">
        <f t="shared" si="4"/>
        <v>3</v>
      </c>
      <c r="AK53" s="2293" t="str">
        <f>IF(AJ53&lt;=1,"Insignificante",HLOOKUP(AJ53,[96]Listas!$F$3:$J$4,2,0))</f>
        <v>Moderado</v>
      </c>
      <c r="AL53" s="823">
        <f t="shared" si="5"/>
        <v>3</v>
      </c>
      <c r="AM53" s="2293" t="str">
        <f>INDEX([96]Listas!$F$6:$J$10,MATCH(AI53,[96]Listas!$D$6:$D$10,0),MATCH(AK53,[96]Listas!$F$4:$J$4,0))</f>
        <v>3
INFERIOR</v>
      </c>
      <c r="AN53" s="1325" t="s">
        <v>3129</v>
      </c>
      <c r="AO53" s="1325" t="s">
        <v>3119</v>
      </c>
      <c r="AP53" s="1886">
        <v>0</v>
      </c>
      <c r="AQ53" s="1886" t="s">
        <v>3503</v>
      </c>
      <c r="AR53" s="1886" t="s">
        <v>3495</v>
      </c>
      <c r="AS53" s="1886" t="s">
        <v>36</v>
      </c>
      <c r="AT53" s="1325"/>
      <c r="AU53" s="1325"/>
      <c r="AV53" s="1325"/>
      <c r="AW53" s="1325"/>
      <c r="AX53" s="1325"/>
      <c r="AY53" s="262"/>
    </row>
    <row r="54" spans="1:51" s="260" customFormat="1" ht="103.5" customHeight="1">
      <c r="A54" s="1772"/>
      <c r="B54" s="2100" t="s">
        <v>473</v>
      </c>
      <c r="C54" s="2101"/>
      <c r="D54" s="2101"/>
      <c r="E54" s="2101"/>
      <c r="F54" s="1356"/>
      <c r="G54" s="1767" t="s">
        <v>1645</v>
      </c>
      <c r="H54" s="1767"/>
      <c r="I54" s="1767"/>
      <c r="J54" s="1772"/>
      <c r="K54" s="1772"/>
      <c r="L54" s="1772"/>
      <c r="M54" s="1772"/>
      <c r="N54" s="1772"/>
      <c r="O54" s="1772"/>
      <c r="P54" s="1772"/>
      <c r="Q54" s="1772"/>
      <c r="R54" s="1772"/>
      <c r="S54" s="324"/>
      <c r="T54" s="821" t="e">
        <f>VLOOKUP(Q54,[96]Listas!$D$6:$E$10,2,0)</f>
        <v>#N/A</v>
      </c>
      <c r="U54" s="821" t="e">
        <f>HLOOKUP(R54,[96]Listas!$F$4:$J$5,2,0)</f>
        <v>#N/A</v>
      </c>
      <c r="V54" s="1902"/>
      <c r="W54" s="324"/>
      <c r="X54" s="1768" t="s">
        <v>1646</v>
      </c>
      <c r="Y54" s="1768"/>
      <c r="Z54" s="1768"/>
      <c r="AA54" s="1333"/>
      <c r="AB54" s="1356"/>
      <c r="AC54" s="1772"/>
      <c r="AD54" s="1772"/>
      <c r="AE54" s="1772"/>
      <c r="AF54" s="324"/>
      <c r="AG54" s="821">
        <f t="shared" si="2"/>
        <v>0</v>
      </c>
      <c r="AH54" s="824" t="e">
        <f t="shared" si="3"/>
        <v>#N/A</v>
      </c>
      <c r="AI54" s="2293"/>
      <c r="AJ54" s="824" t="e">
        <f t="shared" si="4"/>
        <v>#N/A</v>
      </c>
      <c r="AK54" s="2293" t="e">
        <f>IF(AJ54&lt;=1,"Insignificante",HLOOKUP(AJ54,[96]Listas!$F$3:$J$4,2,0))</f>
        <v>#N/A</v>
      </c>
      <c r="AL54" s="823" t="e">
        <f t="shared" si="5"/>
        <v>#N/A</v>
      </c>
      <c r="AM54" s="2293" t="e">
        <f>INDEX([96]Listas!$F$6:$J$10,MATCH(AI54,[96]Listas!$D$6:$D$10,0),MATCH(AK54,[96]Listas!$F$4:$J$4,0))</f>
        <v>#N/A</v>
      </c>
      <c r="AN54" s="1326"/>
      <c r="AO54" s="1326"/>
      <c r="AP54" s="1887"/>
      <c r="AQ54" s="1887"/>
      <c r="AR54" s="1887" t="s">
        <v>2343</v>
      </c>
      <c r="AS54" s="1887"/>
      <c r="AT54" s="1326"/>
      <c r="AU54" s="1326"/>
      <c r="AV54" s="1326"/>
      <c r="AW54" s="1326"/>
      <c r="AX54" s="1326"/>
      <c r="AY54" s="262"/>
    </row>
    <row r="55" spans="1:51" s="260" customFormat="1" ht="103.5" customHeight="1">
      <c r="A55" s="1772"/>
      <c r="B55" s="2100" t="s">
        <v>473</v>
      </c>
      <c r="C55" s="2101"/>
      <c r="D55" s="2101"/>
      <c r="E55" s="2101"/>
      <c r="F55" s="1356"/>
      <c r="G55" s="1767" t="s">
        <v>1647</v>
      </c>
      <c r="H55" s="1767"/>
      <c r="I55" s="1767"/>
      <c r="J55" s="1772"/>
      <c r="K55" s="1772"/>
      <c r="L55" s="1772"/>
      <c r="M55" s="1772"/>
      <c r="N55" s="1772"/>
      <c r="O55" s="1772"/>
      <c r="P55" s="1772"/>
      <c r="Q55" s="1772"/>
      <c r="R55" s="1772"/>
      <c r="S55" s="324"/>
      <c r="T55" s="821" t="e">
        <f>VLOOKUP(Q55,[96]Listas!$D$6:$E$10,2,0)</f>
        <v>#N/A</v>
      </c>
      <c r="U55" s="821" t="e">
        <f>HLOOKUP(R55,[96]Listas!$F$4:$J$5,2,0)</f>
        <v>#N/A</v>
      </c>
      <c r="V55" s="1902"/>
      <c r="W55" s="324"/>
      <c r="X55" s="1768" t="s">
        <v>1648</v>
      </c>
      <c r="Y55" s="1768"/>
      <c r="Z55" s="1768"/>
      <c r="AA55" s="1402"/>
      <c r="AB55" s="1356"/>
      <c r="AC55" s="1772"/>
      <c r="AD55" s="1772"/>
      <c r="AE55" s="1772"/>
      <c r="AF55" s="324"/>
      <c r="AG55" s="821">
        <f t="shared" si="2"/>
        <v>0</v>
      </c>
      <c r="AH55" s="824" t="e">
        <f t="shared" si="3"/>
        <v>#N/A</v>
      </c>
      <c r="AI55" s="2293"/>
      <c r="AJ55" s="824" t="e">
        <f t="shared" si="4"/>
        <v>#N/A</v>
      </c>
      <c r="AK55" s="2293" t="e">
        <f>IF(AJ55&lt;=1,"Insignificante",HLOOKUP(AJ55,[96]Listas!$F$3:$J$4,2,0))</f>
        <v>#N/A</v>
      </c>
      <c r="AL55" s="823" t="e">
        <f t="shared" si="5"/>
        <v>#N/A</v>
      </c>
      <c r="AM55" s="2293" t="e">
        <f>INDEX([96]Listas!$F$6:$J$10,MATCH(AI55,[96]Listas!$D$6:$D$10,0),MATCH(AK55,[96]Listas!$F$4:$J$4,0))</f>
        <v>#N/A</v>
      </c>
      <c r="AN55" s="1327"/>
      <c r="AO55" s="1327"/>
      <c r="AP55" s="1888"/>
      <c r="AQ55" s="1888"/>
      <c r="AR55" s="1888" t="s">
        <v>2343</v>
      </c>
      <c r="AS55" s="1888"/>
      <c r="AT55" s="1327"/>
      <c r="AU55" s="1327"/>
      <c r="AV55" s="1327"/>
      <c r="AW55" s="1327"/>
      <c r="AX55" s="1327"/>
      <c r="AY55" s="262"/>
    </row>
    <row r="56" spans="1:51" s="260" customFormat="1" ht="103.5" customHeight="1">
      <c r="A56" s="1772" t="s">
        <v>73</v>
      </c>
      <c r="B56" s="2100" t="s">
        <v>1649</v>
      </c>
      <c r="C56" s="2101" t="s">
        <v>1650</v>
      </c>
      <c r="D56" s="2101"/>
      <c r="E56" s="2101"/>
      <c r="F56" s="1356" t="s">
        <v>353</v>
      </c>
      <c r="G56" s="1767" t="s">
        <v>1651</v>
      </c>
      <c r="H56" s="1767"/>
      <c r="I56" s="1767"/>
      <c r="J56" s="1772" t="s">
        <v>1652</v>
      </c>
      <c r="K56" s="1772"/>
      <c r="L56" s="1772"/>
      <c r="M56" s="1772"/>
      <c r="N56" s="1772"/>
      <c r="O56" s="1772" t="s">
        <v>8</v>
      </c>
      <c r="P56" s="1772"/>
      <c r="Q56" s="1772" t="s">
        <v>654</v>
      </c>
      <c r="R56" s="1772" t="s">
        <v>643</v>
      </c>
      <c r="S56" s="324"/>
      <c r="T56" s="821">
        <f>VLOOKUP(Q56,[96]Listas!$D$6:$E$10,2,0)</f>
        <v>1</v>
      </c>
      <c r="U56" s="821">
        <f>HLOOKUP(R56,[96]Listas!$F$4:$J$5,2,0)</f>
        <v>2</v>
      </c>
      <c r="V56" s="1902" t="str">
        <f>INDEX([96]Listas!$F$6:$J$10,MATCH(Q56,[96]Listas!$D$6:$D$10,0),MATCH(R56,[96]Listas!$F$4:$J$4,0))</f>
        <v>2
INFERIOR</v>
      </c>
      <c r="W56" s="324"/>
      <c r="X56" s="2498" t="s">
        <v>1653</v>
      </c>
      <c r="Y56" s="2498"/>
      <c r="Z56" s="2498"/>
      <c r="AA56" s="1332" t="s">
        <v>4258</v>
      </c>
      <c r="AB56" s="1356" t="s">
        <v>1420</v>
      </c>
      <c r="AC56" s="1772" t="s">
        <v>1654</v>
      </c>
      <c r="AD56" s="1772">
        <v>42</v>
      </c>
      <c r="AE56" s="1772" t="s">
        <v>153</v>
      </c>
      <c r="AF56" s="324"/>
      <c r="AG56" s="821">
        <f t="shared" si="2"/>
        <v>1</v>
      </c>
      <c r="AH56" s="824">
        <f t="shared" si="3"/>
        <v>0</v>
      </c>
      <c r="AI56" s="2293" t="str">
        <f>IF(AH56&lt;=1,"Remota",VLOOKUP(AH56,[96]Listas!$C$6:$D$10,2,0))</f>
        <v>Remota</v>
      </c>
      <c r="AJ56" s="824">
        <f t="shared" si="4"/>
        <v>2</v>
      </c>
      <c r="AK56" s="2293" t="str">
        <f>IF(AJ56&lt;=1,"Insignificante",HLOOKUP(AJ56,[96]Listas!$F$3:$J$4,2,0))</f>
        <v>Menor</v>
      </c>
      <c r="AL56" s="823">
        <f t="shared" si="5"/>
        <v>0</v>
      </c>
      <c r="AM56" s="2293" t="str">
        <f>INDEX([96]Listas!$F$6:$J$10,MATCH(AI56,[96]Listas!$D$6:$D$10,0),MATCH(AK56,[96]Listas!$F$4:$J$4,0))</f>
        <v>2
INFERIOR</v>
      </c>
      <c r="AN56" s="1325" t="s">
        <v>3115</v>
      </c>
      <c r="AO56" s="1325" t="s">
        <v>3119</v>
      </c>
      <c r="AP56" s="1886">
        <v>0</v>
      </c>
      <c r="AQ56" s="1886" t="s">
        <v>3503</v>
      </c>
      <c r="AR56" s="1886" t="s">
        <v>3495</v>
      </c>
      <c r="AS56" s="1886" t="s">
        <v>36</v>
      </c>
      <c r="AT56" s="1325"/>
      <c r="AU56" s="1325"/>
      <c r="AV56" s="1325"/>
      <c r="AW56" s="1325"/>
      <c r="AX56" s="1325"/>
      <c r="AY56" s="262"/>
    </row>
    <row r="57" spans="1:51" s="260" customFormat="1" ht="103.5" customHeight="1">
      <c r="A57" s="1772"/>
      <c r="B57" s="2100" t="s">
        <v>473</v>
      </c>
      <c r="C57" s="2101"/>
      <c r="D57" s="2101"/>
      <c r="E57" s="2101"/>
      <c r="F57" s="1356"/>
      <c r="G57" s="1767" t="s">
        <v>1655</v>
      </c>
      <c r="H57" s="1767"/>
      <c r="I57" s="1767"/>
      <c r="J57" s="1772"/>
      <c r="K57" s="1772"/>
      <c r="L57" s="1772"/>
      <c r="M57" s="1772"/>
      <c r="N57" s="1772"/>
      <c r="O57" s="1772"/>
      <c r="P57" s="1772"/>
      <c r="Q57" s="1772"/>
      <c r="R57" s="1772"/>
      <c r="S57" s="324"/>
      <c r="T57" s="821" t="e">
        <f>VLOOKUP(Q57,[96]Listas!$D$6:$E$10,2,0)</f>
        <v>#N/A</v>
      </c>
      <c r="U57" s="821" t="e">
        <f>HLOOKUP(R57,[96]Listas!$F$4:$J$5,2,0)</f>
        <v>#N/A</v>
      </c>
      <c r="V57" s="1902"/>
      <c r="W57" s="324"/>
      <c r="X57" s="1767" t="s">
        <v>1656</v>
      </c>
      <c r="Y57" s="1767"/>
      <c r="Z57" s="1767"/>
      <c r="AA57" s="2132"/>
      <c r="AB57" s="1356"/>
      <c r="AC57" s="1772"/>
      <c r="AD57" s="1772"/>
      <c r="AE57" s="1772"/>
      <c r="AF57" s="324"/>
      <c r="AG57" s="821">
        <f t="shared" si="2"/>
        <v>0</v>
      </c>
      <c r="AH57" s="824" t="e">
        <f t="shared" si="3"/>
        <v>#N/A</v>
      </c>
      <c r="AI57" s="2293"/>
      <c r="AJ57" s="824" t="e">
        <f t="shared" si="4"/>
        <v>#N/A</v>
      </c>
      <c r="AK57" s="2293" t="e">
        <f>IF(AJ57&lt;=1,"Insignificante",HLOOKUP(AJ57,[96]Listas!$F$3:$J$4,2,0))</f>
        <v>#N/A</v>
      </c>
      <c r="AL57" s="823" t="e">
        <f t="shared" si="5"/>
        <v>#N/A</v>
      </c>
      <c r="AM57" s="2293" t="e">
        <f>INDEX([96]Listas!$F$6:$J$10,MATCH(AI57,[96]Listas!$D$6:$D$10,0),MATCH(AK57,[96]Listas!$F$4:$J$4,0))</f>
        <v>#N/A</v>
      </c>
      <c r="AN57" s="1326"/>
      <c r="AO57" s="1326"/>
      <c r="AP57" s="1887"/>
      <c r="AQ57" s="1887"/>
      <c r="AR57" s="1887" t="s">
        <v>2343</v>
      </c>
      <c r="AS57" s="1887"/>
      <c r="AT57" s="1326"/>
      <c r="AU57" s="1326"/>
      <c r="AV57" s="1326"/>
      <c r="AW57" s="1326"/>
      <c r="AX57" s="1326"/>
      <c r="AY57" s="262"/>
    </row>
    <row r="58" spans="1:51" s="260" customFormat="1" ht="103.5" customHeight="1">
      <c r="A58" s="1772"/>
      <c r="B58" s="2100" t="s">
        <v>473</v>
      </c>
      <c r="C58" s="2101"/>
      <c r="D58" s="2101"/>
      <c r="E58" s="2101"/>
      <c r="F58" s="1356"/>
      <c r="G58" s="1767" t="s">
        <v>1657</v>
      </c>
      <c r="H58" s="1767"/>
      <c r="I58" s="1767"/>
      <c r="J58" s="1772"/>
      <c r="K58" s="1772"/>
      <c r="L58" s="1772"/>
      <c r="M58" s="1772"/>
      <c r="N58" s="1772"/>
      <c r="O58" s="1772"/>
      <c r="P58" s="1772"/>
      <c r="Q58" s="1772"/>
      <c r="R58" s="1772"/>
      <c r="S58" s="324"/>
      <c r="T58" s="821" t="e">
        <f>VLOOKUP(Q58,[96]Listas!$D$6:$E$10,2,0)</f>
        <v>#N/A</v>
      </c>
      <c r="U58" s="821" t="e">
        <f>HLOOKUP(R58,[96]Listas!$F$4:$J$5,2,0)</f>
        <v>#N/A</v>
      </c>
      <c r="V58" s="1902"/>
      <c r="W58" s="324"/>
      <c r="X58" s="1767"/>
      <c r="Y58" s="1767"/>
      <c r="Z58" s="1767"/>
      <c r="AA58" s="2132"/>
      <c r="AB58" s="1356"/>
      <c r="AC58" s="1772"/>
      <c r="AD58" s="1772"/>
      <c r="AE58" s="1772"/>
      <c r="AF58" s="324"/>
      <c r="AG58" s="821">
        <f t="shared" si="2"/>
        <v>0</v>
      </c>
      <c r="AH58" s="824" t="e">
        <f t="shared" si="3"/>
        <v>#N/A</v>
      </c>
      <c r="AI58" s="2293"/>
      <c r="AJ58" s="824" t="e">
        <f t="shared" si="4"/>
        <v>#N/A</v>
      </c>
      <c r="AK58" s="2293" t="e">
        <f>IF(AJ58&lt;=1,"Insignificante",HLOOKUP(AJ58,[96]Listas!$F$3:$J$4,2,0))</f>
        <v>#N/A</v>
      </c>
      <c r="AL58" s="823" t="e">
        <f t="shared" si="5"/>
        <v>#N/A</v>
      </c>
      <c r="AM58" s="2293" t="e">
        <f>INDEX([96]Listas!$F$6:$J$10,MATCH(AI58,[96]Listas!$D$6:$D$10,0),MATCH(AK58,[96]Listas!$F$4:$J$4,0))</f>
        <v>#N/A</v>
      </c>
      <c r="AN58" s="1326"/>
      <c r="AO58" s="1326"/>
      <c r="AP58" s="1887"/>
      <c r="AQ58" s="1887"/>
      <c r="AR58" s="1887" t="s">
        <v>2343</v>
      </c>
      <c r="AS58" s="1887"/>
      <c r="AT58" s="1326"/>
      <c r="AU58" s="1326"/>
      <c r="AV58" s="1326"/>
      <c r="AW58" s="1326"/>
      <c r="AX58" s="1326"/>
      <c r="AY58" s="262"/>
    </row>
    <row r="59" spans="1:51" s="260" customFormat="1" ht="103.5" customHeight="1">
      <c r="A59" s="1772"/>
      <c r="B59" s="2100" t="s">
        <v>473</v>
      </c>
      <c r="C59" s="2101"/>
      <c r="D59" s="2101"/>
      <c r="E59" s="2101"/>
      <c r="F59" s="1356"/>
      <c r="G59" s="1767" t="s">
        <v>1658</v>
      </c>
      <c r="H59" s="1767"/>
      <c r="I59" s="1767"/>
      <c r="J59" s="1772"/>
      <c r="K59" s="1772"/>
      <c r="L59" s="1772"/>
      <c r="M59" s="1772"/>
      <c r="N59" s="1772"/>
      <c r="O59" s="1772"/>
      <c r="P59" s="1772"/>
      <c r="Q59" s="1772"/>
      <c r="R59" s="1772"/>
      <c r="S59" s="324"/>
      <c r="T59" s="821" t="e">
        <f>VLOOKUP(Q59,[96]Listas!$D$6:$E$10,2,0)</f>
        <v>#N/A</v>
      </c>
      <c r="U59" s="821" t="e">
        <f>HLOOKUP(R59,[96]Listas!$F$4:$J$5,2,0)</f>
        <v>#N/A</v>
      </c>
      <c r="V59" s="1902"/>
      <c r="W59" s="324"/>
      <c r="X59" s="1767"/>
      <c r="Y59" s="1767"/>
      <c r="Z59" s="1767"/>
      <c r="AA59" s="2133"/>
      <c r="AB59" s="1356"/>
      <c r="AC59" s="1772"/>
      <c r="AD59" s="1772"/>
      <c r="AE59" s="1772"/>
      <c r="AF59" s="324"/>
      <c r="AG59" s="821">
        <f t="shared" si="2"/>
        <v>0</v>
      </c>
      <c r="AH59" s="824" t="e">
        <f t="shared" si="3"/>
        <v>#N/A</v>
      </c>
      <c r="AI59" s="2293"/>
      <c r="AJ59" s="824" t="e">
        <f t="shared" si="4"/>
        <v>#N/A</v>
      </c>
      <c r="AK59" s="2293" t="e">
        <f>IF(AJ59&lt;=1,"Insignificante",HLOOKUP(AJ59,[96]Listas!$F$3:$J$4,2,0))</f>
        <v>#N/A</v>
      </c>
      <c r="AL59" s="823" t="e">
        <f t="shared" si="5"/>
        <v>#N/A</v>
      </c>
      <c r="AM59" s="2293" t="e">
        <f>INDEX([96]Listas!$F$6:$J$10,MATCH(AI59,[96]Listas!$D$6:$D$10,0),MATCH(AK59,[96]Listas!$F$4:$J$4,0))</f>
        <v>#N/A</v>
      </c>
      <c r="AN59" s="1327"/>
      <c r="AO59" s="1327"/>
      <c r="AP59" s="1888"/>
      <c r="AQ59" s="1888"/>
      <c r="AR59" s="1888" t="s">
        <v>2343</v>
      </c>
      <c r="AS59" s="1888"/>
      <c r="AT59" s="1327"/>
      <c r="AU59" s="1327"/>
      <c r="AV59" s="1327"/>
      <c r="AW59" s="1327"/>
      <c r="AX59" s="1327"/>
      <c r="AY59" s="262"/>
    </row>
    <row r="60" spans="1:51" s="260" customFormat="1" ht="103.5" hidden="1" customHeight="1">
      <c r="A60" s="790"/>
      <c r="B60" s="266"/>
      <c r="C60" s="1399"/>
      <c r="D60" s="1408"/>
      <c r="E60" s="1400"/>
      <c r="F60" s="267"/>
      <c r="G60" s="1399"/>
      <c r="H60" s="1408"/>
      <c r="I60" s="1400"/>
      <c r="J60" s="1380"/>
      <c r="K60" s="1380"/>
      <c r="L60" s="1380"/>
      <c r="M60" s="790"/>
      <c r="N60" s="790"/>
      <c r="O60" s="790"/>
      <c r="P60" s="790"/>
      <c r="Q60" s="266"/>
      <c r="R60" s="266"/>
      <c r="S60" s="268"/>
      <c r="T60" s="269" t="e">
        <f>VLOOKUP(Q60,[71]Listas!$D$6:$E$10,2,0)</f>
        <v>#N/A</v>
      </c>
      <c r="U60" s="269" t="e">
        <f>HLOOKUP(R60,[71]Listas!$F$4:$J$5,2,0)</f>
        <v>#N/A</v>
      </c>
      <c r="V60" s="270" t="e">
        <f>INDEX([71]Listas!$F$6:$J$10,MATCH(Q60,[71]Listas!$D$6:$D$10,0),MATCH(R60,[71]Listas!$F$4:$J$4,0))</f>
        <v>#N/A</v>
      </c>
      <c r="W60" s="268"/>
      <c r="X60" s="1399"/>
      <c r="Y60" s="1408"/>
      <c r="Z60" s="1400"/>
      <c r="AA60" s="1063"/>
      <c r="AB60" s="267"/>
      <c r="AC60" s="259"/>
      <c r="AD60" s="790"/>
      <c r="AE60" s="267"/>
      <c r="AF60" s="268"/>
      <c r="AG60" s="269">
        <f t="shared" si="2"/>
        <v>0</v>
      </c>
      <c r="AH60" s="271" t="e">
        <f t="shared" si="3"/>
        <v>#N/A</v>
      </c>
      <c r="AI60" s="272" t="e">
        <f>IF(AH60&lt;=1,"Remota",VLOOKUP(AH60,[71]Listas!$C$6:$D$10,2,0))</f>
        <v>#N/A</v>
      </c>
      <c r="AJ60" s="271" t="e">
        <f t="shared" si="4"/>
        <v>#N/A</v>
      </c>
      <c r="AK60" s="272" t="e">
        <f>IF(AJ60&lt;=1,"Insignificante",HLOOKUP(AJ60,[71]Listas!$F$3:$J$4,2,0))</f>
        <v>#N/A</v>
      </c>
      <c r="AL60" s="273" t="e">
        <f t="shared" si="5"/>
        <v>#N/A</v>
      </c>
      <c r="AM60" s="270" t="e">
        <f>INDEX([71]Listas!$F$6:$J$10,MATCH(AI60,[71]Listas!$D$6:$D$10,0),MATCH(AK60,[71]Listas!$F$4:$J$4,0))</f>
        <v>#N/A</v>
      </c>
      <c r="AN60" s="259"/>
      <c r="AO60" s="259"/>
      <c r="AP60" s="794"/>
      <c r="AQ60" s="259"/>
      <c r="AR60" s="259" t="s">
        <v>2343</v>
      </c>
      <c r="AS60" s="790"/>
      <c r="AT60" s="259"/>
      <c r="AU60" s="259"/>
      <c r="AV60" s="261"/>
      <c r="AW60" s="261"/>
      <c r="AX60" s="790"/>
      <c r="AY60" s="262"/>
    </row>
    <row r="61" spans="1:51" s="260" customFormat="1" ht="103.5" hidden="1" customHeight="1">
      <c r="A61" s="790"/>
      <c r="B61" s="266"/>
      <c r="C61" s="1399"/>
      <c r="D61" s="1408"/>
      <c r="E61" s="1400"/>
      <c r="F61" s="267"/>
      <c r="G61" s="1399"/>
      <c r="H61" s="1408"/>
      <c r="I61" s="1400"/>
      <c r="J61" s="1380"/>
      <c r="K61" s="1380"/>
      <c r="L61" s="1380"/>
      <c r="M61" s="790"/>
      <c r="N61" s="790"/>
      <c r="O61" s="790"/>
      <c r="P61" s="790"/>
      <c r="Q61" s="266"/>
      <c r="R61" s="266"/>
      <c r="S61" s="268"/>
      <c r="T61" s="269" t="e">
        <f>VLOOKUP(Q61,[71]Listas!$D$6:$E$10,2,0)</f>
        <v>#N/A</v>
      </c>
      <c r="U61" s="269" t="e">
        <f>HLOOKUP(R61,[71]Listas!$F$4:$J$5,2,0)</f>
        <v>#N/A</v>
      </c>
      <c r="V61" s="270" t="e">
        <f>INDEX([71]Listas!$F$6:$J$10,MATCH(Q61,[71]Listas!$D$6:$D$10,0),MATCH(R61,[71]Listas!$F$4:$J$4,0))</f>
        <v>#N/A</v>
      </c>
      <c r="W61" s="268"/>
      <c r="X61" s="1399"/>
      <c r="Y61" s="1408"/>
      <c r="Z61" s="1400"/>
      <c r="AA61" s="1063"/>
      <c r="AB61" s="267"/>
      <c r="AC61" s="259"/>
      <c r="AD61" s="790"/>
      <c r="AE61" s="267"/>
      <c r="AF61" s="268"/>
      <c r="AG61" s="269">
        <f t="shared" si="2"/>
        <v>0</v>
      </c>
      <c r="AH61" s="271" t="e">
        <f t="shared" si="3"/>
        <v>#N/A</v>
      </c>
      <c r="AI61" s="272" t="e">
        <f>IF(AH61&lt;=1,"Remota",VLOOKUP(AH61,[71]Listas!$C$6:$D$10,2,0))</f>
        <v>#N/A</v>
      </c>
      <c r="AJ61" s="271" t="e">
        <f t="shared" si="4"/>
        <v>#N/A</v>
      </c>
      <c r="AK61" s="272" t="e">
        <f>IF(AJ61&lt;=1,"Insignificante",HLOOKUP(AJ61,[71]Listas!$F$3:$J$4,2,0))</f>
        <v>#N/A</v>
      </c>
      <c r="AL61" s="273" t="e">
        <f t="shared" si="5"/>
        <v>#N/A</v>
      </c>
      <c r="AM61" s="270" t="e">
        <f>INDEX([71]Listas!$F$6:$J$10,MATCH(AI61,[71]Listas!$D$6:$D$10,0),MATCH(AK61,[71]Listas!$F$4:$J$4,0))</f>
        <v>#N/A</v>
      </c>
      <c r="AN61" s="259"/>
      <c r="AO61" s="259"/>
      <c r="AP61" s="794"/>
      <c r="AQ61" s="259"/>
      <c r="AR61" s="259" t="s">
        <v>2343</v>
      </c>
      <c r="AS61" s="790"/>
      <c r="AT61" s="259"/>
      <c r="AU61" s="259"/>
      <c r="AV61" s="261"/>
      <c r="AW61" s="261"/>
      <c r="AX61" s="790"/>
      <c r="AY61" s="262"/>
    </row>
    <row r="62" spans="1:51" s="260" customFormat="1" ht="103.5" hidden="1" customHeight="1">
      <c r="A62" s="790"/>
      <c r="B62" s="266"/>
      <c r="C62" s="1399"/>
      <c r="D62" s="1408"/>
      <c r="E62" s="1400"/>
      <c r="F62" s="267"/>
      <c r="G62" s="1399"/>
      <c r="H62" s="1408"/>
      <c r="I62" s="1400"/>
      <c r="J62" s="1380"/>
      <c r="K62" s="1380"/>
      <c r="L62" s="1380"/>
      <c r="M62" s="790"/>
      <c r="N62" s="790"/>
      <c r="O62" s="790"/>
      <c r="P62" s="790"/>
      <c r="Q62" s="266"/>
      <c r="R62" s="266"/>
      <c r="S62" s="268"/>
      <c r="T62" s="269" t="e">
        <f>VLOOKUP(Q62,[71]Listas!$D$6:$E$10,2,0)</f>
        <v>#N/A</v>
      </c>
      <c r="U62" s="269" t="e">
        <f>HLOOKUP(R62,[71]Listas!$F$4:$J$5,2,0)</f>
        <v>#N/A</v>
      </c>
      <c r="V62" s="270" t="e">
        <f>INDEX([71]Listas!$F$6:$J$10,MATCH(Q62,[71]Listas!$D$6:$D$10,0),MATCH(R62,[71]Listas!$F$4:$J$4,0))</f>
        <v>#N/A</v>
      </c>
      <c r="W62" s="268"/>
      <c r="X62" s="1399"/>
      <c r="Y62" s="1408"/>
      <c r="Z62" s="1400"/>
      <c r="AA62" s="1063"/>
      <c r="AB62" s="267"/>
      <c r="AC62" s="259"/>
      <c r="AD62" s="790"/>
      <c r="AE62" s="267"/>
      <c r="AF62" s="268"/>
      <c r="AG62" s="269">
        <f t="shared" si="2"/>
        <v>0</v>
      </c>
      <c r="AH62" s="271" t="e">
        <f t="shared" si="3"/>
        <v>#N/A</v>
      </c>
      <c r="AI62" s="272" t="e">
        <f>IF(AH62&lt;=1,"Remota",VLOOKUP(AH62,[71]Listas!$C$6:$D$10,2,0))</f>
        <v>#N/A</v>
      </c>
      <c r="AJ62" s="271" t="e">
        <f t="shared" si="4"/>
        <v>#N/A</v>
      </c>
      <c r="AK62" s="272" t="e">
        <f>IF(AJ62&lt;=1,"Insignificante",HLOOKUP(AJ62,[71]Listas!$F$3:$J$4,2,0))</f>
        <v>#N/A</v>
      </c>
      <c r="AL62" s="273" t="e">
        <f t="shared" si="5"/>
        <v>#N/A</v>
      </c>
      <c r="AM62" s="270" t="e">
        <f>INDEX([71]Listas!$F$6:$J$10,MATCH(AI62,[71]Listas!$D$6:$D$10,0),MATCH(AK62,[71]Listas!$F$4:$J$4,0))</f>
        <v>#N/A</v>
      </c>
      <c r="AN62" s="259"/>
      <c r="AO62" s="259"/>
      <c r="AP62" s="794"/>
      <c r="AQ62" s="259"/>
      <c r="AR62" s="259" t="s">
        <v>2343</v>
      </c>
      <c r="AS62" s="790"/>
      <c r="AT62" s="259"/>
      <c r="AU62" s="259"/>
      <c r="AV62" s="261"/>
      <c r="AW62" s="261"/>
      <c r="AX62" s="790"/>
      <c r="AY62" s="262"/>
    </row>
    <row r="63" spans="1:51" s="260" customFormat="1" ht="103.5" hidden="1" customHeight="1">
      <c r="A63" s="790"/>
      <c r="B63" s="266"/>
      <c r="C63" s="1399"/>
      <c r="D63" s="1408"/>
      <c r="E63" s="1400"/>
      <c r="F63" s="267"/>
      <c r="G63" s="1399"/>
      <c r="H63" s="1408"/>
      <c r="I63" s="1400"/>
      <c r="J63" s="1380"/>
      <c r="K63" s="1380"/>
      <c r="L63" s="1380"/>
      <c r="M63" s="790"/>
      <c r="N63" s="790"/>
      <c r="O63" s="790"/>
      <c r="P63" s="790"/>
      <c r="Q63" s="266"/>
      <c r="R63" s="266"/>
      <c r="S63" s="268"/>
      <c r="T63" s="269" t="e">
        <f>VLOOKUP(Q63,[71]Listas!$D$6:$E$10,2,0)</f>
        <v>#N/A</v>
      </c>
      <c r="U63" s="269" t="e">
        <f>HLOOKUP(R63,[71]Listas!$F$4:$J$5,2,0)</f>
        <v>#N/A</v>
      </c>
      <c r="V63" s="270" t="e">
        <f>INDEX([71]Listas!$F$6:$J$10,MATCH(Q63,[71]Listas!$D$6:$D$10,0),MATCH(R63,[71]Listas!$F$4:$J$4,0))</f>
        <v>#N/A</v>
      </c>
      <c r="W63" s="268"/>
      <c r="X63" s="1399"/>
      <c r="Y63" s="1408"/>
      <c r="Z63" s="1400"/>
      <c r="AA63" s="1063"/>
      <c r="AB63" s="267"/>
      <c r="AC63" s="259"/>
      <c r="AD63" s="790"/>
      <c r="AE63" s="267"/>
      <c r="AF63" s="268"/>
      <c r="AG63" s="269">
        <f t="shared" si="2"/>
        <v>0</v>
      </c>
      <c r="AH63" s="271" t="e">
        <f t="shared" si="3"/>
        <v>#N/A</v>
      </c>
      <c r="AI63" s="272" t="e">
        <f>IF(AH63&lt;=1,"Remota",VLOOKUP(AH63,[71]Listas!$C$6:$D$10,2,0))</f>
        <v>#N/A</v>
      </c>
      <c r="AJ63" s="271" t="e">
        <f t="shared" si="4"/>
        <v>#N/A</v>
      </c>
      <c r="AK63" s="272" t="e">
        <f>IF(AJ63&lt;=1,"Insignificante",HLOOKUP(AJ63,[71]Listas!$F$3:$J$4,2,0))</f>
        <v>#N/A</v>
      </c>
      <c r="AL63" s="273" t="e">
        <f t="shared" si="5"/>
        <v>#N/A</v>
      </c>
      <c r="AM63" s="270" t="e">
        <f>INDEX([71]Listas!$F$6:$J$10,MATCH(AI63,[71]Listas!$D$6:$D$10,0),MATCH(AK63,[71]Listas!$F$4:$J$4,0))</f>
        <v>#N/A</v>
      </c>
      <c r="AN63" s="259"/>
      <c r="AO63" s="259"/>
      <c r="AP63" s="794"/>
      <c r="AQ63" s="259"/>
      <c r="AR63" s="259" t="s">
        <v>2343</v>
      </c>
      <c r="AS63" s="790"/>
      <c r="AT63" s="259"/>
      <c r="AU63" s="259"/>
      <c r="AV63" s="261"/>
      <c r="AW63" s="261"/>
      <c r="AX63" s="790"/>
      <c r="AY63" s="262"/>
    </row>
    <row r="64" spans="1:51" s="260" customFormat="1" ht="103.5" hidden="1" customHeight="1">
      <c r="A64" s="790"/>
      <c r="B64" s="266"/>
      <c r="C64" s="1399"/>
      <c r="D64" s="1408"/>
      <c r="E64" s="1400"/>
      <c r="F64" s="266"/>
      <c r="G64" s="1399"/>
      <c r="H64" s="1408"/>
      <c r="I64" s="1400"/>
      <c r="J64" s="1380"/>
      <c r="K64" s="1380"/>
      <c r="L64" s="1380"/>
      <c r="M64" s="790"/>
      <c r="N64" s="790"/>
      <c r="O64" s="790"/>
      <c r="P64" s="790"/>
      <c r="Q64" s="266"/>
      <c r="R64" s="266"/>
      <c r="S64" s="268"/>
      <c r="T64" s="269" t="e">
        <f>VLOOKUP(Q64,[71]Listas!$D$6:$E$10,2,0)</f>
        <v>#N/A</v>
      </c>
      <c r="U64" s="269" t="e">
        <f>HLOOKUP(R64,[71]Listas!$F$4:$J$5,2,0)</f>
        <v>#N/A</v>
      </c>
      <c r="V64" s="270" t="e">
        <f>INDEX([71]Listas!$F$6:$J$10,MATCH(Q64,[71]Listas!$D$6:$D$10,0),MATCH(R64,[71]Listas!$F$4:$J$4,0))</f>
        <v>#N/A</v>
      </c>
      <c r="W64" s="268"/>
      <c r="X64" s="1399"/>
      <c r="Y64" s="1408"/>
      <c r="Z64" s="1400"/>
      <c r="AA64" s="1063"/>
      <c r="AB64" s="267"/>
      <c r="AC64" s="259"/>
      <c r="AD64" s="790"/>
      <c r="AE64" s="267"/>
      <c r="AF64" s="268"/>
      <c r="AG64" s="269">
        <f>IF(AD64&lt;=33,0,IF(AD64&gt;81,2,1))</f>
        <v>0</v>
      </c>
      <c r="AH64" s="271" t="e">
        <f>IF(OR(AE64="Probabilidad",AE64="Ambos"),T64-AG64,T64)</f>
        <v>#N/A</v>
      </c>
      <c r="AI64" s="272" t="e">
        <f>IF(AH64&lt;=1,"Remota",VLOOKUP(AH64,[71]Listas!$C$6:$D$10,2,0))</f>
        <v>#N/A</v>
      </c>
      <c r="AJ64" s="271" t="e">
        <f>IF(OR(AE64="Impacto",AE64="Ambos"),U64-AG64,U64)</f>
        <v>#N/A</v>
      </c>
      <c r="AK64" s="272" t="e">
        <f>IF(AJ64&lt;=1,"Insignificante",HLOOKUP(AJ64,[71]Listas!$F$3:$J$4,2,0))</f>
        <v>#N/A</v>
      </c>
      <c r="AL64" s="273" t="e">
        <f>AH64*AJ64</f>
        <v>#N/A</v>
      </c>
      <c r="AM64" s="270" t="e">
        <f>INDEX([71]Listas!$F$6:$J$10,MATCH(AI64,[71]Listas!$D$6:$D$10,0),MATCH(AK64,[71]Listas!$F$4:$J$4,0))</f>
        <v>#N/A</v>
      </c>
      <c r="AN64" s="259"/>
      <c r="AO64" s="259"/>
      <c r="AP64" s="794"/>
      <c r="AQ64" s="259"/>
      <c r="AR64" s="259" t="s">
        <v>2343</v>
      </c>
      <c r="AS64" s="790"/>
      <c r="AU64" s="259"/>
      <c r="AV64" s="261"/>
      <c r="AW64" s="261"/>
      <c r="AX64" s="790"/>
      <c r="AY64" s="262"/>
    </row>
    <row r="65" spans="1:51" s="260" customFormat="1" ht="103.5" hidden="1" customHeight="1">
      <c r="A65" s="790"/>
      <c r="B65" s="266"/>
      <c r="C65" s="1399"/>
      <c r="D65" s="1408"/>
      <c r="E65" s="1400"/>
      <c r="F65" s="267"/>
      <c r="G65" s="1399"/>
      <c r="H65" s="1408"/>
      <c r="I65" s="1400"/>
      <c r="J65" s="1380"/>
      <c r="K65" s="1380"/>
      <c r="L65" s="1380"/>
      <c r="M65" s="790"/>
      <c r="N65" s="790"/>
      <c r="O65" s="790"/>
      <c r="P65" s="790"/>
      <c r="Q65" s="266"/>
      <c r="R65" s="266"/>
      <c r="S65" s="268"/>
      <c r="T65" s="269" t="e">
        <f>VLOOKUP(Q65,[71]Listas!$D$6:$E$10,2,0)</f>
        <v>#N/A</v>
      </c>
      <c r="U65" s="269" t="e">
        <f>HLOOKUP(R65,[71]Listas!$F$4:$J$5,2,0)</f>
        <v>#N/A</v>
      </c>
      <c r="V65" s="270" t="e">
        <f>INDEX([71]Listas!$F$6:$J$10,MATCH(Q65,[71]Listas!$D$6:$D$10,0),MATCH(R65,[71]Listas!$F$4:$J$4,0))</f>
        <v>#N/A</v>
      </c>
      <c r="W65" s="268"/>
      <c r="X65" s="1399"/>
      <c r="Y65" s="1408"/>
      <c r="Z65" s="1400"/>
      <c r="AA65" s="1063"/>
      <c r="AB65" s="267"/>
      <c r="AC65" s="259"/>
      <c r="AD65" s="790"/>
      <c r="AE65" s="267"/>
      <c r="AF65" s="268"/>
      <c r="AG65" s="269">
        <f t="shared" ref="AG65:AG85" si="6">IF(AD65&lt;=33,0,IF(AD65&gt;81,2,1))</f>
        <v>0</v>
      </c>
      <c r="AH65" s="271" t="e">
        <f t="shared" ref="AH65:AH85" si="7">IF(OR(AE65="Probabilidad",AE65="Ambos"),T65-AG65,T65)</f>
        <v>#N/A</v>
      </c>
      <c r="AI65" s="272" t="e">
        <f>IF(AH65&lt;=1,"Remota",VLOOKUP(AH65,[71]Listas!$C$6:$D$10,2,0))</f>
        <v>#N/A</v>
      </c>
      <c r="AJ65" s="271" t="e">
        <f t="shared" ref="AJ65:AJ85" si="8">IF(OR(AE65="Impacto",AE65="Ambos"),U65-AG65,U65)</f>
        <v>#N/A</v>
      </c>
      <c r="AK65" s="272" t="e">
        <f>IF(AJ65&lt;=1,"Insignificante",HLOOKUP(AJ65,[71]Listas!$F$3:$J$4,2,0))</f>
        <v>#N/A</v>
      </c>
      <c r="AL65" s="273" t="e">
        <f t="shared" ref="AL65:AL85" si="9">AH65*AJ65</f>
        <v>#N/A</v>
      </c>
      <c r="AM65" s="270" t="e">
        <f>INDEX([71]Listas!$F$6:$J$10,MATCH(AI65,[71]Listas!$D$6:$D$10,0),MATCH(AK65,[71]Listas!$F$4:$J$4,0))</f>
        <v>#N/A</v>
      </c>
      <c r="AN65" s="259"/>
      <c r="AO65" s="259"/>
      <c r="AP65" s="794"/>
      <c r="AQ65" s="259"/>
      <c r="AR65" s="259" t="s">
        <v>2343</v>
      </c>
      <c r="AS65" s="790"/>
      <c r="AT65" s="259"/>
      <c r="AU65" s="259"/>
      <c r="AV65" s="261"/>
      <c r="AW65" s="261"/>
      <c r="AX65" s="790"/>
      <c r="AY65" s="262"/>
    </row>
    <row r="66" spans="1:51" s="260" customFormat="1" ht="103.5" hidden="1" customHeight="1">
      <c r="A66" s="790"/>
      <c r="B66" s="266"/>
      <c r="C66" s="1399"/>
      <c r="D66" s="1408"/>
      <c r="E66" s="1400"/>
      <c r="F66" s="267"/>
      <c r="G66" s="1399"/>
      <c r="H66" s="1408"/>
      <c r="I66" s="1400"/>
      <c r="J66" s="1380"/>
      <c r="K66" s="1380"/>
      <c r="L66" s="1380"/>
      <c r="M66" s="790"/>
      <c r="N66" s="790"/>
      <c r="O66" s="790"/>
      <c r="P66" s="790"/>
      <c r="Q66" s="266"/>
      <c r="R66" s="266"/>
      <c r="S66" s="268"/>
      <c r="T66" s="269" t="e">
        <f>VLOOKUP(Q66,[71]Listas!$D$6:$E$10,2,0)</f>
        <v>#N/A</v>
      </c>
      <c r="U66" s="269" t="e">
        <f>HLOOKUP(R66,[71]Listas!$F$4:$J$5,2,0)</f>
        <v>#N/A</v>
      </c>
      <c r="V66" s="270" t="e">
        <f>INDEX([71]Listas!$F$6:$J$10,MATCH(Q66,[71]Listas!$D$6:$D$10,0),MATCH(R66,[71]Listas!$F$4:$J$4,0))</f>
        <v>#N/A</v>
      </c>
      <c r="W66" s="268"/>
      <c r="X66" s="1399"/>
      <c r="Y66" s="1408"/>
      <c r="Z66" s="1400"/>
      <c r="AA66" s="1063"/>
      <c r="AB66" s="267"/>
      <c r="AC66" s="259"/>
      <c r="AD66" s="790"/>
      <c r="AE66" s="267"/>
      <c r="AF66" s="268"/>
      <c r="AG66" s="269">
        <f t="shared" si="6"/>
        <v>0</v>
      </c>
      <c r="AH66" s="271" t="e">
        <f t="shared" si="7"/>
        <v>#N/A</v>
      </c>
      <c r="AI66" s="272" t="e">
        <f>IF(AH66&lt;=1,"Remota",VLOOKUP(AH66,[71]Listas!$C$6:$D$10,2,0))</f>
        <v>#N/A</v>
      </c>
      <c r="AJ66" s="271" t="e">
        <f t="shared" si="8"/>
        <v>#N/A</v>
      </c>
      <c r="AK66" s="272" t="e">
        <f>IF(AJ66&lt;=1,"Insignificante",HLOOKUP(AJ66,[71]Listas!$F$3:$J$4,2,0))</f>
        <v>#N/A</v>
      </c>
      <c r="AL66" s="273" t="e">
        <f t="shared" si="9"/>
        <v>#N/A</v>
      </c>
      <c r="AM66" s="270" t="e">
        <f>INDEX([71]Listas!$F$6:$J$10,MATCH(AI66,[71]Listas!$D$6:$D$10,0),MATCH(AK66,[71]Listas!$F$4:$J$4,0))</f>
        <v>#N/A</v>
      </c>
      <c r="AN66" s="259"/>
      <c r="AO66" s="259"/>
      <c r="AP66" s="794"/>
      <c r="AQ66" s="259"/>
      <c r="AR66" s="259" t="s">
        <v>2343</v>
      </c>
      <c r="AS66" s="790"/>
      <c r="AT66" s="259"/>
      <c r="AU66" s="259"/>
      <c r="AV66" s="261"/>
      <c r="AW66" s="261"/>
      <c r="AX66" s="790"/>
      <c r="AY66" s="262"/>
    </row>
    <row r="67" spans="1:51" s="260" customFormat="1" ht="103.5" hidden="1" customHeight="1">
      <c r="A67" s="790"/>
      <c r="B67" s="266"/>
      <c r="C67" s="1399"/>
      <c r="D67" s="1408"/>
      <c r="E67" s="1400"/>
      <c r="F67" s="267"/>
      <c r="G67" s="1399"/>
      <c r="H67" s="1408"/>
      <c r="I67" s="1400"/>
      <c r="J67" s="1380"/>
      <c r="K67" s="1380"/>
      <c r="L67" s="1380"/>
      <c r="M67" s="790"/>
      <c r="N67" s="790"/>
      <c r="O67" s="790"/>
      <c r="P67" s="790"/>
      <c r="Q67" s="266"/>
      <c r="R67" s="266"/>
      <c r="S67" s="268"/>
      <c r="T67" s="269" t="e">
        <f>VLOOKUP(Q67,[71]Listas!$D$6:$E$10,2,0)</f>
        <v>#N/A</v>
      </c>
      <c r="U67" s="269" t="e">
        <f>HLOOKUP(R67,[71]Listas!$F$4:$J$5,2,0)</f>
        <v>#N/A</v>
      </c>
      <c r="V67" s="270" t="e">
        <f>INDEX([71]Listas!$F$6:$J$10,MATCH(Q67,[71]Listas!$D$6:$D$10,0),MATCH(R67,[71]Listas!$F$4:$J$4,0))</f>
        <v>#N/A</v>
      </c>
      <c r="W67" s="268"/>
      <c r="X67" s="1399"/>
      <c r="Y67" s="1408"/>
      <c r="Z67" s="1400"/>
      <c r="AA67" s="1063"/>
      <c r="AB67" s="267"/>
      <c r="AC67" s="259"/>
      <c r="AD67" s="790"/>
      <c r="AE67" s="267"/>
      <c r="AF67" s="268"/>
      <c r="AG67" s="269">
        <f t="shared" si="6"/>
        <v>0</v>
      </c>
      <c r="AH67" s="271" t="e">
        <f t="shared" si="7"/>
        <v>#N/A</v>
      </c>
      <c r="AI67" s="272" t="e">
        <f>IF(AH67&lt;=1,"Remota",VLOOKUP(AH67,[71]Listas!$C$6:$D$10,2,0))</f>
        <v>#N/A</v>
      </c>
      <c r="AJ67" s="271" t="e">
        <f t="shared" si="8"/>
        <v>#N/A</v>
      </c>
      <c r="AK67" s="272" t="e">
        <f>IF(AJ67&lt;=1,"Insignificante",HLOOKUP(AJ67,[71]Listas!$F$3:$J$4,2,0))</f>
        <v>#N/A</v>
      </c>
      <c r="AL67" s="273" t="e">
        <f t="shared" si="9"/>
        <v>#N/A</v>
      </c>
      <c r="AM67" s="270" t="e">
        <f>INDEX([71]Listas!$F$6:$J$10,MATCH(AI67,[71]Listas!$D$6:$D$10,0),MATCH(AK67,[71]Listas!$F$4:$J$4,0))</f>
        <v>#N/A</v>
      </c>
      <c r="AN67" s="259"/>
      <c r="AO67" s="259"/>
      <c r="AP67" s="794"/>
      <c r="AQ67" s="259"/>
      <c r="AR67" s="259" t="s">
        <v>2343</v>
      </c>
      <c r="AS67" s="790"/>
      <c r="AT67" s="259"/>
      <c r="AU67" s="259"/>
      <c r="AV67" s="261"/>
      <c r="AW67" s="261"/>
      <c r="AX67" s="790"/>
      <c r="AY67" s="262"/>
    </row>
    <row r="68" spans="1:51" s="260" customFormat="1" ht="103.5" hidden="1" customHeight="1">
      <c r="A68" s="790"/>
      <c r="B68" s="266"/>
      <c r="C68" s="1399"/>
      <c r="D68" s="1408"/>
      <c r="E68" s="1400"/>
      <c r="F68" s="267"/>
      <c r="G68" s="1399"/>
      <c r="H68" s="1408"/>
      <c r="I68" s="1400"/>
      <c r="J68" s="1380"/>
      <c r="K68" s="1380"/>
      <c r="L68" s="1380"/>
      <c r="M68" s="790"/>
      <c r="N68" s="790"/>
      <c r="O68" s="790"/>
      <c r="P68" s="790"/>
      <c r="Q68" s="266"/>
      <c r="R68" s="266"/>
      <c r="S68" s="268"/>
      <c r="T68" s="269" t="e">
        <f>VLOOKUP(Q68,[71]Listas!$D$6:$E$10,2,0)</f>
        <v>#N/A</v>
      </c>
      <c r="U68" s="269" t="e">
        <f>HLOOKUP(R68,[71]Listas!$F$4:$J$5,2,0)</f>
        <v>#N/A</v>
      </c>
      <c r="V68" s="270" t="e">
        <f>INDEX([71]Listas!$F$6:$J$10,MATCH(Q68,[71]Listas!$D$6:$D$10,0),MATCH(R68,[71]Listas!$F$4:$J$4,0))</f>
        <v>#N/A</v>
      </c>
      <c r="W68" s="268"/>
      <c r="X68" s="1399"/>
      <c r="Y68" s="1408"/>
      <c r="Z68" s="1400"/>
      <c r="AA68" s="1063"/>
      <c r="AB68" s="267"/>
      <c r="AC68" s="259"/>
      <c r="AD68" s="790"/>
      <c r="AE68" s="267"/>
      <c r="AF68" s="268"/>
      <c r="AG68" s="269">
        <f t="shared" si="6"/>
        <v>0</v>
      </c>
      <c r="AH68" s="271" t="e">
        <f t="shared" si="7"/>
        <v>#N/A</v>
      </c>
      <c r="AI68" s="272" t="e">
        <f>IF(AH68&lt;=1,"Remota",VLOOKUP(AH68,[71]Listas!$C$6:$D$10,2,0))</f>
        <v>#N/A</v>
      </c>
      <c r="AJ68" s="271" t="e">
        <f t="shared" si="8"/>
        <v>#N/A</v>
      </c>
      <c r="AK68" s="272" t="e">
        <f>IF(AJ68&lt;=1,"Insignificante",HLOOKUP(AJ68,[71]Listas!$F$3:$J$4,2,0))</f>
        <v>#N/A</v>
      </c>
      <c r="AL68" s="273" t="e">
        <f t="shared" si="9"/>
        <v>#N/A</v>
      </c>
      <c r="AM68" s="270" t="e">
        <f>INDEX([71]Listas!$F$6:$J$10,MATCH(AI68,[71]Listas!$D$6:$D$10,0),MATCH(AK68,[71]Listas!$F$4:$J$4,0))</f>
        <v>#N/A</v>
      </c>
      <c r="AN68" s="259"/>
      <c r="AO68" s="259"/>
      <c r="AP68" s="794"/>
      <c r="AQ68" s="259"/>
      <c r="AR68" s="259" t="s">
        <v>2343</v>
      </c>
      <c r="AS68" s="790"/>
      <c r="AT68" s="259"/>
      <c r="AU68" s="259"/>
      <c r="AV68" s="261"/>
      <c r="AW68" s="261"/>
      <c r="AX68" s="790"/>
      <c r="AY68" s="262"/>
    </row>
    <row r="69" spans="1:51" s="260" customFormat="1" ht="103.5" hidden="1" customHeight="1">
      <c r="A69" s="790"/>
      <c r="B69" s="266"/>
      <c r="C69" s="1399"/>
      <c r="D69" s="1408"/>
      <c r="E69" s="1400"/>
      <c r="F69" s="267"/>
      <c r="G69" s="1399"/>
      <c r="H69" s="1408"/>
      <c r="I69" s="1400"/>
      <c r="J69" s="1380"/>
      <c r="K69" s="1380"/>
      <c r="L69" s="1380"/>
      <c r="M69" s="790"/>
      <c r="N69" s="790"/>
      <c r="O69" s="790"/>
      <c r="P69" s="790"/>
      <c r="Q69" s="266"/>
      <c r="R69" s="266"/>
      <c r="S69" s="268"/>
      <c r="T69" s="269" t="e">
        <f>VLOOKUP(Q69,[71]Listas!$D$6:$E$10,2,0)</f>
        <v>#N/A</v>
      </c>
      <c r="U69" s="269" t="e">
        <f>HLOOKUP(R69,[71]Listas!$F$4:$J$5,2,0)</f>
        <v>#N/A</v>
      </c>
      <c r="V69" s="270" t="e">
        <f>INDEX([71]Listas!$F$6:$J$10,MATCH(Q69,[71]Listas!$D$6:$D$10,0),MATCH(R69,[71]Listas!$F$4:$J$4,0))</f>
        <v>#N/A</v>
      </c>
      <c r="W69" s="268"/>
      <c r="X69" s="1399"/>
      <c r="Y69" s="1408"/>
      <c r="Z69" s="1400"/>
      <c r="AA69" s="1063"/>
      <c r="AB69" s="267"/>
      <c r="AC69" s="259"/>
      <c r="AD69" s="790"/>
      <c r="AE69" s="267"/>
      <c r="AF69" s="268"/>
      <c r="AG69" s="269">
        <f t="shared" si="6"/>
        <v>0</v>
      </c>
      <c r="AH69" s="271" t="e">
        <f t="shared" si="7"/>
        <v>#N/A</v>
      </c>
      <c r="AI69" s="272" t="e">
        <f>IF(AH69&lt;=1,"Remota",VLOOKUP(AH69,[71]Listas!$C$6:$D$10,2,0))</f>
        <v>#N/A</v>
      </c>
      <c r="AJ69" s="271" t="e">
        <f t="shared" si="8"/>
        <v>#N/A</v>
      </c>
      <c r="AK69" s="272" t="e">
        <f>IF(AJ69&lt;=1,"Insignificante",HLOOKUP(AJ69,[71]Listas!$F$3:$J$4,2,0))</f>
        <v>#N/A</v>
      </c>
      <c r="AL69" s="273" t="e">
        <f t="shared" si="9"/>
        <v>#N/A</v>
      </c>
      <c r="AM69" s="270" t="e">
        <f>INDEX([71]Listas!$F$6:$J$10,MATCH(AI69,[71]Listas!$D$6:$D$10,0),MATCH(AK69,[71]Listas!$F$4:$J$4,0))</f>
        <v>#N/A</v>
      </c>
      <c r="AN69" s="259"/>
      <c r="AO69" s="259"/>
      <c r="AP69" s="794"/>
      <c r="AQ69" s="259"/>
      <c r="AR69" s="259" t="s">
        <v>2343</v>
      </c>
      <c r="AS69" s="790"/>
      <c r="AT69" s="259"/>
      <c r="AU69" s="259"/>
      <c r="AV69" s="261"/>
      <c r="AW69" s="261"/>
      <c r="AX69" s="790"/>
      <c r="AY69" s="262"/>
    </row>
    <row r="70" spans="1:51" s="260" customFormat="1" ht="103.5" hidden="1" customHeight="1">
      <c r="A70" s="790"/>
      <c r="B70" s="266"/>
      <c r="C70" s="1399"/>
      <c r="D70" s="1408"/>
      <c r="E70" s="1400"/>
      <c r="F70" s="267"/>
      <c r="G70" s="1399"/>
      <c r="H70" s="1408"/>
      <c r="I70" s="1400"/>
      <c r="J70" s="1380"/>
      <c r="K70" s="1380"/>
      <c r="L70" s="1380"/>
      <c r="M70" s="790"/>
      <c r="N70" s="790"/>
      <c r="O70" s="790"/>
      <c r="P70" s="790"/>
      <c r="Q70" s="266"/>
      <c r="R70" s="266"/>
      <c r="S70" s="268"/>
      <c r="T70" s="269" t="e">
        <f>VLOOKUP(Q70,[71]Listas!$D$6:$E$10,2,0)</f>
        <v>#N/A</v>
      </c>
      <c r="U70" s="269" t="e">
        <f>HLOOKUP(R70,[71]Listas!$F$4:$J$5,2,0)</f>
        <v>#N/A</v>
      </c>
      <c r="V70" s="270" t="e">
        <f>INDEX([71]Listas!$F$6:$J$10,MATCH(Q70,[71]Listas!$D$6:$D$10,0),MATCH(R70,[71]Listas!$F$4:$J$4,0))</f>
        <v>#N/A</v>
      </c>
      <c r="W70" s="268"/>
      <c r="X70" s="1399"/>
      <c r="Y70" s="1408"/>
      <c r="Z70" s="1400"/>
      <c r="AA70" s="1063"/>
      <c r="AB70" s="267"/>
      <c r="AC70" s="259"/>
      <c r="AD70" s="790"/>
      <c r="AE70" s="267"/>
      <c r="AF70" s="268"/>
      <c r="AG70" s="269">
        <f t="shared" si="6"/>
        <v>0</v>
      </c>
      <c r="AH70" s="271" t="e">
        <f t="shared" si="7"/>
        <v>#N/A</v>
      </c>
      <c r="AI70" s="272" t="e">
        <f>IF(AH70&lt;=1,"Remota",VLOOKUP(AH70,[71]Listas!$C$6:$D$10,2,0))</f>
        <v>#N/A</v>
      </c>
      <c r="AJ70" s="271" t="e">
        <f t="shared" si="8"/>
        <v>#N/A</v>
      </c>
      <c r="AK70" s="272" t="e">
        <f>IF(AJ70&lt;=1,"Insignificante",HLOOKUP(AJ70,[71]Listas!$F$3:$J$4,2,0))</f>
        <v>#N/A</v>
      </c>
      <c r="AL70" s="273" t="e">
        <f t="shared" si="9"/>
        <v>#N/A</v>
      </c>
      <c r="AM70" s="270" t="e">
        <f>INDEX([71]Listas!$F$6:$J$10,MATCH(AI70,[71]Listas!$D$6:$D$10,0),MATCH(AK70,[71]Listas!$F$4:$J$4,0))</f>
        <v>#N/A</v>
      </c>
      <c r="AN70" s="259"/>
      <c r="AO70" s="259"/>
      <c r="AP70" s="794"/>
      <c r="AQ70" s="259"/>
      <c r="AR70" s="259" t="s">
        <v>2343</v>
      </c>
      <c r="AS70" s="790"/>
      <c r="AT70" s="259"/>
      <c r="AU70" s="259"/>
      <c r="AV70" s="261"/>
      <c r="AW70" s="261"/>
      <c r="AX70" s="790"/>
      <c r="AY70" s="262"/>
    </row>
    <row r="71" spans="1:51" s="260" customFormat="1" ht="103.5" hidden="1" customHeight="1">
      <c r="A71" s="790"/>
      <c r="B71" s="266"/>
      <c r="C71" s="1399"/>
      <c r="D71" s="1408"/>
      <c r="E71" s="1400"/>
      <c r="F71" s="267"/>
      <c r="G71" s="1399"/>
      <c r="H71" s="1408"/>
      <c r="I71" s="1400"/>
      <c r="J71" s="1380"/>
      <c r="K71" s="1380"/>
      <c r="L71" s="1380"/>
      <c r="M71" s="790"/>
      <c r="N71" s="790"/>
      <c r="O71" s="790"/>
      <c r="P71" s="790"/>
      <c r="Q71" s="266"/>
      <c r="R71" s="266"/>
      <c r="S71" s="268"/>
      <c r="T71" s="269" t="e">
        <f>VLOOKUP(Q71,[71]Listas!$D$6:$E$10,2,0)</f>
        <v>#N/A</v>
      </c>
      <c r="U71" s="269" t="e">
        <f>HLOOKUP(R71,[71]Listas!$F$4:$J$5,2,0)</f>
        <v>#N/A</v>
      </c>
      <c r="V71" s="270" t="e">
        <f>INDEX([71]Listas!$F$6:$J$10,MATCH(Q71,[71]Listas!$D$6:$D$10,0),MATCH(R71,[71]Listas!$F$4:$J$4,0))</f>
        <v>#N/A</v>
      </c>
      <c r="W71" s="268"/>
      <c r="X71" s="1399"/>
      <c r="Y71" s="1408"/>
      <c r="Z71" s="1400"/>
      <c r="AA71" s="1063"/>
      <c r="AB71" s="267"/>
      <c r="AC71" s="259"/>
      <c r="AD71" s="790"/>
      <c r="AE71" s="267"/>
      <c r="AF71" s="268"/>
      <c r="AG71" s="269">
        <f t="shared" si="6"/>
        <v>0</v>
      </c>
      <c r="AH71" s="271" t="e">
        <f t="shared" si="7"/>
        <v>#N/A</v>
      </c>
      <c r="AI71" s="272" t="e">
        <f>IF(AH71&lt;=1,"Remota",VLOOKUP(AH71,[71]Listas!$C$6:$D$10,2,0))</f>
        <v>#N/A</v>
      </c>
      <c r="AJ71" s="271" t="e">
        <f t="shared" si="8"/>
        <v>#N/A</v>
      </c>
      <c r="AK71" s="272" t="e">
        <f>IF(AJ71&lt;=1,"Insignificante",HLOOKUP(AJ71,[71]Listas!$F$3:$J$4,2,0))</f>
        <v>#N/A</v>
      </c>
      <c r="AL71" s="273" t="e">
        <f t="shared" si="9"/>
        <v>#N/A</v>
      </c>
      <c r="AM71" s="270" t="e">
        <f>INDEX([71]Listas!$F$6:$J$10,MATCH(AI71,[71]Listas!$D$6:$D$10,0),MATCH(AK71,[71]Listas!$F$4:$J$4,0))</f>
        <v>#N/A</v>
      </c>
      <c r="AN71" s="259"/>
      <c r="AO71" s="259"/>
      <c r="AP71" s="794"/>
      <c r="AQ71" s="259"/>
      <c r="AR71" s="259" t="s">
        <v>2343</v>
      </c>
      <c r="AS71" s="790"/>
      <c r="AT71" s="259"/>
      <c r="AU71" s="259"/>
      <c r="AV71" s="261"/>
      <c r="AW71" s="261"/>
      <c r="AX71" s="790"/>
      <c r="AY71" s="262"/>
    </row>
    <row r="72" spans="1:51" s="260" customFormat="1" ht="103.5" hidden="1" customHeight="1">
      <c r="A72" s="790"/>
      <c r="B72" s="266"/>
      <c r="C72" s="1399"/>
      <c r="D72" s="1408"/>
      <c r="E72" s="1400"/>
      <c r="F72" s="267"/>
      <c r="G72" s="1399"/>
      <c r="H72" s="1408"/>
      <c r="I72" s="1400"/>
      <c r="J72" s="1380"/>
      <c r="K72" s="1380"/>
      <c r="L72" s="1380"/>
      <c r="M72" s="790"/>
      <c r="N72" s="790"/>
      <c r="O72" s="790"/>
      <c r="P72" s="790"/>
      <c r="Q72" s="266"/>
      <c r="R72" s="266"/>
      <c r="S72" s="268"/>
      <c r="T72" s="269" t="e">
        <f>VLOOKUP(Q72,[71]Listas!$D$6:$E$10,2,0)</f>
        <v>#N/A</v>
      </c>
      <c r="U72" s="269" t="e">
        <f>HLOOKUP(R72,[71]Listas!$F$4:$J$5,2,0)</f>
        <v>#N/A</v>
      </c>
      <c r="V72" s="270" t="e">
        <f>INDEX([71]Listas!$F$6:$J$10,MATCH(Q72,[71]Listas!$D$6:$D$10,0),MATCH(R72,[71]Listas!$F$4:$J$4,0))</f>
        <v>#N/A</v>
      </c>
      <c r="W72" s="268"/>
      <c r="X72" s="1399"/>
      <c r="Y72" s="1408"/>
      <c r="Z72" s="1400"/>
      <c r="AA72" s="1063"/>
      <c r="AB72" s="267"/>
      <c r="AC72" s="259"/>
      <c r="AD72" s="790"/>
      <c r="AE72" s="267"/>
      <c r="AF72" s="268"/>
      <c r="AG72" s="269">
        <f t="shared" si="6"/>
        <v>0</v>
      </c>
      <c r="AH72" s="271" t="e">
        <f t="shared" si="7"/>
        <v>#N/A</v>
      </c>
      <c r="AI72" s="272" t="e">
        <f>IF(AH72&lt;=1,"Remota",VLOOKUP(AH72,[71]Listas!$C$6:$D$10,2,0))</f>
        <v>#N/A</v>
      </c>
      <c r="AJ72" s="271" t="e">
        <f t="shared" si="8"/>
        <v>#N/A</v>
      </c>
      <c r="AK72" s="272" t="e">
        <f>IF(AJ72&lt;=1,"Insignificante",HLOOKUP(AJ72,[71]Listas!$F$3:$J$4,2,0))</f>
        <v>#N/A</v>
      </c>
      <c r="AL72" s="273" t="e">
        <f t="shared" si="9"/>
        <v>#N/A</v>
      </c>
      <c r="AM72" s="270" t="e">
        <f>INDEX([71]Listas!$F$6:$J$10,MATCH(AI72,[71]Listas!$D$6:$D$10,0),MATCH(AK72,[71]Listas!$F$4:$J$4,0))</f>
        <v>#N/A</v>
      </c>
      <c r="AN72" s="259"/>
      <c r="AO72" s="259"/>
      <c r="AP72" s="794"/>
      <c r="AQ72" s="259"/>
      <c r="AR72" s="259" t="s">
        <v>2343</v>
      </c>
      <c r="AS72" s="790"/>
      <c r="AT72" s="259"/>
      <c r="AU72" s="259"/>
      <c r="AV72" s="261"/>
      <c r="AW72" s="261"/>
      <c r="AX72" s="790"/>
      <c r="AY72" s="262"/>
    </row>
    <row r="73" spans="1:51" s="260" customFormat="1" ht="103.5" hidden="1" customHeight="1">
      <c r="A73" s="790"/>
      <c r="B73" s="266"/>
      <c r="C73" s="1399"/>
      <c r="D73" s="1408"/>
      <c r="E73" s="1400"/>
      <c r="F73" s="267"/>
      <c r="G73" s="1399"/>
      <c r="H73" s="1408"/>
      <c r="I73" s="1400"/>
      <c r="J73" s="1380"/>
      <c r="K73" s="1380"/>
      <c r="L73" s="1380"/>
      <c r="M73" s="790"/>
      <c r="N73" s="790"/>
      <c r="O73" s="790"/>
      <c r="P73" s="790"/>
      <c r="Q73" s="266"/>
      <c r="R73" s="266"/>
      <c r="S73" s="268"/>
      <c r="T73" s="269" t="e">
        <f>VLOOKUP(Q73,[71]Listas!$D$6:$E$10,2,0)</f>
        <v>#N/A</v>
      </c>
      <c r="U73" s="269" t="e">
        <f>HLOOKUP(R73,[71]Listas!$F$4:$J$5,2,0)</f>
        <v>#N/A</v>
      </c>
      <c r="V73" s="270" t="e">
        <f>INDEX([71]Listas!$F$6:$J$10,MATCH(Q73,[71]Listas!$D$6:$D$10,0),MATCH(R73,[71]Listas!$F$4:$J$4,0))</f>
        <v>#N/A</v>
      </c>
      <c r="W73" s="268"/>
      <c r="X73" s="1399"/>
      <c r="Y73" s="1408"/>
      <c r="Z73" s="1400"/>
      <c r="AA73" s="1063"/>
      <c r="AB73" s="267"/>
      <c r="AC73" s="259"/>
      <c r="AD73" s="790"/>
      <c r="AE73" s="267"/>
      <c r="AF73" s="268"/>
      <c r="AG73" s="269">
        <f t="shared" si="6"/>
        <v>0</v>
      </c>
      <c r="AH73" s="271" t="e">
        <f t="shared" si="7"/>
        <v>#N/A</v>
      </c>
      <c r="AI73" s="272" t="e">
        <f>IF(AH73&lt;=1,"Remota",VLOOKUP(AH73,[71]Listas!$C$6:$D$10,2,0))</f>
        <v>#N/A</v>
      </c>
      <c r="AJ73" s="271" t="e">
        <f t="shared" si="8"/>
        <v>#N/A</v>
      </c>
      <c r="AK73" s="272" t="e">
        <f>IF(AJ73&lt;=1,"Insignificante",HLOOKUP(AJ73,[71]Listas!$F$3:$J$4,2,0))</f>
        <v>#N/A</v>
      </c>
      <c r="AL73" s="273" t="e">
        <f t="shared" si="9"/>
        <v>#N/A</v>
      </c>
      <c r="AM73" s="270" t="e">
        <f>INDEX([71]Listas!$F$6:$J$10,MATCH(AI73,[71]Listas!$D$6:$D$10,0),MATCH(AK73,[71]Listas!$F$4:$J$4,0))</f>
        <v>#N/A</v>
      </c>
      <c r="AN73" s="259"/>
      <c r="AO73" s="259"/>
      <c r="AP73" s="794"/>
      <c r="AQ73" s="259"/>
      <c r="AR73" s="259" t="s">
        <v>2343</v>
      </c>
      <c r="AS73" s="790"/>
      <c r="AT73" s="259"/>
      <c r="AU73" s="259"/>
      <c r="AV73" s="261"/>
      <c r="AW73" s="261"/>
      <c r="AX73" s="790"/>
      <c r="AY73" s="262"/>
    </row>
    <row r="74" spans="1:51" s="260" customFormat="1" ht="103.5" hidden="1" customHeight="1">
      <c r="A74" s="790"/>
      <c r="B74" s="266"/>
      <c r="C74" s="1399"/>
      <c r="D74" s="1408"/>
      <c r="E74" s="1400"/>
      <c r="F74" s="267"/>
      <c r="G74" s="1399"/>
      <c r="H74" s="1408"/>
      <c r="I74" s="1400"/>
      <c r="J74" s="1380"/>
      <c r="K74" s="1380"/>
      <c r="L74" s="1380"/>
      <c r="M74" s="790"/>
      <c r="N74" s="790"/>
      <c r="O74" s="790"/>
      <c r="P74" s="790"/>
      <c r="Q74" s="266"/>
      <c r="R74" s="266"/>
      <c r="S74" s="268"/>
      <c r="T74" s="269" t="e">
        <f>VLOOKUP(Q74,[71]Listas!$D$6:$E$10,2,0)</f>
        <v>#N/A</v>
      </c>
      <c r="U74" s="269" t="e">
        <f>HLOOKUP(R74,[71]Listas!$F$4:$J$5,2,0)</f>
        <v>#N/A</v>
      </c>
      <c r="V74" s="270" t="e">
        <f>INDEX([71]Listas!$F$6:$J$10,MATCH(Q74,[71]Listas!$D$6:$D$10,0),MATCH(R74,[71]Listas!$F$4:$J$4,0))</f>
        <v>#N/A</v>
      </c>
      <c r="W74" s="268"/>
      <c r="X74" s="1399"/>
      <c r="Y74" s="1408"/>
      <c r="Z74" s="1400"/>
      <c r="AA74" s="1063"/>
      <c r="AB74" s="267"/>
      <c r="AC74" s="259"/>
      <c r="AD74" s="790"/>
      <c r="AE74" s="267"/>
      <c r="AF74" s="268"/>
      <c r="AG74" s="269">
        <f t="shared" si="6"/>
        <v>0</v>
      </c>
      <c r="AH74" s="271" t="e">
        <f t="shared" si="7"/>
        <v>#N/A</v>
      </c>
      <c r="AI74" s="272" t="e">
        <f>IF(AH74&lt;=1,"Remota",VLOOKUP(AH74,[71]Listas!$C$6:$D$10,2,0))</f>
        <v>#N/A</v>
      </c>
      <c r="AJ74" s="271" t="e">
        <f t="shared" si="8"/>
        <v>#N/A</v>
      </c>
      <c r="AK74" s="272" t="e">
        <f>IF(AJ74&lt;=1,"Insignificante",HLOOKUP(AJ74,[71]Listas!$F$3:$J$4,2,0))</f>
        <v>#N/A</v>
      </c>
      <c r="AL74" s="273" t="e">
        <f t="shared" si="9"/>
        <v>#N/A</v>
      </c>
      <c r="AM74" s="270" t="e">
        <f>INDEX([71]Listas!$F$6:$J$10,MATCH(AI74,[71]Listas!$D$6:$D$10,0),MATCH(AK74,[71]Listas!$F$4:$J$4,0))</f>
        <v>#N/A</v>
      </c>
      <c r="AN74" s="259"/>
      <c r="AO74" s="259"/>
      <c r="AP74" s="794"/>
      <c r="AQ74" s="259"/>
      <c r="AR74" s="259" t="s">
        <v>2343</v>
      </c>
      <c r="AS74" s="790"/>
      <c r="AT74" s="259"/>
      <c r="AU74" s="259"/>
      <c r="AV74" s="261"/>
      <c r="AW74" s="261"/>
      <c r="AX74" s="790"/>
      <c r="AY74" s="262"/>
    </row>
    <row r="75" spans="1:51" s="260" customFormat="1" ht="103.5" hidden="1" customHeight="1">
      <c r="A75" s="790"/>
      <c r="B75" s="266"/>
      <c r="C75" s="1399"/>
      <c r="D75" s="1408"/>
      <c r="E75" s="1400"/>
      <c r="F75" s="267"/>
      <c r="G75" s="1399"/>
      <c r="H75" s="1408"/>
      <c r="I75" s="1400"/>
      <c r="J75" s="1380"/>
      <c r="K75" s="1380"/>
      <c r="L75" s="1380"/>
      <c r="M75" s="790"/>
      <c r="N75" s="790"/>
      <c r="O75" s="790"/>
      <c r="P75" s="790"/>
      <c r="Q75" s="266"/>
      <c r="R75" s="266"/>
      <c r="S75" s="268"/>
      <c r="T75" s="269" t="e">
        <f>VLOOKUP(Q75,[71]Listas!$D$6:$E$10,2,0)</f>
        <v>#N/A</v>
      </c>
      <c r="U75" s="269" t="e">
        <f>HLOOKUP(R75,[71]Listas!$F$4:$J$5,2,0)</f>
        <v>#N/A</v>
      </c>
      <c r="V75" s="270" t="e">
        <f>INDEX([71]Listas!$F$6:$J$10,MATCH(Q75,[71]Listas!$D$6:$D$10,0),MATCH(R75,[71]Listas!$F$4:$J$4,0))</f>
        <v>#N/A</v>
      </c>
      <c r="W75" s="268"/>
      <c r="X75" s="1399"/>
      <c r="Y75" s="1408"/>
      <c r="Z75" s="1400"/>
      <c r="AA75" s="1063"/>
      <c r="AB75" s="267"/>
      <c r="AC75" s="259"/>
      <c r="AD75" s="790"/>
      <c r="AE75" s="267"/>
      <c r="AF75" s="268"/>
      <c r="AG75" s="269">
        <f t="shared" si="6"/>
        <v>0</v>
      </c>
      <c r="AH75" s="271" t="e">
        <f t="shared" si="7"/>
        <v>#N/A</v>
      </c>
      <c r="AI75" s="272" t="e">
        <f>IF(AH75&lt;=1,"Remota",VLOOKUP(AH75,[71]Listas!$C$6:$D$10,2,0))</f>
        <v>#N/A</v>
      </c>
      <c r="AJ75" s="271" t="e">
        <f t="shared" si="8"/>
        <v>#N/A</v>
      </c>
      <c r="AK75" s="272" t="e">
        <f>IF(AJ75&lt;=1,"Insignificante",HLOOKUP(AJ75,[71]Listas!$F$3:$J$4,2,0))</f>
        <v>#N/A</v>
      </c>
      <c r="AL75" s="273" t="e">
        <f t="shared" si="9"/>
        <v>#N/A</v>
      </c>
      <c r="AM75" s="270" t="e">
        <f>INDEX([71]Listas!$F$6:$J$10,MATCH(AI75,[71]Listas!$D$6:$D$10,0),MATCH(AK75,[71]Listas!$F$4:$J$4,0))</f>
        <v>#N/A</v>
      </c>
      <c r="AN75" s="259"/>
      <c r="AO75" s="259"/>
      <c r="AP75" s="794"/>
      <c r="AQ75" s="259"/>
      <c r="AR75" s="259" t="s">
        <v>2343</v>
      </c>
      <c r="AS75" s="790"/>
      <c r="AT75" s="259"/>
      <c r="AU75" s="259"/>
      <c r="AV75" s="261"/>
      <c r="AW75" s="261"/>
      <c r="AX75" s="790"/>
      <c r="AY75" s="262"/>
    </row>
    <row r="76" spans="1:51" s="260" customFormat="1" ht="103.5" hidden="1" customHeight="1">
      <c r="A76" s="790"/>
      <c r="B76" s="266"/>
      <c r="C76" s="1399"/>
      <c r="D76" s="1408"/>
      <c r="E76" s="1400"/>
      <c r="F76" s="267"/>
      <c r="G76" s="1399"/>
      <c r="H76" s="1408"/>
      <c r="I76" s="1400"/>
      <c r="J76" s="1380"/>
      <c r="K76" s="1380"/>
      <c r="L76" s="1380"/>
      <c r="M76" s="790"/>
      <c r="N76" s="790"/>
      <c r="O76" s="790"/>
      <c r="P76" s="790"/>
      <c r="Q76" s="266"/>
      <c r="R76" s="266"/>
      <c r="S76" s="268"/>
      <c r="T76" s="269" t="e">
        <f>VLOOKUP(Q76,[71]Listas!$D$6:$E$10,2,0)</f>
        <v>#N/A</v>
      </c>
      <c r="U76" s="269" t="e">
        <f>HLOOKUP(R76,[71]Listas!$F$4:$J$5,2,0)</f>
        <v>#N/A</v>
      </c>
      <c r="V76" s="270" t="e">
        <f>INDEX([71]Listas!$F$6:$J$10,MATCH(Q76,[71]Listas!$D$6:$D$10,0),MATCH(R76,[71]Listas!$F$4:$J$4,0))</f>
        <v>#N/A</v>
      </c>
      <c r="W76" s="268"/>
      <c r="X76" s="1399"/>
      <c r="Y76" s="1408"/>
      <c r="Z76" s="1400"/>
      <c r="AA76" s="1063"/>
      <c r="AB76" s="267"/>
      <c r="AC76" s="259"/>
      <c r="AD76" s="790"/>
      <c r="AE76" s="267"/>
      <c r="AF76" s="268"/>
      <c r="AG76" s="269">
        <f t="shared" si="6"/>
        <v>0</v>
      </c>
      <c r="AH76" s="271" t="e">
        <f t="shared" si="7"/>
        <v>#N/A</v>
      </c>
      <c r="AI76" s="272" t="e">
        <f>IF(AH76&lt;=1,"Remota",VLOOKUP(AH76,[71]Listas!$C$6:$D$10,2,0))</f>
        <v>#N/A</v>
      </c>
      <c r="AJ76" s="271" t="e">
        <f t="shared" si="8"/>
        <v>#N/A</v>
      </c>
      <c r="AK76" s="272" t="e">
        <f>IF(AJ76&lt;=1,"Insignificante",HLOOKUP(AJ76,[71]Listas!$F$3:$J$4,2,0))</f>
        <v>#N/A</v>
      </c>
      <c r="AL76" s="273" t="e">
        <f t="shared" si="9"/>
        <v>#N/A</v>
      </c>
      <c r="AM76" s="270" t="e">
        <f>INDEX([71]Listas!$F$6:$J$10,MATCH(AI76,[71]Listas!$D$6:$D$10,0),MATCH(AK76,[71]Listas!$F$4:$J$4,0))</f>
        <v>#N/A</v>
      </c>
      <c r="AN76" s="259"/>
      <c r="AO76" s="259"/>
      <c r="AP76" s="794"/>
      <c r="AQ76" s="259"/>
      <c r="AR76" s="259" t="s">
        <v>2343</v>
      </c>
      <c r="AS76" s="790"/>
      <c r="AT76" s="259"/>
      <c r="AU76" s="259"/>
      <c r="AV76" s="261"/>
      <c r="AW76" s="261"/>
      <c r="AX76" s="790"/>
      <c r="AY76" s="262"/>
    </row>
    <row r="77" spans="1:51" s="260" customFormat="1" ht="103.5" hidden="1" customHeight="1">
      <c r="A77" s="790"/>
      <c r="B77" s="266"/>
      <c r="C77" s="1399"/>
      <c r="D77" s="1408"/>
      <c r="E77" s="1400"/>
      <c r="F77" s="267"/>
      <c r="G77" s="1399"/>
      <c r="H77" s="1408"/>
      <c r="I77" s="1400"/>
      <c r="J77" s="1380"/>
      <c r="K77" s="1380"/>
      <c r="L77" s="1380"/>
      <c r="M77" s="790"/>
      <c r="N77" s="790"/>
      <c r="O77" s="790"/>
      <c r="P77" s="790"/>
      <c r="Q77" s="266"/>
      <c r="R77" s="266"/>
      <c r="S77" s="268"/>
      <c r="T77" s="269" t="e">
        <f>VLOOKUP(Q77,[71]Listas!$D$6:$E$10,2,0)</f>
        <v>#N/A</v>
      </c>
      <c r="U77" s="269" t="e">
        <f>HLOOKUP(R77,[71]Listas!$F$4:$J$5,2,0)</f>
        <v>#N/A</v>
      </c>
      <c r="V77" s="270" t="e">
        <f>INDEX([71]Listas!$F$6:$J$10,MATCH(Q77,[71]Listas!$D$6:$D$10,0),MATCH(R77,[71]Listas!$F$4:$J$4,0))</f>
        <v>#N/A</v>
      </c>
      <c r="W77" s="268"/>
      <c r="X77" s="1399"/>
      <c r="Y77" s="1408"/>
      <c r="Z77" s="1400"/>
      <c r="AA77" s="1063"/>
      <c r="AB77" s="267"/>
      <c r="AC77" s="259"/>
      <c r="AD77" s="790"/>
      <c r="AE77" s="267"/>
      <c r="AF77" s="268"/>
      <c r="AG77" s="269">
        <f t="shared" si="6"/>
        <v>0</v>
      </c>
      <c r="AH77" s="271" t="e">
        <f t="shared" si="7"/>
        <v>#N/A</v>
      </c>
      <c r="AI77" s="272" t="e">
        <f>IF(AH77&lt;=1,"Remota",VLOOKUP(AH77,[71]Listas!$C$6:$D$10,2,0))</f>
        <v>#N/A</v>
      </c>
      <c r="AJ77" s="271" t="e">
        <f t="shared" si="8"/>
        <v>#N/A</v>
      </c>
      <c r="AK77" s="272" t="e">
        <f>IF(AJ77&lt;=1,"Insignificante",HLOOKUP(AJ77,[71]Listas!$F$3:$J$4,2,0))</f>
        <v>#N/A</v>
      </c>
      <c r="AL77" s="273" t="e">
        <f t="shared" si="9"/>
        <v>#N/A</v>
      </c>
      <c r="AM77" s="270" t="e">
        <f>INDEX([71]Listas!$F$6:$J$10,MATCH(AI77,[71]Listas!$D$6:$D$10,0),MATCH(AK77,[71]Listas!$F$4:$J$4,0))</f>
        <v>#N/A</v>
      </c>
      <c r="AN77" s="259"/>
      <c r="AO77" s="259"/>
      <c r="AP77" s="794"/>
      <c r="AQ77" s="259"/>
      <c r="AR77" s="259" t="s">
        <v>2343</v>
      </c>
      <c r="AS77" s="790"/>
      <c r="AT77" s="259"/>
      <c r="AU77" s="259"/>
      <c r="AV77" s="261"/>
      <c r="AW77" s="261"/>
      <c r="AX77" s="790"/>
      <c r="AY77" s="262"/>
    </row>
    <row r="78" spans="1:51" s="260" customFormat="1" ht="103.5" hidden="1" customHeight="1">
      <c r="A78" s="790"/>
      <c r="B78" s="266"/>
      <c r="C78" s="1399"/>
      <c r="D78" s="1408"/>
      <c r="E78" s="1400"/>
      <c r="F78" s="267"/>
      <c r="G78" s="1399"/>
      <c r="H78" s="1408"/>
      <c r="I78" s="1400"/>
      <c r="J78" s="1380"/>
      <c r="K78" s="1380"/>
      <c r="L78" s="1380"/>
      <c r="M78" s="790"/>
      <c r="N78" s="790"/>
      <c r="O78" s="790"/>
      <c r="P78" s="790"/>
      <c r="Q78" s="266"/>
      <c r="R78" s="266"/>
      <c r="S78" s="268"/>
      <c r="T78" s="269" t="e">
        <f>VLOOKUP(Q78,[71]Listas!$D$6:$E$10,2,0)</f>
        <v>#N/A</v>
      </c>
      <c r="U78" s="269" t="e">
        <f>HLOOKUP(R78,[71]Listas!$F$4:$J$5,2,0)</f>
        <v>#N/A</v>
      </c>
      <c r="V78" s="270" t="e">
        <f>INDEX([71]Listas!$F$6:$J$10,MATCH(Q78,[71]Listas!$D$6:$D$10,0),MATCH(R78,[71]Listas!$F$4:$J$4,0))</f>
        <v>#N/A</v>
      </c>
      <c r="W78" s="268"/>
      <c r="X78" s="1399"/>
      <c r="Y78" s="1408"/>
      <c r="Z78" s="1400"/>
      <c r="AA78" s="1063"/>
      <c r="AB78" s="267"/>
      <c r="AC78" s="259"/>
      <c r="AD78" s="790"/>
      <c r="AE78" s="267"/>
      <c r="AF78" s="268"/>
      <c r="AG78" s="269">
        <f t="shared" si="6"/>
        <v>0</v>
      </c>
      <c r="AH78" s="271" t="e">
        <f t="shared" si="7"/>
        <v>#N/A</v>
      </c>
      <c r="AI78" s="272" t="e">
        <f>IF(AH78&lt;=1,"Remota",VLOOKUP(AH78,[71]Listas!$C$6:$D$10,2,0))</f>
        <v>#N/A</v>
      </c>
      <c r="AJ78" s="271" t="e">
        <f t="shared" si="8"/>
        <v>#N/A</v>
      </c>
      <c r="AK78" s="272" t="e">
        <f>IF(AJ78&lt;=1,"Insignificante",HLOOKUP(AJ78,[71]Listas!$F$3:$J$4,2,0))</f>
        <v>#N/A</v>
      </c>
      <c r="AL78" s="273" t="e">
        <f t="shared" si="9"/>
        <v>#N/A</v>
      </c>
      <c r="AM78" s="270" t="e">
        <f>INDEX([71]Listas!$F$6:$J$10,MATCH(AI78,[71]Listas!$D$6:$D$10,0),MATCH(AK78,[71]Listas!$F$4:$J$4,0))</f>
        <v>#N/A</v>
      </c>
      <c r="AN78" s="259"/>
      <c r="AO78" s="259"/>
      <c r="AP78" s="794"/>
      <c r="AQ78" s="259"/>
      <c r="AR78" s="259" t="s">
        <v>2343</v>
      </c>
      <c r="AS78" s="790"/>
      <c r="AT78" s="259"/>
      <c r="AU78" s="259"/>
      <c r="AV78" s="261"/>
      <c r="AW78" s="261"/>
      <c r="AX78" s="790"/>
      <c r="AY78" s="262"/>
    </row>
    <row r="79" spans="1:51" s="260" customFormat="1" ht="103.5" hidden="1" customHeight="1">
      <c r="A79" s="790"/>
      <c r="B79" s="266"/>
      <c r="C79" s="1399"/>
      <c r="D79" s="1408"/>
      <c r="E79" s="1400"/>
      <c r="F79" s="267"/>
      <c r="G79" s="1399"/>
      <c r="H79" s="1408"/>
      <c r="I79" s="1400"/>
      <c r="J79" s="1380"/>
      <c r="K79" s="1380"/>
      <c r="L79" s="1380"/>
      <c r="M79" s="790"/>
      <c r="N79" s="790"/>
      <c r="O79" s="790"/>
      <c r="P79" s="790"/>
      <c r="Q79" s="266"/>
      <c r="R79" s="266"/>
      <c r="S79" s="268"/>
      <c r="T79" s="269" t="e">
        <f>VLOOKUP(Q79,[71]Listas!$D$6:$E$10,2,0)</f>
        <v>#N/A</v>
      </c>
      <c r="U79" s="269" t="e">
        <f>HLOOKUP(R79,[71]Listas!$F$4:$J$5,2,0)</f>
        <v>#N/A</v>
      </c>
      <c r="V79" s="270" t="e">
        <f>INDEX([71]Listas!$F$6:$J$10,MATCH(Q79,[71]Listas!$D$6:$D$10,0),MATCH(R79,[71]Listas!$F$4:$J$4,0))</f>
        <v>#N/A</v>
      </c>
      <c r="W79" s="268"/>
      <c r="X79" s="1399"/>
      <c r="Y79" s="1408"/>
      <c r="Z79" s="1400"/>
      <c r="AA79" s="1063"/>
      <c r="AB79" s="267"/>
      <c r="AC79" s="259"/>
      <c r="AD79" s="790"/>
      <c r="AE79" s="267"/>
      <c r="AF79" s="268"/>
      <c r="AG79" s="269">
        <f t="shared" si="6"/>
        <v>0</v>
      </c>
      <c r="AH79" s="271" t="e">
        <f t="shared" si="7"/>
        <v>#N/A</v>
      </c>
      <c r="AI79" s="272" t="e">
        <f>IF(AH79&lt;=1,"Remota",VLOOKUP(AH79,[71]Listas!$C$6:$D$10,2,0))</f>
        <v>#N/A</v>
      </c>
      <c r="AJ79" s="271" t="e">
        <f t="shared" si="8"/>
        <v>#N/A</v>
      </c>
      <c r="AK79" s="272" t="e">
        <f>IF(AJ79&lt;=1,"Insignificante",HLOOKUP(AJ79,[71]Listas!$F$3:$J$4,2,0))</f>
        <v>#N/A</v>
      </c>
      <c r="AL79" s="273" t="e">
        <f t="shared" si="9"/>
        <v>#N/A</v>
      </c>
      <c r="AM79" s="270" t="e">
        <f>INDEX([71]Listas!$F$6:$J$10,MATCH(AI79,[71]Listas!$D$6:$D$10,0),MATCH(AK79,[71]Listas!$F$4:$J$4,0))</f>
        <v>#N/A</v>
      </c>
      <c r="AN79" s="259"/>
      <c r="AO79" s="259"/>
      <c r="AP79" s="794"/>
      <c r="AQ79" s="259"/>
      <c r="AR79" s="259" t="s">
        <v>2343</v>
      </c>
      <c r="AS79" s="790"/>
      <c r="AT79" s="259"/>
      <c r="AU79" s="259"/>
      <c r="AV79" s="261"/>
      <c r="AW79" s="261"/>
      <c r="AX79" s="790"/>
      <c r="AY79" s="262"/>
    </row>
    <row r="80" spans="1:51" s="260" customFormat="1" ht="103.5" hidden="1" customHeight="1">
      <c r="A80" s="790"/>
      <c r="B80" s="266"/>
      <c r="C80" s="1399"/>
      <c r="D80" s="1408"/>
      <c r="E80" s="1400"/>
      <c r="F80" s="267"/>
      <c r="G80" s="1399"/>
      <c r="H80" s="1408"/>
      <c r="I80" s="1400"/>
      <c r="J80" s="1380"/>
      <c r="K80" s="1380"/>
      <c r="L80" s="1380"/>
      <c r="M80" s="790"/>
      <c r="N80" s="790"/>
      <c r="O80" s="790"/>
      <c r="P80" s="790"/>
      <c r="Q80" s="266"/>
      <c r="R80" s="266"/>
      <c r="S80" s="268"/>
      <c r="T80" s="269" t="e">
        <f>VLOOKUP(Q80,[71]Listas!$D$6:$E$10,2,0)</f>
        <v>#N/A</v>
      </c>
      <c r="U80" s="269" t="e">
        <f>HLOOKUP(R80,[71]Listas!$F$4:$J$5,2,0)</f>
        <v>#N/A</v>
      </c>
      <c r="V80" s="270" t="e">
        <f>INDEX([71]Listas!$F$6:$J$10,MATCH(Q80,[71]Listas!$D$6:$D$10,0),MATCH(R80,[71]Listas!$F$4:$J$4,0))</f>
        <v>#N/A</v>
      </c>
      <c r="W80" s="268"/>
      <c r="X80" s="1399"/>
      <c r="Y80" s="1408"/>
      <c r="Z80" s="1400"/>
      <c r="AA80" s="1063"/>
      <c r="AB80" s="267"/>
      <c r="AC80" s="259"/>
      <c r="AD80" s="790"/>
      <c r="AE80" s="267"/>
      <c r="AF80" s="268"/>
      <c r="AG80" s="269">
        <f t="shared" si="6"/>
        <v>0</v>
      </c>
      <c r="AH80" s="271" t="e">
        <f t="shared" si="7"/>
        <v>#N/A</v>
      </c>
      <c r="AI80" s="272" t="e">
        <f>IF(AH80&lt;=1,"Remota",VLOOKUP(AH80,[71]Listas!$C$6:$D$10,2,0))</f>
        <v>#N/A</v>
      </c>
      <c r="AJ80" s="271" t="e">
        <f t="shared" si="8"/>
        <v>#N/A</v>
      </c>
      <c r="AK80" s="272" t="e">
        <f>IF(AJ80&lt;=1,"Insignificante",HLOOKUP(AJ80,[71]Listas!$F$3:$J$4,2,0))</f>
        <v>#N/A</v>
      </c>
      <c r="AL80" s="273" t="e">
        <f t="shared" si="9"/>
        <v>#N/A</v>
      </c>
      <c r="AM80" s="270" t="e">
        <f>INDEX([71]Listas!$F$6:$J$10,MATCH(AI80,[71]Listas!$D$6:$D$10,0),MATCH(AK80,[71]Listas!$F$4:$J$4,0))</f>
        <v>#N/A</v>
      </c>
      <c r="AN80" s="259"/>
      <c r="AO80" s="259"/>
      <c r="AP80" s="794"/>
      <c r="AQ80" s="259"/>
      <c r="AR80" s="259" t="s">
        <v>2343</v>
      </c>
      <c r="AS80" s="790"/>
      <c r="AT80" s="259"/>
      <c r="AU80" s="259"/>
      <c r="AV80" s="261"/>
      <c r="AW80" s="261"/>
      <c r="AX80" s="790"/>
      <c r="AY80" s="262"/>
    </row>
    <row r="81" spans="1:51" s="260" customFormat="1" ht="103.5" hidden="1" customHeight="1">
      <c r="A81" s="790"/>
      <c r="B81" s="266"/>
      <c r="C81" s="1399"/>
      <c r="D81" s="1408"/>
      <c r="E81" s="1400"/>
      <c r="F81" s="267"/>
      <c r="G81" s="1399"/>
      <c r="H81" s="1408"/>
      <c r="I81" s="1400"/>
      <c r="J81" s="1380"/>
      <c r="K81" s="1380"/>
      <c r="L81" s="1380"/>
      <c r="M81" s="790"/>
      <c r="N81" s="790"/>
      <c r="O81" s="790"/>
      <c r="P81" s="790"/>
      <c r="Q81" s="266"/>
      <c r="R81" s="266"/>
      <c r="S81" s="268"/>
      <c r="T81" s="269" t="e">
        <f>VLOOKUP(Q81,[71]Listas!$D$6:$E$10,2,0)</f>
        <v>#N/A</v>
      </c>
      <c r="U81" s="269" t="e">
        <f>HLOOKUP(R81,[71]Listas!$F$4:$J$5,2,0)</f>
        <v>#N/A</v>
      </c>
      <c r="V81" s="270" t="e">
        <f>INDEX([71]Listas!$F$6:$J$10,MATCH(Q81,[71]Listas!$D$6:$D$10,0),MATCH(R81,[71]Listas!$F$4:$J$4,0))</f>
        <v>#N/A</v>
      </c>
      <c r="W81" s="268"/>
      <c r="X81" s="1399"/>
      <c r="Y81" s="1408"/>
      <c r="Z81" s="1400"/>
      <c r="AA81" s="1063"/>
      <c r="AB81" s="267"/>
      <c r="AC81" s="259"/>
      <c r="AD81" s="790"/>
      <c r="AE81" s="267"/>
      <c r="AF81" s="268"/>
      <c r="AG81" s="269">
        <f t="shared" si="6"/>
        <v>0</v>
      </c>
      <c r="AH81" s="271" t="e">
        <f t="shared" si="7"/>
        <v>#N/A</v>
      </c>
      <c r="AI81" s="272" t="e">
        <f>IF(AH81&lt;=1,"Remota",VLOOKUP(AH81,[71]Listas!$C$6:$D$10,2,0))</f>
        <v>#N/A</v>
      </c>
      <c r="AJ81" s="271" t="e">
        <f t="shared" si="8"/>
        <v>#N/A</v>
      </c>
      <c r="AK81" s="272" t="e">
        <f>IF(AJ81&lt;=1,"Insignificante",HLOOKUP(AJ81,[71]Listas!$F$3:$J$4,2,0))</f>
        <v>#N/A</v>
      </c>
      <c r="AL81" s="273" t="e">
        <f t="shared" si="9"/>
        <v>#N/A</v>
      </c>
      <c r="AM81" s="270" t="e">
        <f>INDEX([71]Listas!$F$6:$J$10,MATCH(AI81,[71]Listas!$D$6:$D$10,0),MATCH(AK81,[71]Listas!$F$4:$J$4,0))</f>
        <v>#N/A</v>
      </c>
      <c r="AN81" s="259"/>
      <c r="AO81" s="259"/>
      <c r="AP81" s="794"/>
      <c r="AQ81" s="259"/>
      <c r="AR81" s="259" t="s">
        <v>2343</v>
      </c>
      <c r="AS81" s="790"/>
      <c r="AT81" s="259"/>
      <c r="AU81" s="259"/>
      <c r="AV81" s="261"/>
      <c r="AW81" s="261"/>
      <c r="AX81" s="790"/>
      <c r="AY81" s="262"/>
    </row>
    <row r="82" spans="1:51" s="260" customFormat="1" ht="103.5" hidden="1" customHeight="1">
      <c r="A82" s="790"/>
      <c r="B82" s="266"/>
      <c r="C82" s="1399"/>
      <c r="D82" s="1408"/>
      <c r="E82" s="1400"/>
      <c r="F82" s="267"/>
      <c r="G82" s="1399"/>
      <c r="H82" s="1408"/>
      <c r="I82" s="1400"/>
      <c r="J82" s="1380"/>
      <c r="K82" s="1380"/>
      <c r="L82" s="1380"/>
      <c r="M82" s="790"/>
      <c r="N82" s="790"/>
      <c r="O82" s="790"/>
      <c r="P82" s="790"/>
      <c r="Q82" s="266"/>
      <c r="R82" s="266"/>
      <c r="S82" s="268"/>
      <c r="T82" s="269" t="e">
        <f>VLOOKUP(Q82,[71]Listas!$D$6:$E$10,2,0)</f>
        <v>#N/A</v>
      </c>
      <c r="U82" s="269" t="e">
        <f>HLOOKUP(R82,[71]Listas!$F$4:$J$5,2,0)</f>
        <v>#N/A</v>
      </c>
      <c r="V82" s="270" t="e">
        <f>INDEX([71]Listas!$F$6:$J$10,MATCH(Q82,[71]Listas!$D$6:$D$10,0),MATCH(R82,[71]Listas!$F$4:$J$4,0))</f>
        <v>#N/A</v>
      </c>
      <c r="W82" s="268"/>
      <c r="X82" s="1399"/>
      <c r="Y82" s="1408"/>
      <c r="Z82" s="1400"/>
      <c r="AA82" s="1063"/>
      <c r="AB82" s="267"/>
      <c r="AC82" s="259"/>
      <c r="AD82" s="790"/>
      <c r="AE82" s="267"/>
      <c r="AF82" s="268"/>
      <c r="AG82" s="269">
        <f t="shared" si="6"/>
        <v>0</v>
      </c>
      <c r="AH82" s="271" t="e">
        <f t="shared" si="7"/>
        <v>#N/A</v>
      </c>
      <c r="AI82" s="272" t="e">
        <f>IF(AH82&lt;=1,"Remota",VLOOKUP(AH82,[71]Listas!$C$6:$D$10,2,0))</f>
        <v>#N/A</v>
      </c>
      <c r="AJ82" s="271" t="e">
        <f t="shared" si="8"/>
        <v>#N/A</v>
      </c>
      <c r="AK82" s="272" t="e">
        <f>IF(AJ82&lt;=1,"Insignificante",HLOOKUP(AJ82,[71]Listas!$F$3:$J$4,2,0))</f>
        <v>#N/A</v>
      </c>
      <c r="AL82" s="273" t="e">
        <f t="shared" si="9"/>
        <v>#N/A</v>
      </c>
      <c r="AM82" s="270" t="e">
        <f>INDEX([71]Listas!$F$6:$J$10,MATCH(AI82,[71]Listas!$D$6:$D$10,0),MATCH(AK82,[71]Listas!$F$4:$J$4,0))</f>
        <v>#N/A</v>
      </c>
      <c r="AN82" s="259"/>
      <c r="AO82" s="259"/>
      <c r="AP82" s="794"/>
      <c r="AQ82" s="259"/>
      <c r="AR82" s="259" t="s">
        <v>2343</v>
      </c>
      <c r="AS82" s="790"/>
      <c r="AT82" s="259"/>
      <c r="AU82" s="259"/>
      <c r="AV82" s="261"/>
      <c r="AW82" s="261"/>
      <c r="AX82" s="790"/>
      <c r="AY82" s="262"/>
    </row>
    <row r="83" spans="1:51" s="260" customFormat="1" ht="103.5" hidden="1" customHeight="1">
      <c r="A83" s="790"/>
      <c r="B83" s="266"/>
      <c r="C83" s="1399"/>
      <c r="D83" s="1408"/>
      <c r="E83" s="1400"/>
      <c r="F83" s="267"/>
      <c r="G83" s="1399"/>
      <c r="H83" s="1408"/>
      <c r="I83" s="1400"/>
      <c r="J83" s="1380"/>
      <c r="K83" s="1380"/>
      <c r="L83" s="1380"/>
      <c r="M83" s="790"/>
      <c r="N83" s="790"/>
      <c r="O83" s="790"/>
      <c r="P83" s="790"/>
      <c r="Q83" s="266"/>
      <c r="R83" s="266"/>
      <c r="S83" s="268"/>
      <c r="T83" s="269" t="e">
        <f>VLOOKUP(Q83,[71]Listas!$D$6:$E$10,2,0)</f>
        <v>#N/A</v>
      </c>
      <c r="U83" s="269" t="e">
        <f>HLOOKUP(R83,[71]Listas!$F$4:$J$5,2,0)</f>
        <v>#N/A</v>
      </c>
      <c r="V83" s="270" t="e">
        <f>INDEX([71]Listas!$F$6:$J$10,MATCH(Q83,[71]Listas!$D$6:$D$10,0),MATCH(R83,[71]Listas!$F$4:$J$4,0))</f>
        <v>#N/A</v>
      </c>
      <c r="W83" s="268"/>
      <c r="X83" s="1399"/>
      <c r="Y83" s="1408"/>
      <c r="Z83" s="1400"/>
      <c r="AA83" s="1063"/>
      <c r="AB83" s="267"/>
      <c r="AC83" s="259"/>
      <c r="AD83" s="790"/>
      <c r="AE83" s="267"/>
      <c r="AF83" s="268"/>
      <c r="AG83" s="269">
        <f t="shared" si="6"/>
        <v>0</v>
      </c>
      <c r="AH83" s="271" t="e">
        <f t="shared" si="7"/>
        <v>#N/A</v>
      </c>
      <c r="AI83" s="272" t="e">
        <f>IF(AH83&lt;=1,"Remota",VLOOKUP(AH83,[71]Listas!$C$6:$D$10,2,0))</f>
        <v>#N/A</v>
      </c>
      <c r="AJ83" s="271" t="e">
        <f t="shared" si="8"/>
        <v>#N/A</v>
      </c>
      <c r="AK83" s="272" t="e">
        <f>IF(AJ83&lt;=1,"Insignificante",HLOOKUP(AJ83,[71]Listas!$F$3:$J$4,2,0))</f>
        <v>#N/A</v>
      </c>
      <c r="AL83" s="273" t="e">
        <f t="shared" si="9"/>
        <v>#N/A</v>
      </c>
      <c r="AM83" s="270" t="e">
        <f>INDEX([71]Listas!$F$6:$J$10,MATCH(AI83,[71]Listas!$D$6:$D$10,0),MATCH(AK83,[71]Listas!$F$4:$J$4,0))</f>
        <v>#N/A</v>
      </c>
      <c r="AN83" s="259"/>
      <c r="AO83" s="259"/>
      <c r="AP83" s="794"/>
      <c r="AQ83" s="259"/>
      <c r="AR83" s="259" t="s">
        <v>2343</v>
      </c>
      <c r="AS83" s="790"/>
      <c r="AT83" s="259"/>
      <c r="AU83" s="259"/>
      <c r="AV83" s="261"/>
      <c r="AW83" s="261"/>
      <c r="AX83" s="790"/>
      <c r="AY83" s="262"/>
    </row>
    <row r="84" spans="1:51" s="260" customFormat="1" ht="103.5" hidden="1" customHeight="1">
      <c r="A84" s="790"/>
      <c r="B84" s="266"/>
      <c r="C84" s="1399"/>
      <c r="D84" s="1408"/>
      <c r="E84" s="1400"/>
      <c r="F84" s="267"/>
      <c r="G84" s="1399"/>
      <c r="H84" s="1408"/>
      <c r="I84" s="1400"/>
      <c r="J84" s="1380"/>
      <c r="K84" s="1380"/>
      <c r="L84" s="1380"/>
      <c r="M84" s="790"/>
      <c r="N84" s="790"/>
      <c r="O84" s="790"/>
      <c r="P84" s="790"/>
      <c r="Q84" s="266"/>
      <c r="R84" s="266"/>
      <c r="S84" s="268"/>
      <c r="T84" s="269" t="e">
        <f>VLOOKUP(Q84,[71]Listas!$D$6:$E$10,2,0)</f>
        <v>#N/A</v>
      </c>
      <c r="U84" s="269" t="e">
        <f>HLOOKUP(R84,[71]Listas!$F$4:$J$5,2,0)</f>
        <v>#N/A</v>
      </c>
      <c r="V84" s="270" t="e">
        <f>INDEX([71]Listas!$F$6:$J$10,MATCH(Q84,[71]Listas!$D$6:$D$10,0),MATCH(R84,[71]Listas!$F$4:$J$4,0))</f>
        <v>#N/A</v>
      </c>
      <c r="W84" s="268"/>
      <c r="X84" s="1399"/>
      <c r="Y84" s="1408"/>
      <c r="Z84" s="1400"/>
      <c r="AA84" s="1063"/>
      <c r="AB84" s="267"/>
      <c r="AC84" s="259"/>
      <c r="AD84" s="790"/>
      <c r="AE84" s="267"/>
      <c r="AF84" s="268"/>
      <c r="AG84" s="269">
        <f t="shared" si="6"/>
        <v>0</v>
      </c>
      <c r="AH84" s="271" t="e">
        <f t="shared" si="7"/>
        <v>#N/A</v>
      </c>
      <c r="AI84" s="272" t="e">
        <f>IF(AH84&lt;=1,"Remota",VLOOKUP(AH84,[71]Listas!$C$6:$D$10,2,0))</f>
        <v>#N/A</v>
      </c>
      <c r="AJ84" s="271" t="e">
        <f t="shared" si="8"/>
        <v>#N/A</v>
      </c>
      <c r="AK84" s="272" t="e">
        <f>IF(AJ84&lt;=1,"Insignificante",HLOOKUP(AJ84,[71]Listas!$F$3:$J$4,2,0))</f>
        <v>#N/A</v>
      </c>
      <c r="AL84" s="273" t="e">
        <f t="shared" si="9"/>
        <v>#N/A</v>
      </c>
      <c r="AM84" s="270" t="e">
        <f>INDEX([71]Listas!$F$6:$J$10,MATCH(AI84,[71]Listas!$D$6:$D$10,0),MATCH(AK84,[71]Listas!$F$4:$J$4,0))</f>
        <v>#N/A</v>
      </c>
      <c r="AN84" s="259"/>
      <c r="AO84" s="259"/>
      <c r="AP84" s="794"/>
      <c r="AQ84" s="259"/>
      <c r="AR84" s="259" t="s">
        <v>2343</v>
      </c>
      <c r="AS84" s="790"/>
      <c r="AT84" s="259"/>
      <c r="AU84" s="259"/>
      <c r="AV84" s="261"/>
      <c r="AW84" s="261"/>
      <c r="AX84" s="790"/>
      <c r="AY84" s="262"/>
    </row>
    <row r="85" spans="1:51" s="260" customFormat="1" ht="103.5" hidden="1" customHeight="1">
      <c r="A85" s="790"/>
      <c r="B85" s="266"/>
      <c r="C85" s="1399"/>
      <c r="D85" s="1408"/>
      <c r="E85" s="1400"/>
      <c r="F85" s="267"/>
      <c r="G85" s="1399"/>
      <c r="H85" s="1408"/>
      <c r="I85" s="1400"/>
      <c r="J85" s="1380"/>
      <c r="K85" s="1380"/>
      <c r="L85" s="1380"/>
      <c r="M85" s="790"/>
      <c r="N85" s="790"/>
      <c r="O85" s="790"/>
      <c r="P85" s="790"/>
      <c r="Q85" s="266"/>
      <c r="R85" s="266"/>
      <c r="S85" s="268"/>
      <c r="T85" s="269" t="e">
        <f>VLOOKUP(Q85,[71]Listas!$D$6:$E$10,2,0)</f>
        <v>#N/A</v>
      </c>
      <c r="U85" s="269" t="e">
        <f>HLOOKUP(R85,[71]Listas!$F$4:$J$5,2,0)</f>
        <v>#N/A</v>
      </c>
      <c r="V85" s="270" t="e">
        <f>INDEX([71]Listas!$F$6:$J$10,MATCH(Q85,[71]Listas!$D$6:$D$10,0),MATCH(R85,[71]Listas!$F$4:$J$4,0))</f>
        <v>#N/A</v>
      </c>
      <c r="W85" s="268"/>
      <c r="X85" s="1399"/>
      <c r="Y85" s="1408"/>
      <c r="Z85" s="1400"/>
      <c r="AA85" s="1063"/>
      <c r="AB85" s="267"/>
      <c r="AC85" s="259"/>
      <c r="AD85" s="790"/>
      <c r="AE85" s="267"/>
      <c r="AF85" s="268"/>
      <c r="AG85" s="269">
        <f t="shared" si="6"/>
        <v>0</v>
      </c>
      <c r="AH85" s="271" t="e">
        <f t="shared" si="7"/>
        <v>#N/A</v>
      </c>
      <c r="AI85" s="272" t="e">
        <f>IF(AH85&lt;=1,"Remota",VLOOKUP(AH85,[71]Listas!$C$6:$D$10,2,0))</f>
        <v>#N/A</v>
      </c>
      <c r="AJ85" s="271" t="e">
        <f t="shared" si="8"/>
        <v>#N/A</v>
      </c>
      <c r="AK85" s="272" t="e">
        <f>IF(AJ85&lt;=1,"Insignificante",HLOOKUP(AJ85,[71]Listas!$F$3:$J$4,2,0))</f>
        <v>#N/A</v>
      </c>
      <c r="AL85" s="273" t="e">
        <f t="shared" si="9"/>
        <v>#N/A</v>
      </c>
      <c r="AM85" s="270" t="e">
        <f>INDEX([71]Listas!$F$6:$J$10,MATCH(AI85,[71]Listas!$D$6:$D$10,0),MATCH(AK85,[71]Listas!$F$4:$J$4,0))</f>
        <v>#N/A</v>
      </c>
      <c r="AN85" s="259"/>
      <c r="AO85" s="259"/>
      <c r="AP85" s="794"/>
      <c r="AQ85" s="259"/>
      <c r="AR85" s="259" t="s">
        <v>2343</v>
      </c>
      <c r="AS85" s="790"/>
      <c r="AT85" s="259"/>
      <c r="AU85" s="259"/>
      <c r="AV85" s="261"/>
      <c r="AW85" s="261"/>
      <c r="AX85" s="790"/>
      <c r="AY85" s="262"/>
    </row>
    <row r="86" spans="1:51" s="260" customFormat="1" ht="103.5" hidden="1" customHeight="1">
      <c r="A86" s="790"/>
      <c r="B86" s="266"/>
      <c r="C86" s="1399"/>
      <c r="D86" s="1408"/>
      <c r="E86" s="1400"/>
      <c r="F86" s="266"/>
      <c r="G86" s="1399"/>
      <c r="H86" s="1408"/>
      <c r="I86" s="1400"/>
      <c r="J86" s="1380"/>
      <c r="K86" s="1380"/>
      <c r="L86" s="1380"/>
      <c r="M86" s="790"/>
      <c r="N86" s="790"/>
      <c r="O86" s="790"/>
      <c r="P86" s="790"/>
      <c r="Q86" s="266"/>
      <c r="R86" s="266"/>
      <c r="S86" s="268"/>
      <c r="T86" s="269" t="e">
        <f>VLOOKUP(Q86,[71]Listas!$D$6:$E$10,2,0)</f>
        <v>#N/A</v>
      </c>
      <c r="U86" s="269" t="e">
        <f>HLOOKUP(R86,[71]Listas!$F$4:$J$5,2,0)</f>
        <v>#N/A</v>
      </c>
      <c r="V86" s="270" t="e">
        <f>INDEX([71]Listas!$F$6:$J$10,MATCH(Q86,[71]Listas!$D$6:$D$10,0),MATCH(R86,[71]Listas!$F$4:$J$4,0))</f>
        <v>#N/A</v>
      </c>
      <c r="W86" s="268"/>
      <c r="X86" s="1399"/>
      <c r="Y86" s="1408"/>
      <c r="Z86" s="1400"/>
      <c r="AA86" s="1063"/>
      <c r="AB86" s="267"/>
      <c r="AC86" s="259"/>
      <c r="AD86" s="790"/>
      <c r="AE86" s="267"/>
      <c r="AF86" s="268"/>
      <c r="AG86" s="269">
        <f>IF(AD86&lt;=33,0,IF(AD86&gt;81,2,1))</f>
        <v>0</v>
      </c>
      <c r="AH86" s="271" t="e">
        <f>IF(OR(AE86="Probabilidad",AE86="Ambos"),T86-AG86,T86)</f>
        <v>#N/A</v>
      </c>
      <c r="AI86" s="272" t="e">
        <f>IF(AH86&lt;=1,"Remota",VLOOKUP(AH86,[71]Listas!$C$6:$D$10,2,0))</f>
        <v>#N/A</v>
      </c>
      <c r="AJ86" s="271" t="e">
        <f>IF(OR(AE86="Impacto",AE86="Ambos"),U86-AG86,U86)</f>
        <v>#N/A</v>
      </c>
      <c r="AK86" s="272" t="e">
        <f>IF(AJ86&lt;=1,"Insignificante",HLOOKUP(AJ86,[71]Listas!$F$3:$J$4,2,0))</f>
        <v>#N/A</v>
      </c>
      <c r="AL86" s="273" t="e">
        <f>AH86*AJ86</f>
        <v>#N/A</v>
      </c>
      <c r="AM86" s="270" t="e">
        <f>INDEX([71]Listas!$F$6:$J$10,MATCH(AI86,[71]Listas!$D$6:$D$10,0),MATCH(AK86,[71]Listas!$F$4:$J$4,0))</f>
        <v>#N/A</v>
      </c>
      <c r="AN86" s="259"/>
      <c r="AO86" s="259"/>
      <c r="AP86" s="794"/>
      <c r="AQ86" s="259"/>
      <c r="AR86" s="259" t="s">
        <v>2343</v>
      </c>
      <c r="AS86" s="790"/>
      <c r="AU86" s="259"/>
      <c r="AV86" s="261"/>
      <c r="AW86" s="261"/>
      <c r="AX86" s="790"/>
      <c r="AY86" s="262"/>
    </row>
    <row r="87" spans="1:51" s="260" customFormat="1" ht="103.5" hidden="1" customHeight="1">
      <c r="A87" s="790"/>
      <c r="B87" s="266"/>
      <c r="C87" s="1399"/>
      <c r="D87" s="1408"/>
      <c r="E87" s="1400"/>
      <c r="F87" s="267"/>
      <c r="G87" s="1399"/>
      <c r="H87" s="1408"/>
      <c r="I87" s="1400"/>
      <c r="J87" s="1380"/>
      <c r="K87" s="1380"/>
      <c r="L87" s="1380"/>
      <c r="M87" s="790"/>
      <c r="N87" s="790"/>
      <c r="O87" s="790"/>
      <c r="P87" s="790"/>
      <c r="Q87" s="266"/>
      <c r="R87" s="266"/>
      <c r="S87" s="268"/>
      <c r="T87" s="269" t="e">
        <f>VLOOKUP(Q87,[71]Listas!$D$6:$E$10,2,0)</f>
        <v>#N/A</v>
      </c>
      <c r="U87" s="269" t="e">
        <f>HLOOKUP(R87,[71]Listas!$F$4:$J$5,2,0)</f>
        <v>#N/A</v>
      </c>
      <c r="V87" s="270" t="e">
        <f>INDEX([71]Listas!$F$6:$J$10,MATCH(Q87,[71]Listas!$D$6:$D$10,0),MATCH(R87,[71]Listas!$F$4:$J$4,0))</f>
        <v>#N/A</v>
      </c>
      <c r="W87" s="268"/>
      <c r="X87" s="1399"/>
      <c r="Y87" s="1408"/>
      <c r="Z87" s="1400"/>
      <c r="AA87" s="1063"/>
      <c r="AB87" s="267"/>
      <c r="AC87" s="259"/>
      <c r="AD87" s="790"/>
      <c r="AE87" s="267"/>
      <c r="AF87" s="268"/>
      <c r="AG87" s="269">
        <f t="shared" ref="AG87:AG150" si="10">IF(AD87&lt;=33,0,IF(AD87&gt;81,2,1))</f>
        <v>0</v>
      </c>
      <c r="AH87" s="271" t="e">
        <f t="shared" ref="AH87:AH150" si="11">IF(OR(AE87="Probabilidad",AE87="Ambos"),T87-AG87,T87)</f>
        <v>#N/A</v>
      </c>
      <c r="AI87" s="272" t="e">
        <f>IF(AH87&lt;=1,"Remota",VLOOKUP(AH87,[71]Listas!$C$6:$D$10,2,0))</f>
        <v>#N/A</v>
      </c>
      <c r="AJ87" s="271" t="e">
        <f t="shared" ref="AJ87:AJ150" si="12">IF(OR(AE87="Impacto",AE87="Ambos"),U87-AG87,U87)</f>
        <v>#N/A</v>
      </c>
      <c r="AK87" s="272" t="e">
        <f>IF(AJ87&lt;=1,"Insignificante",HLOOKUP(AJ87,[71]Listas!$F$3:$J$4,2,0))</f>
        <v>#N/A</v>
      </c>
      <c r="AL87" s="273" t="e">
        <f t="shared" ref="AL87:AL150" si="13">AH87*AJ87</f>
        <v>#N/A</v>
      </c>
      <c r="AM87" s="270" t="e">
        <f>INDEX([71]Listas!$F$6:$J$10,MATCH(AI87,[71]Listas!$D$6:$D$10,0),MATCH(AK87,[71]Listas!$F$4:$J$4,0))</f>
        <v>#N/A</v>
      </c>
      <c r="AN87" s="259"/>
      <c r="AO87" s="259"/>
      <c r="AP87" s="794"/>
      <c r="AQ87" s="259"/>
      <c r="AR87" s="259" t="s">
        <v>2343</v>
      </c>
      <c r="AS87" s="790"/>
      <c r="AT87" s="259"/>
      <c r="AU87" s="259"/>
      <c r="AV87" s="261"/>
      <c r="AW87" s="261"/>
      <c r="AX87" s="790"/>
      <c r="AY87" s="262"/>
    </row>
    <row r="88" spans="1:51" s="260" customFormat="1" ht="103.5" hidden="1" customHeight="1">
      <c r="A88" s="790"/>
      <c r="B88" s="266"/>
      <c r="C88" s="1399"/>
      <c r="D88" s="1408"/>
      <c r="E88" s="1400"/>
      <c r="F88" s="267"/>
      <c r="G88" s="1399"/>
      <c r="H88" s="1408"/>
      <c r="I88" s="1400"/>
      <c r="J88" s="1380"/>
      <c r="K88" s="1380"/>
      <c r="L88" s="1380"/>
      <c r="M88" s="790"/>
      <c r="N88" s="790"/>
      <c r="O88" s="790"/>
      <c r="P88" s="790"/>
      <c r="Q88" s="266"/>
      <c r="R88" s="266"/>
      <c r="S88" s="268"/>
      <c r="T88" s="269" t="e">
        <f>VLOOKUP(Q88,[71]Listas!$D$6:$E$10,2,0)</f>
        <v>#N/A</v>
      </c>
      <c r="U88" s="269" t="e">
        <f>HLOOKUP(R88,[71]Listas!$F$4:$J$5,2,0)</f>
        <v>#N/A</v>
      </c>
      <c r="V88" s="270" t="e">
        <f>INDEX([71]Listas!$F$6:$J$10,MATCH(Q88,[71]Listas!$D$6:$D$10,0),MATCH(R88,[71]Listas!$F$4:$J$4,0))</f>
        <v>#N/A</v>
      </c>
      <c r="W88" s="268"/>
      <c r="X88" s="1399"/>
      <c r="Y88" s="1408"/>
      <c r="Z88" s="1400"/>
      <c r="AA88" s="1063"/>
      <c r="AB88" s="267"/>
      <c r="AC88" s="259"/>
      <c r="AD88" s="790"/>
      <c r="AE88" s="267"/>
      <c r="AF88" s="268"/>
      <c r="AG88" s="269">
        <f t="shared" si="10"/>
        <v>0</v>
      </c>
      <c r="AH88" s="271" t="e">
        <f t="shared" si="11"/>
        <v>#N/A</v>
      </c>
      <c r="AI88" s="272" t="e">
        <f>IF(AH88&lt;=1,"Remota",VLOOKUP(AH88,[71]Listas!$C$6:$D$10,2,0))</f>
        <v>#N/A</v>
      </c>
      <c r="AJ88" s="271" t="e">
        <f t="shared" si="12"/>
        <v>#N/A</v>
      </c>
      <c r="AK88" s="272" t="e">
        <f>IF(AJ88&lt;=1,"Insignificante",HLOOKUP(AJ88,[71]Listas!$F$3:$J$4,2,0))</f>
        <v>#N/A</v>
      </c>
      <c r="AL88" s="273" t="e">
        <f t="shared" si="13"/>
        <v>#N/A</v>
      </c>
      <c r="AM88" s="270" t="e">
        <f>INDEX([71]Listas!$F$6:$J$10,MATCH(AI88,[71]Listas!$D$6:$D$10,0),MATCH(AK88,[71]Listas!$F$4:$J$4,0))</f>
        <v>#N/A</v>
      </c>
      <c r="AN88" s="259"/>
      <c r="AO88" s="259"/>
      <c r="AP88" s="794"/>
      <c r="AQ88" s="259"/>
      <c r="AR88" s="259" t="s">
        <v>2343</v>
      </c>
      <c r="AS88" s="790"/>
      <c r="AT88" s="259"/>
      <c r="AU88" s="259"/>
      <c r="AV88" s="261"/>
      <c r="AW88" s="261"/>
      <c r="AX88" s="790"/>
      <c r="AY88" s="262"/>
    </row>
    <row r="89" spans="1:51" s="260" customFormat="1" ht="103.5" hidden="1" customHeight="1">
      <c r="A89" s="790"/>
      <c r="B89" s="266"/>
      <c r="C89" s="1399"/>
      <c r="D89" s="1408"/>
      <c r="E89" s="1400"/>
      <c r="F89" s="267"/>
      <c r="G89" s="1399"/>
      <c r="H89" s="1408"/>
      <c r="I89" s="1400"/>
      <c r="J89" s="1380"/>
      <c r="K89" s="1380"/>
      <c r="L89" s="1380"/>
      <c r="M89" s="790"/>
      <c r="N89" s="790"/>
      <c r="O89" s="790"/>
      <c r="P89" s="790"/>
      <c r="Q89" s="266"/>
      <c r="R89" s="266"/>
      <c r="S89" s="268"/>
      <c r="T89" s="269" t="e">
        <f>VLOOKUP(Q89,[71]Listas!$D$6:$E$10,2,0)</f>
        <v>#N/A</v>
      </c>
      <c r="U89" s="269" t="e">
        <f>HLOOKUP(R89,[71]Listas!$F$4:$J$5,2,0)</f>
        <v>#N/A</v>
      </c>
      <c r="V89" s="270" t="e">
        <f>INDEX([71]Listas!$F$6:$J$10,MATCH(Q89,[71]Listas!$D$6:$D$10,0),MATCH(R89,[71]Listas!$F$4:$J$4,0))</f>
        <v>#N/A</v>
      </c>
      <c r="W89" s="268"/>
      <c r="X89" s="1399"/>
      <c r="Y89" s="1408"/>
      <c r="Z89" s="1400"/>
      <c r="AA89" s="1063"/>
      <c r="AB89" s="267"/>
      <c r="AC89" s="259"/>
      <c r="AD89" s="790"/>
      <c r="AE89" s="267"/>
      <c r="AF89" s="268"/>
      <c r="AG89" s="269">
        <f t="shared" si="10"/>
        <v>0</v>
      </c>
      <c r="AH89" s="271" t="e">
        <f t="shared" si="11"/>
        <v>#N/A</v>
      </c>
      <c r="AI89" s="272" t="e">
        <f>IF(AH89&lt;=1,"Remota",VLOOKUP(AH89,[71]Listas!$C$6:$D$10,2,0))</f>
        <v>#N/A</v>
      </c>
      <c r="AJ89" s="271" t="e">
        <f t="shared" si="12"/>
        <v>#N/A</v>
      </c>
      <c r="AK89" s="272" t="e">
        <f>IF(AJ89&lt;=1,"Insignificante",HLOOKUP(AJ89,[71]Listas!$F$3:$J$4,2,0))</f>
        <v>#N/A</v>
      </c>
      <c r="AL89" s="273" t="e">
        <f t="shared" si="13"/>
        <v>#N/A</v>
      </c>
      <c r="AM89" s="270" t="e">
        <f>INDEX([71]Listas!$F$6:$J$10,MATCH(AI89,[71]Listas!$D$6:$D$10,0),MATCH(AK89,[71]Listas!$F$4:$J$4,0))</f>
        <v>#N/A</v>
      </c>
      <c r="AN89" s="259"/>
      <c r="AO89" s="259"/>
      <c r="AP89" s="794"/>
      <c r="AQ89" s="259"/>
      <c r="AR89" s="259" t="s">
        <v>2343</v>
      </c>
      <c r="AS89" s="790"/>
      <c r="AT89" s="259"/>
      <c r="AU89" s="259"/>
      <c r="AV89" s="261"/>
      <c r="AW89" s="261"/>
      <c r="AX89" s="790"/>
      <c r="AY89" s="262"/>
    </row>
    <row r="90" spans="1:51" s="260" customFormat="1" ht="103.5" hidden="1" customHeight="1">
      <c r="A90" s="790"/>
      <c r="B90" s="266"/>
      <c r="C90" s="1399"/>
      <c r="D90" s="1408"/>
      <c r="E90" s="1400"/>
      <c r="F90" s="267"/>
      <c r="G90" s="1399"/>
      <c r="H90" s="1408"/>
      <c r="I90" s="1400"/>
      <c r="J90" s="1380"/>
      <c r="K90" s="1380"/>
      <c r="L90" s="1380"/>
      <c r="M90" s="790"/>
      <c r="N90" s="790"/>
      <c r="O90" s="790"/>
      <c r="P90" s="790"/>
      <c r="Q90" s="266"/>
      <c r="R90" s="266"/>
      <c r="S90" s="268"/>
      <c r="T90" s="269" t="e">
        <f>VLOOKUP(Q90,[71]Listas!$D$6:$E$10,2,0)</f>
        <v>#N/A</v>
      </c>
      <c r="U90" s="269" t="e">
        <f>HLOOKUP(R90,[71]Listas!$F$4:$J$5,2,0)</f>
        <v>#N/A</v>
      </c>
      <c r="V90" s="270" t="e">
        <f>INDEX([71]Listas!$F$6:$J$10,MATCH(Q90,[71]Listas!$D$6:$D$10,0),MATCH(R90,[71]Listas!$F$4:$J$4,0))</f>
        <v>#N/A</v>
      </c>
      <c r="W90" s="268"/>
      <c r="X90" s="1399"/>
      <c r="Y90" s="1408"/>
      <c r="Z90" s="1400"/>
      <c r="AA90" s="1063"/>
      <c r="AB90" s="267"/>
      <c r="AC90" s="259"/>
      <c r="AD90" s="790"/>
      <c r="AE90" s="267"/>
      <c r="AF90" s="268"/>
      <c r="AG90" s="269">
        <f t="shared" si="10"/>
        <v>0</v>
      </c>
      <c r="AH90" s="271" t="e">
        <f t="shared" si="11"/>
        <v>#N/A</v>
      </c>
      <c r="AI90" s="272" t="e">
        <f>IF(AH90&lt;=1,"Remota",VLOOKUP(AH90,[71]Listas!$C$6:$D$10,2,0))</f>
        <v>#N/A</v>
      </c>
      <c r="AJ90" s="271" t="e">
        <f t="shared" si="12"/>
        <v>#N/A</v>
      </c>
      <c r="AK90" s="272" t="e">
        <f>IF(AJ90&lt;=1,"Insignificante",HLOOKUP(AJ90,[71]Listas!$F$3:$J$4,2,0))</f>
        <v>#N/A</v>
      </c>
      <c r="AL90" s="273" t="e">
        <f t="shared" si="13"/>
        <v>#N/A</v>
      </c>
      <c r="AM90" s="270" t="e">
        <f>INDEX([71]Listas!$F$6:$J$10,MATCH(AI90,[71]Listas!$D$6:$D$10,0),MATCH(AK90,[71]Listas!$F$4:$J$4,0))</f>
        <v>#N/A</v>
      </c>
      <c r="AN90" s="259"/>
      <c r="AO90" s="259"/>
      <c r="AP90" s="794"/>
      <c r="AQ90" s="259"/>
      <c r="AR90" s="259" t="s">
        <v>2343</v>
      </c>
      <c r="AS90" s="790"/>
      <c r="AT90" s="259"/>
      <c r="AU90" s="259"/>
      <c r="AV90" s="261"/>
      <c r="AW90" s="261"/>
      <c r="AX90" s="790"/>
      <c r="AY90" s="262"/>
    </row>
    <row r="91" spans="1:51" s="260" customFormat="1" ht="103.5" hidden="1" customHeight="1">
      <c r="A91" s="790"/>
      <c r="B91" s="266"/>
      <c r="C91" s="1399"/>
      <c r="D91" s="1408"/>
      <c r="E91" s="1400"/>
      <c r="F91" s="267"/>
      <c r="G91" s="1399"/>
      <c r="H91" s="1408"/>
      <c r="I91" s="1400"/>
      <c r="J91" s="1380"/>
      <c r="K91" s="1380"/>
      <c r="L91" s="1380"/>
      <c r="M91" s="790"/>
      <c r="N91" s="790"/>
      <c r="O91" s="790"/>
      <c r="P91" s="790"/>
      <c r="Q91" s="266"/>
      <c r="R91" s="266"/>
      <c r="S91" s="268"/>
      <c r="T91" s="269" t="e">
        <f>VLOOKUP(Q91,[71]Listas!$D$6:$E$10,2,0)</f>
        <v>#N/A</v>
      </c>
      <c r="U91" s="269" t="e">
        <f>HLOOKUP(R91,[71]Listas!$F$4:$J$5,2,0)</f>
        <v>#N/A</v>
      </c>
      <c r="V91" s="270" t="e">
        <f>INDEX([71]Listas!$F$6:$J$10,MATCH(Q91,[71]Listas!$D$6:$D$10,0),MATCH(R91,[71]Listas!$F$4:$J$4,0))</f>
        <v>#N/A</v>
      </c>
      <c r="W91" s="268"/>
      <c r="X91" s="1399"/>
      <c r="Y91" s="1408"/>
      <c r="Z91" s="1400"/>
      <c r="AA91" s="1063"/>
      <c r="AB91" s="267"/>
      <c r="AC91" s="259"/>
      <c r="AD91" s="790"/>
      <c r="AE91" s="267"/>
      <c r="AF91" s="268"/>
      <c r="AG91" s="269">
        <f t="shared" si="10"/>
        <v>0</v>
      </c>
      <c r="AH91" s="271" t="e">
        <f t="shared" si="11"/>
        <v>#N/A</v>
      </c>
      <c r="AI91" s="272" t="e">
        <f>IF(AH91&lt;=1,"Remota",VLOOKUP(AH91,[71]Listas!$C$6:$D$10,2,0))</f>
        <v>#N/A</v>
      </c>
      <c r="AJ91" s="271" t="e">
        <f t="shared" si="12"/>
        <v>#N/A</v>
      </c>
      <c r="AK91" s="272" t="e">
        <f>IF(AJ91&lt;=1,"Insignificante",HLOOKUP(AJ91,[71]Listas!$F$3:$J$4,2,0))</f>
        <v>#N/A</v>
      </c>
      <c r="AL91" s="273" t="e">
        <f t="shared" si="13"/>
        <v>#N/A</v>
      </c>
      <c r="AM91" s="270" t="e">
        <f>INDEX([71]Listas!$F$6:$J$10,MATCH(AI91,[71]Listas!$D$6:$D$10,0),MATCH(AK91,[71]Listas!$F$4:$J$4,0))</f>
        <v>#N/A</v>
      </c>
      <c r="AN91" s="259"/>
      <c r="AO91" s="259"/>
      <c r="AP91" s="794"/>
      <c r="AQ91" s="259"/>
      <c r="AR91" s="259" t="s">
        <v>2343</v>
      </c>
      <c r="AS91" s="790"/>
      <c r="AT91" s="259"/>
      <c r="AU91" s="259"/>
      <c r="AV91" s="261"/>
      <c r="AW91" s="261"/>
      <c r="AX91" s="790"/>
      <c r="AY91" s="262"/>
    </row>
    <row r="92" spans="1:51" s="260" customFormat="1" ht="103.5" hidden="1" customHeight="1">
      <c r="A92" s="790"/>
      <c r="B92" s="266"/>
      <c r="C92" s="1399"/>
      <c r="D92" s="1408"/>
      <c r="E92" s="1400"/>
      <c r="F92" s="267"/>
      <c r="G92" s="1399"/>
      <c r="H92" s="1408"/>
      <c r="I92" s="1400"/>
      <c r="J92" s="1380"/>
      <c r="K92" s="1380"/>
      <c r="L92" s="1380"/>
      <c r="M92" s="790"/>
      <c r="N92" s="790"/>
      <c r="O92" s="790"/>
      <c r="P92" s="790"/>
      <c r="Q92" s="266"/>
      <c r="R92" s="266"/>
      <c r="S92" s="268"/>
      <c r="T92" s="269" t="e">
        <f>VLOOKUP(Q92,[71]Listas!$D$6:$E$10,2,0)</f>
        <v>#N/A</v>
      </c>
      <c r="U92" s="269" t="e">
        <f>HLOOKUP(R92,[71]Listas!$F$4:$J$5,2,0)</f>
        <v>#N/A</v>
      </c>
      <c r="V92" s="270" t="e">
        <f>INDEX([71]Listas!$F$6:$J$10,MATCH(Q92,[71]Listas!$D$6:$D$10,0),MATCH(R92,[71]Listas!$F$4:$J$4,0))</f>
        <v>#N/A</v>
      </c>
      <c r="W92" s="268"/>
      <c r="X92" s="1399"/>
      <c r="Y92" s="1408"/>
      <c r="Z92" s="1400"/>
      <c r="AA92" s="1063"/>
      <c r="AB92" s="267"/>
      <c r="AC92" s="259"/>
      <c r="AD92" s="790"/>
      <c r="AE92" s="267"/>
      <c r="AF92" s="268"/>
      <c r="AG92" s="269">
        <f t="shared" si="10"/>
        <v>0</v>
      </c>
      <c r="AH92" s="271" t="e">
        <f t="shared" si="11"/>
        <v>#N/A</v>
      </c>
      <c r="AI92" s="272" t="e">
        <f>IF(AH92&lt;=1,"Remota",VLOOKUP(AH92,[71]Listas!$C$6:$D$10,2,0))</f>
        <v>#N/A</v>
      </c>
      <c r="AJ92" s="271" t="e">
        <f t="shared" si="12"/>
        <v>#N/A</v>
      </c>
      <c r="AK92" s="272" t="e">
        <f>IF(AJ92&lt;=1,"Insignificante",HLOOKUP(AJ92,[71]Listas!$F$3:$J$4,2,0))</f>
        <v>#N/A</v>
      </c>
      <c r="AL92" s="273" t="e">
        <f t="shared" si="13"/>
        <v>#N/A</v>
      </c>
      <c r="AM92" s="270" t="e">
        <f>INDEX([71]Listas!$F$6:$J$10,MATCH(AI92,[71]Listas!$D$6:$D$10,0),MATCH(AK92,[71]Listas!$F$4:$J$4,0))</f>
        <v>#N/A</v>
      </c>
      <c r="AN92" s="259"/>
      <c r="AO92" s="259"/>
      <c r="AP92" s="794"/>
      <c r="AQ92" s="259"/>
      <c r="AR92" s="259" t="s">
        <v>2343</v>
      </c>
      <c r="AS92" s="790"/>
      <c r="AT92" s="259"/>
      <c r="AU92" s="259"/>
      <c r="AV92" s="261"/>
      <c r="AW92" s="261"/>
      <c r="AX92" s="790"/>
      <c r="AY92" s="262"/>
    </row>
    <row r="93" spans="1:51" s="260" customFormat="1" ht="103.5" hidden="1" customHeight="1">
      <c r="A93" s="790"/>
      <c r="B93" s="266"/>
      <c r="C93" s="1399"/>
      <c r="D93" s="1408"/>
      <c r="E93" s="1400"/>
      <c r="F93" s="267"/>
      <c r="G93" s="1399"/>
      <c r="H93" s="1408"/>
      <c r="I93" s="1400"/>
      <c r="J93" s="1380"/>
      <c r="K93" s="1380"/>
      <c r="L93" s="1380"/>
      <c r="M93" s="790"/>
      <c r="N93" s="790"/>
      <c r="O93" s="790"/>
      <c r="P93" s="790"/>
      <c r="Q93" s="266"/>
      <c r="R93" s="266"/>
      <c r="S93" s="268"/>
      <c r="T93" s="269" t="e">
        <f>VLOOKUP(Q93,[71]Listas!$D$6:$E$10,2,0)</f>
        <v>#N/A</v>
      </c>
      <c r="U93" s="269" t="e">
        <f>HLOOKUP(R93,[71]Listas!$F$4:$J$5,2,0)</f>
        <v>#N/A</v>
      </c>
      <c r="V93" s="270" t="e">
        <f>INDEX([71]Listas!$F$6:$J$10,MATCH(Q93,[71]Listas!$D$6:$D$10,0),MATCH(R93,[71]Listas!$F$4:$J$4,0))</f>
        <v>#N/A</v>
      </c>
      <c r="W93" s="268"/>
      <c r="X93" s="1399"/>
      <c r="Y93" s="1408"/>
      <c r="Z93" s="1400"/>
      <c r="AA93" s="1063"/>
      <c r="AB93" s="267"/>
      <c r="AC93" s="259"/>
      <c r="AD93" s="790"/>
      <c r="AE93" s="267"/>
      <c r="AF93" s="268"/>
      <c r="AG93" s="269">
        <f t="shared" si="10"/>
        <v>0</v>
      </c>
      <c r="AH93" s="271" t="e">
        <f t="shared" si="11"/>
        <v>#N/A</v>
      </c>
      <c r="AI93" s="272" t="e">
        <f>IF(AH93&lt;=1,"Remota",VLOOKUP(AH93,[71]Listas!$C$6:$D$10,2,0))</f>
        <v>#N/A</v>
      </c>
      <c r="AJ93" s="271" t="e">
        <f t="shared" si="12"/>
        <v>#N/A</v>
      </c>
      <c r="AK93" s="272" t="e">
        <f>IF(AJ93&lt;=1,"Insignificante",HLOOKUP(AJ93,[71]Listas!$F$3:$J$4,2,0))</f>
        <v>#N/A</v>
      </c>
      <c r="AL93" s="273" t="e">
        <f t="shared" si="13"/>
        <v>#N/A</v>
      </c>
      <c r="AM93" s="270" t="e">
        <f>INDEX([71]Listas!$F$6:$J$10,MATCH(AI93,[71]Listas!$D$6:$D$10,0),MATCH(AK93,[71]Listas!$F$4:$J$4,0))</f>
        <v>#N/A</v>
      </c>
      <c r="AN93" s="259"/>
      <c r="AO93" s="259"/>
      <c r="AP93" s="794"/>
      <c r="AQ93" s="259"/>
      <c r="AR93" s="259" t="s">
        <v>2343</v>
      </c>
      <c r="AS93" s="790"/>
      <c r="AT93" s="259"/>
      <c r="AU93" s="259"/>
      <c r="AV93" s="261"/>
      <c r="AW93" s="261"/>
      <c r="AX93" s="790"/>
      <c r="AY93" s="262"/>
    </row>
    <row r="94" spans="1:51" s="260" customFormat="1" ht="103.5" hidden="1" customHeight="1">
      <c r="A94" s="790"/>
      <c r="B94" s="266"/>
      <c r="C94" s="1399"/>
      <c r="D94" s="1408"/>
      <c r="E94" s="1400"/>
      <c r="F94" s="267"/>
      <c r="G94" s="1399"/>
      <c r="H94" s="1408"/>
      <c r="I94" s="1400"/>
      <c r="J94" s="1380"/>
      <c r="K94" s="1380"/>
      <c r="L94" s="1380"/>
      <c r="M94" s="790"/>
      <c r="N94" s="790"/>
      <c r="O94" s="790"/>
      <c r="P94" s="790"/>
      <c r="Q94" s="266"/>
      <c r="R94" s="266"/>
      <c r="S94" s="268"/>
      <c r="T94" s="269" t="e">
        <f>VLOOKUP(Q94,[71]Listas!$D$6:$E$10,2,0)</f>
        <v>#N/A</v>
      </c>
      <c r="U94" s="269" t="e">
        <f>HLOOKUP(R94,[71]Listas!$F$4:$J$5,2,0)</f>
        <v>#N/A</v>
      </c>
      <c r="V94" s="270" t="e">
        <f>INDEX([71]Listas!$F$6:$J$10,MATCH(Q94,[71]Listas!$D$6:$D$10,0),MATCH(R94,[71]Listas!$F$4:$J$4,0))</f>
        <v>#N/A</v>
      </c>
      <c r="W94" s="268"/>
      <c r="X94" s="1399"/>
      <c r="Y94" s="1408"/>
      <c r="Z94" s="1400"/>
      <c r="AA94" s="1063"/>
      <c r="AB94" s="267"/>
      <c r="AC94" s="259"/>
      <c r="AD94" s="790"/>
      <c r="AE94" s="267"/>
      <c r="AF94" s="268"/>
      <c r="AG94" s="269">
        <f t="shared" si="10"/>
        <v>0</v>
      </c>
      <c r="AH94" s="271" t="e">
        <f t="shared" si="11"/>
        <v>#N/A</v>
      </c>
      <c r="AI94" s="272" t="e">
        <f>IF(AH94&lt;=1,"Remota",VLOOKUP(AH94,[71]Listas!$C$6:$D$10,2,0))</f>
        <v>#N/A</v>
      </c>
      <c r="AJ94" s="271" t="e">
        <f t="shared" si="12"/>
        <v>#N/A</v>
      </c>
      <c r="AK94" s="272" t="e">
        <f>IF(AJ94&lt;=1,"Insignificante",HLOOKUP(AJ94,[71]Listas!$F$3:$J$4,2,0))</f>
        <v>#N/A</v>
      </c>
      <c r="AL94" s="273" t="e">
        <f t="shared" si="13"/>
        <v>#N/A</v>
      </c>
      <c r="AM94" s="270" t="e">
        <f>INDEX([71]Listas!$F$6:$J$10,MATCH(AI94,[71]Listas!$D$6:$D$10,0),MATCH(AK94,[71]Listas!$F$4:$J$4,0))</f>
        <v>#N/A</v>
      </c>
      <c r="AN94" s="259"/>
      <c r="AO94" s="259"/>
      <c r="AP94" s="794"/>
      <c r="AQ94" s="259"/>
      <c r="AR94" s="259" t="s">
        <v>2343</v>
      </c>
      <c r="AS94" s="790"/>
      <c r="AT94" s="259"/>
      <c r="AU94" s="259"/>
      <c r="AV94" s="261"/>
      <c r="AW94" s="261"/>
      <c r="AX94" s="790"/>
      <c r="AY94" s="262"/>
    </row>
    <row r="95" spans="1:51" s="260" customFormat="1" ht="103.5" hidden="1" customHeight="1">
      <c r="A95" s="790"/>
      <c r="B95" s="266"/>
      <c r="C95" s="1399"/>
      <c r="D95" s="1408"/>
      <c r="E95" s="1400"/>
      <c r="F95" s="267"/>
      <c r="G95" s="1399"/>
      <c r="H95" s="1408"/>
      <c r="I95" s="1400"/>
      <c r="J95" s="1380"/>
      <c r="K95" s="1380"/>
      <c r="L95" s="1380"/>
      <c r="M95" s="790"/>
      <c r="N95" s="790"/>
      <c r="O95" s="790"/>
      <c r="P95" s="790"/>
      <c r="Q95" s="266"/>
      <c r="R95" s="266"/>
      <c r="S95" s="268"/>
      <c r="T95" s="269" t="e">
        <f>VLOOKUP(Q95,[71]Listas!$D$6:$E$10,2,0)</f>
        <v>#N/A</v>
      </c>
      <c r="U95" s="269" t="e">
        <f>HLOOKUP(R95,[71]Listas!$F$4:$J$5,2,0)</f>
        <v>#N/A</v>
      </c>
      <c r="V95" s="270" t="e">
        <f>INDEX([71]Listas!$F$6:$J$10,MATCH(Q95,[71]Listas!$D$6:$D$10,0),MATCH(R95,[71]Listas!$F$4:$J$4,0))</f>
        <v>#N/A</v>
      </c>
      <c r="W95" s="268"/>
      <c r="X95" s="1399"/>
      <c r="Y95" s="1408"/>
      <c r="Z95" s="1400"/>
      <c r="AA95" s="1063"/>
      <c r="AB95" s="267"/>
      <c r="AC95" s="259"/>
      <c r="AD95" s="790"/>
      <c r="AE95" s="267"/>
      <c r="AF95" s="268"/>
      <c r="AG95" s="269">
        <f t="shared" si="10"/>
        <v>0</v>
      </c>
      <c r="AH95" s="271" t="e">
        <f t="shared" si="11"/>
        <v>#N/A</v>
      </c>
      <c r="AI95" s="272" t="e">
        <f>IF(AH95&lt;=1,"Remota",VLOOKUP(AH95,[71]Listas!$C$6:$D$10,2,0))</f>
        <v>#N/A</v>
      </c>
      <c r="AJ95" s="271" t="e">
        <f t="shared" si="12"/>
        <v>#N/A</v>
      </c>
      <c r="AK95" s="272" t="e">
        <f>IF(AJ95&lt;=1,"Insignificante",HLOOKUP(AJ95,[71]Listas!$F$3:$J$4,2,0))</f>
        <v>#N/A</v>
      </c>
      <c r="AL95" s="273" t="e">
        <f t="shared" si="13"/>
        <v>#N/A</v>
      </c>
      <c r="AM95" s="270" t="e">
        <f>INDEX([71]Listas!$F$6:$J$10,MATCH(AI95,[71]Listas!$D$6:$D$10,0),MATCH(AK95,[71]Listas!$F$4:$J$4,0))</f>
        <v>#N/A</v>
      </c>
      <c r="AN95" s="259"/>
      <c r="AO95" s="259"/>
      <c r="AP95" s="794"/>
      <c r="AQ95" s="259"/>
      <c r="AR95" s="259" t="s">
        <v>2343</v>
      </c>
      <c r="AS95" s="790"/>
      <c r="AT95" s="259"/>
      <c r="AU95" s="259"/>
      <c r="AV95" s="261"/>
      <c r="AW95" s="261"/>
      <c r="AX95" s="790"/>
      <c r="AY95" s="262"/>
    </row>
    <row r="96" spans="1:51" s="260" customFormat="1" ht="103.5" hidden="1" customHeight="1">
      <c r="A96" s="790"/>
      <c r="B96" s="266"/>
      <c r="C96" s="1399"/>
      <c r="D96" s="1408"/>
      <c r="E96" s="1400"/>
      <c r="F96" s="267"/>
      <c r="G96" s="1399"/>
      <c r="H96" s="1408"/>
      <c r="I96" s="1400"/>
      <c r="J96" s="1380"/>
      <c r="K96" s="1380"/>
      <c r="L96" s="1380"/>
      <c r="M96" s="790"/>
      <c r="N96" s="790"/>
      <c r="O96" s="790"/>
      <c r="P96" s="790"/>
      <c r="Q96" s="266"/>
      <c r="R96" s="266"/>
      <c r="S96" s="268"/>
      <c r="T96" s="269" t="e">
        <f>VLOOKUP(Q96,[71]Listas!$D$6:$E$10,2,0)</f>
        <v>#N/A</v>
      </c>
      <c r="U96" s="269" t="e">
        <f>HLOOKUP(R96,[71]Listas!$F$4:$J$5,2,0)</f>
        <v>#N/A</v>
      </c>
      <c r="V96" s="270" t="e">
        <f>INDEX([71]Listas!$F$6:$J$10,MATCH(Q96,[71]Listas!$D$6:$D$10,0),MATCH(R96,[71]Listas!$F$4:$J$4,0))</f>
        <v>#N/A</v>
      </c>
      <c r="W96" s="268"/>
      <c r="X96" s="1399"/>
      <c r="Y96" s="1408"/>
      <c r="Z96" s="1400"/>
      <c r="AA96" s="1063"/>
      <c r="AB96" s="267"/>
      <c r="AC96" s="259"/>
      <c r="AD96" s="790"/>
      <c r="AE96" s="267"/>
      <c r="AF96" s="268"/>
      <c r="AG96" s="269">
        <f t="shared" si="10"/>
        <v>0</v>
      </c>
      <c r="AH96" s="271" t="e">
        <f t="shared" si="11"/>
        <v>#N/A</v>
      </c>
      <c r="AI96" s="272" t="e">
        <f>IF(AH96&lt;=1,"Remota",VLOOKUP(AH96,[71]Listas!$C$6:$D$10,2,0))</f>
        <v>#N/A</v>
      </c>
      <c r="AJ96" s="271" t="e">
        <f t="shared" si="12"/>
        <v>#N/A</v>
      </c>
      <c r="AK96" s="272" t="e">
        <f>IF(AJ96&lt;=1,"Insignificante",HLOOKUP(AJ96,[71]Listas!$F$3:$J$4,2,0))</f>
        <v>#N/A</v>
      </c>
      <c r="AL96" s="273" t="e">
        <f t="shared" si="13"/>
        <v>#N/A</v>
      </c>
      <c r="AM96" s="270" t="e">
        <f>INDEX([71]Listas!$F$6:$J$10,MATCH(AI96,[71]Listas!$D$6:$D$10,0),MATCH(AK96,[71]Listas!$F$4:$J$4,0))</f>
        <v>#N/A</v>
      </c>
      <c r="AN96" s="259"/>
      <c r="AO96" s="259"/>
      <c r="AP96" s="794"/>
      <c r="AQ96" s="259"/>
      <c r="AR96" s="259" t="s">
        <v>2343</v>
      </c>
      <c r="AS96" s="790"/>
      <c r="AT96" s="259"/>
      <c r="AU96" s="259"/>
      <c r="AV96" s="261"/>
      <c r="AW96" s="261"/>
      <c r="AX96" s="790"/>
      <c r="AY96" s="262"/>
    </row>
    <row r="97" spans="1:51" s="260" customFormat="1" ht="103.5" hidden="1" customHeight="1">
      <c r="A97" s="790"/>
      <c r="B97" s="266"/>
      <c r="C97" s="1399"/>
      <c r="D97" s="1408"/>
      <c r="E97" s="1400"/>
      <c r="F97" s="267"/>
      <c r="G97" s="1399"/>
      <c r="H97" s="1408"/>
      <c r="I97" s="1400"/>
      <c r="J97" s="1380"/>
      <c r="K97" s="1380"/>
      <c r="L97" s="1380"/>
      <c r="M97" s="790"/>
      <c r="N97" s="790"/>
      <c r="O97" s="790"/>
      <c r="P97" s="790"/>
      <c r="Q97" s="266"/>
      <c r="R97" s="266"/>
      <c r="S97" s="268"/>
      <c r="T97" s="269" t="e">
        <f>VLOOKUP(Q97,[71]Listas!$D$6:$E$10,2,0)</f>
        <v>#N/A</v>
      </c>
      <c r="U97" s="269" t="e">
        <f>HLOOKUP(R97,[71]Listas!$F$4:$J$5,2,0)</f>
        <v>#N/A</v>
      </c>
      <c r="V97" s="270" t="e">
        <f>INDEX([71]Listas!$F$6:$J$10,MATCH(Q97,[71]Listas!$D$6:$D$10,0),MATCH(R97,[71]Listas!$F$4:$J$4,0))</f>
        <v>#N/A</v>
      </c>
      <c r="W97" s="268"/>
      <c r="X97" s="1399"/>
      <c r="Y97" s="1408"/>
      <c r="Z97" s="1400"/>
      <c r="AA97" s="1063"/>
      <c r="AB97" s="267"/>
      <c r="AC97" s="259"/>
      <c r="AD97" s="790"/>
      <c r="AE97" s="267"/>
      <c r="AF97" s="268"/>
      <c r="AG97" s="269">
        <f t="shared" si="10"/>
        <v>0</v>
      </c>
      <c r="AH97" s="271" t="e">
        <f t="shared" si="11"/>
        <v>#N/A</v>
      </c>
      <c r="AI97" s="272" t="e">
        <f>IF(AH97&lt;=1,"Remota",VLOOKUP(AH97,[71]Listas!$C$6:$D$10,2,0))</f>
        <v>#N/A</v>
      </c>
      <c r="AJ97" s="271" t="e">
        <f t="shared" si="12"/>
        <v>#N/A</v>
      </c>
      <c r="AK97" s="272" t="e">
        <f>IF(AJ97&lt;=1,"Insignificante",HLOOKUP(AJ97,[71]Listas!$F$3:$J$4,2,0))</f>
        <v>#N/A</v>
      </c>
      <c r="AL97" s="273" t="e">
        <f t="shared" si="13"/>
        <v>#N/A</v>
      </c>
      <c r="AM97" s="270" t="e">
        <f>INDEX([71]Listas!$F$6:$J$10,MATCH(AI97,[71]Listas!$D$6:$D$10,0),MATCH(AK97,[71]Listas!$F$4:$J$4,0))</f>
        <v>#N/A</v>
      </c>
      <c r="AN97" s="259"/>
      <c r="AO97" s="259"/>
      <c r="AP97" s="794"/>
      <c r="AQ97" s="259"/>
      <c r="AR97" s="259" t="s">
        <v>2343</v>
      </c>
      <c r="AS97" s="790"/>
      <c r="AT97" s="259"/>
      <c r="AU97" s="259"/>
      <c r="AV97" s="261"/>
      <c r="AW97" s="261"/>
      <c r="AX97" s="790"/>
      <c r="AY97" s="262"/>
    </row>
    <row r="98" spans="1:51" s="260" customFormat="1" ht="103.5" hidden="1" customHeight="1">
      <c r="A98" s="790"/>
      <c r="B98" s="266"/>
      <c r="C98" s="1399"/>
      <c r="D98" s="1408"/>
      <c r="E98" s="1400"/>
      <c r="F98" s="267"/>
      <c r="G98" s="1399"/>
      <c r="H98" s="1408"/>
      <c r="I98" s="1400"/>
      <c r="J98" s="1380"/>
      <c r="K98" s="1380"/>
      <c r="L98" s="1380"/>
      <c r="M98" s="790"/>
      <c r="N98" s="790"/>
      <c r="O98" s="790"/>
      <c r="P98" s="790"/>
      <c r="Q98" s="266"/>
      <c r="R98" s="266"/>
      <c r="S98" s="268"/>
      <c r="T98" s="269" t="e">
        <f>VLOOKUP(Q98,[71]Listas!$D$6:$E$10,2,0)</f>
        <v>#N/A</v>
      </c>
      <c r="U98" s="269" t="e">
        <f>HLOOKUP(R98,[71]Listas!$F$4:$J$5,2,0)</f>
        <v>#N/A</v>
      </c>
      <c r="V98" s="270" t="e">
        <f>INDEX([71]Listas!$F$6:$J$10,MATCH(Q98,[71]Listas!$D$6:$D$10,0),MATCH(R98,[71]Listas!$F$4:$J$4,0))</f>
        <v>#N/A</v>
      </c>
      <c r="W98" s="268"/>
      <c r="X98" s="1399"/>
      <c r="Y98" s="1408"/>
      <c r="Z98" s="1400"/>
      <c r="AA98" s="1063"/>
      <c r="AB98" s="267"/>
      <c r="AC98" s="259"/>
      <c r="AD98" s="790"/>
      <c r="AE98" s="267"/>
      <c r="AF98" s="268"/>
      <c r="AG98" s="269">
        <f t="shared" si="10"/>
        <v>0</v>
      </c>
      <c r="AH98" s="271" t="e">
        <f t="shared" si="11"/>
        <v>#N/A</v>
      </c>
      <c r="AI98" s="272" t="e">
        <f>IF(AH98&lt;=1,"Remota",VLOOKUP(AH98,[71]Listas!$C$6:$D$10,2,0))</f>
        <v>#N/A</v>
      </c>
      <c r="AJ98" s="271" t="e">
        <f t="shared" si="12"/>
        <v>#N/A</v>
      </c>
      <c r="AK98" s="272" t="e">
        <f>IF(AJ98&lt;=1,"Insignificante",HLOOKUP(AJ98,[71]Listas!$F$3:$J$4,2,0))</f>
        <v>#N/A</v>
      </c>
      <c r="AL98" s="273" t="e">
        <f t="shared" si="13"/>
        <v>#N/A</v>
      </c>
      <c r="AM98" s="270" t="e">
        <f>INDEX([71]Listas!$F$6:$J$10,MATCH(AI98,[71]Listas!$D$6:$D$10,0),MATCH(AK98,[71]Listas!$F$4:$J$4,0))</f>
        <v>#N/A</v>
      </c>
      <c r="AN98" s="259"/>
      <c r="AO98" s="259"/>
      <c r="AP98" s="794"/>
      <c r="AQ98" s="259"/>
      <c r="AR98" s="259" t="s">
        <v>2343</v>
      </c>
      <c r="AS98" s="790"/>
      <c r="AT98" s="259"/>
      <c r="AU98" s="259"/>
      <c r="AV98" s="261"/>
      <c r="AW98" s="261"/>
      <c r="AX98" s="790"/>
      <c r="AY98" s="262"/>
    </row>
    <row r="99" spans="1:51" s="260" customFormat="1" ht="103.5" hidden="1" customHeight="1">
      <c r="A99" s="790"/>
      <c r="B99" s="266"/>
      <c r="C99" s="1399"/>
      <c r="D99" s="1408"/>
      <c r="E99" s="1400"/>
      <c r="F99" s="267"/>
      <c r="G99" s="1399"/>
      <c r="H99" s="1408"/>
      <c r="I99" s="1400"/>
      <c r="J99" s="1380"/>
      <c r="K99" s="1380"/>
      <c r="L99" s="1380"/>
      <c r="M99" s="790"/>
      <c r="N99" s="790"/>
      <c r="O99" s="790"/>
      <c r="P99" s="790"/>
      <c r="Q99" s="266"/>
      <c r="R99" s="266"/>
      <c r="S99" s="268"/>
      <c r="T99" s="269" t="e">
        <f>VLOOKUP(Q99,[71]Listas!$D$6:$E$10,2,0)</f>
        <v>#N/A</v>
      </c>
      <c r="U99" s="269" t="e">
        <f>HLOOKUP(R99,[71]Listas!$F$4:$J$5,2,0)</f>
        <v>#N/A</v>
      </c>
      <c r="V99" s="270" t="e">
        <f>INDEX([71]Listas!$F$6:$J$10,MATCH(Q99,[71]Listas!$D$6:$D$10,0),MATCH(R99,[71]Listas!$F$4:$J$4,0))</f>
        <v>#N/A</v>
      </c>
      <c r="W99" s="268"/>
      <c r="X99" s="1399"/>
      <c r="Y99" s="1408"/>
      <c r="Z99" s="1400"/>
      <c r="AA99" s="1063"/>
      <c r="AB99" s="267"/>
      <c r="AC99" s="259"/>
      <c r="AD99" s="790"/>
      <c r="AE99" s="267"/>
      <c r="AF99" s="268"/>
      <c r="AG99" s="269">
        <f t="shared" si="10"/>
        <v>0</v>
      </c>
      <c r="AH99" s="271" t="e">
        <f t="shared" si="11"/>
        <v>#N/A</v>
      </c>
      <c r="AI99" s="272" t="e">
        <f>IF(AH99&lt;=1,"Remota",VLOOKUP(AH99,[71]Listas!$C$6:$D$10,2,0))</f>
        <v>#N/A</v>
      </c>
      <c r="AJ99" s="271" t="e">
        <f t="shared" si="12"/>
        <v>#N/A</v>
      </c>
      <c r="AK99" s="272" t="e">
        <f>IF(AJ99&lt;=1,"Insignificante",HLOOKUP(AJ99,[71]Listas!$F$3:$J$4,2,0))</f>
        <v>#N/A</v>
      </c>
      <c r="AL99" s="273" t="e">
        <f t="shared" si="13"/>
        <v>#N/A</v>
      </c>
      <c r="AM99" s="270" t="e">
        <f>INDEX([71]Listas!$F$6:$J$10,MATCH(AI99,[71]Listas!$D$6:$D$10,0),MATCH(AK99,[71]Listas!$F$4:$J$4,0))</f>
        <v>#N/A</v>
      </c>
      <c r="AN99" s="259"/>
      <c r="AO99" s="259"/>
      <c r="AP99" s="794"/>
      <c r="AQ99" s="259"/>
      <c r="AR99" s="259" t="s">
        <v>2343</v>
      </c>
      <c r="AS99" s="790"/>
      <c r="AT99" s="259"/>
      <c r="AU99" s="259"/>
      <c r="AV99" s="261"/>
      <c r="AW99" s="261"/>
      <c r="AX99" s="790"/>
      <c r="AY99" s="262"/>
    </row>
    <row r="100" spans="1:51" s="260" customFormat="1" ht="103.5" hidden="1" customHeight="1">
      <c r="A100" s="813"/>
      <c r="B100" s="274"/>
      <c r="C100" s="1399"/>
      <c r="D100" s="1408"/>
      <c r="E100" s="1400"/>
      <c r="F100" s="267"/>
      <c r="G100" s="1399"/>
      <c r="H100" s="1408"/>
      <c r="I100" s="1400"/>
      <c r="J100" s="1380"/>
      <c r="K100" s="1380"/>
      <c r="L100" s="1380"/>
      <c r="M100" s="790"/>
      <c r="N100" s="790"/>
      <c r="O100" s="790"/>
      <c r="P100" s="790"/>
      <c r="Q100" s="266"/>
      <c r="R100" s="266"/>
      <c r="S100" s="268"/>
      <c r="T100" s="269" t="e">
        <f>VLOOKUP(Q100,[71]Listas!$D$6:$E$10,2,0)</f>
        <v>#N/A</v>
      </c>
      <c r="U100" s="269" t="e">
        <f>HLOOKUP(R100,[71]Listas!$F$4:$J$5,2,0)</f>
        <v>#N/A</v>
      </c>
      <c r="V100" s="270" t="e">
        <f>INDEX([71]Listas!$F$6:$J$10,MATCH(Q100,[71]Listas!$D$6:$D$10,0),MATCH(R100,[71]Listas!$F$4:$J$4,0))</f>
        <v>#N/A</v>
      </c>
      <c r="W100" s="268"/>
      <c r="X100" s="1399"/>
      <c r="Y100" s="1408"/>
      <c r="Z100" s="1400"/>
      <c r="AA100" s="1063"/>
      <c r="AB100" s="267"/>
      <c r="AC100" s="259"/>
      <c r="AD100" s="790"/>
      <c r="AE100" s="267"/>
      <c r="AF100" s="268"/>
      <c r="AG100" s="269">
        <f t="shared" si="10"/>
        <v>0</v>
      </c>
      <c r="AH100" s="271" t="e">
        <f t="shared" si="11"/>
        <v>#N/A</v>
      </c>
      <c r="AI100" s="272" t="e">
        <f>IF(AH100&lt;=1,"Remota",VLOOKUP(AH100,[71]Listas!$C$6:$D$10,2,0))</f>
        <v>#N/A</v>
      </c>
      <c r="AJ100" s="271" t="e">
        <f t="shared" si="12"/>
        <v>#N/A</v>
      </c>
      <c r="AK100" s="272" t="e">
        <f>IF(AJ100&lt;=1,"Insignificante",HLOOKUP(AJ100,[71]Listas!$F$3:$J$4,2,0))</f>
        <v>#N/A</v>
      </c>
      <c r="AL100" s="273" t="e">
        <f t="shared" si="13"/>
        <v>#N/A</v>
      </c>
      <c r="AM100" s="270" t="e">
        <f>INDEX([71]Listas!$F$6:$J$10,MATCH(AI100,[71]Listas!$D$6:$D$10,0),MATCH(AK100,[71]Listas!$F$4:$J$4,0))</f>
        <v>#N/A</v>
      </c>
      <c r="AN100" s="259"/>
      <c r="AO100" s="259"/>
      <c r="AP100" s="794"/>
      <c r="AQ100" s="259"/>
      <c r="AR100" s="259" t="s">
        <v>2343</v>
      </c>
      <c r="AS100" s="790"/>
      <c r="AT100" s="259"/>
      <c r="AU100" s="259"/>
      <c r="AV100" s="261"/>
      <c r="AW100" s="261"/>
      <c r="AX100" s="790"/>
      <c r="AY100" s="262"/>
    </row>
    <row r="101" spans="1:51" s="260" customFormat="1" ht="103.5" hidden="1" customHeight="1">
      <c r="A101" s="790"/>
      <c r="B101" s="266"/>
      <c r="C101" s="1399"/>
      <c r="D101" s="1408"/>
      <c r="E101" s="1400"/>
      <c r="F101" s="267"/>
      <c r="G101" s="1399"/>
      <c r="H101" s="1408"/>
      <c r="I101" s="1400"/>
      <c r="J101" s="1380"/>
      <c r="K101" s="1380"/>
      <c r="L101" s="1380"/>
      <c r="M101" s="790"/>
      <c r="N101" s="790"/>
      <c r="O101" s="790"/>
      <c r="P101" s="790"/>
      <c r="Q101" s="266"/>
      <c r="R101" s="266"/>
      <c r="S101" s="268"/>
      <c r="T101" s="269" t="e">
        <f>VLOOKUP(Q101,[71]Listas!$D$6:$E$10,2,0)</f>
        <v>#N/A</v>
      </c>
      <c r="U101" s="269" t="e">
        <f>HLOOKUP(R101,[71]Listas!$F$4:$J$5,2,0)</f>
        <v>#N/A</v>
      </c>
      <c r="V101" s="270" t="e">
        <f>INDEX([71]Listas!$F$6:$J$10,MATCH(Q101,[71]Listas!$D$6:$D$10,0),MATCH(R101,[71]Listas!$F$4:$J$4,0))</f>
        <v>#N/A</v>
      </c>
      <c r="W101" s="268"/>
      <c r="X101" s="1399"/>
      <c r="Y101" s="1408"/>
      <c r="Z101" s="1400"/>
      <c r="AA101" s="1063"/>
      <c r="AB101" s="267"/>
      <c r="AC101" s="259"/>
      <c r="AD101" s="790"/>
      <c r="AE101" s="267"/>
      <c r="AF101" s="268"/>
      <c r="AG101" s="269">
        <f t="shared" si="10"/>
        <v>0</v>
      </c>
      <c r="AH101" s="271" t="e">
        <f t="shared" si="11"/>
        <v>#N/A</v>
      </c>
      <c r="AI101" s="272" t="e">
        <f>IF(AH101&lt;=1,"Remota",VLOOKUP(AH101,[71]Listas!$C$6:$D$10,2,0))</f>
        <v>#N/A</v>
      </c>
      <c r="AJ101" s="271" t="e">
        <f t="shared" si="12"/>
        <v>#N/A</v>
      </c>
      <c r="AK101" s="272" t="e">
        <f>IF(AJ101&lt;=1,"Insignificante",HLOOKUP(AJ101,[71]Listas!$F$3:$J$4,2,0))</f>
        <v>#N/A</v>
      </c>
      <c r="AL101" s="273" t="e">
        <f t="shared" si="13"/>
        <v>#N/A</v>
      </c>
      <c r="AM101" s="270" t="e">
        <f>INDEX([71]Listas!$F$6:$J$10,MATCH(AI101,[71]Listas!$D$6:$D$10,0),MATCH(AK101,[71]Listas!$F$4:$J$4,0))</f>
        <v>#N/A</v>
      </c>
      <c r="AN101" s="259"/>
      <c r="AO101" s="259"/>
      <c r="AP101" s="794"/>
      <c r="AQ101" s="259"/>
      <c r="AR101" s="259" t="s">
        <v>2343</v>
      </c>
      <c r="AS101" s="790"/>
      <c r="AT101" s="259"/>
      <c r="AU101" s="259"/>
      <c r="AV101" s="261"/>
      <c r="AW101" s="261"/>
      <c r="AX101" s="790"/>
      <c r="AY101" s="262"/>
    </row>
    <row r="102" spans="1:51" s="260" customFormat="1" ht="103.5" hidden="1" customHeight="1">
      <c r="A102" s="790"/>
      <c r="B102" s="266"/>
      <c r="C102" s="1399"/>
      <c r="D102" s="1408"/>
      <c r="E102" s="1400"/>
      <c r="F102" s="267"/>
      <c r="G102" s="1399"/>
      <c r="H102" s="1408"/>
      <c r="I102" s="1400"/>
      <c r="J102" s="1380"/>
      <c r="K102" s="1380"/>
      <c r="L102" s="1380"/>
      <c r="M102" s="790"/>
      <c r="N102" s="790"/>
      <c r="O102" s="790"/>
      <c r="P102" s="790"/>
      <c r="Q102" s="266"/>
      <c r="R102" s="266"/>
      <c r="S102" s="268"/>
      <c r="T102" s="269" t="e">
        <f>VLOOKUP(Q102,[71]Listas!$D$6:$E$10,2,0)</f>
        <v>#N/A</v>
      </c>
      <c r="U102" s="269" t="e">
        <f>HLOOKUP(R102,[71]Listas!$F$4:$J$5,2,0)</f>
        <v>#N/A</v>
      </c>
      <c r="V102" s="270" t="e">
        <f>INDEX([71]Listas!$F$6:$J$10,MATCH(Q102,[71]Listas!$D$6:$D$10,0),MATCH(R102,[71]Listas!$F$4:$J$4,0))</f>
        <v>#N/A</v>
      </c>
      <c r="W102" s="268"/>
      <c r="X102" s="1399"/>
      <c r="Y102" s="1408"/>
      <c r="Z102" s="1400"/>
      <c r="AA102" s="1063"/>
      <c r="AB102" s="267"/>
      <c r="AC102" s="259"/>
      <c r="AD102" s="790"/>
      <c r="AE102" s="267"/>
      <c r="AF102" s="268"/>
      <c r="AG102" s="269">
        <f t="shared" si="10"/>
        <v>0</v>
      </c>
      <c r="AH102" s="271" t="e">
        <f t="shared" si="11"/>
        <v>#N/A</v>
      </c>
      <c r="AI102" s="272" t="e">
        <f>IF(AH102&lt;=1,"Remota",VLOOKUP(AH102,[71]Listas!$C$6:$D$10,2,0))</f>
        <v>#N/A</v>
      </c>
      <c r="AJ102" s="271" t="e">
        <f t="shared" si="12"/>
        <v>#N/A</v>
      </c>
      <c r="AK102" s="272" t="e">
        <f>IF(AJ102&lt;=1,"Insignificante",HLOOKUP(AJ102,[71]Listas!$F$3:$J$4,2,0))</f>
        <v>#N/A</v>
      </c>
      <c r="AL102" s="273" t="e">
        <f t="shared" si="13"/>
        <v>#N/A</v>
      </c>
      <c r="AM102" s="270" t="e">
        <f>INDEX([71]Listas!$F$6:$J$10,MATCH(AI102,[71]Listas!$D$6:$D$10,0),MATCH(AK102,[71]Listas!$F$4:$J$4,0))</f>
        <v>#N/A</v>
      </c>
      <c r="AN102" s="259"/>
      <c r="AO102" s="259"/>
      <c r="AP102" s="794"/>
      <c r="AQ102" s="259"/>
      <c r="AR102" s="259" t="s">
        <v>2343</v>
      </c>
      <c r="AS102" s="790"/>
      <c r="AT102" s="259"/>
      <c r="AU102" s="259"/>
      <c r="AV102" s="261"/>
      <c r="AW102" s="261"/>
      <c r="AX102" s="790"/>
      <c r="AY102" s="262"/>
    </row>
    <row r="103" spans="1:51" s="260" customFormat="1" ht="103.5" hidden="1" customHeight="1">
      <c r="A103" s="790"/>
      <c r="B103" s="266"/>
      <c r="C103" s="1399"/>
      <c r="D103" s="1408"/>
      <c r="E103" s="1400"/>
      <c r="F103" s="267"/>
      <c r="G103" s="1399"/>
      <c r="H103" s="1408"/>
      <c r="I103" s="1400"/>
      <c r="J103" s="1380"/>
      <c r="K103" s="1380"/>
      <c r="L103" s="1380"/>
      <c r="M103" s="790"/>
      <c r="N103" s="790"/>
      <c r="O103" s="790"/>
      <c r="P103" s="790"/>
      <c r="Q103" s="266"/>
      <c r="R103" s="266"/>
      <c r="S103" s="268"/>
      <c r="T103" s="269" t="e">
        <f>VLOOKUP(Q103,[71]Listas!$D$6:$E$10,2,0)</f>
        <v>#N/A</v>
      </c>
      <c r="U103" s="269" t="e">
        <f>HLOOKUP(R103,[71]Listas!$F$4:$J$5,2,0)</f>
        <v>#N/A</v>
      </c>
      <c r="V103" s="270" t="e">
        <f>INDEX([71]Listas!$F$6:$J$10,MATCH(Q103,[71]Listas!$D$6:$D$10,0),MATCH(R103,[71]Listas!$F$4:$J$4,0))</f>
        <v>#N/A</v>
      </c>
      <c r="W103" s="268"/>
      <c r="X103" s="1399"/>
      <c r="Y103" s="1408"/>
      <c r="Z103" s="1400"/>
      <c r="AA103" s="1063"/>
      <c r="AB103" s="267"/>
      <c r="AC103" s="259"/>
      <c r="AD103" s="790"/>
      <c r="AE103" s="267"/>
      <c r="AF103" s="268"/>
      <c r="AG103" s="269">
        <f t="shared" si="10"/>
        <v>0</v>
      </c>
      <c r="AH103" s="271" t="e">
        <f t="shared" si="11"/>
        <v>#N/A</v>
      </c>
      <c r="AI103" s="272" t="e">
        <f>IF(AH103&lt;=1,"Remota",VLOOKUP(AH103,[71]Listas!$C$6:$D$10,2,0))</f>
        <v>#N/A</v>
      </c>
      <c r="AJ103" s="271" t="e">
        <f t="shared" si="12"/>
        <v>#N/A</v>
      </c>
      <c r="AK103" s="272" t="e">
        <f>IF(AJ103&lt;=1,"Insignificante",HLOOKUP(AJ103,[71]Listas!$F$3:$J$4,2,0))</f>
        <v>#N/A</v>
      </c>
      <c r="AL103" s="273" t="e">
        <f t="shared" si="13"/>
        <v>#N/A</v>
      </c>
      <c r="AM103" s="270" t="e">
        <f>INDEX([71]Listas!$F$6:$J$10,MATCH(AI103,[71]Listas!$D$6:$D$10,0),MATCH(AK103,[71]Listas!$F$4:$J$4,0))</f>
        <v>#N/A</v>
      </c>
      <c r="AN103" s="259"/>
      <c r="AO103" s="259"/>
      <c r="AP103" s="794"/>
      <c r="AQ103" s="259"/>
      <c r="AR103" s="259" t="s">
        <v>2343</v>
      </c>
      <c r="AS103" s="790"/>
      <c r="AT103" s="259"/>
      <c r="AU103" s="259"/>
      <c r="AV103" s="261"/>
      <c r="AW103" s="261"/>
      <c r="AX103" s="790"/>
      <c r="AY103" s="262"/>
    </row>
    <row r="104" spans="1:51" s="260" customFormat="1" ht="103.5" hidden="1" customHeight="1">
      <c r="A104" s="790"/>
      <c r="B104" s="266"/>
      <c r="C104" s="1399"/>
      <c r="D104" s="1408"/>
      <c r="E104" s="1400"/>
      <c r="F104" s="267"/>
      <c r="G104" s="1399"/>
      <c r="H104" s="1408"/>
      <c r="I104" s="1400"/>
      <c r="J104" s="1380"/>
      <c r="K104" s="1380"/>
      <c r="L104" s="1380"/>
      <c r="M104" s="790"/>
      <c r="N104" s="790"/>
      <c r="O104" s="790"/>
      <c r="P104" s="790"/>
      <c r="Q104" s="266"/>
      <c r="R104" s="266"/>
      <c r="S104" s="268"/>
      <c r="T104" s="269" t="e">
        <f>VLOOKUP(Q104,[71]Listas!$D$6:$E$10,2,0)</f>
        <v>#N/A</v>
      </c>
      <c r="U104" s="269" t="e">
        <f>HLOOKUP(R104,[71]Listas!$F$4:$J$5,2,0)</f>
        <v>#N/A</v>
      </c>
      <c r="V104" s="270" t="e">
        <f>INDEX([71]Listas!$F$6:$J$10,MATCH(Q104,[71]Listas!$D$6:$D$10,0),MATCH(R104,[71]Listas!$F$4:$J$4,0))</f>
        <v>#N/A</v>
      </c>
      <c r="W104" s="268"/>
      <c r="X104" s="1399"/>
      <c r="Y104" s="1408"/>
      <c r="Z104" s="1400"/>
      <c r="AA104" s="1063"/>
      <c r="AB104" s="267"/>
      <c r="AC104" s="259"/>
      <c r="AD104" s="790"/>
      <c r="AE104" s="267"/>
      <c r="AF104" s="268"/>
      <c r="AG104" s="269">
        <f t="shared" si="10"/>
        <v>0</v>
      </c>
      <c r="AH104" s="271" t="e">
        <f t="shared" si="11"/>
        <v>#N/A</v>
      </c>
      <c r="AI104" s="272" t="e">
        <f>IF(AH104&lt;=1,"Remota",VLOOKUP(AH104,[71]Listas!$C$6:$D$10,2,0))</f>
        <v>#N/A</v>
      </c>
      <c r="AJ104" s="271" t="e">
        <f t="shared" si="12"/>
        <v>#N/A</v>
      </c>
      <c r="AK104" s="272" t="e">
        <f>IF(AJ104&lt;=1,"Insignificante",HLOOKUP(AJ104,[71]Listas!$F$3:$J$4,2,0))</f>
        <v>#N/A</v>
      </c>
      <c r="AL104" s="273" t="e">
        <f t="shared" si="13"/>
        <v>#N/A</v>
      </c>
      <c r="AM104" s="270" t="e">
        <f>INDEX([71]Listas!$F$6:$J$10,MATCH(AI104,[71]Listas!$D$6:$D$10,0),MATCH(AK104,[71]Listas!$F$4:$J$4,0))</f>
        <v>#N/A</v>
      </c>
      <c r="AN104" s="259"/>
      <c r="AO104" s="259"/>
      <c r="AP104" s="794"/>
      <c r="AQ104" s="259"/>
      <c r="AR104" s="259" t="s">
        <v>2343</v>
      </c>
      <c r="AS104" s="790"/>
      <c r="AT104" s="259"/>
      <c r="AU104" s="259"/>
      <c r="AV104" s="261"/>
      <c r="AW104" s="261"/>
      <c r="AX104" s="790"/>
      <c r="AY104" s="262"/>
    </row>
    <row r="105" spans="1:51" s="260" customFormat="1" ht="103.5" hidden="1" customHeight="1">
      <c r="A105" s="790"/>
      <c r="B105" s="266"/>
      <c r="C105" s="1399"/>
      <c r="D105" s="1408"/>
      <c r="E105" s="1400"/>
      <c r="F105" s="267"/>
      <c r="G105" s="1399"/>
      <c r="H105" s="1408"/>
      <c r="I105" s="1400"/>
      <c r="J105" s="1380"/>
      <c r="K105" s="1380"/>
      <c r="L105" s="1380"/>
      <c r="M105" s="790"/>
      <c r="N105" s="790"/>
      <c r="O105" s="790"/>
      <c r="P105" s="790"/>
      <c r="Q105" s="266"/>
      <c r="R105" s="266"/>
      <c r="S105" s="268"/>
      <c r="T105" s="269" t="e">
        <f>VLOOKUP(Q105,[71]Listas!$D$6:$E$10,2,0)</f>
        <v>#N/A</v>
      </c>
      <c r="U105" s="269" t="e">
        <f>HLOOKUP(R105,[71]Listas!$F$4:$J$5,2,0)</f>
        <v>#N/A</v>
      </c>
      <c r="V105" s="270" t="e">
        <f>INDEX([71]Listas!$F$6:$J$10,MATCH(Q105,[71]Listas!$D$6:$D$10,0),MATCH(R105,[71]Listas!$F$4:$J$4,0))</f>
        <v>#N/A</v>
      </c>
      <c r="W105" s="268"/>
      <c r="X105" s="1399"/>
      <c r="Y105" s="1408"/>
      <c r="Z105" s="1400"/>
      <c r="AA105" s="1063"/>
      <c r="AB105" s="267"/>
      <c r="AC105" s="259"/>
      <c r="AD105" s="790"/>
      <c r="AE105" s="267"/>
      <c r="AF105" s="268"/>
      <c r="AG105" s="269">
        <f t="shared" si="10"/>
        <v>0</v>
      </c>
      <c r="AH105" s="271" t="e">
        <f t="shared" si="11"/>
        <v>#N/A</v>
      </c>
      <c r="AI105" s="272" t="e">
        <f>IF(AH105&lt;=1,"Remota",VLOOKUP(AH105,[71]Listas!$C$6:$D$10,2,0))</f>
        <v>#N/A</v>
      </c>
      <c r="AJ105" s="271" t="e">
        <f t="shared" si="12"/>
        <v>#N/A</v>
      </c>
      <c r="AK105" s="272" t="e">
        <f>IF(AJ105&lt;=1,"Insignificante",HLOOKUP(AJ105,[71]Listas!$F$3:$J$4,2,0))</f>
        <v>#N/A</v>
      </c>
      <c r="AL105" s="273" t="e">
        <f t="shared" si="13"/>
        <v>#N/A</v>
      </c>
      <c r="AM105" s="270" t="e">
        <f>INDEX([71]Listas!$F$6:$J$10,MATCH(AI105,[71]Listas!$D$6:$D$10,0),MATCH(AK105,[71]Listas!$F$4:$J$4,0))</f>
        <v>#N/A</v>
      </c>
      <c r="AN105" s="259"/>
      <c r="AO105" s="259"/>
      <c r="AP105" s="794"/>
      <c r="AQ105" s="259"/>
      <c r="AR105" s="259" t="s">
        <v>2343</v>
      </c>
      <c r="AS105" s="790"/>
      <c r="AT105" s="259"/>
      <c r="AU105" s="259"/>
      <c r="AV105" s="261"/>
      <c r="AW105" s="261"/>
      <c r="AX105" s="790"/>
      <c r="AY105" s="262"/>
    </row>
    <row r="106" spans="1:51" s="260" customFormat="1" ht="103.5" hidden="1" customHeight="1">
      <c r="A106" s="790"/>
      <c r="B106" s="266"/>
      <c r="C106" s="1399"/>
      <c r="D106" s="1408"/>
      <c r="E106" s="1400"/>
      <c r="F106" s="267"/>
      <c r="G106" s="1399"/>
      <c r="H106" s="1408"/>
      <c r="I106" s="1400"/>
      <c r="J106" s="1380"/>
      <c r="K106" s="1380"/>
      <c r="L106" s="1380"/>
      <c r="M106" s="790"/>
      <c r="N106" s="790"/>
      <c r="O106" s="790"/>
      <c r="P106" s="790"/>
      <c r="Q106" s="266"/>
      <c r="R106" s="266"/>
      <c r="S106" s="268"/>
      <c r="T106" s="269" t="e">
        <f>VLOOKUP(Q106,[71]Listas!$D$6:$E$10,2,0)</f>
        <v>#N/A</v>
      </c>
      <c r="U106" s="269" t="e">
        <f>HLOOKUP(R106,[71]Listas!$F$4:$J$5,2,0)</f>
        <v>#N/A</v>
      </c>
      <c r="V106" s="270" t="e">
        <f>INDEX([71]Listas!$F$6:$J$10,MATCH(Q106,[71]Listas!$D$6:$D$10,0),MATCH(R106,[71]Listas!$F$4:$J$4,0))</f>
        <v>#N/A</v>
      </c>
      <c r="W106" s="268"/>
      <c r="X106" s="1399"/>
      <c r="Y106" s="1408"/>
      <c r="Z106" s="1400"/>
      <c r="AA106" s="1063"/>
      <c r="AB106" s="267"/>
      <c r="AC106" s="259"/>
      <c r="AD106" s="790"/>
      <c r="AE106" s="267"/>
      <c r="AF106" s="268"/>
      <c r="AG106" s="269">
        <f t="shared" si="10"/>
        <v>0</v>
      </c>
      <c r="AH106" s="271" t="e">
        <f t="shared" si="11"/>
        <v>#N/A</v>
      </c>
      <c r="AI106" s="272" t="e">
        <f>IF(AH106&lt;=1,"Remota",VLOOKUP(AH106,[71]Listas!$C$6:$D$10,2,0))</f>
        <v>#N/A</v>
      </c>
      <c r="AJ106" s="271" t="e">
        <f t="shared" si="12"/>
        <v>#N/A</v>
      </c>
      <c r="AK106" s="272" t="e">
        <f>IF(AJ106&lt;=1,"Insignificante",HLOOKUP(AJ106,[71]Listas!$F$3:$J$4,2,0))</f>
        <v>#N/A</v>
      </c>
      <c r="AL106" s="273" t="e">
        <f t="shared" si="13"/>
        <v>#N/A</v>
      </c>
      <c r="AM106" s="270" t="e">
        <f>INDEX([71]Listas!$F$6:$J$10,MATCH(AI106,[71]Listas!$D$6:$D$10,0),MATCH(AK106,[71]Listas!$F$4:$J$4,0))</f>
        <v>#N/A</v>
      </c>
      <c r="AN106" s="259"/>
      <c r="AO106" s="259"/>
      <c r="AP106" s="794"/>
      <c r="AQ106" s="259"/>
      <c r="AR106" s="259" t="s">
        <v>2343</v>
      </c>
      <c r="AS106" s="790"/>
      <c r="AT106" s="259"/>
      <c r="AU106" s="259"/>
      <c r="AV106" s="261"/>
      <c r="AW106" s="261"/>
      <c r="AX106" s="790"/>
      <c r="AY106" s="262"/>
    </row>
    <row r="107" spans="1:51" s="260" customFormat="1" ht="103.5" hidden="1" customHeight="1">
      <c r="A107" s="790"/>
      <c r="B107" s="266"/>
      <c r="C107" s="1399"/>
      <c r="D107" s="1408"/>
      <c r="E107" s="1400"/>
      <c r="F107" s="267"/>
      <c r="G107" s="1399"/>
      <c r="H107" s="1408"/>
      <c r="I107" s="1400"/>
      <c r="J107" s="1380"/>
      <c r="K107" s="1380"/>
      <c r="L107" s="1380"/>
      <c r="M107" s="790"/>
      <c r="N107" s="790"/>
      <c r="O107" s="790"/>
      <c r="P107" s="790"/>
      <c r="Q107" s="266"/>
      <c r="R107" s="266"/>
      <c r="S107" s="268"/>
      <c r="T107" s="269" t="e">
        <f>VLOOKUP(Q107,[71]Listas!$D$6:$E$10,2,0)</f>
        <v>#N/A</v>
      </c>
      <c r="U107" s="269" t="e">
        <f>HLOOKUP(R107,[71]Listas!$F$4:$J$5,2,0)</f>
        <v>#N/A</v>
      </c>
      <c r="V107" s="270" t="e">
        <f>INDEX([71]Listas!$F$6:$J$10,MATCH(Q107,[71]Listas!$D$6:$D$10,0),MATCH(R107,[71]Listas!$F$4:$J$4,0))</f>
        <v>#N/A</v>
      </c>
      <c r="W107" s="268"/>
      <c r="X107" s="1399"/>
      <c r="Y107" s="1408"/>
      <c r="Z107" s="1400"/>
      <c r="AA107" s="1063"/>
      <c r="AB107" s="267"/>
      <c r="AC107" s="259"/>
      <c r="AD107" s="790"/>
      <c r="AE107" s="267"/>
      <c r="AF107" s="268"/>
      <c r="AG107" s="269">
        <f t="shared" si="10"/>
        <v>0</v>
      </c>
      <c r="AH107" s="271" t="e">
        <f t="shared" si="11"/>
        <v>#N/A</v>
      </c>
      <c r="AI107" s="272" t="e">
        <f>IF(AH107&lt;=1,"Remota",VLOOKUP(AH107,[71]Listas!$C$6:$D$10,2,0))</f>
        <v>#N/A</v>
      </c>
      <c r="AJ107" s="271" t="e">
        <f t="shared" si="12"/>
        <v>#N/A</v>
      </c>
      <c r="AK107" s="272" t="e">
        <f>IF(AJ107&lt;=1,"Insignificante",HLOOKUP(AJ107,[71]Listas!$F$3:$J$4,2,0))</f>
        <v>#N/A</v>
      </c>
      <c r="AL107" s="273" t="e">
        <f t="shared" si="13"/>
        <v>#N/A</v>
      </c>
      <c r="AM107" s="270" t="e">
        <f>INDEX([71]Listas!$F$6:$J$10,MATCH(AI107,[71]Listas!$D$6:$D$10,0),MATCH(AK107,[71]Listas!$F$4:$J$4,0))</f>
        <v>#N/A</v>
      </c>
      <c r="AN107" s="259"/>
      <c r="AO107" s="259"/>
      <c r="AP107" s="794"/>
      <c r="AQ107" s="259"/>
      <c r="AR107" s="259" t="s">
        <v>2343</v>
      </c>
      <c r="AS107" s="790"/>
      <c r="AT107" s="259"/>
      <c r="AU107" s="259"/>
      <c r="AV107" s="261"/>
      <c r="AW107" s="261"/>
      <c r="AX107" s="790"/>
      <c r="AY107" s="262"/>
    </row>
    <row r="108" spans="1:51" s="260" customFormat="1" ht="103.5" hidden="1" customHeight="1">
      <c r="A108" s="790"/>
      <c r="B108" s="266"/>
      <c r="C108" s="1399"/>
      <c r="D108" s="1408"/>
      <c r="E108" s="1400"/>
      <c r="F108" s="267"/>
      <c r="G108" s="1399"/>
      <c r="H108" s="1408"/>
      <c r="I108" s="1400"/>
      <c r="J108" s="1380"/>
      <c r="K108" s="1380"/>
      <c r="L108" s="1380"/>
      <c r="M108" s="790"/>
      <c r="N108" s="790"/>
      <c r="O108" s="790"/>
      <c r="P108" s="790"/>
      <c r="Q108" s="266"/>
      <c r="R108" s="266"/>
      <c r="S108" s="268"/>
      <c r="T108" s="269" t="e">
        <f>VLOOKUP(Q108,[71]Listas!$D$6:$E$10,2,0)</f>
        <v>#N/A</v>
      </c>
      <c r="U108" s="269" t="e">
        <f>HLOOKUP(R108,[71]Listas!$F$4:$J$5,2,0)</f>
        <v>#N/A</v>
      </c>
      <c r="V108" s="270" t="e">
        <f>INDEX([71]Listas!$F$6:$J$10,MATCH(Q108,[71]Listas!$D$6:$D$10,0),MATCH(R108,[71]Listas!$F$4:$J$4,0))</f>
        <v>#N/A</v>
      </c>
      <c r="W108" s="268"/>
      <c r="X108" s="1399"/>
      <c r="Y108" s="1408"/>
      <c r="Z108" s="1400"/>
      <c r="AA108" s="1063"/>
      <c r="AB108" s="267"/>
      <c r="AC108" s="259"/>
      <c r="AD108" s="790"/>
      <c r="AE108" s="267"/>
      <c r="AF108" s="268"/>
      <c r="AG108" s="269">
        <f t="shared" si="10"/>
        <v>0</v>
      </c>
      <c r="AH108" s="271" t="e">
        <f t="shared" si="11"/>
        <v>#N/A</v>
      </c>
      <c r="AI108" s="272" t="e">
        <f>IF(AH108&lt;=1,"Remota",VLOOKUP(AH108,[71]Listas!$C$6:$D$10,2,0))</f>
        <v>#N/A</v>
      </c>
      <c r="AJ108" s="271" t="e">
        <f t="shared" si="12"/>
        <v>#N/A</v>
      </c>
      <c r="AK108" s="272" t="e">
        <f>IF(AJ108&lt;=1,"Insignificante",HLOOKUP(AJ108,[71]Listas!$F$3:$J$4,2,0))</f>
        <v>#N/A</v>
      </c>
      <c r="AL108" s="273" t="e">
        <f t="shared" si="13"/>
        <v>#N/A</v>
      </c>
      <c r="AM108" s="270" t="e">
        <f>INDEX([71]Listas!$F$6:$J$10,MATCH(AI108,[71]Listas!$D$6:$D$10,0),MATCH(AK108,[71]Listas!$F$4:$J$4,0))</f>
        <v>#N/A</v>
      </c>
      <c r="AN108" s="259"/>
      <c r="AO108" s="259"/>
      <c r="AP108" s="794"/>
      <c r="AQ108" s="259"/>
      <c r="AR108" s="259" t="s">
        <v>2343</v>
      </c>
      <c r="AS108" s="790"/>
      <c r="AT108" s="259"/>
      <c r="AU108" s="259"/>
      <c r="AV108" s="261"/>
      <c r="AW108" s="261"/>
      <c r="AX108" s="790"/>
      <c r="AY108" s="262"/>
    </row>
    <row r="109" spans="1:51" s="260" customFormat="1" ht="103.5" hidden="1" customHeight="1">
      <c r="A109" s="790"/>
      <c r="B109" s="266"/>
      <c r="C109" s="1399"/>
      <c r="D109" s="1408"/>
      <c r="E109" s="1400"/>
      <c r="F109" s="267"/>
      <c r="G109" s="1399"/>
      <c r="H109" s="1408"/>
      <c r="I109" s="1400"/>
      <c r="J109" s="1380"/>
      <c r="K109" s="1380"/>
      <c r="L109" s="1380"/>
      <c r="M109" s="790"/>
      <c r="N109" s="790"/>
      <c r="O109" s="790"/>
      <c r="P109" s="790"/>
      <c r="Q109" s="266"/>
      <c r="R109" s="266"/>
      <c r="S109" s="268"/>
      <c r="T109" s="269" t="e">
        <f>VLOOKUP(Q109,[71]Listas!$D$6:$E$10,2,0)</f>
        <v>#N/A</v>
      </c>
      <c r="U109" s="269" t="e">
        <f>HLOOKUP(R109,[71]Listas!$F$4:$J$5,2,0)</f>
        <v>#N/A</v>
      </c>
      <c r="V109" s="270" t="e">
        <f>INDEX([71]Listas!$F$6:$J$10,MATCH(Q109,[71]Listas!$D$6:$D$10,0),MATCH(R109,[71]Listas!$F$4:$J$4,0))</f>
        <v>#N/A</v>
      </c>
      <c r="W109" s="268"/>
      <c r="X109" s="1399"/>
      <c r="Y109" s="1408"/>
      <c r="Z109" s="1400"/>
      <c r="AA109" s="1063"/>
      <c r="AB109" s="267"/>
      <c r="AC109" s="259"/>
      <c r="AD109" s="790"/>
      <c r="AE109" s="267"/>
      <c r="AF109" s="268"/>
      <c r="AG109" s="269">
        <f t="shared" si="10"/>
        <v>0</v>
      </c>
      <c r="AH109" s="271" t="e">
        <f t="shared" si="11"/>
        <v>#N/A</v>
      </c>
      <c r="AI109" s="272" t="e">
        <f>IF(AH109&lt;=1,"Remota",VLOOKUP(AH109,[71]Listas!$C$6:$D$10,2,0))</f>
        <v>#N/A</v>
      </c>
      <c r="AJ109" s="271" t="e">
        <f t="shared" si="12"/>
        <v>#N/A</v>
      </c>
      <c r="AK109" s="272" t="e">
        <f>IF(AJ109&lt;=1,"Insignificante",HLOOKUP(AJ109,[71]Listas!$F$3:$J$4,2,0))</f>
        <v>#N/A</v>
      </c>
      <c r="AL109" s="273" t="e">
        <f t="shared" si="13"/>
        <v>#N/A</v>
      </c>
      <c r="AM109" s="270" t="e">
        <f>INDEX([71]Listas!$F$6:$J$10,MATCH(AI109,[71]Listas!$D$6:$D$10,0),MATCH(AK109,[71]Listas!$F$4:$J$4,0))</f>
        <v>#N/A</v>
      </c>
      <c r="AN109" s="259"/>
      <c r="AO109" s="259"/>
      <c r="AP109" s="794"/>
      <c r="AQ109" s="259"/>
      <c r="AR109" s="259" t="s">
        <v>2343</v>
      </c>
      <c r="AS109" s="790"/>
      <c r="AT109" s="259"/>
      <c r="AU109" s="259"/>
      <c r="AV109" s="261"/>
      <c r="AW109" s="261"/>
      <c r="AX109" s="790"/>
      <c r="AY109" s="262"/>
    </row>
    <row r="110" spans="1:51" s="260" customFormat="1" ht="103.5" hidden="1" customHeight="1">
      <c r="A110" s="790"/>
      <c r="B110" s="266"/>
      <c r="C110" s="1399"/>
      <c r="D110" s="1408"/>
      <c r="E110" s="1400"/>
      <c r="F110" s="267"/>
      <c r="G110" s="1399"/>
      <c r="H110" s="1408"/>
      <c r="I110" s="1400"/>
      <c r="J110" s="1380"/>
      <c r="K110" s="1380"/>
      <c r="L110" s="1380"/>
      <c r="M110" s="790"/>
      <c r="N110" s="790"/>
      <c r="O110" s="790"/>
      <c r="P110" s="790"/>
      <c r="Q110" s="266"/>
      <c r="R110" s="266"/>
      <c r="S110" s="268"/>
      <c r="T110" s="269" t="e">
        <f>VLOOKUP(Q110,[71]Listas!$D$6:$E$10,2,0)</f>
        <v>#N/A</v>
      </c>
      <c r="U110" s="269" t="e">
        <f>HLOOKUP(R110,[71]Listas!$F$4:$J$5,2,0)</f>
        <v>#N/A</v>
      </c>
      <c r="V110" s="270" t="e">
        <f>INDEX([71]Listas!$F$6:$J$10,MATCH(Q110,[71]Listas!$D$6:$D$10,0),MATCH(R110,[71]Listas!$F$4:$J$4,0))</f>
        <v>#N/A</v>
      </c>
      <c r="W110" s="268"/>
      <c r="X110" s="1399"/>
      <c r="Y110" s="1408"/>
      <c r="Z110" s="1400"/>
      <c r="AA110" s="1063"/>
      <c r="AB110" s="267"/>
      <c r="AC110" s="259"/>
      <c r="AD110" s="790"/>
      <c r="AE110" s="267"/>
      <c r="AF110" s="268"/>
      <c r="AG110" s="269">
        <f t="shared" si="10"/>
        <v>0</v>
      </c>
      <c r="AH110" s="271" t="e">
        <f t="shared" si="11"/>
        <v>#N/A</v>
      </c>
      <c r="AI110" s="272" t="e">
        <f>IF(AH110&lt;=1,"Remota",VLOOKUP(AH110,[71]Listas!$C$6:$D$10,2,0))</f>
        <v>#N/A</v>
      </c>
      <c r="AJ110" s="271" t="e">
        <f t="shared" si="12"/>
        <v>#N/A</v>
      </c>
      <c r="AK110" s="272" t="e">
        <f>IF(AJ110&lt;=1,"Insignificante",HLOOKUP(AJ110,[71]Listas!$F$3:$J$4,2,0))</f>
        <v>#N/A</v>
      </c>
      <c r="AL110" s="273" t="e">
        <f t="shared" si="13"/>
        <v>#N/A</v>
      </c>
      <c r="AM110" s="270" t="e">
        <f>INDEX([71]Listas!$F$6:$J$10,MATCH(AI110,[71]Listas!$D$6:$D$10,0),MATCH(AK110,[71]Listas!$F$4:$J$4,0))</f>
        <v>#N/A</v>
      </c>
      <c r="AN110" s="259"/>
      <c r="AO110" s="259"/>
      <c r="AP110" s="794"/>
      <c r="AQ110" s="259"/>
      <c r="AR110" s="259" t="s">
        <v>2343</v>
      </c>
      <c r="AS110" s="790"/>
      <c r="AT110" s="259"/>
      <c r="AU110" s="259"/>
      <c r="AV110" s="261"/>
      <c r="AW110" s="261"/>
      <c r="AX110" s="790"/>
      <c r="AY110" s="262"/>
    </row>
    <row r="111" spans="1:51" s="260" customFormat="1" ht="103.5" hidden="1" customHeight="1">
      <c r="A111" s="790"/>
      <c r="B111" s="266"/>
      <c r="C111" s="1399"/>
      <c r="D111" s="1408"/>
      <c r="E111" s="1400"/>
      <c r="F111" s="267"/>
      <c r="G111" s="1399"/>
      <c r="H111" s="1408"/>
      <c r="I111" s="1400"/>
      <c r="J111" s="1380"/>
      <c r="K111" s="1380"/>
      <c r="L111" s="1380"/>
      <c r="M111" s="790"/>
      <c r="N111" s="790"/>
      <c r="O111" s="790"/>
      <c r="P111" s="790"/>
      <c r="Q111" s="266"/>
      <c r="R111" s="266"/>
      <c r="S111" s="268"/>
      <c r="T111" s="269" t="e">
        <f>VLOOKUP(Q111,[71]Listas!$D$6:$E$10,2,0)</f>
        <v>#N/A</v>
      </c>
      <c r="U111" s="269" t="e">
        <f>HLOOKUP(R111,[71]Listas!$F$4:$J$5,2,0)</f>
        <v>#N/A</v>
      </c>
      <c r="V111" s="270" t="e">
        <f>INDEX([71]Listas!$F$6:$J$10,MATCH(Q111,[71]Listas!$D$6:$D$10,0),MATCH(R111,[71]Listas!$F$4:$J$4,0))</f>
        <v>#N/A</v>
      </c>
      <c r="W111" s="268"/>
      <c r="X111" s="1399"/>
      <c r="Y111" s="1408"/>
      <c r="Z111" s="1400"/>
      <c r="AA111" s="1063"/>
      <c r="AB111" s="267"/>
      <c r="AC111" s="259"/>
      <c r="AD111" s="790"/>
      <c r="AE111" s="267"/>
      <c r="AF111" s="268"/>
      <c r="AG111" s="269">
        <f t="shared" si="10"/>
        <v>0</v>
      </c>
      <c r="AH111" s="271" t="e">
        <f t="shared" si="11"/>
        <v>#N/A</v>
      </c>
      <c r="AI111" s="272" t="e">
        <f>IF(AH111&lt;=1,"Remota",VLOOKUP(AH111,[71]Listas!$C$6:$D$10,2,0))</f>
        <v>#N/A</v>
      </c>
      <c r="AJ111" s="271" t="e">
        <f t="shared" si="12"/>
        <v>#N/A</v>
      </c>
      <c r="AK111" s="272" t="e">
        <f>IF(AJ111&lt;=1,"Insignificante",HLOOKUP(AJ111,[71]Listas!$F$3:$J$4,2,0))</f>
        <v>#N/A</v>
      </c>
      <c r="AL111" s="273" t="e">
        <f t="shared" si="13"/>
        <v>#N/A</v>
      </c>
      <c r="AM111" s="270" t="e">
        <f>INDEX([71]Listas!$F$6:$J$10,MATCH(AI111,[71]Listas!$D$6:$D$10,0),MATCH(AK111,[71]Listas!$F$4:$J$4,0))</f>
        <v>#N/A</v>
      </c>
      <c r="AN111" s="259"/>
      <c r="AO111" s="259"/>
      <c r="AP111" s="794"/>
      <c r="AQ111" s="259"/>
      <c r="AR111" s="259" t="s">
        <v>2343</v>
      </c>
      <c r="AS111" s="790"/>
      <c r="AT111" s="259"/>
      <c r="AU111" s="259"/>
      <c r="AV111" s="261"/>
      <c r="AW111" s="261"/>
      <c r="AX111" s="790"/>
      <c r="AY111" s="262"/>
    </row>
    <row r="112" spans="1:51" s="260" customFormat="1" ht="103.5" hidden="1" customHeight="1">
      <c r="A112" s="790"/>
      <c r="B112" s="266"/>
      <c r="C112" s="1399"/>
      <c r="D112" s="1408"/>
      <c r="E112" s="1400"/>
      <c r="F112" s="267"/>
      <c r="G112" s="1399"/>
      <c r="H112" s="1408"/>
      <c r="I112" s="1400"/>
      <c r="J112" s="1380"/>
      <c r="K112" s="1380"/>
      <c r="L112" s="1380"/>
      <c r="M112" s="790"/>
      <c r="N112" s="790"/>
      <c r="O112" s="790"/>
      <c r="P112" s="790"/>
      <c r="Q112" s="266"/>
      <c r="R112" s="266"/>
      <c r="S112" s="268"/>
      <c r="T112" s="269" t="e">
        <f>VLOOKUP(Q112,[71]Listas!$D$6:$E$10,2,0)</f>
        <v>#N/A</v>
      </c>
      <c r="U112" s="269" t="e">
        <f>HLOOKUP(R112,[71]Listas!$F$4:$J$5,2,0)</f>
        <v>#N/A</v>
      </c>
      <c r="V112" s="270" t="e">
        <f>INDEX([71]Listas!$F$6:$J$10,MATCH(Q112,[71]Listas!$D$6:$D$10,0),MATCH(R112,[71]Listas!$F$4:$J$4,0))</f>
        <v>#N/A</v>
      </c>
      <c r="W112" s="268"/>
      <c r="X112" s="1399"/>
      <c r="Y112" s="1408"/>
      <c r="Z112" s="1400"/>
      <c r="AA112" s="1063"/>
      <c r="AB112" s="267"/>
      <c r="AC112" s="259"/>
      <c r="AD112" s="790"/>
      <c r="AE112" s="267"/>
      <c r="AF112" s="268"/>
      <c r="AG112" s="269">
        <f t="shared" si="10"/>
        <v>0</v>
      </c>
      <c r="AH112" s="271" t="e">
        <f t="shared" si="11"/>
        <v>#N/A</v>
      </c>
      <c r="AI112" s="272" t="e">
        <f>IF(AH112&lt;=1,"Remota",VLOOKUP(AH112,[71]Listas!$C$6:$D$10,2,0))</f>
        <v>#N/A</v>
      </c>
      <c r="AJ112" s="271" t="e">
        <f t="shared" si="12"/>
        <v>#N/A</v>
      </c>
      <c r="AK112" s="272" t="e">
        <f>IF(AJ112&lt;=1,"Insignificante",HLOOKUP(AJ112,[71]Listas!$F$3:$J$4,2,0))</f>
        <v>#N/A</v>
      </c>
      <c r="AL112" s="273" t="e">
        <f t="shared" si="13"/>
        <v>#N/A</v>
      </c>
      <c r="AM112" s="270" t="e">
        <f>INDEX([71]Listas!$F$6:$J$10,MATCH(AI112,[71]Listas!$D$6:$D$10,0),MATCH(AK112,[71]Listas!$F$4:$J$4,0))</f>
        <v>#N/A</v>
      </c>
      <c r="AN112" s="259"/>
      <c r="AO112" s="259"/>
      <c r="AP112" s="794"/>
      <c r="AQ112" s="259"/>
      <c r="AR112" s="259" t="s">
        <v>2343</v>
      </c>
      <c r="AS112" s="790"/>
      <c r="AT112" s="259"/>
      <c r="AU112" s="259"/>
      <c r="AV112" s="261"/>
      <c r="AW112" s="261"/>
      <c r="AX112" s="790"/>
      <c r="AY112" s="262"/>
    </row>
    <row r="113" spans="1:51" s="260" customFormat="1" ht="103.5" hidden="1" customHeight="1">
      <c r="A113" s="790"/>
      <c r="B113" s="266"/>
      <c r="C113" s="1399"/>
      <c r="D113" s="1408"/>
      <c r="E113" s="1400"/>
      <c r="F113" s="267"/>
      <c r="G113" s="1399"/>
      <c r="H113" s="1408"/>
      <c r="I113" s="1400"/>
      <c r="J113" s="1380"/>
      <c r="K113" s="1380"/>
      <c r="L113" s="1380"/>
      <c r="M113" s="790"/>
      <c r="N113" s="790"/>
      <c r="O113" s="790"/>
      <c r="P113" s="790"/>
      <c r="Q113" s="266"/>
      <c r="R113" s="266"/>
      <c r="S113" s="268"/>
      <c r="T113" s="269" t="e">
        <f>VLOOKUP(Q113,[71]Listas!$D$6:$E$10,2,0)</f>
        <v>#N/A</v>
      </c>
      <c r="U113" s="269" t="e">
        <f>HLOOKUP(R113,[71]Listas!$F$4:$J$5,2,0)</f>
        <v>#N/A</v>
      </c>
      <c r="V113" s="270" t="e">
        <f>INDEX([71]Listas!$F$6:$J$10,MATCH(Q113,[71]Listas!$D$6:$D$10,0),MATCH(R113,[71]Listas!$F$4:$J$4,0))</f>
        <v>#N/A</v>
      </c>
      <c r="W113" s="268"/>
      <c r="X113" s="1399"/>
      <c r="Y113" s="1408"/>
      <c r="Z113" s="1400"/>
      <c r="AA113" s="1063"/>
      <c r="AB113" s="267"/>
      <c r="AC113" s="259"/>
      <c r="AD113" s="790"/>
      <c r="AE113" s="267"/>
      <c r="AF113" s="268"/>
      <c r="AG113" s="269">
        <f t="shared" si="10"/>
        <v>0</v>
      </c>
      <c r="AH113" s="271" t="e">
        <f t="shared" si="11"/>
        <v>#N/A</v>
      </c>
      <c r="AI113" s="272" t="e">
        <f>IF(AH113&lt;=1,"Remota",VLOOKUP(AH113,[71]Listas!$C$6:$D$10,2,0))</f>
        <v>#N/A</v>
      </c>
      <c r="AJ113" s="271" t="e">
        <f t="shared" si="12"/>
        <v>#N/A</v>
      </c>
      <c r="AK113" s="272" t="e">
        <f>IF(AJ113&lt;=1,"Insignificante",HLOOKUP(AJ113,[71]Listas!$F$3:$J$4,2,0))</f>
        <v>#N/A</v>
      </c>
      <c r="AL113" s="273" t="e">
        <f t="shared" si="13"/>
        <v>#N/A</v>
      </c>
      <c r="AM113" s="270" t="e">
        <f>INDEX([71]Listas!$F$6:$J$10,MATCH(AI113,[71]Listas!$D$6:$D$10,0),MATCH(AK113,[71]Listas!$F$4:$J$4,0))</f>
        <v>#N/A</v>
      </c>
      <c r="AN113" s="259"/>
      <c r="AO113" s="259"/>
      <c r="AP113" s="794"/>
      <c r="AQ113" s="259"/>
      <c r="AR113" s="259" t="s">
        <v>2343</v>
      </c>
      <c r="AS113" s="790"/>
      <c r="AT113" s="259"/>
      <c r="AU113" s="259"/>
      <c r="AV113" s="261"/>
      <c r="AW113" s="261"/>
      <c r="AX113" s="790"/>
      <c r="AY113" s="262"/>
    </row>
    <row r="114" spans="1:51" s="260" customFormat="1" ht="103.5" hidden="1" customHeight="1">
      <c r="A114" s="790"/>
      <c r="B114" s="266"/>
      <c r="C114" s="1399"/>
      <c r="D114" s="1408"/>
      <c r="E114" s="1400"/>
      <c r="F114" s="267"/>
      <c r="G114" s="1399"/>
      <c r="H114" s="1408"/>
      <c r="I114" s="1400"/>
      <c r="J114" s="1380"/>
      <c r="K114" s="1380"/>
      <c r="L114" s="1380"/>
      <c r="M114" s="790"/>
      <c r="N114" s="790"/>
      <c r="O114" s="790"/>
      <c r="P114" s="790"/>
      <c r="Q114" s="266"/>
      <c r="R114" s="266"/>
      <c r="S114" s="268"/>
      <c r="T114" s="269" t="e">
        <f>VLOOKUP(Q114,[71]Listas!$D$6:$E$10,2,0)</f>
        <v>#N/A</v>
      </c>
      <c r="U114" s="269" t="e">
        <f>HLOOKUP(R114,[71]Listas!$F$4:$J$5,2,0)</f>
        <v>#N/A</v>
      </c>
      <c r="V114" s="270" t="e">
        <f>INDEX([71]Listas!$F$6:$J$10,MATCH(Q114,[71]Listas!$D$6:$D$10,0),MATCH(R114,[71]Listas!$F$4:$J$4,0))</f>
        <v>#N/A</v>
      </c>
      <c r="W114" s="268"/>
      <c r="X114" s="1399"/>
      <c r="Y114" s="1408"/>
      <c r="Z114" s="1400"/>
      <c r="AA114" s="1063"/>
      <c r="AB114" s="267"/>
      <c r="AC114" s="259"/>
      <c r="AD114" s="790"/>
      <c r="AE114" s="267"/>
      <c r="AF114" s="268"/>
      <c r="AG114" s="269">
        <f t="shared" si="10"/>
        <v>0</v>
      </c>
      <c r="AH114" s="271" t="e">
        <f t="shared" si="11"/>
        <v>#N/A</v>
      </c>
      <c r="AI114" s="272" t="e">
        <f>IF(AH114&lt;=1,"Remota",VLOOKUP(AH114,[71]Listas!$C$6:$D$10,2,0))</f>
        <v>#N/A</v>
      </c>
      <c r="AJ114" s="271" t="e">
        <f t="shared" si="12"/>
        <v>#N/A</v>
      </c>
      <c r="AK114" s="272" t="e">
        <f>IF(AJ114&lt;=1,"Insignificante",HLOOKUP(AJ114,[71]Listas!$F$3:$J$4,2,0))</f>
        <v>#N/A</v>
      </c>
      <c r="AL114" s="273" t="e">
        <f t="shared" si="13"/>
        <v>#N/A</v>
      </c>
      <c r="AM114" s="270" t="e">
        <f>INDEX([71]Listas!$F$6:$J$10,MATCH(AI114,[71]Listas!$D$6:$D$10,0),MATCH(AK114,[71]Listas!$F$4:$J$4,0))</f>
        <v>#N/A</v>
      </c>
      <c r="AN114" s="259"/>
      <c r="AO114" s="259"/>
      <c r="AP114" s="794"/>
      <c r="AQ114" s="259"/>
      <c r="AR114" s="259" t="s">
        <v>2343</v>
      </c>
      <c r="AS114" s="790"/>
      <c r="AT114" s="259"/>
      <c r="AU114" s="259"/>
      <c r="AV114" s="261"/>
      <c r="AW114" s="261"/>
      <c r="AX114" s="790"/>
      <c r="AY114" s="262"/>
    </row>
    <row r="115" spans="1:51" s="260" customFormat="1" ht="103.5" hidden="1" customHeight="1">
      <c r="A115" s="790"/>
      <c r="B115" s="266"/>
      <c r="C115" s="1399"/>
      <c r="D115" s="1408"/>
      <c r="E115" s="1400"/>
      <c r="F115" s="267"/>
      <c r="G115" s="1399"/>
      <c r="H115" s="1408"/>
      <c r="I115" s="1400"/>
      <c r="J115" s="1380"/>
      <c r="K115" s="1380"/>
      <c r="L115" s="1380"/>
      <c r="M115" s="790"/>
      <c r="N115" s="790"/>
      <c r="O115" s="790"/>
      <c r="P115" s="790"/>
      <c r="Q115" s="266"/>
      <c r="R115" s="266"/>
      <c r="S115" s="268"/>
      <c r="T115" s="269" t="e">
        <f>VLOOKUP(Q115,[71]Listas!$D$6:$E$10,2,0)</f>
        <v>#N/A</v>
      </c>
      <c r="U115" s="269" t="e">
        <f>HLOOKUP(R115,[71]Listas!$F$4:$J$5,2,0)</f>
        <v>#N/A</v>
      </c>
      <c r="V115" s="270" t="e">
        <f>INDEX([71]Listas!$F$6:$J$10,MATCH(Q115,[71]Listas!$D$6:$D$10,0),MATCH(R115,[71]Listas!$F$4:$J$4,0))</f>
        <v>#N/A</v>
      </c>
      <c r="W115" s="268"/>
      <c r="X115" s="1399"/>
      <c r="Y115" s="1408"/>
      <c r="Z115" s="1400"/>
      <c r="AA115" s="1063"/>
      <c r="AB115" s="267"/>
      <c r="AC115" s="259"/>
      <c r="AD115" s="790"/>
      <c r="AE115" s="267"/>
      <c r="AF115" s="268"/>
      <c r="AG115" s="269">
        <f t="shared" si="10"/>
        <v>0</v>
      </c>
      <c r="AH115" s="271" t="e">
        <f t="shared" si="11"/>
        <v>#N/A</v>
      </c>
      <c r="AI115" s="272" t="e">
        <f>IF(AH115&lt;=1,"Remota",VLOOKUP(AH115,[71]Listas!$C$6:$D$10,2,0))</f>
        <v>#N/A</v>
      </c>
      <c r="AJ115" s="271" t="e">
        <f t="shared" si="12"/>
        <v>#N/A</v>
      </c>
      <c r="AK115" s="272" t="e">
        <f>IF(AJ115&lt;=1,"Insignificante",HLOOKUP(AJ115,[71]Listas!$F$3:$J$4,2,0))</f>
        <v>#N/A</v>
      </c>
      <c r="AL115" s="273" t="e">
        <f t="shared" si="13"/>
        <v>#N/A</v>
      </c>
      <c r="AM115" s="270" t="e">
        <f>INDEX([71]Listas!$F$6:$J$10,MATCH(AI115,[71]Listas!$D$6:$D$10,0),MATCH(AK115,[71]Listas!$F$4:$J$4,0))</f>
        <v>#N/A</v>
      </c>
      <c r="AN115" s="259"/>
      <c r="AO115" s="259"/>
      <c r="AP115" s="794"/>
      <c r="AQ115" s="259"/>
      <c r="AR115" s="259" t="s">
        <v>2343</v>
      </c>
      <c r="AS115" s="790"/>
      <c r="AT115" s="259"/>
      <c r="AU115" s="259"/>
      <c r="AV115" s="261"/>
      <c r="AW115" s="261"/>
      <c r="AX115" s="790"/>
      <c r="AY115" s="262"/>
    </row>
    <row r="116" spans="1:51" s="260" customFormat="1" ht="103.5" hidden="1" customHeight="1">
      <c r="A116" s="790"/>
      <c r="B116" s="266"/>
      <c r="C116" s="1399"/>
      <c r="D116" s="1408"/>
      <c r="E116" s="1400"/>
      <c r="F116" s="267"/>
      <c r="G116" s="1399"/>
      <c r="H116" s="1408"/>
      <c r="I116" s="1400"/>
      <c r="J116" s="1380"/>
      <c r="K116" s="1380"/>
      <c r="L116" s="1380"/>
      <c r="M116" s="790"/>
      <c r="N116" s="790"/>
      <c r="O116" s="790"/>
      <c r="P116" s="790"/>
      <c r="Q116" s="266"/>
      <c r="R116" s="266"/>
      <c r="S116" s="268"/>
      <c r="T116" s="269" t="e">
        <f>VLOOKUP(Q116,[71]Listas!$D$6:$E$10,2,0)</f>
        <v>#N/A</v>
      </c>
      <c r="U116" s="269" t="e">
        <f>HLOOKUP(R116,[71]Listas!$F$4:$J$5,2,0)</f>
        <v>#N/A</v>
      </c>
      <c r="V116" s="270" t="e">
        <f>INDEX([71]Listas!$F$6:$J$10,MATCH(Q116,[71]Listas!$D$6:$D$10,0),MATCH(R116,[71]Listas!$F$4:$J$4,0))</f>
        <v>#N/A</v>
      </c>
      <c r="W116" s="268"/>
      <c r="X116" s="1399"/>
      <c r="Y116" s="1408"/>
      <c r="Z116" s="1400"/>
      <c r="AA116" s="1063"/>
      <c r="AB116" s="267"/>
      <c r="AC116" s="259"/>
      <c r="AD116" s="790"/>
      <c r="AE116" s="267"/>
      <c r="AF116" s="268"/>
      <c r="AG116" s="269">
        <f t="shared" si="10"/>
        <v>0</v>
      </c>
      <c r="AH116" s="271" t="e">
        <f t="shared" si="11"/>
        <v>#N/A</v>
      </c>
      <c r="AI116" s="272" t="e">
        <f>IF(AH116&lt;=1,"Remota",VLOOKUP(AH116,[71]Listas!$C$6:$D$10,2,0))</f>
        <v>#N/A</v>
      </c>
      <c r="AJ116" s="271" t="e">
        <f t="shared" si="12"/>
        <v>#N/A</v>
      </c>
      <c r="AK116" s="272" t="e">
        <f>IF(AJ116&lt;=1,"Insignificante",HLOOKUP(AJ116,[71]Listas!$F$3:$J$4,2,0))</f>
        <v>#N/A</v>
      </c>
      <c r="AL116" s="273" t="e">
        <f t="shared" si="13"/>
        <v>#N/A</v>
      </c>
      <c r="AM116" s="270" t="e">
        <f>INDEX([71]Listas!$F$6:$J$10,MATCH(AI116,[71]Listas!$D$6:$D$10,0),MATCH(AK116,[71]Listas!$F$4:$J$4,0))</f>
        <v>#N/A</v>
      </c>
      <c r="AN116" s="259"/>
      <c r="AO116" s="259"/>
      <c r="AP116" s="794"/>
      <c r="AQ116" s="259"/>
      <c r="AR116" s="259" t="s">
        <v>2343</v>
      </c>
      <c r="AS116" s="790"/>
      <c r="AT116" s="259"/>
      <c r="AU116" s="259"/>
      <c r="AV116" s="261"/>
      <c r="AW116" s="261"/>
      <c r="AX116" s="790"/>
      <c r="AY116" s="262"/>
    </row>
    <row r="117" spans="1:51" s="260" customFormat="1" ht="103.5" hidden="1" customHeight="1">
      <c r="A117" s="790"/>
      <c r="B117" s="266"/>
      <c r="C117" s="1399"/>
      <c r="D117" s="1408"/>
      <c r="E117" s="1400"/>
      <c r="F117" s="267"/>
      <c r="G117" s="1399"/>
      <c r="H117" s="1408"/>
      <c r="I117" s="1400"/>
      <c r="J117" s="1380"/>
      <c r="K117" s="1380"/>
      <c r="L117" s="1380"/>
      <c r="M117" s="790"/>
      <c r="N117" s="790"/>
      <c r="O117" s="790"/>
      <c r="P117" s="790"/>
      <c r="Q117" s="266"/>
      <c r="R117" s="266"/>
      <c r="S117" s="268"/>
      <c r="T117" s="269" t="e">
        <f>VLOOKUP(Q117,[71]Listas!$D$6:$E$10,2,0)</f>
        <v>#N/A</v>
      </c>
      <c r="U117" s="269" t="e">
        <f>HLOOKUP(R117,[71]Listas!$F$4:$J$5,2,0)</f>
        <v>#N/A</v>
      </c>
      <c r="V117" s="270" t="e">
        <f>INDEX([71]Listas!$F$6:$J$10,MATCH(Q117,[71]Listas!$D$6:$D$10,0),MATCH(R117,[71]Listas!$F$4:$J$4,0))</f>
        <v>#N/A</v>
      </c>
      <c r="W117" s="268"/>
      <c r="X117" s="1399"/>
      <c r="Y117" s="1408"/>
      <c r="Z117" s="1400"/>
      <c r="AA117" s="1063"/>
      <c r="AB117" s="267"/>
      <c r="AC117" s="259"/>
      <c r="AD117" s="790"/>
      <c r="AE117" s="267"/>
      <c r="AF117" s="268"/>
      <c r="AG117" s="269">
        <f t="shared" si="10"/>
        <v>0</v>
      </c>
      <c r="AH117" s="271" t="e">
        <f t="shared" si="11"/>
        <v>#N/A</v>
      </c>
      <c r="AI117" s="272" t="e">
        <f>IF(AH117&lt;=1,"Remota",VLOOKUP(AH117,[71]Listas!$C$6:$D$10,2,0))</f>
        <v>#N/A</v>
      </c>
      <c r="AJ117" s="271" t="e">
        <f t="shared" si="12"/>
        <v>#N/A</v>
      </c>
      <c r="AK117" s="272" t="e">
        <f>IF(AJ117&lt;=1,"Insignificante",HLOOKUP(AJ117,[71]Listas!$F$3:$J$4,2,0))</f>
        <v>#N/A</v>
      </c>
      <c r="AL117" s="273" t="e">
        <f t="shared" si="13"/>
        <v>#N/A</v>
      </c>
      <c r="AM117" s="270" t="e">
        <f>INDEX([71]Listas!$F$6:$J$10,MATCH(AI117,[71]Listas!$D$6:$D$10,0),MATCH(AK117,[71]Listas!$F$4:$J$4,0))</f>
        <v>#N/A</v>
      </c>
      <c r="AN117" s="259"/>
      <c r="AO117" s="259"/>
      <c r="AP117" s="794"/>
      <c r="AQ117" s="259"/>
      <c r="AR117" s="259" t="s">
        <v>2343</v>
      </c>
      <c r="AS117" s="790"/>
      <c r="AT117" s="259"/>
      <c r="AU117" s="259"/>
      <c r="AV117" s="261"/>
      <c r="AW117" s="261"/>
      <c r="AX117" s="790"/>
      <c r="AY117" s="262"/>
    </row>
    <row r="118" spans="1:51" s="260" customFormat="1" ht="103.5" hidden="1" customHeight="1">
      <c r="A118" s="790"/>
      <c r="B118" s="266"/>
      <c r="C118" s="1399"/>
      <c r="D118" s="1408"/>
      <c r="E118" s="1400"/>
      <c r="F118" s="267"/>
      <c r="G118" s="1399"/>
      <c r="H118" s="1408"/>
      <c r="I118" s="1400"/>
      <c r="J118" s="1380"/>
      <c r="K118" s="1380"/>
      <c r="L118" s="1380"/>
      <c r="M118" s="790"/>
      <c r="N118" s="790"/>
      <c r="O118" s="790"/>
      <c r="P118" s="790"/>
      <c r="Q118" s="266"/>
      <c r="R118" s="266"/>
      <c r="S118" s="268"/>
      <c r="T118" s="269" t="e">
        <f>VLOOKUP(Q118,[71]Listas!$D$6:$E$10,2,0)</f>
        <v>#N/A</v>
      </c>
      <c r="U118" s="269" t="e">
        <f>HLOOKUP(R118,[71]Listas!$F$4:$J$5,2,0)</f>
        <v>#N/A</v>
      </c>
      <c r="V118" s="270" t="e">
        <f>INDEX([71]Listas!$F$6:$J$10,MATCH(Q118,[71]Listas!$D$6:$D$10,0),MATCH(R118,[71]Listas!$F$4:$J$4,0))</f>
        <v>#N/A</v>
      </c>
      <c r="W118" s="268"/>
      <c r="X118" s="1399"/>
      <c r="Y118" s="1408"/>
      <c r="Z118" s="1400"/>
      <c r="AA118" s="1063"/>
      <c r="AB118" s="267"/>
      <c r="AC118" s="259"/>
      <c r="AD118" s="790"/>
      <c r="AE118" s="267"/>
      <c r="AF118" s="268"/>
      <c r="AG118" s="269">
        <f t="shared" si="10"/>
        <v>0</v>
      </c>
      <c r="AH118" s="271" t="e">
        <f t="shared" si="11"/>
        <v>#N/A</v>
      </c>
      <c r="AI118" s="272" t="e">
        <f>IF(AH118&lt;=1,"Remota",VLOOKUP(AH118,[71]Listas!$C$6:$D$10,2,0))</f>
        <v>#N/A</v>
      </c>
      <c r="AJ118" s="271" t="e">
        <f t="shared" si="12"/>
        <v>#N/A</v>
      </c>
      <c r="AK118" s="272" t="e">
        <f>IF(AJ118&lt;=1,"Insignificante",HLOOKUP(AJ118,[71]Listas!$F$3:$J$4,2,0))</f>
        <v>#N/A</v>
      </c>
      <c r="AL118" s="273" t="e">
        <f t="shared" si="13"/>
        <v>#N/A</v>
      </c>
      <c r="AM118" s="270" t="e">
        <f>INDEX([71]Listas!$F$6:$J$10,MATCH(AI118,[71]Listas!$D$6:$D$10,0),MATCH(AK118,[71]Listas!$F$4:$J$4,0))</f>
        <v>#N/A</v>
      </c>
      <c r="AN118" s="259"/>
      <c r="AO118" s="259"/>
      <c r="AP118" s="794"/>
      <c r="AQ118" s="259"/>
      <c r="AR118" s="259" t="s">
        <v>2343</v>
      </c>
      <c r="AS118" s="790"/>
      <c r="AT118" s="259"/>
      <c r="AU118" s="259"/>
      <c r="AV118" s="261"/>
      <c r="AW118" s="261"/>
      <c r="AX118" s="790"/>
      <c r="AY118" s="262"/>
    </row>
    <row r="119" spans="1:51" s="260" customFormat="1" ht="103.5" hidden="1" customHeight="1">
      <c r="A119" s="790"/>
      <c r="B119" s="266"/>
      <c r="C119" s="1399"/>
      <c r="D119" s="1408"/>
      <c r="E119" s="1400"/>
      <c r="F119" s="267"/>
      <c r="G119" s="1399"/>
      <c r="H119" s="1408"/>
      <c r="I119" s="1400"/>
      <c r="J119" s="1380"/>
      <c r="K119" s="1380"/>
      <c r="L119" s="1380"/>
      <c r="M119" s="790"/>
      <c r="N119" s="790"/>
      <c r="O119" s="790"/>
      <c r="P119" s="790"/>
      <c r="Q119" s="266"/>
      <c r="R119" s="266"/>
      <c r="S119" s="268"/>
      <c r="T119" s="269" t="e">
        <f>VLOOKUP(Q119,[71]Listas!$D$6:$E$10,2,0)</f>
        <v>#N/A</v>
      </c>
      <c r="U119" s="269" t="e">
        <f>HLOOKUP(R119,[71]Listas!$F$4:$J$5,2,0)</f>
        <v>#N/A</v>
      </c>
      <c r="V119" s="270" t="e">
        <f>INDEX([71]Listas!$F$6:$J$10,MATCH(Q119,[71]Listas!$D$6:$D$10,0),MATCH(R119,[71]Listas!$F$4:$J$4,0))</f>
        <v>#N/A</v>
      </c>
      <c r="W119" s="268"/>
      <c r="X119" s="1399"/>
      <c r="Y119" s="1408"/>
      <c r="Z119" s="1400"/>
      <c r="AA119" s="1063"/>
      <c r="AB119" s="267"/>
      <c r="AC119" s="259"/>
      <c r="AD119" s="790"/>
      <c r="AE119" s="267"/>
      <c r="AF119" s="268"/>
      <c r="AG119" s="269">
        <f t="shared" si="10"/>
        <v>0</v>
      </c>
      <c r="AH119" s="271" t="e">
        <f t="shared" si="11"/>
        <v>#N/A</v>
      </c>
      <c r="AI119" s="272" t="e">
        <f>IF(AH119&lt;=1,"Remota",VLOOKUP(AH119,[71]Listas!$C$6:$D$10,2,0))</f>
        <v>#N/A</v>
      </c>
      <c r="AJ119" s="271" t="e">
        <f t="shared" si="12"/>
        <v>#N/A</v>
      </c>
      <c r="AK119" s="272" t="e">
        <f>IF(AJ119&lt;=1,"Insignificante",HLOOKUP(AJ119,[71]Listas!$F$3:$J$4,2,0))</f>
        <v>#N/A</v>
      </c>
      <c r="AL119" s="273" t="e">
        <f t="shared" si="13"/>
        <v>#N/A</v>
      </c>
      <c r="AM119" s="270" t="e">
        <f>INDEX([71]Listas!$F$6:$J$10,MATCH(AI119,[71]Listas!$D$6:$D$10,0),MATCH(AK119,[71]Listas!$F$4:$J$4,0))</f>
        <v>#N/A</v>
      </c>
      <c r="AN119" s="259"/>
      <c r="AO119" s="259"/>
      <c r="AP119" s="794"/>
      <c r="AQ119" s="259"/>
      <c r="AR119" s="259" t="s">
        <v>2343</v>
      </c>
      <c r="AS119" s="790"/>
      <c r="AT119" s="259"/>
      <c r="AU119" s="259"/>
      <c r="AV119" s="261"/>
      <c r="AW119" s="261"/>
      <c r="AX119" s="790"/>
      <c r="AY119" s="262"/>
    </row>
    <row r="120" spans="1:51" s="260" customFormat="1" ht="103.5" hidden="1" customHeight="1">
      <c r="A120" s="790"/>
      <c r="B120" s="266"/>
      <c r="C120" s="1399"/>
      <c r="D120" s="1408"/>
      <c r="E120" s="1400"/>
      <c r="F120" s="267"/>
      <c r="G120" s="1399"/>
      <c r="H120" s="1408"/>
      <c r="I120" s="1400"/>
      <c r="J120" s="1380"/>
      <c r="K120" s="1380"/>
      <c r="L120" s="1380"/>
      <c r="M120" s="790"/>
      <c r="N120" s="790"/>
      <c r="O120" s="790"/>
      <c r="P120" s="790"/>
      <c r="Q120" s="266"/>
      <c r="R120" s="266"/>
      <c r="S120" s="268"/>
      <c r="T120" s="269" t="e">
        <f>VLOOKUP(Q120,[71]Listas!$D$6:$E$10,2,0)</f>
        <v>#N/A</v>
      </c>
      <c r="U120" s="269" t="e">
        <f>HLOOKUP(R120,[71]Listas!$F$4:$J$5,2,0)</f>
        <v>#N/A</v>
      </c>
      <c r="V120" s="270" t="e">
        <f>INDEX([71]Listas!$F$6:$J$10,MATCH(Q120,[71]Listas!$D$6:$D$10,0),MATCH(R120,[71]Listas!$F$4:$J$4,0))</f>
        <v>#N/A</v>
      </c>
      <c r="W120" s="268"/>
      <c r="X120" s="1399"/>
      <c r="Y120" s="1408"/>
      <c r="Z120" s="1400"/>
      <c r="AA120" s="1063"/>
      <c r="AB120" s="267"/>
      <c r="AC120" s="259"/>
      <c r="AD120" s="790"/>
      <c r="AE120" s="267"/>
      <c r="AF120" s="268"/>
      <c r="AG120" s="269">
        <f t="shared" si="10"/>
        <v>0</v>
      </c>
      <c r="AH120" s="271" t="e">
        <f t="shared" si="11"/>
        <v>#N/A</v>
      </c>
      <c r="AI120" s="272" t="e">
        <f>IF(AH120&lt;=1,"Remota",VLOOKUP(AH120,[71]Listas!$C$6:$D$10,2,0))</f>
        <v>#N/A</v>
      </c>
      <c r="AJ120" s="271" t="e">
        <f t="shared" si="12"/>
        <v>#N/A</v>
      </c>
      <c r="AK120" s="272" t="e">
        <f>IF(AJ120&lt;=1,"Insignificante",HLOOKUP(AJ120,[71]Listas!$F$3:$J$4,2,0))</f>
        <v>#N/A</v>
      </c>
      <c r="AL120" s="273" t="e">
        <f t="shared" si="13"/>
        <v>#N/A</v>
      </c>
      <c r="AM120" s="270" t="e">
        <f>INDEX([71]Listas!$F$6:$J$10,MATCH(AI120,[71]Listas!$D$6:$D$10,0),MATCH(AK120,[71]Listas!$F$4:$J$4,0))</f>
        <v>#N/A</v>
      </c>
      <c r="AN120" s="259"/>
      <c r="AO120" s="259"/>
      <c r="AP120" s="794"/>
      <c r="AQ120" s="259"/>
      <c r="AR120" s="259" t="s">
        <v>2343</v>
      </c>
      <c r="AS120" s="790"/>
      <c r="AT120" s="259"/>
      <c r="AU120" s="259"/>
      <c r="AV120" s="261"/>
      <c r="AW120" s="261"/>
      <c r="AX120" s="790"/>
      <c r="AY120" s="262"/>
    </row>
    <row r="121" spans="1:51" s="260" customFormat="1" ht="103.5" hidden="1" customHeight="1">
      <c r="A121" s="790"/>
      <c r="B121" s="266"/>
      <c r="C121" s="1399"/>
      <c r="D121" s="1408"/>
      <c r="E121" s="1400"/>
      <c r="F121" s="267"/>
      <c r="G121" s="1399"/>
      <c r="H121" s="1408"/>
      <c r="I121" s="1400"/>
      <c r="J121" s="1380"/>
      <c r="K121" s="1380"/>
      <c r="L121" s="1380"/>
      <c r="M121" s="790"/>
      <c r="N121" s="790"/>
      <c r="O121" s="790"/>
      <c r="P121" s="790"/>
      <c r="Q121" s="266"/>
      <c r="R121" s="266"/>
      <c r="S121" s="268"/>
      <c r="T121" s="269" t="e">
        <f>VLOOKUP(Q121,[71]Listas!$D$6:$E$10,2,0)</f>
        <v>#N/A</v>
      </c>
      <c r="U121" s="269" t="e">
        <f>HLOOKUP(R121,[71]Listas!$F$4:$J$5,2,0)</f>
        <v>#N/A</v>
      </c>
      <c r="V121" s="270" t="e">
        <f>INDEX([71]Listas!$F$6:$J$10,MATCH(Q121,[71]Listas!$D$6:$D$10,0),MATCH(R121,[71]Listas!$F$4:$J$4,0))</f>
        <v>#N/A</v>
      </c>
      <c r="W121" s="268"/>
      <c r="X121" s="1399"/>
      <c r="Y121" s="1408"/>
      <c r="Z121" s="1400"/>
      <c r="AA121" s="1063"/>
      <c r="AB121" s="267"/>
      <c r="AC121" s="259"/>
      <c r="AD121" s="790"/>
      <c r="AE121" s="267"/>
      <c r="AF121" s="268"/>
      <c r="AG121" s="269">
        <f t="shared" si="10"/>
        <v>0</v>
      </c>
      <c r="AH121" s="271" t="e">
        <f t="shared" si="11"/>
        <v>#N/A</v>
      </c>
      <c r="AI121" s="272" t="e">
        <f>IF(AH121&lt;=1,"Remota",VLOOKUP(AH121,[71]Listas!$C$6:$D$10,2,0))</f>
        <v>#N/A</v>
      </c>
      <c r="AJ121" s="271" t="e">
        <f t="shared" si="12"/>
        <v>#N/A</v>
      </c>
      <c r="AK121" s="272" t="e">
        <f>IF(AJ121&lt;=1,"Insignificante",HLOOKUP(AJ121,[71]Listas!$F$3:$J$4,2,0))</f>
        <v>#N/A</v>
      </c>
      <c r="AL121" s="273" t="e">
        <f t="shared" si="13"/>
        <v>#N/A</v>
      </c>
      <c r="AM121" s="270" t="e">
        <f>INDEX([71]Listas!$F$6:$J$10,MATCH(AI121,[71]Listas!$D$6:$D$10,0),MATCH(AK121,[71]Listas!$F$4:$J$4,0))</f>
        <v>#N/A</v>
      </c>
      <c r="AN121" s="259"/>
      <c r="AO121" s="259"/>
      <c r="AP121" s="794"/>
      <c r="AQ121" s="259"/>
      <c r="AR121" s="259" t="s">
        <v>2343</v>
      </c>
      <c r="AS121" s="790"/>
      <c r="AT121" s="259"/>
      <c r="AU121" s="259"/>
      <c r="AV121" s="261"/>
      <c r="AW121" s="261"/>
      <c r="AX121" s="790"/>
      <c r="AY121" s="262"/>
    </row>
    <row r="122" spans="1:51" s="260" customFormat="1" ht="103.5" hidden="1" customHeight="1">
      <c r="A122" s="790"/>
      <c r="B122" s="266"/>
      <c r="C122" s="1399"/>
      <c r="D122" s="1408"/>
      <c r="E122" s="1400"/>
      <c r="F122" s="267"/>
      <c r="G122" s="1399"/>
      <c r="H122" s="1408"/>
      <c r="I122" s="1400"/>
      <c r="J122" s="1380"/>
      <c r="K122" s="1380"/>
      <c r="L122" s="1380"/>
      <c r="M122" s="790"/>
      <c r="N122" s="790"/>
      <c r="O122" s="790"/>
      <c r="P122" s="790"/>
      <c r="Q122" s="266"/>
      <c r="R122" s="266"/>
      <c r="S122" s="268"/>
      <c r="T122" s="269" t="e">
        <f>VLOOKUP(Q122,[71]Listas!$D$6:$E$10,2,0)</f>
        <v>#N/A</v>
      </c>
      <c r="U122" s="269" t="e">
        <f>HLOOKUP(R122,[71]Listas!$F$4:$J$5,2,0)</f>
        <v>#N/A</v>
      </c>
      <c r="V122" s="270" t="e">
        <f>INDEX([71]Listas!$F$6:$J$10,MATCH(Q122,[71]Listas!$D$6:$D$10,0),MATCH(R122,[71]Listas!$F$4:$J$4,0))</f>
        <v>#N/A</v>
      </c>
      <c r="W122" s="268"/>
      <c r="X122" s="1399"/>
      <c r="Y122" s="1408"/>
      <c r="Z122" s="1400"/>
      <c r="AA122" s="1063"/>
      <c r="AB122" s="267"/>
      <c r="AC122" s="259"/>
      <c r="AD122" s="790"/>
      <c r="AE122" s="267"/>
      <c r="AF122" s="268"/>
      <c r="AG122" s="269">
        <f t="shared" si="10"/>
        <v>0</v>
      </c>
      <c r="AH122" s="271" t="e">
        <f t="shared" si="11"/>
        <v>#N/A</v>
      </c>
      <c r="AI122" s="272" t="e">
        <f>IF(AH122&lt;=1,"Remota",VLOOKUP(AH122,[71]Listas!$C$6:$D$10,2,0))</f>
        <v>#N/A</v>
      </c>
      <c r="AJ122" s="271" t="e">
        <f t="shared" si="12"/>
        <v>#N/A</v>
      </c>
      <c r="AK122" s="272" t="e">
        <f>IF(AJ122&lt;=1,"Insignificante",HLOOKUP(AJ122,[71]Listas!$F$3:$J$4,2,0))</f>
        <v>#N/A</v>
      </c>
      <c r="AL122" s="273" t="e">
        <f t="shared" si="13"/>
        <v>#N/A</v>
      </c>
      <c r="AM122" s="270" t="e">
        <f>INDEX([71]Listas!$F$6:$J$10,MATCH(AI122,[71]Listas!$D$6:$D$10,0),MATCH(AK122,[71]Listas!$F$4:$J$4,0))</f>
        <v>#N/A</v>
      </c>
      <c r="AN122" s="259"/>
      <c r="AO122" s="259"/>
      <c r="AP122" s="794"/>
      <c r="AQ122" s="259"/>
      <c r="AR122" s="259" t="s">
        <v>2343</v>
      </c>
      <c r="AS122" s="790"/>
      <c r="AT122" s="259"/>
      <c r="AU122" s="259"/>
      <c r="AV122" s="261"/>
      <c r="AW122" s="261"/>
      <c r="AX122" s="790"/>
      <c r="AY122" s="262"/>
    </row>
    <row r="123" spans="1:51" s="260" customFormat="1" ht="103.5" hidden="1" customHeight="1">
      <c r="A123" s="790"/>
      <c r="B123" s="266"/>
      <c r="C123" s="1399"/>
      <c r="D123" s="1408"/>
      <c r="E123" s="1400"/>
      <c r="F123" s="267"/>
      <c r="G123" s="1399"/>
      <c r="H123" s="1408"/>
      <c r="I123" s="1400"/>
      <c r="J123" s="1380"/>
      <c r="K123" s="1380"/>
      <c r="L123" s="1380"/>
      <c r="M123" s="790"/>
      <c r="N123" s="790"/>
      <c r="O123" s="790"/>
      <c r="P123" s="790"/>
      <c r="Q123" s="266"/>
      <c r="R123" s="266"/>
      <c r="S123" s="268"/>
      <c r="T123" s="269" t="e">
        <f>VLOOKUP(Q123,[71]Listas!$D$6:$E$10,2,0)</f>
        <v>#N/A</v>
      </c>
      <c r="U123" s="269" t="e">
        <f>HLOOKUP(R123,[71]Listas!$F$4:$J$5,2,0)</f>
        <v>#N/A</v>
      </c>
      <c r="V123" s="270" t="e">
        <f>INDEX([71]Listas!$F$6:$J$10,MATCH(Q123,[71]Listas!$D$6:$D$10,0),MATCH(R123,[71]Listas!$F$4:$J$4,0))</f>
        <v>#N/A</v>
      </c>
      <c r="W123" s="268"/>
      <c r="X123" s="1399"/>
      <c r="Y123" s="1408"/>
      <c r="Z123" s="1400"/>
      <c r="AA123" s="1063"/>
      <c r="AB123" s="267"/>
      <c r="AC123" s="259"/>
      <c r="AD123" s="790"/>
      <c r="AE123" s="267"/>
      <c r="AF123" s="268"/>
      <c r="AG123" s="269">
        <f t="shared" si="10"/>
        <v>0</v>
      </c>
      <c r="AH123" s="271" t="e">
        <f t="shared" si="11"/>
        <v>#N/A</v>
      </c>
      <c r="AI123" s="272" t="e">
        <f>IF(AH123&lt;=1,"Remota",VLOOKUP(AH123,[71]Listas!$C$6:$D$10,2,0))</f>
        <v>#N/A</v>
      </c>
      <c r="AJ123" s="271" t="e">
        <f t="shared" si="12"/>
        <v>#N/A</v>
      </c>
      <c r="AK123" s="272" t="e">
        <f>IF(AJ123&lt;=1,"Insignificante",HLOOKUP(AJ123,[71]Listas!$F$3:$J$4,2,0))</f>
        <v>#N/A</v>
      </c>
      <c r="AL123" s="273" t="e">
        <f t="shared" si="13"/>
        <v>#N/A</v>
      </c>
      <c r="AM123" s="270" t="e">
        <f>INDEX([71]Listas!$F$6:$J$10,MATCH(AI123,[71]Listas!$D$6:$D$10,0),MATCH(AK123,[71]Listas!$F$4:$J$4,0))</f>
        <v>#N/A</v>
      </c>
      <c r="AN123" s="259"/>
      <c r="AO123" s="259"/>
      <c r="AP123" s="794"/>
      <c r="AQ123" s="259"/>
      <c r="AR123" s="259" t="s">
        <v>2343</v>
      </c>
      <c r="AS123" s="790"/>
      <c r="AT123" s="259"/>
      <c r="AU123" s="259"/>
      <c r="AV123" s="261"/>
      <c r="AW123" s="261"/>
      <c r="AX123" s="790"/>
      <c r="AY123" s="262"/>
    </row>
    <row r="124" spans="1:51" s="260" customFormat="1" ht="103.5" hidden="1" customHeight="1">
      <c r="A124" s="790"/>
      <c r="B124" s="266"/>
      <c r="C124" s="1399"/>
      <c r="D124" s="1408"/>
      <c r="E124" s="1400"/>
      <c r="F124" s="267"/>
      <c r="G124" s="1399"/>
      <c r="H124" s="1408"/>
      <c r="I124" s="1400"/>
      <c r="J124" s="1380"/>
      <c r="K124" s="1380"/>
      <c r="L124" s="1380"/>
      <c r="M124" s="790"/>
      <c r="N124" s="790"/>
      <c r="O124" s="790"/>
      <c r="P124" s="790"/>
      <c r="Q124" s="266"/>
      <c r="R124" s="266"/>
      <c r="S124" s="268"/>
      <c r="T124" s="269" t="e">
        <f>VLOOKUP(Q124,[71]Listas!$D$6:$E$10,2,0)</f>
        <v>#N/A</v>
      </c>
      <c r="U124" s="269" t="e">
        <f>HLOOKUP(R124,[71]Listas!$F$4:$J$5,2,0)</f>
        <v>#N/A</v>
      </c>
      <c r="V124" s="270" t="e">
        <f>INDEX([71]Listas!$F$6:$J$10,MATCH(Q124,[71]Listas!$D$6:$D$10,0),MATCH(R124,[71]Listas!$F$4:$J$4,0))</f>
        <v>#N/A</v>
      </c>
      <c r="W124" s="268"/>
      <c r="X124" s="1399"/>
      <c r="Y124" s="1408"/>
      <c r="Z124" s="1400"/>
      <c r="AA124" s="1063"/>
      <c r="AB124" s="267"/>
      <c r="AC124" s="259"/>
      <c r="AD124" s="790"/>
      <c r="AE124" s="267"/>
      <c r="AF124" s="268"/>
      <c r="AG124" s="269">
        <f t="shared" si="10"/>
        <v>0</v>
      </c>
      <c r="AH124" s="271" t="e">
        <f t="shared" si="11"/>
        <v>#N/A</v>
      </c>
      <c r="AI124" s="272" t="e">
        <f>IF(AH124&lt;=1,"Remota",VLOOKUP(AH124,[71]Listas!$C$6:$D$10,2,0))</f>
        <v>#N/A</v>
      </c>
      <c r="AJ124" s="271" t="e">
        <f t="shared" si="12"/>
        <v>#N/A</v>
      </c>
      <c r="AK124" s="272" t="e">
        <f>IF(AJ124&lt;=1,"Insignificante",HLOOKUP(AJ124,[71]Listas!$F$3:$J$4,2,0))</f>
        <v>#N/A</v>
      </c>
      <c r="AL124" s="273" t="e">
        <f t="shared" si="13"/>
        <v>#N/A</v>
      </c>
      <c r="AM124" s="270" t="e">
        <f>INDEX([71]Listas!$F$6:$J$10,MATCH(AI124,[71]Listas!$D$6:$D$10,0),MATCH(AK124,[71]Listas!$F$4:$J$4,0))</f>
        <v>#N/A</v>
      </c>
      <c r="AN124" s="259"/>
      <c r="AO124" s="259"/>
      <c r="AP124" s="794"/>
      <c r="AQ124" s="259"/>
      <c r="AR124" s="259" t="s">
        <v>2343</v>
      </c>
      <c r="AS124" s="790"/>
      <c r="AT124" s="259"/>
      <c r="AU124" s="259"/>
      <c r="AV124" s="261"/>
      <c r="AW124" s="261"/>
      <c r="AX124" s="790"/>
      <c r="AY124" s="262"/>
    </row>
    <row r="125" spans="1:51" s="260" customFormat="1" ht="103.5" hidden="1" customHeight="1">
      <c r="A125" s="790"/>
      <c r="B125" s="266"/>
      <c r="C125" s="1399"/>
      <c r="D125" s="1408"/>
      <c r="E125" s="1400"/>
      <c r="F125" s="267"/>
      <c r="G125" s="1399"/>
      <c r="H125" s="1408"/>
      <c r="I125" s="1400"/>
      <c r="J125" s="1380"/>
      <c r="K125" s="1380"/>
      <c r="L125" s="1380"/>
      <c r="M125" s="790"/>
      <c r="N125" s="790"/>
      <c r="O125" s="790"/>
      <c r="P125" s="790"/>
      <c r="Q125" s="266"/>
      <c r="R125" s="266"/>
      <c r="S125" s="268"/>
      <c r="T125" s="269" t="e">
        <f>VLOOKUP(Q125,[71]Listas!$D$6:$E$10,2,0)</f>
        <v>#N/A</v>
      </c>
      <c r="U125" s="269" t="e">
        <f>HLOOKUP(R125,[71]Listas!$F$4:$J$5,2,0)</f>
        <v>#N/A</v>
      </c>
      <c r="V125" s="270" t="e">
        <f>INDEX([71]Listas!$F$6:$J$10,MATCH(Q125,[71]Listas!$D$6:$D$10,0),MATCH(R125,[71]Listas!$F$4:$J$4,0))</f>
        <v>#N/A</v>
      </c>
      <c r="W125" s="268"/>
      <c r="X125" s="1399"/>
      <c r="Y125" s="1408"/>
      <c r="Z125" s="1400"/>
      <c r="AA125" s="1063"/>
      <c r="AB125" s="267"/>
      <c r="AC125" s="259"/>
      <c r="AD125" s="790"/>
      <c r="AE125" s="267"/>
      <c r="AF125" s="268"/>
      <c r="AG125" s="269">
        <f t="shared" si="10"/>
        <v>0</v>
      </c>
      <c r="AH125" s="271" t="e">
        <f t="shared" si="11"/>
        <v>#N/A</v>
      </c>
      <c r="AI125" s="272" t="e">
        <f>IF(AH125&lt;=1,"Remota",VLOOKUP(AH125,[71]Listas!$C$6:$D$10,2,0))</f>
        <v>#N/A</v>
      </c>
      <c r="AJ125" s="271" t="e">
        <f t="shared" si="12"/>
        <v>#N/A</v>
      </c>
      <c r="AK125" s="272" t="e">
        <f>IF(AJ125&lt;=1,"Insignificante",HLOOKUP(AJ125,[71]Listas!$F$3:$J$4,2,0))</f>
        <v>#N/A</v>
      </c>
      <c r="AL125" s="273" t="e">
        <f t="shared" si="13"/>
        <v>#N/A</v>
      </c>
      <c r="AM125" s="270" t="e">
        <f>INDEX([71]Listas!$F$6:$J$10,MATCH(AI125,[71]Listas!$D$6:$D$10,0),MATCH(AK125,[71]Listas!$F$4:$J$4,0))</f>
        <v>#N/A</v>
      </c>
      <c r="AN125" s="259"/>
      <c r="AO125" s="259"/>
      <c r="AP125" s="794"/>
      <c r="AQ125" s="259"/>
      <c r="AR125" s="259" t="s">
        <v>2343</v>
      </c>
      <c r="AS125" s="790"/>
      <c r="AT125" s="259"/>
      <c r="AU125" s="259"/>
      <c r="AV125" s="261"/>
      <c r="AW125" s="261"/>
      <c r="AX125" s="790"/>
      <c r="AY125" s="262"/>
    </row>
    <row r="126" spans="1:51" s="260" customFormat="1" ht="103.5" hidden="1" customHeight="1">
      <c r="A126" s="790"/>
      <c r="B126" s="266"/>
      <c r="C126" s="1399"/>
      <c r="D126" s="1408"/>
      <c r="E126" s="1400"/>
      <c r="F126" s="267"/>
      <c r="G126" s="1399"/>
      <c r="H126" s="1408"/>
      <c r="I126" s="1400"/>
      <c r="J126" s="1380"/>
      <c r="K126" s="1380"/>
      <c r="L126" s="1380"/>
      <c r="M126" s="790"/>
      <c r="N126" s="790"/>
      <c r="O126" s="790"/>
      <c r="P126" s="790"/>
      <c r="Q126" s="266"/>
      <c r="R126" s="266"/>
      <c r="S126" s="268"/>
      <c r="T126" s="269" t="e">
        <f>VLOOKUP(Q126,[71]Listas!$D$6:$E$10,2,0)</f>
        <v>#N/A</v>
      </c>
      <c r="U126" s="269" t="e">
        <f>HLOOKUP(R126,[71]Listas!$F$4:$J$5,2,0)</f>
        <v>#N/A</v>
      </c>
      <c r="V126" s="270" t="e">
        <f>INDEX([71]Listas!$F$6:$J$10,MATCH(Q126,[71]Listas!$D$6:$D$10,0),MATCH(R126,[71]Listas!$F$4:$J$4,0))</f>
        <v>#N/A</v>
      </c>
      <c r="W126" s="268"/>
      <c r="X126" s="1399"/>
      <c r="Y126" s="1408"/>
      <c r="Z126" s="1400"/>
      <c r="AA126" s="1063"/>
      <c r="AB126" s="267"/>
      <c r="AC126" s="259"/>
      <c r="AD126" s="790"/>
      <c r="AE126" s="267"/>
      <c r="AF126" s="268"/>
      <c r="AG126" s="269">
        <f t="shared" si="10"/>
        <v>0</v>
      </c>
      <c r="AH126" s="271" t="e">
        <f t="shared" si="11"/>
        <v>#N/A</v>
      </c>
      <c r="AI126" s="272" t="e">
        <f>IF(AH126&lt;=1,"Remota",VLOOKUP(AH126,[71]Listas!$C$6:$D$10,2,0))</f>
        <v>#N/A</v>
      </c>
      <c r="AJ126" s="271" t="e">
        <f t="shared" si="12"/>
        <v>#N/A</v>
      </c>
      <c r="AK126" s="272" t="e">
        <f>IF(AJ126&lt;=1,"Insignificante",HLOOKUP(AJ126,[71]Listas!$F$3:$J$4,2,0))</f>
        <v>#N/A</v>
      </c>
      <c r="AL126" s="273" t="e">
        <f t="shared" si="13"/>
        <v>#N/A</v>
      </c>
      <c r="AM126" s="270" t="e">
        <f>INDEX([71]Listas!$F$6:$J$10,MATCH(AI126,[71]Listas!$D$6:$D$10,0),MATCH(AK126,[71]Listas!$F$4:$J$4,0))</f>
        <v>#N/A</v>
      </c>
      <c r="AN126" s="259"/>
      <c r="AO126" s="259"/>
      <c r="AP126" s="794"/>
      <c r="AQ126" s="259"/>
      <c r="AR126" s="259" t="s">
        <v>2343</v>
      </c>
      <c r="AS126" s="790"/>
      <c r="AT126" s="259"/>
      <c r="AU126" s="259"/>
      <c r="AV126" s="261"/>
      <c r="AW126" s="261"/>
      <c r="AX126" s="790"/>
      <c r="AY126" s="262"/>
    </row>
    <row r="127" spans="1:51" s="260" customFormat="1" ht="103.5" hidden="1" customHeight="1">
      <c r="A127" s="790"/>
      <c r="B127" s="266"/>
      <c r="C127" s="1399"/>
      <c r="D127" s="1408"/>
      <c r="E127" s="1400"/>
      <c r="F127" s="267"/>
      <c r="G127" s="1399"/>
      <c r="H127" s="1408"/>
      <c r="I127" s="1400"/>
      <c r="J127" s="1380"/>
      <c r="K127" s="1380"/>
      <c r="L127" s="1380"/>
      <c r="M127" s="790"/>
      <c r="N127" s="790"/>
      <c r="O127" s="790"/>
      <c r="P127" s="790"/>
      <c r="Q127" s="266"/>
      <c r="R127" s="266"/>
      <c r="S127" s="268"/>
      <c r="T127" s="269" t="e">
        <f>VLOOKUP(Q127,[71]Listas!$D$6:$E$10,2,0)</f>
        <v>#N/A</v>
      </c>
      <c r="U127" s="269" t="e">
        <f>HLOOKUP(R127,[71]Listas!$F$4:$J$5,2,0)</f>
        <v>#N/A</v>
      </c>
      <c r="V127" s="270" t="e">
        <f>INDEX([71]Listas!$F$6:$J$10,MATCH(Q127,[71]Listas!$D$6:$D$10,0),MATCH(R127,[71]Listas!$F$4:$J$4,0))</f>
        <v>#N/A</v>
      </c>
      <c r="W127" s="268"/>
      <c r="X127" s="1399"/>
      <c r="Y127" s="1408"/>
      <c r="Z127" s="1400"/>
      <c r="AA127" s="1063"/>
      <c r="AB127" s="267"/>
      <c r="AC127" s="259"/>
      <c r="AD127" s="790"/>
      <c r="AE127" s="267"/>
      <c r="AF127" s="268"/>
      <c r="AG127" s="269">
        <f t="shared" si="10"/>
        <v>0</v>
      </c>
      <c r="AH127" s="271" t="e">
        <f t="shared" si="11"/>
        <v>#N/A</v>
      </c>
      <c r="AI127" s="272" t="e">
        <f>IF(AH127&lt;=1,"Remota",VLOOKUP(AH127,[71]Listas!$C$6:$D$10,2,0))</f>
        <v>#N/A</v>
      </c>
      <c r="AJ127" s="271" t="e">
        <f t="shared" si="12"/>
        <v>#N/A</v>
      </c>
      <c r="AK127" s="272" t="e">
        <f>IF(AJ127&lt;=1,"Insignificante",HLOOKUP(AJ127,[71]Listas!$F$3:$J$4,2,0))</f>
        <v>#N/A</v>
      </c>
      <c r="AL127" s="273" t="e">
        <f t="shared" si="13"/>
        <v>#N/A</v>
      </c>
      <c r="AM127" s="270" t="e">
        <f>INDEX([71]Listas!$F$6:$J$10,MATCH(AI127,[71]Listas!$D$6:$D$10,0),MATCH(AK127,[71]Listas!$F$4:$J$4,0))</f>
        <v>#N/A</v>
      </c>
      <c r="AN127" s="259"/>
      <c r="AO127" s="259"/>
      <c r="AP127" s="794"/>
      <c r="AQ127" s="259"/>
      <c r="AR127" s="259" t="s">
        <v>2343</v>
      </c>
      <c r="AS127" s="790"/>
      <c r="AT127" s="259"/>
      <c r="AU127" s="259"/>
      <c r="AV127" s="261"/>
      <c r="AW127" s="261"/>
      <c r="AX127" s="790"/>
      <c r="AY127" s="262"/>
    </row>
    <row r="128" spans="1:51" s="260" customFormat="1" ht="103.5" hidden="1" customHeight="1">
      <c r="A128" s="790"/>
      <c r="B128" s="266"/>
      <c r="C128" s="1399"/>
      <c r="D128" s="1408"/>
      <c r="E128" s="1400"/>
      <c r="F128" s="267"/>
      <c r="G128" s="1399"/>
      <c r="H128" s="1408"/>
      <c r="I128" s="1400"/>
      <c r="J128" s="1380"/>
      <c r="K128" s="1380"/>
      <c r="L128" s="1380"/>
      <c r="M128" s="790"/>
      <c r="N128" s="790"/>
      <c r="O128" s="790"/>
      <c r="P128" s="790"/>
      <c r="Q128" s="266"/>
      <c r="R128" s="266"/>
      <c r="S128" s="268"/>
      <c r="T128" s="269" t="e">
        <f>VLOOKUP(Q128,[71]Listas!$D$6:$E$10,2,0)</f>
        <v>#N/A</v>
      </c>
      <c r="U128" s="269" t="e">
        <f>HLOOKUP(R128,[71]Listas!$F$4:$J$5,2,0)</f>
        <v>#N/A</v>
      </c>
      <c r="V128" s="270" t="e">
        <f>INDEX([71]Listas!$F$6:$J$10,MATCH(Q128,[71]Listas!$D$6:$D$10,0),MATCH(R128,[71]Listas!$F$4:$J$4,0))</f>
        <v>#N/A</v>
      </c>
      <c r="W128" s="268"/>
      <c r="X128" s="1399"/>
      <c r="Y128" s="1408"/>
      <c r="Z128" s="1400"/>
      <c r="AA128" s="1063"/>
      <c r="AB128" s="267"/>
      <c r="AC128" s="259"/>
      <c r="AD128" s="790"/>
      <c r="AE128" s="267"/>
      <c r="AF128" s="268"/>
      <c r="AG128" s="269">
        <f t="shared" si="10"/>
        <v>0</v>
      </c>
      <c r="AH128" s="271" t="e">
        <f t="shared" si="11"/>
        <v>#N/A</v>
      </c>
      <c r="AI128" s="272" t="e">
        <f>IF(AH128&lt;=1,"Remota",VLOOKUP(AH128,[71]Listas!$C$6:$D$10,2,0))</f>
        <v>#N/A</v>
      </c>
      <c r="AJ128" s="271" t="e">
        <f t="shared" si="12"/>
        <v>#N/A</v>
      </c>
      <c r="AK128" s="272" t="e">
        <f>IF(AJ128&lt;=1,"Insignificante",HLOOKUP(AJ128,[71]Listas!$F$3:$J$4,2,0))</f>
        <v>#N/A</v>
      </c>
      <c r="AL128" s="273" t="e">
        <f t="shared" si="13"/>
        <v>#N/A</v>
      </c>
      <c r="AM128" s="270" t="e">
        <f>INDEX([71]Listas!$F$6:$J$10,MATCH(AI128,[71]Listas!$D$6:$D$10,0),MATCH(AK128,[71]Listas!$F$4:$J$4,0))</f>
        <v>#N/A</v>
      </c>
      <c r="AN128" s="259"/>
      <c r="AO128" s="259"/>
      <c r="AP128" s="794"/>
      <c r="AQ128" s="259"/>
      <c r="AR128" s="259" t="s">
        <v>2343</v>
      </c>
      <c r="AS128" s="790"/>
      <c r="AT128" s="259"/>
      <c r="AU128" s="259"/>
      <c r="AV128" s="261"/>
      <c r="AW128" s="261"/>
      <c r="AX128" s="790"/>
      <c r="AY128" s="262"/>
    </row>
    <row r="129" spans="1:51" s="260" customFormat="1" ht="103.5" hidden="1" customHeight="1">
      <c r="A129" s="790"/>
      <c r="B129" s="266"/>
      <c r="C129" s="1399"/>
      <c r="D129" s="1408"/>
      <c r="E129" s="1400"/>
      <c r="F129" s="267"/>
      <c r="G129" s="1399"/>
      <c r="H129" s="1408"/>
      <c r="I129" s="1400"/>
      <c r="J129" s="1380"/>
      <c r="K129" s="1380"/>
      <c r="L129" s="1380"/>
      <c r="M129" s="790"/>
      <c r="N129" s="790"/>
      <c r="O129" s="790"/>
      <c r="P129" s="790"/>
      <c r="Q129" s="266"/>
      <c r="R129" s="266"/>
      <c r="S129" s="268"/>
      <c r="T129" s="269" t="e">
        <f>VLOOKUP(Q129,[71]Listas!$D$6:$E$10,2,0)</f>
        <v>#N/A</v>
      </c>
      <c r="U129" s="269" t="e">
        <f>HLOOKUP(R129,[71]Listas!$F$4:$J$5,2,0)</f>
        <v>#N/A</v>
      </c>
      <c r="V129" s="270" t="e">
        <f>INDEX([71]Listas!$F$6:$J$10,MATCH(Q129,[71]Listas!$D$6:$D$10,0),MATCH(R129,[71]Listas!$F$4:$J$4,0))</f>
        <v>#N/A</v>
      </c>
      <c r="W129" s="268"/>
      <c r="X129" s="1399"/>
      <c r="Y129" s="1408"/>
      <c r="Z129" s="1400"/>
      <c r="AA129" s="1063"/>
      <c r="AB129" s="267"/>
      <c r="AC129" s="259"/>
      <c r="AD129" s="790"/>
      <c r="AE129" s="267"/>
      <c r="AF129" s="268"/>
      <c r="AG129" s="269">
        <f t="shared" si="10"/>
        <v>0</v>
      </c>
      <c r="AH129" s="271" t="e">
        <f t="shared" si="11"/>
        <v>#N/A</v>
      </c>
      <c r="AI129" s="272" t="e">
        <f>IF(AH129&lt;=1,"Remota",VLOOKUP(AH129,[71]Listas!$C$6:$D$10,2,0))</f>
        <v>#N/A</v>
      </c>
      <c r="AJ129" s="271" t="e">
        <f t="shared" si="12"/>
        <v>#N/A</v>
      </c>
      <c r="AK129" s="272" t="e">
        <f>IF(AJ129&lt;=1,"Insignificante",HLOOKUP(AJ129,[71]Listas!$F$3:$J$4,2,0))</f>
        <v>#N/A</v>
      </c>
      <c r="AL129" s="273" t="e">
        <f t="shared" si="13"/>
        <v>#N/A</v>
      </c>
      <c r="AM129" s="270" t="e">
        <f>INDEX([71]Listas!$F$6:$J$10,MATCH(AI129,[71]Listas!$D$6:$D$10,0),MATCH(AK129,[71]Listas!$F$4:$J$4,0))</f>
        <v>#N/A</v>
      </c>
      <c r="AN129" s="259"/>
      <c r="AO129" s="259"/>
      <c r="AP129" s="794"/>
      <c r="AQ129" s="259"/>
      <c r="AR129" s="259" t="s">
        <v>2343</v>
      </c>
      <c r="AS129" s="790"/>
      <c r="AT129" s="259"/>
      <c r="AU129" s="259"/>
      <c r="AV129" s="261"/>
      <c r="AW129" s="261"/>
      <c r="AX129" s="790"/>
      <c r="AY129" s="262"/>
    </row>
    <row r="130" spans="1:51" s="260" customFormat="1" ht="103.5" hidden="1" customHeight="1">
      <c r="A130" s="790"/>
      <c r="B130" s="266"/>
      <c r="C130" s="1399"/>
      <c r="D130" s="1408"/>
      <c r="E130" s="1400"/>
      <c r="F130" s="267"/>
      <c r="G130" s="1399"/>
      <c r="H130" s="1408"/>
      <c r="I130" s="1400"/>
      <c r="J130" s="1380"/>
      <c r="K130" s="1380"/>
      <c r="L130" s="1380"/>
      <c r="M130" s="790"/>
      <c r="N130" s="790"/>
      <c r="O130" s="790"/>
      <c r="P130" s="790"/>
      <c r="Q130" s="266"/>
      <c r="R130" s="266"/>
      <c r="S130" s="268"/>
      <c r="T130" s="269" t="e">
        <f>VLOOKUP(Q130,[71]Listas!$D$6:$E$10,2,0)</f>
        <v>#N/A</v>
      </c>
      <c r="U130" s="269" t="e">
        <f>HLOOKUP(R130,[71]Listas!$F$4:$J$5,2,0)</f>
        <v>#N/A</v>
      </c>
      <c r="V130" s="270" t="e">
        <f>INDEX([71]Listas!$F$6:$J$10,MATCH(Q130,[71]Listas!$D$6:$D$10,0),MATCH(R130,[71]Listas!$F$4:$J$4,0))</f>
        <v>#N/A</v>
      </c>
      <c r="W130" s="268"/>
      <c r="X130" s="1399"/>
      <c r="Y130" s="1408"/>
      <c r="Z130" s="1400"/>
      <c r="AA130" s="1063"/>
      <c r="AB130" s="267"/>
      <c r="AC130" s="259"/>
      <c r="AD130" s="790"/>
      <c r="AE130" s="267"/>
      <c r="AF130" s="268"/>
      <c r="AG130" s="269">
        <f t="shared" si="10"/>
        <v>0</v>
      </c>
      <c r="AH130" s="271" t="e">
        <f t="shared" si="11"/>
        <v>#N/A</v>
      </c>
      <c r="AI130" s="272" t="e">
        <f>IF(AH130&lt;=1,"Remota",VLOOKUP(AH130,[71]Listas!$C$6:$D$10,2,0))</f>
        <v>#N/A</v>
      </c>
      <c r="AJ130" s="271" t="e">
        <f t="shared" si="12"/>
        <v>#N/A</v>
      </c>
      <c r="AK130" s="272" t="e">
        <f>IF(AJ130&lt;=1,"Insignificante",HLOOKUP(AJ130,[71]Listas!$F$3:$J$4,2,0))</f>
        <v>#N/A</v>
      </c>
      <c r="AL130" s="273" t="e">
        <f t="shared" si="13"/>
        <v>#N/A</v>
      </c>
      <c r="AM130" s="270" t="e">
        <f>INDEX([71]Listas!$F$6:$J$10,MATCH(AI130,[71]Listas!$D$6:$D$10,0),MATCH(AK130,[71]Listas!$F$4:$J$4,0))</f>
        <v>#N/A</v>
      </c>
      <c r="AN130" s="259"/>
      <c r="AO130" s="259"/>
      <c r="AP130" s="794"/>
      <c r="AQ130" s="259"/>
      <c r="AR130" s="259" t="s">
        <v>2343</v>
      </c>
      <c r="AS130" s="790"/>
      <c r="AT130" s="259"/>
      <c r="AU130" s="259"/>
      <c r="AV130" s="261"/>
      <c r="AW130" s="261"/>
      <c r="AX130" s="790"/>
      <c r="AY130" s="262"/>
    </row>
    <row r="131" spans="1:51" s="260" customFormat="1" ht="103.5" hidden="1" customHeight="1">
      <c r="A131" s="790"/>
      <c r="B131" s="266"/>
      <c r="C131" s="1399"/>
      <c r="D131" s="1408"/>
      <c r="E131" s="1400"/>
      <c r="F131" s="267"/>
      <c r="G131" s="1399"/>
      <c r="H131" s="1408"/>
      <c r="I131" s="1400"/>
      <c r="J131" s="1380"/>
      <c r="K131" s="1380"/>
      <c r="L131" s="1380"/>
      <c r="M131" s="790"/>
      <c r="N131" s="790"/>
      <c r="O131" s="790"/>
      <c r="P131" s="790"/>
      <c r="Q131" s="266"/>
      <c r="R131" s="266"/>
      <c r="S131" s="268"/>
      <c r="T131" s="269" t="e">
        <f>VLOOKUP(Q131,[71]Listas!$D$6:$E$10,2,0)</f>
        <v>#N/A</v>
      </c>
      <c r="U131" s="269" t="e">
        <f>HLOOKUP(R131,[71]Listas!$F$4:$J$5,2,0)</f>
        <v>#N/A</v>
      </c>
      <c r="V131" s="270" t="e">
        <f>INDEX([71]Listas!$F$6:$J$10,MATCH(Q131,[71]Listas!$D$6:$D$10,0),MATCH(R131,[71]Listas!$F$4:$J$4,0))</f>
        <v>#N/A</v>
      </c>
      <c r="W131" s="268"/>
      <c r="X131" s="1399"/>
      <c r="Y131" s="1408"/>
      <c r="Z131" s="1400"/>
      <c r="AA131" s="1063"/>
      <c r="AB131" s="267"/>
      <c r="AC131" s="259"/>
      <c r="AD131" s="790"/>
      <c r="AE131" s="267"/>
      <c r="AF131" s="268"/>
      <c r="AG131" s="269">
        <f t="shared" si="10"/>
        <v>0</v>
      </c>
      <c r="AH131" s="271" t="e">
        <f t="shared" si="11"/>
        <v>#N/A</v>
      </c>
      <c r="AI131" s="272" t="e">
        <f>IF(AH131&lt;=1,"Remota",VLOOKUP(AH131,[71]Listas!$C$6:$D$10,2,0))</f>
        <v>#N/A</v>
      </c>
      <c r="AJ131" s="271" t="e">
        <f t="shared" si="12"/>
        <v>#N/A</v>
      </c>
      <c r="AK131" s="272" t="e">
        <f>IF(AJ131&lt;=1,"Insignificante",HLOOKUP(AJ131,[71]Listas!$F$3:$J$4,2,0))</f>
        <v>#N/A</v>
      </c>
      <c r="AL131" s="273" t="e">
        <f t="shared" si="13"/>
        <v>#N/A</v>
      </c>
      <c r="AM131" s="270" t="e">
        <f>INDEX([71]Listas!$F$6:$J$10,MATCH(AI131,[71]Listas!$D$6:$D$10,0),MATCH(AK131,[71]Listas!$F$4:$J$4,0))</f>
        <v>#N/A</v>
      </c>
      <c r="AN131" s="259"/>
      <c r="AO131" s="259"/>
      <c r="AP131" s="794"/>
      <c r="AQ131" s="259"/>
      <c r="AR131" s="259" t="s">
        <v>2343</v>
      </c>
      <c r="AS131" s="790"/>
      <c r="AT131" s="259"/>
      <c r="AU131" s="259"/>
      <c r="AV131" s="261"/>
      <c r="AW131" s="261"/>
      <c r="AX131" s="790"/>
      <c r="AY131" s="262"/>
    </row>
    <row r="132" spans="1:51" s="260" customFormat="1" ht="103.5" hidden="1" customHeight="1">
      <c r="A132" s="790"/>
      <c r="B132" s="266"/>
      <c r="C132" s="1399"/>
      <c r="D132" s="1408"/>
      <c r="E132" s="1400"/>
      <c r="F132" s="267"/>
      <c r="G132" s="1399"/>
      <c r="H132" s="1408"/>
      <c r="I132" s="1400"/>
      <c r="J132" s="1380"/>
      <c r="K132" s="1380"/>
      <c r="L132" s="1380"/>
      <c r="M132" s="790"/>
      <c r="N132" s="790"/>
      <c r="O132" s="790"/>
      <c r="P132" s="790"/>
      <c r="Q132" s="266"/>
      <c r="R132" s="266"/>
      <c r="S132" s="268"/>
      <c r="T132" s="269" t="e">
        <f>VLOOKUP(Q132,[71]Listas!$D$6:$E$10,2,0)</f>
        <v>#N/A</v>
      </c>
      <c r="U132" s="269" t="e">
        <f>HLOOKUP(R132,[71]Listas!$F$4:$J$5,2,0)</f>
        <v>#N/A</v>
      </c>
      <c r="V132" s="270" t="e">
        <f>INDEX([71]Listas!$F$6:$J$10,MATCH(Q132,[71]Listas!$D$6:$D$10,0),MATCH(R132,[71]Listas!$F$4:$J$4,0))</f>
        <v>#N/A</v>
      </c>
      <c r="W132" s="268"/>
      <c r="X132" s="1399"/>
      <c r="Y132" s="1408"/>
      <c r="Z132" s="1400"/>
      <c r="AA132" s="1063"/>
      <c r="AB132" s="267"/>
      <c r="AC132" s="259"/>
      <c r="AD132" s="790"/>
      <c r="AE132" s="267"/>
      <c r="AF132" s="268"/>
      <c r="AG132" s="269">
        <f t="shared" si="10"/>
        <v>0</v>
      </c>
      <c r="AH132" s="271" t="e">
        <f t="shared" si="11"/>
        <v>#N/A</v>
      </c>
      <c r="AI132" s="272" t="e">
        <f>IF(AH132&lt;=1,"Remota",VLOOKUP(AH132,[71]Listas!$C$6:$D$10,2,0))</f>
        <v>#N/A</v>
      </c>
      <c r="AJ132" s="271" t="e">
        <f t="shared" si="12"/>
        <v>#N/A</v>
      </c>
      <c r="AK132" s="272" t="e">
        <f>IF(AJ132&lt;=1,"Insignificante",HLOOKUP(AJ132,[71]Listas!$F$3:$J$4,2,0))</f>
        <v>#N/A</v>
      </c>
      <c r="AL132" s="273" t="e">
        <f t="shared" si="13"/>
        <v>#N/A</v>
      </c>
      <c r="AM132" s="270" t="e">
        <f>INDEX([71]Listas!$F$6:$J$10,MATCH(AI132,[71]Listas!$D$6:$D$10,0),MATCH(AK132,[71]Listas!$F$4:$J$4,0))</f>
        <v>#N/A</v>
      </c>
      <c r="AN132" s="259"/>
      <c r="AO132" s="259"/>
      <c r="AP132" s="794"/>
      <c r="AQ132" s="259"/>
      <c r="AR132" s="259" t="s">
        <v>2343</v>
      </c>
      <c r="AS132" s="790"/>
      <c r="AT132" s="259"/>
      <c r="AU132" s="259"/>
      <c r="AV132" s="261"/>
      <c r="AW132" s="261"/>
      <c r="AX132" s="790"/>
      <c r="AY132" s="262"/>
    </row>
    <row r="133" spans="1:51" s="260" customFormat="1" ht="103.5" hidden="1" customHeight="1">
      <c r="A133" s="790"/>
      <c r="B133" s="266"/>
      <c r="C133" s="1399"/>
      <c r="D133" s="1408"/>
      <c r="E133" s="1400"/>
      <c r="F133" s="267"/>
      <c r="G133" s="1399"/>
      <c r="H133" s="1408"/>
      <c r="I133" s="1400"/>
      <c r="J133" s="1380"/>
      <c r="K133" s="1380"/>
      <c r="L133" s="1380"/>
      <c r="M133" s="790"/>
      <c r="N133" s="790"/>
      <c r="O133" s="790"/>
      <c r="P133" s="790"/>
      <c r="Q133" s="266"/>
      <c r="R133" s="266"/>
      <c r="S133" s="268"/>
      <c r="T133" s="269" t="e">
        <f>VLOOKUP(Q133,[71]Listas!$D$6:$E$10,2,0)</f>
        <v>#N/A</v>
      </c>
      <c r="U133" s="269" t="e">
        <f>HLOOKUP(R133,[71]Listas!$F$4:$J$5,2,0)</f>
        <v>#N/A</v>
      </c>
      <c r="V133" s="270" t="e">
        <f>INDEX([71]Listas!$F$6:$J$10,MATCH(Q133,[71]Listas!$D$6:$D$10,0),MATCH(R133,[71]Listas!$F$4:$J$4,0))</f>
        <v>#N/A</v>
      </c>
      <c r="W133" s="268"/>
      <c r="X133" s="1399"/>
      <c r="Y133" s="1408"/>
      <c r="Z133" s="1400"/>
      <c r="AA133" s="1063"/>
      <c r="AB133" s="267"/>
      <c r="AC133" s="259"/>
      <c r="AD133" s="790"/>
      <c r="AE133" s="267"/>
      <c r="AF133" s="268"/>
      <c r="AG133" s="269">
        <f t="shared" si="10"/>
        <v>0</v>
      </c>
      <c r="AH133" s="271" t="e">
        <f t="shared" si="11"/>
        <v>#N/A</v>
      </c>
      <c r="AI133" s="272" t="e">
        <f>IF(AH133&lt;=1,"Remota",VLOOKUP(AH133,[71]Listas!$C$6:$D$10,2,0))</f>
        <v>#N/A</v>
      </c>
      <c r="AJ133" s="271" t="e">
        <f t="shared" si="12"/>
        <v>#N/A</v>
      </c>
      <c r="AK133" s="272" t="e">
        <f>IF(AJ133&lt;=1,"Insignificante",HLOOKUP(AJ133,[71]Listas!$F$3:$J$4,2,0))</f>
        <v>#N/A</v>
      </c>
      <c r="AL133" s="273" t="e">
        <f t="shared" si="13"/>
        <v>#N/A</v>
      </c>
      <c r="AM133" s="270" t="e">
        <f>INDEX([71]Listas!$F$6:$J$10,MATCH(AI133,[71]Listas!$D$6:$D$10,0),MATCH(AK133,[71]Listas!$F$4:$J$4,0))</f>
        <v>#N/A</v>
      </c>
      <c r="AN133" s="259"/>
      <c r="AO133" s="259"/>
      <c r="AP133" s="794"/>
      <c r="AQ133" s="259"/>
      <c r="AR133" s="259" t="s">
        <v>2343</v>
      </c>
      <c r="AS133" s="790"/>
      <c r="AT133" s="259"/>
      <c r="AU133" s="259"/>
      <c r="AV133" s="261"/>
      <c r="AW133" s="261"/>
      <c r="AX133" s="790"/>
      <c r="AY133" s="262"/>
    </row>
    <row r="134" spans="1:51" s="260" customFormat="1" ht="103.5" hidden="1" customHeight="1">
      <c r="A134" s="790"/>
      <c r="B134" s="266"/>
      <c r="C134" s="1399"/>
      <c r="D134" s="1408"/>
      <c r="E134" s="1400"/>
      <c r="F134" s="267"/>
      <c r="G134" s="1399"/>
      <c r="H134" s="1408"/>
      <c r="I134" s="1400"/>
      <c r="J134" s="1380"/>
      <c r="K134" s="1380"/>
      <c r="L134" s="1380"/>
      <c r="M134" s="790"/>
      <c r="N134" s="790"/>
      <c r="O134" s="790"/>
      <c r="P134" s="790"/>
      <c r="Q134" s="266"/>
      <c r="R134" s="266"/>
      <c r="S134" s="268"/>
      <c r="T134" s="269" t="e">
        <f>VLOOKUP(Q134,[71]Listas!$D$6:$E$10,2,0)</f>
        <v>#N/A</v>
      </c>
      <c r="U134" s="269" t="e">
        <f>HLOOKUP(R134,[71]Listas!$F$4:$J$5,2,0)</f>
        <v>#N/A</v>
      </c>
      <c r="V134" s="270" t="e">
        <f>INDEX([71]Listas!$F$6:$J$10,MATCH(Q134,[71]Listas!$D$6:$D$10,0),MATCH(R134,[71]Listas!$F$4:$J$4,0))</f>
        <v>#N/A</v>
      </c>
      <c r="W134" s="268"/>
      <c r="X134" s="1399"/>
      <c r="Y134" s="1408"/>
      <c r="Z134" s="1400"/>
      <c r="AA134" s="1063"/>
      <c r="AB134" s="267"/>
      <c r="AC134" s="259"/>
      <c r="AD134" s="790"/>
      <c r="AE134" s="267"/>
      <c r="AF134" s="268"/>
      <c r="AG134" s="269">
        <f t="shared" si="10"/>
        <v>0</v>
      </c>
      <c r="AH134" s="271" t="e">
        <f t="shared" si="11"/>
        <v>#N/A</v>
      </c>
      <c r="AI134" s="272" t="e">
        <f>IF(AH134&lt;=1,"Remota",VLOOKUP(AH134,[71]Listas!$C$6:$D$10,2,0))</f>
        <v>#N/A</v>
      </c>
      <c r="AJ134" s="271" t="e">
        <f t="shared" si="12"/>
        <v>#N/A</v>
      </c>
      <c r="AK134" s="272" t="e">
        <f>IF(AJ134&lt;=1,"Insignificante",HLOOKUP(AJ134,[71]Listas!$F$3:$J$4,2,0))</f>
        <v>#N/A</v>
      </c>
      <c r="AL134" s="273" t="e">
        <f t="shared" si="13"/>
        <v>#N/A</v>
      </c>
      <c r="AM134" s="270" t="e">
        <f>INDEX([71]Listas!$F$6:$J$10,MATCH(AI134,[71]Listas!$D$6:$D$10,0),MATCH(AK134,[71]Listas!$F$4:$J$4,0))</f>
        <v>#N/A</v>
      </c>
      <c r="AN134" s="259"/>
      <c r="AO134" s="259"/>
      <c r="AP134" s="794"/>
      <c r="AQ134" s="259"/>
      <c r="AR134" s="259" t="s">
        <v>2343</v>
      </c>
      <c r="AS134" s="790"/>
      <c r="AT134" s="259"/>
      <c r="AU134" s="259"/>
      <c r="AV134" s="261"/>
      <c r="AW134" s="261"/>
      <c r="AX134" s="790"/>
      <c r="AY134" s="262"/>
    </row>
    <row r="135" spans="1:51" s="260" customFormat="1" ht="103.5" hidden="1" customHeight="1">
      <c r="A135" s="790"/>
      <c r="B135" s="266"/>
      <c r="C135" s="1399"/>
      <c r="D135" s="1408"/>
      <c r="E135" s="1400"/>
      <c r="F135" s="267"/>
      <c r="G135" s="1399"/>
      <c r="H135" s="1408"/>
      <c r="I135" s="1400"/>
      <c r="J135" s="1380"/>
      <c r="K135" s="1380"/>
      <c r="L135" s="1380"/>
      <c r="M135" s="790"/>
      <c r="N135" s="790"/>
      <c r="O135" s="790"/>
      <c r="P135" s="790"/>
      <c r="Q135" s="266"/>
      <c r="R135" s="266"/>
      <c r="S135" s="268"/>
      <c r="T135" s="269" t="e">
        <f>VLOOKUP(Q135,[71]Listas!$D$6:$E$10,2,0)</f>
        <v>#N/A</v>
      </c>
      <c r="U135" s="269" t="e">
        <f>HLOOKUP(R135,[71]Listas!$F$4:$J$5,2,0)</f>
        <v>#N/A</v>
      </c>
      <c r="V135" s="270" t="e">
        <f>INDEX([71]Listas!$F$6:$J$10,MATCH(Q135,[71]Listas!$D$6:$D$10,0),MATCH(R135,[71]Listas!$F$4:$J$4,0))</f>
        <v>#N/A</v>
      </c>
      <c r="W135" s="268"/>
      <c r="X135" s="1399"/>
      <c r="Y135" s="1408"/>
      <c r="Z135" s="1400"/>
      <c r="AA135" s="1063"/>
      <c r="AB135" s="267"/>
      <c r="AC135" s="259"/>
      <c r="AD135" s="790"/>
      <c r="AE135" s="267"/>
      <c r="AF135" s="268"/>
      <c r="AG135" s="269">
        <f t="shared" si="10"/>
        <v>0</v>
      </c>
      <c r="AH135" s="271" t="e">
        <f t="shared" si="11"/>
        <v>#N/A</v>
      </c>
      <c r="AI135" s="272" t="e">
        <f>IF(AH135&lt;=1,"Remota",VLOOKUP(AH135,[71]Listas!$C$6:$D$10,2,0))</f>
        <v>#N/A</v>
      </c>
      <c r="AJ135" s="271" t="e">
        <f t="shared" si="12"/>
        <v>#N/A</v>
      </c>
      <c r="AK135" s="272" t="e">
        <f>IF(AJ135&lt;=1,"Insignificante",HLOOKUP(AJ135,[71]Listas!$F$3:$J$4,2,0))</f>
        <v>#N/A</v>
      </c>
      <c r="AL135" s="273" t="e">
        <f t="shared" si="13"/>
        <v>#N/A</v>
      </c>
      <c r="AM135" s="270" t="e">
        <f>INDEX([71]Listas!$F$6:$J$10,MATCH(AI135,[71]Listas!$D$6:$D$10,0),MATCH(AK135,[71]Listas!$F$4:$J$4,0))</f>
        <v>#N/A</v>
      </c>
      <c r="AN135" s="259"/>
      <c r="AO135" s="259"/>
      <c r="AP135" s="794"/>
      <c r="AQ135" s="259"/>
      <c r="AR135" s="259" t="s">
        <v>2343</v>
      </c>
      <c r="AS135" s="790"/>
      <c r="AT135" s="259"/>
      <c r="AU135" s="259"/>
      <c r="AV135" s="261"/>
      <c r="AW135" s="261"/>
      <c r="AX135" s="790"/>
      <c r="AY135" s="262"/>
    </row>
    <row r="136" spans="1:51" s="260" customFormat="1" ht="103.5" hidden="1" customHeight="1">
      <c r="A136" s="790"/>
      <c r="B136" s="266"/>
      <c r="C136" s="1399"/>
      <c r="D136" s="1408"/>
      <c r="E136" s="1400"/>
      <c r="F136" s="267"/>
      <c r="G136" s="1399"/>
      <c r="H136" s="1408"/>
      <c r="I136" s="1400"/>
      <c r="J136" s="1380"/>
      <c r="K136" s="1380"/>
      <c r="L136" s="1380"/>
      <c r="M136" s="790"/>
      <c r="N136" s="790"/>
      <c r="O136" s="790"/>
      <c r="P136" s="790"/>
      <c r="Q136" s="266"/>
      <c r="R136" s="266"/>
      <c r="S136" s="268"/>
      <c r="T136" s="269" t="e">
        <f>VLOOKUP(Q136,[71]Listas!$D$6:$E$10,2,0)</f>
        <v>#N/A</v>
      </c>
      <c r="U136" s="269" t="e">
        <f>HLOOKUP(R136,[71]Listas!$F$4:$J$5,2,0)</f>
        <v>#N/A</v>
      </c>
      <c r="V136" s="270" t="e">
        <f>INDEX([71]Listas!$F$6:$J$10,MATCH(Q136,[71]Listas!$D$6:$D$10,0),MATCH(R136,[71]Listas!$F$4:$J$4,0))</f>
        <v>#N/A</v>
      </c>
      <c r="W136" s="268"/>
      <c r="X136" s="1399"/>
      <c r="Y136" s="1408"/>
      <c r="Z136" s="1400"/>
      <c r="AA136" s="1063"/>
      <c r="AB136" s="267"/>
      <c r="AC136" s="259"/>
      <c r="AD136" s="790"/>
      <c r="AE136" s="267"/>
      <c r="AF136" s="268"/>
      <c r="AG136" s="269">
        <f t="shared" si="10"/>
        <v>0</v>
      </c>
      <c r="AH136" s="271" t="e">
        <f t="shared" si="11"/>
        <v>#N/A</v>
      </c>
      <c r="AI136" s="272" t="e">
        <f>IF(AH136&lt;=1,"Remota",VLOOKUP(AH136,[71]Listas!$C$6:$D$10,2,0))</f>
        <v>#N/A</v>
      </c>
      <c r="AJ136" s="271" t="e">
        <f t="shared" si="12"/>
        <v>#N/A</v>
      </c>
      <c r="AK136" s="272" t="e">
        <f>IF(AJ136&lt;=1,"Insignificante",HLOOKUP(AJ136,[71]Listas!$F$3:$J$4,2,0))</f>
        <v>#N/A</v>
      </c>
      <c r="AL136" s="273" t="e">
        <f t="shared" si="13"/>
        <v>#N/A</v>
      </c>
      <c r="AM136" s="270" t="e">
        <f>INDEX([71]Listas!$F$6:$J$10,MATCH(AI136,[71]Listas!$D$6:$D$10,0),MATCH(AK136,[71]Listas!$F$4:$J$4,0))</f>
        <v>#N/A</v>
      </c>
      <c r="AN136" s="259"/>
      <c r="AO136" s="259"/>
      <c r="AP136" s="794"/>
      <c r="AQ136" s="259"/>
      <c r="AR136" s="259" t="s">
        <v>2343</v>
      </c>
      <c r="AS136" s="790"/>
      <c r="AT136" s="259"/>
      <c r="AU136" s="259"/>
      <c r="AV136" s="261"/>
      <c r="AW136" s="261"/>
      <c r="AX136" s="790"/>
      <c r="AY136" s="262"/>
    </row>
    <row r="137" spans="1:51" s="260" customFormat="1" ht="103.5" hidden="1" customHeight="1">
      <c r="A137" s="790"/>
      <c r="B137" s="266"/>
      <c r="C137" s="1399"/>
      <c r="D137" s="1408"/>
      <c r="E137" s="1400"/>
      <c r="F137" s="267"/>
      <c r="G137" s="1399"/>
      <c r="H137" s="1408"/>
      <c r="I137" s="1400"/>
      <c r="J137" s="1380"/>
      <c r="K137" s="1380"/>
      <c r="L137" s="1380"/>
      <c r="M137" s="790"/>
      <c r="N137" s="790"/>
      <c r="O137" s="790"/>
      <c r="P137" s="790"/>
      <c r="Q137" s="266"/>
      <c r="R137" s="266"/>
      <c r="S137" s="268"/>
      <c r="T137" s="269" t="e">
        <f>VLOOKUP(Q137,[71]Listas!$D$6:$E$10,2,0)</f>
        <v>#N/A</v>
      </c>
      <c r="U137" s="269" t="e">
        <f>HLOOKUP(R137,[71]Listas!$F$4:$J$5,2,0)</f>
        <v>#N/A</v>
      </c>
      <c r="V137" s="270" t="e">
        <f>INDEX([71]Listas!$F$6:$J$10,MATCH(Q137,[71]Listas!$D$6:$D$10,0),MATCH(R137,[71]Listas!$F$4:$J$4,0))</f>
        <v>#N/A</v>
      </c>
      <c r="W137" s="268"/>
      <c r="X137" s="1399"/>
      <c r="Y137" s="1408"/>
      <c r="Z137" s="1400"/>
      <c r="AA137" s="1063"/>
      <c r="AB137" s="267"/>
      <c r="AC137" s="259"/>
      <c r="AD137" s="790"/>
      <c r="AE137" s="267"/>
      <c r="AF137" s="268"/>
      <c r="AG137" s="269">
        <f t="shared" si="10"/>
        <v>0</v>
      </c>
      <c r="AH137" s="271" t="e">
        <f t="shared" si="11"/>
        <v>#N/A</v>
      </c>
      <c r="AI137" s="272" t="e">
        <f>IF(AH137&lt;=1,"Remota",VLOOKUP(AH137,[71]Listas!$C$6:$D$10,2,0))</f>
        <v>#N/A</v>
      </c>
      <c r="AJ137" s="271" t="e">
        <f t="shared" si="12"/>
        <v>#N/A</v>
      </c>
      <c r="AK137" s="272" t="e">
        <f>IF(AJ137&lt;=1,"Insignificante",HLOOKUP(AJ137,[71]Listas!$F$3:$J$4,2,0))</f>
        <v>#N/A</v>
      </c>
      <c r="AL137" s="273" t="e">
        <f t="shared" si="13"/>
        <v>#N/A</v>
      </c>
      <c r="AM137" s="270" t="e">
        <f>INDEX([71]Listas!$F$6:$J$10,MATCH(AI137,[71]Listas!$D$6:$D$10,0),MATCH(AK137,[71]Listas!$F$4:$J$4,0))</f>
        <v>#N/A</v>
      </c>
      <c r="AN137" s="259"/>
      <c r="AO137" s="259"/>
      <c r="AP137" s="794"/>
      <c r="AQ137" s="259"/>
      <c r="AR137" s="259" t="s">
        <v>2343</v>
      </c>
      <c r="AS137" s="790"/>
      <c r="AT137" s="259"/>
      <c r="AU137" s="259"/>
      <c r="AV137" s="261"/>
      <c r="AW137" s="261"/>
      <c r="AX137" s="790"/>
      <c r="AY137" s="262"/>
    </row>
    <row r="138" spans="1:51" s="260" customFormat="1" ht="103.5" hidden="1" customHeight="1">
      <c r="A138" s="790"/>
      <c r="B138" s="266"/>
      <c r="C138" s="1399"/>
      <c r="D138" s="1408"/>
      <c r="E138" s="1400"/>
      <c r="F138" s="267"/>
      <c r="G138" s="1399"/>
      <c r="H138" s="1408"/>
      <c r="I138" s="1400"/>
      <c r="J138" s="1380"/>
      <c r="K138" s="1380"/>
      <c r="L138" s="1380"/>
      <c r="M138" s="790"/>
      <c r="N138" s="790"/>
      <c r="O138" s="790"/>
      <c r="P138" s="790"/>
      <c r="Q138" s="266"/>
      <c r="R138" s="266"/>
      <c r="S138" s="268"/>
      <c r="T138" s="269" t="e">
        <f>VLOOKUP(Q138,[71]Listas!$D$6:$E$10,2,0)</f>
        <v>#N/A</v>
      </c>
      <c r="U138" s="269" t="e">
        <f>HLOOKUP(R138,[71]Listas!$F$4:$J$5,2,0)</f>
        <v>#N/A</v>
      </c>
      <c r="V138" s="270" t="e">
        <f>INDEX([71]Listas!$F$6:$J$10,MATCH(Q138,[71]Listas!$D$6:$D$10,0),MATCH(R138,[71]Listas!$F$4:$J$4,0))</f>
        <v>#N/A</v>
      </c>
      <c r="W138" s="268"/>
      <c r="X138" s="1399"/>
      <c r="Y138" s="1408"/>
      <c r="Z138" s="1400"/>
      <c r="AA138" s="1063"/>
      <c r="AB138" s="267"/>
      <c r="AC138" s="259"/>
      <c r="AD138" s="790"/>
      <c r="AE138" s="267"/>
      <c r="AF138" s="268"/>
      <c r="AG138" s="269">
        <f t="shared" si="10"/>
        <v>0</v>
      </c>
      <c r="AH138" s="271" t="e">
        <f t="shared" si="11"/>
        <v>#N/A</v>
      </c>
      <c r="AI138" s="272" t="e">
        <f>IF(AH138&lt;=1,"Remota",VLOOKUP(AH138,[71]Listas!$C$6:$D$10,2,0))</f>
        <v>#N/A</v>
      </c>
      <c r="AJ138" s="271" t="e">
        <f t="shared" si="12"/>
        <v>#N/A</v>
      </c>
      <c r="AK138" s="272" t="e">
        <f>IF(AJ138&lt;=1,"Insignificante",HLOOKUP(AJ138,[71]Listas!$F$3:$J$4,2,0))</f>
        <v>#N/A</v>
      </c>
      <c r="AL138" s="273" t="e">
        <f t="shared" si="13"/>
        <v>#N/A</v>
      </c>
      <c r="AM138" s="270" t="e">
        <f>INDEX([71]Listas!$F$6:$J$10,MATCH(AI138,[71]Listas!$D$6:$D$10,0),MATCH(AK138,[71]Listas!$F$4:$J$4,0))</f>
        <v>#N/A</v>
      </c>
      <c r="AN138" s="259"/>
      <c r="AO138" s="259"/>
      <c r="AP138" s="794"/>
      <c r="AQ138" s="259"/>
      <c r="AR138" s="259" t="s">
        <v>2343</v>
      </c>
      <c r="AS138" s="790"/>
      <c r="AT138" s="259"/>
      <c r="AU138" s="259"/>
      <c r="AV138" s="261"/>
      <c r="AW138" s="261"/>
      <c r="AX138" s="790"/>
      <c r="AY138" s="262"/>
    </row>
    <row r="139" spans="1:51" s="260" customFormat="1" ht="103.5" hidden="1" customHeight="1">
      <c r="A139" s="790"/>
      <c r="B139" s="266"/>
      <c r="C139" s="1399"/>
      <c r="D139" s="1408"/>
      <c r="E139" s="1400"/>
      <c r="F139" s="267"/>
      <c r="G139" s="1399"/>
      <c r="H139" s="1408"/>
      <c r="I139" s="1400"/>
      <c r="J139" s="1380"/>
      <c r="K139" s="1380"/>
      <c r="L139" s="1380"/>
      <c r="M139" s="790"/>
      <c r="N139" s="790"/>
      <c r="O139" s="790"/>
      <c r="P139" s="790"/>
      <c r="Q139" s="266"/>
      <c r="R139" s="266"/>
      <c r="S139" s="268"/>
      <c r="T139" s="269" t="e">
        <f>VLOOKUP(Q139,[71]Listas!$D$6:$E$10,2,0)</f>
        <v>#N/A</v>
      </c>
      <c r="U139" s="269" t="e">
        <f>HLOOKUP(R139,[71]Listas!$F$4:$J$5,2,0)</f>
        <v>#N/A</v>
      </c>
      <c r="V139" s="270" t="e">
        <f>INDEX([71]Listas!$F$6:$J$10,MATCH(Q139,[71]Listas!$D$6:$D$10,0),MATCH(R139,[71]Listas!$F$4:$J$4,0))</f>
        <v>#N/A</v>
      </c>
      <c r="W139" s="268"/>
      <c r="X139" s="1399"/>
      <c r="Y139" s="1408"/>
      <c r="Z139" s="1400"/>
      <c r="AA139" s="1063"/>
      <c r="AB139" s="267"/>
      <c r="AC139" s="259"/>
      <c r="AD139" s="790"/>
      <c r="AE139" s="267"/>
      <c r="AF139" s="268"/>
      <c r="AG139" s="269">
        <f t="shared" si="10"/>
        <v>0</v>
      </c>
      <c r="AH139" s="271" t="e">
        <f t="shared" si="11"/>
        <v>#N/A</v>
      </c>
      <c r="AI139" s="272" t="e">
        <f>IF(AH139&lt;=1,"Remota",VLOOKUP(AH139,[71]Listas!$C$6:$D$10,2,0))</f>
        <v>#N/A</v>
      </c>
      <c r="AJ139" s="271" t="e">
        <f t="shared" si="12"/>
        <v>#N/A</v>
      </c>
      <c r="AK139" s="272" t="e">
        <f>IF(AJ139&lt;=1,"Insignificante",HLOOKUP(AJ139,[71]Listas!$F$3:$J$4,2,0))</f>
        <v>#N/A</v>
      </c>
      <c r="AL139" s="273" t="e">
        <f t="shared" si="13"/>
        <v>#N/A</v>
      </c>
      <c r="AM139" s="270" t="e">
        <f>INDEX([71]Listas!$F$6:$J$10,MATCH(AI139,[71]Listas!$D$6:$D$10,0),MATCH(AK139,[71]Listas!$F$4:$J$4,0))</f>
        <v>#N/A</v>
      </c>
      <c r="AN139" s="259"/>
      <c r="AO139" s="259"/>
      <c r="AP139" s="794"/>
      <c r="AQ139" s="259"/>
      <c r="AR139" s="259" t="s">
        <v>2343</v>
      </c>
      <c r="AS139" s="790"/>
      <c r="AT139" s="259"/>
      <c r="AU139" s="259"/>
      <c r="AV139" s="261"/>
      <c r="AW139" s="261"/>
      <c r="AX139" s="790"/>
      <c r="AY139" s="262"/>
    </row>
    <row r="140" spans="1:51" s="260" customFormat="1" ht="103.5" hidden="1" customHeight="1">
      <c r="A140" s="790"/>
      <c r="B140" s="266"/>
      <c r="C140" s="1399"/>
      <c r="D140" s="1408"/>
      <c r="E140" s="1400"/>
      <c r="F140" s="267"/>
      <c r="G140" s="1399"/>
      <c r="H140" s="1408"/>
      <c r="I140" s="1400"/>
      <c r="J140" s="1380"/>
      <c r="K140" s="1380"/>
      <c r="L140" s="1380"/>
      <c r="M140" s="790"/>
      <c r="N140" s="790"/>
      <c r="O140" s="790"/>
      <c r="P140" s="790"/>
      <c r="Q140" s="266"/>
      <c r="R140" s="266"/>
      <c r="S140" s="268"/>
      <c r="T140" s="269" t="e">
        <f>VLOOKUP(Q140,[71]Listas!$D$6:$E$10,2,0)</f>
        <v>#N/A</v>
      </c>
      <c r="U140" s="269" t="e">
        <f>HLOOKUP(R140,[71]Listas!$F$4:$J$5,2,0)</f>
        <v>#N/A</v>
      </c>
      <c r="V140" s="270" t="e">
        <f>INDEX([71]Listas!$F$6:$J$10,MATCH(Q140,[71]Listas!$D$6:$D$10,0),MATCH(R140,[71]Listas!$F$4:$J$4,0))</f>
        <v>#N/A</v>
      </c>
      <c r="W140" s="268"/>
      <c r="X140" s="1399"/>
      <c r="Y140" s="1408"/>
      <c r="Z140" s="1400"/>
      <c r="AA140" s="1063"/>
      <c r="AB140" s="267"/>
      <c r="AC140" s="259"/>
      <c r="AD140" s="790"/>
      <c r="AE140" s="267"/>
      <c r="AF140" s="268"/>
      <c r="AG140" s="269">
        <f t="shared" si="10"/>
        <v>0</v>
      </c>
      <c r="AH140" s="271" t="e">
        <f t="shared" si="11"/>
        <v>#N/A</v>
      </c>
      <c r="AI140" s="272" t="e">
        <f>IF(AH140&lt;=1,"Remota",VLOOKUP(AH140,[71]Listas!$C$6:$D$10,2,0))</f>
        <v>#N/A</v>
      </c>
      <c r="AJ140" s="271" t="e">
        <f t="shared" si="12"/>
        <v>#N/A</v>
      </c>
      <c r="AK140" s="272" t="e">
        <f>IF(AJ140&lt;=1,"Insignificante",HLOOKUP(AJ140,[71]Listas!$F$3:$J$4,2,0))</f>
        <v>#N/A</v>
      </c>
      <c r="AL140" s="273" t="e">
        <f t="shared" si="13"/>
        <v>#N/A</v>
      </c>
      <c r="AM140" s="270" t="e">
        <f>INDEX([71]Listas!$F$6:$J$10,MATCH(AI140,[71]Listas!$D$6:$D$10,0),MATCH(AK140,[71]Listas!$F$4:$J$4,0))</f>
        <v>#N/A</v>
      </c>
      <c r="AN140" s="259"/>
      <c r="AO140" s="259"/>
      <c r="AP140" s="794"/>
      <c r="AQ140" s="259"/>
      <c r="AR140" s="259" t="s">
        <v>2343</v>
      </c>
      <c r="AS140" s="790"/>
      <c r="AT140" s="259"/>
      <c r="AU140" s="259"/>
      <c r="AV140" s="261"/>
      <c r="AW140" s="261"/>
      <c r="AX140" s="790"/>
      <c r="AY140" s="262"/>
    </row>
    <row r="141" spans="1:51" s="260" customFormat="1" ht="103.5" hidden="1" customHeight="1">
      <c r="A141" s="790"/>
      <c r="B141" s="266"/>
      <c r="C141" s="1399"/>
      <c r="D141" s="1408"/>
      <c r="E141" s="1400"/>
      <c r="F141" s="267"/>
      <c r="G141" s="1399"/>
      <c r="H141" s="1408"/>
      <c r="I141" s="1400"/>
      <c r="J141" s="1380"/>
      <c r="K141" s="1380"/>
      <c r="L141" s="1380"/>
      <c r="M141" s="790"/>
      <c r="N141" s="790"/>
      <c r="O141" s="790"/>
      <c r="P141" s="790"/>
      <c r="Q141" s="266"/>
      <c r="R141" s="266"/>
      <c r="S141" s="268"/>
      <c r="T141" s="269" t="e">
        <f>VLOOKUP(Q141,[71]Listas!$D$6:$E$10,2,0)</f>
        <v>#N/A</v>
      </c>
      <c r="U141" s="269" t="e">
        <f>HLOOKUP(R141,[71]Listas!$F$4:$J$5,2,0)</f>
        <v>#N/A</v>
      </c>
      <c r="V141" s="270" t="e">
        <f>INDEX([71]Listas!$F$6:$J$10,MATCH(Q141,[71]Listas!$D$6:$D$10,0),MATCH(R141,[71]Listas!$F$4:$J$4,0))</f>
        <v>#N/A</v>
      </c>
      <c r="W141" s="268"/>
      <c r="X141" s="1399"/>
      <c r="Y141" s="1408"/>
      <c r="Z141" s="1400"/>
      <c r="AA141" s="1063"/>
      <c r="AB141" s="267"/>
      <c r="AC141" s="259"/>
      <c r="AD141" s="790"/>
      <c r="AE141" s="267"/>
      <c r="AF141" s="268"/>
      <c r="AG141" s="269">
        <f t="shared" si="10"/>
        <v>0</v>
      </c>
      <c r="AH141" s="271" t="e">
        <f t="shared" si="11"/>
        <v>#N/A</v>
      </c>
      <c r="AI141" s="272" t="e">
        <f>IF(AH141&lt;=1,"Remota",VLOOKUP(AH141,[71]Listas!$C$6:$D$10,2,0))</f>
        <v>#N/A</v>
      </c>
      <c r="AJ141" s="271" t="e">
        <f t="shared" si="12"/>
        <v>#N/A</v>
      </c>
      <c r="AK141" s="272" t="e">
        <f>IF(AJ141&lt;=1,"Insignificante",HLOOKUP(AJ141,[71]Listas!$F$3:$J$4,2,0))</f>
        <v>#N/A</v>
      </c>
      <c r="AL141" s="273" t="e">
        <f t="shared" si="13"/>
        <v>#N/A</v>
      </c>
      <c r="AM141" s="270" t="e">
        <f>INDEX([71]Listas!$F$6:$J$10,MATCH(AI141,[71]Listas!$D$6:$D$10,0),MATCH(AK141,[71]Listas!$F$4:$J$4,0))</f>
        <v>#N/A</v>
      </c>
      <c r="AN141" s="259"/>
      <c r="AO141" s="259"/>
      <c r="AP141" s="794"/>
      <c r="AQ141" s="259"/>
      <c r="AR141" s="259" t="s">
        <v>2343</v>
      </c>
      <c r="AS141" s="790"/>
      <c r="AT141" s="259"/>
      <c r="AU141" s="259"/>
      <c r="AV141" s="261"/>
      <c r="AW141" s="261"/>
      <c r="AX141" s="790"/>
      <c r="AY141" s="262"/>
    </row>
    <row r="142" spans="1:51" s="260" customFormat="1" ht="103.5" hidden="1" customHeight="1">
      <c r="A142" s="790"/>
      <c r="B142" s="266"/>
      <c r="C142" s="1399"/>
      <c r="D142" s="1408"/>
      <c r="E142" s="1400"/>
      <c r="F142" s="267"/>
      <c r="G142" s="1399"/>
      <c r="H142" s="1408"/>
      <c r="I142" s="1400"/>
      <c r="J142" s="1380"/>
      <c r="K142" s="1380"/>
      <c r="L142" s="1380"/>
      <c r="M142" s="790"/>
      <c r="N142" s="790"/>
      <c r="O142" s="790"/>
      <c r="P142" s="790"/>
      <c r="Q142" s="266"/>
      <c r="R142" s="266"/>
      <c r="S142" s="268"/>
      <c r="T142" s="269" t="e">
        <f>VLOOKUP(Q142,[71]Listas!$D$6:$E$10,2,0)</f>
        <v>#N/A</v>
      </c>
      <c r="U142" s="269" t="e">
        <f>HLOOKUP(R142,[71]Listas!$F$4:$J$5,2,0)</f>
        <v>#N/A</v>
      </c>
      <c r="V142" s="270" t="e">
        <f>INDEX([71]Listas!$F$6:$J$10,MATCH(Q142,[71]Listas!$D$6:$D$10,0),MATCH(R142,[71]Listas!$F$4:$J$4,0))</f>
        <v>#N/A</v>
      </c>
      <c r="W142" s="268"/>
      <c r="X142" s="1399"/>
      <c r="Y142" s="1408"/>
      <c r="Z142" s="1400"/>
      <c r="AA142" s="1063"/>
      <c r="AB142" s="267"/>
      <c r="AC142" s="259"/>
      <c r="AD142" s="790"/>
      <c r="AE142" s="267"/>
      <c r="AF142" s="268"/>
      <c r="AG142" s="269">
        <f t="shared" si="10"/>
        <v>0</v>
      </c>
      <c r="AH142" s="271" t="e">
        <f t="shared" si="11"/>
        <v>#N/A</v>
      </c>
      <c r="AI142" s="272" t="e">
        <f>IF(AH142&lt;=1,"Remota",VLOOKUP(AH142,[71]Listas!$C$6:$D$10,2,0))</f>
        <v>#N/A</v>
      </c>
      <c r="AJ142" s="271" t="e">
        <f t="shared" si="12"/>
        <v>#N/A</v>
      </c>
      <c r="AK142" s="272" t="e">
        <f>IF(AJ142&lt;=1,"Insignificante",HLOOKUP(AJ142,[71]Listas!$F$3:$J$4,2,0))</f>
        <v>#N/A</v>
      </c>
      <c r="AL142" s="273" t="e">
        <f t="shared" si="13"/>
        <v>#N/A</v>
      </c>
      <c r="AM142" s="270" t="e">
        <f>INDEX([71]Listas!$F$6:$J$10,MATCH(AI142,[71]Listas!$D$6:$D$10,0),MATCH(AK142,[71]Listas!$F$4:$J$4,0))</f>
        <v>#N/A</v>
      </c>
      <c r="AN142" s="259"/>
      <c r="AO142" s="259"/>
      <c r="AP142" s="794"/>
      <c r="AQ142" s="259"/>
      <c r="AR142" s="259" t="s">
        <v>2343</v>
      </c>
      <c r="AS142" s="790"/>
      <c r="AT142" s="259"/>
      <c r="AU142" s="259"/>
      <c r="AV142" s="261"/>
      <c r="AW142" s="261"/>
      <c r="AX142" s="790"/>
      <c r="AY142" s="262"/>
    </row>
    <row r="143" spans="1:51" s="260" customFormat="1" ht="103.5" hidden="1" customHeight="1">
      <c r="A143" s="790"/>
      <c r="B143" s="266"/>
      <c r="C143" s="1399"/>
      <c r="D143" s="1408"/>
      <c r="E143" s="1400"/>
      <c r="F143" s="267"/>
      <c r="G143" s="1399"/>
      <c r="H143" s="1408"/>
      <c r="I143" s="1400"/>
      <c r="J143" s="1380"/>
      <c r="K143" s="1380"/>
      <c r="L143" s="1380"/>
      <c r="M143" s="790"/>
      <c r="N143" s="790"/>
      <c r="O143" s="790"/>
      <c r="P143" s="790"/>
      <c r="Q143" s="266"/>
      <c r="R143" s="266"/>
      <c r="S143" s="268"/>
      <c r="T143" s="269" t="e">
        <f>VLOOKUP(Q143,[71]Listas!$D$6:$E$10,2,0)</f>
        <v>#N/A</v>
      </c>
      <c r="U143" s="269" t="e">
        <f>HLOOKUP(R143,[71]Listas!$F$4:$J$5,2,0)</f>
        <v>#N/A</v>
      </c>
      <c r="V143" s="270" t="e">
        <f>INDEX([71]Listas!$F$6:$J$10,MATCH(Q143,[71]Listas!$D$6:$D$10,0),MATCH(R143,[71]Listas!$F$4:$J$4,0))</f>
        <v>#N/A</v>
      </c>
      <c r="W143" s="268"/>
      <c r="X143" s="1399"/>
      <c r="Y143" s="1408"/>
      <c r="Z143" s="1400"/>
      <c r="AA143" s="1063"/>
      <c r="AB143" s="267"/>
      <c r="AC143" s="259"/>
      <c r="AD143" s="790"/>
      <c r="AE143" s="267"/>
      <c r="AF143" s="268"/>
      <c r="AG143" s="269">
        <f t="shared" si="10"/>
        <v>0</v>
      </c>
      <c r="AH143" s="271" t="e">
        <f t="shared" si="11"/>
        <v>#N/A</v>
      </c>
      <c r="AI143" s="272" t="e">
        <f>IF(AH143&lt;=1,"Remota",VLOOKUP(AH143,[71]Listas!$C$6:$D$10,2,0))</f>
        <v>#N/A</v>
      </c>
      <c r="AJ143" s="271" t="e">
        <f t="shared" si="12"/>
        <v>#N/A</v>
      </c>
      <c r="AK143" s="272" t="e">
        <f>IF(AJ143&lt;=1,"Insignificante",HLOOKUP(AJ143,[71]Listas!$F$3:$J$4,2,0))</f>
        <v>#N/A</v>
      </c>
      <c r="AL143" s="273" t="e">
        <f t="shared" si="13"/>
        <v>#N/A</v>
      </c>
      <c r="AM143" s="270" t="e">
        <f>INDEX([71]Listas!$F$6:$J$10,MATCH(AI143,[71]Listas!$D$6:$D$10,0),MATCH(AK143,[71]Listas!$F$4:$J$4,0))</f>
        <v>#N/A</v>
      </c>
      <c r="AN143" s="259"/>
      <c r="AO143" s="259"/>
      <c r="AP143" s="794"/>
      <c r="AQ143" s="259"/>
      <c r="AR143" s="259" t="s">
        <v>2343</v>
      </c>
      <c r="AS143" s="790"/>
      <c r="AT143" s="259"/>
      <c r="AU143" s="259"/>
      <c r="AV143" s="261"/>
      <c r="AW143" s="261"/>
      <c r="AX143" s="790"/>
      <c r="AY143" s="262"/>
    </row>
    <row r="144" spans="1:51" s="260" customFormat="1" ht="103.5" hidden="1" customHeight="1">
      <c r="A144" s="790"/>
      <c r="B144" s="266"/>
      <c r="C144" s="1399"/>
      <c r="D144" s="1408"/>
      <c r="E144" s="1400"/>
      <c r="F144" s="267"/>
      <c r="G144" s="1399"/>
      <c r="H144" s="1408"/>
      <c r="I144" s="1400"/>
      <c r="J144" s="1380"/>
      <c r="K144" s="1380"/>
      <c r="L144" s="1380"/>
      <c r="M144" s="790"/>
      <c r="N144" s="790"/>
      <c r="O144" s="790"/>
      <c r="P144" s="790"/>
      <c r="Q144" s="266"/>
      <c r="R144" s="266"/>
      <c r="S144" s="268"/>
      <c r="T144" s="269" t="e">
        <f>VLOOKUP(Q144,[71]Listas!$D$6:$E$10,2,0)</f>
        <v>#N/A</v>
      </c>
      <c r="U144" s="269" t="e">
        <f>HLOOKUP(R144,[71]Listas!$F$4:$J$5,2,0)</f>
        <v>#N/A</v>
      </c>
      <c r="V144" s="270" t="e">
        <f>INDEX([71]Listas!$F$6:$J$10,MATCH(Q144,[71]Listas!$D$6:$D$10,0),MATCH(R144,[71]Listas!$F$4:$J$4,0))</f>
        <v>#N/A</v>
      </c>
      <c r="W144" s="268"/>
      <c r="X144" s="1399"/>
      <c r="Y144" s="1408"/>
      <c r="Z144" s="1400"/>
      <c r="AA144" s="1063"/>
      <c r="AB144" s="267"/>
      <c r="AC144" s="259"/>
      <c r="AD144" s="790"/>
      <c r="AE144" s="267"/>
      <c r="AF144" s="268"/>
      <c r="AG144" s="269">
        <f t="shared" si="10"/>
        <v>0</v>
      </c>
      <c r="AH144" s="271" t="e">
        <f t="shared" si="11"/>
        <v>#N/A</v>
      </c>
      <c r="AI144" s="272" t="e">
        <f>IF(AH144&lt;=1,"Remota",VLOOKUP(AH144,[71]Listas!$C$6:$D$10,2,0))</f>
        <v>#N/A</v>
      </c>
      <c r="AJ144" s="271" t="e">
        <f t="shared" si="12"/>
        <v>#N/A</v>
      </c>
      <c r="AK144" s="272" t="e">
        <f>IF(AJ144&lt;=1,"Insignificante",HLOOKUP(AJ144,[71]Listas!$F$3:$J$4,2,0))</f>
        <v>#N/A</v>
      </c>
      <c r="AL144" s="273" t="e">
        <f t="shared" si="13"/>
        <v>#N/A</v>
      </c>
      <c r="AM144" s="270" t="e">
        <f>INDEX([71]Listas!$F$6:$J$10,MATCH(AI144,[71]Listas!$D$6:$D$10,0),MATCH(AK144,[71]Listas!$F$4:$J$4,0))</f>
        <v>#N/A</v>
      </c>
      <c r="AN144" s="259"/>
      <c r="AO144" s="259"/>
      <c r="AP144" s="794"/>
      <c r="AQ144" s="259"/>
      <c r="AR144" s="259" t="s">
        <v>2343</v>
      </c>
      <c r="AS144" s="790"/>
      <c r="AT144" s="259"/>
      <c r="AU144" s="259"/>
      <c r="AV144" s="261"/>
      <c r="AW144" s="261"/>
      <c r="AX144" s="790"/>
      <c r="AY144" s="262"/>
    </row>
    <row r="145" spans="1:51" s="260" customFormat="1" ht="103.5" hidden="1" customHeight="1">
      <c r="A145" s="790"/>
      <c r="B145" s="266"/>
      <c r="C145" s="1399"/>
      <c r="D145" s="1408"/>
      <c r="E145" s="1400"/>
      <c r="F145" s="267"/>
      <c r="G145" s="1399"/>
      <c r="H145" s="1408"/>
      <c r="I145" s="1400"/>
      <c r="J145" s="1380"/>
      <c r="K145" s="1380"/>
      <c r="L145" s="1380"/>
      <c r="M145" s="790"/>
      <c r="N145" s="790"/>
      <c r="O145" s="790"/>
      <c r="P145" s="790"/>
      <c r="Q145" s="266"/>
      <c r="R145" s="266"/>
      <c r="S145" s="268"/>
      <c r="T145" s="269" t="e">
        <f>VLOOKUP(Q145,[71]Listas!$D$6:$E$10,2,0)</f>
        <v>#N/A</v>
      </c>
      <c r="U145" s="269" t="e">
        <f>HLOOKUP(R145,[71]Listas!$F$4:$J$5,2,0)</f>
        <v>#N/A</v>
      </c>
      <c r="V145" s="270" t="e">
        <f>INDEX([71]Listas!$F$6:$J$10,MATCH(Q145,[71]Listas!$D$6:$D$10,0),MATCH(R145,[71]Listas!$F$4:$J$4,0))</f>
        <v>#N/A</v>
      </c>
      <c r="W145" s="268"/>
      <c r="X145" s="1399"/>
      <c r="Y145" s="1408"/>
      <c r="Z145" s="1400"/>
      <c r="AA145" s="1063"/>
      <c r="AB145" s="267"/>
      <c r="AC145" s="259"/>
      <c r="AD145" s="790"/>
      <c r="AE145" s="267"/>
      <c r="AF145" s="268"/>
      <c r="AG145" s="269">
        <f t="shared" si="10"/>
        <v>0</v>
      </c>
      <c r="AH145" s="271" t="e">
        <f t="shared" si="11"/>
        <v>#N/A</v>
      </c>
      <c r="AI145" s="272" t="e">
        <f>IF(AH145&lt;=1,"Remota",VLOOKUP(AH145,[71]Listas!$C$6:$D$10,2,0))</f>
        <v>#N/A</v>
      </c>
      <c r="AJ145" s="271" t="e">
        <f t="shared" si="12"/>
        <v>#N/A</v>
      </c>
      <c r="AK145" s="272" t="e">
        <f>IF(AJ145&lt;=1,"Insignificante",HLOOKUP(AJ145,[71]Listas!$F$3:$J$4,2,0))</f>
        <v>#N/A</v>
      </c>
      <c r="AL145" s="273" t="e">
        <f t="shared" si="13"/>
        <v>#N/A</v>
      </c>
      <c r="AM145" s="270" t="e">
        <f>INDEX([71]Listas!$F$6:$J$10,MATCH(AI145,[71]Listas!$D$6:$D$10,0),MATCH(AK145,[71]Listas!$F$4:$J$4,0))</f>
        <v>#N/A</v>
      </c>
      <c r="AN145" s="259"/>
      <c r="AO145" s="259"/>
      <c r="AP145" s="794"/>
      <c r="AQ145" s="259"/>
      <c r="AR145" s="259" t="s">
        <v>2343</v>
      </c>
      <c r="AS145" s="790"/>
      <c r="AT145" s="259"/>
      <c r="AU145" s="259"/>
      <c r="AV145" s="261"/>
      <c r="AW145" s="261"/>
      <c r="AX145" s="790"/>
      <c r="AY145" s="262"/>
    </row>
    <row r="146" spans="1:51" s="260" customFormat="1" ht="103.5" hidden="1" customHeight="1">
      <c r="A146" s="790"/>
      <c r="B146" s="266"/>
      <c r="C146" s="1399"/>
      <c r="D146" s="1408"/>
      <c r="E146" s="1400"/>
      <c r="F146" s="267"/>
      <c r="G146" s="1399"/>
      <c r="H146" s="1408"/>
      <c r="I146" s="1400"/>
      <c r="J146" s="1380"/>
      <c r="K146" s="1380"/>
      <c r="L146" s="1380"/>
      <c r="M146" s="790"/>
      <c r="N146" s="790"/>
      <c r="O146" s="790"/>
      <c r="P146" s="790"/>
      <c r="Q146" s="266"/>
      <c r="R146" s="266"/>
      <c r="S146" s="268"/>
      <c r="T146" s="269" t="e">
        <f>VLOOKUP(Q146,[71]Listas!$D$6:$E$10,2,0)</f>
        <v>#N/A</v>
      </c>
      <c r="U146" s="269" t="e">
        <f>HLOOKUP(R146,[71]Listas!$F$4:$J$5,2,0)</f>
        <v>#N/A</v>
      </c>
      <c r="V146" s="270" t="e">
        <f>INDEX([71]Listas!$F$6:$J$10,MATCH(Q146,[71]Listas!$D$6:$D$10,0),MATCH(R146,[71]Listas!$F$4:$J$4,0))</f>
        <v>#N/A</v>
      </c>
      <c r="W146" s="268"/>
      <c r="X146" s="1399"/>
      <c r="Y146" s="1408"/>
      <c r="Z146" s="1400"/>
      <c r="AA146" s="1063"/>
      <c r="AB146" s="267"/>
      <c r="AC146" s="259"/>
      <c r="AD146" s="790"/>
      <c r="AE146" s="267"/>
      <c r="AF146" s="268"/>
      <c r="AG146" s="269">
        <f t="shared" si="10"/>
        <v>0</v>
      </c>
      <c r="AH146" s="271" t="e">
        <f t="shared" si="11"/>
        <v>#N/A</v>
      </c>
      <c r="AI146" s="272" t="e">
        <f>IF(AH146&lt;=1,"Remota",VLOOKUP(AH146,[71]Listas!$C$6:$D$10,2,0))</f>
        <v>#N/A</v>
      </c>
      <c r="AJ146" s="271" t="e">
        <f t="shared" si="12"/>
        <v>#N/A</v>
      </c>
      <c r="AK146" s="272" t="e">
        <f>IF(AJ146&lt;=1,"Insignificante",HLOOKUP(AJ146,[71]Listas!$F$3:$J$4,2,0))</f>
        <v>#N/A</v>
      </c>
      <c r="AL146" s="273" t="e">
        <f t="shared" si="13"/>
        <v>#N/A</v>
      </c>
      <c r="AM146" s="270" t="e">
        <f>INDEX([71]Listas!$F$6:$J$10,MATCH(AI146,[71]Listas!$D$6:$D$10,0),MATCH(AK146,[71]Listas!$F$4:$J$4,0))</f>
        <v>#N/A</v>
      </c>
      <c r="AN146" s="259"/>
      <c r="AO146" s="259"/>
      <c r="AP146" s="794"/>
      <c r="AQ146" s="259"/>
      <c r="AR146" s="259" t="s">
        <v>2343</v>
      </c>
      <c r="AS146" s="790"/>
      <c r="AT146" s="259"/>
      <c r="AU146" s="259"/>
      <c r="AV146" s="261"/>
      <c r="AW146" s="261"/>
      <c r="AX146" s="790"/>
      <c r="AY146" s="262"/>
    </row>
    <row r="147" spans="1:51" s="260" customFormat="1" ht="103.5" hidden="1" customHeight="1">
      <c r="A147" s="790"/>
      <c r="B147" s="266"/>
      <c r="C147" s="1399"/>
      <c r="D147" s="1408"/>
      <c r="E147" s="1400"/>
      <c r="F147" s="267"/>
      <c r="G147" s="1399"/>
      <c r="H147" s="1408"/>
      <c r="I147" s="1400"/>
      <c r="J147" s="1380"/>
      <c r="K147" s="1380"/>
      <c r="L147" s="1380"/>
      <c r="M147" s="790"/>
      <c r="N147" s="790"/>
      <c r="O147" s="790"/>
      <c r="P147" s="790"/>
      <c r="Q147" s="266"/>
      <c r="R147" s="266"/>
      <c r="S147" s="268"/>
      <c r="T147" s="269" t="e">
        <f>VLOOKUP(Q147,[71]Listas!$D$6:$E$10,2,0)</f>
        <v>#N/A</v>
      </c>
      <c r="U147" s="269" t="e">
        <f>HLOOKUP(R147,[71]Listas!$F$4:$J$5,2,0)</f>
        <v>#N/A</v>
      </c>
      <c r="V147" s="270" t="e">
        <f>INDEX([71]Listas!$F$6:$J$10,MATCH(Q147,[71]Listas!$D$6:$D$10,0),MATCH(R147,[71]Listas!$F$4:$J$4,0))</f>
        <v>#N/A</v>
      </c>
      <c r="W147" s="268"/>
      <c r="X147" s="1399"/>
      <c r="Y147" s="1408"/>
      <c r="Z147" s="1400"/>
      <c r="AA147" s="1063"/>
      <c r="AB147" s="267"/>
      <c r="AC147" s="259"/>
      <c r="AD147" s="790"/>
      <c r="AE147" s="267"/>
      <c r="AF147" s="268"/>
      <c r="AG147" s="269">
        <f t="shared" si="10"/>
        <v>0</v>
      </c>
      <c r="AH147" s="271" t="e">
        <f t="shared" si="11"/>
        <v>#N/A</v>
      </c>
      <c r="AI147" s="272" t="e">
        <f>IF(AH147&lt;=1,"Remota",VLOOKUP(AH147,[71]Listas!$C$6:$D$10,2,0))</f>
        <v>#N/A</v>
      </c>
      <c r="AJ147" s="271" t="e">
        <f t="shared" si="12"/>
        <v>#N/A</v>
      </c>
      <c r="AK147" s="272" t="e">
        <f>IF(AJ147&lt;=1,"Insignificante",HLOOKUP(AJ147,[71]Listas!$F$3:$J$4,2,0))</f>
        <v>#N/A</v>
      </c>
      <c r="AL147" s="273" t="e">
        <f t="shared" si="13"/>
        <v>#N/A</v>
      </c>
      <c r="AM147" s="270" t="e">
        <f>INDEX([71]Listas!$F$6:$J$10,MATCH(AI147,[71]Listas!$D$6:$D$10,0),MATCH(AK147,[71]Listas!$F$4:$J$4,0))</f>
        <v>#N/A</v>
      </c>
      <c r="AN147" s="259"/>
      <c r="AO147" s="259"/>
      <c r="AP147" s="794"/>
      <c r="AQ147" s="259"/>
      <c r="AR147" s="259" t="s">
        <v>2343</v>
      </c>
      <c r="AS147" s="790"/>
      <c r="AT147" s="259"/>
      <c r="AU147" s="259"/>
      <c r="AV147" s="261"/>
      <c r="AW147" s="261"/>
      <c r="AX147" s="790"/>
      <c r="AY147" s="262"/>
    </row>
    <row r="148" spans="1:51" s="260" customFormat="1" ht="103.5" hidden="1" customHeight="1">
      <c r="A148" s="790"/>
      <c r="B148" s="266"/>
      <c r="C148" s="1399"/>
      <c r="D148" s="1408"/>
      <c r="E148" s="1400"/>
      <c r="F148" s="267"/>
      <c r="G148" s="1399"/>
      <c r="H148" s="1408"/>
      <c r="I148" s="1400"/>
      <c r="J148" s="1380"/>
      <c r="K148" s="1380"/>
      <c r="L148" s="1380"/>
      <c r="M148" s="790"/>
      <c r="N148" s="790"/>
      <c r="O148" s="790"/>
      <c r="P148" s="790"/>
      <c r="Q148" s="266"/>
      <c r="R148" s="266"/>
      <c r="S148" s="268"/>
      <c r="T148" s="269" t="e">
        <f>VLOOKUP(Q148,[71]Listas!$D$6:$E$10,2,0)</f>
        <v>#N/A</v>
      </c>
      <c r="U148" s="269" t="e">
        <f>HLOOKUP(R148,[71]Listas!$F$4:$J$5,2,0)</f>
        <v>#N/A</v>
      </c>
      <c r="V148" s="270" t="e">
        <f>INDEX([71]Listas!$F$6:$J$10,MATCH(Q148,[71]Listas!$D$6:$D$10,0),MATCH(R148,[71]Listas!$F$4:$J$4,0))</f>
        <v>#N/A</v>
      </c>
      <c r="W148" s="268"/>
      <c r="X148" s="1399"/>
      <c r="Y148" s="1408"/>
      <c r="Z148" s="1400"/>
      <c r="AA148" s="1063"/>
      <c r="AB148" s="267"/>
      <c r="AC148" s="259"/>
      <c r="AD148" s="790"/>
      <c r="AE148" s="267"/>
      <c r="AF148" s="268"/>
      <c r="AG148" s="269">
        <f t="shared" si="10"/>
        <v>0</v>
      </c>
      <c r="AH148" s="271" t="e">
        <f t="shared" si="11"/>
        <v>#N/A</v>
      </c>
      <c r="AI148" s="272" t="e">
        <f>IF(AH148&lt;=1,"Remota",VLOOKUP(AH148,[71]Listas!$C$6:$D$10,2,0))</f>
        <v>#N/A</v>
      </c>
      <c r="AJ148" s="271" t="e">
        <f t="shared" si="12"/>
        <v>#N/A</v>
      </c>
      <c r="AK148" s="272" t="e">
        <f>IF(AJ148&lt;=1,"Insignificante",HLOOKUP(AJ148,[71]Listas!$F$3:$J$4,2,0))</f>
        <v>#N/A</v>
      </c>
      <c r="AL148" s="273" t="e">
        <f t="shared" si="13"/>
        <v>#N/A</v>
      </c>
      <c r="AM148" s="270" t="e">
        <f>INDEX([71]Listas!$F$6:$J$10,MATCH(AI148,[71]Listas!$D$6:$D$10,0),MATCH(AK148,[71]Listas!$F$4:$J$4,0))</f>
        <v>#N/A</v>
      </c>
      <c r="AN148" s="259"/>
      <c r="AO148" s="259"/>
      <c r="AP148" s="794"/>
      <c r="AQ148" s="259"/>
      <c r="AR148" s="259" t="s">
        <v>2343</v>
      </c>
      <c r="AS148" s="790"/>
      <c r="AT148" s="259"/>
      <c r="AU148" s="259"/>
      <c r="AV148" s="261"/>
      <c r="AW148" s="261"/>
      <c r="AX148" s="790"/>
      <c r="AY148" s="262"/>
    </row>
    <row r="149" spans="1:51" s="260" customFormat="1" ht="103.5" hidden="1" customHeight="1">
      <c r="A149" s="790"/>
      <c r="B149" s="266"/>
      <c r="C149" s="1399"/>
      <c r="D149" s="1408"/>
      <c r="E149" s="1400"/>
      <c r="F149" s="267"/>
      <c r="G149" s="1399"/>
      <c r="H149" s="1408"/>
      <c r="I149" s="1400"/>
      <c r="J149" s="1380"/>
      <c r="K149" s="1380"/>
      <c r="L149" s="1380"/>
      <c r="M149" s="790"/>
      <c r="N149" s="790"/>
      <c r="O149" s="790"/>
      <c r="P149" s="790"/>
      <c r="Q149" s="266"/>
      <c r="R149" s="266"/>
      <c r="S149" s="268"/>
      <c r="T149" s="269" t="e">
        <f>VLOOKUP(Q149,[71]Listas!$D$6:$E$10,2,0)</f>
        <v>#N/A</v>
      </c>
      <c r="U149" s="269" t="e">
        <f>HLOOKUP(R149,[71]Listas!$F$4:$J$5,2,0)</f>
        <v>#N/A</v>
      </c>
      <c r="V149" s="270" t="e">
        <f>INDEX([71]Listas!$F$6:$J$10,MATCH(Q149,[71]Listas!$D$6:$D$10,0),MATCH(R149,[71]Listas!$F$4:$J$4,0))</f>
        <v>#N/A</v>
      </c>
      <c r="W149" s="268"/>
      <c r="X149" s="1399"/>
      <c r="Y149" s="1408"/>
      <c r="Z149" s="1400"/>
      <c r="AA149" s="1063"/>
      <c r="AB149" s="267"/>
      <c r="AC149" s="259"/>
      <c r="AD149" s="790"/>
      <c r="AE149" s="267"/>
      <c r="AF149" s="268"/>
      <c r="AG149" s="269">
        <f t="shared" si="10"/>
        <v>0</v>
      </c>
      <c r="AH149" s="271" t="e">
        <f t="shared" si="11"/>
        <v>#N/A</v>
      </c>
      <c r="AI149" s="272" t="e">
        <f>IF(AH149&lt;=1,"Remota",VLOOKUP(AH149,[71]Listas!$C$6:$D$10,2,0))</f>
        <v>#N/A</v>
      </c>
      <c r="AJ149" s="271" t="e">
        <f t="shared" si="12"/>
        <v>#N/A</v>
      </c>
      <c r="AK149" s="272" t="e">
        <f>IF(AJ149&lt;=1,"Insignificante",HLOOKUP(AJ149,[71]Listas!$F$3:$J$4,2,0))</f>
        <v>#N/A</v>
      </c>
      <c r="AL149" s="273" t="e">
        <f t="shared" si="13"/>
        <v>#N/A</v>
      </c>
      <c r="AM149" s="270" t="e">
        <f>INDEX([71]Listas!$F$6:$J$10,MATCH(AI149,[71]Listas!$D$6:$D$10,0),MATCH(AK149,[71]Listas!$F$4:$J$4,0))</f>
        <v>#N/A</v>
      </c>
      <c r="AN149" s="259"/>
      <c r="AO149" s="259"/>
      <c r="AP149" s="794"/>
      <c r="AQ149" s="259"/>
      <c r="AR149" s="259" t="s">
        <v>2343</v>
      </c>
      <c r="AS149" s="790"/>
      <c r="AT149" s="259"/>
      <c r="AU149" s="259"/>
      <c r="AV149" s="261"/>
      <c r="AW149" s="261"/>
      <c r="AX149" s="790"/>
      <c r="AY149" s="262"/>
    </row>
    <row r="150" spans="1:51" s="260" customFormat="1" ht="103.5" hidden="1" customHeight="1">
      <c r="A150" s="790"/>
      <c r="B150" s="266"/>
      <c r="C150" s="1399"/>
      <c r="D150" s="1408"/>
      <c r="E150" s="1400"/>
      <c r="F150" s="267"/>
      <c r="G150" s="1399"/>
      <c r="H150" s="1408"/>
      <c r="I150" s="1400"/>
      <c r="J150" s="1380"/>
      <c r="K150" s="1380"/>
      <c r="L150" s="1380"/>
      <c r="M150" s="790"/>
      <c r="N150" s="790"/>
      <c r="O150" s="790"/>
      <c r="P150" s="790"/>
      <c r="Q150" s="266"/>
      <c r="R150" s="266"/>
      <c r="S150" s="268"/>
      <c r="T150" s="269" t="e">
        <f>VLOOKUP(Q150,[71]Listas!$D$6:$E$10,2,0)</f>
        <v>#N/A</v>
      </c>
      <c r="U150" s="269" t="e">
        <f>HLOOKUP(R150,[71]Listas!$F$4:$J$5,2,0)</f>
        <v>#N/A</v>
      </c>
      <c r="V150" s="270" t="e">
        <f>INDEX([71]Listas!$F$6:$J$10,MATCH(Q150,[71]Listas!$D$6:$D$10,0),MATCH(R150,[71]Listas!$F$4:$J$4,0))</f>
        <v>#N/A</v>
      </c>
      <c r="W150" s="268"/>
      <c r="X150" s="1399"/>
      <c r="Y150" s="1408"/>
      <c r="Z150" s="1400"/>
      <c r="AA150" s="1063"/>
      <c r="AB150" s="267"/>
      <c r="AC150" s="259"/>
      <c r="AD150" s="790"/>
      <c r="AE150" s="267"/>
      <c r="AF150" s="268"/>
      <c r="AG150" s="269">
        <f t="shared" si="10"/>
        <v>0</v>
      </c>
      <c r="AH150" s="271" t="e">
        <f t="shared" si="11"/>
        <v>#N/A</v>
      </c>
      <c r="AI150" s="272" t="e">
        <f>IF(AH150&lt;=1,"Remota",VLOOKUP(AH150,[71]Listas!$C$6:$D$10,2,0))</f>
        <v>#N/A</v>
      </c>
      <c r="AJ150" s="271" t="e">
        <f t="shared" si="12"/>
        <v>#N/A</v>
      </c>
      <c r="AK150" s="272" t="e">
        <f>IF(AJ150&lt;=1,"Insignificante",HLOOKUP(AJ150,[71]Listas!$F$3:$J$4,2,0))</f>
        <v>#N/A</v>
      </c>
      <c r="AL150" s="273" t="e">
        <f t="shared" si="13"/>
        <v>#N/A</v>
      </c>
      <c r="AM150" s="270" t="e">
        <f>INDEX([71]Listas!$F$6:$J$10,MATCH(AI150,[71]Listas!$D$6:$D$10,0),MATCH(AK150,[71]Listas!$F$4:$J$4,0))</f>
        <v>#N/A</v>
      </c>
      <c r="AN150" s="259"/>
      <c r="AO150" s="259"/>
      <c r="AP150" s="794"/>
      <c r="AQ150" s="259"/>
      <c r="AR150" s="259" t="s">
        <v>2343</v>
      </c>
      <c r="AS150" s="790"/>
      <c r="AT150" s="259"/>
      <c r="AU150" s="259"/>
      <c r="AV150" s="261"/>
      <c r="AW150" s="261"/>
      <c r="AX150" s="790"/>
      <c r="AY150" s="262"/>
    </row>
    <row r="151" spans="1:51" s="260" customFormat="1" ht="103.5" hidden="1" customHeight="1">
      <c r="A151" s="790"/>
      <c r="B151" s="266"/>
      <c r="C151" s="1399"/>
      <c r="D151" s="1408"/>
      <c r="E151" s="1400"/>
      <c r="F151" s="267"/>
      <c r="G151" s="1399"/>
      <c r="H151" s="1408"/>
      <c r="I151" s="1400"/>
      <c r="J151" s="1380"/>
      <c r="K151" s="1380"/>
      <c r="L151" s="1380"/>
      <c r="M151" s="790"/>
      <c r="N151" s="790"/>
      <c r="O151" s="790"/>
      <c r="P151" s="790"/>
      <c r="Q151" s="266"/>
      <c r="R151" s="266"/>
      <c r="S151" s="268"/>
      <c r="T151" s="269" t="e">
        <f>VLOOKUP(Q151,[71]Listas!$D$6:$E$10,2,0)</f>
        <v>#N/A</v>
      </c>
      <c r="U151" s="269" t="e">
        <f>HLOOKUP(R151,[71]Listas!$F$4:$J$5,2,0)</f>
        <v>#N/A</v>
      </c>
      <c r="V151" s="270" t="e">
        <f>INDEX([71]Listas!$F$6:$J$10,MATCH(Q151,[71]Listas!$D$6:$D$10,0),MATCH(R151,[71]Listas!$F$4:$J$4,0))</f>
        <v>#N/A</v>
      </c>
      <c r="W151" s="268"/>
      <c r="X151" s="1399"/>
      <c r="Y151" s="1408"/>
      <c r="Z151" s="1400"/>
      <c r="AA151" s="1063"/>
      <c r="AB151" s="267"/>
      <c r="AC151" s="259"/>
      <c r="AD151" s="790"/>
      <c r="AE151" s="267"/>
      <c r="AF151" s="268"/>
      <c r="AG151" s="269">
        <f t="shared" ref="AG151:AG168" si="14">IF(AD151&lt;=33,0,IF(AD151&gt;81,2,1))</f>
        <v>0</v>
      </c>
      <c r="AH151" s="271" t="e">
        <f t="shared" ref="AH151:AH168" si="15">IF(OR(AE151="Probabilidad",AE151="Ambos"),T151-AG151,T151)</f>
        <v>#N/A</v>
      </c>
      <c r="AI151" s="272" t="e">
        <f>IF(AH151&lt;=1,"Remota",VLOOKUP(AH151,[71]Listas!$C$6:$D$10,2,0))</f>
        <v>#N/A</v>
      </c>
      <c r="AJ151" s="271" t="e">
        <f t="shared" ref="AJ151:AJ168" si="16">IF(OR(AE151="Impacto",AE151="Ambos"),U151-AG151,U151)</f>
        <v>#N/A</v>
      </c>
      <c r="AK151" s="272" t="e">
        <f>IF(AJ151&lt;=1,"Insignificante",HLOOKUP(AJ151,[71]Listas!$F$3:$J$4,2,0))</f>
        <v>#N/A</v>
      </c>
      <c r="AL151" s="273" t="e">
        <f t="shared" ref="AL151:AL168" si="17">AH151*AJ151</f>
        <v>#N/A</v>
      </c>
      <c r="AM151" s="270" t="e">
        <f>INDEX([71]Listas!$F$6:$J$10,MATCH(AI151,[71]Listas!$D$6:$D$10,0),MATCH(AK151,[71]Listas!$F$4:$J$4,0))</f>
        <v>#N/A</v>
      </c>
      <c r="AN151" s="259"/>
      <c r="AO151" s="259"/>
      <c r="AP151" s="794"/>
      <c r="AQ151" s="259"/>
      <c r="AR151" s="259" t="s">
        <v>2343</v>
      </c>
      <c r="AS151" s="790"/>
      <c r="AT151" s="259"/>
      <c r="AU151" s="259"/>
      <c r="AV151" s="261"/>
      <c r="AW151" s="261"/>
      <c r="AX151" s="790"/>
      <c r="AY151" s="262"/>
    </row>
    <row r="152" spans="1:51" s="260" customFormat="1" ht="103.5" hidden="1" customHeight="1">
      <c r="A152" s="790"/>
      <c r="B152" s="266"/>
      <c r="C152" s="1399"/>
      <c r="D152" s="1408"/>
      <c r="E152" s="1400"/>
      <c r="F152" s="267"/>
      <c r="G152" s="1399"/>
      <c r="H152" s="1408"/>
      <c r="I152" s="1400"/>
      <c r="J152" s="1380"/>
      <c r="K152" s="1380"/>
      <c r="L152" s="1380"/>
      <c r="M152" s="790"/>
      <c r="N152" s="790"/>
      <c r="O152" s="790"/>
      <c r="P152" s="790"/>
      <c r="Q152" s="266"/>
      <c r="R152" s="266"/>
      <c r="S152" s="268"/>
      <c r="T152" s="269" t="e">
        <f>VLOOKUP(Q152,[71]Listas!$D$6:$E$10,2,0)</f>
        <v>#N/A</v>
      </c>
      <c r="U152" s="269" t="e">
        <f>HLOOKUP(R152,[71]Listas!$F$4:$J$5,2,0)</f>
        <v>#N/A</v>
      </c>
      <c r="V152" s="270" t="e">
        <f>INDEX([71]Listas!$F$6:$J$10,MATCH(Q152,[71]Listas!$D$6:$D$10,0),MATCH(R152,[71]Listas!$F$4:$J$4,0))</f>
        <v>#N/A</v>
      </c>
      <c r="W152" s="268"/>
      <c r="X152" s="1399"/>
      <c r="Y152" s="1408"/>
      <c r="Z152" s="1400"/>
      <c r="AA152" s="1063"/>
      <c r="AB152" s="267"/>
      <c r="AC152" s="259"/>
      <c r="AD152" s="790"/>
      <c r="AE152" s="267"/>
      <c r="AF152" s="268"/>
      <c r="AG152" s="269">
        <f t="shared" si="14"/>
        <v>0</v>
      </c>
      <c r="AH152" s="271" t="e">
        <f t="shared" si="15"/>
        <v>#N/A</v>
      </c>
      <c r="AI152" s="272" t="e">
        <f>IF(AH152&lt;=1,"Remota",VLOOKUP(AH152,[71]Listas!$C$6:$D$10,2,0))</f>
        <v>#N/A</v>
      </c>
      <c r="AJ152" s="271" t="e">
        <f t="shared" si="16"/>
        <v>#N/A</v>
      </c>
      <c r="AK152" s="272" t="e">
        <f>IF(AJ152&lt;=1,"Insignificante",HLOOKUP(AJ152,[71]Listas!$F$3:$J$4,2,0))</f>
        <v>#N/A</v>
      </c>
      <c r="AL152" s="273" t="e">
        <f t="shared" si="17"/>
        <v>#N/A</v>
      </c>
      <c r="AM152" s="270" t="e">
        <f>INDEX([71]Listas!$F$6:$J$10,MATCH(AI152,[71]Listas!$D$6:$D$10,0),MATCH(AK152,[71]Listas!$F$4:$J$4,0))</f>
        <v>#N/A</v>
      </c>
      <c r="AN152" s="259"/>
      <c r="AO152" s="259"/>
      <c r="AP152" s="794"/>
      <c r="AQ152" s="259"/>
      <c r="AR152" s="259" t="s">
        <v>2343</v>
      </c>
      <c r="AS152" s="790"/>
      <c r="AT152" s="259"/>
      <c r="AU152" s="259"/>
      <c r="AV152" s="261"/>
      <c r="AW152" s="261"/>
      <c r="AX152" s="790"/>
      <c r="AY152" s="262"/>
    </row>
    <row r="153" spans="1:51" s="260" customFormat="1" ht="103.5" hidden="1" customHeight="1">
      <c r="A153" s="790"/>
      <c r="B153" s="266"/>
      <c r="C153" s="1399"/>
      <c r="D153" s="1408"/>
      <c r="E153" s="1400"/>
      <c r="F153" s="267"/>
      <c r="G153" s="1399"/>
      <c r="H153" s="1408"/>
      <c r="I153" s="1400"/>
      <c r="J153" s="1380"/>
      <c r="K153" s="1380"/>
      <c r="L153" s="1380"/>
      <c r="M153" s="790"/>
      <c r="N153" s="790"/>
      <c r="O153" s="790"/>
      <c r="P153" s="790"/>
      <c r="Q153" s="266"/>
      <c r="R153" s="266"/>
      <c r="S153" s="268"/>
      <c r="T153" s="269" t="e">
        <f>VLOOKUP(Q153,[71]Listas!$D$6:$E$10,2,0)</f>
        <v>#N/A</v>
      </c>
      <c r="U153" s="269" t="e">
        <f>HLOOKUP(R153,[71]Listas!$F$4:$J$5,2,0)</f>
        <v>#N/A</v>
      </c>
      <c r="V153" s="270" t="e">
        <f>INDEX([71]Listas!$F$6:$J$10,MATCH(Q153,[71]Listas!$D$6:$D$10,0),MATCH(R153,[71]Listas!$F$4:$J$4,0))</f>
        <v>#N/A</v>
      </c>
      <c r="W153" s="268"/>
      <c r="X153" s="1399"/>
      <c r="Y153" s="1408"/>
      <c r="Z153" s="1400"/>
      <c r="AA153" s="1063"/>
      <c r="AB153" s="267"/>
      <c r="AC153" s="259"/>
      <c r="AD153" s="790"/>
      <c r="AE153" s="267"/>
      <c r="AF153" s="268"/>
      <c r="AG153" s="269">
        <f t="shared" si="14"/>
        <v>0</v>
      </c>
      <c r="AH153" s="271" t="e">
        <f t="shared" si="15"/>
        <v>#N/A</v>
      </c>
      <c r="AI153" s="272" t="e">
        <f>IF(AH153&lt;=1,"Remota",VLOOKUP(AH153,[71]Listas!$C$6:$D$10,2,0))</f>
        <v>#N/A</v>
      </c>
      <c r="AJ153" s="271" t="e">
        <f t="shared" si="16"/>
        <v>#N/A</v>
      </c>
      <c r="AK153" s="272" t="e">
        <f>IF(AJ153&lt;=1,"Insignificante",HLOOKUP(AJ153,[71]Listas!$F$3:$J$4,2,0))</f>
        <v>#N/A</v>
      </c>
      <c r="AL153" s="273" t="e">
        <f t="shared" si="17"/>
        <v>#N/A</v>
      </c>
      <c r="AM153" s="270" t="e">
        <f>INDEX([71]Listas!$F$6:$J$10,MATCH(AI153,[71]Listas!$D$6:$D$10,0),MATCH(AK153,[71]Listas!$F$4:$J$4,0))</f>
        <v>#N/A</v>
      </c>
      <c r="AN153" s="259"/>
      <c r="AO153" s="259"/>
      <c r="AP153" s="794"/>
      <c r="AQ153" s="259"/>
      <c r="AR153" s="259" t="s">
        <v>2343</v>
      </c>
      <c r="AS153" s="790"/>
      <c r="AT153" s="259"/>
      <c r="AU153" s="259"/>
      <c r="AV153" s="261"/>
      <c r="AW153" s="261"/>
      <c r="AX153" s="790"/>
      <c r="AY153" s="262"/>
    </row>
    <row r="154" spans="1:51" s="260" customFormat="1" ht="103.5" hidden="1" customHeight="1">
      <c r="A154" s="790"/>
      <c r="B154" s="266"/>
      <c r="C154" s="1399"/>
      <c r="D154" s="1408"/>
      <c r="E154" s="1400"/>
      <c r="F154" s="267"/>
      <c r="G154" s="1399"/>
      <c r="H154" s="1408"/>
      <c r="I154" s="1400"/>
      <c r="J154" s="1380"/>
      <c r="K154" s="1380"/>
      <c r="L154" s="1380"/>
      <c r="M154" s="790"/>
      <c r="N154" s="790"/>
      <c r="O154" s="790"/>
      <c r="P154" s="790"/>
      <c r="Q154" s="266"/>
      <c r="R154" s="266"/>
      <c r="S154" s="268"/>
      <c r="T154" s="269" t="e">
        <f>VLOOKUP(Q154,[71]Listas!$D$6:$E$10,2,0)</f>
        <v>#N/A</v>
      </c>
      <c r="U154" s="269" t="e">
        <f>HLOOKUP(R154,[71]Listas!$F$4:$J$5,2,0)</f>
        <v>#N/A</v>
      </c>
      <c r="V154" s="270" t="e">
        <f>INDEX([71]Listas!$F$6:$J$10,MATCH(Q154,[71]Listas!$D$6:$D$10,0),MATCH(R154,[71]Listas!$F$4:$J$4,0))</f>
        <v>#N/A</v>
      </c>
      <c r="W154" s="268"/>
      <c r="X154" s="1399"/>
      <c r="Y154" s="1408"/>
      <c r="Z154" s="1400"/>
      <c r="AA154" s="1063"/>
      <c r="AB154" s="267"/>
      <c r="AC154" s="259"/>
      <c r="AD154" s="790"/>
      <c r="AE154" s="267"/>
      <c r="AF154" s="268"/>
      <c r="AG154" s="269">
        <f t="shared" si="14"/>
        <v>0</v>
      </c>
      <c r="AH154" s="271" t="e">
        <f t="shared" si="15"/>
        <v>#N/A</v>
      </c>
      <c r="AI154" s="272" t="e">
        <f>IF(AH154&lt;=1,"Remota",VLOOKUP(AH154,[71]Listas!$C$6:$D$10,2,0))</f>
        <v>#N/A</v>
      </c>
      <c r="AJ154" s="271" t="e">
        <f t="shared" si="16"/>
        <v>#N/A</v>
      </c>
      <c r="AK154" s="272" t="e">
        <f>IF(AJ154&lt;=1,"Insignificante",HLOOKUP(AJ154,[71]Listas!$F$3:$J$4,2,0))</f>
        <v>#N/A</v>
      </c>
      <c r="AL154" s="273" t="e">
        <f t="shared" si="17"/>
        <v>#N/A</v>
      </c>
      <c r="AM154" s="270" t="e">
        <f>INDEX([71]Listas!$F$6:$J$10,MATCH(AI154,[71]Listas!$D$6:$D$10,0),MATCH(AK154,[71]Listas!$F$4:$J$4,0))</f>
        <v>#N/A</v>
      </c>
      <c r="AN154" s="259"/>
      <c r="AO154" s="259"/>
      <c r="AP154" s="794"/>
      <c r="AQ154" s="259"/>
      <c r="AR154" s="259" t="s">
        <v>2343</v>
      </c>
      <c r="AS154" s="790"/>
      <c r="AT154" s="259"/>
      <c r="AU154" s="259"/>
      <c r="AV154" s="261"/>
      <c r="AW154" s="261"/>
      <c r="AX154" s="790"/>
      <c r="AY154" s="262"/>
    </row>
    <row r="155" spans="1:51" s="260" customFormat="1" ht="103.5" hidden="1" customHeight="1">
      <c r="A155" s="790"/>
      <c r="B155" s="266"/>
      <c r="C155" s="1399"/>
      <c r="D155" s="1408"/>
      <c r="E155" s="1400"/>
      <c r="F155" s="267"/>
      <c r="G155" s="1399"/>
      <c r="H155" s="1408"/>
      <c r="I155" s="1400"/>
      <c r="J155" s="1380"/>
      <c r="K155" s="1380"/>
      <c r="L155" s="1380"/>
      <c r="M155" s="790"/>
      <c r="N155" s="790"/>
      <c r="O155" s="790"/>
      <c r="P155" s="790"/>
      <c r="Q155" s="266"/>
      <c r="R155" s="266"/>
      <c r="S155" s="268"/>
      <c r="T155" s="269" t="e">
        <f>VLOOKUP(Q155,[71]Listas!$D$6:$E$10,2,0)</f>
        <v>#N/A</v>
      </c>
      <c r="U155" s="269" t="e">
        <f>HLOOKUP(R155,[71]Listas!$F$4:$J$5,2,0)</f>
        <v>#N/A</v>
      </c>
      <c r="V155" s="270" t="e">
        <f>INDEX([71]Listas!$F$6:$J$10,MATCH(Q155,[71]Listas!$D$6:$D$10,0),MATCH(R155,[71]Listas!$F$4:$J$4,0))</f>
        <v>#N/A</v>
      </c>
      <c r="W155" s="268"/>
      <c r="X155" s="1399"/>
      <c r="Y155" s="1408"/>
      <c r="Z155" s="1400"/>
      <c r="AA155" s="1063"/>
      <c r="AB155" s="267"/>
      <c r="AC155" s="259"/>
      <c r="AD155" s="790"/>
      <c r="AE155" s="267"/>
      <c r="AF155" s="268"/>
      <c r="AG155" s="269">
        <f t="shared" si="14"/>
        <v>0</v>
      </c>
      <c r="AH155" s="271" t="e">
        <f t="shared" si="15"/>
        <v>#N/A</v>
      </c>
      <c r="AI155" s="272" t="e">
        <f>IF(AH155&lt;=1,"Remota",VLOOKUP(AH155,[71]Listas!$C$6:$D$10,2,0))</f>
        <v>#N/A</v>
      </c>
      <c r="AJ155" s="271" t="e">
        <f t="shared" si="16"/>
        <v>#N/A</v>
      </c>
      <c r="AK155" s="272" t="e">
        <f>IF(AJ155&lt;=1,"Insignificante",HLOOKUP(AJ155,[71]Listas!$F$3:$J$4,2,0))</f>
        <v>#N/A</v>
      </c>
      <c r="AL155" s="273" t="e">
        <f t="shared" si="17"/>
        <v>#N/A</v>
      </c>
      <c r="AM155" s="270" t="e">
        <f>INDEX([71]Listas!$F$6:$J$10,MATCH(AI155,[71]Listas!$D$6:$D$10,0),MATCH(AK155,[71]Listas!$F$4:$J$4,0))</f>
        <v>#N/A</v>
      </c>
      <c r="AN155" s="259"/>
      <c r="AO155" s="259"/>
      <c r="AP155" s="794"/>
      <c r="AQ155" s="259"/>
      <c r="AR155" s="259" t="s">
        <v>2343</v>
      </c>
      <c r="AS155" s="790"/>
      <c r="AT155" s="259"/>
      <c r="AU155" s="259"/>
      <c r="AV155" s="261"/>
      <c r="AW155" s="261"/>
      <c r="AX155" s="790"/>
      <c r="AY155" s="262"/>
    </row>
    <row r="156" spans="1:51" s="260" customFormat="1" ht="103.5" hidden="1" customHeight="1">
      <c r="A156" s="790"/>
      <c r="B156" s="266"/>
      <c r="C156" s="1399"/>
      <c r="D156" s="1408"/>
      <c r="E156" s="1400"/>
      <c r="F156" s="267"/>
      <c r="G156" s="1399"/>
      <c r="H156" s="1408"/>
      <c r="I156" s="1400"/>
      <c r="J156" s="1380"/>
      <c r="K156" s="1380"/>
      <c r="L156" s="1380"/>
      <c r="M156" s="790"/>
      <c r="N156" s="790"/>
      <c r="O156" s="790"/>
      <c r="P156" s="790"/>
      <c r="Q156" s="266"/>
      <c r="R156" s="266"/>
      <c r="S156" s="268"/>
      <c r="T156" s="269" t="e">
        <f>VLOOKUP(Q156,[71]Listas!$D$6:$E$10,2,0)</f>
        <v>#N/A</v>
      </c>
      <c r="U156" s="269" t="e">
        <f>HLOOKUP(R156,[71]Listas!$F$4:$J$5,2,0)</f>
        <v>#N/A</v>
      </c>
      <c r="V156" s="270" t="e">
        <f>INDEX([71]Listas!$F$6:$J$10,MATCH(Q156,[71]Listas!$D$6:$D$10,0),MATCH(R156,[71]Listas!$F$4:$J$4,0))</f>
        <v>#N/A</v>
      </c>
      <c r="W156" s="268"/>
      <c r="X156" s="1399"/>
      <c r="Y156" s="1408"/>
      <c r="Z156" s="1400"/>
      <c r="AA156" s="1063"/>
      <c r="AB156" s="267"/>
      <c r="AC156" s="259"/>
      <c r="AD156" s="790"/>
      <c r="AE156" s="267"/>
      <c r="AF156" s="268"/>
      <c r="AG156" s="269">
        <f t="shared" si="14"/>
        <v>0</v>
      </c>
      <c r="AH156" s="271" t="e">
        <f t="shared" si="15"/>
        <v>#N/A</v>
      </c>
      <c r="AI156" s="272" t="e">
        <f>IF(AH156&lt;=1,"Remota",VLOOKUP(AH156,[71]Listas!$C$6:$D$10,2,0))</f>
        <v>#N/A</v>
      </c>
      <c r="AJ156" s="271" t="e">
        <f t="shared" si="16"/>
        <v>#N/A</v>
      </c>
      <c r="AK156" s="272" t="e">
        <f>IF(AJ156&lt;=1,"Insignificante",HLOOKUP(AJ156,[71]Listas!$F$3:$J$4,2,0))</f>
        <v>#N/A</v>
      </c>
      <c r="AL156" s="273" t="e">
        <f t="shared" si="17"/>
        <v>#N/A</v>
      </c>
      <c r="AM156" s="270" t="e">
        <f>INDEX([71]Listas!$F$6:$J$10,MATCH(AI156,[71]Listas!$D$6:$D$10,0),MATCH(AK156,[71]Listas!$F$4:$J$4,0))</f>
        <v>#N/A</v>
      </c>
      <c r="AN156" s="259"/>
      <c r="AO156" s="259"/>
      <c r="AP156" s="794"/>
      <c r="AQ156" s="259"/>
      <c r="AR156" s="259" t="s">
        <v>2343</v>
      </c>
      <c r="AS156" s="790"/>
      <c r="AT156" s="259"/>
      <c r="AU156" s="259"/>
      <c r="AV156" s="261"/>
      <c r="AW156" s="261"/>
      <c r="AX156" s="790"/>
      <c r="AY156" s="262"/>
    </row>
    <row r="157" spans="1:51" s="260" customFormat="1" ht="103.5" hidden="1" customHeight="1">
      <c r="A157" s="790"/>
      <c r="B157" s="266"/>
      <c r="C157" s="1399"/>
      <c r="D157" s="1408"/>
      <c r="E157" s="1400"/>
      <c r="F157" s="267"/>
      <c r="G157" s="1399"/>
      <c r="H157" s="1408"/>
      <c r="I157" s="1400"/>
      <c r="J157" s="1380"/>
      <c r="K157" s="1380"/>
      <c r="L157" s="1380"/>
      <c r="M157" s="790"/>
      <c r="N157" s="790"/>
      <c r="O157" s="790"/>
      <c r="P157" s="790"/>
      <c r="Q157" s="266"/>
      <c r="R157" s="266"/>
      <c r="S157" s="268"/>
      <c r="T157" s="269" t="e">
        <f>VLOOKUP(Q157,[71]Listas!$D$6:$E$10,2,0)</f>
        <v>#N/A</v>
      </c>
      <c r="U157" s="269" t="e">
        <f>HLOOKUP(R157,[71]Listas!$F$4:$J$5,2,0)</f>
        <v>#N/A</v>
      </c>
      <c r="V157" s="270" t="e">
        <f>INDEX([71]Listas!$F$6:$J$10,MATCH(Q157,[71]Listas!$D$6:$D$10,0),MATCH(R157,[71]Listas!$F$4:$J$4,0))</f>
        <v>#N/A</v>
      </c>
      <c r="W157" s="268"/>
      <c r="X157" s="1399"/>
      <c r="Y157" s="1408"/>
      <c r="Z157" s="1400"/>
      <c r="AA157" s="1063"/>
      <c r="AB157" s="267"/>
      <c r="AC157" s="259"/>
      <c r="AD157" s="790"/>
      <c r="AE157" s="267"/>
      <c r="AF157" s="268"/>
      <c r="AG157" s="269">
        <f t="shared" si="14"/>
        <v>0</v>
      </c>
      <c r="AH157" s="271" t="e">
        <f t="shared" si="15"/>
        <v>#N/A</v>
      </c>
      <c r="AI157" s="272" t="e">
        <f>IF(AH157&lt;=1,"Remota",VLOOKUP(AH157,[71]Listas!$C$6:$D$10,2,0))</f>
        <v>#N/A</v>
      </c>
      <c r="AJ157" s="271" t="e">
        <f t="shared" si="16"/>
        <v>#N/A</v>
      </c>
      <c r="AK157" s="272" t="e">
        <f>IF(AJ157&lt;=1,"Insignificante",HLOOKUP(AJ157,[71]Listas!$F$3:$J$4,2,0))</f>
        <v>#N/A</v>
      </c>
      <c r="AL157" s="273" t="e">
        <f t="shared" si="17"/>
        <v>#N/A</v>
      </c>
      <c r="AM157" s="270" t="e">
        <f>INDEX([71]Listas!$F$6:$J$10,MATCH(AI157,[71]Listas!$D$6:$D$10,0),MATCH(AK157,[71]Listas!$F$4:$J$4,0))</f>
        <v>#N/A</v>
      </c>
      <c r="AN157" s="259"/>
      <c r="AO157" s="259"/>
      <c r="AP157" s="794"/>
      <c r="AQ157" s="259"/>
      <c r="AR157" s="259" t="s">
        <v>2343</v>
      </c>
      <c r="AS157" s="790"/>
      <c r="AT157" s="259"/>
      <c r="AU157" s="259"/>
      <c r="AV157" s="261"/>
      <c r="AW157" s="261"/>
      <c r="AX157" s="790"/>
      <c r="AY157" s="262"/>
    </row>
    <row r="158" spans="1:51" s="260" customFormat="1" ht="103.5" hidden="1" customHeight="1">
      <c r="A158" s="790"/>
      <c r="B158" s="266"/>
      <c r="C158" s="1399"/>
      <c r="D158" s="1408"/>
      <c r="E158" s="1400"/>
      <c r="F158" s="267"/>
      <c r="G158" s="1399"/>
      <c r="H158" s="1408"/>
      <c r="I158" s="1400"/>
      <c r="J158" s="1380"/>
      <c r="K158" s="1380"/>
      <c r="L158" s="1380"/>
      <c r="M158" s="790"/>
      <c r="N158" s="790"/>
      <c r="O158" s="790"/>
      <c r="P158" s="790"/>
      <c r="Q158" s="266"/>
      <c r="R158" s="266"/>
      <c r="S158" s="268"/>
      <c r="T158" s="269" t="e">
        <f>VLOOKUP(Q158,[71]Listas!$D$6:$E$10,2,0)</f>
        <v>#N/A</v>
      </c>
      <c r="U158" s="269" t="e">
        <f>HLOOKUP(R158,[71]Listas!$F$4:$J$5,2,0)</f>
        <v>#N/A</v>
      </c>
      <c r="V158" s="270" t="e">
        <f>INDEX([71]Listas!$F$6:$J$10,MATCH(Q158,[71]Listas!$D$6:$D$10,0),MATCH(R158,[71]Listas!$F$4:$J$4,0))</f>
        <v>#N/A</v>
      </c>
      <c r="W158" s="268"/>
      <c r="X158" s="1399"/>
      <c r="Y158" s="1408"/>
      <c r="Z158" s="1400"/>
      <c r="AA158" s="1063"/>
      <c r="AB158" s="267"/>
      <c r="AC158" s="259"/>
      <c r="AD158" s="790"/>
      <c r="AE158" s="267"/>
      <c r="AF158" s="268"/>
      <c r="AG158" s="269">
        <f t="shared" si="14"/>
        <v>0</v>
      </c>
      <c r="AH158" s="271" t="e">
        <f t="shared" si="15"/>
        <v>#N/A</v>
      </c>
      <c r="AI158" s="272" t="e">
        <f>IF(AH158&lt;=1,"Remota",VLOOKUP(AH158,[71]Listas!$C$6:$D$10,2,0))</f>
        <v>#N/A</v>
      </c>
      <c r="AJ158" s="271" t="e">
        <f t="shared" si="16"/>
        <v>#N/A</v>
      </c>
      <c r="AK158" s="272" t="e">
        <f>IF(AJ158&lt;=1,"Insignificante",HLOOKUP(AJ158,[71]Listas!$F$3:$J$4,2,0))</f>
        <v>#N/A</v>
      </c>
      <c r="AL158" s="273" t="e">
        <f t="shared" si="17"/>
        <v>#N/A</v>
      </c>
      <c r="AM158" s="270" t="e">
        <f>INDEX([71]Listas!$F$6:$J$10,MATCH(AI158,[71]Listas!$D$6:$D$10,0),MATCH(AK158,[71]Listas!$F$4:$J$4,0))</f>
        <v>#N/A</v>
      </c>
      <c r="AN158" s="259"/>
      <c r="AO158" s="259"/>
      <c r="AP158" s="794"/>
      <c r="AQ158" s="259"/>
      <c r="AR158" s="259" t="s">
        <v>2343</v>
      </c>
      <c r="AS158" s="790"/>
      <c r="AT158" s="259"/>
      <c r="AU158" s="259"/>
      <c r="AV158" s="261"/>
      <c r="AW158" s="261"/>
      <c r="AX158" s="790"/>
      <c r="AY158" s="262"/>
    </row>
    <row r="159" spans="1:51" s="260" customFormat="1" ht="103.5" hidden="1" customHeight="1">
      <c r="A159" s="790"/>
      <c r="B159" s="266"/>
      <c r="C159" s="1399"/>
      <c r="D159" s="1408"/>
      <c r="E159" s="1400"/>
      <c r="F159" s="267"/>
      <c r="G159" s="1399"/>
      <c r="H159" s="1408"/>
      <c r="I159" s="1400"/>
      <c r="J159" s="1380"/>
      <c r="K159" s="1380"/>
      <c r="L159" s="1380"/>
      <c r="M159" s="790"/>
      <c r="N159" s="790"/>
      <c r="O159" s="790"/>
      <c r="P159" s="790"/>
      <c r="Q159" s="266"/>
      <c r="R159" s="266"/>
      <c r="S159" s="268"/>
      <c r="T159" s="269" t="e">
        <f>VLOOKUP(Q159,[71]Listas!$D$6:$E$10,2,0)</f>
        <v>#N/A</v>
      </c>
      <c r="U159" s="269" t="e">
        <f>HLOOKUP(R159,[71]Listas!$F$4:$J$5,2,0)</f>
        <v>#N/A</v>
      </c>
      <c r="V159" s="270" t="e">
        <f>INDEX([71]Listas!$F$6:$J$10,MATCH(Q159,[71]Listas!$D$6:$D$10,0),MATCH(R159,[71]Listas!$F$4:$J$4,0))</f>
        <v>#N/A</v>
      </c>
      <c r="W159" s="268"/>
      <c r="X159" s="1399"/>
      <c r="Y159" s="1408"/>
      <c r="Z159" s="1400"/>
      <c r="AA159" s="1063"/>
      <c r="AB159" s="267"/>
      <c r="AC159" s="259"/>
      <c r="AD159" s="790"/>
      <c r="AE159" s="267"/>
      <c r="AF159" s="268"/>
      <c r="AG159" s="269">
        <f t="shared" si="14"/>
        <v>0</v>
      </c>
      <c r="AH159" s="271" t="e">
        <f t="shared" si="15"/>
        <v>#N/A</v>
      </c>
      <c r="AI159" s="272" t="e">
        <f>IF(AH159&lt;=1,"Remota",VLOOKUP(AH159,[71]Listas!$C$6:$D$10,2,0))</f>
        <v>#N/A</v>
      </c>
      <c r="AJ159" s="271" t="e">
        <f t="shared" si="16"/>
        <v>#N/A</v>
      </c>
      <c r="AK159" s="272" t="e">
        <f>IF(AJ159&lt;=1,"Insignificante",HLOOKUP(AJ159,[71]Listas!$F$3:$J$4,2,0))</f>
        <v>#N/A</v>
      </c>
      <c r="AL159" s="273" t="e">
        <f t="shared" si="17"/>
        <v>#N/A</v>
      </c>
      <c r="AM159" s="270" t="e">
        <f>INDEX([71]Listas!$F$6:$J$10,MATCH(AI159,[71]Listas!$D$6:$D$10,0),MATCH(AK159,[71]Listas!$F$4:$J$4,0))</f>
        <v>#N/A</v>
      </c>
      <c r="AN159" s="259"/>
      <c r="AO159" s="259"/>
      <c r="AP159" s="794"/>
      <c r="AQ159" s="259"/>
      <c r="AR159" s="259" t="s">
        <v>2343</v>
      </c>
      <c r="AS159" s="790"/>
      <c r="AT159" s="259"/>
      <c r="AU159" s="259"/>
      <c r="AV159" s="261"/>
      <c r="AW159" s="261"/>
      <c r="AX159" s="790"/>
      <c r="AY159" s="262"/>
    </row>
    <row r="160" spans="1:51" s="260" customFormat="1" ht="103.5" hidden="1" customHeight="1">
      <c r="A160" s="790"/>
      <c r="B160" s="266"/>
      <c r="C160" s="1399"/>
      <c r="D160" s="1408"/>
      <c r="E160" s="1400"/>
      <c r="F160" s="267"/>
      <c r="G160" s="1399"/>
      <c r="H160" s="1408"/>
      <c r="I160" s="1400"/>
      <c r="J160" s="1380"/>
      <c r="K160" s="1380"/>
      <c r="L160" s="1380"/>
      <c r="M160" s="790"/>
      <c r="N160" s="790"/>
      <c r="O160" s="790"/>
      <c r="P160" s="790"/>
      <c r="Q160" s="266"/>
      <c r="R160" s="266"/>
      <c r="S160" s="268"/>
      <c r="T160" s="269" t="e">
        <f>VLOOKUP(Q160,[71]Listas!$D$6:$E$10,2,0)</f>
        <v>#N/A</v>
      </c>
      <c r="U160" s="269" t="e">
        <f>HLOOKUP(R160,[71]Listas!$F$4:$J$5,2,0)</f>
        <v>#N/A</v>
      </c>
      <c r="V160" s="270" t="e">
        <f>INDEX([71]Listas!$F$6:$J$10,MATCH(Q160,[71]Listas!$D$6:$D$10,0),MATCH(R160,[71]Listas!$F$4:$J$4,0))</f>
        <v>#N/A</v>
      </c>
      <c r="W160" s="268"/>
      <c r="X160" s="1399"/>
      <c r="Y160" s="1408"/>
      <c r="Z160" s="1400"/>
      <c r="AA160" s="1063"/>
      <c r="AB160" s="267"/>
      <c r="AC160" s="259"/>
      <c r="AD160" s="790"/>
      <c r="AE160" s="267"/>
      <c r="AF160" s="268"/>
      <c r="AG160" s="269">
        <f t="shared" si="14"/>
        <v>0</v>
      </c>
      <c r="AH160" s="271" t="e">
        <f t="shared" si="15"/>
        <v>#N/A</v>
      </c>
      <c r="AI160" s="272" t="e">
        <f>IF(AH160&lt;=1,"Remota",VLOOKUP(AH160,[71]Listas!$C$6:$D$10,2,0))</f>
        <v>#N/A</v>
      </c>
      <c r="AJ160" s="271" t="e">
        <f t="shared" si="16"/>
        <v>#N/A</v>
      </c>
      <c r="AK160" s="272" t="e">
        <f>IF(AJ160&lt;=1,"Insignificante",HLOOKUP(AJ160,[71]Listas!$F$3:$J$4,2,0))</f>
        <v>#N/A</v>
      </c>
      <c r="AL160" s="273" t="e">
        <f t="shared" si="17"/>
        <v>#N/A</v>
      </c>
      <c r="AM160" s="270" t="e">
        <f>INDEX([71]Listas!$F$6:$J$10,MATCH(AI160,[71]Listas!$D$6:$D$10,0),MATCH(AK160,[71]Listas!$F$4:$J$4,0))</f>
        <v>#N/A</v>
      </c>
      <c r="AN160" s="259"/>
      <c r="AO160" s="259"/>
      <c r="AP160" s="794"/>
      <c r="AQ160" s="259"/>
      <c r="AR160" s="259" t="s">
        <v>2343</v>
      </c>
      <c r="AS160" s="790"/>
      <c r="AT160" s="259"/>
      <c r="AU160" s="259"/>
      <c r="AV160" s="261"/>
      <c r="AW160" s="261"/>
      <c r="AX160" s="790"/>
      <c r="AY160" s="262"/>
    </row>
    <row r="161" spans="1:1027" s="260" customFormat="1" ht="103.5" hidden="1" customHeight="1">
      <c r="A161" s="790"/>
      <c r="B161" s="266"/>
      <c r="C161" s="1399"/>
      <c r="D161" s="1408"/>
      <c r="E161" s="1400"/>
      <c r="F161" s="267"/>
      <c r="G161" s="1399"/>
      <c r="H161" s="1408"/>
      <c r="I161" s="1400"/>
      <c r="J161" s="1380"/>
      <c r="K161" s="1380"/>
      <c r="L161" s="1380"/>
      <c r="M161" s="790"/>
      <c r="N161" s="790"/>
      <c r="O161" s="790"/>
      <c r="P161" s="790"/>
      <c r="Q161" s="266"/>
      <c r="R161" s="266"/>
      <c r="S161" s="268"/>
      <c r="T161" s="269" t="e">
        <f>VLOOKUP(Q161,[71]Listas!$D$6:$E$10,2,0)</f>
        <v>#N/A</v>
      </c>
      <c r="U161" s="269" t="e">
        <f>HLOOKUP(R161,[71]Listas!$F$4:$J$5,2,0)</f>
        <v>#N/A</v>
      </c>
      <c r="V161" s="270" t="e">
        <f>INDEX([71]Listas!$F$6:$J$10,MATCH(Q161,[71]Listas!$D$6:$D$10,0),MATCH(R161,[71]Listas!$F$4:$J$4,0))</f>
        <v>#N/A</v>
      </c>
      <c r="W161" s="268"/>
      <c r="X161" s="1399"/>
      <c r="Y161" s="1408"/>
      <c r="Z161" s="1400"/>
      <c r="AA161" s="1063"/>
      <c r="AB161" s="267"/>
      <c r="AC161" s="259"/>
      <c r="AD161" s="790"/>
      <c r="AE161" s="267"/>
      <c r="AF161" s="268"/>
      <c r="AG161" s="269">
        <f t="shared" si="14"/>
        <v>0</v>
      </c>
      <c r="AH161" s="271" t="e">
        <f t="shared" si="15"/>
        <v>#N/A</v>
      </c>
      <c r="AI161" s="272" t="e">
        <f>IF(AH161&lt;=1,"Remota",VLOOKUP(AH161,[71]Listas!$C$6:$D$10,2,0))</f>
        <v>#N/A</v>
      </c>
      <c r="AJ161" s="271" t="e">
        <f t="shared" si="16"/>
        <v>#N/A</v>
      </c>
      <c r="AK161" s="272" t="e">
        <f>IF(AJ161&lt;=1,"Insignificante",HLOOKUP(AJ161,[71]Listas!$F$3:$J$4,2,0))</f>
        <v>#N/A</v>
      </c>
      <c r="AL161" s="273" t="e">
        <f t="shared" si="17"/>
        <v>#N/A</v>
      </c>
      <c r="AM161" s="270" t="e">
        <f>INDEX([71]Listas!$F$6:$J$10,MATCH(AI161,[71]Listas!$D$6:$D$10,0),MATCH(AK161,[71]Listas!$F$4:$J$4,0))</f>
        <v>#N/A</v>
      </c>
      <c r="AN161" s="259"/>
      <c r="AO161" s="259"/>
      <c r="AP161" s="794"/>
      <c r="AQ161" s="259"/>
      <c r="AR161" s="259" t="s">
        <v>2343</v>
      </c>
      <c r="AS161" s="790"/>
      <c r="AT161" s="259"/>
      <c r="AU161" s="259"/>
      <c r="AV161" s="261"/>
      <c r="AW161" s="261"/>
      <c r="AX161" s="790"/>
      <c r="AY161" s="262"/>
    </row>
    <row r="162" spans="1:1027" s="260" customFormat="1" ht="103.5" hidden="1" customHeight="1">
      <c r="A162" s="790"/>
      <c r="B162" s="266"/>
      <c r="C162" s="1399"/>
      <c r="D162" s="1408"/>
      <c r="E162" s="1400"/>
      <c r="F162" s="267"/>
      <c r="G162" s="1399"/>
      <c r="H162" s="1408"/>
      <c r="I162" s="1400"/>
      <c r="J162" s="1380"/>
      <c r="K162" s="1380"/>
      <c r="L162" s="1380"/>
      <c r="M162" s="790"/>
      <c r="N162" s="790"/>
      <c r="O162" s="790"/>
      <c r="P162" s="790"/>
      <c r="Q162" s="266"/>
      <c r="R162" s="266"/>
      <c r="S162" s="268"/>
      <c r="T162" s="269" t="e">
        <f>VLOOKUP(Q162,[71]Listas!$D$6:$E$10,2,0)</f>
        <v>#N/A</v>
      </c>
      <c r="U162" s="269" t="e">
        <f>HLOOKUP(R162,[71]Listas!$F$4:$J$5,2,0)</f>
        <v>#N/A</v>
      </c>
      <c r="V162" s="270" t="e">
        <f>INDEX([71]Listas!$F$6:$J$10,MATCH(Q162,[71]Listas!$D$6:$D$10,0),MATCH(R162,[71]Listas!$F$4:$J$4,0))</f>
        <v>#N/A</v>
      </c>
      <c r="W162" s="268"/>
      <c r="X162" s="1399"/>
      <c r="Y162" s="1408"/>
      <c r="Z162" s="1400"/>
      <c r="AA162" s="1063"/>
      <c r="AB162" s="267"/>
      <c r="AC162" s="259"/>
      <c r="AD162" s="790"/>
      <c r="AE162" s="267"/>
      <c r="AF162" s="268"/>
      <c r="AG162" s="269">
        <f t="shared" si="14"/>
        <v>0</v>
      </c>
      <c r="AH162" s="271" t="e">
        <f t="shared" si="15"/>
        <v>#N/A</v>
      </c>
      <c r="AI162" s="272" t="e">
        <f>IF(AH162&lt;=1,"Remota",VLOOKUP(AH162,[71]Listas!$C$6:$D$10,2,0))</f>
        <v>#N/A</v>
      </c>
      <c r="AJ162" s="271" t="e">
        <f t="shared" si="16"/>
        <v>#N/A</v>
      </c>
      <c r="AK162" s="272" t="e">
        <f>IF(AJ162&lt;=1,"Insignificante",HLOOKUP(AJ162,[71]Listas!$F$3:$J$4,2,0))</f>
        <v>#N/A</v>
      </c>
      <c r="AL162" s="273" t="e">
        <f t="shared" si="17"/>
        <v>#N/A</v>
      </c>
      <c r="AM162" s="270" t="e">
        <f>INDEX([71]Listas!$F$6:$J$10,MATCH(AI162,[71]Listas!$D$6:$D$10,0),MATCH(AK162,[71]Listas!$F$4:$J$4,0))</f>
        <v>#N/A</v>
      </c>
      <c r="AN162" s="259"/>
      <c r="AO162" s="259"/>
      <c r="AP162" s="794"/>
      <c r="AQ162" s="259"/>
      <c r="AR162" s="259" t="s">
        <v>2343</v>
      </c>
      <c r="AS162" s="790"/>
      <c r="AT162" s="259"/>
      <c r="AU162" s="259"/>
      <c r="AV162" s="261"/>
      <c r="AW162" s="261"/>
      <c r="AX162" s="790"/>
      <c r="AY162" s="262"/>
    </row>
    <row r="163" spans="1:1027" s="260" customFormat="1" ht="103.5" hidden="1" customHeight="1">
      <c r="A163" s="790"/>
      <c r="B163" s="266"/>
      <c r="C163" s="1399"/>
      <c r="D163" s="1408"/>
      <c r="E163" s="1400"/>
      <c r="F163" s="267"/>
      <c r="G163" s="1399"/>
      <c r="H163" s="1408"/>
      <c r="I163" s="1400"/>
      <c r="J163" s="1380"/>
      <c r="K163" s="1380"/>
      <c r="L163" s="1380"/>
      <c r="M163" s="790"/>
      <c r="N163" s="790"/>
      <c r="O163" s="790"/>
      <c r="P163" s="790"/>
      <c r="Q163" s="266"/>
      <c r="R163" s="266"/>
      <c r="S163" s="268"/>
      <c r="T163" s="269" t="e">
        <f>VLOOKUP(Q163,[71]Listas!$D$6:$E$10,2,0)</f>
        <v>#N/A</v>
      </c>
      <c r="U163" s="269" t="e">
        <f>HLOOKUP(R163,[71]Listas!$F$4:$J$5,2,0)</f>
        <v>#N/A</v>
      </c>
      <c r="V163" s="270" t="e">
        <f>INDEX([71]Listas!$F$6:$J$10,MATCH(Q163,[71]Listas!$D$6:$D$10,0),MATCH(R163,[71]Listas!$F$4:$J$4,0))</f>
        <v>#N/A</v>
      </c>
      <c r="W163" s="268"/>
      <c r="X163" s="1399"/>
      <c r="Y163" s="1408"/>
      <c r="Z163" s="1400"/>
      <c r="AA163" s="1063"/>
      <c r="AB163" s="267"/>
      <c r="AC163" s="259"/>
      <c r="AD163" s="790"/>
      <c r="AE163" s="267"/>
      <c r="AF163" s="268"/>
      <c r="AG163" s="269">
        <f t="shared" si="14"/>
        <v>0</v>
      </c>
      <c r="AH163" s="271" t="e">
        <f t="shared" si="15"/>
        <v>#N/A</v>
      </c>
      <c r="AI163" s="272" t="e">
        <f>IF(AH163&lt;=1,"Remota",VLOOKUP(AH163,[71]Listas!$C$6:$D$10,2,0))</f>
        <v>#N/A</v>
      </c>
      <c r="AJ163" s="271" t="e">
        <f t="shared" si="16"/>
        <v>#N/A</v>
      </c>
      <c r="AK163" s="272" t="e">
        <f>IF(AJ163&lt;=1,"Insignificante",HLOOKUP(AJ163,[71]Listas!$F$3:$J$4,2,0))</f>
        <v>#N/A</v>
      </c>
      <c r="AL163" s="273" t="e">
        <f t="shared" si="17"/>
        <v>#N/A</v>
      </c>
      <c r="AM163" s="270" t="e">
        <f>INDEX([71]Listas!$F$6:$J$10,MATCH(AI163,[71]Listas!$D$6:$D$10,0),MATCH(AK163,[71]Listas!$F$4:$J$4,0))</f>
        <v>#N/A</v>
      </c>
      <c r="AN163" s="259"/>
      <c r="AO163" s="259"/>
      <c r="AP163" s="794"/>
      <c r="AQ163" s="259"/>
      <c r="AR163" s="259" t="s">
        <v>2343</v>
      </c>
      <c r="AS163" s="790"/>
      <c r="AT163" s="259"/>
      <c r="AU163" s="259"/>
      <c r="AV163" s="261"/>
      <c r="AW163" s="261"/>
      <c r="AX163" s="790"/>
      <c r="AY163" s="262"/>
    </row>
    <row r="164" spans="1:1027" s="260" customFormat="1" ht="103.5" hidden="1" customHeight="1">
      <c r="A164" s="790"/>
      <c r="B164" s="266"/>
      <c r="C164" s="1399"/>
      <c r="D164" s="1408"/>
      <c r="E164" s="1400"/>
      <c r="F164" s="267"/>
      <c r="G164" s="1399"/>
      <c r="H164" s="1408"/>
      <c r="I164" s="1400"/>
      <c r="J164" s="1380"/>
      <c r="K164" s="1380"/>
      <c r="L164" s="1380"/>
      <c r="M164" s="790"/>
      <c r="N164" s="790"/>
      <c r="O164" s="790"/>
      <c r="P164" s="790"/>
      <c r="Q164" s="266"/>
      <c r="R164" s="266"/>
      <c r="S164" s="268"/>
      <c r="T164" s="269" t="e">
        <f>VLOOKUP(Q164,[71]Listas!$D$6:$E$10,2,0)</f>
        <v>#N/A</v>
      </c>
      <c r="U164" s="269" t="e">
        <f>HLOOKUP(R164,[71]Listas!$F$4:$J$5,2,0)</f>
        <v>#N/A</v>
      </c>
      <c r="V164" s="270" t="e">
        <f>INDEX([71]Listas!$F$6:$J$10,MATCH(Q164,[71]Listas!$D$6:$D$10,0),MATCH(R164,[71]Listas!$F$4:$J$4,0))</f>
        <v>#N/A</v>
      </c>
      <c r="W164" s="268"/>
      <c r="X164" s="1399"/>
      <c r="Y164" s="1408"/>
      <c r="Z164" s="1400"/>
      <c r="AA164" s="1063"/>
      <c r="AB164" s="267"/>
      <c r="AC164" s="259"/>
      <c r="AD164" s="790"/>
      <c r="AE164" s="267"/>
      <c r="AF164" s="268"/>
      <c r="AG164" s="269">
        <f t="shared" si="14"/>
        <v>0</v>
      </c>
      <c r="AH164" s="271" t="e">
        <f t="shared" si="15"/>
        <v>#N/A</v>
      </c>
      <c r="AI164" s="272" t="e">
        <f>IF(AH164&lt;=1,"Remota",VLOOKUP(AH164,[71]Listas!$C$6:$D$10,2,0))</f>
        <v>#N/A</v>
      </c>
      <c r="AJ164" s="271" t="e">
        <f t="shared" si="16"/>
        <v>#N/A</v>
      </c>
      <c r="AK164" s="272" t="e">
        <f>IF(AJ164&lt;=1,"Insignificante",HLOOKUP(AJ164,[71]Listas!$F$3:$J$4,2,0))</f>
        <v>#N/A</v>
      </c>
      <c r="AL164" s="273" t="e">
        <f t="shared" si="17"/>
        <v>#N/A</v>
      </c>
      <c r="AM164" s="270" t="e">
        <f>INDEX([71]Listas!$F$6:$J$10,MATCH(AI164,[71]Listas!$D$6:$D$10,0),MATCH(AK164,[71]Listas!$F$4:$J$4,0))</f>
        <v>#N/A</v>
      </c>
      <c r="AN164" s="259"/>
      <c r="AO164" s="259"/>
      <c r="AP164" s="794"/>
      <c r="AQ164" s="259"/>
      <c r="AR164" s="259" t="s">
        <v>2343</v>
      </c>
      <c r="AS164" s="790"/>
      <c r="AT164" s="259"/>
      <c r="AU164" s="259"/>
      <c r="AV164" s="261"/>
      <c r="AW164" s="261"/>
      <c r="AX164" s="790"/>
      <c r="AY164" s="262"/>
    </row>
    <row r="165" spans="1:1027" s="260" customFormat="1" ht="103.5" hidden="1" customHeight="1">
      <c r="A165" s="790"/>
      <c r="B165" s="266"/>
      <c r="C165" s="1399"/>
      <c r="D165" s="1408"/>
      <c r="E165" s="1400"/>
      <c r="F165" s="267"/>
      <c r="G165" s="1399"/>
      <c r="H165" s="1408"/>
      <c r="I165" s="1400"/>
      <c r="J165" s="1380"/>
      <c r="K165" s="1380"/>
      <c r="L165" s="1380"/>
      <c r="M165" s="790"/>
      <c r="N165" s="790"/>
      <c r="O165" s="790"/>
      <c r="P165" s="790"/>
      <c r="Q165" s="266"/>
      <c r="R165" s="266"/>
      <c r="S165" s="268"/>
      <c r="T165" s="269" t="e">
        <f>VLOOKUP(Q165,[71]Listas!$D$6:$E$10,2,0)</f>
        <v>#N/A</v>
      </c>
      <c r="U165" s="269" t="e">
        <f>HLOOKUP(R165,[71]Listas!$F$4:$J$5,2,0)</f>
        <v>#N/A</v>
      </c>
      <c r="V165" s="270" t="e">
        <f>INDEX([71]Listas!$F$6:$J$10,MATCH(Q165,[71]Listas!$D$6:$D$10,0),MATCH(R165,[71]Listas!$F$4:$J$4,0))</f>
        <v>#N/A</v>
      </c>
      <c r="W165" s="268"/>
      <c r="X165" s="1399"/>
      <c r="Y165" s="1408"/>
      <c r="Z165" s="1400"/>
      <c r="AA165" s="1063"/>
      <c r="AB165" s="267"/>
      <c r="AC165" s="259"/>
      <c r="AD165" s="790"/>
      <c r="AE165" s="267"/>
      <c r="AF165" s="268"/>
      <c r="AG165" s="269">
        <f t="shared" si="14"/>
        <v>0</v>
      </c>
      <c r="AH165" s="271" t="e">
        <f t="shared" si="15"/>
        <v>#N/A</v>
      </c>
      <c r="AI165" s="272" t="e">
        <f>IF(AH165&lt;=1,"Remota",VLOOKUP(AH165,[71]Listas!$C$6:$D$10,2,0))</f>
        <v>#N/A</v>
      </c>
      <c r="AJ165" s="271" t="e">
        <f t="shared" si="16"/>
        <v>#N/A</v>
      </c>
      <c r="AK165" s="272" t="e">
        <f>IF(AJ165&lt;=1,"Insignificante",HLOOKUP(AJ165,[71]Listas!$F$3:$J$4,2,0))</f>
        <v>#N/A</v>
      </c>
      <c r="AL165" s="273" t="e">
        <f t="shared" si="17"/>
        <v>#N/A</v>
      </c>
      <c r="AM165" s="270" t="e">
        <f>INDEX([71]Listas!$F$6:$J$10,MATCH(AI165,[71]Listas!$D$6:$D$10,0),MATCH(AK165,[71]Listas!$F$4:$J$4,0))</f>
        <v>#N/A</v>
      </c>
      <c r="AN165" s="259"/>
      <c r="AO165" s="259"/>
      <c r="AP165" s="794"/>
      <c r="AQ165" s="259"/>
      <c r="AR165" s="259" t="s">
        <v>2343</v>
      </c>
      <c r="AS165" s="790"/>
      <c r="AT165" s="259"/>
      <c r="AU165" s="259"/>
      <c r="AV165" s="261"/>
      <c r="AW165" s="261"/>
      <c r="AX165" s="790"/>
      <c r="AY165" s="262"/>
    </row>
    <row r="166" spans="1:1027" s="260" customFormat="1" ht="103.5" hidden="1" customHeight="1">
      <c r="A166" s="790"/>
      <c r="B166" s="266"/>
      <c r="C166" s="1399"/>
      <c r="D166" s="1408"/>
      <c r="E166" s="1400"/>
      <c r="F166" s="267"/>
      <c r="G166" s="1399"/>
      <c r="H166" s="1408"/>
      <c r="I166" s="1400"/>
      <c r="J166" s="1380"/>
      <c r="K166" s="1380"/>
      <c r="L166" s="1380"/>
      <c r="M166" s="790"/>
      <c r="N166" s="790"/>
      <c r="O166" s="790"/>
      <c r="P166" s="790"/>
      <c r="Q166" s="266"/>
      <c r="R166" s="266"/>
      <c r="S166" s="268"/>
      <c r="T166" s="269" t="e">
        <f>VLOOKUP(Q166,[71]Listas!$D$6:$E$10,2,0)</f>
        <v>#N/A</v>
      </c>
      <c r="U166" s="269" t="e">
        <f>HLOOKUP(R166,[71]Listas!$F$4:$J$5,2,0)</f>
        <v>#N/A</v>
      </c>
      <c r="V166" s="270" t="e">
        <f>INDEX([71]Listas!$F$6:$J$10,MATCH(Q166,[71]Listas!$D$6:$D$10,0),MATCH(R166,[71]Listas!$F$4:$J$4,0))</f>
        <v>#N/A</v>
      </c>
      <c r="W166" s="268"/>
      <c r="X166" s="1399"/>
      <c r="Y166" s="1408"/>
      <c r="Z166" s="1400"/>
      <c r="AA166" s="1063"/>
      <c r="AB166" s="267"/>
      <c r="AC166" s="259"/>
      <c r="AD166" s="790"/>
      <c r="AE166" s="267"/>
      <c r="AF166" s="268"/>
      <c r="AG166" s="269">
        <f t="shared" si="14"/>
        <v>0</v>
      </c>
      <c r="AH166" s="271" t="e">
        <f t="shared" si="15"/>
        <v>#N/A</v>
      </c>
      <c r="AI166" s="272" t="e">
        <f>IF(AH166&lt;=1,"Remota",VLOOKUP(AH166,[71]Listas!$C$6:$D$10,2,0))</f>
        <v>#N/A</v>
      </c>
      <c r="AJ166" s="271" t="e">
        <f t="shared" si="16"/>
        <v>#N/A</v>
      </c>
      <c r="AK166" s="272" t="e">
        <f>IF(AJ166&lt;=1,"Insignificante",HLOOKUP(AJ166,[71]Listas!$F$3:$J$4,2,0))</f>
        <v>#N/A</v>
      </c>
      <c r="AL166" s="273" t="e">
        <f t="shared" si="17"/>
        <v>#N/A</v>
      </c>
      <c r="AM166" s="270" t="e">
        <f>INDEX([71]Listas!$F$6:$J$10,MATCH(AI166,[71]Listas!$D$6:$D$10,0),MATCH(AK166,[71]Listas!$F$4:$J$4,0))</f>
        <v>#N/A</v>
      </c>
      <c r="AN166" s="259"/>
      <c r="AO166" s="259"/>
      <c r="AP166" s="794"/>
      <c r="AQ166" s="259"/>
      <c r="AR166" s="259" t="s">
        <v>2343</v>
      </c>
      <c r="AS166" s="790"/>
      <c r="AT166" s="259"/>
      <c r="AU166" s="259"/>
      <c r="AV166" s="261"/>
      <c r="AW166" s="261"/>
      <c r="AX166" s="790"/>
      <c r="AY166" s="262"/>
    </row>
    <row r="167" spans="1:1027" s="260" customFormat="1" ht="103.5" hidden="1" customHeight="1">
      <c r="A167" s="790"/>
      <c r="B167" s="266"/>
      <c r="C167" s="1399"/>
      <c r="D167" s="1408"/>
      <c r="E167" s="1400"/>
      <c r="F167" s="267"/>
      <c r="G167" s="1399"/>
      <c r="H167" s="1408"/>
      <c r="I167" s="1400"/>
      <c r="J167" s="1380"/>
      <c r="K167" s="1380"/>
      <c r="L167" s="1380"/>
      <c r="M167" s="790"/>
      <c r="N167" s="790"/>
      <c r="O167" s="790"/>
      <c r="P167" s="790"/>
      <c r="Q167" s="266"/>
      <c r="R167" s="266"/>
      <c r="S167" s="268"/>
      <c r="T167" s="269" t="e">
        <f>VLOOKUP(Q167,[71]Listas!$D$6:$E$10,2,0)</f>
        <v>#N/A</v>
      </c>
      <c r="U167" s="269" t="e">
        <f>HLOOKUP(R167,[71]Listas!$F$4:$J$5,2,0)</f>
        <v>#N/A</v>
      </c>
      <c r="V167" s="270" t="e">
        <f>INDEX([71]Listas!$F$6:$J$10,MATCH(Q167,[71]Listas!$D$6:$D$10,0),MATCH(R167,[71]Listas!$F$4:$J$4,0))</f>
        <v>#N/A</v>
      </c>
      <c r="W167" s="268"/>
      <c r="X167" s="1399"/>
      <c r="Y167" s="1408"/>
      <c r="Z167" s="1400"/>
      <c r="AA167" s="1063"/>
      <c r="AB167" s="267"/>
      <c r="AC167" s="259"/>
      <c r="AD167" s="790"/>
      <c r="AE167" s="267"/>
      <c r="AF167" s="268"/>
      <c r="AG167" s="269">
        <f t="shared" si="14"/>
        <v>0</v>
      </c>
      <c r="AH167" s="271" t="e">
        <f t="shared" si="15"/>
        <v>#N/A</v>
      </c>
      <c r="AI167" s="272" t="e">
        <f>IF(AH167&lt;=1,"Remota",VLOOKUP(AH167,[71]Listas!$C$6:$D$10,2,0))</f>
        <v>#N/A</v>
      </c>
      <c r="AJ167" s="271" t="e">
        <f t="shared" si="16"/>
        <v>#N/A</v>
      </c>
      <c r="AK167" s="272" t="e">
        <f>IF(AJ167&lt;=1,"Insignificante",HLOOKUP(AJ167,[71]Listas!$F$3:$J$4,2,0))</f>
        <v>#N/A</v>
      </c>
      <c r="AL167" s="273" t="e">
        <f t="shared" si="17"/>
        <v>#N/A</v>
      </c>
      <c r="AM167" s="270" t="e">
        <f>INDEX([71]Listas!$F$6:$J$10,MATCH(AI167,[71]Listas!$D$6:$D$10,0),MATCH(AK167,[71]Listas!$F$4:$J$4,0))</f>
        <v>#N/A</v>
      </c>
      <c r="AN167" s="259"/>
      <c r="AO167" s="259"/>
      <c r="AP167" s="794"/>
      <c r="AQ167" s="259"/>
      <c r="AR167" s="259" t="s">
        <v>2343</v>
      </c>
      <c r="AS167" s="790"/>
      <c r="AT167" s="259"/>
      <c r="AU167" s="259"/>
      <c r="AV167" s="261"/>
      <c r="AW167" s="261"/>
      <c r="AX167" s="790"/>
      <c r="AY167" s="262"/>
    </row>
    <row r="168" spans="1:1027" s="260" customFormat="1" ht="103.5" hidden="1" customHeight="1">
      <c r="A168" s="790"/>
      <c r="B168" s="266"/>
      <c r="C168" s="1399"/>
      <c r="D168" s="1408"/>
      <c r="E168" s="1400"/>
      <c r="F168" s="267"/>
      <c r="G168" s="1399"/>
      <c r="H168" s="1408"/>
      <c r="I168" s="1400"/>
      <c r="J168" s="1380"/>
      <c r="K168" s="1380"/>
      <c r="L168" s="1380"/>
      <c r="M168" s="790"/>
      <c r="N168" s="790"/>
      <c r="O168" s="790"/>
      <c r="P168" s="790"/>
      <c r="Q168" s="266"/>
      <c r="R168" s="266"/>
      <c r="S168" s="268"/>
      <c r="T168" s="269" t="e">
        <f>VLOOKUP(Q168,[71]Listas!$D$6:$E$10,2,0)</f>
        <v>#N/A</v>
      </c>
      <c r="U168" s="269" t="e">
        <f>HLOOKUP(R168,[71]Listas!$F$4:$J$5,2,0)</f>
        <v>#N/A</v>
      </c>
      <c r="V168" s="270" t="e">
        <f>INDEX([71]Listas!$F$6:$J$10,MATCH(Q168,[71]Listas!$D$6:$D$10,0),MATCH(R168,[71]Listas!$F$4:$J$4,0))</f>
        <v>#N/A</v>
      </c>
      <c r="W168" s="268"/>
      <c r="X168" s="1399"/>
      <c r="Y168" s="1408"/>
      <c r="Z168" s="1400"/>
      <c r="AA168" s="1063"/>
      <c r="AB168" s="267"/>
      <c r="AC168" s="259"/>
      <c r="AD168" s="790"/>
      <c r="AE168" s="267"/>
      <c r="AF168" s="268"/>
      <c r="AG168" s="269">
        <f t="shared" si="14"/>
        <v>0</v>
      </c>
      <c r="AH168" s="271" t="e">
        <f t="shared" si="15"/>
        <v>#N/A</v>
      </c>
      <c r="AI168" s="272" t="e">
        <f>IF(AH168&lt;=1,"Remota",VLOOKUP(AH168,[71]Listas!$C$6:$D$10,2,0))</f>
        <v>#N/A</v>
      </c>
      <c r="AJ168" s="271" t="e">
        <f t="shared" si="16"/>
        <v>#N/A</v>
      </c>
      <c r="AK168" s="272" t="e">
        <f>IF(AJ168&lt;=1,"Insignificante",HLOOKUP(AJ168,[71]Listas!$F$3:$J$4,2,0))</f>
        <v>#N/A</v>
      </c>
      <c r="AL168" s="273" t="e">
        <f t="shared" si="17"/>
        <v>#N/A</v>
      </c>
      <c r="AM168" s="270" t="e">
        <f>INDEX([71]Listas!$F$6:$J$10,MATCH(AI168,[71]Listas!$D$6:$D$10,0),MATCH(AK168,[71]Listas!$F$4:$J$4,0))</f>
        <v>#N/A</v>
      </c>
      <c r="AN168" s="259"/>
      <c r="AO168" s="259"/>
      <c r="AP168" s="794"/>
      <c r="AQ168" s="259"/>
      <c r="AR168" s="259" t="s">
        <v>2343</v>
      </c>
      <c r="AS168" s="790"/>
      <c r="AT168" s="259"/>
      <c r="AU168" s="259"/>
      <c r="AV168" s="261"/>
      <c r="AW168" s="261"/>
      <c r="AX168" s="790"/>
      <c r="AY168" s="262"/>
    </row>
    <row r="169" spans="1:1027" ht="5.25" customHeight="1">
      <c r="A169" s="275"/>
      <c r="B169" s="276"/>
      <c r="C169" s="276"/>
      <c r="D169" s="276"/>
      <c r="E169" s="275"/>
      <c r="F169" s="275"/>
      <c r="G169" s="277"/>
      <c r="H169" s="277"/>
      <c r="I169" s="277"/>
      <c r="J169" s="275"/>
      <c r="K169" s="275"/>
      <c r="L169" s="278"/>
      <c r="M169" s="278"/>
      <c r="N169" s="278"/>
      <c r="O169" s="278"/>
      <c r="P169" s="278"/>
      <c r="Q169" s="278"/>
      <c r="R169" s="278"/>
      <c r="S169" s="278"/>
      <c r="T169" s="278"/>
      <c r="U169" s="278"/>
      <c r="V169" s="275"/>
      <c r="W169" s="275"/>
      <c r="X169" s="277"/>
      <c r="Y169" s="277"/>
      <c r="Z169" s="277"/>
      <c r="AA169" s="277"/>
      <c r="AB169" s="277"/>
      <c r="AC169" s="277"/>
      <c r="AD169" s="275"/>
      <c r="AE169" s="275"/>
      <c r="AF169" s="275"/>
      <c r="AG169" s="275"/>
      <c r="AH169" s="275"/>
      <c r="AI169" s="275"/>
      <c r="AJ169" s="275"/>
      <c r="AK169" s="275"/>
      <c r="AL169" s="275"/>
      <c r="AM169" s="279"/>
      <c r="AN169" s="262"/>
      <c r="AO169" s="262"/>
      <c r="AP169" s="262"/>
      <c r="AQ169" s="262"/>
      <c r="AR169" s="262"/>
      <c r="AS169" s="262"/>
      <c r="AT169" s="262"/>
      <c r="AU169" s="262"/>
      <c r="AV169" s="262"/>
      <c r="AW169" s="262"/>
      <c r="AX169" s="262"/>
      <c r="AY169" s="262"/>
      <c r="AZ169" s="236"/>
      <c r="BA169" s="236"/>
      <c r="BB169" s="236"/>
      <c r="BC169" s="236"/>
      <c r="BD169" s="236"/>
      <c r="BE169" s="236"/>
      <c r="BF169" s="236"/>
      <c r="BG169" s="236"/>
      <c r="BH169" s="236"/>
      <c r="BI169" s="236"/>
      <c r="BJ169" s="236"/>
      <c r="BK169" s="236"/>
      <c r="BL169" s="236"/>
      <c r="BM169" s="236"/>
      <c r="BN169" s="236"/>
      <c r="BO169" s="236"/>
      <c r="BP169" s="236"/>
      <c r="BQ169" s="236"/>
      <c r="BR169" s="236"/>
      <c r="BS169" s="236"/>
      <c r="BT169" s="236"/>
      <c r="BU169" s="236"/>
      <c r="BV169" s="236"/>
      <c r="BW169" s="236"/>
      <c r="BX169" s="236"/>
      <c r="BY169" s="236"/>
      <c r="BZ169" s="236"/>
      <c r="CA169" s="236"/>
      <c r="CB169" s="236"/>
      <c r="CC169" s="236"/>
      <c r="CD169" s="236"/>
      <c r="CE169" s="236"/>
      <c r="CF169" s="236"/>
      <c r="CG169" s="236"/>
      <c r="CH169" s="236"/>
      <c r="CI169" s="236"/>
      <c r="CJ169" s="236"/>
      <c r="CK169" s="236"/>
      <c r="CL169" s="236"/>
      <c r="CM169" s="236"/>
      <c r="CN169" s="236"/>
      <c r="CO169" s="236"/>
      <c r="CP169" s="236"/>
      <c r="CQ169" s="236"/>
      <c r="CR169" s="236"/>
      <c r="CS169" s="236"/>
      <c r="CT169" s="236"/>
      <c r="CU169" s="236"/>
      <c r="CV169" s="236"/>
      <c r="CW169" s="236"/>
      <c r="CX169" s="236"/>
      <c r="CY169" s="236"/>
      <c r="CZ169" s="236"/>
      <c r="DA169" s="236"/>
      <c r="DB169" s="236"/>
      <c r="DC169" s="236"/>
      <c r="DD169" s="236"/>
      <c r="DE169" s="236"/>
      <c r="DF169" s="236"/>
      <c r="DG169" s="236"/>
      <c r="DH169" s="236"/>
      <c r="DI169" s="236"/>
      <c r="DJ169" s="236"/>
      <c r="DK169" s="236"/>
      <c r="DL169" s="236"/>
      <c r="DM169" s="236"/>
      <c r="DN169" s="236"/>
      <c r="DO169" s="236"/>
      <c r="DP169" s="236"/>
      <c r="DQ169" s="236"/>
      <c r="DR169" s="236"/>
      <c r="DS169" s="236"/>
      <c r="DT169" s="236"/>
      <c r="DU169" s="236"/>
      <c r="DV169" s="236"/>
      <c r="DW169" s="236"/>
      <c r="DX169" s="236"/>
      <c r="DY169" s="236"/>
      <c r="DZ169" s="236"/>
      <c r="EA169" s="236"/>
      <c r="EB169" s="236"/>
      <c r="EC169" s="236"/>
      <c r="ED169" s="236"/>
      <c r="EE169" s="236"/>
      <c r="EF169" s="236"/>
      <c r="EG169" s="236"/>
      <c r="EH169" s="236"/>
      <c r="EI169" s="236"/>
      <c r="EJ169" s="236"/>
      <c r="EK169" s="236"/>
      <c r="EL169" s="236"/>
      <c r="EM169" s="236"/>
      <c r="EN169" s="236"/>
      <c r="EO169" s="236"/>
      <c r="EP169" s="236"/>
      <c r="EQ169" s="236"/>
      <c r="ER169" s="236"/>
      <c r="ES169" s="236"/>
      <c r="ET169" s="236"/>
      <c r="EU169" s="236"/>
      <c r="EV169" s="236"/>
      <c r="EW169" s="236"/>
      <c r="EX169" s="236"/>
      <c r="EY169" s="236"/>
      <c r="EZ169" s="236"/>
      <c r="FA169" s="236"/>
      <c r="FB169" s="236"/>
      <c r="FC169" s="236"/>
      <c r="FD169" s="236"/>
      <c r="FE169" s="236"/>
      <c r="FF169" s="236"/>
      <c r="FG169" s="236"/>
      <c r="FH169" s="236"/>
      <c r="FI169" s="236"/>
      <c r="FJ169" s="236"/>
      <c r="FK169" s="236"/>
      <c r="FL169" s="236"/>
      <c r="FM169" s="236"/>
      <c r="FN169" s="236"/>
      <c r="FO169" s="236"/>
      <c r="FP169" s="236"/>
      <c r="FQ169" s="236"/>
      <c r="FR169" s="236"/>
      <c r="FS169" s="236"/>
      <c r="FT169" s="236"/>
      <c r="FU169" s="236"/>
      <c r="FV169" s="236"/>
      <c r="FW169" s="236"/>
      <c r="FX169" s="236"/>
      <c r="FY169" s="236"/>
      <c r="FZ169" s="236"/>
      <c r="GA169" s="236"/>
      <c r="GB169" s="236"/>
      <c r="GC169" s="236"/>
      <c r="GD169" s="236"/>
      <c r="GE169" s="236"/>
      <c r="GF169" s="236"/>
      <c r="GG169" s="236"/>
      <c r="GH169" s="236"/>
      <c r="GI169" s="236"/>
      <c r="GJ169" s="236"/>
      <c r="GK169" s="236"/>
      <c r="GL169" s="236"/>
      <c r="GM169" s="236"/>
      <c r="GN169" s="236"/>
      <c r="GO169" s="236"/>
      <c r="GP169" s="236"/>
      <c r="GQ169" s="236"/>
      <c r="GR169" s="236"/>
      <c r="GS169" s="236"/>
      <c r="GT169" s="236"/>
      <c r="GU169" s="236"/>
      <c r="GV169" s="236"/>
      <c r="GW169" s="236"/>
      <c r="GX169" s="236"/>
      <c r="GY169" s="236"/>
      <c r="GZ169" s="236"/>
      <c r="HA169" s="236"/>
      <c r="HB169" s="236"/>
      <c r="HC169" s="236"/>
      <c r="HD169" s="236"/>
      <c r="HE169" s="236"/>
      <c r="HF169" s="236"/>
      <c r="HG169" s="236"/>
      <c r="HH169" s="236"/>
      <c r="HI169" s="236"/>
      <c r="HJ169" s="236"/>
      <c r="HK169" s="236"/>
      <c r="HL169" s="236"/>
      <c r="HM169" s="236"/>
      <c r="HN169" s="236"/>
      <c r="HO169" s="236"/>
      <c r="HP169" s="236"/>
      <c r="HQ169" s="236"/>
      <c r="HR169" s="236"/>
      <c r="HS169" s="236"/>
      <c r="HT169" s="236"/>
      <c r="HU169" s="236"/>
      <c r="HV169" s="236"/>
      <c r="HW169" s="236"/>
      <c r="HX169" s="236"/>
      <c r="HY169" s="236"/>
      <c r="HZ169" s="236"/>
      <c r="IA169" s="236"/>
      <c r="IB169" s="236"/>
      <c r="IC169" s="236"/>
      <c r="ID169" s="236"/>
      <c r="IE169" s="236"/>
      <c r="IF169" s="236"/>
      <c r="IG169" s="236"/>
      <c r="IH169" s="236"/>
      <c r="II169" s="236"/>
      <c r="IJ169" s="236"/>
      <c r="IK169" s="236"/>
      <c r="IL169" s="236"/>
      <c r="IM169" s="236"/>
      <c r="IN169" s="236"/>
      <c r="IO169" s="236"/>
      <c r="IP169" s="236"/>
      <c r="IQ169" s="236"/>
      <c r="IR169" s="236"/>
      <c r="IS169" s="236"/>
      <c r="IT169" s="236"/>
      <c r="IU169" s="236"/>
      <c r="IV169" s="236"/>
      <c r="IW169" s="236"/>
      <c r="IX169" s="236"/>
      <c r="IY169" s="236"/>
      <c r="IZ169" s="236"/>
      <c r="JA169" s="236"/>
      <c r="JB169" s="236"/>
      <c r="JC169" s="236"/>
      <c r="JD169" s="236"/>
      <c r="JE169" s="236"/>
      <c r="JF169" s="236"/>
      <c r="JG169" s="236"/>
      <c r="JH169" s="236"/>
      <c r="JI169" s="236"/>
      <c r="JJ169" s="236"/>
      <c r="JK169" s="236"/>
      <c r="JL169" s="236"/>
      <c r="JM169" s="236"/>
      <c r="JN169" s="236"/>
      <c r="JO169" s="236"/>
      <c r="JP169" s="236"/>
      <c r="JQ169" s="236"/>
      <c r="JR169" s="236"/>
      <c r="JS169" s="236"/>
      <c r="JT169" s="236"/>
      <c r="JU169" s="236"/>
      <c r="JV169" s="236"/>
      <c r="JW169" s="236"/>
      <c r="JX169" s="236"/>
      <c r="JY169" s="236"/>
      <c r="JZ169" s="236"/>
      <c r="KA169" s="236"/>
      <c r="KB169" s="236"/>
      <c r="KC169" s="236"/>
      <c r="KD169" s="236"/>
      <c r="KE169" s="236"/>
      <c r="KF169" s="236"/>
      <c r="KG169" s="236"/>
      <c r="KH169" s="236"/>
      <c r="KI169" s="236"/>
      <c r="KJ169" s="236"/>
      <c r="KK169" s="236"/>
      <c r="KL169" s="236"/>
      <c r="KM169" s="236"/>
      <c r="KN169" s="236"/>
      <c r="KO169" s="236"/>
      <c r="KP169" s="236"/>
      <c r="KQ169" s="236"/>
      <c r="KR169" s="236"/>
      <c r="KS169" s="236"/>
      <c r="KT169" s="236"/>
      <c r="KU169" s="236"/>
      <c r="KV169" s="236"/>
      <c r="KW169" s="236"/>
      <c r="KX169" s="236"/>
      <c r="KY169" s="236"/>
      <c r="KZ169" s="236"/>
      <c r="LA169" s="236"/>
      <c r="LB169" s="236"/>
      <c r="LC169" s="236"/>
      <c r="LD169" s="236"/>
      <c r="LE169" s="236"/>
      <c r="LF169" s="236"/>
      <c r="LG169" s="236"/>
      <c r="LH169" s="236"/>
      <c r="LI169" s="236"/>
      <c r="LJ169" s="236"/>
      <c r="LK169" s="236"/>
      <c r="LL169" s="236"/>
      <c r="LM169" s="236"/>
      <c r="LN169" s="236"/>
      <c r="LO169" s="236"/>
      <c r="LP169" s="236"/>
      <c r="LQ169" s="236"/>
      <c r="LR169" s="236"/>
      <c r="LS169" s="236"/>
      <c r="LT169" s="236"/>
      <c r="LU169" s="236"/>
      <c r="LV169" s="236"/>
      <c r="LW169" s="236"/>
      <c r="LX169" s="236"/>
      <c r="LY169" s="236"/>
      <c r="LZ169" s="236"/>
      <c r="MA169" s="236"/>
      <c r="MB169" s="236"/>
      <c r="MC169" s="236"/>
      <c r="MD169" s="236"/>
      <c r="ME169" s="236"/>
      <c r="MF169" s="236"/>
      <c r="MG169" s="236"/>
      <c r="MH169" s="236"/>
      <c r="MI169" s="236"/>
      <c r="MJ169" s="236"/>
      <c r="MK169" s="236"/>
      <c r="ML169" s="236"/>
      <c r="MM169" s="236"/>
      <c r="MN169" s="236"/>
      <c r="MO169" s="236"/>
      <c r="MP169" s="236"/>
      <c r="MQ169" s="236"/>
      <c r="MR169" s="236"/>
      <c r="MS169" s="236"/>
      <c r="MT169" s="236"/>
      <c r="MU169" s="236"/>
      <c r="MV169" s="236"/>
      <c r="MW169" s="236"/>
      <c r="MX169" s="236"/>
      <c r="MY169" s="236"/>
      <c r="MZ169" s="236"/>
      <c r="NA169" s="236"/>
      <c r="NB169" s="236"/>
      <c r="NC169" s="236"/>
      <c r="ND169" s="236"/>
      <c r="NE169" s="236"/>
      <c r="NF169" s="236"/>
      <c r="NG169" s="236"/>
      <c r="NH169" s="236"/>
      <c r="NI169" s="236"/>
      <c r="NJ169" s="236"/>
      <c r="NK169" s="236"/>
      <c r="NL169" s="236"/>
      <c r="NM169" s="236"/>
      <c r="NN169" s="236"/>
      <c r="NO169" s="236"/>
      <c r="NP169" s="236"/>
      <c r="NQ169" s="236"/>
      <c r="NR169" s="236"/>
      <c r="NS169" s="236"/>
      <c r="NT169" s="236"/>
      <c r="NU169" s="236"/>
      <c r="NV169" s="236"/>
      <c r="NW169" s="236"/>
      <c r="NX169" s="236"/>
      <c r="NY169" s="236"/>
      <c r="NZ169" s="236"/>
      <c r="OA169" s="236"/>
      <c r="OB169" s="236"/>
      <c r="OC169" s="236"/>
      <c r="OD169" s="236"/>
      <c r="OE169" s="236"/>
      <c r="OF169" s="236"/>
      <c r="OG169" s="236"/>
      <c r="OH169" s="236"/>
      <c r="OI169" s="236"/>
      <c r="OJ169" s="236"/>
      <c r="OK169" s="236"/>
      <c r="OL169" s="236"/>
      <c r="OM169" s="236"/>
      <c r="ON169" s="236"/>
      <c r="OO169" s="236"/>
      <c r="OP169" s="236"/>
      <c r="OQ169" s="236"/>
      <c r="OR169" s="236"/>
      <c r="OS169" s="236"/>
      <c r="OT169" s="236"/>
      <c r="OU169" s="236"/>
      <c r="OV169" s="236"/>
      <c r="OW169" s="236"/>
      <c r="OX169" s="236"/>
      <c r="OY169" s="236"/>
      <c r="OZ169" s="236"/>
      <c r="PA169" s="236"/>
      <c r="PB169" s="236"/>
      <c r="PC169" s="236"/>
      <c r="PD169" s="236"/>
      <c r="PE169" s="236"/>
      <c r="PF169" s="236"/>
      <c r="PG169" s="236"/>
      <c r="PH169" s="236"/>
      <c r="PI169" s="236"/>
      <c r="PJ169" s="236"/>
      <c r="PK169" s="236"/>
      <c r="PL169" s="236"/>
      <c r="PM169" s="236"/>
      <c r="PN169" s="236"/>
      <c r="PO169" s="236"/>
      <c r="PP169" s="236"/>
      <c r="PQ169" s="236"/>
      <c r="PR169" s="236"/>
      <c r="PS169" s="236"/>
      <c r="PT169" s="236"/>
      <c r="PU169" s="236"/>
      <c r="PV169" s="236"/>
      <c r="PW169" s="236"/>
      <c r="PX169" s="236"/>
      <c r="PY169" s="236"/>
      <c r="PZ169" s="236"/>
      <c r="QA169" s="236"/>
      <c r="QB169" s="236"/>
      <c r="QC169" s="236"/>
      <c r="QD169" s="236"/>
      <c r="QE169" s="236"/>
      <c r="QF169" s="236"/>
      <c r="QG169" s="236"/>
      <c r="QH169" s="236"/>
      <c r="QI169" s="236"/>
      <c r="QJ169" s="236"/>
      <c r="QK169" s="236"/>
      <c r="QL169" s="236"/>
      <c r="QM169" s="236"/>
      <c r="QN169" s="236"/>
      <c r="QO169" s="236"/>
      <c r="QP169" s="236"/>
      <c r="QQ169" s="236"/>
      <c r="QR169" s="236"/>
      <c r="QS169" s="236"/>
      <c r="QT169" s="236"/>
      <c r="QU169" s="236"/>
      <c r="QV169" s="236"/>
      <c r="QW169" s="236"/>
      <c r="QX169" s="236"/>
      <c r="QY169" s="236"/>
      <c r="QZ169" s="236"/>
      <c r="RA169" s="236"/>
      <c r="RB169" s="236"/>
      <c r="RC169" s="236"/>
      <c r="RD169" s="236"/>
      <c r="RE169" s="236"/>
      <c r="RF169" s="236"/>
      <c r="RG169" s="236"/>
      <c r="RH169" s="236"/>
      <c r="RI169" s="236"/>
      <c r="RJ169" s="236"/>
      <c r="RK169" s="236"/>
      <c r="RL169" s="236"/>
      <c r="RM169" s="236"/>
      <c r="RN169" s="236"/>
      <c r="RO169" s="236"/>
      <c r="RP169" s="236"/>
      <c r="RQ169" s="236"/>
      <c r="RR169" s="236"/>
      <c r="RS169" s="236"/>
      <c r="RT169" s="236"/>
      <c r="RU169" s="236"/>
      <c r="RV169" s="236"/>
      <c r="RW169" s="236"/>
      <c r="RX169" s="236"/>
      <c r="RY169" s="236"/>
      <c r="RZ169" s="236"/>
      <c r="SA169" s="236"/>
      <c r="SB169" s="236"/>
      <c r="SC169" s="236"/>
      <c r="SD169" s="236"/>
      <c r="SE169" s="236"/>
      <c r="SF169" s="236"/>
      <c r="SG169" s="236"/>
      <c r="SH169" s="236"/>
      <c r="SI169" s="236"/>
      <c r="SJ169" s="236"/>
      <c r="SK169" s="236"/>
      <c r="SL169" s="236"/>
      <c r="SM169" s="236"/>
      <c r="SN169" s="236"/>
      <c r="SO169" s="236"/>
      <c r="SP169" s="236"/>
      <c r="SQ169" s="236"/>
      <c r="SR169" s="236"/>
      <c r="SS169" s="236"/>
      <c r="ST169" s="236"/>
      <c r="SU169" s="236"/>
      <c r="SV169" s="236"/>
      <c r="SW169" s="236"/>
      <c r="SX169" s="236"/>
      <c r="SY169" s="236"/>
      <c r="SZ169" s="236"/>
      <c r="TA169" s="236"/>
      <c r="TB169" s="236"/>
      <c r="TC169" s="236"/>
      <c r="TD169" s="236"/>
      <c r="TE169" s="236"/>
      <c r="TF169" s="236"/>
      <c r="TG169" s="236"/>
      <c r="TH169" s="236"/>
      <c r="TI169" s="236"/>
      <c r="TJ169" s="236"/>
      <c r="TK169" s="236"/>
      <c r="TL169" s="236"/>
      <c r="TM169" s="236"/>
      <c r="TN169" s="236"/>
      <c r="TO169" s="236"/>
      <c r="TP169" s="236"/>
      <c r="TQ169" s="236"/>
      <c r="TR169" s="236"/>
      <c r="TS169" s="236"/>
      <c r="TT169" s="236"/>
      <c r="TU169" s="236"/>
      <c r="TV169" s="236"/>
      <c r="TW169" s="236"/>
      <c r="TX169" s="236"/>
      <c r="TY169" s="236"/>
      <c r="TZ169" s="236"/>
      <c r="UA169" s="236"/>
      <c r="UB169" s="236"/>
      <c r="UC169" s="236"/>
      <c r="UD169" s="236"/>
      <c r="UE169" s="236"/>
      <c r="UF169" s="236"/>
      <c r="UG169" s="236"/>
      <c r="UH169" s="236"/>
      <c r="UI169" s="236"/>
      <c r="UJ169" s="236"/>
      <c r="UK169" s="236"/>
      <c r="UL169" s="236"/>
      <c r="UM169" s="236"/>
      <c r="UN169" s="236"/>
      <c r="UO169" s="236"/>
      <c r="UP169" s="236"/>
      <c r="UQ169" s="236"/>
      <c r="UR169" s="236"/>
      <c r="US169" s="236"/>
      <c r="UT169" s="236"/>
      <c r="UU169" s="236"/>
      <c r="UV169" s="236"/>
      <c r="UW169" s="236"/>
      <c r="UX169" s="236"/>
      <c r="UY169" s="236"/>
      <c r="UZ169" s="236"/>
      <c r="VA169" s="236"/>
      <c r="VB169" s="236"/>
      <c r="VC169" s="236"/>
      <c r="VD169" s="236"/>
      <c r="VE169" s="236"/>
      <c r="VF169" s="236"/>
      <c r="VG169" s="236"/>
      <c r="VH169" s="236"/>
      <c r="VI169" s="236"/>
      <c r="VJ169" s="236"/>
      <c r="VK169" s="236"/>
      <c r="VL169" s="236"/>
      <c r="VM169" s="236"/>
      <c r="VN169" s="236"/>
      <c r="VO169" s="236"/>
      <c r="VP169" s="236"/>
      <c r="VQ169" s="236"/>
      <c r="VR169" s="236"/>
      <c r="VS169" s="236"/>
      <c r="VT169" s="236"/>
      <c r="VU169" s="236"/>
      <c r="VV169" s="236"/>
      <c r="VW169" s="236"/>
      <c r="VX169" s="236"/>
      <c r="VY169" s="236"/>
      <c r="VZ169" s="236"/>
      <c r="WA169" s="236"/>
      <c r="WB169" s="236"/>
      <c r="WC169" s="236"/>
      <c r="WD169" s="236"/>
      <c r="WE169" s="236"/>
      <c r="WF169" s="236"/>
      <c r="WG169" s="236"/>
      <c r="WH169" s="236"/>
      <c r="WI169" s="236"/>
      <c r="WJ169" s="236"/>
      <c r="WK169" s="236"/>
      <c r="WL169" s="236"/>
      <c r="WM169" s="236"/>
      <c r="WN169" s="236"/>
      <c r="WO169" s="236"/>
      <c r="WP169" s="236"/>
      <c r="WQ169" s="236"/>
      <c r="WR169" s="236"/>
      <c r="WS169" s="236"/>
      <c r="WT169" s="236"/>
      <c r="WU169" s="236"/>
      <c r="WV169" s="236"/>
      <c r="WW169" s="236"/>
      <c r="WX169" s="236"/>
      <c r="WY169" s="236"/>
      <c r="WZ169" s="236"/>
      <c r="XA169" s="236"/>
      <c r="XB169" s="236"/>
      <c r="XC169" s="236"/>
      <c r="XD169" s="236"/>
      <c r="XE169" s="236"/>
      <c r="XF169" s="236"/>
      <c r="XG169" s="236"/>
      <c r="XH169" s="236"/>
      <c r="XI169" s="236"/>
      <c r="XJ169" s="236"/>
      <c r="XK169" s="236"/>
      <c r="XL169" s="236"/>
      <c r="XM169" s="236"/>
      <c r="XN169" s="236"/>
      <c r="XO169" s="236"/>
      <c r="XP169" s="236"/>
      <c r="XQ169" s="236"/>
      <c r="XR169" s="236"/>
      <c r="XS169" s="236"/>
      <c r="XT169" s="236"/>
      <c r="XU169" s="236"/>
      <c r="XV169" s="236"/>
      <c r="XW169" s="236"/>
      <c r="XX169" s="236"/>
      <c r="XY169" s="236"/>
      <c r="XZ169" s="236"/>
      <c r="YA169" s="236"/>
      <c r="YB169" s="236"/>
      <c r="YC169" s="236"/>
      <c r="YD169" s="236"/>
      <c r="YE169" s="236"/>
      <c r="YF169" s="236"/>
      <c r="YG169" s="236"/>
      <c r="YH169" s="236"/>
      <c r="YI169" s="236"/>
      <c r="YJ169" s="236"/>
      <c r="YK169" s="236"/>
      <c r="YL169" s="236"/>
      <c r="YM169" s="236"/>
      <c r="YN169" s="236"/>
      <c r="YO169" s="236"/>
      <c r="YP169" s="236"/>
      <c r="YQ169" s="236"/>
      <c r="YR169" s="236"/>
      <c r="YS169" s="236"/>
      <c r="YT169" s="236"/>
      <c r="YU169" s="236"/>
      <c r="YV169" s="236"/>
      <c r="YW169" s="236"/>
      <c r="YX169" s="236"/>
      <c r="YY169" s="236"/>
      <c r="YZ169" s="236"/>
      <c r="ZA169" s="236"/>
      <c r="ZB169" s="236"/>
      <c r="ZC169" s="236"/>
      <c r="ZD169" s="236"/>
      <c r="ZE169" s="236"/>
      <c r="ZF169" s="236"/>
      <c r="ZG169" s="236"/>
      <c r="ZH169" s="236"/>
      <c r="ZI169" s="236"/>
      <c r="ZJ169" s="236"/>
      <c r="ZK169" s="236"/>
      <c r="ZL169" s="236"/>
      <c r="ZM169" s="236"/>
      <c r="ZN169" s="236"/>
      <c r="ZO169" s="236"/>
      <c r="ZP169" s="236"/>
      <c r="ZQ169" s="236"/>
      <c r="ZR169" s="236"/>
      <c r="ZS169" s="236"/>
      <c r="ZT169" s="236"/>
      <c r="ZU169" s="236"/>
      <c r="ZV169" s="236"/>
      <c r="ZW169" s="236"/>
      <c r="ZX169" s="236"/>
      <c r="ZY169" s="236"/>
      <c r="ZZ169" s="236"/>
      <c r="AAA169" s="236"/>
      <c r="AAB169" s="236"/>
      <c r="AAC169" s="236"/>
      <c r="AAD169" s="236"/>
      <c r="AAE169" s="236"/>
      <c r="AAF169" s="236"/>
      <c r="AAG169" s="236"/>
      <c r="AAH169" s="236"/>
      <c r="AAI169" s="236"/>
      <c r="AAJ169" s="236"/>
      <c r="AAK169" s="236"/>
      <c r="AAL169" s="236"/>
      <c r="AAM169" s="236"/>
      <c r="AAN169" s="236"/>
      <c r="AAO169" s="236"/>
      <c r="AAP169" s="236"/>
      <c r="AAQ169" s="236"/>
      <c r="AAR169" s="236"/>
      <c r="AAS169" s="236"/>
      <c r="AAT169" s="236"/>
      <c r="AAU169" s="236"/>
      <c r="AAV169" s="236"/>
      <c r="AAW169" s="236"/>
      <c r="AAX169" s="236"/>
      <c r="AAY169" s="236"/>
      <c r="AAZ169" s="236"/>
      <c r="ABA169" s="236"/>
      <c r="ABB169" s="236"/>
      <c r="ABC169" s="236"/>
      <c r="ABD169" s="236"/>
      <c r="ABE169" s="236"/>
      <c r="ABF169" s="236"/>
      <c r="ABG169" s="236"/>
      <c r="ABH169" s="236"/>
      <c r="ABI169" s="236"/>
      <c r="ABJ169" s="236"/>
      <c r="ABK169" s="236"/>
      <c r="ABL169" s="236"/>
      <c r="ABM169" s="236"/>
      <c r="ABN169" s="236"/>
      <c r="ABO169" s="236"/>
      <c r="ABP169" s="236"/>
      <c r="ABQ169" s="236"/>
      <c r="ABR169" s="236"/>
      <c r="ABS169" s="236"/>
      <c r="ABT169" s="236"/>
      <c r="ABU169" s="236"/>
      <c r="ABV169" s="236"/>
      <c r="ABW169" s="236"/>
      <c r="ABX169" s="236"/>
      <c r="ABY169" s="236"/>
      <c r="ABZ169" s="236"/>
      <c r="ACA169" s="236"/>
      <c r="ACB169" s="236"/>
      <c r="ACC169" s="236"/>
      <c r="ACD169" s="236"/>
      <c r="ACE169" s="236"/>
      <c r="ACF169" s="236"/>
      <c r="ACG169" s="236"/>
      <c r="ACH169" s="236"/>
      <c r="ACI169" s="236"/>
      <c r="ACJ169" s="236"/>
      <c r="ACK169" s="236"/>
      <c r="ACL169" s="236"/>
      <c r="ACM169" s="236"/>
      <c r="ACN169" s="236"/>
      <c r="ACO169" s="236"/>
      <c r="ACP169" s="236"/>
      <c r="ACQ169" s="236"/>
      <c r="ACR169" s="236"/>
      <c r="ACS169" s="236"/>
      <c r="ACT169" s="236"/>
      <c r="ACU169" s="236"/>
      <c r="ACV169" s="236"/>
      <c r="ACW169" s="236"/>
      <c r="ACX169" s="236"/>
      <c r="ACY169" s="236"/>
      <c r="ACZ169" s="236"/>
      <c r="ADA169" s="236"/>
      <c r="ADB169" s="236"/>
      <c r="ADC169" s="236"/>
      <c r="ADD169" s="236"/>
      <c r="ADE169" s="236"/>
      <c r="ADF169" s="236"/>
      <c r="ADG169" s="236"/>
      <c r="ADH169" s="236"/>
      <c r="ADI169" s="236"/>
      <c r="ADJ169" s="236"/>
      <c r="ADK169" s="236"/>
      <c r="ADL169" s="236"/>
      <c r="ADM169" s="236"/>
      <c r="ADN169" s="236"/>
      <c r="ADO169" s="236"/>
      <c r="ADP169" s="236"/>
      <c r="ADQ169" s="236"/>
      <c r="ADR169" s="236"/>
      <c r="ADS169" s="236"/>
      <c r="ADT169" s="236"/>
      <c r="ADU169" s="236"/>
      <c r="ADV169" s="236"/>
      <c r="ADW169" s="236"/>
      <c r="ADX169" s="236"/>
      <c r="ADY169" s="236"/>
      <c r="ADZ169" s="236"/>
      <c r="AEA169" s="236"/>
      <c r="AEB169" s="236"/>
      <c r="AEC169" s="236"/>
      <c r="AED169" s="236"/>
      <c r="AEE169" s="236"/>
      <c r="AEF169" s="236"/>
      <c r="AEG169" s="236"/>
      <c r="AEH169" s="236"/>
      <c r="AEI169" s="236"/>
      <c r="AEJ169" s="236"/>
      <c r="AEK169" s="236"/>
      <c r="AEL169" s="236"/>
      <c r="AEM169" s="236"/>
      <c r="AEN169" s="236"/>
      <c r="AEO169" s="236"/>
      <c r="AEP169" s="236"/>
      <c r="AEQ169" s="236"/>
      <c r="AER169" s="236"/>
      <c r="AES169" s="236"/>
      <c r="AET169" s="236"/>
      <c r="AEU169" s="236"/>
      <c r="AEV169" s="236"/>
      <c r="AEW169" s="236"/>
      <c r="AEX169" s="236"/>
      <c r="AEY169" s="236"/>
      <c r="AEZ169" s="236"/>
      <c r="AFA169" s="236"/>
      <c r="AFB169" s="236"/>
      <c r="AFC169" s="236"/>
      <c r="AFD169" s="236"/>
      <c r="AFE169" s="236"/>
      <c r="AFF169" s="236"/>
      <c r="AFG169" s="236"/>
      <c r="AFH169" s="236"/>
      <c r="AFI169" s="236"/>
      <c r="AFJ169" s="236"/>
      <c r="AFK169" s="236"/>
      <c r="AFL169" s="236"/>
      <c r="AFM169" s="236"/>
      <c r="AFN169" s="236"/>
      <c r="AFO169" s="236"/>
      <c r="AFP169" s="236"/>
      <c r="AFQ169" s="236"/>
      <c r="AFR169" s="236"/>
      <c r="AFS169" s="236"/>
      <c r="AFT169" s="236"/>
      <c r="AFU169" s="236"/>
      <c r="AFV169" s="236"/>
      <c r="AFW169" s="236"/>
      <c r="AFX169" s="236"/>
      <c r="AFY169" s="236"/>
      <c r="AFZ169" s="236"/>
      <c r="AGA169" s="236"/>
      <c r="AGB169" s="236"/>
      <c r="AGC169" s="236"/>
      <c r="AGD169" s="236"/>
      <c r="AGE169" s="236"/>
      <c r="AGF169" s="236"/>
      <c r="AGG169" s="236"/>
      <c r="AGH169" s="236"/>
      <c r="AGI169" s="236"/>
      <c r="AGJ169" s="236"/>
      <c r="AGK169" s="236"/>
      <c r="AGL169" s="236"/>
      <c r="AGM169" s="236"/>
      <c r="AGN169" s="236"/>
      <c r="AGO169" s="236"/>
      <c r="AGP169" s="236"/>
      <c r="AGQ169" s="236"/>
      <c r="AGR169" s="236"/>
      <c r="AGS169" s="236"/>
      <c r="AGT169" s="236"/>
      <c r="AGU169" s="236"/>
      <c r="AGV169" s="236"/>
      <c r="AGW169" s="236"/>
      <c r="AGX169" s="236"/>
      <c r="AGY169" s="236"/>
      <c r="AGZ169" s="236"/>
      <c r="AHA169" s="236"/>
      <c r="AHB169" s="236"/>
      <c r="AHC169" s="236"/>
      <c r="AHD169" s="236"/>
      <c r="AHE169" s="236"/>
      <c r="AHF169" s="236"/>
      <c r="AHG169" s="236"/>
      <c r="AHH169" s="236"/>
      <c r="AHI169" s="236"/>
      <c r="AHJ169" s="236"/>
      <c r="AHK169" s="236"/>
      <c r="AHL169" s="236"/>
      <c r="AHM169" s="236"/>
      <c r="AHN169" s="236"/>
      <c r="AHO169" s="236"/>
      <c r="AHP169" s="236"/>
      <c r="AHQ169" s="236"/>
      <c r="AHR169" s="236"/>
      <c r="AHS169" s="236"/>
      <c r="AHT169" s="236"/>
      <c r="AHU169" s="236"/>
      <c r="AHV169" s="236"/>
      <c r="AHW169" s="236"/>
      <c r="AHX169" s="236"/>
      <c r="AHY169" s="236"/>
      <c r="AHZ169" s="236"/>
      <c r="AIA169" s="236"/>
      <c r="AIB169" s="236"/>
      <c r="AIC169" s="236"/>
      <c r="AID169" s="236"/>
      <c r="AIE169" s="236"/>
      <c r="AIF169" s="236"/>
      <c r="AIG169" s="236"/>
      <c r="AIH169" s="236"/>
      <c r="AII169" s="236"/>
      <c r="AIJ169" s="236"/>
      <c r="AIK169" s="236"/>
      <c r="AIL169" s="236"/>
      <c r="AIM169" s="236"/>
      <c r="AIN169" s="236"/>
      <c r="AIO169" s="236"/>
      <c r="AIP169" s="236"/>
      <c r="AIQ169" s="236"/>
      <c r="AIR169" s="236"/>
      <c r="AIS169" s="236"/>
      <c r="AIT169" s="236"/>
      <c r="AIU169" s="236"/>
      <c r="AIV169" s="236"/>
      <c r="AIW169" s="236"/>
      <c r="AIX169" s="236"/>
      <c r="AIY169" s="236"/>
      <c r="AIZ169" s="236"/>
      <c r="AJA169" s="236"/>
      <c r="AJB169" s="236"/>
      <c r="AJC169" s="236"/>
      <c r="AJD169" s="236"/>
      <c r="AJE169" s="236"/>
      <c r="AJF169" s="236"/>
      <c r="AJG169" s="236"/>
      <c r="AJH169" s="236"/>
      <c r="AJI169" s="236"/>
      <c r="AJJ169" s="236"/>
      <c r="AJK169" s="236"/>
      <c r="AJL169" s="236"/>
      <c r="AJM169" s="236"/>
      <c r="AJN169" s="236"/>
      <c r="AJO169" s="236"/>
      <c r="AJP169" s="236"/>
      <c r="AJQ169" s="236"/>
      <c r="AJR169" s="236"/>
      <c r="AJS169" s="236"/>
      <c r="AJT169" s="236"/>
      <c r="AJU169" s="236"/>
      <c r="AJV169" s="236"/>
      <c r="AJW169" s="236"/>
      <c r="AJX169" s="236"/>
      <c r="AJY169" s="236"/>
      <c r="AJZ169" s="236"/>
      <c r="AKA169" s="236"/>
      <c r="AKB169" s="236"/>
      <c r="AKC169" s="236"/>
      <c r="AKD169" s="236"/>
      <c r="AKE169" s="236"/>
      <c r="AKF169" s="236"/>
      <c r="AKG169" s="236"/>
      <c r="AKH169" s="236"/>
      <c r="AKI169" s="236"/>
      <c r="AKJ169" s="236"/>
      <c r="AKK169" s="236"/>
      <c r="AKL169" s="236"/>
      <c r="AKM169" s="236"/>
      <c r="AKN169" s="236"/>
      <c r="AKO169" s="236"/>
      <c r="AKP169" s="236"/>
      <c r="AKQ169" s="236"/>
      <c r="AKR169" s="236"/>
      <c r="AKS169" s="236"/>
      <c r="AKT169" s="236"/>
      <c r="AKU169" s="236"/>
      <c r="AKV169" s="236"/>
      <c r="AKW169" s="236"/>
      <c r="AKX169" s="236"/>
      <c r="AKY169" s="236"/>
      <c r="AKZ169" s="236"/>
      <c r="ALA169" s="236"/>
      <c r="ALB169" s="236"/>
      <c r="ALC169" s="236"/>
      <c r="ALD169" s="236"/>
      <c r="ALE169" s="236"/>
      <c r="ALF169" s="236"/>
      <c r="ALG169" s="236"/>
      <c r="ALH169" s="236"/>
      <c r="ALI169" s="236"/>
      <c r="ALJ169" s="236"/>
      <c r="ALK169" s="236"/>
      <c r="ALL169" s="236"/>
      <c r="ALM169" s="236"/>
      <c r="ALN169" s="236"/>
      <c r="ALO169" s="236"/>
      <c r="ALP169" s="236"/>
      <c r="ALQ169" s="236"/>
      <c r="ALR169" s="236"/>
      <c r="ALS169" s="236"/>
      <c r="ALT169" s="236"/>
      <c r="ALU169" s="236"/>
      <c r="ALV169" s="236"/>
      <c r="ALW169" s="236"/>
      <c r="ALX169" s="236"/>
      <c r="ALY169" s="236"/>
      <c r="ALZ169" s="236"/>
      <c r="AMA169" s="236"/>
      <c r="AMB169" s="236"/>
      <c r="AMC169" s="236"/>
      <c r="AMD169" s="236"/>
      <c r="AME169" s="236"/>
      <c r="AMF169" s="236"/>
      <c r="AMG169" s="236"/>
      <c r="AMH169" s="236"/>
      <c r="AMI169" s="236"/>
      <c r="AMJ169" s="236"/>
      <c r="AMK169" s="236"/>
      <c r="AML169" s="236"/>
      <c r="AMM169" s="236"/>
    </row>
    <row r="170" spans="1:1027" ht="11.25" customHeight="1">
      <c r="A170" s="1386" t="s">
        <v>649</v>
      </c>
      <c r="B170" s="1387"/>
      <c r="C170" s="1387"/>
      <c r="D170" s="1387"/>
      <c r="E170" s="1387"/>
      <c r="F170" s="1387"/>
      <c r="G170" s="1387"/>
      <c r="H170" s="1387"/>
      <c r="I170" s="1387"/>
      <c r="J170" s="1387"/>
      <c r="K170" s="1387"/>
      <c r="L170" s="1388"/>
      <c r="M170" s="275"/>
      <c r="N170" s="280" t="s">
        <v>650</v>
      </c>
      <c r="O170" s="280"/>
      <c r="P170" s="281"/>
      <c r="Q170" s="281"/>
      <c r="R170" s="281"/>
      <c r="S170" s="281"/>
      <c r="T170" s="281"/>
      <c r="U170" s="281"/>
      <c r="V170" s="281"/>
      <c r="W170" s="281"/>
      <c r="X170" s="282"/>
      <c r="Y170" s="282"/>
      <c r="Z170" s="282"/>
      <c r="AA170" s="282"/>
      <c r="AB170" s="282"/>
      <c r="AC170" s="282"/>
      <c r="AD170" s="281"/>
      <c r="AE170" s="281"/>
      <c r="AF170" s="281"/>
      <c r="AG170" s="281"/>
      <c r="AH170" s="281"/>
      <c r="AI170" s="281"/>
      <c r="AJ170" s="275"/>
      <c r="AK170" s="275"/>
      <c r="AL170" s="275"/>
      <c r="AM170" s="279"/>
      <c r="AN170" s="262"/>
      <c r="AO170" s="262"/>
      <c r="AP170" s="262"/>
      <c r="AQ170" s="262"/>
      <c r="AR170" s="262"/>
      <c r="AS170" s="262"/>
      <c r="AT170" s="262"/>
      <c r="AU170" s="262"/>
      <c r="AV170" s="262"/>
      <c r="AW170" s="262"/>
      <c r="AX170" s="262"/>
      <c r="AY170" s="236"/>
      <c r="AZ170" s="236"/>
      <c r="BA170" s="236"/>
      <c r="BB170" s="236"/>
      <c r="BC170" s="236"/>
      <c r="BD170" s="236"/>
      <c r="BE170" s="236"/>
      <c r="BF170" s="236"/>
      <c r="BG170" s="236"/>
      <c r="BH170" s="236"/>
      <c r="BI170" s="236"/>
      <c r="BJ170" s="236"/>
      <c r="BK170" s="236"/>
      <c r="BL170" s="236"/>
      <c r="BM170" s="236"/>
      <c r="BN170" s="236"/>
      <c r="BO170" s="236"/>
      <c r="BP170" s="236"/>
      <c r="BQ170" s="236"/>
      <c r="BR170" s="236"/>
      <c r="BS170" s="236"/>
      <c r="BT170" s="236"/>
      <c r="BU170" s="236"/>
      <c r="BV170" s="236"/>
      <c r="BW170" s="236"/>
      <c r="BX170" s="236"/>
      <c r="BY170" s="236"/>
      <c r="BZ170" s="236"/>
      <c r="CA170" s="236"/>
      <c r="CB170" s="236"/>
      <c r="CC170" s="236"/>
      <c r="CD170" s="236"/>
      <c r="CE170" s="236"/>
      <c r="CF170" s="236"/>
      <c r="CG170" s="236"/>
      <c r="CH170" s="236"/>
      <c r="CI170" s="236"/>
      <c r="CJ170" s="236"/>
      <c r="CK170" s="236"/>
      <c r="CL170" s="236"/>
      <c r="CM170" s="236"/>
      <c r="CN170" s="236"/>
      <c r="CO170" s="236"/>
      <c r="CP170" s="236"/>
      <c r="CQ170" s="236"/>
      <c r="CR170" s="236"/>
      <c r="CS170" s="236"/>
      <c r="CT170" s="236"/>
      <c r="CU170" s="236"/>
      <c r="CV170" s="236"/>
      <c r="CW170" s="236"/>
      <c r="CX170" s="236"/>
      <c r="CY170" s="236"/>
      <c r="CZ170" s="236"/>
      <c r="DA170" s="236"/>
      <c r="DB170" s="236"/>
      <c r="DC170" s="236"/>
      <c r="DD170" s="236"/>
      <c r="DE170" s="236"/>
      <c r="DF170" s="236"/>
      <c r="DG170" s="236"/>
      <c r="DH170" s="236"/>
      <c r="DI170" s="236"/>
      <c r="DJ170" s="236"/>
      <c r="DK170" s="236"/>
      <c r="DL170" s="236"/>
      <c r="DM170" s="236"/>
      <c r="DN170" s="236"/>
      <c r="DO170" s="236"/>
      <c r="DP170" s="236"/>
      <c r="DQ170" s="236"/>
      <c r="DR170" s="236"/>
      <c r="DS170" s="236"/>
      <c r="DT170" s="236"/>
      <c r="DU170" s="236"/>
      <c r="DV170" s="236"/>
      <c r="DW170" s="236"/>
      <c r="DX170" s="236"/>
      <c r="DY170" s="236"/>
      <c r="DZ170" s="236"/>
      <c r="EA170" s="236"/>
      <c r="EB170" s="236"/>
      <c r="EC170" s="236"/>
      <c r="ED170" s="236"/>
      <c r="EE170" s="236"/>
      <c r="EF170" s="236"/>
      <c r="EG170" s="236"/>
      <c r="EH170" s="236"/>
      <c r="EI170" s="236"/>
      <c r="EJ170" s="236"/>
      <c r="EK170" s="236"/>
      <c r="EL170" s="236"/>
      <c r="EM170" s="236"/>
      <c r="EN170" s="236"/>
      <c r="EO170" s="236"/>
      <c r="EP170" s="236"/>
      <c r="EQ170" s="236"/>
      <c r="ER170" s="236"/>
      <c r="ES170" s="236"/>
      <c r="ET170" s="236"/>
      <c r="EU170" s="236"/>
      <c r="EV170" s="236"/>
      <c r="EW170" s="236"/>
      <c r="EX170" s="236"/>
      <c r="EY170" s="236"/>
      <c r="EZ170" s="236"/>
      <c r="FA170" s="236"/>
      <c r="FB170" s="236"/>
      <c r="FC170" s="236"/>
      <c r="FD170" s="236"/>
      <c r="FE170" s="236"/>
      <c r="FF170" s="236"/>
      <c r="FG170" s="236"/>
      <c r="FH170" s="236"/>
      <c r="FI170" s="236"/>
      <c r="FJ170" s="236"/>
      <c r="FK170" s="236"/>
      <c r="FL170" s="236"/>
      <c r="FM170" s="236"/>
      <c r="FN170" s="236"/>
      <c r="FO170" s="236"/>
      <c r="FP170" s="236"/>
      <c r="FQ170" s="236"/>
      <c r="FR170" s="236"/>
      <c r="FS170" s="236"/>
      <c r="FT170" s="236"/>
      <c r="FU170" s="236"/>
      <c r="FV170" s="236"/>
      <c r="FW170" s="236"/>
      <c r="FX170" s="236"/>
      <c r="FY170" s="236"/>
      <c r="FZ170" s="236"/>
      <c r="GA170" s="236"/>
      <c r="GB170" s="236"/>
      <c r="GC170" s="236"/>
      <c r="GD170" s="236"/>
      <c r="GE170" s="236"/>
      <c r="GF170" s="236"/>
      <c r="GG170" s="236"/>
      <c r="GH170" s="236"/>
      <c r="GI170" s="236"/>
      <c r="GJ170" s="236"/>
      <c r="GK170" s="236"/>
      <c r="GL170" s="236"/>
      <c r="GM170" s="236"/>
      <c r="GN170" s="236"/>
      <c r="GO170" s="236"/>
      <c r="GP170" s="236"/>
      <c r="GQ170" s="236"/>
      <c r="GR170" s="236"/>
      <c r="GS170" s="236"/>
      <c r="GT170" s="236"/>
      <c r="GU170" s="236"/>
      <c r="GV170" s="236"/>
      <c r="GW170" s="236"/>
      <c r="GX170" s="236"/>
      <c r="GY170" s="236"/>
      <c r="GZ170" s="236"/>
      <c r="HA170" s="236"/>
      <c r="HB170" s="236"/>
      <c r="HC170" s="236"/>
      <c r="HD170" s="236"/>
      <c r="HE170" s="236"/>
      <c r="HF170" s="236"/>
      <c r="HG170" s="236"/>
      <c r="HH170" s="236"/>
      <c r="HI170" s="236"/>
      <c r="HJ170" s="236"/>
      <c r="HK170" s="236"/>
      <c r="HL170" s="236"/>
      <c r="HM170" s="236"/>
      <c r="HN170" s="236"/>
      <c r="HO170" s="236"/>
      <c r="HP170" s="236"/>
      <c r="HQ170" s="236"/>
      <c r="HR170" s="236"/>
      <c r="HS170" s="236"/>
      <c r="HT170" s="236"/>
      <c r="HU170" s="236"/>
      <c r="HV170" s="236"/>
      <c r="HW170" s="236"/>
      <c r="HX170" s="236"/>
      <c r="HY170" s="236"/>
      <c r="HZ170" s="236"/>
      <c r="IA170" s="236"/>
      <c r="IB170" s="236"/>
      <c r="IC170" s="236"/>
      <c r="ID170" s="236"/>
      <c r="IE170" s="236"/>
      <c r="IF170" s="236"/>
      <c r="IG170" s="236"/>
      <c r="IH170" s="236"/>
      <c r="II170" s="236"/>
      <c r="IJ170" s="236"/>
      <c r="IK170" s="236"/>
      <c r="IL170" s="236"/>
      <c r="IM170" s="236"/>
      <c r="IN170" s="236"/>
      <c r="IO170" s="236"/>
      <c r="IP170" s="236"/>
      <c r="IQ170" s="236"/>
      <c r="IR170" s="236"/>
      <c r="IS170" s="236"/>
      <c r="IT170" s="236"/>
      <c r="IU170" s="236"/>
      <c r="IV170" s="236"/>
      <c r="IW170" s="236"/>
      <c r="IX170" s="236"/>
      <c r="IY170" s="236"/>
      <c r="IZ170" s="236"/>
      <c r="JA170" s="236"/>
      <c r="JB170" s="236"/>
      <c r="JC170" s="236"/>
      <c r="JD170" s="236"/>
      <c r="JE170" s="236"/>
      <c r="JF170" s="236"/>
      <c r="JG170" s="236"/>
      <c r="JH170" s="236"/>
      <c r="JI170" s="236"/>
      <c r="JJ170" s="236"/>
      <c r="JK170" s="236"/>
      <c r="JL170" s="236"/>
      <c r="JM170" s="236"/>
      <c r="JN170" s="236"/>
      <c r="JO170" s="236"/>
      <c r="JP170" s="236"/>
      <c r="JQ170" s="236"/>
      <c r="JR170" s="236"/>
      <c r="JS170" s="236"/>
      <c r="JT170" s="236"/>
      <c r="JU170" s="236"/>
      <c r="JV170" s="236"/>
      <c r="JW170" s="236"/>
      <c r="JX170" s="236"/>
      <c r="JY170" s="236"/>
      <c r="JZ170" s="236"/>
      <c r="KA170" s="236"/>
      <c r="KB170" s="236"/>
      <c r="KC170" s="236"/>
      <c r="KD170" s="236"/>
      <c r="KE170" s="236"/>
      <c r="KF170" s="236"/>
      <c r="KG170" s="236"/>
      <c r="KH170" s="236"/>
      <c r="KI170" s="236"/>
      <c r="KJ170" s="236"/>
      <c r="KK170" s="236"/>
      <c r="KL170" s="236"/>
      <c r="KM170" s="236"/>
      <c r="KN170" s="236"/>
      <c r="KO170" s="236"/>
      <c r="KP170" s="236"/>
      <c r="KQ170" s="236"/>
      <c r="KR170" s="236"/>
      <c r="KS170" s="236"/>
      <c r="KT170" s="236"/>
      <c r="KU170" s="236"/>
      <c r="KV170" s="236"/>
      <c r="KW170" s="236"/>
      <c r="KX170" s="236"/>
      <c r="KY170" s="236"/>
      <c r="KZ170" s="236"/>
      <c r="LA170" s="236"/>
      <c r="LB170" s="236"/>
      <c r="LC170" s="236"/>
      <c r="LD170" s="236"/>
      <c r="LE170" s="236"/>
      <c r="LF170" s="236"/>
      <c r="LG170" s="236"/>
      <c r="LH170" s="236"/>
      <c r="LI170" s="236"/>
      <c r="LJ170" s="236"/>
      <c r="LK170" s="236"/>
      <c r="LL170" s="236"/>
      <c r="LM170" s="236"/>
      <c r="LN170" s="236"/>
      <c r="LO170" s="236"/>
      <c r="LP170" s="236"/>
      <c r="LQ170" s="236"/>
      <c r="LR170" s="236"/>
      <c r="LS170" s="236"/>
      <c r="LT170" s="236"/>
      <c r="LU170" s="236"/>
      <c r="LV170" s="236"/>
      <c r="LW170" s="236"/>
      <c r="LX170" s="236"/>
      <c r="LY170" s="236"/>
      <c r="LZ170" s="236"/>
      <c r="MA170" s="236"/>
      <c r="MB170" s="236"/>
      <c r="MC170" s="236"/>
      <c r="MD170" s="236"/>
      <c r="ME170" s="236"/>
      <c r="MF170" s="236"/>
      <c r="MG170" s="236"/>
      <c r="MH170" s="236"/>
      <c r="MI170" s="236"/>
      <c r="MJ170" s="236"/>
      <c r="MK170" s="236"/>
      <c r="ML170" s="236"/>
      <c r="MM170" s="236"/>
      <c r="MN170" s="236"/>
      <c r="MO170" s="236"/>
      <c r="MP170" s="236"/>
      <c r="MQ170" s="236"/>
      <c r="MR170" s="236"/>
      <c r="MS170" s="236"/>
      <c r="MT170" s="236"/>
      <c r="MU170" s="236"/>
      <c r="MV170" s="236"/>
      <c r="MW170" s="236"/>
      <c r="MX170" s="236"/>
      <c r="MY170" s="236"/>
      <c r="MZ170" s="236"/>
      <c r="NA170" s="236"/>
      <c r="NB170" s="236"/>
      <c r="NC170" s="236"/>
      <c r="ND170" s="236"/>
      <c r="NE170" s="236"/>
      <c r="NF170" s="236"/>
      <c r="NG170" s="236"/>
      <c r="NH170" s="236"/>
      <c r="NI170" s="236"/>
      <c r="NJ170" s="236"/>
      <c r="NK170" s="236"/>
      <c r="NL170" s="236"/>
      <c r="NM170" s="236"/>
      <c r="NN170" s="236"/>
      <c r="NO170" s="236"/>
      <c r="NP170" s="236"/>
      <c r="NQ170" s="236"/>
      <c r="NR170" s="236"/>
      <c r="NS170" s="236"/>
      <c r="NT170" s="236"/>
      <c r="NU170" s="236"/>
      <c r="NV170" s="236"/>
      <c r="NW170" s="236"/>
      <c r="NX170" s="236"/>
      <c r="NY170" s="236"/>
      <c r="NZ170" s="236"/>
      <c r="OA170" s="236"/>
      <c r="OB170" s="236"/>
      <c r="OC170" s="236"/>
      <c r="OD170" s="236"/>
      <c r="OE170" s="236"/>
      <c r="OF170" s="236"/>
      <c r="OG170" s="236"/>
      <c r="OH170" s="236"/>
      <c r="OI170" s="236"/>
      <c r="OJ170" s="236"/>
      <c r="OK170" s="236"/>
      <c r="OL170" s="236"/>
      <c r="OM170" s="236"/>
      <c r="ON170" s="236"/>
      <c r="OO170" s="236"/>
      <c r="OP170" s="236"/>
      <c r="OQ170" s="236"/>
      <c r="OR170" s="236"/>
      <c r="OS170" s="236"/>
      <c r="OT170" s="236"/>
      <c r="OU170" s="236"/>
      <c r="OV170" s="236"/>
      <c r="OW170" s="236"/>
      <c r="OX170" s="236"/>
      <c r="OY170" s="236"/>
      <c r="OZ170" s="236"/>
      <c r="PA170" s="236"/>
      <c r="PB170" s="236"/>
      <c r="PC170" s="236"/>
      <c r="PD170" s="236"/>
      <c r="PE170" s="236"/>
      <c r="PF170" s="236"/>
      <c r="PG170" s="236"/>
      <c r="PH170" s="236"/>
      <c r="PI170" s="236"/>
      <c r="PJ170" s="236"/>
      <c r="PK170" s="236"/>
      <c r="PL170" s="236"/>
      <c r="PM170" s="236"/>
      <c r="PN170" s="236"/>
      <c r="PO170" s="236"/>
      <c r="PP170" s="236"/>
      <c r="PQ170" s="236"/>
      <c r="PR170" s="236"/>
      <c r="PS170" s="236"/>
      <c r="PT170" s="236"/>
      <c r="PU170" s="236"/>
      <c r="PV170" s="236"/>
      <c r="PW170" s="236"/>
      <c r="PX170" s="236"/>
      <c r="PY170" s="236"/>
      <c r="PZ170" s="236"/>
      <c r="QA170" s="236"/>
      <c r="QB170" s="236"/>
      <c r="QC170" s="236"/>
      <c r="QD170" s="236"/>
      <c r="QE170" s="236"/>
      <c r="QF170" s="236"/>
      <c r="QG170" s="236"/>
      <c r="QH170" s="236"/>
      <c r="QI170" s="236"/>
      <c r="QJ170" s="236"/>
      <c r="QK170" s="236"/>
      <c r="QL170" s="236"/>
      <c r="QM170" s="236"/>
      <c r="QN170" s="236"/>
      <c r="QO170" s="236"/>
      <c r="QP170" s="236"/>
      <c r="QQ170" s="236"/>
      <c r="QR170" s="236"/>
      <c r="QS170" s="236"/>
      <c r="QT170" s="236"/>
      <c r="QU170" s="236"/>
      <c r="QV170" s="236"/>
      <c r="QW170" s="236"/>
      <c r="QX170" s="236"/>
      <c r="QY170" s="236"/>
      <c r="QZ170" s="236"/>
      <c r="RA170" s="236"/>
      <c r="RB170" s="236"/>
      <c r="RC170" s="236"/>
      <c r="RD170" s="236"/>
      <c r="RE170" s="236"/>
      <c r="RF170" s="236"/>
      <c r="RG170" s="236"/>
      <c r="RH170" s="236"/>
      <c r="RI170" s="236"/>
      <c r="RJ170" s="236"/>
      <c r="RK170" s="236"/>
      <c r="RL170" s="236"/>
      <c r="RM170" s="236"/>
      <c r="RN170" s="236"/>
      <c r="RO170" s="236"/>
      <c r="RP170" s="236"/>
      <c r="RQ170" s="236"/>
      <c r="RR170" s="236"/>
      <c r="RS170" s="236"/>
      <c r="RT170" s="236"/>
      <c r="RU170" s="236"/>
      <c r="RV170" s="236"/>
      <c r="RW170" s="236"/>
      <c r="RX170" s="236"/>
      <c r="RY170" s="236"/>
      <c r="RZ170" s="236"/>
      <c r="SA170" s="236"/>
      <c r="SB170" s="236"/>
      <c r="SC170" s="236"/>
      <c r="SD170" s="236"/>
      <c r="SE170" s="236"/>
      <c r="SF170" s="236"/>
      <c r="SG170" s="236"/>
      <c r="SH170" s="236"/>
      <c r="SI170" s="236"/>
      <c r="SJ170" s="236"/>
      <c r="SK170" s="236"/>
      <c r="SL170" s="236"/>
      <c r="SM170" s="236"/>
      <c r="SN170" s="236"/>
      <c r="SO170" s="236"/>
      <c r="SP170" s="236"/>
      <c r="SQ170" s="236"/>
      <c r="SR170" s="236"/>
      <c r="SS170" s="236"/>
      <c r="ST170" s="236"/>
      <c r="SU170" s="236"/>
      <c r="SV170" s="236"/>
      <c r="SW170" s="236"/>
      <c r="SX170" s="236"/>
      <c r="SY170" s="236"/>
      <c r="SZ170" s="236"/>
      <c r="TA170" s="236"/>
      <c r="TB170" s="236"/>
      <c r="TC170" s="236"/>
      <c r="TD170" s="236"/>
      <c r="TE170" s="236"/>
      <c r="TF170" s="236"/>
      <c r="TG170" s="236"/>
      <c r="TH170" s="236"/>
      <c r="TI170" s="236"/>
      <c r="TJ170" s="236"/>
      <c r="TK170" s="236"/>
      <c r="TL170" s="236"/>
      <c r="TM170" s="236"/>
      <c r="TN170" s="236"/>
      <c r="TO170" s="236"/>
      <c r="TP170" s="236"/>
      <c r="TQ170" s="236"/>
      <c r="TR170" s="236"/>
      <c r="TS170" s="236"/>
      <c r="TT170" s="236"/>
      <c r="TU170" s="236"/>
      <c r="TV170" s="236"/>
      <c r="TW170" s="236"/>
      <c r="TX170" s="236"/>
      <c r="TY170" s="236"/>
      <c r="TZ170" s="236"/>
      <c r="UA170" s="236"/>
      <c r="UB170" s="236"/>
      <c r="UC170" s="236"/>
      <c r="UD170" s="236"/>
      <c r="UE170" s="236"/>
      <c r="UF170" s="236"/>
      <c r="UG170" s="236"/>
      <c r="UH170" s="236"/>
      <c r="UI170" s="236"/>
      <c r="UJ170" s="236"/>
      <c r="UK170" s="236"/>
      <c r="UL170" s="236"/>
      <c r="UM170" s="236"/>
      <c r="UN170" s="236"/>
      <c r="UO170" s="236"/>
      <c r="UP170" s="236"/>
      <c r="UQ170" s="236"/>
      <c r="UR170" s="236"/>
      <c r="US170" s="236"/>
      <c r="UT170" s="236"/>
      <c r="UU170" s="236"/>
      <c r="UV170" s="236"/>
      <c r="UW170" s="236"/>
      <c r="UX170" s="236"/>
      <c r="UY170" s="236"/>
      <c r="UZ170" s="236"/>
      <c r="VA170" s="236"/>
      <c r="VB170" s="236"/>
      <c r="VC170" s="236"/>
      <c r="VD170" s="236"/>
      <c r="VE170" s="236"/>
      <c r="VF170" s="236"/>
      <c r="VG170" s="236"/>
      <c r="VH170" s="236"/>
      <c r="VI170" s="236"/>
      <c r="VJ170" s="236"/>
      <c r="VK170" s="236"/>
      <c r="VL170" s="236"/>
      <c r="VM170" s="236"/>
      <c r="VN170" s="236"/>
      <c r="VO170" s="236"/>
      <c r="VP170" s="236"/>
      <c r="VQ170" s="236"/>
      <c r="VR170" s="236"/>
      <c r="VS170" s="236"/>
      <c r="VT170" s="236"/>
      <c r="VU170" s="236"/>
      <c r="VV170" s="236"/>
      <c r="VW170" s="236"/>
      <c r="VX170" s="236"/>
      <c r="VY170" s="236"/>
      <c r="VZ170" s="236"/>
      <c r="WA170" s="236"/>
      <c r="WB170" s="236"/>
      <c r="WC170" s="236"/>
      <c r="WD170" s="236"/>
      <c r="WE170" s="236"/>
      <c r="WF170" s="236"/>
      <c r="WG170" s="236"/>
      <c r="WH170" s="236"/>
      <c r="WI170" s="236"/>
      <c r="WJ170" s="236"/>
      <c r="WK170" s="236"/>
      <c r="WL170" s="236"/>
      <c r="WM170" s="236"/>
      <c r="WN170" s="236"/>
      <c r="WO170" s="236"/>
      <c r="WP170" s="236"/>
      <c r="WQ170" s="236"/>
      <c r="WR170" s="236"/>
      <c r="WS170" s="236"/>
      <c r="WT170" s="236"/>
      <c r="WU170" s="236"/>
      <c r="WV170" s="236"/>
      <c r="WW170" s="236"/>
      <c r="WX170" s="236"/>
      <c r="WY170" s="236"/>
      <c r="WZ170" s="236"/>
      <c r="XA170" s="236"/>
      <c r="XB170" s="236"/>
      <c r="XC170" s="236"/>
      <c r="XD170" s="236"/>
      <c r="XE170" s="236"/>
      <c r="XF170" s="236"/>
      <c r="XG170" s="236"/>
      <c r="XH170" s="236"/>
      <c r="XI170" s="236"/>
      <c r="XJ170" s="236"/>
      <c r="XK170" s="236"/>
      <c r="XL170" s="236"/>
      <c r="XM170" s="236"/>
      <c r="XN170" s="236"/>
      <c r="XO170" s="236"/>
      <c r="XP170" s="236"/>
      <c r="XQ170" s="236"/>
      <c r="XR170" s="236"/>
      <c r="XS170" s="236"/>
      <c r="XT170" s="236"/>
      <c r="XU170" s="236"/>
      <c r="XV170" s="236"/>
      <c r="XW170" s="236"/>
      <c r="XX170" s="236"/>
      <c r="XY170" s="236"/>
      <c r="XZ170" s="236"/>
      <c r="YA170" s="236"/>
      <c r="YB170" s="236"/>
      <c r="YC170" s="236"/>
      <c r="YD170" s="236"/>
      <c r="YE170" s="236"/>
      <c r="YF170" s="236"/>
      <c r="YG170" s="236"/>
      <c r="YH170" s="236"/>
      <c r="YI170" s="236"/>
      <c r="YJ170" s="236"/>
      <c r="YK170" s="236"/>
      <c r="YL170" s="236"/>
      <c r="YM170" s="236"/>
      <c r="YN170" s="236"/>
      <c r="YO170" s="236"/>
      <c r="YP170" s="236"/>
      <c r="YQ170" s="236"/>
      <c r="YR170" s="236"/>
      <c r="YS170" s="236"/>
      <c r="YT170" s="236"/>
      <c r="YU170" s="236"/>
      <c r="YV170" s="236"/>
      <c r="YW170" s="236"/>
      <c r="YX170" s="236"/>
      <c r="YY170" s="236"/>
      <c r="YZ170" s="236"/>
      <c r="ZA170" s="236"/>
      <c r="ZB170" s="236"/>
      <c r="ZC170" s="236"/>
      <c r="ZD170" s="236"/>
      <c r="ZE170" s="236"/>
      <c r="ZF170" s="236"/>
      <c r="ZG170" s="236"/>
      <c r="ZH170" s="236"/>
      <c r="ZI170" s="236"/>
      <c r="ZJ170" s="236"/>
      <c r="ZK170" s="236"/>
      <c r="ZL170" s="236"/>
      <c r="ZM170" s="236"/>
      <c r="ZN170" s="236"/>
      <c r="ZO170" s="236"/>
      <c r="ZP170" s="236"/>
      <c r="ZQ170" s="236"/>
      <c r="ZR170" s="236"/>
      <c r="ZS170" s="236"/>
      <c r="ZT170" s="236"/>
      <c r="ZU170" s="236"/>
      <c r="ZV170" s="236"/>
      <c r="ZW170" s="236"/>
      <c r="ZX170" s="236"/>
      <c r="ZY170" s="236"/>
      <c r="ZZ170" s="236"/>
      <c r="AAA170" s="236"/>
      <c r="AAB170" s="236"/>
      <c r="AAC170" s="236"/>
      <c r="AAD170" s="236"/>
      <c r="AAE170" s="236"/>
      <c r="AAF170" s="236"/>
      <c r="AAG170" s="236"/>
      <c r="AAH170" s="236"/>
      <c r="AAI170" s="236"/>
      <c r="AAJ170" s="236"/>
      <c r="AAK170" s="236"/>
      <c r="AAL170" s="236"/>
      <c r="AAM170" s="236"/>
      <c r="AAN170" s="236"/>
      <c r="AAO170" s="236"/>
      <c r="AAP170" s="236"/>
      <c r="AAQ170" s="236"/>
      <c r="AAR170" s="236"/>
      <c r="AAS170" s="236"/>
      <c r="AAT170" s="236"/>
      <c r="AAU170" s="236"/>
      <c r="AAV170" s="236"/>
      <c r="AAW170" s="236"/>
      <c r="AAX170" s="236"/>
      <c r="AAY170" s="236"/>
      <c r="AAZ170" s="236"/>
      <c r="ABA170" s="236"/>
      <c r="ABB170" s="236"/>
      <c r="ABC170" s="236"/>
      <c r="ABD170" s="236"/>
      <c r="ABE170" s="236"/>
      <c r="ABF170" s="236"/>
      <c r="ABG170" s="236"/>
      <c r="ABH170" s="236"/>
      <c r="ABI170" s="236"/>
      <c r="ABJ170" s="236"/>
      <c r="ABK170" s="236"/>
      <c r="ABL170" s="236"/>
      <c r="ABM170" s="236"/>
      <c r="ABN170" s="236"/>
      <c r="ABO170" s="236"/>
      <c r="ABP170" s="236"/>
      <c r="ABQ170" s="236"/>
      <c r="ABR170" s="236"/>
      <c r="ABS170" s="236"/>
      <c r="ABT170" s="236"/>
      <c r="ABU170" s="236"/>
      <c r="ABV170" s="236"/>
      <c r="ABW170" s="236"/>
      <c r="ABX170" s="236"/>
      <c r="ABY170" s="236"/>
      <c r="ABZ170" s="236"/>
      <c r="ACA170" s="236"/>
      <c r="ACB170" s="236"/>
      <c r="ACC170" s="236"/>
      <c r="ACD170" s="236"/>
      <c r="ACE170" s="236"/>
      <c r="ACF170" s="236"/>
      <c r="ACG170" s="236"/>
      <c r="ACH170" s="236"/>
      <c r="ACI170" s="236"/>
      <c r="ACJ170" s="236"/>
      <c r="ACK170" s="236"/>
      <c r="ACL170" s="236"/>
      <c r="ACM170" s="236"/>
      <c r="ACN170" s="236"/>
      <c r="ACO170" s="236"/>
      <c r="ACP170" s="236"/>
      <c r="ACQ170" s="236"/>
      <c r="ACR170" s="236"/>
      <c r="ACS170" s="236"/>
      <c r="ACT170" s="236"/>
      <c r="ACU170" s="236"/>
      <c r="ACV170" s="236"/>
      <c r="ACW170" s="236"/>
      <c r="ACX170" s="236"/>
      <c r="ACY170" s="236"/>
      <c r="ACZ170" s="236"/>
      <c r="ADA170" s="236"/>
      <c r="ADB170" s="236"/>
      <c r="ADC170" s="236"/>
      <c r="ADD170" s="236"/>
      <c r="ADE170" s="236"/>
      <c r="ADF170" s="236"/>
      <c r="ADG170" s="236"/>
      <c r="ADH170" s="236"/>
      <c r="ADI170" s="236"/>
      <c r="ADJ170" s="236"/>
      <c r="ADK170" s="236"/>
      <c r="ADL170" s="236"/>
      <c r="ADM170" s="236"/>
      <c r="ADN170" s="236"/>
      <c r="ADO170" s="236"/>
      <c r="ADP170" s="236"/>
      <c r="ADQ170" s="236"/>
      <c r="ADR170" s="236"/>
      <c r="ADS170" s="236"/>
      <c r="ADT170" s="236"/>
      <c r="ADU170" s="236"/>
      <c r="ADV170" s="236"/>
      <c r="ADW170" s="236"/>
      <c r="ADX170" s="236"/>
      <c r="ADY170" s="236"/>
      <c r="ADZ170" s="236"/>
      <c r="AEA170" s="236"/>
      <c r="AEB170" s="236"/>
      <c r="AEC170" s="236"/>
      <c r="AED170" s="236"/>
      <c r="AEE170" s="236"/>
      <c r="AEF170" s="236"/>
      <c r="AEG170" s="236"/>
      <c r="AEH170" s="236"/>
      <c r="AEI170" s="236"/>
      <c r="AEJ170" s="236"/>
      <c r="AEK170" s="236"/>
      <c r="AEL170" s="236"/>
      <c r="AEM170" s="236"/>
      <c r="AEN170" s="236"/>
      <c r="AEO170" s="236"/>
      <c r="AEP170" s="236"/>
      <c r="AEQ170" s="236"/>
      <c r="AER170" s="236"/>
      <c r="AES170" s="236"/>
      <c r="AET170" s="236"/>
      <c r="AEU170" s="236"/>
      <c r="AEV170" s="236"/>
      <c r="AEW170" s="236"/>
      <c r="AEX170" s="236"/>
      <c r="AEY170" s="236"/>
      <c r="AEZ170" s="236"/>
      <c r="AFA170" s="236"/>
      <c r="AFB170" s="236"/>
      <c r="AFC170" s="236"/>
      <c r="AFD170" s="236"/>
      <c r="AFE170" s="236"/>
      <c r="AFF170" s="236"/>
      <c r="AFG170" s="236"/>
      <c r="AFH170" s="236"/>
      <c r="AFI170" s="236"/>
      <c r="AFJ170" s="236"/>
      <c r="AFK170" s="236"/>
      <c r="AFL170" s="236"/>
      <c r="AFM170" s="236"/>
      <c r="AFN170" s="236"/>
      <c r="AFO170" s="236"/>
      <c r="AFP170" s="236"/>
      <c r="AFQ170" s="236"/>
      <c r="AFR170" s="236"/>
      <c r="AFS170" s="236"/>
      <c r="AFT170" s="236"/>
      <c r="AFU170" s="236"/>
      <c r="AFV170" s="236"/>
      <c r="AFW170" s="236"/>
      <c r="AFX170" s="236"/>
      <c r="AFY170" s="236"/>
      <c r="AFZ170" s="236"/>
      <c r="AGA170" s="236"/>
      <c r="AGB170" s="236"/>
      <c r="AGC170" s="236"/>
      <c r="AGD170" s="236"/>
      <c r="AGE170" s="236"/>
      <c r="AGF170" s="236"/>
      <c r="AGG170" s="236"/>
      <c r="AGH170" s="236"/>
      <c r="AGI170" s="236"/>
      <c r="AGJ170" s="236"/>
      <c r="AGK170" s="236"/>
      <c r="AGL170" s="236"/>
      <c r="AGM170" s="236"/>
      <c r="AGN170" s="236"/>
      <c r="AGO170" s="236"/>
      <c r="AGP170" s="236"/>
      <c r="AGQ170" s="236"/>
      <c r="AGR170" s="236"/>
      <c r="AGS170" s="236"/>
      <c r="AGT170" s="236"/>
      <c r="AGU170" s="236"/>
      <c r="AGV170" s="236"/>
      <c r="AGW170" s="236"/>
      <c r="AGX170" s="236"/>
      <c r="AGY170" s="236"/>
      <c r="AGZ170" s="236"/>
      <c r="AHA170" s="236"/>
      <c r="AHB170" s="236"/>
      <c r="AHC170" s="236"/>
      <c r="AHD170" s="236"/>
      <c r="AHE170" s="236"/>
      <c r="AHF170" s="236"/>
      <c r="AHG170" s="236"/>
      <c r="AHH170" s="236"/>
      <c r="AHI170" s="236"/>
      <c r="AHJ170" s="236"/>
      <c r="AHK170" s="236"/>
      <c r="AHL170" s="236"/>
      <c r="AHM170" s="236"/>
      <c r="AHN170" s="236"/>
      <c r="AHO170" s="236"/>
      <c r="AHP170" s="236"/>
      <c r="AHQ170" s="236"/>
      <c r="AHR170" s="236"/>
      <c r="AHS170" s="236"/>
      <c r="AHT170" s="236"/>
      <c r="AHU170" s="236"/>
      <c r="AHV170" s="236"/>
      <c r="AHW170" s="236"/>
      <c r="AHX170" s="236"/>
      <c r="AHY170" s="236"/>
      <c r="AHZ170" s="236"/>
      <c r="AIA170" s="236"/>
      <c r="AIB170" s="236"/>
      <c r="AIC170" s="236"/>
      <c r="AID170" s="236"/>
      <c r="AIE170" s="236"/>
      <c r="AIF170" s="236"/>
      <c r="AIG170" s="236"/>
      <c r="AIH170" s="236"/>
      <c r="AII170" s="236"/>
      <c r="AIJ170" s="236"/>
      <c r="AIK170" s="236"/>
      <c r="AIL170" s="236"/>
      <c r="AIM170" s="236"/>
      <c r="AIN170" s="236"/>
      <c r="AIO170" s="236"/>
      <c r="AIP170" s="236"/>
      <c r="AIQ170" s="236"/>
      <c r="AIR170" s="236"/>
      <c r="AIS170" s="236"/>
      <c r="AIT170" s="236"/>
      <c r="AIU170" s="236"/>
      <c r="AIV170" s="236"/>
      <c r="AIW170" s="236"/>
      <c r="AIX170" s="236"/>
      <c r="AIY170" s="236"/>
      <c r="AIZ170" s="236"/>
      <c r="AJA170" s="236"/>
      <c r="AJB170" s="236"/>
      <c r="AJC170" s="236"/>
      <c r="AJD170" s="236"/>
      <c r="AJE170" s="236"/>
      <c r="AJF170" s="236"/>
      <c r="AJG170" s="236"/>
      <c r="AJH170" s="236"/>
      <c r="AJI170" s="236"/>
      <c r="AJJ170" s="236"/>
      <c r="AJK170" s="236"/>
      <c r="AJL170" s="236"/>
      <c r="AJM170" s="236"/>
      <c r="AJN170" s="236"/>
      <c r="AJO170" s="236"/>
      <c r="AJP170" s="236"/>
      <c r="AJQ170" s="236"/>
      <c r="AJR170" s="236"/>
      <c r="AJS170" s="236"/>
      <c r="AJT170" s="236"/>
      <c r="AJU170" s="236"/>
      <c r="AJV170" s="236"/>
      <c r="AJW170" s="236"/>
      <c r="AJX170" s="236"/>
      <c r="AJY170" s="236"/>
      <c r="AJZ170" s="236"/>
      <c r="AKA170" s="236"/>
      <c r="AKB170" s="236"/>
      <c r="AKC170" s="236"/>
      <c r="AKD170" s="236"/>
      <c r="AKE170" s="236"/>
      <c r="AKF170" s="236"/>
      <c r="AKG170" s="236"/>
      <c r="AKH170" s="236"/>
      <c r="AKI170" s="236"/>
      <c r="AKJ170" s="236"/>
      <c r="AKK170" s="236"/>
      <c r="AKL170" s="236"/>
      <c r="AKM170" s="236"/>
      <c r="AKN170" s="236"/>
      <c r="AKO170" s="236"/>
      <c r="AKP170" s="236"/>
      <c r="AKQ170" s="236"/>
      <c r="AKR170" s="236"/>
      <c r="AKS170" s="236"/>
      <c r="AKT170" s="236"/>
      <c r="AKU170" s="236"/>
      <c r="AKV170" s="236"/>
      <c r="AKW170" s="236"/>
      <c r="AKX170" s="236"/>
      <c r="AKY170" s="236"/>
      <c r="AKZ170" s="236"/>
      <c r="ALA170" s="236"/>
      <c r="ALB170" s="236"/>
      <c r="ALC170" s="236"/>
      <c r="ALD170" s="236"/>
      <c r="ALE170" s="236"/>
      <c r="ALF170" s="236"/>
      <c r="ALG170" s="236"/>
      <c r="ALH170" s="236"/>
      <c r="ALI170" s="236"/>
      <c r="ALJ170" s="236"/>
      <c r="ALK170" s="236"/>
      <c r="ALL170" s="236"/>
      <c r="ALM170" s="236"/>
      <c r="ALN170" s="236"/>
      <c r="ALO170" s="236"/>
      <c r="ALP170" s="236"/>
      <c r="ALQ170" s="236"/>
      <c r="ALR170" s="236"/>
      <c r="ALS170" s="236"/>
      <c r="ALT170" s="236"/>
      <c r="ALU170" s="236"/>
      <c r="ALV170" s="236"/>
      <c r="ALW170" s="236"/>
      <c r="ALX170" s="236"/>
      <c r="ALY170" s="236"/>
      <c r="ALZ170" s="236"/>
      <c r="AMA170" s="236"/>
      <c r="AMB170" s="236"/>
      <c r="AMC170" s="236"/>
      <c r="AMD170" s="236"/>
      <c r="AME170" s="236"/>
      <c r="AMF170" s="236"/>
      <c r="AMG170" s="236"/>
      <c r="AMH170" s="236"/>
      <c r="AMI170" s="236"/>
      <c r="AMJ170" s="236"/>
      <c r="AMK170" s="236"/>
      <c r="AML170" s="236"/>
      <c r="AMM170" s="236"/>
    </row>
    <row r="171" spans="1:1027">
      <c r="A171" s="1418"/>
      <c r="B171" s="1419"/>
      <c r="C171" s="1419"/>
      <c r="D171" s="1419"/>
      <c r="E171" s="1419"/>
      <c r="F171" s="1419"/>
      <c r="G171" s="1419"/>
      <c r="H171" s="1419"/>
      <c r="I171" s="1419"/>
      <c r="J171" s="1419"/>
      <c r="K171" s="1419"/>
      <c r="L171" s="1420"/>
      <c r="M171" s="283"/>
      <c r="N171" s="1392" t="s">
        <v>278</v>
      </c>
      <c r="O171" s="1393"/>
      <c r="P171" s="1393"/>
      <c r="Q171" s="1393"/>
      <c r="R171" s="1394"/>
      <c r="S171" s="284"/>
      <c r="T171" s="284"/>
      <c r="U171" s="284"/>
      <c r="V171" s="1392" t="s">
        <v>170</v>
      </c>
      <c r="W171" s="1393"/>
      <c r="X171" s="1393"/>
      <c r="Y171" s="1393"/>
      <c r="Z171" s="1394"/>
      <c r="AA171" s="1065"/>
      <c r="AB171" s="1392" t="s">
        <v>171</v>
      </c>
      <c r="AC171" s="1394"/>
      <c r="AD171" s="1392" t="s">
        <v>172</v>
      </c>
      <c r="AE171" s="1393"/>
      <c r="AF171" s="1393"/>
      <c r="AG171" s="1393"/>
      <c r="AH171" s="1393"/>
      <c r="AI171" s="1393"/>
      <c r="AJ171" s="1393"/>
      <c r="AK171" s="1393"/>
      <c r="AL171" s="1393"/>
      <c r="AM171" s="1394"/>
      <c r="AN171" s="262"/>
      <c r="AO171" s="262"/>
      <c r="AP171" s="262"/>
      <c r="AQ171" s="262"/>
      <c r="AR171" s="262"/>
      <c r="AS171" s="262"/>
      <c r="AT171" s="262"/>
      <c r="AU171" s="262"/>
      <c r="AV171" s="262"/>
      <c r="AW171" s="262"/>
      <c r="AX171" s="262"/>
      <c r="AY171" s="236"/>
      <c r="AZ171" s="236"/>
      <c r="BA171" s="236"/>
      <c r="BB171" s="236"/>
      <c r="BC171" s="236"/>
      <c r="BD171" s="236"/>
      <c r="BE171" s="236"/>
      <c r="BF171" s="236"/>
      <c r="BG171" s="236"/>
      <c r="BH171" s="236"/>
      <c r="BI171" s="236"/>
      <c r="BJ171" s="236"/>
      <c r="BK171" s="236"/>
      <c r="BL171" s="236"/>
      <c r="BM171" s="236"/>
      <c r="BN171" s="236"/>
      <c r="BO171" s="236"/>
      <c r="BP171" s="236"/>
      <c r="BQ171" s="236"/>
      <c r="BR171" s="236"/>
      <c r="BS171" s="236"/>
      <c r="BT171" s="236"/>
      <c r="BU171" s="236"/>
      <c r="BV171" s="236"/>
      <c r="BW171" s="236"/>
      <c r="BX171" s="236"/>
      <c r="BY171" s="236"/>
      <c r="BZ171" s="236"/>
      <c r="CA171" s="236"/>
      <c r="CB171" s="236"/>
      <c r="CC171" s="236"/>
      <c r="CD171" s="236"/>
      <c r="CE171" s="236"/>
      <c r="CF171" s="236"/>
      <c r="CG171" s="236"/>
      <c r="CH171" s="236"/>
      <c r="CI171" s="236"/>
      <c r="CJ171" s="236"/>
      <c r="CK171" s="236"/>
      <c r="CL171" s="236"/>
      <c r="CM171" s="236"/>
      <c r="CN171" s="236"/>
      <c r="CO171" s="236"/>
      <c r="CP171" s="236"/>
      <c r="CQ171" s="236"/>
      <c r="CR171" s="236"/>
      <c r="CS171" s="236"/>
      <c r="CT171" s="236"/>
      <c r="CU171" s="236"/>
      <c r="CV171" s="236"/>
      <c r="CW171" s="236"/>
      <c r="CX171" s="236"/>
      <c r="CY171" s="236"/>
      <c r="CZ171" s="236"/>
      <c r="DA171" s="236"/>
      <c r="DB171" s="236"/>
      <c r="DC171" s="236"/>
      <c r="DD171" s="236"/>
      <c r="DE171" s="236"/>
      <c r="DF171" s="236"/>
      <c r="DG171" s="236"/>
      <c r="DH171" s="236"/>
      <c r="DI171" s="236"/>
      <c r="DJ171" s="236"/>
      <c r="DK171" s="236"/>
      <c r="DL171" s="236"/>
      <c r="DM171" s="236"/>
      <c r="DN171" s="236"/>
      <c r="DO171" s="236"/>
      <c r="DP171" s="236"/>
      <c r="DQ171" s="236"/>
      <c r="DR171" s="236"/>
      <c r="DS171" s="236"/>
      <c r="DT171" s="236"/>
      <c r="DU171" s="236"/>
      <c r="DV171" s="236"/>
      <c r="DW171" s="236"/>
      <c r="DX171" s="236"/>
      <c r="DY171" s="236"/>
      <c r="DZ171" s="236"/>
      <c r="EA171" s="236"/>
      <c r="EB171" s="236"/>
      <c r="EC171" s="236"/>
      <c r="ED171" s="236"/>
      <c r="EE171" s="236"/>
      <c r="EF171" s="236"/>
      <c r="EG171" s="236"/>
      <c r="EH171" s="236"/>
      <c r="EI171" s="236"/>
      <c r="EJ171" s="236"/>
      <c r="EK171" s="236"/>
      <c r="EL171" s="236"/>
      <c r="EM171" s="236"/>
      <c r="EN171" s="236"/>
      <c r="EO171" s="236"/>
      <c r="EP171" s="236"/>
      <c r="EQ171" s="236"/>
      <c r="ER171" s="236"/>
      <c r="ES171" s="236"/>
      <c r="ET171" s="236"/>
      <c r="EU171" s="236"/>
      <c r="EV171" s="236"/>
      <c r="EW171" s="236"/>
      <c r="EX171" s="236"/>
      <c r="EY171" s="236"/>
      <c r="EZ171" s="236"/>
      <c r="FA171" s="236"/>
      <c r="FB171" s="236"/>
      <c r="FC171" s="236"/>
      <c r="FD171" s="236"/>
      <c r="FE171" s="236"/>
      <c r="FF171" s="236"/>
      <c r="FG171" s="236"/>
      <c r="FH171" s="236"/>
      <c r="FI171" s="236"/>
      <c r="FJ171" s="236"/>
      <c r="FK171" s="236"/>
      <c r="FL171" s="236"/>
      <c r="FM171" s="236"/>
      <c r="FN171" s="236"/>
      <c r="FO171" s="236"/>
      <c r="FP171" s="236"/>
      <c r="FQ171" s="236"/>
      <c r="FR171" s="236"/>
      <c r="FS171" s="236"/>
      <c r="FT171" s="236"/>
      <c r="FU171" s="236"/>
      <c r="FV171" s="236"/>
      <c r="FW171" s="236"/>
      <c r="FX171" s="236"/>
      <c r="FY171" s="236"/>
      <c r="FZ171" s="236"/>
      <c r="GA171" s="236"/>
      <c r="GB171" s="236"/>
      <c r="GC171" s="236"/>
      <c r="GD171" s="236"/>
      <c r="GE171" s="236"/>
      <c r="GF171" s="236"/>
      <c r="GG171" s="236"/>
      <c r="GH171" s="236"/>
      <c r="GI171" s="236"/>
      <c r="GJ171" s="236"/>
      <c r="GK171" s="236"/>
      <c r="GL171" s="236"/>
      <c r="GM171" s="236"/>
      <c r="GN171" s="236"/>
      <c r="GO171" s="236"/>
      <c r="GP171" s="236"/>
      <c r="GQ171" s="236"/>
      <c r="GR171" s="236"/>
      <c r="GS171" s="236"/>
      <c r="GT171" s="236"/>
      <c r="GU171" s="236"/>
      <c r="GV171" s="236"/>
      <c r="GW171" s="236"/>
      <c r="GX171" s="236"/>
      <c r="GY171" s="236"/>
      <c r="GZ171" s="236"/>
      <c r="HA171" s="236"/>
      <c r="HB171" s="236"/>
      <c r="HC171" s="236"/>
      <c r="HD171" s="236"/>
      <c r="HE171" s="236"/>
      <c r="HF171" s="236"/>
      <c r="HG171" s="236"/>
      <c r="HH171" s="236"/>
      <c r="HI171" s="236"/>
      <c r="HJ171" s="236"/>
      <c r="HK171" s="236"/>
      <c r="HL171" s="236"/>
      <c r="HM171" s="236"/>
      <c r="HN171" s="236"/>
      <c r="HO171" s="236"/>
      <c r="HP171" s="236"/>
      <c r="HQ171" s="236"/>
      <c r="HR171" s="236"/>
      <c r="HS171" s="236"/>
      <c r="HT171" s="236"/>
      <c r="HU171" s="236"/>
      <c r="HV171" s="236"/>
      <c r="HW171" s="236"/>
      <c r="HX171" s="236"/>
      <c r="HY171" s="236"/>
      <c r="HZ171" s="236"/>
      <c r="IA171" s="236"/>
      <c r="IB171" s="236"/>
      <c r="IC171" s="236"/>
      <c r="ID171" s="236"/>
      <c r="IE171" s="236"/>
      <c r="IF171" s="236"/>
      <c r="IG171" s="236"/>
      <c r="IH171" s="236"/>
      <c r="II171" s="236"/>
      <c r="IJ171" s="236"/>
      <c r="IK171" s="236"/>
      <c r="IL171" s="236"/>
      <c r="IM171" s="236"/>
      <c r="IN171" s="236"/>
      <c r="IO171" s="236"/>
      <c r="IP171" s="236"/>
      <c r="IQ171" s="236"/>
      <c r="IR171" s="236"/>
      <c r="IS171" s="236"/>
      <c r="IT171" s="236"/>
      <c r="IU171" s="236"/>
      <c r="IV171" s="236"/>
      <c r="IW171" s="236"/>
      <c r="IX171" s="236"/>
      <c r="IY171" s="236"/>
      <c r="IZ171" s="236"/>
      <c r="JA171" s="236"/>
      <c r="JB171" s="236"/>
      <c r="JC171" s="236"/>
      <c r="JD171" s="236"/>
      <c r="JE171" s="236"/>
      <c r="JF171" s="236"/>
      <c r="JG171" s="236"/>
      <c r="JH171" s="236"/>
      <c r="JI171" s="236"/>
      <c r="JJ171" s="236"/>
      <c r="JK171" s="236"/>
      <c r="JL171" s="236"/>
      <c r="JM171" s="236"/>
      <c r="JN171" s="236"/>
      <c r="JO171" s="236"/>
      <c r="JP171" s="236"/>
      <c r="JQ171" s="236"/>
      <c r="JR171" s="236"/>
      <c r="JS171" s="236"/>
      <c r="JT171" s="236"/>
      <c r="JU171" s="236"/>
      <c r="JV171" s="236"/>
      <c r="JW171" s="236"/>
      <c r="JX171" s="236"/>
      <c r="JY171" s="236"/>
      <c r="JZ171" s="236"/>
      <c r="KA171" s="236"/>
      <c r="KB171" s="236"/>
      <c r="KC171" s="236"/>
      <c r="KD171" s="236"/>
      <c r="KE171" s="236"/>
      <c r="KF171" s="236"/>
      <c r="KG171" s="236"/>
      <c r="KH171" s="236"/>
      <c r="KI171" s="236"/>
      <c r="KJ171" s="236"/>
      <c r="KK171" s="236"/>
      <c r="KL171" s="236"/>
      <c r="KM171" s="236"/>
      <c r="KN171" s="236"/>
      <c r="KO171" s="236"/>
      <c r="KP171" s="236"/>
      <c r="KQ171" s="236"/>
      <c r="KR171" s="236"/>
      <c r="KS171" s="236"/>
      <c r="KT171" s="236"/>
      <c r="KU171" s="236"/>
      <c r="KV171" s="236"/>
      <c r="KW171" s="236"/>
      <c r="KX171" s="236"/>
      <c r="KY171" s="236"/>
      <c r="KZ171" s="236"/>
      <c r="LA171" s="236"/>
      <c r="LB171" s="236"/>
      <c r="LC171" s="236"/>
      <c r="LD171" s="236"/>
      <c r="LE171" s="236"/>
      <c r="LF171" s="236"/>
      <c r="LG171" s="236"/>
      <c r="LH171" s="236"/>
      <c r="LI171" s="236"/>
      <c r="LJ171" s="236"/>
      <c r="LK171" s="236"/>
      <c r="LL171" s="236"/>
      <c r="LM171" s="236"/>
      <c r="LN171" s="236"/>
      <c r="LO171" s="236"/>
      <c r="LP171" s="236"/>
      <c r="LQ171" s="236"/>
      <c r="LR171" s="236"/>
      <c r="LS171" s="236"/>
      <c r="LT171" s="236"/>
      <c r="LU171" s="236"/>
      <c r="LV171" s="236"/>
      <c r="LW171" s="236"/>
      <c r="LX171" s="236"/>
      <c r="LY171" s="236"/>
      <c r="LZ171" s="236"/>
      <c r="MA171" s="236"/>
      <c r="MB171" s="236"/>
      <c r="MC171" s="236"/>
      <c r="MD171" s="236"/>
      <c r="ME171" s="236"/>
      <c r="MF171" s="236"/>
      <c r="MG171" s="236"/>
      <c r="MH171" s="236"/>
      <c r="MI171" s="236"/>
      <c r="MJ171" s="236"/>
      <c r="MK171" s="236"/>
      <c r="ML171" s="236"/>
      <c r="MM171" s="236"/>
      <c r="MN171" s="236"/>
      <c r="MO171" s="236"/>
      <c r="MP171" s="236"/>
      <c r="MQ171" s="236"/>
      <c r="MR171" s="236"/>
      <c r="MS171" s="236"/>
      <c r="MT171" s="236"/>
      <c r="MU171" s="236"/>
      <c r="MV171" s="236"/>
      <c r="MW171" s="236"/>
      <c r="MX171" s="236"/>
      <c r="MY171" s="236"/>
      <c r="MZ171" s="236"/>
      <c r="NA171" s="236"/>
      <c r="NB171" s="236"/>
      <c r="NC171" s="236"/>
      <c r="ND171" s="236"/>
      <c r="NE171" s="236"/>
      <c r="NF171" s="236"/>
      <c r="NG171" s="236"/>
      <c r="NH171" s="236"/>
      <c r="NI171" s="236"/>
      <c r="NJ171" s="236"/>
      <c r="NK171" s="236"/>
      <c r="NL171" s="236"/>
      <c r="NM171" s="236"/>
      <c r="NN171" s="236"/>
      <c r="NO171" s="236"/>
      <c r="NP171" s="236"/>
      <c r="NQ171" s="236"/>
      <c r="NR171" s="236"/>
      <c r="NS171" s="236"/>
      <c r="NT171" s="236"/>
      <c r="NU171" s="236"/>
      <c r="NV171" s="236"/>
      <c r="NW171" s="236"/>
      <c r="NX171" s="236"/>
      <c r="NY171" s="236"/>
      <c r="NZ171" s="236"/>
      <c r="OA171" s="236"/>
      <c r="OB171" s="236"/>
      <c r="OC171" s="236"/>
      <c r="OD171" s="236"/>
      <c r="OE171" s="236"/>
      <c r="OF171" s="236"/>
      <c r="OG171" s="236"/>
      <c r="OH171" s="236"/>
      <c r="OI171" s="236"/>
      <c r="OJ171" s="236"/>
      <c r="OK171" s="236"/>
      <c r="OL171" s="236"/>
      <c r="OM171" s="236"/>
      <c r="ON171" s="236"/>
      <c r="OO171" s="236"/>
      <c r="OP171" s="236"/>
      <c r="OQ171" s="236"/>
      <c r="OR171" s="236"/>
      <c r="OS171" s="236"/>
      <c r="OT171" s="236"/>
      <c r="OU171" s="236"/>
      <c r="OV171" s="236"/>
      <c r="OW171" s="236"/>
      <c r="OX171" s="236"/>
      <c r="OY171" s="236"/>
      <c r="OZ171" s="236"/>
      <c r="PA171" s="236"/>
      <c r="PB171" s="236"/>
      <c r="PC171" s="236"/>
      <c r="PD171" s="236"/>
      <c r="PE171" s="236"/>
      <c r="PF171" s="236"/>
      <c r="PG171" s="236"/>
      <c r="PH171" s="236"/>
      <c r="PI171" s="236"/>
      <c r="PJ171" s="236"/>
      <c r="PK171" s="236"/>
      <c r="PL171" s="236"/>
      <c r="PM171" s="236"/>
      <c r="PN171" s="236"/>
      <c r="PO171" s="236"/>
      <c r="PP171" s="236"/>
      <c r="PQ171" s="236"/>
      <c r="PR171" s="236"/>
      <c r="PS171" s="236"/>
      <c r="PT171" s="236"/>
      <c r="PU171" s="236"/>
      <c r="PV171" s="236"/>
      <c r="PW171" s="236"/>
      <c r="PX171" s="236"/>
      <c r="PY171" s="236"/>
      <c r="PZ171" s="236"/>
      <c r="QA171" s="236"/>
      <c r="QB171" s="236"/>
      <c r="QC171" s="236"/>
      <c r="QD171" s="236"/>
      <c r="QE171" s="236"/>
      <c r="QF171" s="236"/>
      <c r="QG171" s="236"/>
      <c r="QH171" s="236"/>
      <c r="QI171" s="236"/>
      <c r="QJ171" s="236"/>
      <c r="QK171" s="236"/>
      <c r="QL171" s="236"/>
      <c r="QM171" s="236"/>
      <c r="QN171" s="236"/>
      <c r="QO171" s="236"/>
      <c r="QP171" s="236"/>
      <c r="QQ171" s="236"/>
      <c r="QR171" s="236"/>
      <c r="QS171" s="236"/>
      <c r="QT171" s="236"/>
      <c r="QU171" s="236"/>
      <c r="QV171" s="236"/>
      <c r="QW171" s="236"/>
      <c r="QX171" s="236"/>
      <c r="QY171" s="236"/>
      <c r="QZ171" s="236"/>
      <c r="RA171" s="236"/>
      <c r="RB171" s="236"/>
      <c r="RC171" s="236"/>
      <c r="RD171" s="236"/>
      <c r="RE171" s="236"/>
      <c r="RF171" s="236"/>
      <c r="RG171" s="236"/>
      <c r="RH171" s="236"/>
      <c r="RI171" s="236"/>
      <c r="RJ171" s="236"/>
      <c r="RK171" s="236"/>
      <c r="RL171" s="236"/>
      <c r="RM171" s="236"/>
      <c r="RN171" s="236"/>
      <c r="RO171" s="236"/>
      <c r="RP171" s="236"/>
      <c r="RQ171" s="236"/>
      <c r="RR171" s="236"/>
      <c r="RS171" s="236"/>
      <c r="RT171" s="236"/>
      <c r="RU171" s="236"/>
      <c r="RV171" s="236"/>
      <c r="RW171" s="236"/>
      <c r="RX171" s="236"/>
      <c r="RY171" s="236"/>
      <c r="RZ171" s="236"/>
      <c r="SA171" s="236"/>
      <c r="SB171" s="236"/>
      <c r="SC171" s="236"/>
      <c r="SD171" s="236"/>
      <c r="SE171" s="236"/>
      <c r="SF171" s="236"/>
      <c r="SG171" s="236"/>
      <c r="SH171" s="236"/>
      <c r="SI171" s="236"/>
      <c r="SJ171" s="236"/>
      <c r="SK171" s="236"/>
      <c r="SL171" s="236"/>
      <c r="SM171" s="236"/>
      <c r="SN171" s="236"/>
      <c r="SO171" s="236"/>
      <c r="SP171" s="236"/>
      <c r="SQ171" s="236"/>
      <c r="SR171" s="236"/>
      <c r="SS171" s="236"/>
      <c r="ST171" s="236"/>
      <c r="SU171" s="236"/>
      <c r="SV171" s="236"/>
      <c r="SW171" s="236"/>
      <c r="SX171" s="236"/>
      <c r="SY171" s="236"/>
      <c r="SZ171" s="236"/>
      <c r="TA171" s="236"/>
      <c r="TB171" s="236"/>
      <c r="TC171" s="236"/>
      <c r="TD171" s="236"/>
      <c r="TE171" s="236"/>
      <c r="TF171" s="236"/>
      <c r="TG171" s="236"/>
      <c r="TH171" s="236"/>
      <c r="TI171" s="236"/>
      <c r="TJ171" s="236"/>
      <c r="TK171" s="236"/>
      <c r="TL171" s="236"/>
      <c r="TM171" s="236"/>
      <c r="TN171" s="236"/>
      <c r="TO171" s="236"/>
      <c r="TP171" s="236"/>
      <c r="TQ171" s="236"/>
      <c r="TR171" s="236"/>
      <c r="TS171" s="236"/>
      <c r="TT171" s="236"/>
      <c r="TU171" s="236"/>
      <c r="TV171" s="236"/>
      <c r="TW171" s="236"/>
      <c r="TX171" s="236"/>
      <c r="TY171" s="236"/>
      <c r="TZ171" s="236"/>
      <c r="UA171" s="236"/>
      <c r="UB171" s="236"/>
      <c r="UC171" s="236"/>
      <c r="UD171" s="236"/>
      <c r="UE171" s="236"/>
      <c r="UF171" s="236"/>
      <c r="UG171" s="236"/>
      <c r="UH171" s="236"/>
      <c r="UI171" s="236"/>
      <c r="UJ171" s="236"/>
      <c r="UK171" s="236"/>
      <c r="UL171" s="236"/>
      <c r="UM171" s="236"/>
      <c r="UN171" s="236"/>
      <c r="UO171" s="236"/>
      <c r="UP171" s="236"/>
      <c r="UQ171" s="236"/>
      <c r="UR171" s="236"/>
      <c r="US171" s="236"/>
      <c r="UT171" s="236"/>
      <c r="UU171" s="236"/>
      <c r="UV171" s="236"/>
      <c r="UW171" s="236"/>
      <c r="UX171" s="236"/>
      <c r="UY171" s="236"/>
      <c r="UZ171" s="236"/>
      <c r="VA171" s="236"/>
      <c r="VB171" s="236"/>
      <c r="VC171" s="236"/>
      <c r="VD171" s="236"/>
      <c r="VE171" s="236"/>
      <c r="VF171" s="236"/>
      <c r="VG171" s="236"/>
      <c r="VH171" s="236"/>
      <c r="VI171" s="236"/>
      <c r="VJ171" s="236"/>
      <c r="VK171" s="236"/>
      <c r="VL171" s="236"/>
      <c r="VM171" s="236"/>
      <c r="VN171" s="236"/>
      <c r="VO171" s="236"/>
      <c r="VP171" s="236"/>
      <c r="VQ171" s="236"/>
      <c r="VR171" s="236"/>
      <c r="VS171" s="236"/>
      <c r="VT171" s="236"/>
      <c r="VU171" s="236"/>
      <c r="VV171" s="236"/>
      <c r="VW171" s="236"/>
      <c r="VX171" s="236"/>
      <c r="VY171" s="236"/>
      <c r="VZ171" s="236"/>
      <c r="WA171" s="236"/>
      <c r="WB171" s="236"/>
      <c r="WC171" s="236"/>
      <c r="WD171" s="236"/>
      <c r="WE171" s="236"/>
      <c r="WF171" s="236"/>
      <c r="WG171" s="236"/>
      <c r="WH171" s="236"/>
      <c r="WI171" s="236"/>
      <c r="WJ171" s="236"/>
      <c r="WK171" s="236"/>
      <c r="WL171" s="236"/>
      <c r="WM171" s="236"/>
      <c r="WN171" s="236"/>
      <c r="WO171" s="236"/>
      <c r="WP171" s="236"/>
      <c r="WQ171" s="236"/>
      <c r="WR171" s="236"/>
      <c r="WS171" s="236"/>
      <c r="WT171" s="236"/>
      <c r="WU171" s="236"/>
      <c r="WV171" s="236"/>
      <c r="WW171" s="236"/>
      <c r="WX171" s="236"/>
      <c r="WY171" s="236"/>
      <c r="WZ171" s="236"/>
      <c r="XA171" s="236"/>
      <c r="XB171" s="236"/>
      <c r="XC171" s="236"/>
      <c r="XD171" s="236"/>
      <c r="XE171" s="236"/>
      <c r="XF171" s="236"/>
      <c r="XG171" s="236"/>
      <c r="XH171" s="236"/>
      <c r="XI171" s="236"/>
      <c r="XJ171" s="236"/>
      <c r="XK171" s="236"/>
      <c r="XL171" s="236"/>
      <c r="XM171" s="236"/>
      <c r="XN171" s="236"/>
      <c r="XO171" s="236"/>
      <c r="XP171" s="236"/>
      <c r="XQ171" s="236"/>
      <c r="XR171" s="236"/>
      <c r="XS171" s="236"/>
      <c r="XT171" s="236"/>
      <c r="XU171" s="236"/>
      <c r="XV171" s="236"/>
      <c r="XW171" s="236"/>
      <c r="XX171" s="236"/>
      <c r="XY171" s="236"/>
      <c r="XZ171" s="236"/>
      <c r="YA171" s="236"/>
      <c r="YB171" s="236"/>
      <c r="YC171" s="236"/>
      <c r="YD171" s="236"/>
      <c r="YE171" s="236"/>
      <c r="YF171" s="236"/>
      <c r="YG171" s="236"/>
      <c r="YH171" s="236"/>
      <c r="YI171" s="236"/>
      <c r="YJ171" s="236"/>
      <c r="YK171" s="236"/>
      <c r="YL171" s="236"/>
      <c r="YM171" s="236"/>
      <c r="YN171" s="236"/>
      <c r="YO171" s="236"/>
      <c r="YP171" s="236"/>
      <c r="YQ171" s="236"/>
      <c r="YR171" s="236"/>
      <c r="YS171" s="236"/>
      <c r="YT171" s="236"/>
      <c r="YU171" s="236"/>
      <c r="YV171" s="236"/>
      <c r="YW171" s="236"/>
      <c r="YX171" s="236"/>
      <c r="YY171" s="236"/>
      <c r="YZ171" s="236"/>
      <c r="ZA171" s="236"/>
      <c r="ZB171" s="236"/>
      <c r="ZC171" s="236"/>
      <c r="ZD171" s="236"/>
      <c r="ZE171" s="236"/>
      <c r="ZF171" s="236"/>
      <c r="ZG171" s="236"/>
      <c r="ZH171" s="236"/>
      <c r="ZI171" s="236"/>
      <c r="ZJ171" s="236"/>
      <c r="ZK171" s="236"/>
      <c r="ZL171" s="236"/>
      <c r="ZM171" s="236"/>
      <c r="ZN171" s="236"/>
      <c r="ZO171" s="236"/>
      <c r="ZP171" s="236"/>
      <c r="ZQ171" s="236"/>
      <c r="ZR171" s="236"/>
      <c r="ZS171" s="236"/>
      <c r="ZT171" s="236"/>
      <c r="ZU171" s="236"/>
      <c r="ZV171" s="236"/>
      <c r="ZW171" s="236"/>
      <c r="ZX171" s="236"/>
      <c r="ZY171" s="236"/>
      <c r="ZZ171" s="236"/>
      <c r="AAA171" s="236"/>
      <c r="AAB171" s="236"/>
      <c r="AAC171" s="236"/>
      <c r="AAD171" s="236"/>
      <c r="AAE171" s="236"/>
      <c r="AAF171" s="236"/>
      <c r="AAG171" s="236"/>
      <c r="AAH171" s="236"/>
      <c r="AAI171" s="236"/>
      <c r="AAJ171" s="236"/>
      <c r="AAK171" s="236"/>
      <c r="AAL171" s="236"/>
      <c r="AAM171" s="236"/>
      <c r="AAN171" s="236"/>
      <c r="AAO171" s="236"/>
      <c r="AAP171" s="236"/>
      <c r="AAQ171" s="236"/>
      <c r="AAR171" s="236"/>
      <c r="AAS171" s="236"/>
      <c r="AAT171" s="236"/>
      <c r="AAU171" s="236"/>
      <c r="AAV171" s="236"/>
      <c r="AAW171" s="236"/>
      <c r="AAX171" s="236"/>
      <c r="AAY171" s="236"/>
      <c r="AAZ171" s="236"/>
      <c r="ABA171" s="236"/>
      <c r="ABB171" s="236"/>
      <c r="ABC171" s="236"/>
      <c r="ABD171" s="236"/>
      <c r="ABE171" s="236"/>
      <c r="ABF171" s="236"/>
      <c r="ABG171" s="236"/>
      <c r="ABH171" s="236"/>
      <c r="ABI171" s="236"/>
      <c r="ABJ171" s="236"/>
      <c r="ABK171" s="236"/>
      <c r="ABL171" s="236"/>
      <c r="ABM171" s="236"/>
      <c r="ABN171" s="236"/>
      <c r="ABO171" s="236"/>
      <c r="ABP171" s="236"/>
      <c r="ABQ171" s="236"/>
      <c r="ABR171" s="236"/>
      <c r="ABS171" s="236"/>
      <c r="ABT171" s="236"/>
      <c r="ABU171" s="236"/>
      <c r="ABV171" s="236"/>
      <c r="ABW171" s="236"/>
      <c r="ABX171" s="236"/>
      <c r="ABY171" s="236"/>
      <c r="ABZ171" s="236"/>
      <c r="ACA171" s="236"/>
      <c r="ACB171" s="236"/>
      <c r="ACC171" s="236"/>
      <c r="ACD171" s="236"/>
      <c r="ACE171" s="236"/>
      <c r="ACF171" s="236"/>
      <c r="ACG171" s="236"/>
      <c r="ACH171" s="236"/>
      <c r="ACI171" s="236"/>
      <c r="ACJ171" s="236"/>
      <c r="ACK171" s="236"/>
      <c r="ACL171" s="236"/>
      <c r="ACM171" s="236"/>
      <c r="ACN171" s="236"/>
      <c r="ACO171" s="236"/>
      <c r="ACP171" s="236"/>
      <c r="ACQ171" s="236"/>
      <c r="ACR171" s="236"/>
      <c r="ACS171" s="236"/>
      <c r="ACT171" s="236"/>
      <c r="ACU171" s="236"/>
      <c r="ACV171" s="236"/>
      <c r="ACW171" s="236"/>
      <c r="ACX171" s="236"/>
      <c r="ACY171" s="236"/>
      <c r="ACZ171" s="236"/>
      <c r="ADA171" s="236"/>
      <c r="ADB171" s="236"/>
      <c r="ADC171" s="236"/>
      <c r="ADD171" s="236"/>
      <c r="ADE171" s="236"/>
      <c r="ADF171" s="236"/>
      <c r="ADG171" s="236"/>
      <c r="ADH171" s="236"/>
      <c r="ADI171" s="236"/>
      <c r="ADJ171" s="236"/>
      <c r="ADK171" s="236"/>
      <c r="ADL171" s="236"/>
      <c r="ADM171" s="236"/>
      <c r="ADN171" s="236"/>
      <c r="ADO171" s="236"/>
      <c r="ADP171" s="236"/>
      <c r="ADQ171" s="236"/>
      <c r="ADR171" s="236"/>
      <c r="ADS171" s="236"/>
      <c r="ADT171" s="236"/>
      <c r="ADU171" s="236"/>
      <c r="ADV171" s="236"/>
      <c r="ADW171" s="236"/>
      <c r="ADX171" s="236"/>
      <c r="ADY171" s="236"/>
      <c r="ADZ171" s="236"/>
      <c r="AEA171" s="236"/>
      <c r="AEB171" s="236"/>
      <c r="AEC171" s="236"/>
      <c r="AED171" s="236"/>
      <c r="AEE171" s="236"/>
      <c r="AEF171" s="236"/>
      <c r="AEG171" s="236"/>
      <c r="AEH171" s="236"/>
      <c r="AEI171" s="236"/>
      <c r="AEJ171" s="236"/>
      <c r="AEK171" s="236"/>
      <c r="AEL171" s="236"/>
      <c r="AEM171" s="236"/>
      <c r="AEN171" s="236"/>
      <c r="AEO171" s="236"/>
      <c r="AEP171" s="236"/>
      <c r="AEQ171" s="236"/>
      <c r="AER171" s="236"/>
      <c r="AES171" s="236"/>
      <c r="AET171" s="236"/>
      <c r="AEU171" s="236"/>
      <c r="AEV171" s="236"/>
      <c r="AEW171" s="236"/>
      <c r="AEX171" s="236"/>
      <c r="AEY171" s="236"/>
      <c r="AEZ171" s="236"/>
      <c r="AFA171" s="236"/>
      <c r="AFB171" s="236"/>
      <c r="AFC171" s="236"/>
      <c r="AFD171" s="236"/>
      <c r="AFE171" s="236"/>
      <c r="AFF171" s="236"/>
      <c r="AFG171" s="236"/>
      <c r="AFH171" s="236"/>
      <c r="AFI171" s="236"/>
      <c r="AFJ171" s="236"/>
      <c r="AFK171" s="236"/>
      <c r="AFL171" s="236"/>
      <c r="AFM171" s="236"/>
      <c r="AFN171" s="236"/>
      <c r="AFO171" s="236"/>
      <c r="AFP171" s="236"/>
      <c r="AFQ171" s="236"/>
      <c r="AFR171" s="236"/>
      <c r="AFS171" s="236"/>
      <c r="AFT171" s="236"/>
      <c r="AFU171" s="236"/>
      <c r="AFV171" s="236"/>
      <c r="AFW171" s="236"/>
      <c r="AFX171" s="236"/>
      <c r="AFY171" s="236"/>
      <c r="AFZ171" s="236"/>
      <c r="AGA171" s="236"/>
      <c r="AGB171" s="236"/>
      <c r="AGC171" s="236"/>
      <c r="AGD171" s="236"/>
      <c r="AGE171" s="236"/>
      <c r="AGF171" s="236"/>
      <c r="AGG171" s="236"/>
      <c r="AGH171" s="236"/>
      <c r="AGI171" s="236"/>
      <c r="AGJ171" s="236"/>
      <c r="AGK171" s="236"/>
      <c r="AGL171" s="236"/>
      <c r="AGM171" s="236"/>
      <c r="AGN171" s="236"/>
      <c r="AGO171" s="236"/>
      <c r="AGP171" s="236"/>
      <c r="AGQ171" s="236"/>
      <c r="AGR171" s="236"/>
      <c r="AGS171" s="236"/>
      <c r="AGT171" s="236"/>
      <c r="AGU171" s="236"/>
      <c r="AGV171" s="236"/>
      <c r="AGW171" s="236"/>
      <c r="AGX171" s="236"/>
      <c r="AGY171" s="236"/>
      <c r="AGZ171" s="236"/>
      <c r="AHA171" s="236"/>
      <c r="AHB171" s="236"/>
      <c r="AHC171" s="236"/>
      <c r="AHD171" s="236"/>
      <c r="AHE171" s="236"/>
      <c r="AHF171" s="236"/>
      <c r="AHG171" s="236"/>
      <c r="AHH171" s="236"/>
      <c r="AHI171" s="236"/>
      <c r="AHJ171" s="236"/>
      <c r="AHK171" s="236"/>
      <c r="AHL171" s="236"/>
      <c r="AHM171" s="236"/>
      <c r="AHN171" s="236"/>
      <c r="AHO171" s="236"/>
      <c r="AHP171" s="236"/>
      <c r="AHQ171" s="236"/>
      <c r="AHR171" s="236"/>
      <c r="AHS171" s="236"/>
      <c r="AHT171" s="236"/>
      <c r="AHU171" s="236"/>
      <c r="AHV171" s="236"/>
      <c r="AHW171" s="236"/>
      <c r="AHX171" s="236"/>
      <c r="AHY171" s="236"/>
      <c r="AHZ171" s="236"/>
      <c r="AIA171" s="236"/>
      <c r="AIB171" s="236"/>
      <c r="AIC171" s="236"/>
      <c r="AID171" s="236"/>
      <c r="AIE171" s="236"/>
      <c r="AIF171" s="236"/>
      <c r="AIG171" s="236"/>
      <c r="AIH171" s="236"/>
      <c r="AII171" s="236"/>
      <c r="AIJ171" s="236"/>
      <c r="AIK171" s="236"/>
      <c r="AIL171" s="236"/>
      <c r="AIM171" s="236"/>
      <c r="AIN171" s="236"/>
      <c r="AIO171" s="236"/>
      <c r="AIP171" s="236"/>
      <c r="AIQ171" s="236"/>
      <c r="AIR171" s="236"/>
      <c r="AIS171" s="236"/>
      <c r="AIT171" s="236"/>
      <c r="AIU171" s="236"/>
      <c r="AIV171" s="236"/>
      <c r="AIW171" s="236"/>
      <c r="AIX171" s="236"/>
      <c r="AIY171" s="236"/>
      <c r="AIZ171" s="236"/>
      <c r="AJA171" s="236"/>
      <c r="AJB171" s="236"/>
      <c r="AJC171" s="236"/>
      <c r="AJD171" s="236"/>
      <c r="AJE171" s="236"/>
      <c r="AJF171" s="236"/>
      <c r="AJG171" s="236"/>
      <c r="AJH171" s="236"/>
      <c r="AJI171" s="236"/>
      <c r="AJJ171" s="236"/>
      <c r="AJK171" s="236"/>
      <c r="AJL171" s="236"/>
      <c r="AJM171" s="236"/>
      <c r="AJN171" s="236"/>
      <c r="AJO171" s="236"/>
      <c r="AJP171" s="236"/>
      <c r="AJQ171" s="236"/>
      <c r="AJR171" s="236"/>
      <c r="AJS171" s="236"/>
      <c r="AJT171" s="236"/>
      <c r="AJU171" s="236"/>
      <c r="AJV171" s="236"/>
      <c r="AJW171" s="236"/>
      <c r="AJX171" s="236"/>
      <c r="AJY171" s="236"/>
      <c r="AJZ171" s="236"/>
      <c r="AKA171" s="236"/>
      <c r="AKB171" s="236"/>
      <c r="AKC171" s="236"/>
      <c r="AKD171" s="236"/>
      <c r="AKE171" s="236"/>
      <c r="AKF171" s="236"/>
      <c r="AKG171" s="236"/>
      <c r="AKH171" s="236"/>
      <c r="AKI171" s="236"/>
      <c r="AKJ171" s="236"/>
      <c r="AKK171" s="236"/>
      <c r="AKL171" s="236"/>
      <c r="AKM171" s="236"/>
      <c r="AKN171" s="236"/>
      <c r="AKO171" s="236"/>
      <c r="AKP171" s="236"/>
      <c r="AKQ171" s="236"/>
      <c r="AKR171" s="236"/>
      <c r="AKS171" s="236"/>
      <c r="AKT171" s="236"/>
      <c r="AKU171" s="236"/>
      <c r="AKV171" s="236"/>
      <c r="AKW171" s="236"/>
      <c r="AKX171" s="236"/>
      <c r="AKY171" s="236"/>
      <c r="AKZ171" s="236"/>
      <c r="ALA171" s="236"/>
      <c r="ALB171" s="236"/>
      <c r="ALC171" s="236"/>
      <c r="ALD171" s="236"/>
      <c r="ALE171" s="236"/>
      <c r="ALF171" s="236"/>
      <c r="ALG171" s="236"/>
      <c r="ALH171" s="236"/>
      <c r="ALI171" s="236"/>
      <c r="ALJ171" s="236"/>
      <c r="ALK171" s="236"/>
      <c r="ALL171" s="236"/>
      <c r="ALM171" s="236"/>
      <c r="ALN171" s="236"/>
      <c r="ALO171" s="236"/>
      <c r="ALP171" s="236"/>
      <c r="ALQ171" s="236"/>
      <c r="ALR171" s="236"/>
      <c r="ALS171" s="236"/>
      <c r="ALT171" s="236"/>
      <c r="ALU171" s="236"/>
      <c r="ALV171" s="236"/>
      <c r="ALW171" s="236"/>
      <c r="ALX171" s="236"/>
      <c r="ALY171" s="236"/>
      <c r="ALZ171" s="236"/>
      <c r="AMA171" s="236"/>
      <c r="AMB171" s="236"/>
      <c r="AMC171" s="236"/>
      <c r="AMD171" s="236"/>
      <c r="AME171" s="236"/>
      <c r="AMF171" s="236"/>
      <c r="AMG171" s="236"/>
      <c r="AMH171" s="236"/>
      <c r="AMI171" s="236"/>
      <c r="AMJ171" s="236"/>
      <c r="AMK171" s="236"/>
      <c r="AML171" s="236"/>
      <c r="AMM171" s="236"/>
    </row>
    <row r="172" spans="1:1027" s="243" customFormat="1" ht="30" customHeight="1">
      <c r="A172" s="1415" t="s">
        <v>1476</v>
      </c>
      <c r="B172" s="2283"/>
      <c r="C172" s="2283"/>
      <c r="D172" s="2283"/>
      <c r="E172" s="2283"/>
      <c r="F172" s="2283"/>
      <c r="G172" s="2283"/>
      <c r="H172" s="2283"/>
      <c r="I172" s="2283"/>
      <c r="J172" s="2283"/>
      <c r="K172" s="2283"/>
      <c r="L172" s="2284"/>
      <c r="M172" s="285"/>
      <c r="N172" s="1409" t="s">
        <v>198</v>
      </c>
      <c r="O172" s="1410"/>
      <c r="P172" s="1410"/>
      <c r="Q172" s="1410"/>
      <c r="R172" s="1411"/>
      <c r="S172" s="341"/>
      <c r="T172" s="341"/>
      <c r="U172" s="341"/>
      <c r="V172" s="1409" t="s">
        <v>3291</v>
      </c>
      <c r="W172" s="1410"/>
      <c r="X172" s="1410"/>
      <c r="Y172" s="1410"/>
      <c r="Z172" s="1411"/>
      <c r="AA172" s="1078"/>
      <c r="AB172" s="1382" t="s">
        <v>3504</v>
      </c>
      <c r="AC172" s="2289"/>
      <c r="AD172" s="1396"/>
      <c r="AE172" s="1397"/>
      <c r="AF172" s="1397"/>
      <c r="AG172" s="1397"/>
      <c r="AH172" s="1397"/>
      <c r="AI172" s="1397"/>
      <c r="AJ172" s="1397"/>
      <c r="AK172" s="1397"/>
      <c r="AL172" s="1397"/>
      <c r="AM172" s="1398"/>
      <c r="AN172" s="245"/>
      <c r="AO172" s="245"/>
      <c r="AP172" s="245"/>
      <c r="AQ172" s="245"/>
      <c r="AR172" s="245"/>
      <c r="AS172" s="245"/>
      <c r="AT172" s="245"/>
      <c r="AU172" s="245"/>
      <c r="AV172" s="245"/>
      <c r="AW172" s="245"/>
      <c r="AX172" s="245"/>
    </row>
    <row r="173" spans="1:1027" s="243" customFormat="1" ht="30" customHeight="1">
      <c r="A173" s="2285"/>
      <c r="B173" s="2283"/>
      <c r="C173" s="2283"/>
      <c r="D173" s="2283"/>
      <c r="E173" s="2283"/>
      <c r="F173" s="2283"/>
      <c r="G173" s="2283"/>
      <c r="H173" s="2283"/>
      <c r="I173" s="2283"/>
      <c r="J173" s="2283"/>
      <c r="K173" s="2283"/>
      <c r="L173" s="2284"/>
      <c r="M173" s="285"/>
      <c r="N173" s="1409" t="s">
        <v>199</v>
      </c>
      <c r="O173" s="1410"/>
      <c r="P173" s="1410"/>
      <c r="Q173" s="1410"/>
      <c r="R173" s="1411"/>
      <c r="S173" s="341"/>
      <c r="T173" s="341"/>
      <c r="U173" s="341"/>
      <c r="V173" s="1409" t="s">
        <v>853</v>
      </c>
      <c r="W173" s="1410"/>
      <c r="X173" s="1410"/>
      <c r="Y173" s="1410"/>
      <c r="Z173" s="1411"/>
      <c r="AA173" s="1078"/>
      <c r="AB173" s="1382" t="s">
        <v>3130</v>
      </c>
      <c r="AC173" s="2289"/>
      <c r="AD173" s="1396"/>
      <c r="AE173" s="1397"/>
      <c r="AF173" s="1397"/>
      <c r="AG173" s="1397"/>
      <c r="AH173" s="1397"/>
      <c r="AI173" s="1397"/>
      <c r="AJ173" s="1397"/>
      <c r="AK173" s="1397"/>
      <c r="AL173" s="1397"/>
      <c r="AM173" s="1398"/>
      <c r="AN173" s="245"/>
      <c r="AO173" s="245"/>
      <c r="AP173" s="245"/>
      <c r="AQ173" s="245"/>
      <c r="AR173" s="245"/>
      <c r="AS173" s="245"/>
      <c r="AT173" s="245"/>
      <c r="AU173" s="245"/>
      <c r="AV173" s="245"/>
      <c r="AW173" s="245"/>
      <c r="AX173" s="245"/>
    </row>
    <row r="174" spans="1:1027" s="243" customFormat="1" ht="30" customHeight="1">
      <c r="A174" s="2285"/>
      <c r="B174" s="2283"/>
      <c r="C174" s="2283"/>
      <c r="D174" s="2283"/>
      <c r="E174" s="2283"/>
      <c r="F174" s="2283"/>
      <c r="G174" s="2283"/>
      <c r="H174" s="2283"/>
      <c r="I174" s="2283"/>
      <c r="J174" s="2283"/>
      <c r="K174" s="2283"/>
      <c r="L174" s="2284"/>
      <c r="M174" s="285"/>
      <c r="N174" s="1409" t="s">
        <v>200</v>
      </c>
      <c r="O174" s="1410"/>
      <c r="P174" s="1410"/>
      <c r="Q174" s="1410"/>
      <c r="R174" s="1411"/>
      <c r="S174" s="341"/>
      <c r="T174" s="341"/>
      <c r="U174" s="341"/>
      <c r="V174" s="1409" t="s">
        <v>4095</v>
      </c>
      <c r="W174" s="1410"/>
      <c r="X174" s="1410"/>
      <c r="Y174" s="1410"/>
      <c r="Z174" s="1411"/>
      <c r="AA174" s="1078"/>
      <c r="AB174" s="1382" t="s">
        <v>780</v>
      </c>
      <c r="AC174" s="2289"/>
      <c r="AD174" s="1396"/>
      <c r="AE174" s="1397"/>
      <c r="AF174" s="1397"/>
      <c r="AG174" s="1397"/>
      <c r="AH174" s="1397"/>
      <c r="AI174" s="1397"/>
      <c r="AJ174" s="1397"/>
      <c r="AK174" s="1397"/>
      <c r="AL174" s="1397"/>
      <c r="AM174" s="1398"/>
      <c r="AN174" s="245"/>
      <c r="AO174" s="245"/>
      <c r="AP174" s="245"/>
      <c r="AQ174" s="245"/>
      <c r="AR174" s="245"/>
      <c r="AS174" s="245"/>
      <c r="AT174" s="245"/>
      <c r="AU174" s="245"/>
      <c r="AV174" s="245"/>
      <c r="AW174" s="245"/>
      <c r="AX174" s="245"/>
    </row>
    <row r="175" spans="1:1027" s="243" customFormat="1" ht="30" customHeight="1">
      <c r="A175" s="2286"/>
      <c r="B175" s="2287"/>
      <c r="C175" s="2287"/>
      <c r="D175" s="2287"/>
      <c r="E175" s="2287"/>
      <c r="F175" s="2287"/>
      <c r="G175" s="2287"/>
      <c r="H175" s="2287"/>
      <c r="I175" s="2287"/>
      <c r="J175" s="2287"/>
      <c r="K175" s="2287"/>
      <c r="L175" s="2288"/>
      <c r="M175" s="285"/>
      <c r="N175" s="1396"/>
      <c r="O175" s="1397"/>
      <c r="P175" s="1397"/>
      <c r="Q175" s="1397"/>
      <c r="R175" s="1398"/>
      <c r="S175" s="286"/>
      <c r="T175" s="286"/>
      <c r="U175" s="286"/>
      <c r="V175" s="1396"/>
      <c r="W175" s="1397"/>
      <c r="X175" s="1397"/>
      <c r="Y175" s="1397"/>
      <c r="Z175" s="1398"/>
      <c r="AA175" s="1062"/>
      <c r="AB175" s="1396"/>
      <c r="AC175" s="1398"/>
      <c r="AD175" s="1396"/>
      <c r="AE175" s="1397"/>
      <c r="AF175" s="1397"/>
      <c r="AG175" s="1397"/>
      <c r="AH175" s="1397"/>
      <c r="AI175" s="1397"/>
      <c r="AJ175" s="1397"/>
      <c r="AK175" s="1397"/>
      <c r="AL175" s="1397"/>
      <c r="AM175" s="1398"/>
      <c r="AN175" s="245"/>
      <c r="AO175" s="245"/>
      <c r="AP175" s="245"/>
      <c r="AQ175" s="245"/>
      <c r="AR175" s="245"/>
      <c r="AS175" s="245"/>
      <c r="AT175" s="245"/>
      <c r="AU175" s="245"/>
      <c r="AV175" s="245"/>
      <c r="AW175" s="245"/>
      <c r="AX175" s="245"/>
    </row>
    <row r="176" spans="1:1027" s="243" customFormat="1" ht="30" customHeight="1">
      <c r="A176" s="300"/>
      <c r="B176" s="300"/>
      <c r="C176" s="300"/>
      <c r="D176" s="300"/>
      <c r="E176" s="300"/>
      <c r="F176" s="300"/>
      <c r="G176" s="300"/>
      <c r="H176" s="300"/>
      <c r="I176" s="300"/>
      <c r="J176" s="300"/>
      <c r="K176" s="300"/>
      <c r="L176" s="300"/>
      <c r="M176" s="285"/>
      <c r="N176" s="1403"/>
      <c r="O176" s="1403"/>
      <c r="P176" s="1403"/>
      <c r="Q176" s="1403"/>
      <c r="R176" s="1403"/>
      <c r="S176" s="288"/>
      <c r="T176" s="288"/>
      <c r="U176" s="288"/>
      <c r="V176" s="1403"/>
      <c r="W176" s="1403"/>
      <c r="X176" s="1403"/>
      <c r="Y176" s="1403"/>
      <c r="Z176" s="1403"/>
      <c r="AA176" s="1064"/>
      <c r="AB176" s="795"/>
      <c r="AC176" s="795"/>
      <c r="AD176" s="288"/>
      <c r="AE176" s="288"/>
      <c r="AF176" s="288"/>
      <c r="AG176" s="288"/>
      <c r="AH176" s="288"/>
      <c r="AI176" s="288"/>
      <c r="AJ176" s="288"/>
      <c r="AK176" s="288"/>
      <c r="AL176" s="288"/>
      <c r="AM176" s="288"/>
      <c r="AN176" s="245"/>
      <c r="AO176" s="245"/>
      <c r="AP176" s="245"/>
      <c r="AQ176" s="245"/>
      <c r="AR176" s="245"/>
      <c r="AS176" s="245"/>
      <c r="AT176" s="245"/>
      <c r="AU176" s="245"/>
      <c r="AV176" s="245"/>
      <c r="AW176" s="245"/>
      <c r="AX176" s="245"/>
    </row>
    <row r="177" spans="1:50">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row>
    <row r="178" spans="1:50">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c r="AK178" s="233"/>
      <c r="AL178" s="233"/>
      <c r="AM178" s="233"/>
    </row>
  </sheetData>
  <sheetProtection formatCells="0" formatColumns="0" formatRows="0" insertRows="0" deleteColumns="0" sort="0" autoFilter="0"/>
  <mergeCells count="947">
    <mergeCell ref="AA44:AA47"/>
    <mergeCell ref="AA48:AA52"/>
    <mergeCell ref="AA53:AA55"/>
    <mergeCell ref="AA56:AA59"/>
    <mergeCell ref="AW1:AX4"/>
    <mergeCell ref="AT6:AX6"/>
    <mergeCell ref="AX7:AX8"/>
    <mergeCell ref="AR7:AR8"/>
    <mergeCell ref="AS7:AS8"/>
    <mergeCell ref="AT7:AT8"/>
    <mergeCell ref="AU7:AU8"/>
    <mergeCell ref="AV7:AV8"/>
    <mergeCell ref="AW7:AW8"/>
    <mergeCell ref="AO7:AO8"/>
    <mergeCell ref="AP7:AP8"/>
    <mergeCell ref="AQ7:AQ8"/>
    <mergeCell ref="AN7:AN8"/>
    <mergeCell ref="AN9:AN14"/>
    <mergeCell ref="AO9:AO14"/>
    <mergeCell ref="AP9:AP14"/>
    <mergeCell ref="AC1:AC2"/>
    <mergeCell ref="AD1:AN2"/>
    <mergeCell ref="AP1:AS1"/>
    <mergeCell ref="AD3:AN4"/>
    <mergeCell ref="A3:A4"/>
    <mergeCell ref="G3:H3"/>
    <mergeCell ref="I3:N3"/>
    <mergeCell ref="O3:V3"/>
    <mergeCell ref="Z3:AB4"/>
    <mergeCell ref="AC3:AC4"/>
    <mergeCell ref="AA27:AA28"/>
    <mergeCell ref="AA29:AA35"/>
    <mergeCell ref="AA36:AA39"/>
    <mergeCell ref="C7:E8"/>
    <mergeCell ref="F7:F8"/>
    <mergeCell ref="G7:I8"/>
    <mergeCell ref="J7:L8"/>
    <mergeCell ref="M7:P7"/>
    <mergeCell ref="Q7:V7"/>
    <mergeCell ref="X7:Z8"/>
    <mergeCell ref="A15:A21"/>
    <mergeCell ref="B15:B21"/>
    <mergeCell ref="C15:E21"/>
    <mergeCell ref="F15:F21"/>
    <mergeCell ref="G15:I15"/>
    <mergeCell ref="J15:L21"/>
    <mergeCell ref="G21:I21"/>
    <mergeCell ref="AB15:AB21"/>
    <mergeCell ref="AP3:AQ3"/>
    <mergeCell ref="AR3:AS3"/>
    <mergeCell ref="G4:H4"/>
    <mergeCell ref="I4:N4"/>
    <mergeCell ref="O4:V4"/>
    <mergeCell ref="AP4:AQ4"/>
    <mergeCell ref="AR4:AS4"/>
    <mergeCell ref="G2:V2"/>
    <mergeCell ref="AP2:AQ2"/>
    <mergeCell ref="AR2:AS2"/>
    <mergeCell ref="G1:V1"/>
    <mergeCell ref="X1:Y4"/>
    <mergeCell ref="Z1:AB2"/>
    <mergeCell ref="A6:P6"/>
    <mergeCell ref="Q6:V6"/>
    <mergeCell ref="X6:AM6"/>
    <mergeCell ref="AA7:AA8"/>
    <mergeCell ref="A9:A14"/>
    <mergeCell ref="B9:B14"/>
    <mergeCell ref="C9:E14"/>
    <mergeCell ref="F9:F14"/>
    <mergeCell ref="G9:I9"/>
    <mergeCell ref="J9:L14"/>
    <mergeCell ref="AB7:AB8"/>
    <mergeCell ref="AC7:AC8"/>
    <mergeCell ref="AD7:AD8"/>
    <mergeCell ref="AE7:AE8"/>
    <mergeCell ref="AI7:AM7"/>
    <mergeCell ref="M9:M14"/>
    <mergeCell ref="N9:N14"/>
    <mergeCell ref="O9:O14"/>
    <mergeCell ref="P9:P14"/>
    <mergeCell ref="Q9:Q14"/>
    <mergeCell ref="R9:R14"/>
    <mergeCell ref="A7:A8"/>
    <mergeCell ref="B7:B8"/>
    <mergeCell ref="AQ9:AQ14"/>
    <mergeCell ref="V9:V14"/>
    <mergeCell ref="X9:Z9"/>
    <mergeCell ref="AB9:AB14"/>
    <mergeCell ref="AD9:AD14"/>
    <mergeCell ref="AE9:AE14"/>
    <mergeCell ref="AI9:AI14"/>
    <mergeCell ref="X14:Z14"/>
    <mergeCell ref="AA9:AA14"/>
    <mergeCell ref="AX9:AX14"/>
    <mergeCell ref="G10:I10"/>
    <mergeCell ref="X10:Z10"/>
    <mergeCell ref="G11:I11"/>
    <mergeCell ref="X11:Z11"/>
    <mergeCell ref="G12:I12"/>
    <mergeCell ref="X12:Z12"/>
    <mergeCell ref="G13:I13"/>
    <mergeCell ref="X13:Z13"/>
    <mergeCell ref="G14:I14"/>
    <mergeCell ref="AR9:AR14"/>
    <mergeCell ref="AS9:AS14"/>
    <mergeCell ref="AT9:AT14"/>
    <mergeCell ref="AU9:AU14"/>
    <mergeCell ref="AV9:AV14"/>
    <mergeCell ref="AW9:AW14"/>
    <mergeCell ref="AK9:AK14"/>
    <mergeCell ref="AM9:AM14"/>
    <mergeCell ref="AD15:AD21"/>
    <mergeCell ref="AE15:AE21"/>
    <mergeCell ref="AI15:AI21"/>
    <mergeCell ref="X20:Z20"/>
    <mergeCell ref="X21:Z21"/>
    <mergeCell ref="M15:M21"/>
    <mergeCell ref="N15:N21"/>
    <mergeCell ref="O15:O21"/>
    <mergeCell ref="P15:P21"/>
    <mergeCell ref="Q15:Q21"/>
    <mergeCell ref="R15:R21"/>
    <mergeCell ref="AA15:AA21"/>
    <mergeCell ref="AX15:AX21"/>
    <mergeCell ref="G16:I16"/>
    <mergeCell ref="X16:Z16"/>
    <mergeCell ref="G17:I17"/>
    <mergeCell ref="X17:Z17"/>
    <mergeCell ref="G18:I18"/>
    <mergeCell ref="X18:Z18"/>
    <mergeCell ref="G19:I19"/>
    <mergeCell ref="X19:Z19"/>
    <mergeCell ref="G20:I20"/>
    <mergeCell ref="AR15:AR21"/>
    <mergeCell ref="AS15:AS21"/>
    <mergeCell ref="AT15:AT21"/>
    <mergeCell ref="AU15:AU21"/>
    <mergeCell ref="AV15:AV21"/>
    <mergeCell ref="AW15:AW21"/>
    <mergeCell ref="AK15:AK21"/>
    <mergeCell ref="AM15:AM21"/>
    <mergeCell ref="AN15:AN21"/>
    <mergeCell ref="AO15:AO21"/>
    <mergeCell ref="AP15:AP21"/>
    <mergeCell ref="AQ15:AQ21"/>
    <mergeCell ref="V15:V21"/>
    <mergeCell ref="X15:Z15"/>
    <mergeCell ref="A22:A26"/>
    <mergeCell ref="B22:B26"/>
    <mergeCell ref="C22:E26"/>
    <mergeCell ref="F22:F26"/>
    <mergeCell ref="G22:I22"/>
    <mergeCell ref="J22:L26"/>
    <mergeCell ref="G23:I23"/>
    <mergeCell ref="G24:I24"/>
    <mergeCell ref="G25:I25"/>
    <mergeCell ref="G26:I26"/>
    <mergeCell ref="AX22:AX26"/>
    <mergeCell ref="AM22:AM26"/>
    <mergeCell ref="AN22:AN26"/>
    <mergeCell ref="AO22:AO26"/>
    <mergeCell ref="AP22:AP26"/>
    <mergeCell ref="AQ22:AQ26"/>
    <mergeCell ref="AR22:AR26"/>
    <mergeCell ref="X22:Z22"/>
    <mergeCell ref="AB22:AB26"/>
    <mergeCell ref="AD22:AD26"/>
    <mergeCell ref="AE22:AE26"/>
    <mergeCell ref="AI22:AI26"/>
    <mergeCell ref="AK22:AK26"/>
    <mergeCell ref="X23:Z23"/>
    <mergeCell ref="X24:Z24"/>
    <mergeCell ref="X25:Z25"/>
    <mergeCell ref="X26:Z26"/>
    <mergeCell ref="AS22:AS26"/>
    <mergeCell ref="AT22:AT26"/>
    <mergeCell ref="AU22:AU26"/>
    <mergeCell ref="AV22:AV26"/>
    <mergeCell ref="AA22:AA26"/>
    <mergeCell ref="M22:M26"/>
    <mergeCell ref="N22:N26"/>
    <mergeCell ref="O22:O26"/>
    <mergeCell ref="P22:P26"/>
    <mergeCell ref="Q22:Q26"/>
    <mergeCell ref="R22:R26"/>
    <mergeCell ref="AW27:AW28"/>
    <mergeCell ref="AX27:AX28"/>
    <mergeCell ref="AM27:AM28"/>
    <mergeCell ref="AN27:AN28"/>
    <mergeCell ref="AO27:AO28"/>
    <mergeCell ref="AP27:AP28"/>
    <mergeCell ref="AQ27:AQ28"/>
    <mergeCell ref="AR27:AR28"/>
    <mergeCell ref="AT27:AT28"/>
    <mergeCell ref="AU27:AU28"/>
    <mergeCell ref="AV27:AV28"/>
    <mergeCell ref="M27:M28"/>
    <mergeCell ref="N27:N28"/>
    <mergeCell ref="O27:O28"/>
    <mergeCell ref="P27:P28"/>
    <mergeCell ref="Q27:Q28"/>
    <mergeCell ref="R27:R28"/>
    <mergeCell ref="AW22:AW26"/>
    <mergeCell ref="A29:A35"/>
    <mergeCell ref="B29:B35"/>
    <mergeCell ref="C29:E35"/>
    <mergeCell ref="F29:F35"/>
    <mergeCell ref="G29:I29"/>
    <mergeCell ref="J29:L35"/>
    <mergeCell ref="G34:I34"/>
    <mergeCell ref="G35:I35"/>
    <mergeCell ref="AS27:AS28"/>
    <mergeCell ref="X27:Z27"/>
    <mergeCell ref="AB27:AB28"/>
    <mergeCell ref="AD27:AD28"/>
    <mergeCell ref="AE27:AE28"/>
    <mergeCell ref="AI27:AI28"/>
    <mergeCell ref="AK27:AK28"/>
    <mergeCell ref="X28:Z28"/>
    <mergeCell ref="A27:A28"/>
    <mergeCell ref="B27:B28"/>
    <mergeCell ref="AB29:AB35"/>
    <mergeCell ref="AC29:AC35"/>
    <mergeCell ref="AD29:AD35"/>
    <mergeCell ref="AE29:AE35"/>
    <mergeCell ref="X34:Z34"/>
    <mergeCell ref="X35:Z35"/>
    <mergeCell ref="M29:M35"/>
    <mergeCell ref="N29:N35"/>
    <mergeCell ref="O29:O35"/>
    <mergeCell ref="P29:P35"/>
    <mergeCell ref="Q29:Q35"/>
    <mergeCell ref="R29:R35"/>
    <mergeCell ref="C27:E28"/>
    <mergeCell ref="F27:F28"/>
    <mergeCell ref="G27:I27"/>
    <mergeCell ref="J27:L28"/>
    <mergeCell ref="G28:I28"/>
    <mergeCell ref="AW29:AW35"/>
    <mergeCell ref="AX29:AX35"/>
    <mergeCell ref="G30:I30"/>
    <mergeCell ref="X30:Z30"/>
    <mergeCell ref="G31:I31"/>
    <mergeCell ref="X31:Z31"/>
    <mergeCell ref="G32:I32"/>
    <mergeCell ref="X32:Z32"/>
    <mergeCell ref="G33:I33"/>
    <mergeCell ref="X33:Z33"/>
    <mergeCell ref="AQ29:AQ35"/>
    <mergeCell ref="AR29:AR35"/>
    <mergeCell ref="AS29:AS35"/>
    <mergeCell ref="AT29:AT35"/>
    <mergeCell ref="AU29:AU35"/>
    <mergeCell ref="AV29:AV35"/>
    <mergeCell ref="AI29:AI35"/>
    <mergeCell ref="AK29:AK35"/>
    <mergeCell ref="AM29:AM35"/>
    <mergeCell ref="AN29:AN35"/>
    <mergeCell ref="AO29:AO35"/>
    <mergeCell ref="AP29:AP35"/>
    <mergeCell ref="V29:V35"/>
    <mergeCell ref="X29:Z29"/>
    <mergeCell ref="AD36:AD39"/>
    <mergeCell ref="AE36:AE39"/>
    <mergeCell ref="M36:M39"/>
    <mergeCell ref="N36:N39"/>
    <mergeCell ref="O36:O39"/>
    <mergeCell ref="P36:P39"/>
    <mergeCell ref="Q36:Q39"/>
    <mergeCell ref="R36:R39"/>
    <mergeCell ref="A36:A39"/>
    <mergeCell ref="B36:B39"/>
    <mergeCell ref="C36:E39"/>
    <mergeCell ref="F36:F39"/>
    <mergeCell ref="G36:I36"/>
    <mergeCell ref="J36:L39"/>
    <mergeCell ref="AW36:AW39"/>
    <mergeCell ref="AX36:AX39"/>
    <mergeCell ref="G37:I37"/>
    <mergeCell ref="X37:Z37"/>
    <mergeCell ref="G38:I38"/>
    <mergeCell ref="X38:Z38"/>
    <mergeCell ref="G39:I39"/>
    <mergeCell ref="X39:Z39"/>
    <mergeCell ref="AQ36:AQ39"/>
    <mergeCell ref="AR36:AR39"/>
    <mergeCell ref="AS36:AS39"/>
    <mergeCell ref="AT36:AT39"/>
    <mergeCell ref="AU36:AU39"/>
    <mergeCell ref="AV36:AV39"/>
    <mergeCell ref="AI36:AI39"/>
    <mergeCell ref="AK36:AK39"/>
    <mergeCell ref="AM36:AM39"/>
    <mergeCell ref="AN36:AN39"/>
    <mergeCell ref="AO36:AO39"/>
    <mergeCell ref="AP36:AP39"/>
    <mergeCell ref="V36:V39"/>
    <mergeCell ref="X36:Z36"/>
    <mergeCell ref="AB36:AB39"/>
    <mergeCell ref="AC36:AC39"/>
    <mergeCell ref="AD40:AD43"/>
    <mergeCell ref="AE40:AE43"/>
    <mergeCell ref="M40:M43"/>
    <mergeCell ref="N40:N43"/>
    <mergeCell ref="O40:O43"/>
    <mergeCell ref="P40:P43"/>
    <mergeCell ref="Q40:Q43"/>
    <mergeCell ref="R40:R43"/>
    <mergeCell ref="A40:A43"/>
    <mergeCell ref="B40:B43"/>
    <mergeCell ref="C40:E43"/>
    <mergeCell ref="F40:F43"/>
    <mergeCell ref="G40:I40"/>
    <mergeCell ref="J40:L43"/>
    <mergeCell ref="AA40:AA43"/>
    <mergeCell ref="AW40:AW43"/>
    <mergeCell ref="AX40:AX43"/>
    <mergeCell ref="G41:I41"/>
    <mergeCell ref="X41:Z41"/>
    <mergeCell ref="G42:I42"/>
    <mergeCell ref="X42:Z42"/>
    <mergeCell ref="G43:I43"/>
    <mergeCell ref="X43:Z43"/>
    <mergeCell ref="AQ40:AQ43"/>
    <mergeCell ref="AR40:AR43"/>
    <mergeCell ref="AS40:AS43"/>
    <mergeCell ref="AT40:AT43"/>
    <mergeCell ref="AU40:AU43"/>
    <mergeCell ref="AV40:AV43"/>
    <mergeCell ref="AI40:AI43"/>
    <mergeCell ref="AK40:AK43"/>
    <mergeCell ref="AM40:AM43"/>
    <mergeCell ref="AN40:AN43"/>
    <mergeCell ref="AO40:AO43"/>
    <mergeCell ref="AP40:AP43"/>
    <mergeCell ref="V40:V43"/>
    <mergeCell ref="X40:Z40"/>
    <mergeCell ref="AB40:AB43"/>
    <mergeCell ref="AC40:AC43"/>
    <mergeCell ref="M44:M47"/>
    <mergeCell ref="N44:N47"/>
    <mergeCell ref="O44:O47"/>
    <mergeCell ref="P44:P47"/>
    <mergeCell ref="Q44:Q47"/>
    <mergeCell ref="R44:R47"/>
    <mergeCell ref="A44:A47"/>
    <mergeCell ref="B44:B47"/>
    <mergeCell ref="C44:E47"/>
    <mergeCell ref="F44:F47"/>
    <mergeCell ref="G44:I44"/>
    <mergeCell ref="J44:L47"/>
    <mergeCell ref="AW44:AW47"/>
    <mergeCell ref="AX44:AX47"/>
    <mergeCell ref="G45:I45"/>
    <mergeCell ref="X45:Z47"/>
    <mergeCell ref="G46:I46"/>
    <mergeCell ref="G47:I47"/>
    <mergeCell ref="AQ44:AQ47"/>
    <mergeCell ref="AR44:AR47"/>
    <mergeCell ref="AS44:AS47"/>
    <mergeCell ref="AT44:AT47"/>
    <mergeCell ref="AU44:AU47"/>
    <mergeCell ref="AV44:AV47"/>
    <mergeCell ref="AI44:AI47"/>
    <mergeCell ref="AK44:AK47"/>
    <mergeCell ref="AM44:AM47"/>
    <mergeCell ref="AN44:AN47"/>
    <mergeCell ref="AO44:AO47"/>
    <mergeCell ref="AP44:AP47"/>
    <mergeCell ref="V44:V47"/>
    <mergeCell ref="X44:Z44"/>
    <mergeCell ref="AB44:AB47"/>
    <mergeCell ref="AC44:AC47"/>
    <mergeCell ref="AD44:AD47"/>
    <mergeCell ref="AE44:AE47"/>
    <mergeCell ref="M48:M52"/>
    <mergeCell ref="N48:N52"/>
    <mergeCell ref="O48:O52"/>
    <mergeCell ref="P48:P52"/>
    <mergeCell ref="Q48:Q52"/>
    <mergeCell ref="R48:R52"/>
    <mergeCell ref="A48:A52"/>
    <mergeCell ref="B48:B52"/>
    <mergeCell ref="C48:E52"/>
    <mergeCell ref="F48:F52"/>
    <mergeCell ref="G48:I48"/>
    <mergeCell ref="J48:L52"/>
    <mergeCell ref="AM48:AM52"/>
    <mergeCell ref="AN48:AN52"/>
    <mergeCell ref="AO48:AO52"/>
    <mergeCell ref="AP48:AP52"/>
    <mergeCell ref="V48:V52"/>
    <mergeCell ref="X48:Z48"/>
    <mergeCell ref="AB48:AB52"/>
    <mergeCell ref="AC48:AC52"/>
    <mergeCell ref="AD48:AD52"/>
    <mergeCell ref="AE48:AE52"/>
    <mergeCell ref="A53:A55"/>
    <mergeCell ref="B53:B55"/>
    <mergeCell ref="C53:E55"/>
    <mergeCell ref="F53:F55"/>
    <mergeCell ref="G53:I53"/>
    <mergeCell ref="J53:L55"/>
    <mergeCell ref="AW48:AW52"/>
    <mergeCell ref="AX48:AX52"/>
    <mergeCell ref="G49:I49"/>
    <mergeCell ref="X49:Z49"/>
    <mergeCell ref="G50:I50"/>
    <mergeCell ref="X50:Z50"/>
    <mergeCell ref="G51:I51"/>
    <mergeCell ref="X51:Z51"/>
    <mergeCell ref="G52:I52"/>
    <mergeCell ref="X52:Z52"/>
    <mergeCell ref="AQ48:AQ52"/>
    <mergeCell ref="AR48:AR52"/>
    <mergeCell ref="AS48:AS52"/>
    <mergeCell ref="AT48:AT52"/>
    <mergeCell ref="AU48:AU52"/>
    <mergeCell ref="AV48:AV52"/>
    <mergeCell ref="AI48:AI52"/>
    <mergeCell ref="AK48:AK52"/>
    <mergeCell ref="V53:V55"/>
    <mergeCell ref="X53:Z53"/>
    <mergeCell ref="AB53:AB55"/>
    <mergeCell ref="AC53:AC55"/>
    <mergeCell ref="AD53:AD55"/>
    <mergeCell ref="AE53:AE55"/>
    <mergeCell ref="M53:M55"/>
    <mergeCell ref="N53:N55"/>
    <mergeCell ref="O53:O55"/>
    <mergeCell ref="P53:P55"/>
    <mergeCell ref="Q53:Q55"/>
    <mergeCell ref="R53:R55"/>
    <mergeCell ref="A56:A59"/>
    <mergeCell ref="B56:B59"/>
    <mergeCell ref="C56:E59"/>
    <mergeCell ref="F56:F59"/>
    <mergeCell ref="G56:I56"/>
    <mergeCell ref="J56:L59"/>
    <mergeCell ref="AW53:AW55"/>
    <mergeCell ref="AX53:AX55"/>
    <mergeCell ref="G54:I54"/>
    <mergeCell ref="X54:Z54"/>
    <mergeCell ref="G55:I55"/>
    <mergeCell ref="X55:Z55"/>
    <mergeCell ref="AQ53:AQ55"/>
    <mergeCell ref="AR53:AR55"/>
    <mergeCell ref="AS53:AS55"/>
    <mergeCell ref="AT53:AT55"/>
    <mergeCell ref="AU53:AU55"/>
    <mergeCell ref="AV53:AV55"/>
    <mergeCell ref="AI53:AI55"/>
    <mergeCell ref="AK53:AK55"/>
    <mergeCell ref="AM53:AM55"/>
    <mergeCell ref="AN53:AN55"/>
    <mergeCell ref="AO53:AO55"/>
    <mergeCell ref="AP53:AP55"/>
    <mergeCell ref="AX56:AX59"/>
    <mergeCell ref="G57:I57"/>
    <mergeCell ref="X57:Z59"/>
    <mergeCell ref="G58:I58"/>
    <mergeCell ref="G59:I59"/>
    <mergeCell ref="AQ56:AQ59"/>
    <mergeCell ref="AR56:AR59"/>
    <mergeCell ref="AS56:AS59"/>
    <mergeCell ref="AT56:AT59"/>
    <mergeCell ref="AU56:AU59"/>
    <mergeCell ref="AV56:AV59"/>
    <mergeCell ref="AI56:AI59"/>
    <mergeCell ref="AK56:AK59"/>
    <mergeCell ref="AM56:AM59"/>
    <mergeCell ref="AN56:AN59"/>
    <mergeCell ref="AO56:AO59"/>
    <mergeCell ref="AP56:AP59"/>
    <mergeCell ref="V56:V59"/>
    <mergeCell ref="X56:Z56"/>
    <mergeCell ref="AB56:AB59"/>
    <mergeCell ref="AC56:AC59"/>
    <mergeCell ref="AD56:AD59"/>
    <mergeCell ref="AE56:AE59"/>
    <mergeCell ref="M56:M59"/>
    <mergeCell ref="C60:E60"/>
    <mergeCell ref="G60:I60"/>
    <mergeCell ref="J60:L60"/>
    <mergeCell ref="X60:Z60"/>
    <mergeCell ref="C61:E61"/>
    <mergeCell ref="G61:I61"/>
    <mergeCell ref="J61:L61"/>
    <mergeCell ref="X61:Z61"/>
    <mergeCell ref="AW56:AW59"/>
    <mergeCell ref="N56:N59"/>
    <mergeCell ref="O56:O59"/>
    <mergeCell ref="P56:P59"/>
    <mergeCell ref="Q56:Q59"/>
    <mergeCell ref="R56:R59"/>
    <mergeCell ref="C64:E64"/>
    <mergeCell ref="G64:I64"/>
    <mergeCell ref="J64:L64"/>
    <mergeCell ref="X64:Z64"/>
    <mergeCell ref="C65:E65"/>
    <mergeCell ref="G65:I65"/>
    <mergeCell ref="J65:L65"/>
    <mergeCell ref="X65:Z65"/>
    <mergeCell ref="C62:E62"/>
    <mergeCell ref="G62:I62"/>
    <mergeCell ref="J62:L62"/>
    <mergeCell ref="X62:Z62"/>
    <mergeCell ref="C63:E63"/>
    <mergeCell ref="G63:I63"/>
    <mergeCell ref="J63:L63"/>
    <mergeCell ref="X63:Z63"/>
    <mergeCell ref="C68:E68"/>
    <mergeCell ref="G68:I68"/>
    <mergeCell ref="J68:L68"/>
    <mergeCell ref="X68:Z68"/>
    <mergeCell ref="C69:E69"/>
    <mergeCell ref="G69:I69"/>
    <mergeCell ref="J69:L69"/>
    <mergeCell ref="X69:Z69"/>
    <mergeCell ref="C66:E66"/>
    <mergeCell ref="G66:I66"/>
    <mergeCell ref="J66:L66"/>
    <mergeCell ref="X66:Z66"/>
    <mergeCell ref="C67:E67"/>
    <mergeCell ref="G67:I67"/>
    <mergeCell ref="J67:L67"/>
    <mergeCell ref="X67:Z67"/>
    <mergeCell ref="C72:E72"/>
    <mergeCell ref="G72:I72"/>
    <mergeCell ref="J72:L72"/>
    <mergeCell ref="X72:Z72"/>
    <mergeCell ref="C73:E73"/>
    <mergeCell ref="G73:I73"/>
    <mergeCell ref="J73:L73"/>
    <mergeCell ref="X73:Z73"/>
    <mergeCell ref="C70:E70"/>
    <mergeCell ref="G70:I70"/>
    <mergeCell ref="J70:L70"/>
    <mergeCell ref="X70:Z70"/>
    <mergeCell ref="C71:E71"/>
    <mergeCell ref="G71:I71"/>
    <mergeCell ref="J71:L71"/>
    <mergeCell ref="X71:Z71"/>
    <mergeCell ref="C76:E76"/>
    <mergeCell ref="G76:I76"/>
    <mergeCell ref="J76:L76"/>
    <mergeCell ref="X76:Z76"/>
    <mergeCell ref="C77:E77"/>
    <mergeCell ref="G77:I77"/>
    <mergeCell ref="J77:L77"/>
    <mergeCell ref="X77:Z77"/>
    <mergeCell ref="C74:E74"/>
    <mergeCell ref="G74:I74"/>
    <mergeCell ref="J74:L74"/>
    <mergeCell ref="X74:Z74"/>
    <mergeCell ref="C75:E75"/>
    <mergeCell ref="G75:I75"/>
    <mergeCell ref="J75:L75"/>
    <mergeCell ref="X75:Z75"/>
    <mergeCell ref="C80:E80"/>
    <mergeCell ref="G80:I80"/>
    <mergeCell ref="J80:L80"/>
    <mergeCell ref="X80:Z80"/>
    <mergeCell ref="C81:E81"/>
    <mergeCell ref="G81:I81"/>
    <mergeCell ref="J81:L81"/>
    <mergeCell ref="X81:Z81"/>
    <mergeCell ref="C78:E78"/>
    <mergeCell ref="G78:I78"/>
    <mergeCell ref="J78:L78"/>
    <mergeCell ref="X78:Z78"/>
    <mergeCell ref="C79:E79"/>
    <mergeCell ref="G79:I79"/>
    <mergeCell ref="J79:L79"/>
    <mergeCell ref="X79:Z79"/>
    <mergeCell ref="C84:E84"/>
    <mergeCell ref="G84:I84"/>
    <mergeCell ref="J84:L84"/>
    <mergeCell ref="X84:Z84"/>
    <mergeCell ref="C85:E85"/>
    <mergeCell ref="G85:I85"/>
    <mergeCell ref="J85:L85"/>
    <mergeCell ref="X85:Z85"/>
    <mergeCell ref="C82:E82"/>
    <mergeCell ref="G82:I82"/>
    <mergeCell ref="J82:L82"/>
    <mergeCell ref="X82:Z82"/>
    <mergeCell ref="C83:E83"/>
    <mergeCell ref="G83:I83"/>
    <mergeCell ref="J83:L83"/>
    <mergeCell ref="X83:Z83"/>
    <mergeCell ref="C88:E88"/>
    <mergeCell ref="G88:I88"/>
    <mergeCell ref="J88:L88"/>
    <mergeCell ref="X88:Z88"/>
    <mergeCell ref="C89:E89"/>
    <mergeCell ref="G89:I89"/>
    <mergeCell ref="J89:L89"/>
    <mergeCell ref="X89:Z89"/>
    <mergeCell ref="C86:E86"/>
    <mergeCell ref="G86:I86"/>
    <mergeCell ref="J86:L86"/>
    <mergeCell ref="X86:Z86"/>
    <mergeCell ref="C87:E87"/>
    <mergeCell ref="G87:I87"/>
    <mergeCell ref="J87:L87"/>
    <mergeCell ref="X87:Z87"/>
    <mergeCell ref="C92:E92"/>
    <mergeCell ref="G92:I92"/>
    <mergeCell ref="J92:L92"/>
    <mergeCell ref="X92:Z92"/>
    <mergeCell ref="C93:E93"/>
    <mergeCell ref="G93:I93"/>
    <mergeCell ref="J93:L93"/>
    <mergeCell ref="X93:Z93"/>
    <mergeCell ref="C90:E90"/>
    <mergeCell ref="G90:I90"/>
    <mergeCell ref="J90:L90"/>
    <mergeCell ref="X90:Z90"/>
    <mergeCell ref="C91:E91"/>
    <mergeCell ref="G91:I91"/>
    <mergeCell ref="J91:L91"/>
    <mergeCell ref="X91:Z91"/>
    <mergeCell ref="C96:E96"/>
    <mergeCell ref="G96:I96"/>
    <mergeCell ref="J96:L96"/>
    <mergeCell ref="X96:Z96"/>
    <mergeCell ref="C97:E97"/>
    <mergeCell ref="G97:I97"/>
    <mergeCell ref="J97:L97"/>
    <mergeCell ref="X97:Z97"/>
    <mergeCell ref="C94:E94"/>
    <mergeCell ref="G94:I94"/>
    <mergeCell ref="J94:L94"/>
    <mergeCell ref="X94:Z94"/>
    <mergeCell ref="C95:E95"/>
    <mergeCell ref="G95:I95"/>
    <mergeCell ref="J95:L95"/>
    <mergeCell ref="X95:Z95"/>
    <mergeCell ref="C100:E100"/>
    <mergeCell ref="G100:I100"/>
    <mergeCell ref="J100:L100"/>
    <mergeCell ref="X100:Z100"/>
    <mergeCell ref="C101:E101"/>
    <mergeCell ref="G101:I101"/>
    <mergeCell ref="J101:L101"/>
    <mergeCell ref="X101:Z101"/>
    <mergeCell ref="C98:E98"/>
    <mergeCell ref="G98:I98"/>
    <mergeCell ref="J98:L98"/>
    <mergeCell ref="X98:Z98"/>
    <mergeCell ref="C99:E99"/>
    <mergeCell ref="G99:I99"/>
    <mergeCell ref="J99:L99"/>
    <mergeCell ref="X99:Z99"/>
    <mergeCell ref="C104:E104"/>
    <mergeCell ref="G104:I104"/>
    <mergeCell ref="J104:L104"/>
    <mergeCell ref="X104:Z104"/>
    <mergeCell ref="C105:E105"/>
    <mergeCell ref="G105:I105"/>
    <mergeCell ref="J105:L105"/>
    <mergeCell ref="X105:Z105"/>
    <mergeCell ref="C102:E102"/>
    <mergeCell ref="G102:I102"/>
    <mergeCell ref="J102:L102"/>
    <mergeCell ref="X102:Z102"/>
    <mergeCell ref="C103:E103"/>
    <mergeCell ref="G103:I103"/>
    <mergeCell ref="J103:L103"/>
    <mergeCell ref="X103:Z103"/>
    <mergeCell ref="C108:E108"/>
    <mergeCell ref="G108:I108"/>
    <mergeCell ref="J108:L108"/>
    <mergeCell ref="X108:Z108"/>
    <mergeCell ref="C109:E109"/>
    <mergeCell ref="G109:I109"/>
    <mergeCell ref="J109:L109"/>
    <mergeCell ref="X109:Z109"/>
    <mergeCell ref="C106:E106"/>
    <mergeCell ref="G106:I106"/>
    <mergeCell ref="J106:L106"/>
    <mergeCell ref="X106:Z106"/>
    <mergeCell ref="C107:E107"/>
    <mergeCell ref="G107:I107"/>
    <mergeCell ref="J107:L107"/>
    <mergeCell ref="X107:Z107"/>
    <mergeCell ref="C112:E112"/>
    <mergeCell ref="G112:I112"/>
    <mergeCell ref="J112:L112"/>
    <mergeCell ref="X112:Z112"/>
    <mergeCell ref="C113:E113"/>
    <mergeCell ref="G113:I113"/>
    <mergeCell ref="J113:L113"/>
    <mergeCell ref="X113:Z113"/>
    <mergeCell ref="C110:E110"/>
    <mergeCell ref="G110:I110"/>
    <mergeCell ref="J110:L110"/>
    <mergeCell ref="X110:Z110"/>
    <mergeCell ref="C111:E111"/>
    <mergeCell ref="G111:I111"/>
    <mergeCell ref="J111:L111"/>
    <mergeCell ref="X111:Z111"/>
    <mergeCell ref="C116:E116"/>
    <mergeCell ref="G116:I116"/>
    <mergeCell ref="J116:L116"/>
    <mergeCell ref="X116:Z116"/>
    <mergeCell ref="C117:E117"/>
    <mergeCell ref="G117:I117"/>
    <mergeCell ref="J117:L117"/>
    <mergeCell ref="X117:Z117"/>
    <mergeCell ref="C114:E114"/>
    <mergeCell ref="G114:I114"/>
    <mergeCell ref="J114:L114"/>
    <mergeCell ref="X114:Z114"/>
    <mergeCell ref="C115:E115"/>
    <mergeCell ref="G115:I115"/>
    <mergeCell ref="J115:L115"/>
    <mergeCell ref="X115:Z115"/>
    <mergeCell ref="C120:E120"/>
    <mergeCell ref="G120:I120"/>
    <mergeCell ref="J120:L120"/>
    <mergeCell ref="X120:Z120"/>
    <mergeCell ref="C121:E121"/>
    <mergeCell ref="G121:I121"/>
    <mergeCell ref="J121:L121"/>
    <mergeCell ref="X121:Z121"/>
    <mergeCell ref="C118:E118"/>
    <mergeCell ref="G118:I118"/>
    <mergeCell ref="J118:L118"/>
    <mergeCell ref="X118:Z118"/>
    <mergeCell ref="C119:E119"/>
    <mergeCell ref="G119:I119"/>
    <mergeCell ref="J119:L119"/>
    <mergeCell ref="X119:Z119"/>
    <mergeCell ref="C124:E124"/>
    <mergeCell ref="G124:I124"/>
    <mergeCell ref="J124:L124"/>
    <mergeCell ref="X124:Z124"/>
    <mergeCell ref="C125:E125"/>
    <mergeCell ref="G125:I125"/>
    <mergeCell ref="J125:L125"/>
    <mergeCell ref="X125:Z125"/>
    <mergeCell ref="C122:E122"/>
    <mergeCell ref="G122:I122"/>
    <mergeCell ref="J122:L122"/>
    <mergeCell ref="X122:Z122"/>
    <mergeCell ref="C123:E123"/>
    <mergeCell ref="G123:I123"/>
    <mergeCell ref="J123:L123"/>
    <mergeCell ref="X123:Z123"/>
    <mergeCell ref="C128:E128"/>
    <mergeCell ref="G128:I128"/>
    <mergeCell ref="J128:L128"/>
    <mergeCell ref="X128:Z128"/>
    <mergeCell ref="C129:E129"/>
    <mergeCell ref="G129:I129"/>
    <mergeCell ref="J129:L129"/>
    <mergeCell ref="X129:Z129"/>
    <mergeCell ref="C126:E126"/>
    <mergeCell ref="G126:I126"/>
    <mergeCell ref="J126:L126"/>
    <mergeCell ref="X126:Z126"/>
    <mergeCell ref="C127:E127"/>
    <mergeCell ref="G127:I127"/>
    <mergeCell ref="J127:L127"/>
    <mergeCell ref="X127:Z127"/>
    <mergeCell ref="C132:E132"/>
    <mergeCell ref="G132:I132"/>
    <mergeCell ref="J132:L132"/>
    <mergeCell ref="X132:Z132"/>
    <mergeCell ref="C133:E133"/>
    <mergeCell ref="G133:I133"/>
    <mergeCell ref="J133:L133"/>
    <mergeCell ref="X133:Z133"/>
    <mergeCell ref="C130:E130"/>
    <mergeCell ref="G130:I130"/>
    <mergeCell ref="J130:L130"/>
    <mergeCell ref="X130:Z130"/>
    <mergeCell ref="C131:E131"/>
    <mergeCell ref="G131:I131"/>
    <mergeCell ref="J131:L131"/>
    <mergeCell ref="X131:Z131"/>
    <mergeCell ref="C136:E136"/>
    <mergeCell ref="G136:I136"/>
    <mergeCell ref="J136:L136"/>
    <mergeCell ref="X136:Z136"/>
    <mergeCell ref="C137:E137"/>
    <mergeCell ref="G137:I137"/>
    <mergeCell ref="J137:L137"/>
    <mergeCell ref="X137:Z137"/>
    <mergeCell ref="C134:E134"/>
    <mergeCell ref="G134:I134"/>
    <mergeCell ref="J134:L134"/>
    <mergeCell ref="X134:Z134"/>
    <mergeCell ref="C135:E135"/>
    <mergeCell ref="G135:I135"/>
    <mergeCell ref="J135:L135"/>
    <mergeCell ref="X135:Z135"/>
    <mergeCell ref="C140:E140"/>
    <mergeCell ref="G140:I140"/>
    <mergeCell ref="J140:L140"/>
    <mergeCell ref="X140:Z140"/>
    <mergeCell ref="C141:E141"/>
    <mergeCell ref="G141:I141"/>
    <mergeCell ref="J141:L141"/>
    <mergeCell ref="X141:Z141"/>
    <mergeCell ref="C138:E138"/>
    <mergeCell ref="G138:I138"/>
    <mergeCell ref="J138:L138"/>
    <mergeCell ref="X138:Z138"/>
    <mergeCell ref="C139:E139"/>
    <mergeCell ref="G139:I139"/>
    <mergeCell ref="J139:L139"/>
    <mergeCell ref="X139:Z139"/>
    <mergeCell ref="C144:E144"/>
    <mergeCell ref="G144:I144"/>
    <mergeCell ref="J144:L144"/>
    <mergeCell ref="X144:Z144"/>
    <mergeCell ref="C145:E145"/>
    <mergeCell ref="G145:I145"/>
    <mergeCell ref="J145:L145"/>
    <mergeCell ref="X145:Z145"/>
    <mergeCell ref="C142:E142"/>
    <mergeCell ref="G142:I142"/>
    <mergeCell ref="J142:L142"/>
    <mergeCell ref="X142:Z142"/>
    <mergeCell ref="C143:E143"/>
    <mergeCell ref="G143:I143"/>
    <mergeCell ref="J143:L143"/>
    <mergeCell ref="X143:Z143"/>
    <mergeCell ref="C148:E148"/>
    <mergeCell ref="G148:I148"/>
    <mergeCell ref="J148:L148"/>
    <mergeCell ref="X148:Z148"/>
    <mergeCell ref="C149:E149"/>
    <mergeCell ref="G149:I149"/>
    <mergeCell ref="J149:L149"/>
    <mergeCell ref="X149:Z149"/>
    <mergeCell ref="C146:E146"/>
    <mergeCell ref="G146:I146"/>
    <mergeCell ref="J146:L146"/>
    <mergeCell ref="X146:Z146"/>
    <mergeCell ref="C147:E147"/>
    <mergeCell ref="G147:I147"/>
    <mergeCell ref="J147:L147"/>
    <mergeCell ref="X147:Z147"/>
    <mergeCell ref="C152:E152"/>
    <mergeCell ref="G152:I152"/>
    <mergeCell ref="J152:L152"/>
    <mergeCell ref="X152:Z152"/>
    <mergeCell ref="C153:E153"/>
    <mergeCell ref="G153:I153"/>
    <mergeCell ref="J153:L153"/>
    <mergeCell ref="X153:Z153"/>
    <mergeCell ref="C150:E150"/>
    <mergeCell ref="G150:I150"/>
    <mergeCell ref="J150:L150"/>
    <mergeCell ref="X150:Z150"/>
    <mergeCell ref="C151:E151"/>
    <mergeCell ref="G151:I151"/>
    <mergeCell ref="J151:L151"/>
    <mergeCell ref="X151:Z151"/>
    <mergeCell ref="C156:E156"/>
    <mergeCell ref="G156:I156"/>
    <mergeCell ref="J156:L156"/>
    <mergeCell ref="X156:Z156"/>
    <mergeCell ref="C157:E157"/>
    <mergeCell ref="G157:I157"/>
    <mergeCell ref="J157:L157"/>
    <mergeCell ref="X157:Z157"/>
    <mergeCell ref="C154:E154"/>
    <mergeCell ref="G154:I154"/>
    <mergeCell ref="J154:L154"/>
    <mergeCell ref="X154:Z154"/>
    <mergeCell ref="C155:E155"/>
    <mergeCell ref="G155:I155"/>
    <mergeCell ref="J155:L155"/>
    <mergeCell ref="X155:Z155"/>
    <mergeCell ref="C160:E160"/>
    <mergeCell ref="G160:I160"/>
    <mergeCell ref="J160:L160"/>
    <mergeCell ref="X160:Z160"/>
    <mergeCell ref="C161:E161"/>
    <mergeCell ref="G161:I161"/>
    <mergeCell ref="J161:L161"/>
    <mergeCell ref="X161:Z161"/>
    <mergeCell ref="C158:E158"/>
    <mergeCell ref="G158:I158"/>
    <mergeCell ref="J158:L158"/>
    <mergeCell ref="X158:Z158"/>
    <mergeCell ref="C159:E159"/>
    <mergeCell ref="G159:I159"/>
    <mergeCell ref="J159:L159"/>
    <mergeCell ref="X159:Z159"/>
    <mergeCell ref="C164:E164"/>
    <mergeCell ref="G164:I164"/>
    <mergeCell ref="J164:L164"/>
    <mergeCell ref="X164:Z164"/>
    <mergeCell ref="C165:E165"/>
    <mergeCell ref="G165:I165"/>
    <mergeCell ref="J165:L165"/>
    <mergeCell ref="X165:Z165"/>
    <mergeCell ref="C162:E162"/>
    <mergeCell ref="G162:I162"/>
    <mergeCell ref="J162:L162"/>
    <mergeCell ref="X162:Z162"/>
    <mergeCell ref="C163:E163"/>
    <mergeCell ref="G163:I163"/>
    <mergeCell ref="J163:L163"/>
    <mergeCell ref="X163:Z163"/>
    <mergeCell ref="C168:E168"/>
    <mergeCell ref="G168:I168"/>
    <mergeCell ref="J168:L168"/>
    <mergeCell ref="X168:Z168"/>
    <mergeCell ref="A170:L171"/>
    <mergeCell ref="N171:R171"/>
    <mergeCell ref="V171:Z171"/>
    <mergeCell ref="C166:E166"/>
    <mergeCell ref="G166:I166"/>
    <mergeCell ref="J166:L166"/>
    <mergeCell ref="X166:Z166"/>
    <mergeCell ref="C167:E167"/>
    <mergeCell ref="G167:I167"/>
    <mergeCell ref="J167:L167"/>
    <mergeCell ref="X167:Z167"/>
    <mergeCell ref="AB171:AC171"/>
    <mergeCell ref="AD171:AM171"/>
    <mergeCell ref="A172:L175"/>
    <mergeCell ref="N172:R172"/>
    <mergeCell ref="V172:Z172"/>
    <mergeCell ref="AB172:AC172"/>
    <mergeCell ref="AD172:AM172"/>
    <mergeCell ref="N173:R173"/>
    <mergeCell ref="V173:Z173"/>
    <mergeCell ref="AB173:AC173"/>
    <mergeCell ref="N176:R176"/>
    <mergeCell ref="V176:Z176"/>
    <mergeCell ref="AD173:AM173"/>
    <mergeCell ref="N174:R174"/>
    <mergeCell ref="V174:Z174"/>
    <mergeCell ref="AB174:AC174"/>
    <mergeCell ref="AD174:AM174"/>
    <mergeCell ref="N175:R175"/>
    <mergeCell ref="V175:Z175"/>
    <mergeCell ref="AB175:AC175"/>
    <mergeCell ref="AD175:AM175"/>
  </mergeCells>
  <dataValidations count="6">
    <dataValidation type="list" allowBlank="1" showInputMessage="1" showErrorMessage="1" sqref="WVZ9:WVZ168 WMD9:WMD168 JN9:JN168 TJ9:TJ168 ADF9:ADF168 ANB9:ANB168 AWX9:AWX168 BGT9:BGT168 BQP9:BQP168 CAL9:CAL168 CKH9:CKH168 CUD9:CUD168 DDZ9:DDZ168 DNV9:DNV168 DXR9:DXR168 EHN9:EHN168 ERJ9:ERJ168 FBF9:FBF168 FLB9:FLB168 FUX9:FUX168 GET9:GET168 GOP9:GOP168 GYL9:GYL168 HIH9:HIH168 HSD9:HSD168 IBZ9:IBZ168 ILV9:ILV168 IVR9:IVR168 JFN9:JFN168 JPJ9:JPJ168 JZF9:JZF168 KJB9:KJB168 KSX9:KSX168 LCT9:LCT168 LMP9:LMP168 LWL9:LWL168 MGH9:MGH168 MQD9:MQD168 MZZ9:MZZ168 NJV9:NJV168 NTR9:NTR168 ODN9:ODN168 ONJ9:ONJ168 OXF9:OXF168 PHB9:PHB168 PQX9:PQX168 QAT9:QAT168 QKP9:QKP168 QUL9:QUL168 REH9:REH168 ROD9:ROD168 RXZ9:RXZ168 SHV9:SHV168 SRR9:SRR168 TBN9:TBN168 TLJ9:TLJ168 TVF9:TVF168 UFB9:UFB168 UOX9:UOX168 UYT9:UYT168 VIP9:VIP168 VSL9:VSL168 WCH9:WCH168 Q29:Q168 Q27 Q9 Q15 Q22">
      <formula1>PROBAB</formula1>
    </dataValidation>
    <dataValidation type="list" allowBlank="1" showInputMessage="1" showErrorMessage="1" sqref="WWA9:WWA168 WME9:WME168 JO9:JO168 TK9:TK168 ADG9:ADG168 ANC9:ANC168 AWY9:AWY168 BGU9:BGU168 BQQ9:BQQ168 CAM9:CAM168 CKI9:CKI168 CUE9:CUE168 DEA9:DEA168 DNW9:DNW168 DXS9:DXS168 EHO9:EHO168 ERK9:ERK168 FBG9:FBG168 FLC9:FLC168 FUY9:FUY168 GEU9:GEU168 GOQ9:GOQ168 GYM9:GYM168 HII9:HII168 HSE9:HSE168 ICA9:ICA168 ILW9:ILW168 IVS9:IVS168 JFO9:JFO168 JPK9:JPK168 JZG9:JZG168 KJC9:KJC168 KSY9:KSY168 LCU9:LCU168 LMQ9:LMQ168 LWM9:LWM168 MGI9:MGI168 MQE9:MQE168 NAA9:NAA168 NJW9:NJW168 NTS9:NTS168 ODO9:ODO168 ONK9:ONK168 OXG9:OXG168 PHC9:PHC168 PQY9:PQY168 QAU9:QAU168 QKQ9:QKQ168 QUM9:QUM168 REI9:REI168 ROE9:ROE168 RYA9:RYA168 SHW9:SHW168 SRS9:SRS168 TBO9:TBO168 TLK9:TLK168 TVG9:TVG168 UFC9:UFC168 UOY9:UOY168 UYU9:UYU168 VIQ9:VIQ168 VSM9:VSM168 WCI9:WCI168 R29:R168 R27 R9 R15 R22">
      <formula1>IMPACTO</formula1>
    </dataValidation>
    <dataValidation type="list" showInputMessage="1" showErrorMessage="1" errorTitle="Rechazado" error="Solo son validadas las opciones de la lista" sqref="WWM9:WWM168 WMQ9:WMQ168 KA9:KA168 TW9:TW168 ADS9:ADS168 ANO9:ANO168 AXK9:AXK168 BHG9:BHG168 BRC9:BRC168 CAY9:CAY168 CKU9:CKU168 CUQ9:CUQ168 DEM9:DEM168 DOI9:DOI168 DYE9:DYE168 EIA9:EIA168 ERW9:ERW168 FBS9:FBS168 FLO9:FLO168 FVK9:FVK168 GFG9:GFG168 GPC9:GPC168 GYY9:GYY168 HIU9:HIU168 HSQ9:HSQ168 ICM9:ICM168 IMI9:IMI168 IWE9:IWE168 JGA9:JGA168 JPW9:JPW168 JZS9:JZS168 KJO9:KJO168 KTK9:KTK168 LDG9:LDG168 LNC9:LNC168 LWY9:LWY168 MGU9:MGU168 MQQ9:MQQ168 NAM9:NAM168 NKI9:NKI168 NUE9:NUE168 OEA9:OEA168 ONW9:ONW168 OXS9:OXS168 PHO9:PHO168 PRK9:PRK168 QBG9:QBG168 QLC9:QLC168 QUY9:QUY168 REU9:REU168 ROQ9:ROQ168 RYM9:RYM168 SII9:SII168 SSE9:SSE168 TCA9:TCA168 TLW9:TLW168 TVS9:TVS168 UFO9:UFO168 UPK9:UPK168 UZG9:UZG168 VJC9:VJC168 VSY9:VSY168 WCU9:WCU168 AE29:AE168 AE27 AE9 AE15 AE22">
      <formula1>Efecto</formula1>
    </dataValidation>
    <dataValidation showInputMessage="1" showErrorMessage="1" sqref="WWO9:WWS168 WMS9:WMW168 KC9:KG168 TY9:UC168 ADU9:ADY168 ANQ9:ANU168 AXM9:AXQ168 BHI9:BHM168 BRE9:BRI168 CBA9:CBE168 CKW9:CLA168 CUS9:CUW168 DEO9:DES168 DOK9:DOO168 DYG9:DYK168 EIC9:EIG168 ERY9:ESC168 FBU9:FBY168 FLQ9:FLU168 FVM9:FVQ168 GFI9:GFM168 GPE9:GPI168 GZA9:GZE168 HIW9:HJA168 HSS9:HSW168 ICO9:ICS168 IMK9:IMO168 IWG9:IWK168 JGC9:JGG168 JPY9:JQC168 JZU9:JZY168 KJQ9:KJU168 KTM9:KTQ168 LDI9:LDM168 LNE9:LNI168 LXA9:LXE168 MGW9:MHA168 MQS9:MQW168 NAO9:NAS168 NKK9:NKO168 NUG9:NUK168 OEC9:OEG168 ONY9:OOC168 OXU9:OXY168 PHQ9:PHU168 PRM9:PRQ168 QBI9:QBM168 QLE9:QLI168 QVA9:QVE168 REW9:RFA168 ROS9:ROW168 RYO9:RYS168 SIK9:SIO168 SSG9:SSK168 TCC9:TCG168 TLY9:TMC168 TVU9:TVY168 UFQ9:UFU168 UPM9:UPQ168 UZI9:UZM168 VJE9:VJI168 VTA9:VTE168 WCW9:WDA168 AG60:AK168 AG56:AI56 AI9 AK9 AG15:AI15 AG22:AI22 AG27:AI27 AG29:AI29 AG36:AI36 AG40:AI40 AG44:AI44 AG48:AI48 AG53:AI53 AG9:AH14 AG16:AH21 AG23:AH26 AG28:AH28 AG30:AH35 AG37:AH39 AG41:AH43 AG45:AH47 AG49:AH52 AG54:AH55 AG57:AH59 AK15:AK59 AJ9:AJ59"/>
    <dataValidation type="whole" allowBlank="1" showInputMessage="1" showErrorMessage="1" sqref="WWL9:WWL168 WMP9:WMP168 JZ9:JZ168 TV9:TV168 ADR9:ADR168 ANN9:ANN168 AXJ9:AXJ168 BHF9:BHF168 BRB9:BRB168 CAX9:CAX168 CKT9:CKT168 CUP9:CUP168 DEL9:DEL168 DOH9:DOH168 DYD9:DYD168 EHZ9:EHZ168 ERV9:ERV168 FBR9:FBR168 FLN9:FLN168 FVJ9:FVJ168 GFF9:GFF168 GPB9:GPB168 GYX9:GYX168 HIT9:HIT168 HSP9:HSP168 ICL9:ICL168 IMH9:IMH168 IWD9:IWD168 JFZ9:JFZ168 JPV9:JPV168 JZR9:JZR168 KJN9:KJN168 KTJ9:KTJ168 LDF9:LDF168 LNB9:LNB168 LWX9:LWX168 MGT9:MGT168 MQP9:MQP168 NAL9:NAL168 NKH9:NKH168 NUD9:NUD168 ODZ9:ODZ168 ONV9:ONV168 OXR9:OXR168 PHN9:PHN168 PRJ9:PRJ168 QBF9:QBF168 QLB9:QLB168 QUX9:QUX168 RET9:RET168 ROP9:ROP168 RYL9:RYL168 SIH9:SIH168 SSD9:SSD168 TBZ9:TBZ168 TLV9:TLV168 TVR9:TVR168 UFN9:UFN168 UPJ9:UPJ168 UZF9:UZF168 VJB9:VJB168 VSX9:VSX168 WCT9:WCT168 AD29:AD168 AD27 AD9 AD15 AD22">
      <formula1>0</formula1>
      <formula2>100</formula2>
    </dataValidation>
    <dataValidation type="list" allowBlank="1" showInputMessage="1" showErrorMessage="1" sqref="WNE9:WNE168 WXA9:WXA168 KO9:KO168 UK9:UK168 AEG9:AEG168 AOC9:AOC168 AXY9:AXY168 BHU9:BHU168 BRQ9:BRQ168 CBM9:CBM168 CLI9:CLI168 CVE9:CVE168 DFA9:DFA168 DOW9:DOW168 DYS9:DYS168 EIO9:EIO168 ESK9:ESK168 FCG9:FCG168 FMC9:FMC168 FVY9:FVY168 GFU9:GFU168 GPQ9:GPQ168 GZM9:GZM168 HJI9:HJI168 HTE9:HTE168 IDA9:IDA168 IMW9:IMW168 IWS9:IWS168 JGO9:JGO168 JQK9:JQK168 KAG9:KAG168 KKC9:KKC168 KTY9:KTY168 LDU9:LDU168 LNQ9:LNQ168 LXM9:LXM168 MHI9:MHI168 MRE9:MRE168 NBA9:NBA168 NKW9:NKW168 NUS9:NUS168 OEO9:OEO168 OOK9:OOK168 OYG9:OYG168 PIC9:PIC168 PRY9:PRY168 QBU9:QBU168 QLQ9:QLQ168 QVM9:QVM168 RFI9:RFI168 RPE9:RPE168 RZA9:RZA168 SIW9:SIW168 SSS9:SSS168 TCO9:TCO168 TMK9:TMK168 TWG9:TWG168 UGC9:UGC168 UPY9:UPY168 UZU9:UZU168 VJQ9:VJQ168 VTM9:VTM168 WDI9:WDI168 AS9:AS168">
      <formula1>SINO</formula1>
    </dataValidation>
  </dataValidations>
  <printOptions horizontalCentered="1" verticalCentered="1"/>
  <pageMargins left="0.78740157480314965" right="0.78740157480314965" top="0.59055118110236227" bottom="0.59055118110236227" header="0.51181102362204722" footer="0.27559055118110237"/>
  <pageSetup paperSize="5" scale="56" firstPageNumber="0" orientation="landscape" r:id="rId1"/>
  <headerFooter>
    <oddFooter>&amp;L&amp;9Formato: FO-AC-07 Versión: 3&amp;C&amp;9Página &amp;P</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M176"/>
  <sheetViews>
    <sheetView view="pageBreakPreview" zoomScaleNormal="100" zoomScaleSheetLayoutView="100" zoomScalePageLayoutView="95" workbookViewId="0">
      <pane xSplit="12" ySplit="8" topLeftCell="M9" activePane="bottomRight" state="frozen"/>
      <selection pane="topRight" activeCell="M1" sqref="M1"/>
      <selection pane="bottomLeft" activeCell="A9" sqref="A9"/>
      <selection pane="bottomRight" activeCell="C9" sqref="C9:E12"/>
    </sheetView>
  </sheetViews>
  <sheetFormatPr baseColWidth="10" defaultRowHeight="12.75"/>
  <cols>
    <col min="1" max="1" width="12" style="235" customWidth="1"/>
    <col min="2" max="2" width="4.5703125" style="235" customWidth="1"/>
    <col min="3" max="4" width="6.5703125" style="235" customWidth="1"/>
    <col min="5" max="5" width="5.85546875" style="235" customWidth="1"/>
    <col min="6" max="6" width="6.5703125" style="235" customWidth="1"/>
    <col min="7" max="8" width="8.42578125" style="235" customWidth="1"/>
    <col min="9" max="9" width="18.140625" style="235" customWidth="1"/>
    <col min="10" max="10" width="2.5703125" style="235" customWidth="1"/>
    <col min="11" max="12" width="9.5703125" style="235" customWidth="1"/>
    <col min="13" max="15" width="3.7109375" style="235" customWidth="1"/>
    <col min="16" max="16" width="3.5703125" style="235" customWidth="1"/>
    <col min="17" max="17" width="2.85546875" style="235" customWidth="1"/>
    <col min="18" max="18" width="3" style="235" customWidth="1"/>
    <col min="19" max="21" width="0" style="235" hidden="1" customWidth="1"/>
    <col min="22" max="22" width="4.42578125" style="235" customWidth="1"/>
    <col min="23" max="23" width="0" style="235" hidden="1" customWidth="1"/>
    <col min="24" max="25" width="14.28515625" style="235" customWidth="1"/>
    <col min="26" max="27" width="17.7109375" style="235" customWidth="1"/>
    <col min="28" max="28" width="6.42578125" style="235" customWidth="1"/>
    <col min="29" max="29" width="34.140625" style="235" customWidth="1"/>
    <col min="30" max="30" width="4.140625" style="235" customWidth="1"/>
    <col min="31" max="31" width="3" style="235" customWidth="1"/>
    <col min="32" max="34" width="0" style="235" hidden="1" customWidth="1"/>
    <col min="35" max="35" width="3" style="235" customWidth="1"/>
    <col min="36" max="36" width="0" style="235" hidden="1" customWidth="1"/>
    <col min="37" max="37" width="3" style="235" customWidth="1"/>
    <col min="38" max="38" width="0" style="235" hidden="1" customWidth="1"/>
    <col min="39" max="39" width="4.42578125" style="235" customWidth="1"/>
    <col min="40" max="40" width="34.28515625" style="235" customWidth="1"/>
    <col min="41" max="41" width="23.42578125" style="235" customWidth="1"/>
    <col min="42" max="42" width="9.140625" style="235" customWidth="1"/>
    <col min="43" max="43" width="44.28515625" style="235" customWidth="1"/>
    <col min="44" max="44" width="42.7109375" style="235" customWidth="1"/>
    <col min="45" max="45" width="5.85546875" style="235" customWidth="1"/>
    <col min="46" max="46" width="31.5703125" style="235" customWidth="1"/>
    <col min="47" max="47" width="16.140625" style="235" customWidth="1"/>
    <col min="48" max="49" width="9.28515625" style="235" customWidth="1"/>
    <col min="50" max="50" width="11.140625" style="235" customWidth="1"/>
    <col min="51" max="51" width="43.28515625" style="235" hidden="1" customWidth="1"/>
    <col min="52"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551" customWidth="1"/>
    <col min="1030" max="1030" width="5.85546875" style="551" customWidth="1"/>
    <col min="1031" max="1031" width="6.5703125" style="551" customWidth="1"/>
    <col min="1032" max="1032" width="13.7109375" style="551" customWidth="1"/>
    <col min="1033" max="1034" width="9" style="551" customWidth="1"/>
    <col min="1035" max="1035" width="2.5703125" style="551" customWidth="1"/>
    <col min="1036" max="1036" width="8.85546875" style="551" customWidth="1"/>
    <col min="1037" max="1037" width="7.5703125" style="551" customWidth="1"/>
    <col min="1038" max="1040" width="3.7109375" style="551" customWidth="1"/>
    <col min="1041" max="1041" width="3.5703125" style="551" customWidth="1"/>
    <col min="1042" max="1042" width="2.85546875" style="551" customWidth="1"/>
    <col min="1043" max="1043" width="3" style="551" customWidth="1"/>
    <col min="1044" max="1046" width="0" style="551" hidden="1" customWidth="1"/>
    <col min="1047" max="1047" width="4.42578125" style="551" customWidth="1"/>
    <col min="1048" max="1048" width="0" style="551" hidden="1" customWidth="1"/>
    <col min="1049" max="1050" width="14.85546875" style="551" customWidth="1"/>
    <col min="1051" max="1051" width="15.140625" style="551" customWidth="1"/>
    <col min="1052" max="1052" width="6.42578125" style="551" customWidth="1"/>
    <col min="1053" max="1053" width="15.140625" style="551" customWidth="1"/>
    <col min="1054" max="1054" width="4.140625" style="551" customWidth="1"/>
    <col min="1055" max="1055" width="3" style="551" customWidth="1"/>
    <col min="1056" max="1058" width="0" style="551" hidden="1" customWidth="1"/>
    <col min="1059" max="1059" width="3" style="551" customWidth="1"/>
    <col min="1060" max="1060" width="0" style="551" hidden="1" customWidth="1"/>
    <col min="1061" max="1061" width="3" style="551" customWidth="1"/>
    <col min="1062" max="1062" width="0" style="551" hidden="1" customWidth="1"/>
    <col min="1063" max="1063" width="4.42578125" style="551" customWidth="1"/>
    <col min="1064" max="1064" width="34.28515625" style="551" customWidth="1"/>
    <col min="1065" max="1065" width="23.42578125" style="551" customWidth="1"/>
    <col min="1066" max="1066" width="9.140625" style="551" customWidth="1"/>
    <col min="1067" max="1067" width="19.5703125" style="551" customWidth="1"/>
    <col min="1068" max="1068" width="42.7109375" style="551" customWidth="1"/>
    <col min="1069" max="1069" width="5.85546875" style="551" customWidth="1"/>
    <col min="1070" max="1070" width="31.5703125" style="551" customWidth="1"/>
    <col min="1071" max="1071" width="16.140625" style="551" customWidth="1"/>
    <col min="1072" max="1073" width="9.28515625" style="551" customWidth="1"/>
    <col min="1074" max="1074" width="11.140625" style="551" customWidth="1"/>
    <col min="1075" max="1075" width="2.140625" style="551" customWidth="1"/>
    <col min="1076" max="1281" width="11.42578125" style="551"/>
    <col min="1282" max="1282" width="12" style="551" customWidth="1"/>
    <col min="1283" max="1283" width="2.7109375" style="551" customWidth="1"/>
    <col min="1284" max="1285" width="6.5703125" style="551" customWidth="1"/>
    <col min="1286" max="1286" width="5.85546875" style="551" customWidth="1"/>
    <col min="1287" max="1287" width="6.5703125" style="551" customWidth="1"/>
    <col min="1288" max="1288" width="13.7109375" style="551" customWidth="1"/>
    <col min="1289" max="1290" width="9" style="551" customWidth="1"/>
    <col min="1291" max="1291" width="2.5703125" style="551" customWidth="1"/>
    <col min="1292" max="1292" width="8.85546875" style="551" customWidth="1"/>
    <col min="1293" max="1293" width="7.5703125" style="551" customWidth="1"/>
    <col min="1294" max="1296" width="3.7109375" style="551" customWidth="1"/>
    <col min="1297" max="1297" width="3.5703125" style="551" customWidth="1"/>
    <col min="1298" max="1298" width="2.85546875" style="551" customWidth="1"/>
    <col min="1299" max="1299" width="3" style="551" customWidth="1"/>
    <col min="1300" max="1302" width="0" style="551" hidden="1" customWidth="1"/>
    <col min="1303" max="1303" width="4.42578125" style="551" customWidth="1"/>
    <col min="1304" max="1304" width="0" style="551" hidden="1" customWidth="1"/>
    <col min="1305" max="1306" width="14.85546875" style="551" customWidth="1"/>
    <col min="1307" max="1307" width="15.140625" style="551" customWidth="1"/>
    <col min="1308" max="1308" width="6.42578125" style="551" customWidth="1"/>
    <col min="1309" max="1309" width="15.140625" style="551" customWidth="1"/>
    <col min="1310" max="1310" width="4.140625" style="551" customWidth="1"/>
    <col min="1311" max="1311" width="3" style="551" customWidth="1"/>
    <col min="1312" max="1314" width="0" style="551" hidden="1" customWidth="1"/>
    <col min="1315" max="1315" width="3" style="551" customWidth="1"/>
    <col min="1316" max="1316" width="0" style="551" hidden="1" customWidth="1"/>
    <col min="1317" max="1317" width="3" style="551" customWidth="1"/>
    <col min="1318" max="1318" width="0" style="551" hidden="1" customWidth="1"/>
    <col min="1319" max="1319" width="4.42578125" style="551" customWidth="1"/>
    <col min="1320" max="1320" width="34.28515625" style="551" customWidth="1"/>
    <col min="1321" max="1321" width="23.42578125" style="551" customWidth="1"/>
    <col min="1322" max="1322" width="9.140625" style="551" customWidth="1"/>
    <col min="1323" max="1323" width="19.5703125" style="551" customWidth="1"/>
    <col min="1324" max="1324" width="42.7109375" style="551" customWidth="1"/>
    <col min="1325" max="1325" width="5.85546875" style="551" customWidth="1"/>
    <col min="1326" max="1326" width="31.5703125" style="551" customWidth="1"/>
    <col min="1327" max="1327" width="16.140625" style="551" customWidth="1"/>
    <col min="1328" max="1329" width="9.28515625" style="551" customWidth="1"/>
    <col min="1330" max="1330" width="11.140625" style="551" customWidth="1"/>
    <col min="1331" max="1331" width="2.140625" style="551" customWidth="1"/>
    <col min="1332" max="1537" width="11.42578125" style="551"/>
    <col min="1538" max="1538" width="12" style="551" customWidth="1"/>
    <col min="1539" max="1539" width="2.7109375" style="551" customWidth="1"/>
    <col min="1540" max="1541" width="6.5703125" style="551" customWidth="1"/>
    <col min="1542" max="1542" width="5.85546875" style="551" customWidth="1"/>
    <col min="1543" max="1543" width="6.5703125" style="551" customWidth="1"/>
    <col min="1544" max="1544" width="13.7109375" style="551" customWidth="1"/>
    <col min="1545" max="1546" width="9" style="551" customWidth="1"/>
    <col min="1547" max="1547" width="2.5703125" style="551" customWidth="1"/>
    <col min="1548" max="1548" width="8.85546875" style="551" customWidth="1"/>
    <col min="1549" max="1549" width="7.5703125" style="551" customWidth="1"/>
    <col min="1550" max="1552" width="3.7109375" style="551" customWidth="1"/>
    <col min="1553" max="1553" width="3.5703125" style="551" customWidth="1"/>
    <col min="1554" max="1554" width="2.85546875" style="551" customWidth="1"/>
    <col min="1555" max="1555" width="3" style="551" customWidth="1"/>
    <col min="1556" max="1558" width="0" style="551" hidden="1" customWidth="1"/>
    <col min="1559" max="1559" width="4.42578125" style="551" customWidth="1"/>
    <col min="1560" max="1560" width="0" style="551" hidden="1" customWidth="1"/>
    <col min="1561" max="1562" width="14.85546875" style="551" customWidth="1"/>
    <col min="1563" max="1563" width="15.140625" style="551" customWidth="1"/>
    <col min="1564" max="1564" width="6.42578125" style="551" customWidth="1"/>
    <col min="1565" max="1565" width="15.140625" style="551" customWidth="1"/>
    <col min="1566" max="1566" width="4.140625" style="551" customWidth="1"/>
    <col min="1567" max="1567" width="3" style="551" customWidth="1"/>
    <col min="1568" max="1570" width="0" style="551" hidden="1" customWidth="1"/>
    <col min="1571" max="1571" width="3" style="551" customWidth="1"/>
    <col min="1572" max="1572" width="0" style="551" hidden="1" customWidth="1"/>
    <col min="1573" max="1573" width="3" style="551" customWidth="1"/>
    <col min="1574" max="1574" width="0" style="551" hidden="1" customWidth="1"/>
    <col min="1575" max="1575" width="4.42578125" style="551" customWidth="1"/>
    <col min="1576" max="1576" width="34.28515625" style="551" customWidth="1"/>
    <col min="1577" max="1577" width="23.42578125" style="551" customWidth="1"/>
    <col min="1578" max="1578" width="9.140625" style="551" customWidth="1"/>
    <col min="1579" max="1579" width="19.5703125" style="551" customWidth="1"/>
    <col min="1580" max="1580" width="42.7109375" style="551" customWidth="1"/>
    <col min="1581" max="1581" width="5.85546875" style="551" customWidth="1"/>
    <col min="1582" max="1582" width="31.5703125" style="551" customWidth="1"/>
    <col min="1583" max="1583" width="16.140625" style="551" customWidth="1"/>
    <col min="1584" max="1585" width="9.28515625" style="551" customWidth="1"/>
    <col min="1586" max="1586" width="11.140625" style="551" customWidth="1"/>
    <col min="1587" max="1587" width="2.140625" style="551" customWidth="1"/>
    <col min="1588" max="1793" width="11.42578125" style="551"/>
    <col min="1794" max="1794" width="12" style="551" customWidth="1"/>
    <col min="1795" max="1795" width="2.7109375" style="551" customWidth="1"/>
    <col min="1796" max="1797" width="6.5703125" style="551" customWidth="1"/>
    <col min="1798" max="1798" width="5.85546875" style="551" customWidth="1"/>
    <col min="1799" max="1799" width="6.5703125" style="551" customWidth="1"/>
    <col min="1800" max="1800" width="13.7109375" style="551" customWidth="1"/>
    <col min="1801" max="1802" width="9" style="551" customWidth="1"/>
    <col min="1803" max="1803" width="2.5703125" style="551" customWidth="1"/>
    <col min="1804" max="1804" width="8.85546875" style="551" customWidth="1"/>
    <col min="1805" max="1805" width="7.5703125" style="551" customWidth="1"/>
    <col min="1806" max="1808" width="3.7109375" style="551" customWidth="1"/>
    <col min="1809" max="1809" width="3.5703125" style="551" customWidth="1"/>
    <col min="1810" max="1810" width="2.85546875" style="551" customWidth="1"/>
    <col min="1811" max="1811" width="3" style="551" customWidth="1"/>
    <col min="1812" max="1814" width="0" style="551" hidden="1" customWidth="1"/>
    <col min="1815" max="1815" width="4.42578125" style="551" customWidth="1"/>
    <col min="1816" max="1816" width="0" style="551" hidden="1" customWidth="1"/>
    <col min="1817" max="1818" width="14.85546875" style="551" customWidth="1"/>
    <col min="1819" max="1819" width="15.140625" style="551" customWidth="1"/>
    <col min="1820" max="1820" width="6.42578125" style="551" customWidth="1"/>
    <col min="1821" max="1821" width="15.140625" style="551" customWidth="1"/>
    <col min="1822" max="1822" width="4.140625" style="551" customWidth="1"/>
    <col min="1823" max="1823" width="3" style="551" customWidth="1"/>
    <col min="1824" max="1826" width="0" style="551" hidden="1" customWidth="1"/>
    <col min="1827" max="1827" width="3" style="551" customWidth="1"/>
    <col min="1828" max="1828" width="0" style="551" hidden="1" customWidth="1"/>
    <col min="1829" max="1829" width="3" style="551" customWidth="1"/>
    <col min="1830" max="1830" width="0" style="551" hidden="1" customWidth="1"/>
    <col min="1831" max="1831" width="4.42578125" style="551" customWidth="1"/>
    <col min="1832" max="1832" width="34.28515625" style="551" customWidth="1"/>
    <col min="1833" max="1833" width="23.42578125" style="551" customWidth="1"/>
    <col min="1834" max="1834" width="9.140625" style="551" customWidth="1"/>
    <col min="1835" max="1835" width="19.5703125" style="551" customWidth="1"/>
    <col min="1836" max="1836" width="42.7109375" style="551" customWidth="1"/>
    <col min="1837" max="1837" width="5.85546875" style="551" customWidth="1"/>
    <col min="1838" max="1838" width="31.5703125" style="551" customWidth="1"/>
    <col min="1839" max="1839" width="16.140625" style="551" customWidth="1"/>
    <col min="1840" max="1841" width="9.28515625" style="551" customWidth="1"/>
    <col min="1842" max="1842" width="11.140625" style="551" customWidth="1"/>
    <col min="1843" max="1843" width="2.140625" style="551" customWidth="1"/>
    <col min="1844" max="2049" width="11.42578125" style="551"/>
    <col min="2050" max="2050" width="12" style="551" customWidth="1"/>
    <col min="2051" max="2051" width="2.7109375" style="551" customWidth="1"/>
    <col min="2052" max="2053" width="6.5703125" style="551" customWidth="1"/>
    <col min="2054" max="2054" width="5.85546875" style="551" customWidth="1"/>
    <col min="2055" max="2055" width="6.5703125" style="551" customWidth="1"/>
    <col min="2056" max="2056" width="13.7109375" style="551" customWidth="1"/>
    <col min="2057" max="2058" width="9" style="551" customWidth="1"/>
    <col min="2059" max="2059" width="2.5703125" style="551" customWidth="1"/>
    <col min="2060" max="2060" width="8.85546875" style="551" customWidth="1"/>
    <col min="2061" max="2061" width="7.5703125" style="551" customWidth="1"/>
    <col min="2062" max="2064" width="3.7109375" style="551" customWidth="1"/>
    <col min="2065" max="2065" width="3.5703125" style="551" customWidth="1"/>
    <col min="2066" max="2066" width="2.85546875" style="551" customWidth="1"/>
    <col min="2067" max="2067" width="3" style="551" customWidth="1"/>
    <col min="2068" max="2070" width="0" style="551" hidden="1" customWidth="1"/>
    <col min="2071" max="2071" width="4.42578125" style="551" customWidth="1"/>
    <col min="2072" max="2072" width="0" style="551" hidden="1" customWidth="1"/>
    <col min="2073" max="2074" width="14.85546875" style="551" customWidth="1"/>
    <col min="2075" max="2075" width="15.140625" style="551" customWidth="1"/>
    <col min="2076" max="2076" width="6.42578125" style="551" customWidth="1"/>
    <col min="2077" max="2077" width="15.140625" style="551" customWidth="1"/>
    <col min="2078" max="2078" width="4.140625" style="551" customWidth="1"/>
    <col min="2079" max="2079" width="3" style="551" customWidth="1"/>
    <col min="2080" max="2082" width="0" style="551" hidden="1" customWidth="1"/>
    <col min="2083" max="2083" width="3" style="551" customWidth="1"/>
    <col min="2084" max="2084" width="0" style="551" hidden="1" customWidth="1"/>
    <col min="2085" max="2085" width="3" style="551" customWidth="1"/>
    <col min="2086" max="2086" width="0" style="551" hidden="1" customWidth="1"/>
    <col min="2087" max="2087" width="4.42578125" style="551" customWidth="1"/>
    <col min="2088" max="2088" width="34.28515625" style="551" customWidth="1"/>
    <col min="2089" max="2089" width="23.42578125" style="551" customWidth="1"/>
    <col min="2090" max="2090" width="9.140625" style="551" customWidth="1"/>
    <col min="2091" max="2091" width="19.5703125" style="551" customWidth="1"/>
    <col min="2092" max="2092" width="42.7109375" style="551" customWidth="1"/>
    <col min="2093" max="2093" width="5.85546875" style="551" customWidth="1"/>
    <col min="2094" max="2094" width="31.5703125" style="551" customWidth="1"/>
    <col min="2095" max="2095" width="16.140625" style="551" customWidth="1"/>
    <col min="2096" max="2097" width="9.28515625" style="551" customWidth="1"/>
    <col min="2098" max="2098" width="11.140625" style="551" customWidth="1"/>
    <col min="2099" max="2099" width="2.140625" style="551" customWidth="1"/>
    <col min="2100" max="2305" width="11.42578125" style="551"/>
    <col min="2306" max="2306" width="12" style="551" customWidth="1"/>
    <col min="2307" max="2307" width="2.7109375" style="551" customWidth="1"/>
    <col min="2308" max="2309" width="6.5703125" style="551" customWidth="1"/>
    <col min="2310" max="2310" width="5.85546875" style="551" customWidth="1"/>
    <col min="2311" max="2311" width="6.5703125" style="551" customWidth="1"/>
    <col min="2312" max="2312" width="13.7109375" style="551" customWidth="1"/>
    <col min="2313" max="2314" width="9" style="551" customWidth="1"/>
    <col min="2315" max="2315" width="2.5703125" style="551" customWidth="1"/>
    <col min="2316" max="2316" width="8.85546875" style="551" customWidth="1"/>
    <col min="2317" max="2317" width="7.5703125" style="551" customWidth="1"/>
    <col min="2318" max="2320" width="3.7109375" style="551" customWidth="1"/>
    <col min="2321" max="2321" width="3.5703125" style="551" customWidth="1"/>
    <col min="2322" max="2322" width="2.85546875" style="551" customWidth="1"/>
    <col min="2323" max="2323" width="3" style="551" customWidth="1"/>
    <col min="2324" max="2326" width="0" style="551" hidden="1" customWidth="1"/>
    <col min="2327" max="2327" width="4.42578125" style="551" customWidth="1"/>
    <col min="2328" max="2328" width="0" style="551" hidden="1" customWidth="1"/>
    <col min="2329" max="2330" width="14.85546875" style="551" customWidth="1"/>
    <col min="2331" max="2331" width="15.140625" style="551" customWidth="1"/>
    <col min="2332" max="2332" width="6.42578125" style="551" customWidth="1"/>
    <col min="2333" max="2333" width="15.140625" style="551" customWidth="1"/>
    <col min="2334" max="2334" width="4.140625" style="551" customWidth="1"/>
    <col min="2335" max="2335" width="3" style="551" customWidth="1"/>
    <col min="2336" max="2338" width="0" style="551" hidden="1" customWidth="1"/>
    <col min="2339" max="2339" width="3" style="551" customWidth="1"/>
    <col min="2340" max="2340" width="0" style="551" hidden="1" customWidth="1"/>
    <col min="2341" max="2341" width="3" style="551" customWidth="1"/>
    <col min="2342" max="2342" width="0" style="551" hidden="1" customWidth="1"/>
    <col min="2343" max="2343" width="4.42578125" style="551" customWidth="1"/>
    <col min="2344" max="2344" width="34.28515625" style="551" customWidth="1"/>
    <col min="2345" max="2345" width="23.42578125" style="551" customWidth="1"/>
    <col min="2346" max="2346" width="9.140625" style="551" customWidth="1"/>
    <col min="2347" max="2347" width="19.5703125" style="551" customWidth="1"/>
    <col min="2348" max="2348" width="42.7109375" style="551" customWidth="1"/>
    <col min="2349" max="2349" width="5.85546875" style="551" customWidth="1"/>
    <col min="2350" max="2350" width="31.5703125" style="551" customWidth="1"/>
    <col min="2351" max="2351" width="16.140625" style="551" customWidth="1"/>
    <col min="2352" max="2353" width="9.28515625" style="551" customWidth="1"/>
    <col min="2354" max="2354" width="11.140625" style="551" customWidth="1"/>
    <col min="2355" max="2355" width="2.140625" style="551" customWidth="1"/>
    <col min="2356" max="2561" width="11.42578125" style="551"/>
    <col min="2562" max="2562" width="12" style="551" customWidth="1"/>
    <col min="2563" max="2563" width="2.7109375" style="551" customWidth="1"/>
    <col min="2564" max="2565" width="6.5703125" style="551" customWidth="1"/>
    <col min="2566" max="2566" width="5.85546875" style="551" customWidth="1"/>
    <col min="2567" max="2567" width="6.5703125" style="551" customWidth="1"/>
    <col min="2568" max="2568" width="13.7109375" style="551" customWidth="1"/>
    <col min="2569" max="2570" width="9" style="551" customWidth="1"/>
    <col min="2571" max="2571" width="2.5703125" style="551" customWidth="1"/>
    <col min="2572" max="2572" width="8.85546875" style="551" customWidth="1"/>
    <col min="2573" max="2573" width="7.5703125" style="551" customWidth="1"/>
    <col min="2574" max="2576" width="3.7109375" style="551" customWidth="1"/>
    <col min="2577" max="2577" width="3.5703125" style="551" customWidth="1"/>
    <col min="2578" max="2578" width="2.85546875" style="551" customWidth="1"/>
    <col min="2579" max="2579" width="3" style="551" customWidth="1"/>
    <col min="2580" max="2582" width="0" style="551" hidden="1" customWidth="1"/>
    <col min="2583" max="2583" width="4.42578125" style="551" customWidth="1"/>
    <col min="2584" max="2584" width="0" style="551" hidden="1" customWidth="1"/>
    <col min="2585" max="2586" width="14.85546875" style="551" customWidth="1"/>
    <col min="2587" max="2587" width="15.140625" style="551" customWidth="1"/>
    <col min="2588" max="2588" width="6.42578125" style="551" customWidth="1"/>
    <col min="2589" max="2589" width="15.140625" style="551" customWidth="1"/>
    <col min="2590" max="2590" width="4.140625" style="551" customWidth="1"/>
    <col min="2591" max="2591" width="3" style="551" customWidth="1"/>
    <col min="2592" max="2594" width="0" style="551" hidden="1" customWidth="1"/>
    <col min="2595" max="2595" width="3" style="551" customWidth="1"/>
    <col min="2596" max="2596" width="0" style="551" hidden="1" customWidth="1"/>
    <col min="2597" max="2597" width="3" style="551" customWidth="1"/>
    <col min="2598" max="2598" width="0" style="551" hidden="1" customWidth="1"/>
    <col min="2599" max="2599" width="4.42578125" style="551" customWidth="1"/>
    <col min="2600" max="2600" width="34.28515625" style="551" customWidth="1"/>
    <col min="2601" max="2601" width="23.42578125" style="551" customWidth="1"/>
    <col min="2602" max="2602" width="9.140625" style="551" customWidth="1"/>
    <col min="2603" max="2603" width="19.5703125" style="551" customWidth="1"/>
    <col min="2604" max="2604" width="42.7109375" style="551" customWidth="1"/>
    <col min="2605" max="2605" width="5.85546875" style="551" customWidth="1"/>
    <col min="2606" max="2606" width="31.5703125" style="551" customWidth="1"/>
    <col min="2607" max="2607" width="16.140625" style="551" customWidth="1"/>
    <col min="2608" max="2609" width="9.28515625" style="551" customWidth="1"/>
    <col min="2610" max="2610" width="11.140625" style="551" customWidth="1"/>
    <col min="2611" max="2611" width="2.140625" style="551" customWidth="1"/>
    <col min="2612" max="2817" width="11.42578125" style="551"/>
    <col min="2818" max="2818" width="12" style="551" customWidth="1"/>
    <col min="2819" max="2819" width="2.7109375" style="551" customWidth="1"/>
    <col min="2820" max="2821" width="6.5703125" style="551" customWidth="1"/>
    <col min="2822" max="2822" width="5.85546875" style="551" customWidth="1"/>
    <col min="2823" max="2823" width="6.5703125" style="551" customWidth="1"/>
    <col min="2824" max="2824" width="13.7109375" style="551" customWidth="1"/>
    <col min="2825" max="2826" width="9" style="551" customWidth="1"/>
    <col min="2827" max="2827" width="2.5703125" style="551" customWidth="1"/>
    <col min="2828" max="2828" width="8.85546875" style="551" customWidth="1"/>
    <col min="2829" max="2829" width="7.5703125" style="551" customWidth="1"/>
    <col min="2830" max="2832" width="3.7109375" style="551" customWidth="1"/>
    <col min="2833" max="2833" width="3.5703125" style="551" customWidth="1"/>
    <col min="2834" max="2834" width="2.85546875" style="551" customWidth="1"/>
    <col min="2835" max="2835" width="3" style="551" customWidth="1"/>
    <col min="2836" max="2838" width="0" style="551" hidden="1" customWidth="1"/>
    <col min="2839" max="2839" width="4.42578125" style="551" customWidth="1"/>
    <col min="2840" max="2840" width="0" style="551" hidden="1" customWidth="1"/>
    <col min="2841" max="2842" width="14.85546875" style="551" customWidth="1"/>
    <col min="2843" max="2843" width="15.140625" style="551" customWidth="1"/>
    <col min="2844" max="2844" width="6.42578125" style="551" customWidth="1"/>
    <col min="2845" max="2845" width="15.140625" style="551" customWidth="1"/>
    <col min="2846" max="2846" width="4.140625" style="551" customWidth="1"/>
    <col min="2847" max="2847" width="3" style="551" customWidth="1"/>
    <col min="2848" max="2850" width="0" style="551" hidden="1" customWidth="1"/>
    <col min="2851" max="2851" width="3" style="551" customWidth="1"/>
    <col min="2852" max="2852" width="0" style="551" hidden="1" customWidth="1"/>
    <col min="2853" max="2853" width="3" style="551" customWidth="1"/>
    <col min="2854" max="2854" width="0" style="551" hidden="1" customWidth="1"/>
    <col min="2855" max="2855" width="4.42578125" style="551" customWidth="1"/>
    <col min="2856" max="2856" width="34.28515625" style="551" customWidth="1"/>
    <col min="2857" max="2857" width="23.42578125" style="551" customWidth="1"/>
    <col min="2858" max="2858" width="9.140625" style="551" customWidth="1"/>
    <col min="2859" max="2859" width="19.5703125" style="551" customWidth="1"/>
    <col min="2860" max="2860" width="42.7109375" style="551" customWidth="1"/>
    <col min="2861" max="2861" width="5.85546875" style="551" customWidth="1"/>
    <col min="2862" max="2862" width="31.5703125" style="551" customWidth="1"/>
    <col min="2863" max="2863" width="16.140625" style="551" customWidth="1"/>
    <col min="2864" max="2865" width="9.28515625" style="551" customWidth="1"/>
    <col min="2866" max="2866" width="11.140625" style="551" customWidth="1"/>
    <col min="2867" max="2867" width="2.140625" style="551" customWidth="1"/>
    <col min="2868" max="3073" width="11.42578125" style="551"/>
    <col min="3074" max="3074" width="12" style="551" customWidth="1"/>
    <col min="3075" max="3075" width="2.7109375" style="551" customWidth="1"/>
    <col min="3076" max="3077" width="6.5703125" style="551" customWidth="1"/>
    <col min="3078" max="3078" width="5.85546875" style="551" customWidth="1"/>
    <col min="3079" max="3079" width="6.5703125" style="551" customWidth="1"/>
    <col min="3080" max="3080" width="13.7109375" style="551" customWidth="1"/>
    <col min="3081" max="3082" width="9" style="551" customWidth="1"/>
    <col min="3083" max="3083" width="2.5703125" style="551" customWidth="1"/>
    <col min="3084" max="3084" width="8.85546875" style="551" customWidth="1"/>
    <col min="3085" max="3085" width="7.5703125" style="551" customWidth="1"/>
    <col min="3086" max="3088" width="3.7109375" style="551" customWidth="1"/>
    <col min="3089" max="3089" width="3.5703125" style="551" customWidth="1"/>
    <col min="3090" max="3090" width="2.85546875" style="551" customWidth="1"/>
    <col min="3091" max="3091" width="3" style="551" customWidth="1"/>
    <col min="3092" max="3094" width="0" style="551" hidden="1" customWidth="1"/>
    <col min="3095" max="3095" width="4.42578125" style="551" customWidth="1"/>
    <col min="3096" max="3096" width="0" style="551" hidden="1" customWidth="1"/>
    <col min="3097" max="3098" width="14.85546875" style="551" customWidth="1"/>
    <col min="3099" max="3099" width="15.140625" style="551" customWidth="1"/>
    <col min="3100" max="3100" width="6.42578125" style="551" customWidth="1"/>
    <col min="3101" max="3101" width="15.140625" style="551" customWidth="1"/>
    <col min="3102" max="3102" width="4.140625" style="551" customWidth="1"/>
    <col min="3103" max="3103" width="3" style="551" customWidth="1"/>
    <col min="3104" max="3106" width="0" style="551" hidden="1" customWidth="1"/>
    <col min="3107" max="3107" width="3" style="551" customWidth="1"/>
    <col min="3108" max="3108" width="0" style="551" hidden="1" customWidth="1"/>
    <col min="3109" max="3109" width="3" style="551" customWidth="1"/>
    <col min="3110" max="3110" width="0" style="551" hidden="1" customWidth="1"/>
    <col min="3111" max="3111" width="4.42578125" style="551" customWidth="1"/>
    <col min="3112" max="3112" width="34.28515625" style="551" customWidth="1"/>
    <col min="3113" max="3113" width="23.42578125" style="551" customWidth="1"/>
    <col min="3114" max="3114" width="9.140625" style="551" customWidth="1"/>
    <col min="3115" max="3115" width="19.5703125" style="551" customWidth="1"/>
    <col min="3116" max="3116" width="42.7109375" style="551" customWidth="1"/>
    <col min="3117" max="3117" width="5.85546875" style="551" customWidth="1"/>
    <col min="3118" max="3118" width="31.5703125" style="551" customWidth="1"/>
    <col min="3119" max="3119" width="16.140625" style="551" customWidth="1"/>
    <col min="3120" max="3121" width="9.28515625" style="551" customWidth="1"/>
    <col min="3122" max="3122" width="11.140625" style="551" customWidth="1"/>
    <col min="3123" max="3123" width="2.140625" style="551" customWidth="1"/>
    <col min="3124" max="3329" width="11.42578125" style="551"/>
    <col min="3330" max="3330" width="12" style="551" customWidth="1"/>
    <col min="3331" max="3331" width="2.7109375" style="551" customWidth="1"/>
    <col min="3332" max="3333" width="6.5703125" style="551" customWidth="1"/>
    <col min="3334" max="3334" width="5.85546875" style="551" customWidth="1"/>
    <col min="3335" max="3335" width="6.5703125" style="551" customWidth="1"/>
    <col min="3336" max="3336" width="13.7109375" style="551" customWidth="1"/>
    <col min="3337" max="3338" width="9" style="551" customWidth="1"/>
    <col min="3339" max="3339" width="2.5703125" style="551" customWidth="1"/>
    <col min="3340" max="3340" width="8.85546875" style="551" customWidth="1"/>
    <col min="3341" max="3341" width="7.5703125" style="551" customWidth="1"/>
    <col min="3342" max="3344" width="3.7109375" style="551" customWidth="1"/>
    <col min="3345" max="3345" width="3.5703125" style="551" customWidth="1"/>
    <col min="3346" max="3346" width="2.85546875" style="551" customWidth="1"/>
    <col min="3347" max="3347" width="3" style="551" customWidth="1"/>
    <col min="3348" max="3350" width="0" style="551" hidden="1" customWidth="1"/>
    <col min="3351" max="3351" width="4.42578125" style="551" customWidth="1"/>
    <col min="3352" max="3352" width="0" style="551" hidden="1" customWidth="1"/>
    <col min="3353" max="3354" width="14.85546875" style="551" customWidth="1"/>
    <col min="3355" max="3355" width="15.140625" style="551" customWidth="1"/>
    <col min="3356" max="3356" width="6.42578125" style="551" customWidth="1"/>
    <col min="3357" max="3357" width="15.140625" style="551" customWidth="1"/>
    <col min="3358" max="3358" width="4.140625" style="551" customWidth="1"/>
    <col min="3359" max="3359" width="3" style="551" customWidth="1"/>
    <col min="3360" max="3362" width="0" style="551" hidden="1" customWidth="1"/>
    <col min="3363" max="3363" width="3" style="551" customWidth="1"/>
    <col min="3364" max="3364" width="0" style="551" hidden="1" customWidth="1"/>
    <col min="3365" max="3365" width="3" style="551" customWidth="1"/>
    <col min="3366" max="3366" width="0" style="551" hidden="1" customWidth="1"/>
    <col min="3367" max="3367" width="4.42578125" style="551" customWidth="1"/>
    <col min="3368" max="3368" width="34.28515625" style="551" customWidth="1"/>
    <col min="3369" max="3369" width="23.42578125" style="551" customWidth="1"/>
    <col min="3370" max="3370" width="9.140625" style="551" customWidth="1"/>
    <col min="3371" max="3371" width="19.5703125" style="551" customWidth="1"/>
    <col min="3372" max="3372" width="42.7109375" style="551" customWidth="1"/>
    <col min="3373" max="3373" width="5.85546875" style="551" customWidth="1"/>
    <col min="3374" max="3374" width="31.5703125" style="551" customWidth="1"/>
    <col min="3375" max="3375" width="16.140625" style="551" customWidth="1"/>
    <col min="3376" max="3377" width="9.28515625" style="551" customWidth="1"/>
    <col min="3378" max="3378" width="11.140625" style="551" customWidth="1"/>
    <col min="3379" max="3379" width="2.140625" style="551" customWidth="1"/>
    <col min="3380" max="3585" width="11.42578125" style="551"/>
    <col min="3586" max="3586" width="12" style="551" customWidth="1"/>
    <col min="3587" max="3587" width="2.7109375" style="551" customWidth="1"/>
    <col min="3588" max="3589" width="6.5703125" style="551" customWidth="1"/>
    <col min="3590" max="3590" width="5.85546875" style="551" customWidth="1"/>
    <col min="3591" max="3591" width="6.5703125" style="551" customWidth="1"/>
    <col min="3592" max="3592" width="13.7109375" style="551" customWidth="1"/>
    <col min="3593" max="3594" width="9" style="551" customWidth="1"/>
    <col min="3595" max="3595" width="2.5703125" style="551" customWidth="1"/>
    <col min="3596" max="3596" width="8.85546875" style="551" customWidth="1"/>
    <col min="3597" max="3597" width="7.5703125" style="551" customWidth="1"/>
    <col min="3598" max="3600" width="3.7109375" style="551" customWidth="1"/>
    <col min="3601" max="3601" width="3.5703125" style="551" customWidth="1"/>
    <col min="3602" max="3602" width="2.85546875" style="551" customWidth="1"/>
    <col min="3603" max="3603" width="3" style="551" customWidth="1"/>
    <col min="3604" max="3606" width="0" style="551" hidden="1" customWidth="1"/>
    <col min="3607" max="3607" width="4.42578125" style="551" customWidth="1"/>
    <col min="3608" max="3608" width="0" style="551" hidden="1" customWidth="1"/>
    <col min="3609" max="3610" width="14.85546875" style="551" customWidth="1"/>
    <col min="3611" max="3611" width="15.140625" style="551" customWidth="1"/>
    <col min="3612" max="3612" width="6.42578125" style="551" customWidth="1"/>
    <col min="3613" max="3613" width="15.140625" style="551" customWidth="1"/>
    <col min="3614" max="3614" width="4.140625" style="551" customWidth="1"/>
    <col min="3615" max="3615" width="3" style="551" customWidth="1"/>
    <col min="3616" max="3618" width="0" style="551" hidden="1" customWidth="1"/>
    <col min="3619" max="3619" width="3" style="551" customWidth="1"/>
    <col min="3620" max="3620" width="0" style="551" hidden="1" customWidth="1"/>
    <col min="3621" max="3621" width="3" style="551" customWidth="1"/>
    <col min="3622" max="3622" width="0" style="551" hidden="1" customWidth="1"/>
    <col min="3623" max="3623" width="4.42578125" style="551" customWidth="1"/>
    <col min="3624" max="3624" width="34.28515625" style="551" customWidth="1"/>
    <col min="3625" max="3625" width="23.42578125" style="551" customWidth="1"/>
    <col min="3626" max="3626" width="9.140625" style="551" customWidth="1"/>
    <col min="3627" max="3627" width="19.5703125" style="551" customWidth="1"/>
    <col min="3628" max="3628" width="42.7109375" style="551" customWidth="1"/>
    <col min="3629" max="3629" width="5.85546875" style="551" customWidth="1"/>
    <col min="3630" max="3630" width="31.5703125" style="551" customWidth="1"/>
    <col min="3631" max="3631" width="16.140625" style="551" customWidth="1"/>
    <col min="3632" max="3633" width="9.28515625" style="551" customWidth="1"/>
    <col min="3634" max="3634" width="11.140625" style="551" customWidth="1"/>
    <col min="3635" max="3635" width="2.140625" style="551" customWidth="1"/>
    <col min="3636" max="3841" width="11.42578125" style="551"/>
    <col min="3842" max="3842" width="12" style="551" customWidth="1"/>
    <col min="3843" max="3843" width="2.7109375" style="551" customWidth="1"/>
    <col min="3844" max="3845" width="6.5703125" style="551" customWidth="1"/>
    <col min="3846" max="3846" width="5.85546875" style="551" customWidth="1"/>
    <col min="3847" max="3847" width="6.5703125" style="551" customWidth="1"/>
    <col min="3848" max="3848" width="13.7109375" style="551" customWidth="1"/>
    <col min="3849" max="3850" width="9" style="551" customWidth="1"/>
    <col min="3851" max="3851" width="2.5703125" style="551" customWidth="1"/>
    <col min="3852" max="3852" width="8.85546875" style="551" customWidth="1"/>
    <col min="3853" max="3853" width="7.5703125" style="551" customWidth="1"/>
    <col min="3854" max="3856" width="3.7109375" style="551" customWidth="1"/>
    <col min="3857" max="3857" width="3.5703125" style="551" customWidth="1"/>
    <col min="3858" max="3858" width="2.85546875" style="551" customWidth="1"/>
    <col min="3859" max="3859" width="3" style="551" customWidth="1"/>
    <col min="3860" max="3862" width="0" style="551" hidden="1" customWidth="1"/>
    <col min="3863" max="3863" width="4.42578125" style="551" customWidth="1"/>
    <col min="3864" max="3864" width="0" style="551" hidden="1" customWidth="1"/>
    <col min="3865" max="3866" width="14.85546875" style="551" customWidth="1"/>
    <col min="3867" max="3867" width="15.140625" style="551" customWidth="1"/>
    <col min="3868" max="3868" width="6.42578125" style="551" customWidth="1"/>
    <col min="3869" max="3869" width="15.140625" style="551" customWidth="1"/>
    <col min="3870" max="3870" width="4.140625" style="551" customWidth="1"/>
    <col min="3871" max="3871" width="3" style="551" customWidth="1"/>
    <col min="3872" max="3874" width="0" style="551" hidden="1" customWidth="1"/>
    <col min="3875" max="3875" width="3" style="551" customWidth="1"/>
    <col min="3876" max="3876" width="0" style="551" hidden="1" customWidth="1"/>
    <col min="3877" max="3877" width="3" style="551" customWidth="1"/>
    <col min="3878" max="3878" width="0" style="551" hidden="1" customWidth="1"/>
    <col min="3879" max="3879" width="4.42578125" style="551" customWidth="1"/>
    <col min="3880" max="3880" width="34.28515625" style="551" customWidth="1"/>
    <col min="3881" max="3881" width="23.42578125" style="551" customWidth="1"/>
    <col min="3882" max="3882" width="9.140625" style="551" customWidth="1"/>
    <col min="3883" max="3883" width="19.5703125" style="551" customWidth="1"/>
    <col min="3884" max="3884" width="42.7109375" style="551" customWidth="1"/>
    <col min="3885" max="3885" width="5.85546875" style="551" customWidth="1"/>
    <col min="3886" max="3886" width="31.5703125" style="551" customWidth="1"/>
    <col min="3887" max="3887" width="16.140625" style="551" customWidth="1"/>
    <col min="3888" max="3889" width="9.28515625" style="551" customWidth="1"/>
    <col min="3890" max="3890" width="11.140625" style="551" customWidth="1"/>
    <col min="3891" max="3891" width="2.140625" style="551" customWidth="1"/>
    <col min="3892" max="4097" width="11.42578125" style="551"/>
    <col min="4098" max="4098" width="12" style="551" customWidth="1"/>
    <col min="4099" max="4099" width="2.7109375" style="551" customWidth="1"/>
    <col min="4100" max="4101" width="6.5703125" style="551" customWidth="1"/>
    <col min="4102" max="4102" width="5.85546875" style="551" customWidth="1"/>
    <col min="4103" max="4103" width="6.5703125" style="551" customWidth="1"/>
    <col min="4104" max="4104" width="13.7109375" style="551" customWidth="1"/>
    <col min="4105" max="4106" width="9" style="551" customWidth="1"/>
    <col min="4107" max="4107" width="2.5703125" style="551" customWidth="1"/>
    <col min="4108" max="4108" width="8.85546875" style="551" customWidth="1"/>
    <col min="4109" max="4109" width="7.5703125" style="551" customWidth="1"/>
    <col min="4110" max="4112" width="3.7109375" style="551" customWidth="1"/>
    <col min="4113" max="4113" width="3.5703125" style="551" customWidth="1"/>
    <col min="4114" max="4114" width="2.85546875" style="551" customWidth="1"/>
    <col min="4115" max="4115" width="3" style="551" customWidth="1"/>
    <col min="4116" max="4118" width="0" style="551" hidden="1" customWidth="1"/>
    <col min="4119" max="4119" width="4.42578125" style="551" customWidth="1"/>
    <col min="4120" max="4120" width="0" style="551" hidden="1" customWidth="1"/>
    <col min="4121" max="4122" width="14.85546875" style="551" customWidth="1"/>
    <col min="4123" max="4123" width="15.140625" style="551" customWidth="1"/>
    <col min="4124" max="4124" width="6.42578125" style="551" customWidth="1"/>
    <col min="4125" max="4125" width="15.140625" style="551" customWidth="1"/>
    <col min="4126" max="4126" width="4.140625" style="551" customWidth="1"/>
    <col min="4127" max="4127" width="3" style="551" customWidth="1"/>
    <col min="4128" max="4130" width="0" style="551" hidden="1" customWidth="1"/>
    <col min="4131" max="4131" width="3" style="551" customWidth="1"/>
    <col min="4132" max="4132" width="0" style="551" hidden="1" customWidth="1"/>
    <col min="4133" max="4133" width="3" style="551" customWidth="1"/>
    <col min="4134" max="4134" width="0" style="551" hidden="1" customWidth="1"/>
    <col min="4135" max="4135" width="4.42578125" style="551" customWidth="1"/>
    <col min="4136" max="4136" width="34.28515625" style="551" customWidth="1"/>
    <col min="4137" max="4137" width="23.42578125" style="551" customWidth="1"/>
    <col min="4138" max="4138" width="9.140625" style="551" customWidth="1"/>
    <col min="4139" max="4139" width="19.5703125" style="551" customWidth="1"/>
    <col min="4140" max="4140" width="42.7109375" style="551" customWidth="1"/>
    <col min="4141" max="4141" width="5.85546875" style="551" customWidth="1"/>
    <col min="4142" max="4142" width="31.5703125" style="551" customWidth="1"/>
    <col min="4143" max="4143" width="16.140625" style="551" customWidth="1"/>
    <col min="4144" max="4145" width="9.28515625" style="551" customWidth="1"/>
    <col min="4146" max="4146" width="11.140625" style="551" customWidth="1"/>
    <col min="4147" max="4147" width="2.140625" style="551" customWidth="1"/>
    <col min="4148" max="4353" width="11.42578125" style="551"/>
    <col min="4354" max="4354" width="12" style="551" customWidth="1"/>
    <col min="4355" max="4355" width="2.7109375" style="551" customWidth="1"/>
    <col min="4356" max="4357" width="6.5703125" style="551" customWidth="1"/>
    <col min="4358" max="4358" width="5.85546875" style="551" customWidth="1"/>
    <col min="4359" max="4359" width="6.5703125" style="551" customWidth="1"/>
    <col min="4360" max="4360" width="13.7109375" style="551" customWidth="1"/>
    <col min="4361" max="4362" width="9" style="551" customWidth="1"/>
    <col min="4363" max="4363" width="2.5703125" style="551" customWidth="1"/>
    <col min="4364" max="4364" width="8.85546875" style="551" customWidth="1"/>
    <col min="4365" max="4365" width="7.5703125" style="551" customWidth="1"/>
    <col min="4366" max="4368" width="3.7109375" style="551" customWidth="1"/>
    <col min="4369" max="4369" width="3.5703125" style="551" customWidth="1"/>
    <col min="4370" max="4370" width="2.85546875" style="551" customWidth="1"/>
    <col min="4371" max="4371" width="3" style="551" customWidth="1"/>
    <col min="4372" max="4374" width="0" style="551" hidden="1" customWidth="1"/>
    <col min="4375" max="4375" width="4.42578125" style="551" customWidth="1"/>
    <col min="4376" max="4376" width="0" style="551" hidden="1" customWidth="1"/>
    <col min="4377" max="4378" width="14.85546875" style="551" customWidth="1"/>
    <col min="4379" max="4379" width="15.140625" style="551" customWidth="1"/>
    <col min="4380" max="4380" width="6.42578125" style="551" customWidth="1"/>
    <col min="4381" max="4381" width="15.140625" style="551" customWidth="1"/>
    <col min="4382" max="4382" width="4.140625" style="551" customWidth="1"/>
    <col min="4383" max="4383" width="3" style="551" customWidth="1"/>
    <col min="4384" max="4386" width="0" style="551" hidden="1" customWidth="1"/>
    <col min="4387" max="4387" width="3" style="551" customWidth="1"/>
    <col min="4388" max="4388" width="0" style="551" hidden="1" customWidth="1"/>
    <col min="4389" max="4389" width="3" style="551" customWidth="1"/>
    <col min="4390" max="4390" width="0" style="551" hidden="1" customWidth="1"/>
    <col min="4391" max="4391" width="4.42578125" style="551" customWidth="1"/>
    <col min="4392" max="4392" width="34.28515625" style="551" customWidth="1"/>
    <col min="4393" max="4393" width="23.42578125" style="551" customWidth="1"/>
    <col min="4394" max="4394" width="9.140625" style="551" customWidth="1"/>
    <col min="4395" max="4395" width="19.5703125" style="551" customWidth="1"/>
    <col min="4396" max="4396" width="42.7109375" style="551" customWidth="1"/>
    <col min="4397" max="4397" width="5.85546875" style="551" customWidth="1"/>
    <col min="4398" max="4398" width="31.5703125" style="551" customWidth="1"/>
    <col min="4399" max="4399" width="16.140625" style="551" customWidth="1"/>
    <col min="4400" max="4401" width="9.28515625" style="551" customWidth="1"/>
    <col min="4402" max="4402" width="11.140625" style="551" customWidth="1"/>
    <col min="4403" max="4403" width="2.140625" style="551" customWidth="1"/>
    <col min="4404" max="4609" width="11.42578125" style="551"/>
    <col min="4610" max="4610" width="12" style="551" customWidth="1"/>
    <col min="4611" max="4611" width="2.7109375" style="551" customWidth="1"/>
    <col min="4612" max="4613" width="6.5703125" style="551" customWidth="1"/>
    <col min="4614" max="4614" width="5.85546875" style="551" customWidth="1"/>
    <col min="4615" max="4615" width="6.5703125" style="551" customWidth="1"/>
    <col min="4616" max="4616" width="13.7109375" style="551" customWidth="1"/>
    <col min="4617" max="4618" width="9" style="551" customWidth="1"/>
    <col min="4619" max="4619" width="2.5703125" style="551" customWidth="1"/>
    <col min="4620" max="4620" width="8.85546875" style="551" customWidth="1"/>
    <col min="4621" max="4621" width="7.5703125" style="551" customWidth="1"/>
    <col min="4622" max="4624" width="3.7109375" style="551" customWidth="1"/>
    <col min="4625" max="4625" width="3.5703125" style="551" customWidth="1"/>
    <col min="4626" max="4626" width="2.85546875" style="551" customWidth="1"/>
    <col min="4627" max="4627" width="3" style="551" customWidth="1"/>
    <col min="4628" max="4630" width="0" style="551" hidden="1" customWidth="1"/>
    <col min="4631" max="4631" width="4.42578125" style="551" customWidth="1"/>
    <col min="4632" max="4632" width="0" style="551" hidden="1" customWidth="1"/>
    <col min="4633" max="4634" width="14.85546875" style="551" customWidth="1"/>
    <col min="4635" max="4635" width="15.140625" style="551" customWidth="1"/>
    <col min="4636" max="4636" width="6.42578125" style="551" customWidth="1"/>
    <col min="4637" max="4637" width="15.140625" style="551" customWidth="1"/>
    <col min="4638" max="4638" width="4.140625" style="551" customWidth="1"/>
    <col min="4639" max="4639" width="3" style="551" customWidth="1"/>
    <col min="4640" max="4642" width="0" style="551" hidden="1" customWidth="1"/>
    <col min="4643" max="4643" width="3" style="551" customWidth="1"/>
    <col min="4644" max="4644" width="0" style="551" hidden="1" customWidth="1"/>
    <col min="4645" max="4645" width="3" style="551" customWidth="1"/>
    <col min="4646" max="4646" width="0" style="551" hidden="1" customWidth="1"/>
    <col min="4647" max="4647" width="4.42578125" style="551" customWidth="1"/>
    <col min="4648" max="4648" width="34.28515625" style="551" customWidth="1"/>
    <col min="4649" max="4649" width="23.42578125" style="551" customWidth="1"/>
    <col min="4650" max="4650" width="9.140625" style="551" customWidth="1"/>
    <col min="4651" max="4651" width="19.5703125" style="551" customWidth="1"/>
    <col min="4652" max="4652" width="42.7109375" style="551" customWidth="1"/>
    <col min="4653" max="4653" width="5.85546875" style="551" customWidth="1"/>
    <col min="4654" max="4654" width="31.5703125" style="551" customWidth="1"/>
    <col min="4655" max="4655" width="16.140625" style="551" customWidth="1"/>
    <col min="4656" max="4657" width="9.28515625" style="551" customWidth="1"/>
    <col min="4658" max="4658" width="11.140625" style="551" customWidth="1"/>
    <col min="4659" max="4659" width="2.140625" style="551" customWidth="1"/>
    <col min="4660" max="4865" width="11.42578125" style="551"/>
    <col min="4866" max="4866" width="12" style="551" customWidth="1"/>
    <col min="4867" max="4867" width="2.7109375" style="551" customWidth="1"/>
    <col min="4868" max="4869" width="6.5703125" style="551" customWidth="1"/>
    <col min="4870" max="4870" width="5.85546875" style="551" customWidth="1"/>
    <col min="4871" max="4871" width="6.5703125" style="551" customWidth="1"/>
    <col min="4872" max="4872" width="13.7109375" style="551" customWidth="1"/>
    <col min="4873" max="4874" width="9" style="551" customWidth="1"/>
    <col min="4875" max="4875" width="2.5703125" style="551" customWidth="1"/>
    <col min="4876" max="4876" width="8.85546875" style="551" customWidth="1"/>
    <col min="4877" max="4877" width="7.5703125" style="551" customWidth="1"/>
    <col min="4878" max="4880" width="3.7109375" style="551" customWidth="1"/>
    <col min="4881" max="4881" width="3.5703125" style="551" customWidth="1"/>
    <col min="4882" max="4882" width="2.85546875" style="551" customWidth="1"/>
    <col min="4883" max="4883" width="3" style="551" customWidth="1"/>
    <col min="4884" max="4886" width="0" style="551" hidden="1" customWidth="1"/>
    <col min="4887" max="4887" width="4.42578125" style="551" customWidth="1"/>
    <col min="4888" max="4888" width="0" style="551" hidden="1" customWidth="1"/>
    <col min="4889" max="4890" width="14.85546875" style="551" customWidth="1"/>
    <col min="4891" max="4891" width="15.140625" style="551" customWidth="1"/>
    <col min="4892" max="4892" width="6.42578125" style="551" customWidth="1"/>
    <col min="4893" max="4893" width="15.140625" style="551" customWidth="1"/>
    <col min="4894" max="4894" width="4.140625" style="551" customWidth="1"/>
    <col min="4895" max="4895" width="3" style="551" customWidth="1"/>
    <col min="4896" max="4898" width="0" style="551" hidden="1" customWidth="1"/>
    <col min="4899" max="4899" width="3" style="551" customWidth="1"/>
    <col min="4900" max="4900" width="0" style="551" hidden="1" customWidth="1"/>
    <col min="4901" max="4901" width="3" style="551" customWidth="1"/>
    <col min="4902" max="4902" width="0" style="551" hidden="1" customWidth="1"/>
    <col min="4903" max="4903" width="4.42578125" style="551" customWidth="1"/>
    <col min="4904" max="4904" width="34.28515625" style="551" customWidth="1"/>
    <col min="4905" max="4905" width="23.42578125" style="551" customWidth="1"/>
    <col min="4906" max="4906" width="9.140625" style="551" customWidth="1"/>
    <col min="4907" max="4907" width="19.5703125" style="551" customWidth="1"/>
    <col min="4908" max="4908" width="42.7109375" style="551" customWidth="1"/>
    <col min="4909" max="4909" width="5.85546875" style="551" customWidth="1"/>
    <col min="4910" max="4910" width="31.5703125" style="551" customWidth="1"/>
    <col min="4911" max="4911" width="16.140625" style="551" customWidth="1"/>
    <col min="4912" max="4913" width="9.28515625" style="551" customWidth="1"/>
    <col min="4914" max="4914" width="11.140625" style="551" customWidth="1"/>
    <col min="4915" max="4915" width="2.140625" style="551" customWidth="1"/>
    <col min="4916" max="5121" width="11.42578125" style="551"/>
    <col min="5122" max="5122" width="12" style="551" customWidth="1"/>
    <col min="5123" max="5123" width="2.7109375" style="551" customWidth="1"/>
    <col min="5124" max="5125" width="6.5703125" style="551" customWidth="1"/>
    <col min="5126" max="5126" width="5.85546875" style="551" customWidth="1"/>
    <col min="5127" max="5127" width="6.5703125" style="551" customWidth="1"/>
    <col min="5128" max="5128" width="13.7109375" style="551" customWidth="1"/>
    <col min="5129" max="5130" width="9" style="551" customWidth="1"/>
    <col min="5131" max="5131" width="2.5703125" style="551" customWidth="1"/>
    <col min="5132" max="5132" width="8.85546875" style="551" customWidth="1"/>
    <col min="5133" max="5133" width="7.5703125" style="551" customWidth="1"/>
    <col min="5134" max="5136" width="3.7109375" style="551" customWidth="1"/>
    <col min="5137" max="5137" width="3.5703125" style="551" customWidth="1"/>
    <col min="5138" max="5138" width="2.85546875" style="551" customWidth="1"/>
    <col min="5139" max="5139" width="3" style="551" customWidth="1"/>
    <col min="5140" max="5142" width="0" style="551" hidden="1" customWidth="1"/>
    <col min="5143" max="5143" width="4.42578125" style="551" customWidth="1"/>
    <col min="5144" max="5144" width="0" style="551" hidden="1" customWidth="1"/>
    <col min="5145" max="5146" width="14.85546875" style="551" customWidth="1"/>
    <col min="5147" max="5147" width="15.140625" style="551" customWidth="1"/>
    <col min="5148" max="5148" width="6.42578125" style="551" customWidth="1"/>
    <col min="5149" max="5149" width="15.140625" style="551" customWidth="1"/>
    <col min="5150" max="5150" width="4.140625" style="551" customWidth="1"/>
    <col min="5151" max="5151" width="3" style="551" customWidth="1"/>
    <col min="5152" max="5154" width="0" style="551" hidden="1" customWidth="1"/>
    <col min="5155" max="5155" width="3" style="551" customWidth="1"/>
    <col min="5156" max="5156" width="0" style="551" hidden="1" customWidth="1"/>
    <col min="5157" max="5157" width="3" style="551" customWidth="1"/>
    <col min="5158" max="5158" width="0" style="551" hidden="1" customWidth="1"/>
    <col min="5159" max="5159" width="4.42578125" style="551" customWidth="1"/>
    <col min="5160" max="5160" width="34.28515625" style="551" customWidth="1"/>
    <col min="5161" max="5161" width="23.42578125" style="551" customWidth="1"/>
    <col min="5162" max="5162" width="9.140625" style="551" customWidth="1"/>
    <col min="5163" max="5163" width="19.5703125" style="551" customWidth="1"/>
    <col min="5164" max="5164" width="42.7109375" style="551" customWidth="1"/>
    <col min="5165" max="5165" width="5.85546875" style="551" customWidth="1"/>
    <col min="5166" max="5166" width="31.5703125" style="551" customWidth="1"/>
    <col min="5167" max="5167" width="16.140625" style="551" customWidth="1"/>
    <col min="5168" max="5169" width="9.28515625" style="551" customWidth="1"/>
    <col min="5170" max="5170" width="11.140625" style="551" customWidth="1"/>
    <col min="5171" max="5171" width="2.140625" style="551" customWidth="1"/>
    <col min="5172" max="5377" width="11.42578125" style="551"/>
    <col min="5378" max="5378" width="12" style="551" customWidth="1"/>
    <col min="5379" max="5379" width="2.7109375" style="551" customWidth="1"/>
    <col min="5380" max="5381" width="6.5703125" style="551" customWidth="1"/>
    <col min="5382" max="5382" width="5.85546875" style="551" customWidth="1"/>
    <col min="5383" max="5383" width="6.5703125" style="551" customWidth="1"/>
    <col min="5384" max="5384" width="13.7109375" style="551" customWidth="1"/>
    <col min="5385" max="5386" width="9" style="551" customWidth="1"/>
    <col min="5387" max="5387" width="2.5703125" style="551" customWidth="1"/>
    <col min="5388" max="5388" width="8.85546875" style="551" customWidth="1"/>
    <col min="5389" max="5389" width="7.5703125" style="551" customWidth="1"/>
    <col min="5390" max="5392" width="3.7109375" style="551" customWidth="1"/>
    <col min="5393" max="5393" width="3.5703125" style="551" customWidth="1"/>
    <col min="5394" max="5394" width="2.85546875" style="551" customWidth="1"/>
    <col min="5395" max="5395" width="3" style="551" customWidth="1"/>
    <col min="5396" max="5398" width="0" style="551" hidden="1" customWidth="1"/>
    <col min="5399" max="5399" width="4.42578125" style="551" customWidth="1"/>
    <col min="5400" max="5400" width="0" style="551" hidden="1" customWidth="1"/>
    <col min="5401" max="5402" width="14.85546875" style="551" customWidth="1"/>
    <col min="5403" max="5403" width="15.140625" style="551" customWidth="1"/>
    <col min="5404" max="5404" width="6.42578125" style="551" customWidth="1"/>
    <col min="5405" max="5405" width="15.140625" style="551" customWidth="1"/>
    <col min="5406" max="5406" width="4.140625" style="551" customWidth="1"/>
    <col min="5407" max="5407" width="3" style="551" customWidth="1"/>
    <col min="5408" max="5410" width="0" style="551" hidden="1" customWidth="1"/>
    <col min="5411" max="5411" width="3" style="551" customWidth="1"/>
    <col min="5412" max="5412" width="0" style="551" hidden="1" customWidth="1"/>
    <col min="5413" max="5413" width="3" style="551" customWidth="1"/>
    <col min="5414" max="5414" width="0" style="551" hidden="1" customWidth="1"/>
    <col min="5415" max="5415" width="4.42578125" style="551" customWidth="1"/>
    <col min="5416" max="5416" width="34.28515625" style="551" customWidth="1"/>
    <col min="5417" max="5417" width="23.42578125" style="551" customWidth="1"/>
    <col min="5418" max="5418" width="9.140625" style="551" customWidth="1"/>
    <col min="5419" max="5419" width="19.5703125" style="551" customWidth="1"/>
    <col min="5420" max="5420" width="42.7109375" style="551" customWidth="1"/>
    <col min="5421" max="5421" width="5.85546875" style="551" customWidth="1"/>
    <col min="5422" max="5422" width="31.5703125" style="551" customWidth="1"/>
    <col min="5423" max="5423" width="16.140625" style="551" customWidth="1"/>
    <col min="5424" max="5425" width="9.28515625" style="551" customWidth="1"/>
    <col min="5426" max="5426" width="11.140625" style="551" customWidth="1"/>
    <col min="5427" max="5427" width="2.140625" style="551" customWidth="1"/>
    <col min="5428" max="5633" width="11.42578125" style="551"/>
    <col min="5634" max="5634" width="12" style="551" customWidth="1"/>
    <col min="5635" max="5635" width="2.7109375" style="551" customWidth="1"/>
    <col min="5636" max="5637" width="6.5703125" style="551" customWidth="1"/>
    <col min="5638" max="5638" width="5.85546875" style="551" customWidth="1"/>
    <col min="5639" max="5639" width="6.5703125" style="551" customWidth="1"/>
    <col min="5640" max="5640" width="13.7109375" style="551" customWidth="1"/>
    <col min="5641" max="5642" width="9" style="551" customWidth="1"/>
    <col min="5643" max="5643" width="2.5703125" style="551" customWidth="1"/>
    <col min="5644" max="5644" width="8.85546875" style="551" customWidth="1"/>
    <col min="5645" max="5645" width="7.5703125" style="551" customWidth="1"/>
    <col min="5646" max="5648" width="3.7109375" style="551" customWidth="1"/>
    <col min="5649" max="5649" width="3.5703125" style="551" customWidth="1"/>
    <col min="5650" max="5650" width="2.85546875" style="551" customWidth="1"/>
    <col min="5651" max="5651" width="3" style="551" customWidth="1"/>
    <col min="5652" max="5654" width="0" style="551" hidden="1" customWidth="1"/>
    <col min="5655" max="5655" width="4.42578125" style="551" customWidth="1"/>
    <col min="5656" max="5656" width="0" style="551" hidden="1" customWidth="1"/>
    <col min="5657" max="5658" width="14.85546875" style="551" customWidth="1"/>
    <col min="5659" max="5659" width="15.140625" style="551" customWidth="1"/>
    <col min="5660" max="5660" width="6.42578125" style="551" customWidth="1"/>
    <col min="5661" max="5661" width="15.140625" style="551" customWidth="1"/>
    <col min="5662" max="5662" width="4.140625" style="551" customWidth="1"/>
    <col min="5663" max="5663" width="3" style="551" customWidth="1"/>
    <col min="5664" max="5666" width="0" style="551" hidden="1" customWidth="1"/>
    <col min="5667" max="5667" width="3" style="551" customWidth="1"/>
    <col min="5668" max="5668" width="0" style="551" hidden="1" customWidth="1"/>
    <col min="5669" max="5669" width="3" style="551" customWidth="1"/>
    <col min="5670" max="5670" width="0" style="551" hidden="1" customWidth="1"/>
    <col min="5671" max="5671" width="4.42578125" style="551" customWidth="1"/>
    <col min="5672" max="5672" width="34.28515625" style="551" customWidth="1"/>
    <col min="5673" max="5673" width="23.42578125" style="551" customWidth="1"/>
    <col min="5674" max="5674" width="9.140625" style="551" customWidth="1"/>
    <col min="5675" max="5675" width="19.5703125" style="551" customWidth="1"/>
    <col min="5676" max="5676" width="42.7109375" style="551" customWidth="1"/>
    <col min="5677" max="5677" width="5.85546875" style="551" customWidth="1"/>
    <col min="5678" max="5678" width="31.5703125" style="551" customWidth="1"/>
    <col min="5679" max="5679" width="16.140625" style="551" customWidth="1"/>
    <col min="5680" max="5681" width="9.28515625" style="551" customWidth="1"/>
    <col min="5682" max="5682" width="11.140625" style="551" customWidth="1"/>
    <col min="5683" max="5683" width="2.140625" style="551" customWidth="1"/>
    <col min="5684" max="5889" width="11.42578125" style="551"/>
    <col min="5890" max="5890" width="12" style="551" customWidth="1"/>
    <col min="5891" max="5891" width="2.7109375" style="551" customWidth="1"/>
    <col min="5892" max="5893" width="6.5703125" style="551" customWidth="1"/>
    <col min="5894" max="5894" width="5.85546875" style="551" customWidth="1"/>
    <col min="5895" max="5895" width="6.5703125" style="551" customWidth="1"/>
    <col min="5896" max="5896" width="13.7109375" style="551" customWidth="1"/>
    <col min="5897" max="5898" width="9" style="551" customWidth="1"/>
    <col min="5899" max="5899" width="2.5703125" style="551" customWidth="1"/>
    <col min="5900" max="5900" width="8.85546875" style="551" customWidth="1"/>
    <col min="5901" max="5901" width="7.5703125" style="551" customWidth="1"/>
    <col min="5902" max="5904" width="3.7109375" style="551" customWidth="1"/>
    <col min="5905" max="5905" width="3.5703125" style="551" customWidth="1"/>
    <col min="5906" max="5906" width="2.85546875" style="551" customWidth="1"/>
    <col min="5907" max="5907" width="3" style="551" customWidth="1"/>
    <col min="5908" max="5910" width="0" style="551" hidden="1" customWidth="1"/>
    <col min="5911" max="5911" width="4.42578125" style="551" customWidth="1"/>
    <col min="5912" max="5912" width="0" style="551" hidden="1" customWidth="1"/>
    <col min="5913" max="5914" width="14.85546875" style="551" customWidth="1"/>
    <col min="5915" max="5915" width="15.140625" style="551" customWidth="1"/>
    <col min="5916" max="5916" width="6.42578125" style="551" customWidth="1"/>
    <col min="5917" max="5917" width="15.140625" style="551" customWidth="1"/>
    <col min="5918" max="5918" width="4.140625" style="551" customWidth="1"/>
    <col min="5919" max="5919" width="3" style="551" customWidth="1"/>
    <col min="5920" max="5922" width="0" style="551" hidden="1" customWidth="1"/>
    <col min="5923" max="5923" width="3" style="551" customWidth="1"/>
    <col min="5924" max="5924" width="0" style="551" hidden="1" customWidth="1"/>
    <col min="5925" max="5925" width="3" style="551" customWidth="1"/>
    <col min="5926" max="5926" width="0" style="551" hidden="1" customWidth="1"/>
    <col min="5927" max="5927" width="4.42578125" style="551" customWidth="1"/>
    <col min="5928" max="5928" width="34.28515625" style="551" customWidth="1"/>
    <col min="5929" max="5929" width="23.42578125" style="551" customWidth="1"/>
    <col min="5930" max="5930" width="9.140625" style="551" customWidth="1"/>
    <col min="5931" max="5931" width="19.5703125" style="551" customWidth="1"/>
    <col min="5932" max="5932" width="42.7109375" style="551" customWidth="1"/>
    <col min="5933" max="5933" width="5.85546875" style="551" customWidth="1"/>
    <col min="5934" max="5934" width="31.5703125" style="551" customWidth="1"/>
    <col min="5935" max="5935" width="16.140625" style="551" customWidth="1"/>
    <col min="5936" max="5937" width="9.28515625" style="551" customWidth="1"/>
    <col min="5938" max="5938" width="11.140625" style="551" customWidth="1"/>
    <col min="5939" max="5939" width="2.140625" style="551" customWidth="1"/>
    <col min="5940" max="6145" width="11.42578125" style="551"/>
    <col min="6146" max="6146" width="12" style="551" customWidth="1"/>
    <col min="6147" max="6147" width="2.7109375" style="551" customWidth="1"/>
    <col min="6148" max="6149" width="6.5703125" style="551" customWidth="1"/>
    <col min="6150" max="6150" width="5.85546875" style="551" customWidth="1"/>
    <col min="6151" max="6151" width="6.5703125" style="551" customWidth="1"/>
    <col min="6152" max="6152" width="13.7109375" style="551" customWidth="1"/>
    <col min="6153" max="6154" width="9" style="551" customWidth="1"/>
    <col min="6155" max="6155" width="2.5703125" style="551" customWidth="1"/>
    <col min="6156" max="6156" width="8.85546875" style="551" customWidth="1"/>
    <col min="6157" max="6157" width="7.5703125" style="551" customWidth="1"/>
    <col min="6158" max="6160" width="3.7109375" style="551" customWidth="1"/>
    <col min="6161" max="6161" width="3.5703125" style="551" customWidth="1"/>
    <col min="6162" max="6162" width="2.85546875" style="551" customWidth="1"/>
    <col min="6163" max="6163" width="3" style="551" customWidth="1"/>
    <col min="6164" max="6166" width="0" style="551" hidden="1" customWidth="1"/>
    <col min="6167" max="6167" width="4.42578125" style="551" customWidth="1"/>
    <col min="6168" max="6168" width="0" style="551" hidden="1" customWidth="1"/>
    <col min="6169" max="6170" width="14.85546875" style="551" customWidth="1"/>
    <col min="6171" max="6171" width="15.140625" style="551" customWidth="1"/>
    <col min="6172" max="6172" width="6.42578125" style="551" customWidth="1"/>
    <col min="6173" max="6173" width="15.140625" style="551" customWidth="1"/>
    <col min="6174" max="6174" width="4.140625" style="551" customWidth="1"/>
    <col min="6175" max="6175" width="3" style="551" customWidth="1"/>
    <col min="6176" max="6178" width="0" style="551" hidden="1" customWidth="1"/>
    <col min="6179" max="6179" width="3" style="551" customWidth="1"/>
    <col min="6180" max="6180" width="0" style="551" hidden="1" customWidth="1"/>
    <col min="6181" max="6181" width="3" style="551" customWidth="1"/>
    <col min="6182" max="6182" width="0" style="551" hidden="1" customWidth="1"/>
    <col min="6183" max="6183" width="4.42578125" style="551" customWidth="1"/>
    <col min="6184" max="6184" width="34.28515625" style="551" customWidth="1"/>
    <col min="6185" max="6185" width="23.42578125" style="551" customWidth="1"/>
    <col min="6186" max="6186" width="9.140625" style="551" customWidth="1"/>
    <col min="6187" max="6187" width="19.5703125" style="551" customWidth="1"/>
    <col min="6188" max="6188" width="42.7109375" style="551" customWidth="1"/>
    <col min="6189" max="6189" width="5.85546875" style="551" customWidth="1"/>
    <col min="6190" max="6190" width="31.5703125" style="551" customWidth="1"/>
    <col min="6191" max="6191" width="16.140625" style="551" customWidth="1"/>
    <col min="6192" max="6193" width="9.28515625" style="551" customWidth="1"/>
    <col min="6194" max="6194" width="11.140625" style="551" customWidth="1"/>
    <col min="6195" max="6195" width="2.140625" style="551" customWidth="1"/>
    <col min="6196" max="6401" width="11.42578125" style="551"/>
    <col min="6402" max="6402" width="12" style="551" customWidth="1"/>
    <col min="6403" max="6403" width="2.7109375" style="551" customWidth="1"/>
    <col min="6404" max="6405" width="6.5703125" style="551" customWidth="1"/>
    <col min="6406" max="6406" width="5.85546875" style="551" customWidth="1"/>
    <col min="6407" max="6407" width="6.5703125" style="551" customWidth="1"/>
    <col min="6408" max="6408" width="13.7109375" style="551" customWidth="1"/>
    <col min="6409" max="6410" width="9" style="551" customWidth="1"/>
    <col min="6411" max="6411" width="2.5703125" style="551" customWidth="1"/>
    <col min="6412" max="6412" width="8.85546875" style="551" customWidth="1"/>
    <col min="6413" max="6413" width="7.5703125" style="551" customWidth="1"/>
    <col min="6414" max="6416" width="3.7109375" style="551" customWidth="1"/>
    <col min="6417" max="6417" width="3.5703125" style="551" customWidth="1"/>
    <col min="6418" max="6418" width="2.85546875" style="551" customWidth="1"/>
    <col min="6419" max="6419" width="3" style="551" customWidth="1"/>
    <col min="6420" max="6422" width="0" style="551" hidden="1" customWidth="1"/>
    <col min="6423" max="6423" width="4.42578125" style="551" customWidth="1"/>
    <col min="6424" max="6424" width="0" style="551" hidden="1" customWidth="1"/>
    <col min="6425" max="6426" width="14.85546875" style="551" customWidth="1"/>
    <col min="6427" max="6427" width="15.140625" style="551" customWidth="1"/>
    <col min="6428" max="6428" width="6.42578125" style="551" customWidth="1"/>
    <col min="6429" max="6429" width="15.140625" style="551" customWidth="1"/>
    <col min="6430" max="6430" width="4.140625" style="551" customWidth="1"/>
    <col min="6431" max="6431" width="3" style="551" customWidth="1"/>
    <col min="6432" max="6434" width="0" style="551" hidden="1" customWidth="1"/>
    <col min="6435" max="6435" width="3" style="551" customWidth="1"/>
    <col min="6436" max="6436" width="0" style="551" hidden="1" customWidth="1"/>
    <col min="6437" max="6437" width="3" style="551" customWidth="1"/>
    <col min="6438" max="6438" width="0" style="551" hidden="1" customWidth="1"/>
    <col min="6439" max="6439" width="4.42578125" style="551" customWidth="1"/>
    <col min="6440" max="6440" width="34.28515625" style="551" customWidth="1"/>
    <col min="6441" max="6441" width="23.42578125" style="551" customWidth="1"/>
    <col min="6442" max="6442" width="9.140625" style="551" customWidth="1"/>
    <col min="6443" max="6443" width="19.5703125" style="551" customWidth="1"/>
    <col min="6444" max="6444" width="42.7109375" style="551" customWidth="1"/>
    <col min="6445" max="6445" width="5.85546875" style="551" customWidth="1"/>
    <col min="6446" max="6446" width="31.5703125" style="551" customWidth="1"/>
    <col min="6447" max="6447" width="16.140625" style="551" customWidth="1"/>
    <col min="6448" max="6449" width="9.28515625" style="551" customWidth="1"/>
    <col min="6450" max="6450" width="11.140625" style="551" customWidth="1"/>
    <col min="6451" max="6451" width="2.140625" style="551" customWidth="1"/>
    <col min="6452" max="6657" width="11.42578125" style="551"/>
    <col min="6658" max="6658" width="12" style="551" customWidth="1"/>
    <col min="6659" max="6659" width="2.7109375" style="551" customWidth="1"/>
    <col min="6660" max="6661" width="6.5703125" style="551" customWidth="1"/>
    <col min="6662" max="6662" width="5.85546875" style="551" customWidth="1"/>
    <col min="6663" max="6663" width="6.5703125" style="551" customWidth="1"/>
    <col min="6664" max="6664" width="13.7109375" style="551" customWidth="1"/>
    <col min="6665" max="6666" width="9" style="551" customWidth="1"/>
    <col min="6667" max="6667" width="2.5703125" style="551" customWidth="1"/>
    <col min="6668" max="6668" width="8.85546875" style="551" customWidth="1"/>
    <col min="6669" max="6669" width="7.5703125" style="551" customWidth="1"/>
    <col min="6670" max="6672" width="3.7109375" style="551" customWidth="1"/>
    <col min="6673" max="6673" width="3.5703125" style="551" customWidth="1"/>
    <col min="6674" max="6674" width="2.85546875" style="551" customWidth="1"/>
    <col min="6675" max="6675" width="3" style="551" customWidth="1"/>
    <col min="6676" max="6678" width="0" style="551" hidden="1" customWidth="1"/>
    <col min="6679" max="6679" width="4.42578125" style="551" customWidth="1"/>
    <col min="6680" max="6680" width="0" style="551" hidden="1" customWidth="1"/>
    <col min="6681" max="6682" width="14.85546875" style="551" customWidth="1"/>
    <col min="6683" max="6683" width="15.140625" style="551" customWidth="1"/>
    <col min="6684" max="6684" width="6.42578125" style="551" customWidth="1"/>
    <col min="6685" max="6685" width="15.140625" style="551" customWidth="1"/>
    <col min="6686" max="6686" width="4.140625" style="551" customWidth="1"/>
    <col min="6687" max="6687" width="3" style="551" customWidth="1"/>
    <col min="6688" max="6690" width="0" style="551" hidden="1" customWidth="1"/>
    <col min="6691" max="6691" width="3" style="551" customWidth="1"/>
    <col min="6692" max="6692" width="0" style="551" hidden="1" customWidth="1"/>
    <col min="6693" max="6693" width="3" style="551" customWidth="1"/>
    <col min="6694" max="6694" width="0" style="551" hidden="1" customWidth="1"/>
    <col min="6695" max="6695" width="4.42578125" style="551" customWidth="1"/>
    <col min="6696" max="6696" width="34.28515625" style="551" customWidth="1"/>
    <col min="6697" max="6697" width="23.42578125" style="551" customWidth="1"/>
    <col min="6698" max="6698" width="9.140625" style="551" customWidth="1"/>
    <col min="6699" max="6699" width="19.5703125" style="551" customWidth="1"/>
    <col min="6700" max="6700" width="42.7109375" style="551" customWidth="1"/>
    <col min="6701" max="6701" width="5.85546875" style="551" customWidth="1"/>
    <col min="6702" max="6702" width="31.5703125" style="551" customWidth="1"/>
    <col min="6703" max="6703" width="16.140625" style="551" customWidth="1"/>
    <col min="6704" max="6705" width="9.28515625" style="551" customWidth="1"/>
    <col min="6706" max="6706" width="11.140625" style="551" customWidth="1"/>
    <col min="6707" max="6707" width="2.140625" style="551" customWidth="1"/>
    <col min="6708" max="6913" width="11.42578125" style="551"/>
    <col min="6914" max="6914" width="12" style="551" customWidth="1"/>
    <col min="6915" max="6915" width="2.7109375" style="551" customWidth="1"/>
    <col min="6916" max="6917" width="6.5703125" style="551" customWidth="1"/>
    <col min="6918" max="6918" width="5.85546875" style="551" customWidth="1"/>
    <col min="6919" max="6919" width="6.5703125" style="551" customWidth="1"/>
    <col min="6920" max="6920" width="13.7109375" style="551" customWidth="1"/>
    <col min="6921" max="6922" width="9" style="551" customWidth="1"/>
    <col min="6923" max="6923" width="2.5703125" style="551" customWidth="1"/>
    <col min="6924" max="6924" width="8.85546875" style="551" customWidth="1"/>
    <col min="6925" max="6925" width="7.5703125" style="551" customWidth="1"/>
    <col min="6926" max="6928" width="3.7109375" style="551" customWidth="1"/>
    <col min="6929" max="6929" width="3.5703125" style="551" customWidth="1"/>
    <col min="6930" max="6930" width="2.85546875" style="551" customWidth="1"/>
    <col min="6931" max="6931" width="3" style="551" customWidth="1"/>
    <col min="6932" max="6934" width="0" style="551" hidden="1" customWidth="1"/>
    <col min="6935" max="6935" width="4.42578125" style="551" customWidth="1"/>
    <col min="6936" max="6936" width="0" style="551" hidden="1" customWidth="1"/>
    <col min="6937" max="6938" width="14.85546875" style="551" customWidth="1"/>
    <col min="6939" max="6939" width="15.140625" style="551" customWidth="1"/>
    <col min="6940" max="6940" width="6.42578125" style="551" customWidth="1"/>
    <col min="6941" max="6941" width="15.140625" style="551" customWidth="1"/>
    <col min="6942" max="6942" width="4.140625" style="551" customWidth="1"/>
    <col min="6943" max="6943" width="3" style="551" customWidth="1"/>
    <col min="6944" max="6946" width="0" style="551" hidden="1" customWidth="1"/>
    <col min="6947" max="6947" width="3" style="551" customWidth="1"/>
    <col min="6948" max="6948" width="0" style="551" hidden="1" customWidth="1"/>
    <col min="6949" max="6949" width="3" style="551" customWidth="1"/>
    <col min="6950" max="6950" width="0" style="551" hidden="1" customWidth="1"/>
    <col min="6951" max="6951" width="4.42578125" style="551" customWidth="1"/>
    <col min="6952" max="6952" width="34.28515625" style="551" customWidth="1"/>
    <col min="6953" max="6953" width="23.42578125" style="551" customWidth="1"/>
    <col min="6954" max="6954" width="9.140625" style="551" customWidth="1"/>
    <col min="6955" max="6955" width="19.5703125" style="551" customWidth="1"/>
    <col min="6956" max="6956" width="42.7109375" style="551" customWidth="1"/>
    <col min="6957" max="6957" width="5.85546875" style="551" customWidth="1"/>
    <col min="6958" max="6958" width="31.5703125" style="551" customWidth="1"/>
    <col min="6959" max="6959" width="16.140625" style="551" customWidth="1"/>
    <col min="6960" max="6961" width="9.28515625" style="551" customWidth="1"/>
    <col min="6962" max="6962" width="11.140625" style="551" customWidth="1"/>
    <col min="6963" max="6963" width="2.140625" style="551" customWidth="1"/>
    <col min="6964" max="7169" width="11.42578125" style="551"/>
    <col min="7170" max="7170" width="12" style="551" customWidth="1"/>
    <col min="7171" max="7171" width="2.7109375" style="551" customWidth="1"/>
    <col min="7172" max="7173" width="6.5703125" style="551" customWidth="1"/>
    <col min="7174" max="7174" width="5.85546875" style="551" customWidth="1"/>
    <col min="7175" max="7175" width="6.5703125" style="551" customWidth="1"/>
    <col min="7176" max="7176" width="13.7109375" style="551" customWidth="1"/>
    <col min="7177" max="7178" width="9" style="551" customWidth="1"/>
    <col min="7179" max="7179" width="2.5703125" style="551" customWidth="1"/>
    <col min="7180" max="7180" width="8.85546875" style="551" customWidth="1"/>
    <col min="7181" max="7181" width="7.5703125" style="551" customWidth="1"/>
    <col min="7182" max="7184" width="3.7109375" style="551" customWidth="1"/>
    <col min="7185" max="7185" width="3.5703125" style="551" customWidth="1"/>
    <col min="7186" max="7186" width="2.85546875" style="551" customWidth="1"/>
    <col min="7187" max="7187" width="3" style="551" customWidth="1"/>
    <col min="7188" max="7190" width="0" style="551" hidden="1" customWidth="1"/>
    <col min="7191" max="7191" width="4.42578125" style="551" customWidth="1"/>
    <col min="7192" max="7192" width="0" style="551" hidden="1" customWidth="1"/>
    <col min="7193" max="7194" width="14.85546875" style="551" customWidth="1"/>
    <col min="7195" max="7195" width="15.140625" style="551" customWidth="1"/>
    <col min="7196" max="7196" width="6.42578125" style="551" customWidth="1"/>
    <col min="7197" max="7197" width="15.140625" style="551" customWidth="1"/>
    <col min="7198" max="7198" width="4.140625" style="551" customWidth="1"/>
    <col min="7199" max="7199" width="3" style="551" customWidth="1"/>
    <col min="7200" max="7202" width="0" style="551" hidden="1" customWidth="1"/>
    <col min="7203" max="7203" width="3" style="551" customWidth="1"/>
    <col min="7204" max="7204" width="0" style="551" hidden="1" customWidth="1"/>
    <col min="7205" max="7205" width="3" style="551" customWidth="1"/>
    <col min="7206" max="7206" width="0" style="551" hidden="1" customWidth="1"/>
    <col min="7207" max="7207" width="4.42578125" style="551" customWidth="1"/>
    <col min="7208" max="7208" width="34.28515625" style="551" customWidth="1"/>
    <col min="7209" max="7209" width="23.42578125" style="551" customWidth="1"/>
    <col min="7210" max="7210" width="9.140625" style="551" customWidth="1"/>
    <col min="7211" max="7211" width="19.5703125" style="551" customWidth="1"/>
    <col min="7212" max="7212" width="42.7109375" style="551" customWidth="1"/>
    <col min="7213" max="7213" width="5.85546875" style="551" customWidth="1"/>
    <col min="7214" max="7214" width="31.5703125" style="551" customWidth="1"/>
    <col min="7215" max="7215" width="16.140625" style="551" customWidth="1"/>
    <col min="7216" max="7217" width="9.28515625" style="551" customWidth="1"/>
    <col min="7218" max="7218" width="11.140625" style="551" customWidth="1"/>
    <col min="7219" max="7219" width="2.140625" style="551" customWidth="1"/>
    <col min="7220" max="7425" width="11.42578125" style="551"/>
    <col min="7426" max="7426" width="12" style="551" customWidth="1"/>
    <col min="7427" max="7427" width="2.7109375" style="551" customWidth="1"/>
    <col min="7428" max="7429" width="6.5703125" style="551" customWidth="1"/>
    <col min="7430" max="7430" width="5.85546875" style="551" customWidth="1"/>
    <col min="7431" max="7431" width="6.5703125" style="551" customWidth="1"/>
    <col min="7432" max="7432" width="13.7109375" style="551" customWidth="1"/>
    <col min="7433" max="7434" width="9" style="551" customWidth="1"/>
    <col min="7435" max="7435" width="2.5703125" style="551" customWidth="1"/>
    <col min="7436" max="7436" width="8.85546875" style="551" customWidth="1"/>
    <col min="7437" max="7437" width="7.5703125" style="551" customWidth="1"/>
    <col min="7438" max="7440" width="3.7109375" style="551" customWidth="1"/>
    <col min="7441" max="7441" width="3.5703125" style="551" customWidth="1"/>
    <col min="7442" max="7442" width="2.85546875" style="551" customWidth="1"/>
    <col min="7443" max="7443" width="3" style="551" customWidth="1"/>
    <col min="7444" max="7446" width="0" style="551" hidden="1" customWidth="1"/>
    <col min="7447" max="7447" width="4.42578125" style="551" customWidth="1"/>
    <col min="7448" max="7448" width="0" style="551" hidden="1" customWidth="1"/>
    <col min="7449" max="7450" width="14.85546875" style="551" customWidth="1"/>
    <col min="7451" max="7451" width="15.140625" style="551" customWidth="1"/>
    <col min="7452" max="7452" width="6.42578125" style="551" customWidth="1"/>
    <col min="7453" max="7453" width="15.140625" style="551" customWidth="1"/>
    <col min="7454" max="7454" width="4.140625" style="551" customWidth="1"/>
    <col min="7455" max="7455" width="3" style="551" customWidth="1"/>
    <col min="7456" max="7458" width="0" style="551" hidden="1" customWidth="1"/>
    <col min="7459" max="7459" width="3" style="551" customWidth="1"/>
    <col min="7460" max="7460" width="0" style="551" hidden="1" customWidth="1"/>
    <col min="7461" max="7461" width="3" style="551" customWidth="1"/>
    <col min="7462" max="7462" width="0" style="551" hidden="1" customWidth="1"/>
    <col min="7463" max="7463" width="4.42578125" style="551" customWidth="1"/>
    <col min="7464" max="7464" width="34.28515625" style="551" customWidth="1"/>
    <col min="7465" max="7465" width="23.42578125" style="551" customWidth="1"/>
    <col min="7466" max="7466" width="9.140625" style="551" customWidth="1"/>
    <col min="7467" max="7467" width="19.5703125" style="551" customWidth="1"/>
    <col min="7468" max="7468" width="42.7109375" style="551" customWidth="1"/>
    <col min="7469" max="7469" width="5.85546875" style="551" customWidth="1"/>
    <col min="7470" max="7470" width="31.5703125" style="551" customWidth="1"/>
    <col min="7471" max="7471" width="16.140625" style="551" customWidth="1"/>
    <col min="7472" max="7473" width="9.28515625" style="551" customWidth="1"/>
    <col min="7474" max="7474" width="11.140625" style="551" customWidth="1"/>
    <col min="7475" max="7475" width="2.140625" style="551" customWidth="1"/>
    <col min="7476" max="7681" width="11.42578125" style="551"/>
    <col min="7682" max="7682" width="12" style="551" customWidth="1"/>
    <col min="7683" max="7683" width="2.7109375" style="551" customWidth="1"/>
    <col min="7684" max="7685" width="6.5703125" style="551" customWidth="1"/>
    <col min="7686" max="7686" width="5.85546875" style="551" customWidth="1"/>
    <col min="7687" max="7687" width="6.5703125" style="551" customWidth="1"/>
    <col min="7688" max="7688" width="13.7109375" style="551" customWidth="1"/>
    <col min="7689" max="7690" width="9" style="551" customWidth="1"/>
    <col min="7691" max="7691" width="2.5703125" style="551" customWidth="1"/>
    <col min="7692" max="7692" width="8.85546875" style="551" customWidth="1"/>
    <col min="7693" max="7693" width="7.5703125" style="551" customWidth="1"/>
    <col min="7694" max="7696" width="3.7109375" style="551" customWidth="1"/>
    <col min="7697" max="7697" width="3.5703125" style="551" customWidth="1"/>
    <col min="7698" max="7698" width="2.85546875" style="551" customWidth="1"/>
    <col min="7699" max="7699" width="3" style="551" customWidth="1"/>
    <col min="7700" max="7702" width="0" style="551" hidden="1" customWidth="1"/>
    <col min="7703" max="7703" width="4.42578125" style="551" customWidth="1"/>
    <col min="7704" max="7704" width="0" style="551" hidden="1" customWidth="1"/>
    <col min="7705" max="7706" width="14.85546875" style="551" customWidth="1"/>
    <col min="7707" max="7707" width="15.140625" style="551" customWidth="1"/>
    <col min="7708" max="7708" width="6.42578125" style="551" customWidth="1"/>
    <col min="7709" max="7709" width="15.140625" style="551" customWidth="1"/>
    <col min="7710" max="7710" width="4.140625" style="551" customWidth="1"/>
    <col min="7711" max="7711" width="3" style="551" customWidth="1"/>
    <col min="7712" max="7714" width="0" style="551" hidden="1" customWidth="1"/>
    <col min="7715" max="7715" width="3" style="551" customWidth="1"/>
    <col min="7716" max="7716" width="0" style="551" hidden="1" customWidth="1"/>
    <col min="7717" max="7717" width="3" style="551" customWidth="1"/>
    <col min="7718" max="7718" width="0" style="551" hidden="1" customWidth="1"/>
    <col min="7719" max="7719" width="4.42578125" style="551" customWidth="1"/>
    <col min="7720" max="7720" width="34.28515625" style="551" customWidth="1"/>
    <col min="7721" max="7721" width="23.42578125" style="551" customWidth="1"/>
    <col min="7722" max="7722" width="9.140625" style="551" customWidth="1"/>
    <col min="7723" max="7723" width="19.5703125" style="551" customWidth="1"/>
    <col min="7724" max="7724" width="42.7109375" style="551" customWidth="1"/>
    <col min="7725" max="7725" width="5.85546875" style="551" customWidth="1"/>
    <col min="7726" max="7726" width="31.5703125" style="551" customWidth="1"/>
    <col min="7727" max="7727" width="16.140625" style="551" customWidth="1"/>
    <col min="7728" max="7729" width="9.28515625" style="551" customWidth="1"/>
    <col min="7730" max="7730" width="11.140625" style="551" customWidth="1"/>
    <col min="7731" max="7731" width="2.140625" style="551" customWidth="1"/>
    <col min="7732" max="7937" width="11.42578125" style="551"/>
    <col min="7938" max="7938" width="12" style="551" customWidth="1"/>
    <col min="7939" max="7939" width="2.7109375" style="551" customWidth="1"/>
    <col min="7940" max="7941" width="6.5703125" style="551" customWidth="1"/>
    <col min="7942" max="7942" width="5.85546875" style="551" customWidth="1"/>
    <col min="7943" max="7943" width="6.5703125" style="551" customWidth="1"/>
    <col min="7944" max="7944" width="13.7109375" style="551" customWidth="1"/>
    <col min="7945" max="7946" width="9" style="551" customWidth="1"/>
    <col min="7947" max="7947" width="2.5703125" style="551" customWidth="1"/>
    <col min="7948" max="7948" width="8.85546875" style="551" customWidth="1"/>
    <col min="7949" max="7949" width="7.5703125" style="551" customWidth="1"/>
    <col min="7950" max="7952" width="3.7109375" style="551" customWidth="1"/>
    <col min="7953" max="7953" width="3.5703125" style="551" customWidth="1"/>
    <col min="7954" max="7954" width="2.85546875" style="551" customWidth="1"/>
    <col min="7955" max="7955" width="3" style="551" customWidth="1"/>
    <col min="7956" max="7958" width="0" style="551" hidden="1" customWidth="1"/>
    <col min="7959" max="7959" width="4.42578125" style="551" customWidth="1"/>
    <col min="7960" max="7960" width="0" style="551" hidden="1" customWidth="1"/>
    <col min="7961" max="7962" width="14.85546875" style="551" customWidth="1"/>
    <col min="7963" max="7963" width="15.140625" style="551" customWidth="1"/>
    <col min="7964" max="7964" width="6.42578125" style="551" customWidth="1"/>
    <col min="7965" max="7965" width="15.140625" style="551" customWidth="1"/>
    <col min="7966" max="7966" width="4.140625" style="551" customWidth="1"/>
    <col min="7967" max="7967" width="3" style="551" customWidth="1"/>
    <col min="7968" max="7970" width="0" style="551" hidden="1" customWidth="1"/>
    <col min="7971" max="7971" width="3" style="551" customWidth="1"/>
    <col min="7972" max="7972" width="0" style="551" hidden="1" customWidth="1"/>
    <col min="7973" max="7973" width="3" style="551" customWidth="1"/>
    <col min="7974" max="7974" width="0" style="551" hidden="1" customWidth="1"/>
    <col min="7975" max="7975" width="4.42578125" style="551" customWidth="1"/>
    <col min="7976" max="7976" width="34.28515625" style="551" customWidth="1"/>
    <col min="7977" max="7977" width="23.42578125" style="551" customWidth="1"/>
    <col min="7978" max="7978" width="9.140625" style="551" customWidth="1"/>
    <col min="7979" max="7979" width="19.5703125" style="551" customWidth="1"/>
    <col min="7980" max="7980" width="42.7109375" style="551" customWidth="1"/>
    <col min="7981" max="7981" width="5.85546875" style="551" customWidth="1"/>
    <col min="7982" max="7982" width="31.5703125" style="551" customWidth="1"/>
    <col min="7983" max="7983" width="16.140625" style="551" customWidth="1"/>
    <col min="7984" max="7985" width="9.28515625" style="551" customWidth="1"/>
    <col min="7986" max="7986" width="11.140625" style="551" customWidth="1"/>
    <col min="7987" max="7987" width="2.140625" style="551" customWidth="1"/>
    <col min="7988" max="8193" width="11.42578125" style="551"/>
    <col min="8194" max="8194" width="12" style="551" customWidth="1"/>
    <col min="8195" max="8195" width="2.7109375" style="551" customWidth="1"/>
    <col min="8196" max="8197" width="6.5703125" style="551" customWidth="1"/>
    <col min="8198" max="8198" width="5.85546875" style="551" customWidth="1"/>
    <col min="8199" max="8199" width="6.5703125" style="551" customWidth="1"/>
    <col min="8200" max="8200" width="13.7109375" style="551" customWidth="1"/>
    <col min="8201" max="8202" width="9" style="551" customWidth="1"/>
    <col min="8203" max="8203" width="2.5703125" style="551" customWidth="1"/>
    <col min="8204" max="8204" width="8.85546875" style="551" customWidth="1"/>
    <col min="8205" max="8205" width="7.5703125" style="551" customWidth="1"/>
    <col min="8206" max="8208" width="3.7109375" style="551" customWidth="1"/>
    <col min="8209" max="8209" width="3.5703125" style="551" customWidth="1"/>
    <col min="8210" max="8210" width="2.85546875" style="551" customWidth="1"/>
    <col min="8211" max="8211" width="3" style="551" customWidth="1"/>
    <col min="8212" max="8214" width="0" style="551" hidden="1" customWidth="1"/>
    <col min="8215" max="8215" width="4.42578125" style="551" customWidth="1"/>
    <col min="8216" max="8216" width="0" style="551" hidden="1" customWidth="1"/>
    <col min="8217" max="8218" width="14.85546875" style="551" customWidth="1"/>
    <col min="8219" max="8219" width="15.140625" style="551" customWidth="1"/>
    <col min="8220" max="8220" width="6.42578125" style="551" customWidth="1"/>
    <col min="8221" max="8221" width="15.140625" style="551" customWidth="1"/>
    <col min="8222" max="8222" width="4.140625" style="551" customWidth="1"/>
    <col min="8223" max="8223" width="3" style="551" customWidth="1"/>
    <col min="8224" max="8226" width="0" style="551" hidden="1" customWidth="1"/>
    <col min="8227" max="8227" width="3" style="551" customWidth="1"/>
    <col min="8228" max="8228" width="0" style="551" hidden="1" customWidth="1"/>
    <col min="8229" max="8229" width="3" style="551" customWidth="1"/>
    <col min="8230" max="8230" width="0" style="551" hidden="1" customWidth="1"/>
    <col min="8231" max="8231" width="4.42578125" style="551" customWidth="1"/>
    <col min="8232" max="8232" width="34.28515625" style="551" customWidth="1"/>
    <col min="8233" max="8233" width="23.42578125" style="551" customWidth="1"/>
    <col min="8234" max="8234" width="9.140625" style="551" customWidth="1"/>
    <col min="8235" max="8235" width="19.5703125" style="551" customWidth="1"/>
    <col min="8236" max="8236" width="42.7109375" style="551" customWidth="1"/>
    <col min="8237" max="8237" width="5.85546875" style="551" customWidth="1"/>
    <col min="8238" max="8238" width="31.5703125" style="551" customWidth="1"/>
    <col min="8239" max="8239" width="16.140625" style="551" customWidth="1"/>
    <col min="8240" max="8241" width="9.28515625" style="551" customWidth="1"/>
    <col min="8242" max="8242" width="11.140625" style="551" customWidth="1"/>
    <col min="8243" max="8243" width="2.140625" style="551" customWidth="1"/>
    <col min="8244" max="8449" width="11.42578125" style="551"/>
    <col min="8450" max="8450" width="12" style="551" customWidth="1"/>
    <col min="8451" max="8451" width="2.7109375" style="551" customWidth="1"/>
    <col min="8452" max="8453" width="6.5703125" style="551" customWidth="1"/>
    <col min="8454" max="8454" width="5.85546875" style="551" customWidth="1"/>
    <col min="8455" max="8455" width="6.5703125" style="551" customWidth="1"/>
    <col min="8456" max="8456" width="13.7109375" style="551" customWidth="1"/>
    <col min="8457" max="8458" width="9" style="551" customWidth="1"/>
    <col min="8459" max="8459" width="2.5703125" style="551" customWidth="1"/>
    <col min="8460" max="8460" width="8.85546875" style="551" customWidth="1"/>
    <col min="8461" max="8461" width="7.5703125" style="551" customWidth="1"/>
    <col min="8462" max="8464" width="3.7109375" style="551" customWidth="1"/>
    <col min="8465" max="8465" width="3.5703125" style="551" customWidth="1"/>
    <col min="8466" max="8466" width="2.85546875" style="551" customWidth="1"/>
    <col min="8467" max="8467" width="3" style="551" customWidth="1"/>
    <col min="8468" max="8470" width="0" style="551" hidden="1" customWidth="1"/>
    <col min="8471" max="8471" width="4.42578125" style="551" customWidth="1"/>
    <col min="8472" max="8472" width="0" style="551" hidden="1" customWidth="1"/>
    <col min="8473" max="8474" width="14.85546875" style="551" customWidth="1"/>
    <col min="8475" max="8475" width="15.140625" style="551" customWidth="1"/>
    <col min="8476" max="8476" width="6.42578125" style="551" customWidth="1"/>
    <col min="8477" max="8477" width="15.140625" style="551" customWidth="1"/>
    <col min="8478" max="8478" width="4.140625" style="551" customWidth="1"/>
    <col min="8479" max="8479" width="3" style="551" customWidth="1"/>
    <col min="8480" max="8482" width="0" style="551" hidden="1" customWidth="1"/>
    <col min="8483" max="8483" width="3" style="551" customWidth="1"/>
    <col min="8484" max="8484" width="0" style="551" hidden="1" customWidth="1"/>
    <col min="8485" max="8485" width="3" style="551" customWidth="1"/>
    <col min="8486" max="8486" width="0" style="551" hidden="1" customWidth="1"/>
    <col min="8487" max="8487" width="4.42578125" style="551" customWidth="1"/>
    <col min="8488" max="8488" width="34.28515625" style="551" customWidth="1"/>
    <col min="8489" max="8489" width="23.42578125" style="551" customWidth="1"/>
    <col min="8490" max="8490" width="9.140625" style="551" customWidth="1"/>
    <col min="8491" max="8491" width="19.5703125" style="551" customWidth="1"/>
    <col min="8492" max="8492" width="42.7109375" style="551" customWidth="1"/>
    <col min="8493" max="8493" width="5.85546875" style="551" customWidth="1"/>
    <col min="8494" max="8494" width="31.5703125" style="551" customWidth="1"/>
    <col min="8495" max="8495" width="16.140625" style="551" customWidth="1"/>
    <col min="8496" max="8497" width="9.28515625" style="551" customWidth="1"/>
    <col min="8498" max="8498" width="11.140625" style="551" customWidth="1"/>
    <col min="8499" max="8499" width="2.140625" style="551" customWidth="1"/>
    <col min="8500" max="8705" width="11.42578125" style="551"/>
    <col min="8706" max="8706" width="12" style="551" customWidth="1"/>
    <col min="8707" max="8707" width="2.7109375" style="551" customWidth="1"/>
    <col min="8708" max="8709" width="6.5703125" style="551" customWidth="1"/>
    <col min="8710" max="8710" width="5.85546875" style="551" customWidth="1"/>
    <col min="8711" max="8711" width="6.5703125" style="551" customWidth="1"/>
    <col min="8712" max="8712" width="13.7109375" style="551" customWidth="1"/>
    <col min="8713" max="8714" width="9" style="551" customWidth="1"/>
    <col min="8715" max="8715" width="2.5703125" style="551" customWidth="1"/>
    <col min="8716" max="8716" width="8.85546875" style="551" customWidth="1"/>
    <col min="8717" max="8717" width="7.5703125" style="551" customWidth="1"/>
    <col min="8718" max="8720" width="3.7109375" style="551" customWidth="1"/>
    <col min="8721" max="8721" width="3.5703125" style="551" customWidth="1"/>
    <col min="8722" max="8722" width="2.85546875" style="551" customWidth="1"/>
    <col min="8723" max="8723" width="3" style="551" customWidth="1"/>
    <col min="8724" max="8726" width="0" style="551" hidden="1" customWidth="1"/>
    <col min="8727" max="8727" width="4.42578125" style="551" customWidth="1"/>
    <col min="8728" max="8728" width="0" style="551" hidden="1" customWidth="1"/>
    <col min="8729" max="8730" width="14.85546875" style="551" customWidth="1"/>
    <col min="8731" max="8731" width="15.140625" style="551" customWidth="1"/>
    <col min="8732" max="8732" width="6.42578125" style="551" customWidth="1"/>
    <col min="8733" max="8733" width="15.140625" style="551" customWidth="1"/>
    <col min="8734" max="8734" width="4.140625" style="551" customWidth="1"/>
    <col min="8735" max="8735" width="3" style="551" customWidth="1"/>
    <col min="8736" max="8738" width="0" style="551" hidden="1" customWidth="1"/>
    <col min="8739" max="8739" width="3" style="551" customWidth="1"/>
    <col min="8740" max="8740" width="0" style="551" hidden="1" customWidth="1"/>
    <col min="8741" max="8741" width="3" style="551" customWidth="1"/>
    <col min="8742" max="8742" width="0" style="551" hidden="1" customWidth="1"/>
    <col min="8743" max="8743" width="4.42578125" style="551" customWidth="1"/>
    <col min="8744" max="8744" width="34.28515625" style="551" customWidth="1"/>
    <col min="8745" max="8745" width="23.42578125" style="551" customWidth="1"/>
    <col min="8746" max="8746" width="9.140625" style="551" customWidth="1"/>
    <col min="8747" max="8747" width="19.5703125" style="551" customWidth="1"/>
    <col min="8748" max="8748" width="42.7109375" style="551" customWidth="1"/>
    <col min="8749" max="8749" width="5.85546875" style="551" customWidth="1"/>
    <col min="8750" max="8750" width="31.5703125" style="551" customWidth="1"/>
    <col min="8751" max="8751" width="16.140625" style="551" customWidth="1"/>
    <col min="8752" max="8753" width="9.28515625" style="551" customWidth="1"/>
    <col min="8754" max="8754" width="11.140625" style="551" customWidth="1"/>
    <col min="8755" max="8755" width="2.140625" style="551" customWidth="1"/>
    <col min="8756" max="8961" width="11.42578125" style="551"/>
    <col min="8962" max="8962" width="12" style="551" customWidth="1"/>
    <col min="8963" max="8963" width="2.7109375" style="551" customWidth="1"/>
    <col min="8964" max="8965" width="6.5703125" style="551" customWidth="1"/>
    <col min="8966" max="8966" width="5.85546875" style="551" customWidth="1"/>
    <col min="8967" max="8967" width="6.5703125" style="551" customWidth="1"/>
    <col min="8968" max="8968" width="13.7109375" style="551" customWidth="1"/>
    <col min="8969" max="8970" width="9" style="551" customWidth="1"/>
    <col min="8971" max="8971" width="2.5703125" style="551" customWidth="1"/>
    <col min="8972" max="8972" width="8.85546875" style="551" customWidth="1"/>
    <col min="8973" max="8973" width="7.5703125" style="551" customWidth="1"/>
    <col min="8974" max="8976" width="3.7109375" style="551" customWidth="1"/>
    <col min="8977" max="8977" width="3.5703125" style="551" customWidth="1"/>
    <col min="8978" max="8978" width="2.85546875" style="551" customWidth="1"/>
    <col min="8979" max="8979" width="3" style="551" customWidth="1"/>
    <col min="8980" max="8982" width="0" style="551" hidden="1" customWidth="1"/>
    <col min="8983" max="8983" width="4.42578125" style="551" customWidth="1"/>
    <col min="8984" max="8984" width="0" style="551" hidden="1" customWidth="1"/>
    <col min="8985" max="8986" width="14.85546875" style="551" customWidth="1"/>
    <col min="8987" max="8987" width="15.140625" style="551" customWidth="1"/>
    <col min="8988" max="8988" width="6.42578125" style="551" customWidth="1"/>
    <col min="8989" max="8989" width="15.140625" style="551" customWidth="1"/>
    <col min="8990" max="8990" width="4.140625" style="551" customWidth="1"/>
    <col min="8991" max="8991" width="3" style="551" customWidth="1"/>
    <col min="8992" max="8994" width="0" style="551" hidden="1" customWidth="1"/>
    <col min="8995" max="8995" width="3" style="551" customWidth="1"/>
    <col min="8996" max="8996" width="0" style="551" hidden="1" customWidth="1"/>
    <col min="8997" max="8997" width="3" style="551" customWidth="1"/>
    <col min="8998" max="8998" width="0" style="551" hidden="1" customWidth="1"/>
    <col min="8999" max="8999" width="4.42578125" style="551" customWidth="1"/>
    <col min="9000" max="9000" width="34.28515625" style="551" customWidth="1"/>
    <col min="9001" max="9001" width="23.42578125" style="551" customWidth="1"/>
    <col min="9002" max="9002" width="9.140625" style="551" customWidth="1"/>
    <col min="9003" max="9003" width="19.5703125" style="551" customWidth="1"/>
    <col min="9004" max="9004" width="42.7109375" style="551" customWidth="1"/>
    <col min="9005" max="9005" width="5.85546875" style="551" customWidth="1"/>
    <col min="9006" max="9006" width="31.5703125" style="551" customWidth="1"/>
    <col min="9007" max="9007" width="16.140625" style="551" customWidth="1"/>
    <col min="9008" max="9009" width="9.28515625" style="551" customWidth="1"/>
    <col min="9010" max="9010" width="11.140625" style="551" customWidth="1"/>
    <col min="9011" max="9011" width="2.140625" style="551" customWidth="1"/>
    <col min="9012" max="9217" width="11.42578125" style="551"/>
    <col min="9218" max="9218" width="12" style="551" customWidth="1"/>
    <col min="9219" max="9219" width="2.7109375" style="551" customWidth="1"/>
    <col min="9220" max="9221" width="6.5703125" style="551" customWidth="1"/>
    <col min="9222" max="9222" width="5.85546875" style="551" customWidth="1"/>
    <col min="9223" max="9223" width="6.5703125" style="551" customWidth="1"/>
    <col min="9224" max="9224" width="13.7109375" style="551" customWidth="1"/>
    <col min="9225" max="9226" width="9" style="551" customWidth="1"/>
    <col min="9227" max="9227" width="2.5703125" style="551" customWidth="1"/>
    <col min="9228" max="9228" width="8.85546875" style="551" customWidth="1"/>
    <col min="9229" max="9229" width="7.5703125" style="551" customWidth="1"/>
    <col min="9230" max="9232" width="3.7109375" style="551" customWidth="1"/>
    <col min="9233" max="9233" width="3.5703125" style="551" customWidth="1"/>
    <col min="9234" max="9234" width="2.85546875" style="551" customWidth="1"/>
    <col min="9235" max="9235" width="3" style="551" customWidth="1"/>
    <col min="9236" max="9238" width="0" style="551" hidden="1" customWidth="1"/>
    <col min="9239" max="9239" width="4.42578125" style="551" customWidth="1"/>
    <col min="9240" max="9240" width="0" style="551" hidden="1" customWidth="1"/>
    <col min="9241" max="9242" width="14.85546875" style="551" customWidth="1"/>
    <col min="9243" max="9243" width="15.140625" style="551" customWidth="1"/>
    <col min="9244" max="9244" width="6.42578125" style="551" customWidth="1"/>
    <col min="9245" max="9245" width="15.140625" style="551" customWidth="1"/>
    <col min="9246" max="9246" width="4.140625" style="551" customWidth="1"/>
    <col min="9247" max="9247" width="3" style="551" customWidth="1"/>
    <col min="9248" max="9250" width="0" style="551" hidden="1" customWidth="1"/>
    <col min="9251" max="9251" width="3" style="551" customWidth="1"/>
    <col min="9252" max="9252" width="0" style="551" hidden="1" customWidth="1"/>
    <col min="9253" max="9253" width="3" style="551" customWidth="1"/>
    <col min="9254" max="9254" width="0" style="551" hidden="1" customWidth="1"/>
    <col min="9255" max="9255" width="4.42578125" style="551" customWidth="1"/>
    <col min="9256" max="9256" width="34.28515625" style="551" customWidth="1"/>
    <col min="9257" max="9257" width="23.42578125" style="551" customWidth="1"/>
    <col min="9258" max="9258" width="9.140625" style="551" customWidth="1"/>
    <col min="9259" max="9259" width="19.5703125" style="551" customWidth="1"/>
    <col min="9260" max="9260" width="42.7109375" style="551" customWidth="1"/>
    <col min="9261" max="9261" width="5.85546875" style="551" customWidth="1"/>
    <col min="9262" max="9262" width="31.5703125" style="551" customWidth="1"/>
    <col min="9263" max="9263" width="16.140625" style="551" customWidth="1"/>
    <col min="9264" max="9265" width="9.28515625" style="551" customWidth="1"/>
    <col min="9266" max="9266" width="11.140625" style="551" customWidth="1"/>
    <col min="9267" max="9267" width="2.140625" style="551" customWidth="1"/>
    <col min="9268" max="9473" width="11.42578125" style="551"/>
    <col min="9474" max="9474" width="12" style="551" customWidth="1"/>
    <col min="9475" max="9475" width="2.7109375" style="551" customWidth="1"/>
    <col min="9476" max="9477" width="6.5703125" style="551" customWidth="1"/>
    <col min="9478" max="9478" width="5.85546875" style="551" customWidth="1"/>
    <col min="9479" max="9479" width="6.5703125" style="551" customWidth="1"/>
    <col min="9480" max="9480" width="13.7109375" style="551" customWidth="1"/>
    <col min="9481" max="9482" width="9" style="551" customWidth="1"/>
    <col min="9483" max="9483" width="2.5703125" style="551" customWidth="1"/>
    <col min="9484" max="9484" width="8.85546875" style="551" customWidth="1"/>
    <col min="9485" max="9485" width="7.5703125" style="551" customWidth="1"/>
    <col min="9486" max="9488" width="3.7109375" style="551" customWidth="1"/>
    <col min="9489" max="9489" width="3.5703125" style="551" customWidth="1"/>
    <col min="9490" max="9490" width="2.85546875" style="551" customWidth="1"/>
    <col min="9491" max="9491" width="3" style="551" customWidth="1"/>
    <col min="9492" max="9494" width="0" style="551" hidden="1" customWidth="1"/>
    <col min="9495" max="9495" width="4.42578125" style="551" customWidth="1"/>
    <col min="9496" max="9496" width="0" style="551" hidden="1" customWidth="1"/>
    <col min="9497" max="9498" width="14.85546875" style="551" customWidth="1"/>
    <col min="9499" max="9499" width="15.140625" style="551" customWidth="1"/>
    <col min="9500" max="9500" width="6.42578125" style="551" customWidth="1"/>
    <col min="9501" max="9501" width="15.140625" style="551" customWidth="1"/>
    <col min="9502" max="9502" width="4.140625" style="551" customWidth="1"/>
    <col min="9503" max="9503" width="3" style="551" customWidth="1"/>
    <col min="9504" max="9506" width="0" style="551" hidden="1" customWidth="1"/>
    <col min="9507" max="9507" width="3" style="551" customWidth="1"/>
    <col min="9508" max="9508" width="0" style="551" hidden="1" customWidth="1"/>
    <col min="9509" max="9509" width="3" style="551" customWidth="1"/>
    <col min="9510" max="9510" width="0" style="551" hidden="1" customWidth="1"/>
    <col min="9511" max="9511" width="4.42578125" style="551" customWidth="1"/>
    <col min="9512" max="9512" width="34.28515625" style="551" customWidth="1"/>
    <col min="9513" max="9513" width="23.42578125" style="551" customWidth="1"/>
    <col min="9514" max="9514" width="9.140625" style="551" customWidth="1"/>
    <col min="9515" max="9515" width="19.5703125" style="551" customWidth="1"/>
    <col min="9516" max="9516" width="42.7109375" style="551" customWidth="1"/>
    <col min="9517" max="9517" width="5.85546875" style="551" customWidth="1"/>
    <col min="9518" max="9518" width="31.5703125" style="551" customWidth="1"/>
    <col min="9519" max="9519" width="16.140625" style="551" customWidth="1"/>
    <col min="9520" max="9521" width="9.28515625" style="551" customWidth="1"/>
    <col min="9522" max="9522" width="11.140625" style="551" customWidth="1"/>
    <col min="9523" max="9523" width="2.140625" style="551" customWidth="1"/>
    <col min="9524" max="9729" width="11.42578125" style="551"/>
    <col min="9730" max="9730" width="12" style="551" customWidth="1"/>
    <col min="9731" max="9731" width="2.7109375" style="551" customWidth="1"/>
    <col min="9732" max="9733" width="6.5703125" style="551" customWidth="1"/>
    <col min="9734" max="9734" width="5.85546875" style="551" customWidth="1"/>
    <col min="9735" max="9735" width="6.5703125" style="551" customWidth="1"/>
    <col min="9736" max="9736" width="13.7109375" style="551" customWidth="1"/>
    <col min="9737" max="9738" width="9" style="551" customWidth="1"/>
    <col min="9739" max="9739" width="2.5703125" style="551" customWidth="1"/>
    <col min="9740" max="9740" width="8.85546875" style="551" customWidth="1"/>
    <col min="9741" max="9741" width="7.5703125" style="551" customWidth="1"/>
    <col min="9742" max="9744" width="3.7109375" style="551" customWidth="1"/>
    <col min="9745" max="9745" width="3.5703125" style="551" customWidth="1"/>
    <col min="9746" max="9746" width="2.85546875" style="551" customWidth="1"/>
    <col min="9747" max="9747" width="3" style="551" customWidth="1"/>
    <col min="9748" max="9750" width="0" style="551" hidden="1" customWidth="1"/>
    <col min="9751" max="9751" width="4.42578125" style="551" customWidth="1"/>
    <col min="9752" max="9752" width="0" style="551" hidden="1" customWidth="1"/>
    <col min="9753" max="9754" width="14.85546875" style="551" customWidth="1"/>
    <col min="9755" max="9755" width="15.140625" style="551" customWidth="1"/>
    <col min="9756" max="9756" width="6.42578125" style="551" customWidth="1"/>
    <col min="9757" max="9757" width="15.140625" style="551" customWidth="1"/>
    <col min="9758" max="9758" width="4.140625" style="551" customWidth="1"/>
    <col min="9759" max="9759" width="3" style="551" customWidth="1"/>
    <col min="9760" max="9762" width="0" style="551" hidden="1" customWidth="1"/>
    <col min="9763" max="9763" width="3" style="551" customWidth="1"/>
    <col min="9764" max="9764" width="0" style="551" hidden="1" customWidth="1"/>
    <col min="9765" max="9765" width="3" style="551" customWidth="1"/>
    <col min="9766" max="9766" width="0" style="551" hidden="1" customWidth="1"/>
    <col min="9767" max="9767" width="4.42578125" style="551" customWidth="1"/>
    <col min="9768" max="9768" width="34.28515625" style="551" customWidth="1"/>
    <col min="9769" max="9769" width="23.42578125" style="551" customWidth="1"/>
    <col min="9770" max="9770" width="9.140625" style="551" customWidth="1"/>
    <col min="9771" max="9771" width="19.5703125" style="551" customWidth="1"/>
    <col min="9772" max="9772" width="42.7109375" style="551" customWidth="1"/>
    <col min="9773" max="9773" width="5.85546875" style="551" customWidth="1"/>
    <col min="9774" max="9774" width="31.5703125" style="551" customWidth="1"/>
    <col min="9775" max="9775" width="16.140625" style="551" customWidth="1"/>
    <col min="9776" max="9777" width="9.28515625" style="551" customWidth="1"/>
    <col min="9778" max="9778" width="11.140625" style="551" customWidth="1"/>
    <col min="9779" max="9779" width="2.140625" style="551" customWidth="1"/>
    <col min="9780" max="9985" width="11.42578125" style="551"/>
    <col min="9986" max="9986" width="12" style="551" customWidth="1"/>
    <col min="9987" max="9987" width="2.7109375" style="551" customWidth="1"/>
    <col min="9988" max="9989" width="6.5703125" style="551" customWidth="1"/>
    <col min="9990" max="9990" width="5.85546875" style="551" customWidth="1"/>
    <col min="9991" max="9991" width="6.5703125" style="551" customWidth="1"/>
    <col min="9992" max="9992" width="13.7109375" style="551" customWidth="1"/>
    <col min="9993" max="9994" width="9" style="551" customWidth="1"/>
    <col min="9995" max="9995" width="2.5703125" style="551" customWidth="1"/>
    <col min="9996" max="9996" width="8.85546875" style="551" customWidth="1"/>
    <col min="9997" max="9997" width="7.5703125" style="551" customWidth="1"/>
    <col min="9998" max="10000" width="3.7109375" style="551" customWidth="1"/>
    <col min="10001" max="10001" width="3.5703125" style="551" customWidth="1"/>
    <col min="10002" max="10002" width="2.85546875" style="551" customWidth="1"/>
    <col min="10003" max="10003" width="3" style="551" customWidth="1"/>
    <col min="10004" max="10006" width="0" style="551" hidden="1" customWidth="1"/>
    <col min="10007" max="10007" width="4.42578125" style="551" customWidth="1"/>
    <col min="10008" max="10008" width="0" style="551" hidden="1" customWidth="1"/>
    <col min="10009" max="10010" width="14.85546875" style="551" customWidth="1"/>
    <col min="10011" max="10011" width="15.140625" style="551" customWidth="1"/>
    <col min="10012" max="10012" width="6.42578125" style="551" customWidth="1"/>
    <col min="10013" max="10013" width="15.140625" style="551" customWidth="1"/>
    <col min="10014" max="10014" width="4.140625" style="551" customWidth="1"/>
    <col min="10015" max="10015" width="3" style="551" customWidth="1"/>
    <col min="10016" max="10018" width="0" style="551" hidden="1" customWidth="1"/>
    <col min="10019" max="10019" width="3" style="551" customWidth="1"/>
    <col min="10020" max="10020" width="0" style="551" hidden="1" customWidth="1"/>
    <col min="10021" max="10021" width="3" style="551" customWidth="1"/>
    <col min="10022" max="10022" width="0" style="551" hidden="1" customWidth="1"/>
    <col min="10023" max="10023" width="4.42578125" style="551" customWidth="1"/>
    <col min="10024" max="10024" width="34.28515625" style="551" customWidth="1"/>
    <col min="10025" max="10025" width="23.42578125" style="551" customWidth="1"/>
    <col min="10026" max="10026" width="9.140625" style="551" customWidth="1"/>
    <col min="10027" max="10027" width="19.5703125" style="551" customWidth="1"/>
    <col min="10028" max="10028" width="42.7109375" style="551" customWidth="1"/>
    <col min="10029" max="10029" width="5.85546875" style="551" customWidth="1"/>
    <col min="10030" max="10030" width="31.5703125" style="551" customWidth="1"/>
    <col min="10031" max="10031" width="16.140625" style="551" customWidth="1"/>
    <col min="10032" max="10033" width="9.28515625" style="551" customWidth="1"/>
    <col min="10034" max="10034" width="11.140625" style="551" customWidth="1"/>
    <col min="10035" max="10035" width="2.140625" style="551" customWidth="1"/>
    <col min="10036" max="10241" width="11.42578125" style="551"/>
    <col min="10242" max="10242" width="12" style="551" customWidth="1"/>
    <col min="10243" max="10243" width="2.7109375" style="551" customWidth="1"/>
    <col min="10244" max="10245" width="6.5703125" style="551" customWidth="1"/>
    <col min="10246" max="10246" width="5.85546875" style="551" customWidth="1"/>
    <col min="10247" max="10247" width="6.5703125" style="551" customWidth="1"/>
    <col min="10248" max="10248" width="13.7109375" style="551" customWidth="1"/>
    <col min="10249" max="10250" width="9" style="551" customWidth="1"/>
    <col min="10251" max="10251" width="2.5703125" style="551" customWidth="1"/>
    <col min="10252" max="10252" width="8.85546875" style="551" customWidth="1"/>
    <col min="10253" max="10253" width="7.5703125" style="551" customWidth="1"/>
    <col min="10254" max="10256" width="3.7109375" style="551" customWidth="1"/>
    <col min="10257" max="10257" width="3.5703125" style="551" customWidth="1"/>
    <col min="10258" max="10258" width="2.85546875" style="551" customWidth="1"/>
    <col min="10259" max="10259" width="3" style="551" customWidth="1"/>
    <col min="10260" max="10262" width="0" style="551" hidden="1" customWidth="1"/>
    <col min="10263" max="10263" width="4.42578125" style="551" customWidth="1"/>
    <col min="10264" max="10264" width="0" style="551" hidden="1" customWidth="1"/>
    <col min="10265" max="10266" width="14.85546875" style="551" customWidth="1"/>
    <col min="10267" max="10267" width="15.140625" style="551" customWidth="1"/>
    <col min="10268" max="10268" width="6.42578125" style="551" customWidth="1"/>
    <col min="10269" max="10269" width="15.140625" style="551" customWidth="1"/>
    <col min="10270" max="10270" width="4.140625" style="551" customWidth="1"/>
    <col min="10271" max="10271" width="3" style="551" customWidth="1"/>
    <col min="10272" max="10274" width="0" style="551" hidden="1" customWidth="1"/>
    <col min="10275" max="10275" width="3" style="551" customWidth="1"/>
    <col min="10276" max="10276" width="0" style="551" hidden="1" customWidth="1"/>
    <col min="10277" max="10277" width="3" style="551" customWidth="1"/>
    <col min="10278" max="10278" width="0" style="551" hidden="1" customWidth="1"/>
    <col min="10279" max="10279" width="4.42578125" style="551" customWidth="1"/>
    <col min="10280" max="10280" width="34.28515625" style="551" customWidth="1"/>
    <col min="10281" max="10281" width="23.42578125" style="551" customWidth="1"/>
    <col min="10282" max="10282" width="9.140625" style="551" customWidth="1"/>
    <col min="10283" max="10283" width="19.5703125" style="551" customWidth="1"/>
    <col min="10284" max="10284" width="42.7109375" style="551" customWidth="1"/>
    <col min="10285" max="10285" width="5.85546875" style="551" customWidth="1"/>
    <col min="10286" max="10286" width="31.5703125" style="551" customWidth="1"/>
    <col min="10287" max="10287" width="16.140625" style="551" customWidth="1"/>
    <col min="10288" max="10289" width="9.28515625" style="551" customWidth="1"/>
    <col min="10290" max="10290" width="11.140625" style="551" customWidth="1"/>
    <col min="10291" max="10291" width="2.140625" style="551" customWidth="1"/>
    <col min="10292" max="10497" width="11.42578125" style="551"/>
    <col min="10498" max="10498" width="12" style="551" customWidth="1"/>
    <col min="10499" max="10499" width="2.7109375" style="551" customWidth="1"/>
    <col min="10500" max="10501" width="6.5703125" style="551" customWidth="1"/>
    <col min="10502" max="10502" width="5.85546875" style="551" customWidth="1"/>
    <col min="10503" max="10503" width="6.5703125" style="551" customWidth="1"/>
    <col min="10504" max="10504" width="13.7109375" style="551" customWidth="1"/>
    <col min="10505" max="10506" width="9" style="551" customWidth="1"/>
    <col min="10507" max="10507" width="2.5703125" style="551" customWidth="1"/>
    <col min="10508" max="10508" width="8.85546875" style="551" customWidth="1"/>
    <col min="10509" max="10509" width="7.5703125" style="551" customWidth="1"/>
    <col min="10510" max="10512" width="3.7109375" style="551" customWidth="1"/>
    <col min="10513" max="10513" width="3.5703125" style="551" customWidth="1"/>
    <col min="10514" max="10514" width="2.85546875" style="551" customWidth="1"/>
    <col min="10515" max="10515" width="3" style="551" customWidth="1"/>
    <col min="10516" max="10518" width="0" style="551" hidden="1" customWidth="1"/>
    <col min="10519" max="10519" width="4.42578125" style="551" customWidth="1"/>
    <col min="10520" max="10520" width="0" style="551" hidden="1" customWidth="1"/>
    <col min="10521" max="10522" width="14.85546875" style="551" customWidth="1"/>
    <col min="10523" max="10523" width="15.140625" style="551" customWidth="1"/>
    <col min="10524" max="10524" width="6.42578125" style="551" customWidth="1"/>
    <col min="10525" max="10525" width="15.140625" style="551" customWidth="1"/>
    <col min="10526" max="10526" width="4.140625" style="551" customWidth="1"/>
    <col min="10527" max="10527" width="3" style="551" customWidth="1"/>
    <col min="10528" max="10530" width="0" style="551" hidden="1" customWidth="1"/>
    <col min="10531" max="10531" width="3" style="551" customWidth="1"/>
    <col min="10532" max="10532" width="0" style="551" hidden="1" customWidth="1"/>
    <col min="10533" max="10533" width="3" style="551" customWidth="1"/>
    <col min="10534" max="10534" width="0" style="551" hidden="1" customWidth="1"/>
    <col min="10535" max="10535" width="4.42578125" style="551" customWidth="1"/>
    <col min="10536" max="10536" width="34.28515625" style="551" customWidth="1"/>
    <col min="10537" max="10537" width="23.42578125" style="551" customWidth="1"/>
    <col min="10538" max="10538" width="9.140625" style="551" customWidth="1"/>
    <col min="10539" max="10539" width="19.5703125" style="551" customWidth="1"/>
    <col min="10540" max="10540" width="42.7109375" style="551" customWidth="1"/>
    <col min="10541" max="10541" width="5.85546875" style="551" customWidth="1"/>
    <col min="10542" max="10542" width="31.5703125" style="551" customWidth="1"/>
    <col min="10543" max="10543" width="16.140625" style="551" customWidth="1"/>
    <col min="10544" max="10545" width="9.28515625" style="551" customWidth="1"/>
    <col min="10546" max="10546" width="11.140625" style="551" customWidth="1"/>
    <col min="10547" max="10547" width="2.140625" style="551" customWidth="1"/>
    <col min="10548" max="10753" width="11.42578125" style="551"/>
    <col min="10754" max="10754" width="12" style="551" customWidth="1"/>
    <col min="10755" max="10755" width="2.7109375" style="551" customWidth="1"/>
    <col min="10756" max="10757" width="6.5703125" style="551" customWidth="1"/>
    <col min="10758" max="10758" width="5.85546875" style="551" customWidth="1"/>
    <col min="10759" max="10759" width="6.5703125" style="551" customWidth="1"/>
    <col min="10760" max="10760" width="13.7109375" style="551" customWidth="1"/>
    <col min="10761" max="10762" width="9" style="551" customWidth="1"/>
    <col min="10763" max="10763" width="2.5703125" style="551" customWidth="1"/>
    <col min="10764" max="10764" width="8.85546875" style="551" customWidth="1"/>
    <col min="10765" max="10765" width="7.5703125" style="551" customWidth="1"/>
    <col min="10766" max="10768" width="3.7109375" style="551" customWidth="1"/>
    <col min="10769" max="10769" width="3.5703125" style="551" customWidth="1"/>
    <col min="10770" max="10770" width="2.85546875" style="551" customWidth="1"/>
    <col min="10771" max="10771" width="3" style="551" customWidth="1"/>
    <col min="10772" max="10774" width="0" style="551" hidden="1" customWidth="1"/>
    <col min="10775" max="10775" width="4.42578125" style="551" customWidth="1"/>
    <col min="10776" max="10776" width="0" style="551" hidden="1" customWidth="1"/>
    <col min="10777" max="10778" width="14.85546875" style="551" customWidth="1"/>
    <col min="10779" max="10779" width="15.140625" style="551" customWidth="1"/>
    <col min="10780" max="10780" width="6.42578125" style="551" customWidth="1"/>
    <col min="10781" max="10781" width="15.140625" style="551" customWidth="1"/>
    <col min="10782" max="10782" width="4.140625" style="551" customWidth="1"/>
    <col min="10783" max="10783" width="3" style="551" customWidth="1"/>
    <col min="10784" max="10786" width="0" style="551" hidden="1" customWidth="1"/>
    <col min="10787" max="10787" width="3" style="551" customWidth="1"/>
    <col min="10788" max="10788" width="0" style="551" hidden="1" customWidth="1"/>
    <col min="10789" max="10789" width="3" style="551" customWidth="1"/>
    <col min="10790" max="10790" width="0" style="551" hidden="1" customWidth="1"/>
    <col min="10791" max="10791" width="4.42578125" style="551" customWidth="1"/>
    <col min="10792" max="10792" width="34.28515625" style="551" customWidth="1"/>
    <col min="10793" max="10793" width="23.42578125" style="551" customWidth="1"/>
    <col min="10794" max="10794" width="9.140625" style="551" customWidth="1"/>
    <col min="10795" max="10795" width="19.5703125" style="551" customWidth="1"/>
    <col min="10796" max="10796" width="42.7109375" style="551" customWidth="1"/>
    <col min="10797" max="10797" width="5.85546875" style="551" customWidth="1"/>
    <col min="10798" max="10798" width="31.5703125" style="551" customWidth="1"/>
    <col min="10799" max="10799" width="16.140625" style="551" customWidth="1"/>
    <col min="10800" max="10801" width="9.28515625" style="551" customWidth="1"/>
    <col min="10802" max="10802" width="11.140625" style="551" customWidth="1"/>
    <col min="10803" max="10803" width="2.140625" style="551" customWidth="1"/>
    <col min="10804" max="11009" width="11.42578125" style="551"/>
    <col min="11010" max="11010" width="12" style="551" customWidth="1"/>
    <col min="11011" max="11011" width="2.7109375" style="551" customWidth="1"/>
    <col min="11012" max="11013" width="6.5703125" style="551" customWidth="1"/>
    <col min="11014" max="11014" width="5.85546875" style="551" customWidth="1"/>
    <col min="11015" max="11015" width="6.5703125" style="551" customWidth="1"/>
    <col min="11016" max="11016" width="13.7109375" style="551" customWidth="1"/>
    <col min="11017" max="11018" width="9" style="551" customWidth="1"/>
    <col min="11019" max="11019" width="2.5703125" style="551" customWidth="1"/>
    <col min="11020" max="11020" width="8.85546875" style="551" customWidth="1"/>
    <col min="11021" max="11021" width="7.5703125" style="551" customWidth="1"/>
    <col min="11022" max="11024" width="3.7109375" style="551" customWidth="1"/>
    <col min="11025" max="11025" width="3.5703125" style="551" customWidth="1"/>
    <col min="11026" max="11026" width="2.85546875" style="551" customWidth="1"/>
    <col min="11027" max="11027" width="3" style="551" customWidth="1"/>
    <col min="11028" max="11030" width="0" style="551" hidden="1" customWidth="1"/>
    <col min="11031" max="11031" width="4.42578125" style="551" customWidth="1"/>
    <col min="11032" max="11032" width="0" style="551" hidden="1" customWidth="1"/>
    <col min="11033" max="11034" width="14.85546875" style="551" customWidth="1"/>
    <col min="11035" max="11035" width="15.140625" style="551" customWidth="1"/>
    <col min="11036" max="11036" width="6.42578125" style="551" customWidth="1"/>
    <col min="11037" max="11037" width="15.140625" style="551" customWidth="1"/>
    <col min="11038" max="11038" width="4.140625" style="551" customWidth="1"/>
    <col min="11039" max="11039" width="3" style="551" customWidth="1"/>
    <col min="11040" max="11042" width="0" style="551" hidden="1" customWidth="1"/>
    <col min="11043" max="11043" width="3" style="551" customWidth="1"/>
    <col min="11044" max="11044" width="0" style="551" hidden="1" customWidth="1"/>
    <col min="11045" max="11045" width="3" style="551" customWidth="1"/>
    <col min="11046" max="11046" width="0" style="551" hidden="1" customWidth="1"/>
    <col min="11047" max="11047" width="4.42578125" style="551" customWidth="1"/>
    <col min="11048" max="11048" width="34.28515625" style="551" customWidth="1"/>
    <col min="11049" max="11049" width="23.42578125" style="551" customWidth="1"/>
    <col min="11050" max="11050" width="9.140625" style="551" customWidth="1"/>
    <col min="11051" max="11051" width="19.5703125" style="551" customWidth="1"/>
    <col min="11052" max="11052" width="42.7109375" style="551" customWidth="1"/>
    <col min="11053" max="11053" width="5.85546875" style="551" customWidth="1"/>
    <col min="11054" max="11054" width="31.5703125" style="551" customWidth="1"/>
    <col min="11055" max="11055" width="16.140625" style="551" customWidth="1"/>
    <col min="11056" max="11057" width="9.28515625" style="551" customWidth="1"/>
    <col min="11058" max="11058" width="11.140625" style="551" customWidth="1"/>
    <col min="11059" max="11059" width="2.140625" style="551" customWidth="1"/>
    <col min="11060" max="11265" width="11.42578125" style="551"/>
    <col min="11266" max="11266" width="12" style="551" customWidth="1"/>
    <col min="11267" max="11267" width="2.7109375" style="551" customWidth="1"/>
    <col min="11268" max="11269" width="6.5703125" style="551" customWidth="1"/>
    <col min="11270" max="11270" width="5.85546875" style="551" customWidth="1"/>
    <col min="11271" max="11271" width="6.5703125" style="551" customWidth="1"/>
    <col min="11272" max="11272" width="13.7109375" style="551" customWidth="1"/>
    <col min="11273" max="11274" width="9" style="551" customWidth="1"/>
    <col min="11275" max="11275" width="2.5703125" style="551" customWidth="1"/>
    <col min="11276" max="11276" width="8.85546875" style="551" customWidth="1"/>
    <col min="11277" max="11277" width="7.5703125" style="551" customWidth="1"/>
    <col min="11278" max="11280" width="3.7109375" style="551" customWidth="1"/>
    <col min="11281" max="11281" width="3.5703125" style="551" customWidth="1"/>
    <col min="11282" max="11282" width="2.85546875" style="551" customWidth="1"/>
    <col min="11283" max="11283" width="3" style="551" customWidth="1"/>
    <col min="11284" max="11286" width="0" style="551" hidden="1" customWidth="1"/>
    <col min="11287" max="11287" width="4.42578125" style="551" customWidth="1"/>
    <col min="11288" max="11288" width="0" style="551" hidden="1" customWidth="1"/>
    <col min="11289" max="11290" width="14.85546875" style="551" customWidth="1"/>
    <col min="11291" max="11291" width="15.140625" style="551" customWidth="1"/>
    <col min="11292" max="11292" width="6.42578125" style="551" customWidth="1"/>
    <col min="11293" max="11293" width="15.140625" style="551" customWidth="1"/>
    <col min="11294" max="11294" width="4.140625" style="551" customWidth="1"/>
    <col min="11295" max="11295" width="3" style="551" customWidth="1"/>
    <col min="11296" max="11298" width="0" style="551" hidden="1" customWidth="1"/>
    <col min="11299" max="11299" width="3" style="551" customWidth="1"/>
    <col min="11300" max="11300" width="0" style="551" hidden="1" customWidth="1"/>
    <col min="11301" max="11301" width="3" style="551" customWidth="1"/>
    <col min="11302" max="11302" width="0" style="551" hidden="1" customWidth="1"/>
    <col min="11303" max="11303" width="4.42578125" style="551" customWidth="1"/>
    <col min="11304" max="11304" width="34.28515625" style="551" customWidth="1"/>
    <col min="11305" max="11305" width="23.42578125" style="551" customWidth="1"/>
    <col min="11306" max="11306" width="9.140625" style="551" customWidth="1"/>
    <col min="11307" max="11307" width="19.5703125" style="551" customWidth="1"/>
    <col min="11308" max="11308" width="42.7109375" style="551" customWidth="1"/>
    <col min="11309" max="11309" width="5.85546875" style="551" customWidth="1"/>
    <col min="11310" max="11310" width="31.5703125" style="551" customWidth="1"/>
    <col min="11311" max="11311" width="16.140625" style="551" customWidth="1"/>
    <col min="11312" max="11313" width="9.28515625" style="551" customWidth="1"/>
    <col min="11314" max="11314" width="11.140625" style="551" customWidth="1"/>
    <col min="11315" max="11315" width="2.140625" style="551" customWidth="1"/>
    <col min="11316" max="11521" width="11.42578125" style="551"/>
    <col min="11522" max="11522" width="12" style="551" customWidth="1"/>
    <col min="11523" max="11523" width="2.7109375" style="551" customWidth="1"/>
    <col min="11524" max="11525" width="6.5703125" style="551" customWidth="1"/>
    <col min="11526" max="11526" width="5.85546875" style="551" customWidth="1"/>
    <col min="11527" max="11527" width="6.5703125" style="551" customWidth="1"/>
    <col min="11528" max="11528" width="13.7109375" style="551" customWidth="1"/>
    <col min="11529" max="11530" width="9" style="551" customWidth="1"/>
    <col min="11531" max="11531" width="2.5703125" style="551" customWidth="1"/>
    <col min="11532" max="11532" width="8.85546875" style="551" customWidth="1"/>
    <col min="11533" max="11533" width="7.5703125" style="551" customWidth="1"/>
    <col min="11534" max="11536" width="3.7109375" style="551" customWidth="1"/>
    <col min="11537" max="11537" width="3.5703125" style="551" customWidth="1"/>
    <col min="11538" max="11538" width="2.85546875" style="551" customWidth="1"/>
    <col min="11539" max="11539" width="3" style="551" customWidth="1"/>
    <col min="11540" max="11542" width="0" style="551" hidden="1" customWidth="1"/>
    <col min="11543" max="11543" width="4.42578125" style="551" customWidth="1"/>
    <col min="11544" max="11544" width="0" style="551" hidden="1" customWidth="1"/>
    <col min="11545" max="11546" width="14.85546875" style="551" customWidth="1"/>
    <col min="11547" max="11547" width="15.140625" style="551" customWidth="1"/>
    <col min="11548" max="11548" width="6.42578125" style="551" customWidth="1"/>
    <col min="11549" max="11549" width="15.140625" style="551" customWidth="1"/>
    <col min="11550" max="11550" width="4.140625" style="551" customWidth="1"/>
    <col min="11551" max="11551" width="3" style="551" customWidth="1"/>
    <col min="11552" max="11554" width="0" style="551" hidden="1" customWidth="1"/>
    <col min="11555" max="11555" width="3" style="551" customWidth="1"/>
    <col min="11556" max="11556" width="0" style="551" hidden="1" customWidth="1"/>
    <col min="11557" max="11557" width="3" style="551" customWidth="1"/>
    <col min="11558" max="11558" width="0" style="551" hidden="1" customWidth="1"/>
    <col min="11559" max="11559" width="4.42578125" style="551" customWidth="1"/>
    <col min="11560" max="11560" width="34.28515625" style="551" customWidth="1"/>
    <col min="11561" max="11561" width="23.42578125" style="551" customWidth="1"/>
    <col min="11562" max="11562" width="9.140625" style="551" customWidth="1"/>
    <col min="11563" max="11563" width="19.5703125" style="551" customWidth="1"/>
    <col min="11564" max="11564" width="42.7109375" style="551" customWidth="1"/>
    <col min="11565" max="11565" width="5.85546875" style="551" customWidth="1"/>
    <col min="11566" max="11566" width="31.5703125" style="551" customWidth="1"/>
    <col min="11567" max="11567" width="16.140625" style="551" customWidth="1"/>
    <col min="11568" max="11569" width="9.28515625" style="551" customWidth="1"/>
    <col min="11570" max="11570" width="11.140625" style="551" customWidth="1"/>
    <col min="11571" max="11571" width="2.140625" style="551" customWidth="1"/>
    <col min="11572" max="11777" width="11.42578125" style="551"/>
    <col min="11778" max="11778" width="12" style="551" customWidth="1"/>
    <col min="11779" max="11779" width="2.7109375" style="551" customWidth="1"/>
    <col min="11780" max="11781" width="6.5703125" style="551" customWidth="1"/>
    <col min="11782" max="11782" width="5.85546875" style="551" customWidth="1"/>
    <col min="11783" max="11783" width="6.5703125" style="551" customWidth="1"/>
    <col min="11784" max="11784" width="13.7109375" style="551" customWidth="1"/>
    <col min="11785" max="11786" width="9" style="551" customWidth="1"/>
    <col min="11787" max="11787" width="2.5703125" style="551" customWidth="1"/>
    <col min="11788" max="11788" width="8.85546875" style="551" customWidth="1"/>
    <col min="11789" max="11789" width="7.5703125" style="551" customWidth="1"/>
    <col min="11790" max="11792" width="3.7109375" style="551" customWidth="1"/>
    <col min="11793" max="11793" width="3.5703125" style="551" customWidth="1"/>
    <col min="11794" max="11794" width="2.85546875" style="551" customWidth="1"/>
    <col min="11795" max="11795" width="3" style="551" customWidth="1"/>
    <col min="11796" max="11798" width="0" style="551" hidden="1" customWidth="1"/>
    <col min="11799" max="11799" width="4.42578125" style="551" customWidth="1"/>
    <col min="11800" max="11800" width="0" style="551" hidden="1" customWidth="1"/>
    <col min="11801" max="11802" width="14.85546875" style="551" customWidth="1"/>
    <col min="11803" max="11803" width="15.140625" style="551" customWidth="1"/>
    <col min="11804" max="11804" width="6.42578125" style="551" customWidth="1"/>
    <col min="11805" max="11805" width="15.140625" style="551" customWidth="1"/>
    <col min="11806" max="11806" width="4.140625" style="551" customWidth="1"/>
    <col min="11807" max="11807" width="3" style="551" customWidth="1"/>
    <col min="11808" max="11810" width="0" style="551" hidden="1" customWidth="1"/>
    <col min="11811" max="11811" width="3" style="551" customWidth="1"/>
    <col min="11812" max="11812" width="0" style="551" hidden="1" customWidth="1"/>
    <col min="11813" max="11813" width="3" style="551" customWidth="1"/>
    <col min="11814" max="11814" width="0" style="551" hidden="1" customWidth="1"/>
    <col min="11815" max="11815" width="4.42578125" style="551" customWidth="1"/>
    <col min="11816" max="11816" width="34.28515625" style="551" customWidth="1"/>
    <col min="11817" max="11817" width="23.42578125" style="551" customWidth="1"/>
    <col min="11818" max="11818" width="9.140625" style="551" customWidth="1"/>
    <col min="11819" max="11819" width="19.5703125" style="551" customWidth="1"/>
    <col min="11820" max="11820" width="42.7109375" style="551" customWidth="1"/>
    <col min="11821" max="11821" width="5.85546875" style="551" customWidth="1"/>
    <col min="11822" max="11822" width="31.5703125" style="551" customWidth="1"/>
    <col min="11823" max="11823" width="16.140625" style="551" customWidth="1"/>
    <col min="11824" max="11825" width="9.28515625" style="551" customWidth="1"/>
    <col min="11826" max="11826" width="11.140625" style="551" customWidth="1"/>
    <col min="11827" max="11827" width="2.140625" style="551" customWidth="1"/>
    <col min="11828" max="12033" width="11.42578125" style="551"/>
    <col min="12034" max="12034" width="12" style="551" customWidth="1"/>
    <col min="12035" max="12035" width="2.7109375" style="551" customWidth="1"/>
    <col min="12036" max="12037" width="6.5703125" style="551" customWidth="1"/>
    <col min="12038" max="12038" width="5.85546875" style="551" customWidth="1"/>
    <col min="12039" max="12039" width="6.5703125" style="551" customWidth="1"/>
    <col min="12040" max="12040" width="13.7109375" style="551" customWidth="1"/>
    <col min="12041" max="12042" width="9" style="551" customWidth="1"/>
    <col min="12043" max="12043" width="2.5703125" style="551" customWidth="1"/>
    <col min="12044" max="12044" width="8.85546875" style="551" customWidth="1"/>
    <col min="12045" max="12045" width="7.5703125" style="551" customWidth="1"/>
    <col min="12046" max="12048" width="3.7109375" style="551" customWidth="1"/>
    <col min="12049" max="12049" width="3.5703125" style="551" customWidth="1"/>
    <col min="12050" max="12050" width="2.85546875" style="551" customWidth="1"/>
    <col min="12051" max="12051" width="3" style="551" customWidth="1"/>
    <col min="12052" max="12054" width="0" style="551" hidden="1" customWidth="1"/>
    <col min="12055" max="12055" width="4.42578125" style="551" customWidth="1"/>
    <col min="12056" max="12056" width="0" style="551" hidden="1" customWidth="1"/>
    <col min="12057" max="12058" width="14.85546875" style="551" customWidth="1"/>
    <col min="12059" max="12059" width="15.140625" style="551" customWidth="1"/>
    <col min="12060" max="12060" width="6.42578125" style="551" customWidth="1"/>
    <col min="12061" max="12061" width="15.140625" style="551" customWidth="1"/>
    <col min="12062" max="12062" width="4.140625" style="551" customWidth="1"/>
    <col min="12063" max="12063" width="3" style="551" customWidth="1"/>
    <col min="12064" max="12066" width="0" style="551" hidden="1" customWidth="1"/>
    <col min="12067" max="12067" width="3" style="551" customWidth="1"/>
    <col min="12068" max="12068" width="0" style="551" hidden="1" customWidth="1"/>
    <col min="12069" max="12069" width="3" style="551" customWidth="1"/>
    <col min="12070" max="12070" width="0" style="551" hidden="1" customWidth="1"/>
    <col min="12071" max="12071" width="4.42578125" style="551" customWidth="1"/>
    <col min="12072" max="12072" width="34.28515625" style="551" customWidth="1"/>
    <col min="12073" max="12073" width="23.42578125" style="551" customWidth="1"/>
    <col min="12074" max="12074" width="9.140625" style="551" customWidth="1"/>
    <col min="12075" max="12075" width="19.5703125" style="551" customWidth="1"/>
    <col min="12076" max="12076" width="42.7109375" style="551" customWidth="1"/>
    <col min="12077" max="12077" width="5.85546875" style="551" customWidth="1"/>
    <col min="12078" max="12078" width="31.5703125" style="551" customWidth="1"/>
    <col min="12079" max="12079" width="16.140625" style="551" customWidth="1"/>
    <col min="12080" max="12081" width="9.28515625" style="551" customWidth="1"/>
    <col min="12082" max="12082" width="11.140625" style="551" customWidth="1"/>
    <col min="12083" max="12083" width="2.140625" style="551" customWidth="1"/>
    <col min="12084" max="12289" width="11.42578125" style="551"/>
    <col min="12290" max="12290" width="12" style="551" customWidth="1"/>
    <col min="12291" max="12291" width="2.7109375" style="551" customWidth="1"/>
    <col min="12292" max="12293" width="6.5703125" style="551" customWidth="1"/>
    <col min="12294" max="12294" width="5.85546875" style="551" customWidth="1"/>
    <col min="12295" max="12295" width="6.5703125" style="551" customWidth="1"/>
    <col min="12296" max="12296" width="13.7109375" style="551" customWidth="1"/>
    <col min="12297" max="12298" width="9" style="551" customWidth="1"/>
    <col min="12299" max="12299" width="2.5703125" style="551" customWidth="1"/>
    <col min="12300" max="12300" width="8.85546875" style="551" customWidth="1"/>
    <col min="12301" max="12301" width="7.5703125" style="551" customWidth="1"/>
    <col min="12302" max="12304" width="3.7109375" style="551" customWidth="1"/>
    <col min="12305" max="12305" width="3.5703125" style="551" customWidth="1"/>
    <col min="12306" max="12306" width="2.85546875" style="551" customWidth="1"/>
    <col min="12307" max="12307" width="3" style="551" customWidth="1"/>
    <col min="12308" max="12310" width="0" style="551" hidden="1" customWidth="1"/>
    <col min="12311" max="12311" width="4.42578125" style="551" customWidth="1"/>
    <col min="12312" max="12312" width="0" style="551" hidden="1" customWidth="1"/>
    <col min="12313" max="12314" width="14.85546875" style="551" customWidth="1"/>
    <col min="12315" max="12315" width="15.140625" style="551" customWidth="1"/>
    <col min="12316" max="12316" width="6.42578125" style="551" customWidth="1"/>
    <col min="12317" max="12317" width="15.140625" style="551" customWidth="1"/>
    <col min="12318" max="12318" width="4.140625" style="551" customWidth="1"/>
    <col min="12319" max="12319" width="3" style="551" customWidth="1"/>
    <col min="12320" max="12322" width="0" style="551" hidden="1" customWidth="1"/>
    <col min="12323" max="12323" width="3" style="551" customWidth="1"/>
    <col min="12324" max="12324" width="0" style="551" hidden="1" customWidth="1"/>
    <col min="12325" max="12325" width="3" style="551" customWidth="1"/>
    <col min="12326" max="12326" width="0" style="551" hidden="1" customWidth="1"/>
    <col min="12327" max="12327" width="4.42578125" style="551" customWidth="1"/>
    <col min="12328" max="12328" width="34.28515625" style="551" customWidth="1"/>
    <col min="12329" max="12329" width="23.42578125" style="551" customWidth="1"/>
    <col min="12330" max="12330" width="9.140625" style="551" customWidth="1"/>
    <col min="12331" max="12331" width="19.5703125" style="551" customWidth="1"/>
    <col min="12332" max="12332" width="42.7109375" style="551" customWidth="1"/>
    <col min="12333" max="12333" width="5.85546875" style="551" customWidth="1"/>
    <col min="12334" max="12334" width="31.5703125" style="551" customWidth="1"/>
    <col min="12335" max="12335" width="16.140625" style="551" customWidth="1"/>
    <col min="12336" max="12337" width="9.28515625" style="551" customWidth="1"/>
    <col min="12338" max="12338" width="11.140625" style="551" customWidth="1"/>
    <col min="12339" max="12339" width="2.140625" style="551" customWidth="1"/>
    <col min="12340" max="12545" width="11.42578125" style="551"/>
    <col min="12546" max="12546" width="12" style="551" customWidth="1"/>
    <col min="12547" max="12547" width="2.7109375" style="551" customWidth="1"/>
    <col min="12548" max="12549" width="6.5703125" style="551" customWidth="1"/>
    <col min="12550" max="12550" width="5.85546875" style="551" customWidth="1"/>
    <col min="12551" max="12551" width="6.5703125" style="551" customWidth="1"/>
    <col min="12552" max="12552" width="13.7109375" style="551" customWidth="1"/>
    <col min="12553" max="12554" width="9" style="551" customWidth="1"/>
    <col min="12555" max="12555" width="2.5703125" style="551" customWidth="1"/>
    <col min="12556" max="12556" width="8.85546875" style="551" customWidth="1"/>
    <col min="12557" max="12557" width="7.5703125" style="551" customWidth="1"/>
    <col min="12558" max="12560" width="3.7109375" style="551" customWidth="1"/>
    <col min="12561" max="12561" width="3.5703125" style="551" customWidth="1"/>
    <col min="12562" max="12562" width="2.85546875" style="551" customWidth="1"/>
    <col min="12563" max="12563" width="3" style="551" customWidth="1"/>
    <col min="12564" max="12566" width="0" style="551" hidden="1" customWidth="1"/>
    <col min="12567" max="12567" width="4.42578125" style="551" customWidth="1"/>
    <col min="12568" max="12568" width="0" style="551" hidden="1" customWidth="1"/>
    <col min="12569" max="12570" width="14.85546875" style="551" customWidth="1"/>
    <col min="12571" max="12571" width="15.140625" style="551" customWidth="1"/>
    <col min="12572" max="12572" width="6.42578125" style="551" customWidth="1"/>
    <col min="12573" max="12573" width="15.140625" style="551" customWidth="1"/>
    <col min="12574" max="12574" width="4.140625" style="551" customWidth="1"/>
    <col min="12575" max="12575" width="3" style="551" customWidth="1"/>
    <col min="12576" max="12578" width="0" style="551" hidden="1" customWidth="1"/>
    <col min="12579" max="12579" width="3" style="551" customWidth="1"/>
    <col min="12580" max="12580" width="0" style="551" hidden="1" customWidth="1"/>
    <col min="12581" max="12581" width="3" style="551" customWidth="1"/>
    <col min="12582" max="12582" width="0" style="551" hidden="1" customWidth="1"/>
    <col min="12583" max="12583" width="4.42578125" style="551" customWidth="1"/>
    <col min="12584" max="12584" width="34.28515625" style="551" customWidth="1"/>
    <col min="12585" max="12585" width="23.42578125" style="551" customWidth="1"/>
    <col min="12586" max="12586" width="9.140625" style="551" customWidth="1"/>
    <col min="12587" max="12587" width="19.5703125" style="551" customWidth="1"/>
    <col min="12588" max="12588" width="42.7109375" style="551" customWidth="1"/>
    <col min="12589" max="12589" width="5.85546875" style="551" customWidth="1"/>
    <col min="12590" max="12590" width="31.5703125" style="551" customWidth="1"/>
    <col min="12591" max="12591" width="16.140625" style="551" customWidth="1"/>
    <col min="12592" max="12593" width="9.28515625" style="551" customWidth="1"/>
    <col min="12594" max="12594" width="11.140625" style="551" customWidth="1"/>
    <col min="12595" max="12595" width="2.140625" style="551" customWidth="1"/>
    <col min="12596" max="12801" width="11.42578125" style="551"/>
    <col min="12802" max="12802" width="12" style="551" customWidth="1"/>
    <col min="12803" max="12803" width="2.7109375" style="551" customWidth="1"/>
    <col min="12804" max="12805" width="6.5703125" style="551" customWidth="1"/>
    <col min="12806" max="12806" width="5.85546875" style="551" customWidth="1"/>
    <col min="12807" max="12807" width="6.5703125" style="551" customWidth="1"/>
    <col min="12808" max="12808" width="13.7109375" style="551" customWidth="1"/>
    <col min="12809" max="12810" width="9" style="551" customWidth="1"/>
    <col min="12811" max="12811" width="2.5703125" style="551" customWidth="1"/>
    <col min="12812" max="12812" width="8.85546875" style="551" customWidth="1"/>
    <col min="12813" max="12813" width="7.5703125" style="551" customWidth="1"/>
    <col min="12814" max="12816" width="3.7109375" style="551" customWidth="1"/>
    <col min="12817" max="12817" width="3.5703125" style="551" customWidth="1"/>
    <col min="12818" max="12818" width="2.85546875" style="551" customWidth="1"/>
    <col min="12819" max="12819" width="3" style="551" customWidth="1"/>
    <col min="12820" max="12822" width="0" style="551" hidden="1" customWidth="1"/>
    <col min="12823" max="12823" width="4.42578125" style="551" customWidth="1"/>
    <col min="12824" max="12824" width="0" style="551" hidden="1" customWidth="1"/>
    <col min="12825" max="12826" width="14.85546875" style="551" customWidth="1"/>
    <col min="12827" max="12827" width="15.140625" style="551" customWidth="1"/>
    <col min="12828" max="12828" width="6.42578125" style="551" customWidth="1"/>
    <col min="12829" max="12829" width="15.140625" style="551" customWidth="1"/>
    <col min="12830" max="12830" width="4.140625" style="551" customWidth="1"/>
    <col min="12831" max="12831" width="3" style="551" customWidth="1"/>
    <col min="12832" max="12834" width="0" style="551" hidden="1" customWidth="1"/>
    <col min="12835" max="12835" width="3" style="551" customWidth="1"/>
    <col min="12836" max="12836" width="0" style="551" hidden="1" customWidth="1"/>
    <col min="12837" max="12837" width="3" style="551" customWidth="1"/>
    <col min="12838" max="12838" width="0" style="551" hidden="1" customWidth="1"/>
    <col min="12839" max="12839" width="4.42578125" style="551" customWidth="1"/>
    <col min="12840" max="12840" width="34.28515625" style="551" customWidth="1"/>
    <col min="12841" max="12841" width="23.42578125" style="551" customWidth="1"/>
    <col min="12842" max="12842" width="9.140625" style="551" customWidth="1"/>
    <col min="12843" max="12843" width="19.5703125" style="551" customWidth="1"/>
    <col min="12844" max="12844" width="42.7109375" style="551" customWidth="1"/>
    <col min="12845" max="12845" width="5.85546875" style="551" customWidth="1"/>
    <col min="12846" max="12846" width="31.5703125" style="551" customWidth="1"/>
    <col min="12847" max="12847" width="16.140625" style="551" customWidth="1"/>
    <col min="12848" max="12849" width="9.28515625" style="551" customWidth="1"/>
    <col min="12850" max="12850" width="11.140625" style="551" customWidth="1"/>
    <col min="12851" max="12851" width="2.140625" style="551" customWidth="1"/>
    <col min="12852" max="13057" width="11.42578125" style="551"/>
    <col min="13058" max="13058" width="12" style="551" customWidth="1"/>
    <col min="13059" max="13059" width="2.7109375" style="551" customWidth="1"/>
    <col min="13060" max="13061" width="6.5703125" style="551" customWidth="1"/>
    <col min="13062" max="13062" width="5.85546875" style="551" customWidth="1"/>
    <col min="13063" max="13063" width="6.5703125" style="551" customWidth="1"/>
    <col min="13064" max="13064" width="13.7109375" style="551" customWidth="1"/>
    <col min="13065" max="13066" width="9" style="551" customWidth="1"/>
    <col min="13067" max="13067" width="2.5703125" style="551" customWidth="1"/>
    <col min="13068" max="13068" width="8.85546875" style="551" customWidth="1"/>
    <col min="13069" max="13069" width="7.5703125" style="551" customWidth="1"/>
    <col min="13070" max="13072" width="3.7109375" style="551" customWidth="1"/>
    <col min="13073" max="13073" width="3.5703125" style="551" customWidth="1"/>
    <col min="13074" max="13074" width="2.85546875" style="551" customWidth="1"/>
    <col min="13075" max="13075" width="3" style="551" customWidth="1"/>
    <col min="13076" max="13078" width="0" style="551" hidden="1" customWidth="1"/>
    <col min="13079" max="13079" width="4.42578125" style="551" customWidth="1"/>
    <col min="13080" max="13080" width="0" style="551" hidden="1" customWidth="1"/>
    <col min="13081" max="13082" width="14.85546875" style="551" customWidth="1"/>
    <col min="13083" max="13083" width="15.140625" style="551" customWidth="1"/>
    <col min="13084" max="13084" width="6.42578125" style="551" customWidth="1"/>
    <col min="13085" max="13085" width="15.140625" style="551" customWidth="1"/>
    <col min="13086" max="13086" width="4.140625" style="551" customWidth="1"/>
    <col min="13087" max="13087" width="3" style="551" customWidth="1"/>
    <col min="13088" max="13090" width="0" style="551" hidden="1" customWidth="1"/>
    <col min="13091" max="13091" width="3" style="551" customWidth="1"/>
    <col min="13092" max="13092" width="0" style="551" hidden="1" customWidth="1"/>
    <col min="13093" max="13093" width="3" style="551" customWidth="1"/>
    <col min="13094" max="13094" width="0" style="551" hidden="1" customWidth="1"/>
    <col min="13095" max="13095" width="4.42578125" style="551" customWidth="1"/>
    <col min="13096" max="13096" width="34.28515625" style="551" customWidth="1"/>
    <col min="13097" max="13097" width="23.42578125" style="551" customWidth="1"/>
    <col min="13098" max="13098" width="9.140625" style="551" customWidth="1"/>
    <col min="13099" max="13099" width="19.5703125" style="551" customWidth="1"/>
    <col min="13100" max="13100" width="42.7109375" style="551" customWidth="1"/>
    <col min="13101" max="13101" width="5.85546875" style="551" customWidth="1"/>
    <col min="13102" max="13102" width="31.5703125" style="551" customWidth="1"/>
    <col min="13103" max="13103" width="16.140625" style="551" customWidth="1"/>
    <col min="13104" max="13105" width="9.28515625" style="551" customWidth="1"/>
    <col min="13106" max="13106" width="11.140625" style="551" customWidth="1"/>
    <col min="13107" max="13107" width="2.140625" style="551" customWidth="1"/>
    <col min="13108" max="13313" width="11.42578125" style="551"/>
    <col min="13314" max="13314" width="12" style="551" customWidth="1"/>
    <col min="13315" max="13315" width="2.7109375" style="551" customWidth="1"/>
    <col min="13316" max="13317" width="6.5703125" style="551" customWidth="1"/>
    <col min="13318" max="13318" width="5.85546875" style="551" customWidth="1"/>
    <col min="13319" max="13319" width="6.5703125" style="551" customWidth="1"/>
    <col min="13320" max="13320" width="13.7109375" style="551" customWidth="1"/>
    <col min="13321" max="13322" width="9" style="551" customWidth="1"/>
    <col min="13323" max="13323" width="2.5703125" style="551" customWidth="1"/>
    <col min="13324" max="13324" width="8.85546875" style="551" customWidth="1"/>
    <col min="13325" max="13325" width="7.5703125" style="551" customWidth="1"/>
    <col min="13326" max="13328" width="3.7109375" style="551" customWidth="1"/>
    <col min="13329" max="13329" width="3.5703125" style="551" customWidth="1"/>
    <col min="13330" max="13330" width="2.85546875" style="551" customWidth="1"/>
    <col min="13331" max="13331" width="3" style="551" customWidth="1"/>
    <col min="13332" max="13334" width="0" style="551" hidden="1" customWidth="1"/>
    <col min="13335" max="13335" width="4.42578125" style="551" customWidth="1"/>
    <col min="13336" max="13336" width="0" style="551" hidden="1" customWidth="1"/>
    <col min="13337" max="13338" width="14.85546875" style="551" customWidth="1"/>
    <col min="13339" max="13339" width="15.140625" style="551" customWidth="1"/>
    <col min="13340" max="13340" width="6.42578125" style="551" customWidth="1"/>
    <col min="13341" max="13341" width="15.140625" style="551" customWidth="1"/>
    <col min="13342" max="13342" width="4.140625" style="551" customWidth="1"/>
    <col min="13343" max="13343" width="3" style="551" customWidth="1"/>
    <col min="13344" max="13346" width="0" style="551" hidden="1" customWidth="1"/>
    <col min="13347" max="13347" width="3" style="551" customWidth="1"/>
    <col min="13348" max="13348" width="0" style="551" hidden="1" customWidth="1"/>
    <col min="13349" max="13349" width="3" style="551" customWidth="1"/>
    <col min="13350" max="13350" width="0" style="551" hidden="1" customWidth="1"/>
    <col min="13351" max="13351" width="4.42578125" style="551" customWidth="1"/>
    <col min="13352" max="13352" width="34.28515625" style="551" customWidth="1"/>
    <col min="13353" max="13353" width="23.42578125" style="551" customWidth="1"/>
    <col min="13354" max="13354" width="9.140625" style="551" customWidth="1"/>
    <col min="13355" max="13355" width="19.5703125" style="551" customWidth="1"/>
    <col min="13356" max="13356" width="42.7109375" style="551" customWidth="1"/>
    <col min="13357" max="13357" width="5.85546875" style="551" customWidth="1"/>
    <col min="13358" max="13358" width="31.5703125" style="551" customWidth="1"/>
    <col min="13359" max="13359" width="16.140625" style="551" customWidth="1"/>
    <col min="13360" max="13361" width="9.28515625" style="551" customWidth="1"/>
    <col min="13362" max="13362" width="11.140625" style="551" customWidth="1"/>
    <col min="13363" max="13363" width="2.140625" style="551" customWidth="1"/>
    <col min="13364" max="13569" width="11.42578125" style="551"/>
    <col min="13570" max="13570" width="12" style="551" customWidth="1"/>
    <col min="13571" max="13571" width="2.7109375" style="551" customWidth="1"/>
    <col min="13572" max="13573" width="6.5703125" style="551" customWidth="1"/>
    <col min="13574" max="13574" width="5.85546875" style="551" customWidth="1"/>
    <col min="13575" max="13575" width="6.5703125" style="551" customWidth="1"/>
    <col min="13576" max="13576" width="13.7109375" style="551" customWidth="1"/>
    <col min="13577" max="13578" width="9" style="551" customWidth="1"/>
    <col min="13579" max="13579" width="2.5703125" style="551" customWidth="1"/>
    <col min="13580" max="13580" width="8.85546875" style="551" customWidth="1"/>
    <col min="13581" max="13581" width="7.5703125" style="551" customWidth="1"/>
    <col min="13582" max="13584" width="3.7109375" style="551" customWidth="1"/>
    <col min="13585" max="13585" width="3.5703125" style="551" customWidth="1"/>
    <col min="13586" max="13586" width="2.85546875" style="551" customWidth="1"/>
    <col min="13587" max="13587" width="3" style="551" customWidth="1"/>
    <col min="13588" max="13590" width="0" style="551" hidden="1" customWidth="1"/>
    <col min="13591" max="13591" width="4.42578125" style="551" customWidth="1"/>
    <col min="13592" max="13592" width="0" style="551" hidden="1" customWidth="1"/>
    <col min="13593" max="13594" width="14.85546875" style="551" customWidth="1"/>
    <col min="13595" max="13595" width="15.140625" style="551" customWidth="1"/>
    <col min="13596" max="13596" width="6.42578125" style="551" customWidth="1"/>
    <col min="13597" max="13597" width="15.140625" style="551" customWidth="1"/>
    <col min="13598" max="13598" width="4.140625" style="551" customWidth="1"/>
    <col min="13599" max="13599" width="3" style="551" customWidth="1"/>
    <col min="13600" max="13602" width="0" style="551" hidden="1" customWidth="1"/>
    <col min="13603" max="13603" width="3" style="551" customWidth="1"/>
    <col min="13604" max="13604" width="0" style="551" hidden="1" customWidth="1"/>
    <col min="13605" max="13605" width="3" style="551" customWidth="1"/>
    <col min="13606" max="13606" width="0" style="551" hidden="1" customWidth="1"/>
    <col min="13607" max="13607" width="4.42578125" style="551" customWidth="1"/>
    <col min="13608" max="13608" width="34.28515625" style="551" customWidth="1"/>
    <col min="13609" max="13609" width="23.42578125" style="551" customWidth="1"/>
    <col min="13610" max="13610" width="9.140625" style="551" customWidth="1"/>
    <col min="13611" max="13611" width="19.5703125" style="551" customWidth="1"/>
    <col min="13612" max="13612" width="42.7109375" style="551" customWidth="1"/>
    <col min="13613" max="13613" width="5.85546875" style="551" customWidth="1"/>
    <col min="13614" max="13614" width="31.5703125" style="551" customWidth="1"/>
    <col min="13615" max="13615" width="16.140625" style="551" customWidth="1"/>
    <col min="13616" max="13617" width="9.28515625" style="551" customWidth="1"/>
    <col min="13618" max="13618" width="11.140625" style="551" customWidth="1"/>
    <col min="13619" max="13619" width="2.140625" style="551" customWidth="1"/>
    <col min="13620" max="13825" width="11.42578125" style="551"/>
    <col min="13826" max="13826" width="12" style="551" customWidth="1"/>
    <col min="13827" max="13827" width="2.7109375" style="551" customWidth="1"/>
    <col min="13828" max="13829" width="6.5703125" style="551" customWidth="1"/>
    <col min="13830" max="13830" width="5.85546875" style="551" customWidth="1"/>
    <col min="13831" max="13831" width="6.5703125" style="551" customWidth="1"/>
    <col min="13832" max="13832" width="13.7109375" style="551" customWidth="1"/>
    <col min="13833" max="13834" width="9" style="551" customWidth="1"/>
    <col min="13835" max="13835" width="2.5703125" style="551" customWidth="1"/>
    <col min="13836" max="13836" width="8.85546875" style="551" customWidth="1"/>
    <col min="13837" max="13837" width="7.5703125" style="551" customWidth="1"/>
    <col min="13838" max="13840" width="3.7109375" style="551" customWidth="1"/>
    <col min="13841" max="13841" width="3.5703125" style="551" customWidth="1"/>
    <col min="13842" max="13842" width="2.85546875" style="551" customWidth="1"/>
    <col min="13843" max="13843" width="3" style="551" customWidth="1"/>
    <col min="13844" max="13846" width="0" style="551" hidden="1" customWidth="1"/>
    <col min="13847" max="13847" width="4.42578125" style="551" customWidth="1"/>
    <col min="13848" max="13848" width="0" style="551" hidden="1" customWidth="1"/>
    <col min="13849" max="13850" width="14.85546875" style="551" customWidth="1"/>
    <col min="13851" max="13851" width="15.140625" style="551" customWidth="1"/>
    <col min="13852" max="13852" width="6.42578125" style="551" customWidth="1"/>
    <col min="13853" max="13853" width="15.140625" style="551" customWidth="1"/>
    <col min="13854" max="13854" width="4.140625" style="551" customWidth="1"/>
    <col min="13855" max="13855" width="3" style="551" customWidth="1"/>
    <col min="13856" max="13858" width="0" style="551" hidden="1" customWidth="1"/>
    <col min="13859" max="13859" width="3" style="551" customWidth="1"/>
    <col min="13860" max="13860" width="0" style="551" hidden="1" customWidth="1"/>
    <col min="13861" max="13861" width="3" style="551" customWidth="1"/>
    <col min="13862" max="13862" width="0" style="551" hidden="1" customWidth="1"/>
    <col min="13863" max="13863" width="4.42578125" style="551" customWidth="1"/>
    <col min="13864" max="13864" width="34.28515625" style="551" customWidth="1"/>
    <col min="13865" max="13865" width="23.42578125" style="551" customWidth="1"/>
    <col min="13866" max="13866" width="9.140625" style="551" customWidth="1"/>
    <col min="13867" max="13867" width="19.5703125" style="551" customWidth="1"/>
    <col min="13868" max="13868" width="42.7109375" style="551" customWidth="1"/>
    <col min="13869" max="13869" width="5.85546875" style="551" customWidth="1"/>
    <col min="13870" max="13870" width="31.5703125" style="551" customWidth="1"/>
    <col min="13871" max="13871" width="16.140625" style="551" customWidth="1"/>
    <col min="13872" max="13873" width="9.28515625" style="551" customWidth="1"/>
    <col min="13874" max="13874" width="11.140625" style="551" customWidth="1"/>
    <col min="13875" max="13875" width="2.140625" style="551" customWidth="1"/>
    <col min="13876" max="14081" width="11.42578125" style="551"/>
    <col min="14082" max="14082" width="12" style="551" customWidth="1"/>
    <col min="14083" max="14083" width="2.7109375" style="551" customWidth="1"/>
    <col min="14084" max="14085" width="6.5703125" style="551" customWidth="1"/>
    <col min="14086" max="14086" width="5.85546875" style="551" customWidth="1"/>
    <col min="14087" max="14087" width="6.5703125" style="551" customWidth="1"/>
    <col min="14088" max="14088" width="13.7109375" style="551" customWidth="1"/>
    <col min="14089" max="14090" width="9" style="551" customWidth="1"/>
    <col min="14091" max="14091" width="2.5703125" style="551" customWidth="1"/>
    <col min="14092" max="14092" width="8.85546875" style="551" customWidth="1"/>
    <col min="14093" max="14093" width="7.5703125" style="551" customWidth="1"/>
    <col min="14094" max="14096" width="3.7109375" style="551" customWidth="1"/>
    <col min="14097" max="14097" width="3.5703125" style="551" customWidth="1"/>
    <col min="14098" max="14098" width="2.85546875" style="551" customWidth="1"/>
    <col min="14099" max="14099" width="3" style="551" customWidth="1"/>
    <col min="14100" max="14102" width="0" style="551" hidden="1" customWidth="1"/>
    <col min="14103" max="14103" width="4.42578125" style="551" customWidth="1"/>
    <col min="14104" max="14104" width="0" style="551" hidden="1" customWidth="1"/>
    <col min="14105" max="14106" width="14.85546875" style="551" customWidth="1"/>
    <col min="14107" max="14107" width="15.140625" style="551" customWidth="1"/>
    <col min="14108" max="14108" width="6.42578125" style="551" customWidth="1"/>
    <col min="14109" max="14109" width="15.140625" style="551" customWidth="1"/>
    <col min="14110" max="14110" width="4.140625" style="551" customWidth="1"/>
    <col min="14111" max="14111" width="3" style="551" customWidth="1"/>
    <col min="14112" max="14114" width="0" style="551" hidden="1" customWidth="1"/>
    <col min="14115" max="14115" width="3" style="551" customWidth="1"/>
    <col min="14116" max="14116" width="0" style="551" hidden="1" customWidth="1"/>
    <col min="14117" max="14117" width="3" style="551" customWidth="1"/>
    <col min="14118" max="14118" width="0" style="551" hidden="1" customWidth="1"/>
    <col min="14119" max="14119" width="4.42578125" style="551" customWidth="1"/>
    <col min="14120" max="14120" width="34.28515625" style="551" customWidth="1"/>
    <col min="14121" max="14121" width="23.42578125" style="551" customWidth="1"/>
    <col min="14122" max="14122" width="9.140625" style="551" customWidth="1"/>
    <col min="14123" max="14123" width="19.5703125" style="551" customWidth="1"/>
    <col min="14124" max="14124" width="42.7109375" style="551" customWidth="1"/>
    <col min="14125" max="14125" width="5.85546875" style="551" customWidth="1"/>
    <col min="14126" max="14126" width="31.5703125" style="551" customWidth="1"/>
    <col min="14127" max="14127" width="16.140625" style="551" customWidth="1"/>
    <col min="14128" max="14129" width="9.28515625" style="551" customWidth="1"/>
    <col min="14130" max="14130" width="11.140625" style="551" customWidth="1"/>
    <col min="14131" max="14131" width="2.140625" style="551" customWidth="1"/>
    <col min="14132" max="14337" width="11.42578125" style="551"/>
    <col min="14338" max="14338" width="12" style="551" customWidth="1"/>
    <col min="14339" max="14339" width="2.7109375" style="551" customWidth="1"/>
    <col min="14340" max="14341" width="6.5703125" style="551" customWidth="1"/>
    <col min="14342" max="14342" width="5.85546875" style="551" customWidth="1"/>
    <col min="14343" max="14343" width="6.5703125" style="551" customWidth="1"/>
    <col min="14344" max="14344" width="13.7109375" style="551" customWidth="1"/>
    <col min="14345" max="14346" width="9" style="551" customWidth="1"/>
    <col min="14347" max="14347" width="2.5703125" style="551" customWidth="1"/>
    <col min="14348" max="14348" width="8.85546875" style="551" customWidth="1"/>
    <col min="14349" max="14349" width="7.5703125" style="551" customWidth="1"/>
    <col min="14350" max="14352" width="3.7109375" style="551" customWidth="1"/>
    <col min="14353" max="14353" width="3.5703125" style="551" customWidth="1"/>
    <col min="14354" max="14354" width="2.85546875" style="551" customWidth="1"/>
    <col min="14355" max="14355" width="3" style="551" customWidth="1"/>
    <col min="14356" max="14358" width="0" style="551" hidden="1" customWidth="1"/>
    <col min="14359" max="14359" width="4.42578125" style="551" customWidth="1"/>
    <col min="14360" max="14360" width="0" style="551" hidden="1" customWidth="1"/>
    <col min="14361" max="14362" width="14.85546875" style="551" customWidth="1"/>
    <col min="14363" max="14363" width="15.140625" style="551" customWidth="1"/>
    <col min="14364" max="14364" width="6.42578125" style="551" customWidth="1"/>
    <col min="14365" max="14365" width="15.140625" style="551" customWidth="1"/>
    <col min="14366" max="14366" width="4.140625" style="551" customWidth="1"/>
    <col min="14367" max="14367" width="3" style="551" customWidth="1"/>
    <col min="14368" max="14370" width="0" style="551" hidden="1" customWidth="1"/>
    <col min="14371" max="14371" width="3" style="551" customWidth="1"/>
    <col min="14372" max="14372" width="0" style="551" hidden="1" customWidth="1"/>
    <col min="14373" max="14373" width="3" style="551" customWidth="1"/>
    <col min="14374" max="14374" width="0" style="551" hidden="1" customWidth="1"/>
    <col min="14375" max="14375" width="4.42578125" style="551" customWidth="1"/>
    <col min="14376" max="14376" width="34.28515625" style="551" customWidth="1"/>
    <col min="14377" max="14377" width="23.42578125" style="551" customWidth="1"/>
    <col min="14378" max="14378" width="9.140625" style="551" customWidth="1"/>
    <col min="14379" max="14379" width="19.5703125" style="551" customWidth="1"/>
    <col min="14380" max="14380" width="42.7109375" style="551" customWidth="1"/>
    <col min="14381" max="14381" width="5.85546875" style="551" customWidth="1"/>
    <col min="14382" max="14382" width="31.5703125" style="551" customWidth="1"/>
    <col min="14383" max="14383" width="16.140625" style="551" customWidth="1"/>
    <col min="14384" max="14385" width="9.28515625" style="551" customWidth="1"/>
    <col min="14386" max="14386" width="11.140625" style="551" customWidth="1"/>
    <col min="14387" max="14387" width="2.140625" style="551" customWidth="1"/>
    <col min="14388" max="14593" width="11.42578125" style="551"/>
    <col min="14594" max="14594" width="12" style="551" customWidth="1"/>
    <col min="14595" max="14595" width="2.7109375" style="551" customWidth="1"/>
    <col min="14596" max="14597" width="6.5703125" style="551" customWidth="1"/>
    <col min="14598" max="14598" width="5.85546875" style="551" customWidth="1"/>
    <col min="14599" max="14599" width="6.5703125" style="551" customWidth="1"/>
    <col min="14600" max="14600" width="13.7109375" style="551" customWidth="1"/>
    <col min="14601" max="14602" width="9" style="551" customWidth="1"/>
    <col min="14603" max="14603" width="2.5703125" style="551" customWidth="1"/>
    <col min="14604" max="14604" width="8.85546875" style="551" customWidth="1"/>
    <col min="14605" max="14605" width="7.5703125" style="551" customWidth="1"/>
    <col min="14606" max="14608" width="3.7109375" style="551" customWidth="1"/>
    <col min="14609" max="14609" width="3.5703125" style="551" customWidth="1"/>
    <col min="14610" max="14610" width="2.85546875" style="551" customWidth="1"/>
    <col min="14611" max="14611" width="3" style="551" customWidth="1"/>
    <col min="14612" max="14614" width="0" style="551" hidden="1" customWidth="1"/>
    <col min="14615" max="14615" width="4.42578125" style="551" customWidth="1"/>
    <col min="14616" max="14616" width="0" style="551" hidden="1" customWidth="1"/>
    <col min="14617" max="14618" width="14.85546875" style="551" customWidth="1"/>
    <col min="14619" max="14619" width="15.140625" style="551" customWidth="1"/>
    <col min="14620" max="14620" width="6.42578125" style="551" customWidth="1"/>
    <col min="14621" max="14621" width="15.140625" style="551" customWidth="1"/>
    <col min="14622" max="14622" width="4.140625" style="551" customWidth="1"/>
    <col min="14623" max="14623" width="3" style="551" customWidth="1"/>
    <col min="14624" max="14626" width="0" style="551" hidden="1" customWidth="1"/>
    <col min="14627" max="14627" width="3" style="551" customWidth="1"/>
    <col min="14628" max="14628" width="0" style="551" hidden="1" customWidth="1"/>
    <col min="14629" max="14629" width="3" style="551" customWidth="1"/>
    <col min="14630" max="14630" width="0" style="551" hidden="1" customWidth="1"/>
    <col min="14631" max="14631" width="4.42578125" style="551" customWidth="1"/>
    <col min="14632" max="14632" width="34.28515625" style="551" customWidth="1"/>
    <col min="14633" max="14633" width="23.42578125" style="551" customWidth="1"/>
    <col min="14634" max="14634" width="9.140625" style="551" customWidth="1"/>
    <col min="14635" max="14635" width="19.5703125" style="551" customWidth="1"/>
    <col min="14636" max="14636" width="42.7109375" style="551" customWidth="1"/>
    <col min="14637" max="14637" width="5.85546875" style="551" customWidth="1"/>
    <col min="14638" max="14638" width="31.5703125" style="551" customWidth="1"/>
    <col min="14639" max="14639" width="16.140625" style="551" customWidth="1"/>
    <col min="14640" max="14641" width="9.28515625" style="551" customWidth="1"/>
    <col min="14642" max="14642" width="11.140625" style="551" customWidth="1"/>
    <col min="14643" max="14643" width="2.140625" style="551" customWidth="1"/>
    <col min="14644" max="14849" width="11.42578125" style="551"/>
    <col min="14850" max="14850" width="12" style="551" customWidth="1"/>
    <col min="14851" max="14851" width="2.7109375" style="551" customWidth="1"/>
    <col min="14852" max="14853" width="6.5703125" style="551" customWidth="1"/>
    <col min="14854" max="14854" width="5.85546875" style="551" customWidth="1"/>
    <col min="14855" max="14855" width="6.5703125" style="551" customWidth="1"/>
    <col min="14856" max="14856" width="13.7109375" style="551" customWidth="1"/>
    <col min="14857" max="14858" width="9" style="551" customWidth="1"/>
    <col min="14859" max="14859" width="2.5703125" style="551" customWidth="1"/>
    <col min="14860" max="14860" width="8.85546875" style="551" customWidth="1"/>
    <col min="14861" max="14861" width="7.5703125" style="551" customWidth="1"/>
    <col min="14862" max="14864" width="3.7109375" style="551" customWidth="1"/>
    <col min="14865" max="14865" width="3.5703125" style="551" customWidth="1"/>
    <col min="14866" max="14866" width="2.85546875" style="551" customWidth="1"/>
    <col min="14867" max="14867" width="3" style="551" customWidth="1"/>
    <col min="14868" max="14870" width="0" style="551" hidden="1" customWidth="1"/>
    <col min="14871" max="14871" width="4.42578125" style="551" customWidth="1"/>
    <col min="14872" max="14872" width="0" style="551" hidden="1" customWidth="1"/>
    <col min="14873" max="14874" width="14.85546875" style="551" customWidth="1"/>
    <col min="14875" max="14875" width="15.140625" style="551" customWidth="1"/>
    <col min="14876" max="14876" width="6.42578125" style="551" customWidth="1"/>
    <col min="14877" max="14877" width="15.140625" style="551" customWidth="1"/>
    <col min="14878" max="14878" width="4.140625" style="551" customWidth="1"/>
    <col min="14879" max="14879" width="3" style="551" customWidth="1"/>
    <col min="14880" max="14882" width="0" style="551" hidden="1" customWidth="1"/>
    <col min="14883" max="14883" width="3" style="551" customWidth="1"/>
    <col min="14884" max="14884" width="0" style="551" hidden="1" customWidth="1"/>
    <col min="14885" max="14885" width="3" style="551" customWidth="1"/>
    <col min="14886" max="14886" width="0" style="551" hidden="1" customWidth="1"/>
    <col min="14887" max="14887" width="4.42578125" style="551" customWidth="1"/>
    <col min="14888" max="14888" width="34.28515625" style="551" customWidth="1"/>
    <col min="14889" max="14889" width="23.42578125" style="551" customWidth="1"/>
    <col min="14890" max="14890" width="9.140625" style="551" customWidth="1"/>
    <col min="14891" max="14891" width="19.5703125" style="551" customWidth="1"/>
    <col min="14892" max="14892" width="42.7109375" style="551" customWidth="1"/>
    <col min="14893" max="14893" width="5.85546875" style="551" customWidth="1"/>
    <col min="14894" max="14894" width="31.5703125" style="551" customWidth="1"/>
    <col min="14895" max="14895" width="16.140625" style="551" customWidth="1"/>
    <col min="14896" max="14897" width="9.28515625" style="551" customWidth="1"/>
    <col min="14898" max="14898" width="11.140625" style="551" customWidth="1"/>
    <col min="14899" max="14899" width="2.140625" style="551" customWidth="1"/>
    <col min="14900" max="15105" width="11.42578125" style="551"/>
    <col min="15106" max="15106" width="12" style="551" customWidth="1"/>
    <col min="15107" max="15107" width="2.7109375" style="551" customWidth="1"/>
    <col min="15108" max="15109" width="6.5703125" style="551" customWidth="1"/>
    <col min="15110" max="15110" width="5.85546875" style="551" customWidth="1"/>
    <col min="15111" max="15111" width="6.5703125" style="551" customWidth="1"/>
    <col min="15112" max="15112" width="13.7109375" style="551" customWidth="1"/>
    <col min="15113" max="15114" width="9" style="551" customWidth="1"/>
    <col min="15115" max="15115" width="2.5703125" style="551" customWidth="1"/>
    <col min="15116" max="15116" width="8.85546875" style="551" customWidth="1"/>
    <col min="15117" max="15117" width="7.5703125" style="551" customWidth="1"/>
    <col min="15118" max="15120" width="3.7109375" style="551" customWidth="1"/>
    <col min="15121" max="15121" width="3.5703125" style="551" customWidth="1"/>
    <col min="15122" max="15122" width="2.85546875" style="551" customWidth="1"/>
    <col min="15123" max="15123" width="3" style="551" customWidth="1"/>
    <col min="15124" max="15126" width="0" style="551" hidden="1" customWidth="1"/>
    <col min="15127" max="15127" width="4.42578125" style="551" customWidth="1"/>
    <col min="15128" max="15128" width="0" style="551" hidden="1" customWidth="1"/>
    <col min="15129" max="15130" width="14.85546875" style="551" customWidth="1"/>
    <col min="15131" max="15131" width="15.140625" style="551" customWidth="1"/>
    <col min="15132" max="15132" width="6.42578125" style="551" customWidth="1"/>
    <col min="15133" max="15133" width="15.140625" style="551" customWidth="1"/>
    <col min="15134" max="15134" width="4.140625" style="551" customWidth="1"/>
    <col min="15135" max="15135" width="3" style="551" customWidth="1"/>
    <col min="15136" max="15138" width="0" style="551" hidden="1" customWidth="1"/>
    <col min="15139" max="15139" width="3" style="551" customWidth="1"/>
    <col min="15140" max="15140" width="0" style="551" hidden="1" customWidth="1"/>
    <col min="15141" max="15141" width="3" style="551" customWidth="1"/>
    <col min="15142" max="15142" width="0" style="551" hidden="1" customWidth="1"/>
    <col min="15143" max="15143" width="4.42578125" style="551" customWidth="1"/>
    <col min="15144" max="15144" width="34.28515625" style="551" customWidth="1"/>
    <col min="15145" max="15145" width="23.42578125" style="551" customWidth="1"/>
    <col min="15146" max="15146" width="9.140625" style="551" customWidth="1"/>
    <col min="15147" max="15147" width="19.5703125" style="551" customWidth="1"/>
    <col min="15148" max="15148" width="42.7109375" style="551" customWidth="1"/>
    <col min="15149" max="15149" width="5.85546875" style="551" customWidth="1"/>
    <col min="15150" max="15150" width="31.5703125" style="551" customWidth="1"/>
    <col min="15151" max="15151" width="16.140625" style="551" customWidth="1"/>
    <col min="15152" max="15153" width="9.28515625" style="551" customWidth="1"/>
    <col min="15154" max="15154" width="11.140625" style="551" customWidth="1"/>
    <col min="15155" max="15155" width="2.140625" style="551" customWidth="1"/>
    <col min="15156" max="15361" width="11.42578125" style="551"/>
    <col min="15362" max="15362" width="12" style="551" customWidth="1"/>
    <col min="15363" max="15363" width="2.7109375" style="551" customWidth="1"/>
    <col min="15364" max="15365" width="6.5703125" style="551" customWidth="1"/>
    <col min="15366" max="15366" width="5.85546875" style="551" customWidth="1"/>
    <col min="15367" max="15367" width="6.5703125" style="551" customWidth="1"/>
    <col min="15368" max="15368" width="13.7109375" style="551" customWidth="1"/>
    <col min="15369" max="15370" width="9" style="551" customWidth="1"/>
    <col min="15371" max="15371" width="2.5703125" style="551" customWidth="1"/>
    <col min="15372" max="15372" width="8.85546875" style="551" customWidth="1"/>
    <col min="15373" max="15373" width="7.5703125" style="551" customWidth="1"/>
    <col min="15374" max="15376" width="3.7109375" style="551" customWidth="1"/>
    <col min="15377" max="15377" width="3.5703125" style="551" customWidth="1"/>
    <col min="15378" max="15378" width="2.85546875" style="551" customWidth="1"/>
    <col min="15379" max="15379" width="3" style="551" customWidth="1"/>
    <col min="15380" max="15382" width="0" style="551" hidden="1" customWidth="1"/>
    <col min="15383" max="15383" width="4.42578125" style="551" customWidth="1"/>
    <col min="15384" max="15384" width="0" style="551" hidden="1" customWidth="1"/>
    <col min="15385" max="15386" width="14.85546875" style="551" customWidth="1"/>
    <col min="15387" max="15387" width="15.140625" style="551" customWidth="1"/>
    <col min="15388" max="15388" width="6.42578125" style="551" customWidth="1"/>
    <col min="15389" max="15389" width="15.140625" style="551" customWidth="1"/>
    <col min="15390" max="15390" width="4.140625" style="551" customWidth="1"/>
    <col min="15391" max="15391" width="3" style="551" customWidth="1"/>
    <col min="15392" max="15394" width="0" style="551" hidden="1" customWidth="1"/>
    <col min="15395" max="15395" width="3" style="551" customWidth="1"/>
    <col min="15396" max="15396" width="0" style="551" hidden="1" customWidth="1"/>
    <col min="15397" max="15397" width="3" style="551" customWidth="1"/>
    <col min="15398" max="15398" width="0" style="551" hidden="1" customWidth="1"/>
    <col min="15399" max="15399" width="4.42578125" style="551" customWidth="1"/>
    <col min="15400" max="15400" width="34.28515625" style="551" customWidth="1"/>
    <col min="15401" max="15401" width="23.42578125" style="551" customWidth="1"/>
    <col min="15402" max="15402" width="9.140625" style="551" customWidth="1"/>
    <col min="15403" max="15403" width="19.5703125" style="551" customWidth="1"/>
    <col min="15404" max="15404" width="42.7109375" style="551" customWidth="1"/>
    <col min="15405" max="15405" width="5.85546875" style="551" customWidth="1"/>
    <col min="15406" max="15406" width="31.5703125" style="551" customWidth="1"/>
    <col min="15407" max="15407" width="16.140625" style="551" customWidth="1"/>
    <col min="15408" max="15409" width="9.28515625" style="551" customWidth="1"/>
    <col min="15410" max="15410" width="11.140625" style="551" customWidth="1"/>
    <col min="15411" max="15411" width="2.140625" style="551" customWidth="1"/>
    <col min="15412" max="15617" width="11.42578125" style="551"/>
    <col min="15618" max="15618" width="12" style="551" customWidth="1"/>
    <col min="15619" max="15619" width="2.7109375" style="551" customWidth="1"/>
    <col min="15620" max="15621" width="6.5703125" style="551" customWidth="1"/>
    <col min="15622" max="15622" width="5.85546875" style="551" customWidth="1"/>
    <col min="15623" max="15623" width="6.5703125" style="551" customWidth="1"/>
    <col min="15624" max="15624" width="13.7109375" style="551" customWidth="1"/>
    <col min="15625" max="15626" width="9" style="551" customWidth="1"/>
    <col min="15627" max="15627" width="2.5703125" style="551" customWidth="1"/>
    <col min="15628" max="15628" width="8.85546875" style="551" customWidth="1"/>
    <col min="15629" max="15629" width="7.5703125" style="551" customWidth="1"/>
    <col min="15630" max="15632" width="3.7109375" style="551" customWidth="1"/>
    <col min="15633" max="15633" width="3.5703125" style="551" customWidth="1"/>
    <col min="15634" max="15634" width="2.85546875" style="551" customWidth="1"/>
    <col min="15635" max="15635" width="3" style="551" customWidth="1"/>
    <col min="15636" max="15638" width="0" style="551" hidden="1" customWidth="1"/>
    <col min="15639" max="15639" width="4.42578125" style="551" customWidth="1"/>
    <col min="15640" max="15640" width="0" style="551" hidden="1" customWidth="1"/>
    <col min="15641" max="15642" width="14.85546875" style="551" customWidth="1"/>
    <col min="15643" max="15643" width="15.140625" style="551" customWidth="1"/>
    <col min="15644" max="15644" width="6.42578125" style="551" customWidth="1"/>
    <col min="15645" max="15645" width="15.140625" style="551" customWidth="1"/>
    <col min="15646" max="15646" width="4.140625" style="551" customWidth="1"/>
    <col min="15647" max="15647" width="3" style="551" customWidth="1"/>
    <col min="15648" max="15650" width="0" style="551" hidden="1" customWidth="1"/>
    <col min="15651" max="15651" width="3" style="551" customWidth="1"/>
    <col min="15652" max="15652" width="0" style="551" hidden="1" customWidth="1"/>
    <col min="15653" max="15653" width="3" style="551" customWidth="1"/>
    <col min="15654" max="15654" width="0" style="551" hidden="1" customWidth="1"/>
    <col min="15655" max="15655" width="4.42578125" style="551" customWidth="1"/>
    <col min="15656" max="15656" width="34.28515625" style="551" customWidth="1"/>
    <col min="15657" max="15657" width="23.42578125" style="551" customWidth="1"/>
    <col min="15658" max="15658" width="9.140625" style="551" customWidth="1"/>
    <col min="15659" max="15659" width="19.5703125" style="551" customWidth="1"/>
    <col min="15660" max="15660" width="42.7109375" style="551" customWidth="1"/>
    <col min="15661" max="15661" width="5.85546875" style="551" customWidth="1"/>
    <col min="15662" max="15662" width="31.5703125" style="551" customWidth="1"/>
    <col min="15663" max="15663" width="16.140625" style="551" customWidth="1"/>
    <col min="15664" max="15665" width="9.28515625" style="551" customWidth="1"/>
    <col min="15666" max="15666" width="11.140625" style="551" customWidth="1"/>
    <col min="15667" max="15667" width="2.140625" style="551" customWidth="1"/>
    <col min="15668" max="15873" width="11.42578125" style="551"/>
    <col min="15874" max="15874" width="12" style="551" customWidth="1"/>
    <col min="15875" max="15875" width="2.7109375" style="551" customWidth="1"/>
    <col min="15876" max="15877" width="6.5703125" style="551" customWidth="1"/>
    <col min="15878" max="15878" width="5.85546875" style="551" customWidth="1"/>
    <col min="15879" max="15879" width="6.5703125" style="551" customWidth="1"/>
    <col min="15880" max="15880" width="13.7109375" style="551" customWidth="1"/>
    <col min="15881" max="15882" width="9" style="551" customWidth="1"/>
    <col min="15883" max="15883" width="2.5703125" style="551" customWidth="1"/>
    <col min="15884" max="15884" width="8.85546875" style="551" customWidth="1"/>
    <col min="15885" max="15885" width="7.5703125" style="551" customWidth="1"/>
    <col min="15886" max="15888" width="3.7109375" style="551" customWidth="1"/>
    <col min="15889" max="15889" width="3.5703125" style="551" customWidth="1"/>
    <col min="15890" max="15890" width="2.85546875" style="551" customWidth="1"/>
    <col min="15891" max="15891" width="3" style="551" customWidth="1"/>
    <col min="15892" max="15894" width="0" style="551" hidden="1" customWidth="1"/>
    <col min="15895" max="15895" width="4.42578125" style="551" customWidth="1"/>
    <col min="15896" max="15896" width="0" style="551" hidden="1" customWidth="1"/>
    <col min="15897" max="15898" width="14.85546875" style="551" customWidth="1"/>
    <col min="15899" max="15899" width="15.140625" style="551" customWidth="1"/>
    <col min="15900" max="15900" width="6.42578125" style="551" customWidth="1"/>
    <col min="15901" max="15901" width="15.140625" style="551" customWidth="1"/>
    <col min="15902" max="15902" width="4.140625" style="551" customWidth="1"/>
    <col min="15903" max="15903" width="3" style="551" customWidth="1"/>
    <col min="15904" max="15906" width="0" style="551" hidden="1" customWidth="1"/>
    <col min="15907" max="15907" width="3" style="551" customWidth="1"/>
    <col min="15908" max="15908" width="0" style="551" hidden="1" customWidth="1"/>
    <col min="15909" max="15909" width="3" style="551" customWidth="1"/>
    <col min="15910" max="15910" width="0" style="551" hidden="1" customWidth="1"/>
    <col min="15911" max="15911" width="4.42578125" style="551" customWidth="1"/>
    <col min="15912" max="15912" width="34.28515625" style="551" customWidth="1"/>
    <col min="15913" max="15913" width="23.42578125" style="551" customWidth="1"/>
    <col min="15914" max="15914" width="9.140625" style="551" customWidth="1"/>
    <col min="15915" max="15915" width="19.5703125" style="551" customWidth="1"/>
    <col min="15916" max="15916" width="42.7109375" style="551" customWidth="1"/>
    <col min="15917" max="15917" width="5.85546875" style="551" customWidth="1"/>
    <col min="15918" max="15918" width="31.5703125" style="551" customWidth="1"/>
    <col min="15919" max="15919" width="16.140625" style="551" customWidth="1"/>
    <col min="15920" max="15921" width="9.28515625" style="551" customWidth="1"/>
    <col min="15922" max="15922" width="11.140625" style="551" customWidth="1"/>
    <col min="15923" max="15923" width="2.140625" style="551" customWidth="1"/>
    <col min="15924" max="16129" width="11.42578125" style="551"/>
    <col min="16130" max="16130" width="12" style="551" customWidth="1"/>
    <col min="16131" max="16131" width="2.7109375" style="551" customWidth="1"/>
    <col min="16132" max="16133" width="6.5703125" style="551" customWidth="1"/>
    <col min="16134" max="16134" width="5.85546875" style="551" customWidth="1"/>
    <col min="16135" max="16135" width="6.5703125" style="551" customWidth="1"/>
    <col min="16136" max="16136" width="13.7109375" style="551" customWidth="1"/>
    <col min="16137" max="16138" width="9" style="551" customWidth="1"/>
    <col min="16139" max="16139" width="2.5703125" style="551" customWidth="1"/>
    <col min="16140" max="16140" width="8.85546875" style="551" customWidth="1"/>
    <col min="16141" max="16141" width="7.5703125" style="551" customWidth="1"/>
    <col min="16142" max="16144" width="3.7109375" style="551" customWidth="1"/>
    <col min="16145" max="16145" width="3.5703125" style="551" customWidth="1"/>
    <col min="16146" max="16146" width="2.85546875" style="551" customWidth="1"/>
    <col min="16147" max="16147" width="3" style="551" customWidth="1"/>
    <col min="16148" max="16150" width="0" style="551" hidden="1" customWidth="1"/>
    <col min="16151" max="16151" width="4.42578125" style="551" customWidth="1"/>
    <col min="16152" max="16152" width="0" style="551" hidden="1" customWidth="1"/>
    <col min="16153" max="16154" width="14.85546875" style="551" customWidth="1"/>
    <col min="16155" max="16155" width="15.140625" style="551" customWidth="1"/>
    <col min="16156" max="16156" width="6.42578125" style="551" customWidth="1"/>
    <col min="16157" max="16157" width="15.140625" style="551" customWidth="1"/>
    <col min="16158" max="16158" width="4.140625" style="551" customWidth="1"/>
    <col min="16159" max="16159" width="3" style="551" customWidth="1"/>
    <col min="16160" max="16162" width="0" style="551" hidden="1" customWidth="1"/>
    <col min="16163" max="16163" width="3" style="551" customWidth="1"/>
    <col min="16164" max="16164" width="0" style="551" hidden="1" customWidth="1"/>
    <col min="16165" max="16165" width="3" style="551" customWidth="1"/>
    <col min="16166" max="16166" width="0" style="551" hidden="1" customWidth="1"/>
    <col min="16167" max="16167" width="4.42578125" style="551" customWidth="1"/>
    <col min="16168" max="16168" width="34.28515625" style="551" customWidth="1"/>
    <col min="16169" max="16169" width="23.42578125" style="551" customWidth="1"/>
    <col min="16170" max="16170" width="9.140625" style="551" customWidth="1"/>
    <col min="16171" max="16171" width="19.5703125" style="551" customWidth="1"/>
    <col min="16172" max="16172" width="42.7109375" style="551" customWidth="1"/>
    <col min="16173" max="16173" width="5.85546875" style="551" customWidth="1"/>
    <col min="16174" max="16174" width="31.5703125" style="551" customWidth="1"/>
    <col min="16175" max="16175" width="16.140625" style="551" customWidth="1"/>
    <col min="16176" max="16177" width="9.28515625" style="551" customWidth="1"/>
    <col min="16178" max="16178" width="11.140625" style="551" customWidth="1"/>
    <col min="16179" max="16179" width="2.140625" style="551" customWidth="1"/>
    <col min="16180" max="16384" width="11.42578125" style="551"/>
  </cols>
  <sheetData>
    <row r="1" spans="1:1027" ht="11.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2281" t="s">
        <v>49</v>
      </c>
      <c r="AE1" s="2281"/>
      <c r="AF1" s="2281"/>
      <c r="AG1" s="2281"/>
      <c r="AH1" s="2281"/>
      <c r="AI1" s="2281"/>
      <c r="AJ1" s="2281"/>
      <c r="AK1" s="2281"/>
      <c r="AL1" s="2281"/>
      <c r="AM1" s="2281"/>
      <c r="AN1" s="2281"/>
      <c r="AP1" s="1247" t="s">
        <v>2320</v>
      </c>
      <c r="AQ1" s="1247"/>
      <c r="AR1" s="1247"/>
      <c r="AS1" s="1247"/>
      <c r="AT1" s="233"/>
      <c r="AU1" s="233"/>
      <c r="AV1" s="233"/>
      <c r="AW1" s="1246"/>
      <c r="AX1" s="1246"/>
      <c r="AY1" s="233"/>
    </row>
    <row r="2" spans="1:1027" ht="14.25" customHeight="1">
      <c r="A2" s="237" t="s">
        <v>2348</v>
      </c>
      <c r="B2" s="233"/>
      <c r="C2" s="233"/>
      <c r="D2" s="233"/>
      <c r="E2" s="233"/>
      <c r="F2" s="233"/>
      <c r="G2" s="1214" t="str">
        <f>UPPER([46]Control!A2)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2281"/>
      <c r="AE2" s="2281"/>
      <c r="AF2" s="2281"/>
      <c r="AG2" s="2281"/>
      <c r="AH2" s="2281"/>
      <c r="AI2" s="2281"/>
      <c r="AJ2" s="2281"/>
      <c r="AK2" s="2281"/>
      <c r="AL2" s="2281"/>
      <c r="AM2" s="2281"/>
      <c r="AN2" s="2281"/>
      <c r="AP2" s="1268" t="s">
        <v>138</v>
      </c>
      <c r="AQ2" s="1269"/>
      <c r="AR2" s="1270" t="str">
        <f>AD1</f>
        <v>MEJORAMIENTO CONTINUO</v>
      </c>
      <c r="AS2" s="1271"/>
      <c r="AT2" s="233"/>
      <c r="AU2" s="233"/>
      <c r="AV2" s="233"/>
      <c r="AW2" s="1246"/>
      <c r="AX2" s="1246"/>
      <c r="AY2" s="233"/>
    </row>
    <row r="3" spans="1:1027" ht="11.25" customHeight="1">
      <c r="A3" s="1435">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2616">
        <v>43446</v>
      </c>
      <c r="AA3" s="2617"/>
      <c r="AB3" s="2274"/>
      <c r="AC3" s="1259" t="s">
        <v>2349</v>
      </c>
      <c r="AD3" s="2618" t="s">
        <v>1732</v>
      </c>
      <c r="AE3" s="2618"/>
      <c r="AF3" s="2618"/>
      <c r="AG3" s="2618"/>
      <c r="AH3" s="2618"/>
      <c r="AI3" s="2618"/>
      <c r="AJ3" s="2618"/>
      <c r="AK3" s="2618"/>
      <c r="AL3" s="2618"/>
      <c r="AM3" s="2618"/>
      <c r="AN3" s="2618"/>
      <c r="AP3" s="1265" t="s">
        <v>2322</v>
      </c>
      <c r="AQ3" s="1266"/>
      <c r="AR3" s="1266" t="s">
        <v>2323</v>
      </c>
      <c r="AS3" s="1267"/>
      <c r="AT3" s="233"/>
      <c r="AU3" s="233"/>
      <c r="AV3" s="233"/>
      <c r="AW3" s="1246"/>
      <c r="AX3" s="1246"/>
      <c r="AY3" s="233"/>
    </row>
    <row r="4" spans="1:1027" ht="18.75" customHeight="1" thickBot="1">
      <c r="A4" s="1435"/>
      <c r="B4" s="233"/>
      <c r="C4" s="233"/>
      <c r="D4" s="233"/>
      <c r="E4" s="233"/>
      <c r="F4" s="233"/>
      <c r="G4" s="1236" t="str">
        <f>[46]Control!A4</f>
        <v>FO-PE-06</v>
      </c>
      <c r="H4" s="1237"/>
      <c r="I4" s="1238" t="str">
        <f>[46]Control!C4</f>
        <v>Planeación Estratégica</v>
      </c>
      <c r="J4" s="1237"/>
      <c r="K4" s="1237"/>
      <c r="L4" s="1237"/>
      <c r="M4" s="1237"/>
      <c r="N4" s="1239"/>
      <c r="O4" s="1238">
        <f>[46]Control!H4</f>
        <v>5</v>
      </c>
      <c r="P4" s="1237"/>
      <c r="Q4" s="1237"/>
      <c r="R4" s="1237"/>
      <c r="S4" s="1237"/>
      <c r="T4" s="1237"/>
      <c r="U4" s="1237"/>
      <c r="V4" s="1239"/>
      <c r="W4" s="239"/>
      <c r="X4" s="1255"/>
      <c r="Y4" s="1256"/>
      <c r="Z4" s="2275"/>
      <c r="AA4" s="2276"/>
      <c r="AB4" s="2277"/>
      <c r="AC4" s="1259"/>
      <c r="AD4" s="2618"/>
      <c r="AE4" s="2618"/>
      <c r="AF4" s="2618"/>
      <c r="AG4" s="2618"/>
      <c r="AH4" s="2618"/>
      <c r="AI4" s="2618"/>
      <c r="AJ4" s="2618"/>
      <c r="AK4" s="2618"/>
      <c r="AL4" s="2618"/>
      <c r="AM4" s="2618"/>
      <c r="AN4" s="2618"/>
      <c r="AP4" s="1240">
        <v>43710</v>
      </c>
      <c r="AQ4" s="1241"/>
      <c r="AR4" s="1242" t="s">
        <v>3678</v>
      </c>
      <c r="AS4" s="1243"/>
      <c r="AT4" s="233"/>
      <c r="AU4" s="233"/>
      <c r="AV4" s="233"/>
      <c r="AW4" s="1246"/>
      <c r="AX4" s="1246"/>
      <c r="AY4" s="233"/>
    </row>
    <row r="5" spans="1:1027" s="243" customFormat="1" ht="11.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2"/>
      <c r="AB5" s="242"/>
      <c r="AC5" s="242"/>
      <c r="AD5" s="241"/>
      <c r="AE5" s="241"/>
      <c r="AF5" s="241"/>
      <c r="AG5" s="241"/>
      <c r="AH5" s="241"/>
      <c r="AI5" s="241"/>
      <c r="AJ5" s="241"/>
      <c r="AK5" s="241"/>
      <c r="AL5" s="241"/>
      <c r="AM5" s="240"/>
      <c r="AN5" s="240"/>
      <c r="AO5" s="240"/>
      <c r="AQ5" s="552"/>
      <c r="AY5" s="245"/>
    </row>
    <row r="6" spans="1:1027" s="243" customFormat="1" ht="11.2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602" t="s">
        <v>268</v>
      </c>
      <c r="AO6" s="294"/>
      <c r="AP6" s="247" t="s">
        <v>2325</v>
      </c>
      <c r="AQ6" s="248"/>
      <c r="AR6" s="248"/>
      <c r="AS6" s="249"/>
      <c r="AT6" s="1244" t="s">
        <v>2326</v>
      </c>
      <c r="AU6" s="1244"/>
      <c r="AV6" s="1244"/>
      <c r="AW6" s="1244"/>
      <c r="AX6" s="1245"/>
      <c r="AY6" s="245"/>
    </row>
    <row r="7" spans="1:1027" s="243" customFormat="1" ht="25.5" customHeight="1">
      <c r="A7" s="1217" t="s">
        <v>1002</v>
      </c>
      <c r="B7" s="1218" t="s">
        <v>640</v>
      </c>
      <c r="C7" s="1219" t="s">
        <v>1001</v>
      </c>
      <c r="D7" s="1220"/>
      <c r="E7" s="1221"/>
      <c r="F7" s="1217" t="s">
        <v>1000</v>
      </c>
      <c r="G7" s="1219" t="s">
        <v>999</v>
      </c>
      <c r="H7" s="1220"/>
      <c r="I7" s="1221"/>
      <c r="J7" s="1217" t="s">
        <v>145</v>
      </c>
      <c r="K7" s="1217"/>
      <c r="L7" s="1217"/>
      <c r="M7" s="1225" t="s">
        <v>144</v>
      </c>
      <c r="N7" s="1226"/>
      <c r="O7" s="1226"/>
      <c r="P7" s="1226"/>
      <c r="Q7" s="1227" t="s">
        <v>637</v>
      </c>
      <c r="R7" s="1228"/>
      <c r="S7" s="1228"/>
      <c r="T7" s="1228"/>
      <c r="U7" s="1228"/>
      <c r="V7" s="1229"/>
      <c r="W7" s="250"/>
      <c r="X7" s="1217" t="s">
        <v>2351</v>
      </c>
      <c r="Y7" s="1217"/>
      <c r="Z7" s="1217"/>
      <c r="AA7" s="1284" t="s">
        <v>4175</v>
      </c>
      <c r="AB7" s="1221" t="s">
        <v>998</v>
      </c>
      <c r="AC7" s="1284" t="s">
        <v>641</v>
      </c>
      <c r="AD7" s="1286" t="s">
        <v>546</v>
      </c>
      <c r="AE7" s="1286" t="s">
        <v>638</v>
      </c>
      <c r="AF7" s="251"/>
      <c r="AG7" s="252"/>
      <c r="AH7" s="253"/>
      <c r="AI7" s="1288" t="s">
        <v>639</v>
      </c>
      <c r="AJ7" s="1288"/>
      <c r="AK7" s="1288"/>
      <c r="AL7" s="1288"/>
      <c r="AM7" s="1288"/>
      <c r="AN7" s="1288" t="s">
        <v>2327</v>
      </c>
      <c r="AO7" s="1431" t="s">
        <v>2328</v>
      </c>
      <c r="AP7" s="1432" t="s">
        <v>2353</v>
      </c>
      <c r="AQ7" s="1431" t="s">
        <v>2330</v>
      </c>
      <c r="AR7" s="1432" t="s">
        <v>2354</v>
      </c>
      <c r="AS7" s="1432" t="s">
        <v>2332</v>
      </c>
      <c r="AT7" s="1432" t="s">
        <v>2333</v>
      </c>
      <c r="AU7" s="1432" t="s">
        <v>2334</v>
      </c>
      <c r="AV7" s="1432" t="s">
        <v>2335</v>
      </c>
      <c r="AW7" s="1432" t="s">
        <v>2336</v>
      </c>
      <c r="AX7" s="1432" t="s">
        <v>2337</v>
      </c>
      <c r="AY7" s="2593" t="s">
        <v>3595</v>
      </c>
    </row>
    <row r="8" spans="1:1027" ht="47.25" customHeight="1">
      <c r="A8" s="1217"/>
      <c r="B8" s="1218"/>
      <c r="C8" s="1222"/>
      <c r="D8" s="1223"/>
      <c r="E8" s="1224"/>
      <c r="F8" s="1217"/>
      <c r="G8" s="1222"/>
      <c r="H8" s="1223"/>
      <c r="I8" s="1224"/>
      <c r="J8" s="1217"/>
      <c r="K8" s="1217"/>
      <c r="L8" s="1217"/>
      <c r="M8" s="254" t="s">
        <v>146</v>
      </c>
      <c r="N8" s="254" t="s">
        <v>997</v>
      </c>
      <c r="O8" s="254" t="s">
        <v>65</v>
      </c>
      <c r="P8" s="254" t="s">
        <v>996</v>
      </c>
      <c r="Q8" s="601" t="s">
        <v>147</v>
      </c>
      <c r="R8" s="601" t="s">
        <v>148</v>
      </c>
      <c r="S8" s="255"/>
      <c r="T8" s="255" t="s">
        <v>239</v>
      </c>
      <c r="U8" s="255" t="s">
        <v>242</v>
      </c>
      <c r="V8" s="601" t="s">
        <v>149</v>
      </c>
      <c r="W8" s="256"/>
      <c r="X8" s="1217"/>
      <c r="Y8" s="1217"/>
      <c r="Z8" s="1217"/>
      <c r="AA8" s="1285"/>
      <c r="AB8" s="1224"/>
      <c r="AC8" s="1285"/>
      <c r="AD8" s="1287"/>
      <c r="AE8" s="1287"/>
      <c r="AF8" s="256"/>
      <c r="AG8" s="553" t="s">
        <v>642</v>
      </c>
      <c r="AH8" s="553" t="s">
        <v>264</v>
      </c>
      <c r="AI8" s="601" t="s">
        <v>147</v>
      </c>
      <c r="AJ8" s="554" t="s">
        <v>265</v>
      </c>
      <c r="AK8" s="601" t="s">
        <v>148</v>
      </c>
      <c r="AL8" s="255" t="s">
        <v>150</v>
      </c>
      <c r="AM8" s="601" t="s">
        <v>150</v>
      </c>
      <c r="AN8" s="1288"/>
      <c r="AO8" s="1431"/>
      <c r="AP8" s="1432"/>
      <c r="AQ8" s="1432"/>
      <c r="AR8" s="1432"/>
      <c r="AS8" s="1432"/>
      <c r="AT8" s="1432"/>
      <c r="AU8" s="1432"/>
      <c r="AV8" s="1432"/>
      <c r="AW8" s="1432"/>
      <c r="AX8" s="1432"/>
      <c r="AY8" s="2594"/>
      <c r="AZ8" s="551"/>
      <c r="BA8" s="551"/>
      <c r="BB8" s="551"/>
      <c r="BC8" s="551"/>
      <c r="BD8" s="551"/>
      <c r="BE8" s="551"/>
      <c r="BF8" s="551"/>
      <c r="BG8" s="551"/>
      <c r="BH8" s="551"/>
      <c r="BI8" s="551"/>
      <c r="BJ8" s="551"/>
      <c r="BK8" s="551"/>
      <c r="BL8" s="551"/>
      <c r="BM8" s="551"/>
      <c r="BN8" s="551"/>
      <c r="BO8" s="551"/>
      <c r="BP8" s="551"/>
      <c r="BQ8" s="551"/>
      <c r="BR8" s="551"/>
      <c r="BS8" s="551"/>
      <c r="BT8" s="551"/>
      <c r="BU8" s="551"/>
      <c r="BV8" s="551"/>
      <c r="BW8" s="551"/>
      <c r="BX8" s="551"/>
      <c r="BY8" s="551"/>
      <c r="BZ8" s="551"/>
      <c r="CA8" s="551"/>
      <c r="CB8" s="551"/>
      <c r="CC8" s="551"/>
      <c r="CD8" s="551"/>
      <c r="CE8" s="551"/>
      <c r="CF8" s="551"/>
      <c r="CG8" s="551"/>
      <c r="CH8" s="551"/>
      <c r="CI8" s="551"/>
      <c r="CJ8" s="551"/>
      <c r="CK8" s="551"/>
      <c r="CL8" s="551"/>
      <c r="CM8" s="551"/>
      <c r="CN8" s="551"/>
      <c r="CO8" s="551"/>
      <c r="CP8" s="551"/>
      <c r="CQ8" s="551"/>
      <c r="CR8" s="551"/>
      <c r="CS8" s="551"/>
      <c r="CT8" s="551"/>
      <c r="CU8" s="551"/>
      <c r="CV8" s="551"/>
      <c r="CW8" s="551"/>
      <c r="CX8" s="551"/>
      <c r="CY8" s="551"/>
      <c r="CZ8" s="551"/>
      <c r="DA8" s="551"/>
      <c r="DB8" s="551"/>
      <c r="DC8" s="551"/>
      <c r="DD8" s="551"/>
      <c r="DE8" s="551"/>
      <c r="DF8" s="551"/>
      <c r="DG8" s="551"/>
      <c r="DH8" s="551"/>
      <c r="DI8" s="551"/>
      <c r="DJ8" s="551"/>
      <c r="DK8" s="551"/>
      <c r="DL8" s="551"/>
      <c r="DM8" s="551"/>
      <c r="DN8" s="551"/>
      <c r="DO8" s="551"/>
      <c r="DP8" s="551"/>
      <c r="DQ8" s="551"/>
      <c r="DR8" s="551"/>
      <c r="DS8" s="551"/>
      <c r="DT8" s="551"/>
      <c r="DU8" s="551"/>
      <c r="DV8" s="551"/>
      <c r="DW8" s="551"/>
      <c r="DX8" s="551"/>
      <c r="DY8" s="551"/>
      <c r="DZ8" s="551"/>
      <c r="EA8" s="551"/>
      <c r="EB8" s="551"/>
      <c r="EC8" s="551"/>
      <c r="ED8" s="551"/>
      <c r="EE8" s="551"/>
      <c r="EF8" s="551"/>
      <c r="EG8" s="551"/>
      <c r="EH8" s="551"/>
      <c r="EI8" s="551"/>
      <c r="EJ8" s="551"/>
      <c r="EK8" s="551"/>
      <c r="EL8" s="551"/>
      <c r="EM8" s="551"/>
      <c r="EN8" s="551"/>
      <c r="EO8" s="551"/>
      <c r="EP8" s="551"/>
      <c r="EQ8" s="551"/>
      <c r="ER8" s="551"/>
      <c r="ES8" s="551"/>
      <c r="ET8" s="551"/>
      <c r="EU8" s="551"/>
      <c r="EV8" s="551"/>
      <c r="EW8" s="551"/>
      <c r="EX8" s="551"/>
      <c r="EY8" s="551"/>
      <c r="EZ8" s="551"/>
      <c r="FA8" s="551"/>
      <c r="FB8" s="551"/>
      <c r="FC8" s="551"/>
      <c r="FD8" s="551"/>
      <c r="FE8" s="551"/>
      <c r="FF8" s="551"/>
      <c r="FG8" s="551"/>
      <c r="FH8" s="551"/>
      <c r="FI8" s="551"/>
      <c r="FJ8" s="551"/>
      <c r="FK8" s="551"/>
      <c r="FL8" s="551"/>
      <c r="FM8" s="551"/>
      <c r="FN8" s="551"/>
      <c r="FO8" s="551"/>
      <c r="FP8" s="551"/>
      <c r="FQ8" s="551"/>
      <c r="FR8" s="551"/>
      <c r="FS8" s="551"/>
      <c r="FT8" s="551"/>
      <c r="FU8" s="551"/>
      <c r="FV8" s="551"/>
      <c r="FW8" s="551"/>
      <c r="FX8" s="551"/>
      <c r="FY8" s="551"/>
      <c r="FZ8" s="551"/>
      <c r="GA8" s="551"/>
      <c r="GB8" s="551"/>
      <c r="GC8" s="551"/>
      <c r="GD8" s="551"/>
      <c r="GE8" s="551"/>
      <c r="GF8" s="551"/>
      <c r="GG8" s="551"/>
      <c r="GH8" s="551"/>
      <c r="GI8" s="551"/>
      <c r="GJ8" s="551"/>
      <c r="GK8" s="551"/>
      <c r="GL8" s="551"/>
      <c r="GM8" s="551"/>
      <c r="GN8" s="551"/>
      <c r="GO8" s="551"/>
      <c r="GP8" s="551"/>
      <c r="GQ8" s="551"/>
      <c r="GR8" s="551"/>
      <c r="GS8" s="551"/>
      <c r="GT8" s="551"/>
      <c r="GU8" s="551"/>
      <c r="GV8" s="551"/>
      <c r="GW8" s="551"/>
      <c r="GX8" s="551"/>
      <c r="GY8" s="551"/>
      <c r="GZ8" s="551"/>
      <c r="HA8" s="551"/>
      <c r="HB8" s="551"/>
      <c r="HC8" s="551"/>
      <c r="HD8" s="551"/>
      <c r="HE8" s="551"/>
      <c r="HF8" s="551"/>
      <c r="HG8" s="551"/>
      <c r="HH8" s="551"/>
      <c r="HI8" s="551"/>
      <c r="HJ8" s="551"/>
      <c r="HK8" s="551"/>
      <c r="HL8" s="551"/>
      <c r="HM8" s="551"/>
      <c r="HN8" s="551"/>
      <c r="HO8" s="551"/>
      <c r="HP8" s="551"/>
      <c r="HQ8" s="551"/>
      <c r="HR8" s="551"/>
      <c r="HS8" s="551"/>
      <c r="HT8" s="551"/>
      <c r="HU8" s="551"/>
      <c r="HV8" s="551"/>
      <c r="HW8" s="551"/>
      <c r="HX8" s="551"/>
      <c r="HY8" s="551"/>
      <c r="HZ8" s="551"/>
      <c r="IA8" s="551"/>
      <c r="IB8" s="551"/>
      <c r="IC8" s="551"/>
      <c r="ID8" s="551"/>
      <c r="IE8" s="551"/>
      <c r="IF8" s="551"/>
      <c r="IG8" s="551"/>
      <c r="IH8" s="551"/>
      <c r="II8" s="551"/>
      <c r="IJ8" s="551"/>
      <c r="IK8" s="551"/>
      <c r="IL8" s="551"/>
      <c r="IM8" s="551"/>
      <c r="IN8" s="551"/>
      <c r="IO8" s="551"/>
      <c r="IP8" s="551"/>
      <c r="IQ8" s="551"/>
      <c r="IR8" s="551"/>
      <c r="IS8" s="551"/>
      <c r="IT8" s="551"/>
      <c r="IU8" s="551"/>
      <c r="IV8" s="551"/>
      <c r="IW8" s="551"/>
      <c r="IX8" s="551"/>
      <c r="IY8" s="551"/>
      <c r="IZ8" s="551"/>
      <c r="JA8" s="551"/>
      <c r="JB8" s="551"/>
      <c r="JC8" s="551"/>
      <c r="JD8" s="551"/>
      <c r="JE8" s="551"/>
      <c r="JF8" s="551"/>
      <c r="JG8" s="551"/>
      <c r="JH8" s="551"/>
      <c r="JI8" s="551"/>
      <c r="JJ8" s="551"/>
      <c r="JK8" s="551"/>
      <c r="JL8" s="551"/>
      <c r="JM8" s="551"/>
      <c r="JN8" s="551"/>
      <c r="JO8" s="551"/>
      <c r="JP8" s="551"/>
      <c r="JQ8" s="551"/>
      <c r="JR8" s="551"/>
      <c r="JS8" s="551"/>
      <c r="JT8" s="551"/>
      <c r="JU8" s="551"/>
      <c r="JV8" s="551"/>
      <c r="JW8" s="551"/>
      <c r="JX8" s="551"/>
      <c r="JY8" s="551"/>
      <c r="JZ8" s="551"/>
      <c r="KA8" s="551"/>
      <c r="KB8" s="551"/>
      <c r="KC8" s="551"/>
      <c r="KD8" s="551"/>
      <c r="KE8" s="551"/>
      <c r="KF8" s="551"/>
      <c r="KG8" s="551"/>
      <c r="KH8" s="551"/>
      <c r="KI8" s="551"/>
      <c r="KJ8" s="551"/>
      <c r="KK8" s="551"/>
      <c r="KL8" s="551"/>
      <c r="KM8" s="551"/>
      <c r="KN8" s="551"/>
      <c r="KO8" s="551"/>
      <c r="KP8" s="551"/>
      <c r="KQ8" s="551"/>
      <c r="KR8" s="551"/>
      <c r="KS8" s="551"/>
      <c r="KT8" s="551"/>
      <c r="KU8" s="551"/>
      <c r="KV8" s="551"/>
      <c r="KW8" s="551"/>
      <c r="KX8" s="551"/>
      <c r="KY8" s="551"/>
      <c r="KZ8" s="551"/>
      <c r="LA8" s="551"/>
      <c r="LB8" s="551"/>
      <c r="LC8" s="551"/>
      <c r="LD8" s="551"/>
      <c r="LE8" s="551"/>
      <c r="LF8" s="551"/>
      <c r="LG8" s="551"/>
      <c r="LH8" s="551"/>
      <c r="LI8" s="551"/>
      <c r="LJ8" s="551"/>
      <c r="LK8" s="551"/>
      <c r="LL8" s="551"/>
      <c r="LM8" s="551"/>
      <c r="LN8" s="551"/>
      <c r="LO8" s="551"/>
      <c r="LP8" s="551"/>
      <c r="LQ8" s="551"/>
      <c r="LR8" s="551"/>
      <c r="LS8" s="551"/>
      <c r="LT8" s="551"/>
      <c r="LU8" s="551"/>
      <c r="LV8" s="551"/>
      <c r="LW8" s="551"/>
      <c r="LX8" s="551"/>
      <c r="LY8" s="551"/>
      <c r="LZ8" s="551"/>
      <c r="MA8" s="551"/>
      <c r="MB8" s="551"/>
      <c r="MC8" s="551"/>
      <c r="MD8" s="551"/>
      <c r="ME8" s="551"/>
      <c r="MF8" s="551"/>
      <c r="MG8" s="551"/>
      <c r="MH8" s="551"/>
      <c r="MI8" s="551"/>
      <c r="MJ8" s="551"/>
      <c r="MK8" s="551"/>
      <c r="ML8" s="551"/>
      <c r="MM8" s="551"/>
      <c r="MN8" s="551"/>
      <c r="MO8" s="551"/>
      <c r="MP8" s="551"/>
      <c r="MQ8" s="551"/>
      <c r="MR8" s="551"/>
      <c r="MS8" s="551"/>
      <c r="MT8" s="551"/>
      <c r="MU8" s="551"/>
      <c r="MV8" s="551"/>
      <c r="MW8" s="551"/>
      <c r="MX8" s="551"/>
      <c r="MY8" s="551"/>
      <c r="MZ8" s="551"/>
      <c r="NA8" s="551"/>
      <c r="NB8" s="551"/>
      <c r="NC8" s="551"/>
      <c r="ND8" s="551"/>
      <c r="NE8" s="551"/>
      <c r="NF8" s="551"/>
      <c r="NG8" s="551"/>
      <c r="NH8" s="551"/>
      <c r="NI8" s="551"/>
      <c r="NJ8" s="551"/>
      <c r="NK8" s="551"/>
      <c r="NL8" s="551"/>
      <c r="NM8" s="551"/>
      <c r="NN8" s="551"/>
      <c r="NO8" s="551"/>
      <c r="NP8" s="551"/>
      <c r="NQ8" s="551"/>
      <c r="NR8" s="551"/>
      <c r="NS8" s="551"/>
      <c r="NT8" s="551"/>
      <c r="NU8" s="551"/>
      <c r="NV8" s="551"/>
      <c r="NW8" s="551"/>
      <c r="NX8" s="551"/>
      <c r="NY8" s="551"/>
      <c r="NZ8" s="551"/>
      <c r="OA8" s="551"/>
      <c r="OB8" s="551"/>
      <c r="OC8" s="551"/>
      <c r="OD8" s="551"/>
      <c r="OE8" s="551"/>
      <c r="OF8" s="551"/>
      <c r="OG8" s="551"/>
      <c r="OH8" s="551"/>
      <c r="OI8" s="551"/>
      <c r="OJ8" s="551"/>
      <c r="OK8" s="551"/>
      <c r="OL8" s="551"/>
      <c r="OM8" s="551"/>
      <c r="ON8" s="551"/>
      <c r="OO8" s="551"/>
      <c r="OP8" s="551"/>
      <c r="OQ8" s="551"/>
      <c r="OR8" s="551"/>
      <c r="OS8" s="551"/>
      <c r="OT8" s="551"/>
      <c r="OU8" s="551"/>
      <c r="OV8" s="551"/>
      <c r="OW8" s="551"/>
      <c r="OX8" s="551"/>
      <c r="OY8" s="551"/>
      <c r="OZ8" s="551"/>
      <c r="PA8" s="551"/>
      <c r="PB8" s="551"/>
      <c r="PC8" s="551"/>
      <c r="PD8" s="551"/>
      <c r="PE8" s="551"/>
      <c r="PF8" s="551"/>
      <c r="PG8" s="551"/>
      <c r="PH8" s="551"/>
      <c r="PI8" s="551"/>
      <c r="PJ8" s="551"/>
      <c r="PK8" s="551"/>
      <c r="PL8" s="551"/>
      <c r="PM8" s="551"/>
      <c r="PN8" s="551"/>
      <c r="PO8" s="551"/>
      <c r="PP8" s="551"/>
      <c r="PQ8" s="551"/>
      <c r="PR8" s="551"/>
      <c r="PS8" s="551"/>
      <c r="PT8" s="551"/>
      <c r="PU8" s="551"/>
      <c r="PV8" s="551"/>
      <c r="PW8" s="551"/>
      <c r="PX8" s="551"/>
      <c r="PY8" s="551"/>
      <c r="PZ8" s="551"/>
      <c r="QA8" s="551"/>
      <c r="QB8" s="551"/>
      <c r="QC8" s="551"/>
      <c r="QD8" s="551"/>
      <c r="QE8" s="551"/>
      <c r="QF8" s="551"/>
      <c r="QG8" s="551"/>
      <c r="QH8" s="551"/>
      <c r="QI8" s="551"/>
      <c r="QJ8" s="551"/>
      <c r="QK8" s="551"/>
      <c r="QL8" s="551"/>
      <c r="QM8" s="551"/>
      <c r="QN8" s="551"/>
      <c r="QO8" s="551"/>
      <c r="QP8" s="551"/>
      <c r="QQ8" s="551"/>
      <c r="QR8" s="551"/>
      <c r="QS8" s="551"/>
      <c r="QT8" s="551"/>
      <c r="QU8" s="551"/>
      <c r="QV8" s="551"/>
      <c r="QW8" s="551"/>
      <c r="QX8" s="551"/>
      <c r="QY8" s="551"/>
      <c r="QZ8" s="551"/>
      <c r="RA8" s="551"/>
      <c r="RB8" s="551"/>
      <c r="RC8" s="551"/>
      <c r="RD8" s="551"/>
      <c r="RE8" s="551"/>
      <c r="RF8" s="551"/>
      <c r="RG8" s="551"/>
      <c r="RH8" s="551"/>
      <c r="RI8" s="551"/>
      <c r="RJ8" s="551"/>
      <c r="RK8" s="551"/>
      <c r="RL8" s="551"/>
      <c r="RM8" s="551"/>
      <c r="RN8" s="551"/>
      <c r="RO8" s="551"/>
      <c r="RP8" s="551"/>
      <c r="RQ8" s="551"/>
      <c r="RR8" s="551"/>
      <c r="RS8" s="551"/>
      <c r="RT8" s="551"/>
      <c r="RU8" s="551"/>
      <c r="RV8" s="551"/>
      <c r="RW8" s="551"/>
      <c r="RX8" s="551"/>
      <c r="RY8" s="551"/>
      <c r="RZ8" s="551"/>
      <c r="SA8" s="551"/>
      <c r="SB8" s="551"/>
      <c r="SC8" s="551"/>
      <c r="SD8" s="551"/>
      <c r="SE8" s="551"/>
      <c r="SF8" s="551"/>
      <c r="SG8" s="551"/>
      <c r="SH8" s="551"/>
      <c r="SI8" s="551"/>
      <c r="SJ8" s="551"/>
      <c r="SK8" s="551"/>
      <c r="SL8" s="551"/>
      <c r="SM8" s="551"/>
      <c r="SN8" s="551"/>
      <c r="SO8" s="551"/>
      <c r="SP8" s="551"/>
      <c r="SQ8" s="551"/>
      <c r="SR8" s="551"/>
      <c r="SS8" s="551"/>
      <c r="ST8" s="551"/>
      <c r="SU8" s="551"/>
      <c r="SV8" s="551"/>
      <c r="SW8" s="551"/>
      <c r="SX8" s="551"/>
      <c r="SY8" s="551"/>
      <c r="SZ8" s="551"/>
      <c r="TA8" s="551"/>
      <c r="TB8" s="551"/>
      <c r="TC8" s="551"/>
      <c r="TD8" s="551"/>
      <c r="TE8" s="551"/>
      <c r="TF8" s="551"/>
      <c r="TG8" s="551"/>
      <c r="TH8" s="551"/>
      <c r="TI8" s="551"/>
      <c r="TJ8" s="551"/>
      <c r="TK8" s="551"/>
      <c r="TL8" s="551"/>
      <c r="TM8" s="551"/>
      <c r="TN8" s="551"/>
      <c r="TO8" s="551"/>
      <c r="TP8" s="551"/>
      <c r="TQ8" s="551"/>
      <c r="TR8" s="551"/>
      <c r="TS8" s="551"/>
      <c r="TT8" s="551"/>
      <c r="TU8" s="551"/>
      <c r="TV8" s="551"/>
      <c r="TW8" s="551"/>
      <c r="TX8" s="551"/>
      <c r="TY8" s="551"/>
      <c r="TZ8" s="551"/>
      <c r="UA8" s="551"/>
      <c r="UB8" s="551"/>
      <c r="UC8" s="551"/>
      <c r="UD8" s="551"/>
      <c r="UE8" s="551"/>
      <c r="UF8" s="551"/>
      <c r="UG8" s="551"/>
      <c r="UH8" s="551"/>
      <c r="UI8" s="551"/>
      <c r="UJ8" s="551"/>
      <c r="UK8" s="551"/>
      <c r="UL8" s="551"/>
      <c r="UM8" s="551"/>
      <c r="UN8" s="551"/>
      <c r="UO8" s="551"/>
      <c r="UP8" s="551"/>
      <c r="UQ8" s="551"/>
      <c r="UR8" s="551"/>
      <c r="US8" s="551"/>
      <c r="UT8" s="551"/>
      <c r="UU8" s="551"/>
      <c r="UV8" s="551"/>
      <c r="UW8" s="551"/>
      <c r="UX8" s="551"/>
      <c r="UY8" s="551"/>
      <c r="UZ8" s="551"/>
      <c r="VA8" s="551"/>
      <c r="VB8" s="551"/>
      <c r="VC8" s="551"/>
      <c r="VD8" s="551"/>
      <c r="VE8" s="551"/>
      <c r="VF8" s="551"/>
      <c r="VG8" s="551"/>
      <c r="VH8" s="551"/>
      <c r="VI8" s="551"/>
      <c r="VJ8" s="551"/>
      <c r="VK8" s="551"/>
      <c r="VL8" s="551"/>
      <c r="VM8" s="551"/>
      <c r="VN8" s="551"/>
      <c r="VO8" s="551"/>
      <c r="VP8" s="551"/>
      <c r="VQ8" s="551"/>
      <c r="VR8" s="551"/>
      <c r="VS8" s="551"/>
      <c r="VT8" s="551"/>
      <c r="VU8" s="551"/>
      <c r="VV8" s="551"/>
      <c r="VW8" s="551"/>
      <c r="VX8" s="551"/>
      <c r="VY8" s="551"/>
      <c r="VZ8" s="551"/>
      <c r="WA8" s="551"/>
      <c r="WB8" s="551"/>
      <c r="WC8" s="551"/>
      <c r="WD8" s="551"/>
      <c r="WE8" s="551"/>
      <c r="WF8" s="551"/>
      <c r="WG8" s="551"/>
      <c r="WH8" s="551"/>
      <c r="WI8" s="551"/>
      <c r="WJ8" s="551"/>
      <c r="WK8" s="551"/>
      <c r="WL8" s="551"/>
      <c r="WM8" s="551"/>
      <c r="WN8" s="551"/>
      <c r="WO8" s="551"/>
      <c r="WP8" s="551"/>
      <c r="WQ8" s="551"/>
      <c r="WR8" s="551"/>
      <c r="WS8" s="551"/>
      <c r="WT8" s="551"/>
      <c r="WU8" s="551"/>
      <c r="WV8" s="551"/>
      <c r="WW8" s="551"/>
      <c r="WX8" s="551"/>
      <c r="WY8" s="551"/>
      <c r="WZ8" s="551"/>
      <c r="XA8" s="551"/>
      <c r="XB8" s="551"/>
      <c r="XC8" s="551"/>
      <c r="XD8" s="551"/>
      <c r="XE8" s="551"/>
      <c r="XF8" s="551"/>
      <c r="XG8" s="551"/>
      <c r="XH8" s="551"/>
      <c r="XI8" s="551"/>
      <c r="XJ8" s="551"/>
      <c r="XK8" s="551"/>
      <c r="XL8" s="551"/>
      <c r="XM8" s="551"/>
      <c r="XN8" s="551"/>
      <c r="XO8" s="551"/>
      <c r="XP8" s="551"/>
      <c r="XQ8" s="551"/>
      <c r="XR8" s="551"/>
      <c r="XS8" s="551"/>
      <c r="XT8" s="551"/>
      <c r="XU8" s="551"/>
      <c r="XV8" s="551"/>
      <c r="XW8" s="551"/>
      <c r="XX8" s="551"/>
      <c r="XY8" s="551"/>
      <c r="XZ8" s="551"/>
      <c r="YA8" s="551"/>
      <c r="YB8" s="551"/>
      <c r="YC8" s="551"/>
      <c r="YD8" s="551"/>
      <c r="YE8" s="551"/>
      <c r="YF8" s="551"/>
      <c r="YG8" s="551"/>
      <c r="YH8" s="551"/>
      <c r="YI8" s="551"/>
      <c r="YJ8" s="551"/>
      <c r="YK8" s="551"/>
      <c r="YL8" s="551"/>
      <c r="YM8" s="551"/>
      <c r="YN8" s="551"/>
      <c r="YO8" s="551"/>
      <c r="YP8" s="551"/>
      <c r="YQ8" s="551"/>
      <c r="YR8" s="551"/>
      <c r="YS8" s="551"/>
      <c r="YT8" s="551"/>
      <c r="YU8" s="551"/>
      <c r="YV8" s="551"/>
      <c r="YW8" s="551"/>
      <c r="YX8" s="551"/>
      <c r="YY8" s="551"/>
      <c r="YZ8" s="551"/>
      <c r="ZA8" s="551"/>
      <c r="ZB8" s="551"/>
      <c r="ZC8" s="551"/>
      <c r="ZD8" s="551"/>
      <c r="ZE8" s="551"/>
      <c r="ZF8" s="551"/>
      <c r="ZG8" s="551"/>
      <c r="ZH8" s="551"/>
      <c r="ZI8" s="551"/>
      <c r="ZJ8" s="551"/>
      <c r="ZK8" s="551"/>
      <c r="ZL8" s="551"/>
      <c r="ZM8" s="551"/>
      <c r="ZN8" s="551"/>
      <c r="ZO8" s="551"/>
      <c r="ZP8" s="551"/>
      <c r="ZQ8" s="551"/>
      <c r="ZR8" s="551"/>
      <c r="ZS8" s="551"/>
      <c r="ZT8" s="551"/>
      <c r="ZU8" s="551"/>
      <c r="ZV8" s="551"/>
      <c r="ZW8" s="551"/>
      <c r="ZX8" s="551"/>
      <c r="ZY8" s="551"/>
      <c r="ZZ8" s="551"/>
      <c r="AAA8" s="551"/>
      <c r="AAB8" s="551"/>
      <c r="AAC8" s="551"/>
      <c r="AAD8" s="551"/>
      <c r="AAE8" s="551"/>
      <c r="AAF8" s="551"/>
      <c r="AAG8" s="551"/>
      <c r="AAH8" s="551"/>
      <c r="AAI8" s="551"/>
      <c r="AAJ8" s="551"/>
      <c r="AAK8" s="551"/>
      <c r="AAL8" s="551"/>
      <c r="AAM8" s="551"/>
      <c r="AAN8" s="551"/>
      <c r="AAO8" s="551"/>
      <c r="AAP8" s="551"/>
      <c r="AAQ8" s="551"/>
      <c r="AAR8" s="551"/>
      <c r="AAS8" s="551"/>
      <c r="AAT8" s="551"/>
      <c r="AAU8" s="551"/>
      <c r="AAV8" s="551"/>
      <c r="AAW8" s="551"/>
      <c r="AAX8" s="551"/>
      <c r="AAY8" s="551"/>
      <c r="AAZ8" s="551"/>
      <c r="ABA8" s="551"/>
      <c r="ABB8" s="551"/>
      <c r="ABC8" s="551"/>
      <c r="ABD8" s="551"/>
      <c r="ABE8" s="551"/>
      <c r="ABF8" s="551"/>
      <c r="ABG8" s="551"/>
      <c r="ABH8" s="551"/>
      <c r="ABI8" s="551"/>
      <c r="ABJ8" s="551"/>
      <c r="ABK8" s="551"/>
      <c r="ABL8" s="551"/>
      <c r="ABM8" s="551"/>
      <c r="ABN8" s="551"/>
      <c r="ABO8" s="551"/>
      <c r="ABP8" s="551"/>
      <c r="ABQ8" s="551"/>
      <c r="ABR8" s="551"/>
      <c r="ABS8" s="551"/>
      <c r="ABT8" s="551"/>
      <c r="ABU8" s="551"/>
      <c r="ABV8" s="551"/>
      <c r="ABW8" s="551"/>
      <c r="ABX8" s="551"/>
      <c r="ABY8" s="551"/>
      <c r="ABZ8" s="551"/>
      <c r="ACA8" s="551"/>
      <c r="ACB8" s="551"/>
      <c r="ACC8" s="551"/>
      <c r="ACD8" s="551"/>
      <c r="ACE8" s="551"/>
      <c r="ACF8" s="551"/>
      <c r="ACG8" s="551"/>
      <c r="ACH8" s="551"/>
      <c r="ACI8" s="551"/>
      <c r="ACJ8" s="551"/>
      <c r="ACK8" s="551"/>
      <c r="ACL8" s="551"/>
      <c r="ACM8" s="551"/>
      <c r="ACN8" s="551"/>
      <c r="ACO8" s="551"/>
      <c r="ACP8" s="551"/>
      <c r="ACQ8" s="551"/>
      <c r="ACR8" s="551"/>
      <c r="ACS8" s="551"/>
      <c r="ACT8" s="551"/>
      <c r="ACU8" s="551"/>
      <c r="ACV8" s="551"/>
      <c r="ACW8" s="551"/>
      <c r="ACX8" s="551"/>
      <c r="ACY8" s="551"/>
      <c r="ACZ8" s="551"/>
      <c r="ADA8" s="551"/>
      <c r="ADB8" s="551"/>
      <c r="ADC8" s="551"/>
      <c r="ADD8" s="551"/>
      <c r="ADE8" s="551"/>
      <c r="ADF8" s="551"/>
      <c r="ADG8" s="551"/>
      <c r="ADH8" s="551"/>
      <c r="ADI8" s="551"/>
      <c r="ADJ8" s="551"/>
      <c r="ADK8" s="551"/>
      <c r="ADL8" s="551"/>
      <c r="ADM8" s="551"/>
      <c r="ADN8" s="551"/>
      <c r="ADO8" s="551"/>
      <c r="ADP8" s="551"/>
      <c r="ADQ8" s="551"/>
      <c r="ADR8" s="551"/>
      <c r="ADS8" s="551"/>
      <c r="ADT8" s="551"/>
      <c r="ADU8" s="551"/>
      <c r="ADV8" s="551"/>
      <c r="ADW8" s="551"/>
      <c r="ADX8" s="551"/>
      <c r="ADY8" s="551"/>
      <c r="ADZ8" s="551"/>
      <c r="AEA8" s="551"/>
      <c r="AEB8" s="551"/>
      <c r="AEC8" s="551"/>
      <c r="AED8" s="551"/>
      <c r="AEE8" s="551"/>
      <c r="AEF8" s="551"/>
      <c r="AEG8" s="551"/>
      <c r="AEH8" s="551"/>
      <c r="AEI8" s="551"/>
      <c r="AEJ8" s="551"/>
      <c r="AEK8" s="551"/>
      <c r="AEL8" s="551"/>
      <c r="AEM8" s="551"/>
      <c r="AEN8" s="551"/>
      <c r="AEO8" s="551"/>
      <c r="AEP8" s="551"/>
      <c r="AEQ8" s="551"/>
      <c r="AER8" s="551"/>
      <c r="AES8" s="551"/>
      <c r="AET8" s="551"/>
      <c r="AEU8" s="551"/>
      <c r="AEV8" s="551"/>
      <c r="AEW8" s="551"/>
      <c r="AEX8" s="551"/>
      <c r="AEY8" s="551"/>
      <c r="AEZ8" s="551"/>
      <c r="AFA8" s="551"/>
      <c r="AFB8" s="551"/>
      <c r="AFC8" s="551"/>
      <c r="AFD8" s="551"/>
      <c r="AFE8" s="551"/>
      <c r="AFF8" s="551"/>
      <c r="AFG8" s="551"/>
      <c r="AFH8" s="551"/>
      <c r="AFI8" s="551"/>
      <c r="AFJ8" s="551"/>
      <c r="AFK8" s="551"/>
      <c r="AFL8" s="551"/>
      <c r="AFM8" s="551"/>
      <c r="AFN8" s="551"/>
      <c r="AFO8" s="551"/>
      <c r="AFP8" s="551"/>
      <c r="AFQ8" s="551"/>
      <c r="AFR8" s="551"/>
      <c r="AFS8" s="551"/>
      <c r="AFT8" s="551"/>
      <c r="AFU8" s="551"/>
      <c r="AFV8" s="551"/>
      <c r="AFW8" s="551"/>
      <c r="AFX8" s="551"/>
      <c r="AFY8" s="551"/>
      <c r="AFZ8" s="551"/>
      <c r="AGA8" s="551"/>
      <c r="AGB8" s="551"/>
      <c r="AGC8" s="551"/>
      <c r="AGD8" s="551"/>
      <c r="AGE8" s="551"/>
      <c r="AGF8" s="551"/>
      <c r="AGG8" s="551"/>
      <c r="AGH8" s="551"/>
      <c r="AGI8" s="551"/>
      <c r="AGJ8" s="551"/>
      <c r="AGK8" s="551"/>
      <c r="AGL8" s="551"/>
      <c r="AGM8" s="551"/>
      <c r="AGN8" s="551"/>
      <c r="AGO8" s="551"/>
      <c r="AGP8" s="551"/>
      <c r="AGQ8" s="551"/>
      <c r="AGR8" s="551"/>
      <c r="AGS8" s="551"/>
      <c r="AGT8" s="551"/>
      <c r="AGU8" s="551"/>
      <c r="AGV8" s="551"/>
      <c r="AGW8" s="551"/>
      <c r="AGX8" s="551"/>
      <c r="AGY8" s="551"/>
      <c r="AGZ8" s="551"/>
      <c r="AHA8" s="551"/>
      <c r="AHB8" s="551"/>
      <c r="AHC8" s="551"/>
      <c r="AHD8" s="551"/>
      <c r="AHE8" s="551"/>
      <c r="AHF8" s="551"/>
      <c r="AHG8" s="551"/>
      <c r="AHH8" s="551"/>
      <c r="AHI8" s="551"/>
      <c r="AHJ8" s="551"/>
      <c r="AHK8" s="551"/>
      <c r="AHL8" s="551"/>
      <c r="AHM8" s="551"/>
      <c r="AHN8" s="551"/>
      <c r="AHO8" s="551"/>
      <c r="AHP8" s="551"/>
      <c r="AHQ8" s="551"/>
      <c r="AHR8" s="551"/>
      <c r="AHS8" s="551"/>
      <c r="AHT8" s="551"/>
      <c r="AHU8" s="551"/>
      <c r="AHV8" s="551"/>
      <c r="AHW8" s="551"/>
      <c r="AHX8" s="551"/>
      <c r="AHY8" s="551"/>
      <c r="AHZ8" s="551"/>
      <c r="AIA8" s="551"/>
      <c r="AIB8" s="551"/>
      <c r="AIC8" s="551"/>
      <c r="AID8" s="551"/>
      <c r="AIE8" s="551"/>
      <c r="AIF8" s="551"/>
      <c r="AIG8" s="551"/>
      <c r="AIH8" s="551"/>
      <c r="AII8" s="551"/>
      <c r="AIJ8" s="551"/>
      <c r="AIK8" s="551"/>
      <c r="AIL8" s="551"/>
      <c r="AIM8" s="551"/>
      <c r="AIN8" s="551"/>
      <c r="AIO8" s="551"/>
      <c r="AIP8" s="551"/>
      <c r="AIQ8" s="551"/>
      <c r="AIR8" s="551"/>
      <c r="AIS8" s="551"/>
      <c r="AIT8" s="551"/>
      <c r="AIU8" s="551"/>
      <c r="AIV8" s="551"/>
      <c r="AIW8" s="551"/>
      <c r="AIX8" s="551"/>
      <c r="AIY8" s="551"/>
      <c r="AIZ8" s="551"/>
      <c r="AJA8" s="551"/>
      <c r="AJB8" s="551"/>
      <c r="AJC8" s="551"/>
      <c r="AJD8" s="551"/>
      <c r="AJE8" s="551"/>
      <c r="AJF8" s="551"/>
      <c r="AJG8" s="551"/>
      <c r="AJH8" s="551"/>
      <c r="AJI8" s="551"/>
      <c r="AJJ8" s="551"/>
      <c r="AJK8" s="551"/>
      <c r="AJL8" s="551"/>
      <c r="AJM8" s="551"/>
      <c r="AJN8" s="551"/>
      <c r="AJO8" s="551"/>
      <c r="AJP8" s="551"/>
      <c r="AJQ8" s="551"/>
      <c r="AJR8" s="551"/>
      <c r="AJS8" s="551"/>
      <c r="AJT8" s="551"/>
      <c r="AJU8" s="551"/>
      <c r="AJV8" s="551"/>
      <c r="AJW8" s="551"/>
      <c r="AJX8" s="551"/>
      <c r="AJY8" s="551"/>
      <c r="AJZ8" s="551"/>
      <c r="AKA8" s="551"/>
      <c r="AKB8" s="551"/>
      <c r="AKC8" s="551"/>
      <c r="AKD8" s="551"/>
      <c r="AKE8" s="551"/>
      <c r="AKF8" s="551"/>
      <c r="AKG8" s="551"/>
      <c r="AKH8" s="551"/>
      <c r="AKI8" s="551"/>
      <c r="AKJ8" s="551"/>
      <c r="AKK8" s="551"/>
      <c r="AKL8" s="551"/>
      <c r="AKM8" s="551"/>
      <c r="AKN8" s="551"/>
      <c r="AKO8" s="551"/>
      <c r="AKP8" s="551"/>
      <c r="AKQ8" s="551"/>
      <c r="AKR8" s="551"/>
      <c r="AKS8" s="551"/>
      <c r="AKT8" s="551"/>
      <c r="AKU8" s="551"/>
      <c r="AKV8" s="551"/>
      <c r="AKW8" s="551"/>
      <c r="AKX8" s="551"/>
      <c r="AKY8" s="551"/>
      <c r="AKZ8" s="551"/>
      <c r="ALA8" s="551"/>
      <c r="ALB8" s="551"/>
      <c r="ALC8" s="551"/>
      <c r="ALD8" s="551"/>
      <c r="ALE8" s="551"/>
      <c r="ALF8" s="551"/>
      <c r="ALG8" s="551"/>
      <c r="ALH8" s="551"/>
      <c r="ALI8" s="551"/>
      <c r="ALJ8" s="551"/>
      <c r="ALK8" s="551"/>
      <c r="ALL8" s="551"/>
      <c r="ALM8" s="551"/>
      <c r="ALN8" s="551"/>
      <c r="ALO8" s="551"/>
      <c r="ALP8" s="551"/>
      <c r="ALQ8" s="551"/>
      <c r="ALR8" s="551"/>
      <c r="ALS8" s="551"/>
      <c r="ALT8" s="551"/>
      <c r="ALU8" s="551"/>
      <c r="ALV8" s="551"/>
      <c r="ALW8" s="551"/>
      <c r="ALX8" s="551"/>
      <c r="ALY8" s="551"/>
      <c r="ALZ8" s="551"/>
      <c r="AMA8" s="551"/>
      <c r="AMB8" s="551"/>
      <c r="AMC8" s="551"/>
      <c r="AMD8" s="551"/>
      <c r="AME8" s="551"/>
      <c r="AMF8" s="551"/>
      <c r="AMG8" s="551"/>
      <c r="AMH8" s="551"/>
      <c r="AMI8" s="551"/>
      <c r="AMJ8" s="551"/>
      <c r="AMK8" s="551"/>
      <c r="AML8" s="551"/>
      <c r="AMM8" s="551"/>
    </row>
    <row r="9" spans="1:1027" s="557" customFormat="1" ht="69" customHeight="1">
      <c r="A9" s="2595" t="s">
        <v>50</v>
      </c>
      <c r="B9" s="2558" t="s">
        <v>1945</v>
      </c>
      <c r="C9" s="2598" t="s">
        <v>2773</v>
      </c>
      <c r="D9" s="2599"/>
      <c r="E9" s="2600"/>
      <c r="F9" s="1990" t="s">
        <v>1733</v>
      </c>
      <c r="G9" s="2583" t="s">
        <v>481</v>
      </c>
      <c r="H9" s="2584"/>
      <c r="I9" s="2585"/>
      <c r="J9" s="2607" t="s">
        <v>51</v>
      </c>
      <c r="K9" s="2608"/>
      <c r="L9" s="2609"/>
      <c r="M9" s="1570"/>
      <c r="N9" s="1570"/>
      <c r="O9" s="1570"/>
      <c r="P9" s="1570"/>
      <c r="Q9" s="1990" t="s">
        <v>655</v>
      </c>
      <c r="R9" s="1990" t="s">
        <v>643</v>
      </c>
      <c r="S9" s="73"/>
      <c r="T9" s="54">
        <f>VLOOKUP(Q9,[97]Listas!$D$6:$E$10,2,0)</f>
        <v>2</v>
      </c>
      <c r="U9" s="54">
        <f>HLOOKUP(R9,[97]Listas!$F$4:$J$5,2,0)</f>
        <v>2</v>
      </c>
      <c r="V9" s="2006" t="str">
        <f>INDEX([97]Listas!$F$6:$J$10,MATCH(Q9,[97]Listas!$D$6:$D$10,0),MATCH(R9,[97]Listas!$F$4:$J$4,0))</f>
        <v>4
INFERIOR</v>
      </c>
      <c r="W9" s="73"/>
      <c r="X9" s="2586" t="s">
        <v>3642</v>
      </c>
      <c r="Y9" s="2586"/>
      <c r="Z9" s="2586"/>
      <c r="AA9" s="2590" t="s">
        <v>4013</v>
      </c>
      <c r="AB9" s="1298" t="s">
        <v>1734</v>
      </c>
      <c r="AC9" s="645" t="s">
        <v>3643</v>
      </c>
      <c r="AD9" s="1570">
        <v>87</v>
      </c>
      <c r="AE9" s="1298" t="s">
        <v>153</v>
      </c>
      <c r="AF9" s="73"/>
      <c r="AG9" s="54">
        <f>IF(AD9&lt;=33,0,IF(AD9&gt;81,2,1))</f>
        <v>2</v>
      </c>
      <c r="AH9" s="582">
        <f>IF(OR(AE9="Probabilidad",AE9="Ambos"),T9-AG9,T9)</f>
        <v>0</v>
      </c>
      <c r="AI9" s="2006" t="str">
        <f>IF(AH9&lt;=1,"Remota",VLOOKUP(AH9,[97]Listas!$C$6:$D$10,2,0))</f>
        <v>Remota</v>
      </c>
      <c r="AJ9" s="582">
        <f>IF(OR(AE9="Impacto",AE9="Ambos"),U9-AG9,U9)</f>
        <v>2</v>
      </c>
      <c r="AK9" s="2006" t="str">
        <f>IF(AJ9&lt;=1,"Insignificante",HLOOKUP(AJ9,[97]Listas!$F$3:$J$4,2,0))</f>
        <v>Menor</v>
      </c>
      <c r="AL9" s="55">
        <f>AH9*AJ9</f>
        <v>0</v>
      </c>
      <c r="AM9" s="2006" t="str">
        <f>INDEX([97]Listas!$F$6:$J$10,MATCH(AI9,[97]Listas!$D$6:$D$10,0),MATCH(AK9,[97]Listas!$F$4:$J$4,0))</f>
        <v>2
INFERIOR</v>
      </c>
      <c r="AN9" s="2511" t="s">
        <v>2774</v>
      </c>
      <c r="AO9" s="2511" t="s">
        <v>2721</v>
      </c>
      <c r="AP9" s="2514">
        <v>0</v>
      </c>
      <c r="AQ9" s="2517" t="s">
        <v>3644</v>
      </c>
      <c r="AR9" s="2517" t="s">
        <v>3800</v>
      </c>
      <c r="AS9" s="2455" t="s">
        <v>36</v>
      </c>
      <c r="AT9" s="2587" t="s">
        <v>2573</v>
      </c>
      <c r="AU9" s="2455" t="s">
        <v>2573</v>
      </c>
      <c r="AV9" s="2458" t="s">
        <v>2573</v>
      </c>
      <c r="AW9" s="2458" t="s">
        <v>2573</v>
      </c>
      <c r="AX9" s="2455" t="s">
        <v>2573</v>
      </c>
      <c r="AY9" s="2508" t="s">
        <v>3645</v>
      </c>
    </row>
    <row r="10" spans="1:1027" s="557" customFormat="1" ht="132" customHeight="1">
      <c r="A10" s="2596"/>
      <c r="B10" s="2559"/>
      <c r="C10" s="2601"/>
      <c r="D10" s="2602"/>
      <c r="E10" s="2603"/>
      <c r="F10" s="1991"/>
      <c r="G10" s="2583" t="s">
        <v>482</v>
      </c>
      <c r="H10" s="2584"/>
      <c r="I10" s="2585"/>
      <c r="J10" s="2610"/>
      <c r="K10" s="2611"/>
      <c r="L10" s="2612"/>
      <c r="M10" s="1571"/>
      <c r="N10" s="1571"/>
      <c r="O10" s="1571"/>
      <c r="P10" s="1571"/>
      <c r="Q10" s="1991"/>
      <c r="R10" s="1991"/>
      <c r="S10" s="73"/>
      <c r="T10" s="54" t="e">
        <f>VLOOKUP(Q10,[97]Listas!$D$6:$E$10,2,0)</f>
        <v>#N/A</v>
      </c>
      <c r="U10" s="54" t="e">
        <f>HLOOKUP(R10,[97]Listas!$F$4:$J$5,2,0)</f>
        <v>#N/A</v>
      </c>
      <c r="V10" s="2007"/>
      <c r="W10" s="73"/>
      <c r="X10" s="2586" t="s">
        <v>3646</v>
      </c>
      <c r="Y10" s="2586"/>
      <c r="Z10" s="2586"/>
      <c r="AA10" s="2591"/>
      <c r="AB10" s="1299"/>
      <c r="AC10" s="645" t="s">
        <v>837</v>
      </c>
      <c r="AD10" s="1571"/>
      <c r="AE10" s="1299"/>
      <c r="AF10" s="73"/>
      <c r="AG10" s="54">
        <f t="shared" ref="AG10:AG62" si="0">IF(AD10&lt;=33,0,IF(AD10&gt;81,2,1))</f>
        <v>0</v>
      </c>
      <c r="AH10" s="582" t="e">
        <f t="shared" ref="AH10:AH62" si="1">IF(OR(AE10="Probabilidad",AE10="Ambos"),T10-AG10,T10)</f>
        <v>#N/A</v>
      </c>
      <c r="AI10" s="2007"/>
      <c r="AJ10" s="582" t="e">
        <f t="shared" ref="AJ10:AJ62" si="2">IF(OR(AE10="Impacto",AE10="Ambos"),U10-AG10,U10)</f>
        <v>#N/A</v>
      </c>
      <c r="AK10" s="2007"/>
      <c r="AL10" s="55" t="e">
        <f t="shared" ref="AL10:AL62" si="3">AH10*AJ10</f>
        <v>#N/A</v>
      </c>
      <c r="AM10" s="2007"/>
      <c r="AN10" s="2512"/>
      <c r="AO10" s="2512"/>
      <c r="AP10" s="2515"/>
      <c r="AQ10" s="2518"/>
      <c r="AR10" s="2518"/>
      <c r="AS10" s="2456"/>
      <c r="AT10" s="2588"/>
      <c r="AU10" s="2456"/>
      <c r="AV10" s="2459"/>
      <c r="AW10" s="2459"/>
      <c r="AX10" s="2456"/>
      <c r="AY10" s="2509"/>
    </row>
    <row r="11" spans="1:1027" s="557" customFormat="1" ht="43.5" customHeight="1">
      <c r="A11" s="2596"/>
      <c r="B11" s="2559"/>
      <c r="C11" s="2601"/>
      <c r="D11" s="2602"/>
      <c r="E11" s="2603"/>
      <c r="F11" s="1991"/>
      <c r="G11" s="2583" t="s">
        <v>483</v>
      </c>
      <c r="H11" s="2584"/>
      <c r="I11" s="2585"/>
      <c r="J11" s="2610"/>
      <c r="K11" s="2611"/>
      <c r="L11" s="2612"/>
      <c r="M11" s="1571"/>
      <c r="N11" s="1571"/>
      <c r="O11" s="1571"/>
      <c r="P11" s="1571"/>
      <c r="Q11" s="1991"/>
      <c r="R11" s="1991"/>
      <c r="S11" s="73"/>
      <c r="T11" s="54" t="e">
        <f>VLOOKUP(Q11,[97]Listas!$D$6:$E$10,2,0)</f>
        <v>#N/A</v>
      </c>
      <c r="U11" s="54" t="e">
        <f>HLOOKUP(R11,[97]Listas!$F$4:$J$5,2,0)</f>
        <v>#N/A</v>
      </c>
      <c r="V11" s="2007"/>
      <c r="W11" s="73"/>
      <c r="X11" s="2586" t="s">
        <v>484</v>
      </c>
      <c r="Y11" s="2586"/>
      <c r="Z11" s="2586"/>
      <c r="AA11" s="2591"/>
      <c r="AB11" s="1299"/>
      <c r="AC11" s="645" t="s">
        <v>485</v>
      </c>
      <c r="AD11" s="1571"/>
      <c r="AE11" s="1299"/>
      <c r="AF11" s="73"/>
      <c r="AG11" s="54">
        <f t="shared" si="0"/>
        <v>0</v>
      </c>
      <c r="AH11" s="582" t="e">
        <f t="shared" si="1"/>
        <v>#N/A</v>
      </c>
      <c r="AI11" s="2007"/>
      <c r="AJ11" s="582" t="e">
        <f t="shared" si="2"/>
        <v>#N/A</v>
      </c>
      <c r="AK11" s="2007"/>
      <c r="AL11" s="55" t="e">
        <f t="shared" si="3"/>
        <v>#N/A</v>
      </c>
      <c r="AM11" s="2007"/>
      <c r="AN11" s="2512"/>
      <c r="AO11" s="2512"/>
      <c r="AP11" s="2515"/>
      <c r="AQ11" s="2518"/>
      <c r="AR11" s="2518"/>
      <c r="AS11" s="2456"/>
      <c r="AT11" s="2588"/>
      <c r="AU11" s="2456"/>
      <c r="AV11" s="2459"/>
      <c r="AW11" s="2459"/>
      <c r="AX11" s="2456"/>
      <c r="AY11" s="2509"/>
    </row>
    <row r="12" spans="1:1027" s="557" customFormat="1" ht="52.5" customHeight="1">
      <c r="A12" s="2597"/>
      <c r="B12" s="2573"/>
      <c r="C12" s="2604"/>
      <c r="D12" s="2605"/>
      <c r="E12" s="2606"/>
      <c r="F12" s="1992"/>
      <c r="G12" s="2583" t="s">
        <v>486</v>
      </c>
      <c r="H12" s="2584"/>
      <c r="I12" s="2585"/>
      <c r="J12" s="2613"/>
      <c r="K12" s="2614"/>
      <c r="L12" s="2615"/>
      <c r="M12" s="1572"/>
      <c r="N12" s="1572"/>
      <c r="O12" s="1572"/>
      <c r="P12" s="1572"/>
      <c r="Q12" s="1992"/>
      <c r="R12" s="1992"/>
      <c r="S12" s="73"/>
      <c r="T12" s="54" t="e">
        <f>VLOOKUP(Q12,[97]Listas!$D$6:$E$10,2,0)</f>
        <v>#N/A</v>
      </c>
      <c r="U12" s="54" t="e">
        <f>HLOOKUP(R12,[97]Listas!$F$4:$J$5,2,0)</f>
        <v>#N/A</v>
      </c>
      <c r="V12" s="2008"/>
      <c r="W12" s="73"/>
      <c r="X12" s="2586" t="s">
        <v>487</v>
      </c>
      <c r="Y12" s="2586"/>
      <c r="Z12" s="2586"/>
      <c r="AA12" s="2592"/>
      <c r="AB12" s="1469"/>
      <c r="AC12" s="645" t="s">
        <v>838</v>
      </c>
      <c r="AD12" s="1572"/>
      <c r="AE12" s="1469"/>
      <c r="AF12" s="73"/>
      <c r="AG12" s="54">
        <f t="shared" si="0"/>
        <v>0</v>
      </c>
      <c r="AH12" s="582" t="e">
        <f t="shared" si="1"/>
        <v>#N/A</v>
      </c>
      <c r="AI12" s="2008"/>
      <c r="AJ12" s="582" t="e">
        <f t="shared" si="2"/>
        <v>#N/A</v>
      </c>
      <c r="AK12" s="2008"/>
      <c r="AL12" s="55" t="e">
        <f t="shared" si="3"/>
        <v>#N/A</v>
      </c>
      <c r="AM12" s="2008"/>
      <c r="AN12" s="2513"/>
      <c r="AO12" s="2513"/>
      <c r="AP12" s="2516"/>
      <c r="AQ12" s="2519"/>
      <c r="AR12" s="2519"/>
      <c r="AS12" s="2457"/>
      <c r="AT12" s="2589"/>
      <c r="AU12" s="2457"/>
      <c r="AV12" s="2460"/>
      <c r="AW12" s="2460"/>
      <c r="AX12" s="2457"/>
      <c r="AY12" s="2510"/>
    </row>
    <row r="13" spans="1:1027" s="557" customFormat="1" ht="141.75" customHeight="1">
      <c r="A13" s="2556" t="s">
        <v>50</v>
      </c>
      <c r="B13" s="2558" t="s">
        <v>1946</v>
      </c>
      <c r="C13" s="2560" t="s">
        <v>3801</v>
      </c>
      <c r="D13" s="2561"/>
      <c r="E13" s="2562"/>
      <c r="F13" s="1298" t="s">
        <v>1735</v>
      </c>
      <c r="G13" s="2551" t="s">
        <v>488</v>
      </c>
      <c r="H13" s="2552"/>
      <c r="I13" s="2553"/>
      <c r="J13" s="2566" t="s">
        <v>52</v>
      </c>
      <c r="K13" s="2567"/>
      <c r="L13" s="2568"/>
      <c r="M13" s="1570"/>
      <c r="N13" s="1570"/>
      <c r="O13" s="1570"/>
      <c r="P13" s="1570"/>
      <c r="Q13" s="1990" t="s">
        <v>37</v>
      </c>
      <c r="R13" s="1990" t="s">
        <v>643</v>
      </c>
      <c r="S13" s="73"/>
      <c r="T13" s="54">
        <f>VLOOKUP(Q13,[97]Listas!$D$6:$E$10,2,0)</f>
        <v>5</v>
      </c>
      <c r="U13" s="54">
        <f>HLOOKUP(R13,[97]Listas!$F$4:$J$5,2,0)</f>
        <v>2</v>
      </c>
      <c r="V13" s="2006" t="str">
        <f>INDEX([97]Listas!$F$6:$J$10,MATCH(Q13,[97]Listas!$D$6:$D$10,0),MATCH(R13,[97]Listas!$F$4:$J$4,0))</f>
        <v>10
ALTO</v>
      </c>
      <c r="W13" s="73"/>
      <c r="X13" s="1776" t="s">
        <v>3647</v>
      </c>
      <c r="Y13" s="1776"/>
      <c r="Z13" s="1776"/>
      <c r="AA13" s="1780" t="s">
        <v>4013</v>
      </c>
      <c r="AB13" s="1298" t="s">
        <v>1735</v>
      </c>
      <c r="AC13" s="614" t="s">
        <v>3648</v>
      </c>
      <c r="AD13" s="1570">
        <v>75</v>
      </c>
      <c r="AE13" s="1298" t="s">
        <v>152</v>
      </c>
      <c r="AF13" s="73"/>
      <c r="AG13" s="54">
        <f t="shared" si="0"/>
        <v>1</v>
      </c>
      <c r="AH13" s="582">
        <f t="shared" si="1"/>
        <v>4</v>
      </c>
      <c r="AI13" s="2006" t="str">
        <f>IF(AH13&lt;=1,"Remota",VLOOKUP(AH13,[97]Listas!$C$6:$D$10,2,0))</f>
        <v>Alta</v>
      </c>
      <c r="AJ13" s="582">
        <f t="shared" si="2"/>
        <v>1</v>
      </c>
      <c r="AK13" s="2006" t="str">
        <f>IF(AJ13&lt;=1,"Insignificante",HLOOKUP(AJ13,[97]Listas!$F$3:$J$4,2,0))</f>
        <v>Insignificante</v>
      </c>
      <c r="AL13" s="55">
        <f t="shared" si="3"/>
        <v>4</v>
      </c>
      <c r="AM13" s="2006" t="str">
        <f>INDEX([97]Listas!$F$6:$J$10,MATCH(AI13,[97]Listas!$D$6:$D$10,0),MATCH(AK13,[97]Listas!$F$4:$J$4,0))</f>
        <v>4
MODERADO</v>
      </c>
      <c r="AN13" s="2511" t="s">
        <v>2775</v>
      </c>
      <c r="AO13" s="2511" t="s">
        <v>3802</v>
      </c>
      <c r="AP13" s="2580">
        <v>5</v>
      </c>
      <c r="AQ13" s="2517" t="s">
        <v>3803</v>
      </c>
      <c r="AR13" s="2517" t="s">
        <v>3804</v>
      </c>
      <c r="AS13" s="2455" t="s">
        <v>65</v>
      </c>
      <c r="AT13" s="2455" t="s">
        <v>3805</v>
      </c>
      <c r="AU13" s="2455" t="s">
        <v>3806</v>
      </c>
      <c r="AV13" s="2458" t="s">
        <v>2573</v>
      </c>
      <c r="AW13" s="2458" t="s">
        <v>2573</v>
      </c>
      <c r="AX13" s="2455" t="s">
        <v>3807</v>
      </c>
      <c r="AY13" s="2508" t="s">
        <v>3649</v>
      </c>
    </row>
    <row r="14" spans="1:1027" s="557" customFormat="1" ht="160.5" customHeight="1">
      <c r="A14" s="2557"/>
      <c r="B14" s="2559"/>
      <c r="C14" s="2563"/>
      <c r="D14" s="2564"/>
      <c r="E14" s="2565"/>
      <c r="F14" s="1299"/>
      <c r="G14" s="2551" t="s">
        <v>489</v>
      </c>
      <c r="H14" s="2552"/>
      <c r="I14" s="2553"/>
      <c r="J14" s="2569"/>
      <c r="K14" s="2570"/>
      <c r="L14" s="2571"/>
      <c r="M14" s="1571"/>
      <c r="N14" s="1571"/>
      <c r="O14" s="1571"/>
      <c r="P14" s="1571"/>
      <c r="Q14" s="1991"/>
      <c r="R14" s="1991"/>
      <c r="S14" s="73"/>
      <c r="T14" s="54" t="e">
        <f>VLOOKUP(Q14,[97]Listas!$D$6:$E$10,2,0)</f>
        <v>#N/A</v>
      </c>
      <c r="U14" s="54" t="e">
        <f>HLOOKUP(R14,[97]Listas!$F$4:$J$5,2,0)</f>
        <v>#N/A</v>
      </c>
      <c r="V14" s="2007"/>
      <c r="W14" s="73"/>
      <c r="X14" s="1776" t="s">
        <v>3650</v>
      </c>
      <c r="Y14" s="1776"/>
      <c r="Z14" s="1776"/>
      <c r="AA14" s="1781"/>
      <c r="AB14" s="1299"/>
      <c r="AC14" s="614" t="s">
        <v>3651</v>
      </c>
      <c r="AD14" s="1571"/>
      <c r="AE14" s="1299"/>
      <c r="AF14" s="73"/>
      <c r="AG14" s="54">
        <f t="shared" si="0"/>
        <v>0</v>
      </c>
      <c r="AH14" s="582" t="e">
        <f t="shared" si="1"/>
        <v>#N/A</v>
      </c>
      <c r="AI14" s="2007"/>
      <c r="AJ14" s="582" t="e">
        <f t="shared" si="2"/>
        <v>#N/A</v>
      </c>
      <c r="AK14" s="2007"/>
      <c r="AL14" s="55" t="e">
        <f t="shared" si="3"/>
        <v>#N/A</v>
      </c>
      <c r="AM14" s="2007"/>
      <c r="AN14" s="2512"/>
      <c r="AO14" s="2512"/>
      <c r="AP14" s="2581"/>
      <c r="AQ14" s="2518"/>
      <c r="AR14" s="2518"/>
      <c r="AS14" s="2456"/>
      <c r="AT14" s="2456"/>
      <c r="AU14" s="2456"/>
      <c r="AV14" s="2459"/>
      <c r="AW14" s="2459"/>
      <c r="AX14" s="2456"/>
      <c r="AY14" s="2509"/>
    </row>
    <row r="15" spans="1:1027" s="557" customFormat="1" ht="192.75" customHeight="1">
      <c r="A15" s="2557"/>
      <c r="B15" s="2559"/>
      <c r="C15" s="2563"/>
      <c r="D15" s="2564"/>
      <c r="E15" s="2565"/>
      <c r="F15" s="1299"/>
      <c r="G15" s="2551" t="s">
        <v>490</v>
      </c>
      <c r="H15" s="2552"/>
      <c r="I15" s="2553"/>
      <c r="J15" s="2569"/>
      <c r="K15" s="2570"/>
      <c r="L15" s="2571"/>
      <c r="M15" s="1571"/>
      <c r="N15" s="1571"/>
      <c r="O15" s="1571"/>
      <c r="P15" s="1571"/>
      <c r="Q15" s="1991"/>
      <c r="R15" s="1991"/>
      <c r="S15" s="73"/>
      <c r="T15" s="54" t="e">
        <f>VLOOKUP(Q15,[97]Listas!$D$6:$E$10,2,0)</f>
        <v>#N/A</v>
      </c>
      <c r="U15" s="54" t="e">
        <f>HLOOKUP(R15,[97]Listas!$F$4:$J$5,2,0)</f>
        <v>#N/A</v>
      </c>
      <c r="V15" s="2007"/>
      <c r="W15" s="73"/>
      <c r="X15" s="1776" t="s">
        <v>3652</v>
      </c>
      <c r="Y15" s="1776"/>
      <c r="Z15" s="1776"/>
      <c r="AA15" s="1781"/>
      <c r="AB15" s="1469"/>
      <c r="AC15" s="614" t="s">
        <v>839</v>
      </c>
      <c r="AD15" s="1571"/>
      <c r="AE15" s="1299"/>
      <c r="AF15" s="73"/>
      <c r="AG15" s="54">
        <f t="shared" si="0"/>
        <v>0</v>
      </c>
      <c r="AH15" s="582" t="e">
        <f t="shared" si="1"/>
        <v>#N/A</v>
      </c>
      <c r="AI15" s="2007"/>
      <c r="AJ15" s="582" t="e">
        <f t="shared" si="2"/>
        <v>#N/A</v>
      </c>
      <c r="AK15" s="2007"/>
      <c r="AL15" s="55" t="e">
        <f t="shared" si="3"/>
        <v>#N/A</v>
      </c>
      <c r="AM15" s="2007"/>
      <c r="AN15" s="2512"/>
      <c r="AO15" s="2512"/>
      <c r="AP15" s="2581"/>
      <c r="AQ15" s="2518"/>
      <c r="AR15" s="2518"/>
      <c r="AS15" s="2456"/>
      <c r="AT15" s="2456"/>
      <c r="AU15" s="2456"/>
      <c r="AV15" s="2459"/>
      <c r="AW15" s="2459"/>
      <c r="AX15" s="2456"/>
      <c r="AY15" s="2509"/>
    </row>
    <row r="16" spans="1:1027" s="557" customFormat="1" ht="80.25" customHeight="1">
      <c r="A16" s="2557"/>
      <c r="B16" s="2559"/>
      <c r="C16" s="2563"/>
      <c r="D16" s="2564"/>
      <c r="E16" s="2565"/>
      <c r="F16" s="1299"/>
      <c r="G16" s="2551" t="s">
        <v>491</v>
      </c>
      <c r="H16" s="2552"/>
      <c r="I16" s="2553"/>
      <c r="J16" s="2569"/>
      <c r="K16" s="2570"/>
      <c r="L16" s="2571"/>
      <c r="M16" s="1571"/>
      <c r="N16" s="1571"/>
      <c r="O16" s="1571"/>
      <c r="P16" s="1571"/>
      <c r="Q16" s="1991"/>
      <c r="R16" s="1991"/>
      <c r="S16" s="73"/>
      <c r="T16" s="54" t="e">
        <f>VLOOKUP(Q16,[97]Listas!$D$6:$E$10,2,0)</f>
        <v>#N/A</v>
      </c>
      <c r="U16" s="54" t="e">
        <f>HLOOKUP(R16,[97]Listas!$F$4:$J$5,2,0)</f>
        <v>#N/A</v>
      </c>
      <c r="V16" s="2007"/>
      <c r="W16" s="73"/>
      <c r="X16" s="1776" t="s">
        <v>3653</v>
      </c>
      <c r="Y16" s="1776"/>
      <c r="Z16" s="1776"/>
      <c r="AA16" s="1781"/>
      <c r="AB16" s="632" t="s">
        <v>1734</v>
      </c>
      <c r="AC16" s="614" t="s">
        <v>492</v>
      </c>
      <c r="AD16" s="1571"/>
      <c r="AE16" s="1299"/>
      <c r="AF16" s="73"/>
      <c r="AG16" s="54">
        <f t="shared" si="0"/>
        <v>0</v>
      </c>
      <c r="AH16" s="582" t="e">
        <f t="shared" si="1"/>
        <v>#N/A</v>
      </c>
      <c r="AI16" s="2007"/>
      <c r="AJ16" s="582" t="e">
        <f t="shared" si="2"/>
        <v>#N/A</v>
      </c>
      <c r="AK16" s="2007"/>
      <c r="AL16" s="55" t="e">
        <f t="shared" si="3"/>
        <v>#N/A</v>
      </c>
      <c r="AM16" s="2007"/>
      <c r="AN16" s="2512"/>
      <c r="AO16" s="2512"/>
      <c r="AP16" s="2581"/>
      <c r="AQ16" s="2518"/>
      <c r="AR16" s="2518"/>
      <c r="AS16" s="2456"/>
      <c r="AT16" s="2456"/>
      <c r="AU16" s="2456"/>
      <c r="AV16" s="2459"/>
      <c r="AW16" s="2459"/>
      <c r="AX16" s="2456"/>
      <c r="AY16" s="2509"/>
    </row>
    <row r="17" spans="1:51" s="557" customFormat="1" ht="92.25" customHeight="1">
      <c r="A17" s="2572"/>
      <c r="B17" s="2573"/>
      <c r="C17" s="2574"/>
      <c r="D17" s="2575"/>
      <c r="E17" s="2576"/>
      <c r="F17" s="1469"/>
      <c r="G17" s="2551" t="s">
        <v>493</v>
      </c>
      <c r="H17" s="2552"/>
      <c r="I17" s="2553"/>
      <c r="J17" s="2577"/>
      <c r="K17" s="2578"/>
      <c r="L17" s="2579"/>
      <c r="M17" s="1572"/>
      <c r="N17" s="1572"/>
      <c r="O17" s="1572"/>
      <c r="P17" s="1572"/>
      <c r="Q17" s="1992"/>
      <c r="R17" s="1992"/>
      <c r="S17" s="73"/>
      <c r="T17" s="54" t="e">
        <f>VLOOKUP(Q17,[97]Listas!$D$6:$E$10,2,0)</f>
        <v>#N/A</v>
      </c>
      <c r="U17" s="54" t="e">
        <f>HLOOKUP(R17,[97]Listas!$F$4:$J$5,2,0)</f>
        <v>#N/A</v>
      </c>
      <c r="V17" s="2008"/>
      <c r="W17" s="73"/>
      <c r="X17" s="1776" t="s">
        <v>3654</v>
      </c>
      <c r="Y17" s="1776"/>
      <c r="Z17" s="1776"/>
      <c r="AA17" s="1782"/>
      <c r="AB17" s="632" t="s">
        <v>1736</v>
      </c>
      <c r="AC17" s="645" t="s">
        <v>840</v>
      </c>
      <c r="AD17" s="1572"/>
      <c r="AE17" s="1469"/>
      <c r="AF17" s="73"/>
      <c r="AG17" s="54">
        <f t="shared" si="0"/>
        <v>0</v>
      </c>
      <c r="AH17" s="582" t="e">
        <f t="shared" si="1"/>
        <v>#N/A</v>
      </c>
      <c r="AI17" s="2008"/>
      <c r="AJ17" s="582" t="e">
        <f t="shared" si="2"/>
        <v>#N/A</v>
      </c>
      <c r="AK17" s="2008"/>
      <c r="AL17" s="55" t="e">
        <f t="shared" si="3"/>
        <v>#N/A</v>
      </c>
      <c r="AM17" s="2008"/>
      <c r="AN17" s="2513"/>
      <c r="AO17" s="2513"/>
      <c r="AP17" s="2582"/>
      <c r="AQ17" s="2519"/>
      <c r="AR17" s="2519"/>
      <c r="AS17" s="2457"/>
      <c r="AT17" s="2457"/>
      <c r="AU17" s="2457"/>
      <c r="AV17" s="2460"/>
      <c r="AW17" s="2460"/>
      <c r="AX17" s="2457"/>
      <c r="AY17" s="2510"/>
    </row>
    <row r="18" spans="1:51" s="557" customFormat="1" ht="86.25" customHeight="1">
      <c r="A18" s="2556" t="s">
        <v>1737</v>
      </c>
      <c r="B18" s="2558" t="s">
        <v>1947</v>
      </c>
      <c r="C18" s="2560" t="s">
        <v>3808</v>
      </c>
      <c r="D18" s="2561"/>
      <c r="E18" s="2562"/>
      <c r="F18" s="1298" t="s">
        <v>1735</v>
      </c>
      <c r="G18" s="2551" t="s">
        <v>1738</v>
      </c>
      <c r="H18" s="2552"/>
      <c r="I18" s="2553"/>
      <c r="J18" s="2566" t="s">
        <v>2776</v>
      </c>
      <c r="K18" s="2567"/>
      <c r="L18" s="2568"/>
      <c r="M18" s="1570"/>
      <c r="N18" s="1570"/>
      <c r="O18" s="1570"/>
      <c r="P18" s="1570"/>
      <c r="Q18" s="1990" t="s">
        <v>37</v>
      </c>
      <c r="R18" s="1990" t="s">
        <v>274</v>
      </c>
      <c r="S18" s="73"/>
      <c r="T18" s="54">
        <f>VLOOKUP(Q18,[97]Listas!$D$6:$E$10,2,0)</f>
        <v>5</v>
      </c>
      <c r="U18" s="54">
        <f>HLOOKUP(R18,[97]Listas!$F$4:$J$5,2,0)</f>
        <v>3</v>
      </c>
      <c r="V18" s="2006" t="str">
        <f>INDEX([97]Listas!$F$6:$J$10,MATCH(Q18,[97]Listas!$D$6:$D$10,0),MATCH(R18,[97]Listas!$F$4:$J$4,0))</f>
        <v>15
ALTO</v>
      </c>
      <c r="W18" s="73"/>
      <c r="X18" s="1776" t="s">
        <v>3655</v>
      </c>
      <c r="Y18" s="1776"/>
      <c r="Z18" s="1776"/>
      <c r="AA18" s="1780" t="s">
        <v>4013</v>
      </c>
      <c r="AB18" s="632" t="s">
        <v>1734</v>
      </c>
      <c r="AC18" s="614" t="s">
        <v>2777</v>
      </c>
      <c r="AD18" s="1570">
        <v>87</v>
      </c>
      <c r="AE18" s="1298" t="s">
        <v>152</v>
      </c>
      <c r="AF18" s="73"/>
      <c r="AG18" s="54">
        <f t="shared" si="0"/>
        <v>2</v>
      </c>
      <c r="AH18" s="582">
        <f t="shared" si="1"/>
        <v>3</v>
      </c>
      <c r="AI18" s="2006" t="str">
        <f>IF(AH18&lt;=1,"Remota",VLOOKUP(AH18,[97]Listas!$C$6:$D$10,2,0))</f>
        <v>Posible</v>
      </c>
      <c r="AJ18" s="582">
        <f t="shared" si="2"/>
        <v>1</v>
      </c>
      <c r="AK18" s="2006" t="str">
        <f>IF(AJ18&lt;=1,"Insignificante",HLOOKUP(AJ18,[97]Listas!$F$3:$J$4,2,0))</f>
        <v>Insignificante</v>
      </c>
      <c r="AL18" s="55">
        <f t="shared" si="3"/>
        <v>3</v>
      </c>
      <c r="AM18" s="2006" t="str">
        <f>INDEX([97]Listas!$F$6:$J$10,MATCH(AI18,[97]Listas!$D$6:$D$10,0),MATCH(AK18,[97]Listas!$F$4:$J$4,0))</f>
        <v>3
INFERIOR</v>
      </c>
      <c r="AN18" s="2511" t="s">
        <v>2778</v>
      </c>
      <c r="AO18" s="2511" t="s">
        <v>3809</v>
      </c>
      <c r="AP18" s="2514">
        <v>0</v>
      </c>
      <c r="AQ18" s="2517" t="s">
        <v>3644</v>
      </c>
      <c r="AR18" s="2517" t="s">
        <v>3810</v>
      </c>
      <c r="AS18" s="2455" t="s">
        <v>36</v>
      </c>
      <c r="AT18" s="2455" t="s">
        <v>2573</v>
      </c>
      <c r="AU18" s="2455" t="s">
        <v>2573</v>
      </c>
      <c r="AV18" s="2458" t="s">
        <v>2573</v>
      </c>
      <c r="AW18" s="2458" t="s">
        <v>2573</v>
      </c>
      <c r="AX18" s="2455" t="s">
        <v>2573</v>
      </c>
      <c r="AY18" s="2508" t="s">
        <v>3656</v>
      </c>
    </row>
    <row r="19" spans="1:51" s="557" customFormat="1" ht="166.5" customHeight="1">
      <c r="A19" s="2557"/>
      <c r="B19" s="2559"/>
      <c r="C19" s="2563"/>
      <c r="D19" s="2564"/>
      <c r="E19" s="2565"/>
      <c r="F19" s="1299"/>
      <c r="G19" s="2551" t="s">
        <v>53</v>
      </c>
      <c r="H19" s="2552"/>
      <c r="I19" s="2553"/>
      <c r="J19" s="2569"/>
      <c r="K19" s="2570"/>
      <c r="L19" s="2571"/>
      <c r="M19" s="1571"/>
      <c r="N19" s="1571"/>
      <c r="O19" s="1571"/>
      <c r="P19" s="1571"/>
      <c r="Q19" s="1991"/>
      <c r="R19" s="1991"/>
      <c r="S19" s="73"/>
      <c r="T19" s="54" t="e">
        <f>VLOOKUP(Q19,[97]Listas!$D$6:$E$10,2,0)</f>
        <v>#N/A</v>
      </c>
      <c r="U19" s="54" t="e">
        <f>HLOOKUP(R19,[97]Listas!$F$4:$J$5,2,0)</f>
        <v>#N/A</v>
      </c>
      <c r="V19" s="2007"/>
      <c r="W19" s="73"/>
      <c r="X19" s="1776" t="s">
        <v>3657</v>
      </c>
      <c r="Y19" s="1776"/>
      <c r="Z19" s="1776"/>
      <c r="AA19" s="1781"/>
      <c r="AB19" s="1298" t="s">
        <v>1735</v>
      </c>
      <c r="AC19" s="614" t="s">
        <v>3658</v>
      </c>
      <c r="AD19" s="1571"/>
      <c r="AE19" s="1299"/>
      <c r="AF19" s="73"/>
      <c r="AG19" s="54">
        <f t="shared" si="0"/>
        <v>0</v>
      </c>
      <c r="AH19" s="582" t="e">
        <f t="shared" si="1"/>
        <v>#N/A</v>
      </c>
      <c r="AI19" s="2007"/>
      <c r="AJ19" s="582" t="e">
        <f t="shared" si="2"/>
        <v>#N/A</v>
      </c>
      <c r="AK19" s="2007"/>
      <c r="AL19" s="55" t="e">
        <f t="shared" si="3"/>
        <v>#N/A</v>
      </c>
      <c r="AM19" s="2007"/>
      <c r="AN19" s="2512"/>
      <c r="AO19" s="2512"/>
      <c r="AP19" s="2515"/>
      <c r="AQ19" s="2518"/>
      <c r="AR19" s="2518"/>
      <c r="AS19" s="2456"/>
      <c r="AT19" s="2456"/>
      <c r="AU19" s="2456"/>
      <c r="AV19" s="2459"/>
      <c r="AW19" s="2459"/>
      <c r="AX19" s="2456"/>
      <c r="AY19" s="2509"/>
    </row>
    <row r="20" spans="1:51" s="557" customFormat="1" ht="110.25" customHeight="1">
      <c r="A20" s="2557"/>
      <c r="B20" s="2559"/>
      <c r="C20" s="2563"/>
      <c r="D20" s="2564"/>
      <c r="E20" s="2565"/>
      <c r="F20" s="1299"/>
      <c r="G20" s="2551" t="s">
        <v>54</v>
      </c>
      <c r="H20" s="2552"/>
      <c r="I20" s="2553"/>
      <c r="J20" s="2569"/>
      <c r="K20" s="2570"/>
      <c r="L20" s="2571"/>
      <c r="M20" s="1571"/>
      <c r="N20" s="1571"/>
      <c r="O20" s="1571"/>
      <c r="P20" s="1571"/>
      <c r="Q20" s="1991"/>
      <c r="R20" s="1991"/>
      <c r="S20" s="73"/>
      <c r="T20" s="54" t="e">
        <f>VLOOKUP(Q20,[97]Listas!$D$6:$E$10,2,0)</f>
        <v>#N/A</v>
      </c>
      <c r="U20" s="54" t="e">
        <f>HLOOKUP(R20,[97]Listas!$F$4:$J$5,2,0)</f>
        <v>#N/A</v>
      </c>
      <c r="V20" s="2007"/>
      <c r="W20" s="73"/>
      <c r="X20" s="1776" t="s">
        <v>3659</v>
      </c>
      <c r="Y20" s="1776"/>
      <c r="Z20" s="1776"/>
      <c r="AA20" s="1781"/>
      <c r="AB20" s="1469"/>
      <c r="AC20" s="614" t="s">
        <v>3660</v>
      </c>
      <c r="AD20" s="1571"/>
      <c r="AE20" s="1299"/>
      <c r="AF20" s="73"/>
      <c r="AG20" s="54">
        <f t="shared" si="0"/>
        <v>0</v>
      </c>
      <c r="AH20" s="582" t="e">
        <f t="shared" si="1"/>
        <v>#N/A</v>
      </c>
      <c r="AI20" s="2007"/>
      <c r="AJ20" s="582" t="e">
        <f t="shared" si="2"/>
        <v>#N/A</v>
      </c>
      <c r="AK20" s="2007"/>
      <c r="AL20" s="55" t="e">
        <f t="shared" si="3"/>
        <v>#N/A</v>
      </c>
      <c r="AM20" s="2007"/>
      <c r="AN20" s="2512"/>
      <c r="AO20" s="2512"/>
      <c r="AP20" s="2515"/>
      <c r="AQ20" s="2518"/>
      <c r="AR20" s="2518"/>
      <c r="AS20" s="2456"/>
      <c r="AT20" s="2456"/>
      <c r="AU20" s="2456"/>
      <c r="AV20" s="2459"/>
      <c r="AW20" s="2459"/>
      <c r="AX20" s="2456"/>
      <c r="AY20" s="2509"/>
    </row>
    <row r="21" spans="1:51" s="557" customFormat="1" ht="126.75" customHeight="1">
      <c r="A21" s="2557"/>
      <c r="B21" s="2559"/>
      <c r="C21" s="2563"/>
      <c r="D21" s="2564"/>
      <c r="E21" s="2565"/>
      <c r="F21" s="1299"/>
      <c r="G21" s="2551" t="s">
        <v>217</v>
      </c>
      <c r="H21" s="2552"/>
      <c r="I21" s="2553"/>
      <c r="J21" s="2569"/>
      <c r="K21" s="2570"/>
      <c r="L21" s="2571"/>
      <c r="M21" s="1571"/>
      <c r="N21" s="1571"/>
      <c r="O21" s="1571"/>
      <c r="P21" s="1571"/>
      <c r="Q21" s="1991"/>
      <c r="R21" s="1991"/>
      <c r="S21" s="73"/>
      <c r="T21" s="54" t="e">
        <f>VLOOKUP(Q21,[97]Listas!$D$6:$E$10,2,0)</f>
        <v>#N/A</v>
      </c>
      <c r="U21" s="54" t="e">
        <f>HLOOKUP(R21,[97]Listas!$F$4:$J$5,2,0)</f>
        <v>#N/A</v>
      </c>
      <c r="V21" s="2007"/>
      <c r="W21" s="73"/>
      <c r="X21" s="1776" t="s">
        <v>3661</v>
      </c>
      <c r="Y21" s="1776"/>
      <c r="Z21" s="1776"/>
      <c r="AA21" s="1781"/>
      <c r="AB21" s="632" t="s">
        <v>1736</v>
      </c>
      <c r="AC21" s="614" t="s">
        <v>2779</v>
      </c>
      <c r="AD21" s="1571"/>
      <c r="AE21" s="1299"/>
      <c r="AF21" s="73"/>
      <c r="AG21" s="54">
        <f t="shared" si="0"/>
        <v>0</v>
      </c>
      <c r="AH21" s="582" t="e">
        <f t="shared" si="1"/>
        <v>#N/A</v>
      </c>
      <c r="AI21" s="2007"/>
      <c r="AJ21" s="582" t="e">
        <f t="shared" si="2"/>
        <v>#N/A</v>
      </c>
      <c r="AK21" s="2007"/>
      <c r="AL21" s="55" t="e">
        <f t="shared" si="3"/>
        <v>#N/A</v>
      </c>
      <c r="AM21" s="2007"/>
      <c r="AN21" s="2512"/>
      <c r="AO21" s="2512"/>
      <c r="AP21" s="2515"/>
      <c r="AQ21" s="2518"/>
      <c r="AR21" s="2518"/>
      <c r="AS21" s="2456"/>
      <c r="AT21" s="2456"/>
      <c r="AU21" s="2456"/>
      <c r="AV21" s="2459"/>
      <c r="AW21" s="2459"/>
      <c r="AX21" s="2456"/>
      <c r="AY21" s="2509"/>
    </row>
    <row r="22" spans="1:51" s="557" customFormat="1" ht="74.25" customHeight="1">
      <c r="A22" s="2572"/>
      <c r="B22" s="2573"/>
      <c r="C22" s="2574"/>
      <c r="D22" s="2575"/>
      <c r="E22" s="2576"/>
      <c r="F22" s="1469"/>
      <c r="G22" s="2551" t="s">
        <v>841</v>
      </c>
      <c r="H22" s="2552"/>
      <c r="I22" s="2553"/>
      <c r="J22" s="2577"/>
      <c r="K22" s="2578"/>
      <c r="L22" s="2579"/>
      <c r="M22" s="1572"/>
      <c r="N22" s="1572"/>
      <c r="O22" s="1572"/>
      <c r="P22" s="1572"/>
      <c r="Q22" s="1992"/>
      <c r="R22" s="1992"/>
      <c r="S22" s="73"/>
      <c r="T22" s="54" t="e">
        <f>VLOOKUP(Q22,[97]Listas!$D$6:$E$10,2,0)</f>
        <v>#N/A</v>
      </c>
      <c r="U22" s="54" t="e">
        <f>HLOOKUP(R22,[97]Listas!$F$4:$J$5,2,0)</f>
        <v>#N/A</v>
      </c>
      <c r="V22" s="2008"/>
      <c r="W22" s="73"/>
      <c r="X22" s="1776" t="s">
        <v>484</v>
      </c>
      <c r="Y22" s="1776"/>
      <c r="Z22" s="1776"/>
      <c r="AA22" s="1782"/>
      <c r="AB22" s="632" t="s">
        <v>1734</v>
      </c>
      <c r="AC22" s="614" t="s">
        <v>492</v>
      </c>
      <c r="AD22" s="1572"/>
      <c r="AE22" s="1469"/>
      <c r="AF22" s="73"/>
      <c r="AG22" s="54">
        <f t="shared" si="0"/>
        <v>0</v>
      </c>
      <c r="AH22" s="582" t="e">
        <f t="shared" si="1"/>
        <v>#N/A</v>
      </c>
      <c r="AI22" s="2008"/>
      <c r="AJ22" s="582" t="e">
        <f t="shared" si="2"/>
        <v>#N/A</v>
      </c>
      <c r="AK22" s="2008"/>
      <c r="AL22" s="55" t="e">
        <f t="shared" si="3"/>
        <v>#N/A</v>
      </c>
      <c r="AM22" s="2008"/>
      <c r="AN22" s="2513"/>
      <c r="AO22" s="2513"/>
      <c r="AP22" s="2516"/>
      <c r="AQ22" s="2519"/>
      <c r="AR22" s="2519"/>
      <c r="AS22" s="2457"/>
      <c r="AT22" s="2457"/>
      <c r="AU22" s="2457"/>
      <c r="AV22" s="2460"/>
      <c r="AW22" s="2460"/>
      <c r="AX22" s="2457"/>
      <c r="AY22" s="2510"/>
    </row>
    <row r="23" spans="1:51" s="557" customFormat="1" ht="103.5" customHeight="1">
      <c r="A23" s="2556" t="s">
        <v>218</v>
      </c>
      <c r="B23" s="2558" t="s">
        <v>1948</v>
      </c>
      <c r="C23" s="2560" t="s">
        <v>3662</v>
      </c>
      <c r="D23" s="2561"/>
      <c r="E23" s="2562"/>
      <c r="F23" s="1298" t="s">
        <v>1733</v>
      </c>
      <c r="G23" s="2551" t="s">
        <v>842</v>
      </c>
      <c r="H23" s="2552"/>
      <c r="I23" s="2553"/>
      <c r="J23" s="2566" t="s">
        <v>219</v>
      </c>
      <c r="K23" s="2567"/>
      <c r="L23" s="2568"/>
      <c r="M23" s="1570"/>
      <c r="N23" s="1570"/>
      <c r="O23" s="1570"/>
      <c r="P23" s="1570"/>
      <c r="Q23" s="1990" t="s">
        <v>648</v>
      </c>
      <c r="R23" s="1990" t="s">
        <v>661</v>
      </c>
      <c r="S23" s="73"/>
      <c r="T23" s="54">
        <f>VLOOKUP(Q23,[97]Listas!$D$6:$E$10,2,0)</f>
        <v>4</v>
      </c>
      <c r="U23" s="54">
        <f>HLOOKUP(R23,[97]Listas!$F$4:$J$5,2,0)</f>
        <v>1</v>
      </c>
      <c r="V23" s="2006" t="str">
        <f>INDEX([97]Listas!$F$6:$J$10,MATCH(Q23,[97]Listas!$D$6:$D$10,0),MATCH(R23,[97]Listas!$F$4:$J$4,0))</f>
        <v>4
MODERADO</v>
      </c>
      <c r="W23" s="73"/>
      <c r="X23" s="1776" t="s">
        <v>1739</v>
      </c>
      <c r="Y23" s="1776"/>
      <c r="Z23" s="1776"/>
      <c r="AA23" s="1780" t="s">
        <v>4013</v>
      </c>
      <c r="AB23" s="632" t="s">
        <v>1734</v>
      </c>
      <c r="AC23" s="614" t="s">
        <v>843</v>
      </c>
      <c r="AD23" s="1570">
        <v>76</v>
      </c>
      <c r="AE23" s="1298" t="s">
        <v>153</v>
      </c>
      <c r="AF23" s="73"/>
      <c r="AG23" s="54">
        <f t="shared" si="0"/>
        <v>1</v>
      </c>
      <c r="AH23" s="582">
        <f t="shared" si="1"/>
        <v>3</v>
      </c>
      <c r="AI23" s="2006" t="str">
        <f>IF(AH23&lt;=1,"Remota",VLOOKUP(AH23,[97]Listas!$C$6:$D$10,2,0))</f>
        <v>Posible</v>
      </c>
      <c r="AJ23" s="582">
        <f t="shared" si="2"/>
        <v>1</v>
      </c>
      <c r="AK23" s="2006" t="str">
        <f>IF(AJ23&lt;=1,"Insignificante",HLOOKUP(AJ23,[97]Listas!$F$3:$J$4,2,0))</f>
        <v>Insignificante</v>
      </c>
      <c r="AL23" s="55">
        <f t="shared" si="3"/>
        <v>3</v>
      </c>
      <c r="AM23" s="2006" t="str">
        <f>INDEX([97]Listas!$F$6:$J$10,MATCH(AI23,[97]Listas!$D$6:$D$10,0),MATCH(AK23,[97]Listas!$F$4:$J$4,0))</f>
        <v>3
INFERIOR</v>
      </c>
      <c r="AN23" s="2511" t="s">
        <v>2780</v>
      </c>
      <c r="AO23" s="2511" t="s">
        <v>2721</v>
      </c>
      <c r="AP23" s="2514">
        <v>0</v>
      </c>
      <c r="AQ23" s="2517" t="s">
        <v>3644</v>
      </c>
      <c r="AR23" s="2517" t="s">
        <v>3663</v>
      </c>
      <c r="AS23" s="2455" t="s">
        <v>36</v>
      </c>
      <c r="AT23" s="2455" t="s">
        <v>2573</v>
      </c>
      <c r="AU23" s="2455" t="s">
        <v>2573</v>
      </c>
      <c r="AV23" s="2458" t="s">
        <v>2573</v>
      </c>
      <c r="AW23" s="2458" t="s">
        <v>2573</v>
      </c>
      <c r="AX23" s="2455" t="s">
        <v>2573</v>
      </c>
      <c r="AY23" s="2508" t="s">
        <v>3664</v>
      </c>
    </row>
    <row r="24" spans="1:51" s="557" customFormat="1" ht="103.5" customHeight="1">
      <c r="A24" s="2572"/>
      <c r="B24" s="2573"/>
      <c r="C24" s="2574"/>
      <c r="D24" s="2575"/>
      <c r="E24" s="2576"/>
      <c r="F24" s="1469"/>
      <c r="G24" s="2551" t="s">
        <v>844</v>
      </c>
      <c r="H24" s="2552"/>
      <c r="I24" s="2553"/>
      <c r="J24" s="2577"/>
      <c r="K24" s="2578"/>
      <c r="L24" s="2579"/>
      <c r="M24" s="1572"/>
      <c r="N24" s="1572"/>
      <c r="O24" s="1572"/>
      <c r="P24" s="1572"/>
      <c r="Q24" s="1992"/>
      <c r="R24" s="1992"/>
      <c r="S24" s="73"/>
      <c r="T24" s="54" t="e">
        <f>VLOOKUP(Q24,[97]Listas!$D$6:$E$10,2,0)</f>
        <v>#N/A</v>
      </c>
      <c r="U24" s="54" t="e">
        <f>HLOOKUP(R24,[97]Listas!$F$4:$J$5,2,0)</f>
        <v>#N/A</v>
      </c>
      <c r="V24" s="2008"/>
      <c r="W24" s="73"/>
      <c r="X24" s="1776" t="s">
        <v>3665</v>
      </c>
      <c r="Y24" s="1776"/>
      <c r="Z24" s="1776"/>
      <c r="AA24" s="1782"/>
      <c r="AB24" s="632" t="s">
        <v>1734</v>
      </c>
      <c r="AC24" s="614" t="s">
        <v>1740</v>
      </c>
      <c r="AD24" s="1572"/>
      <c r="AE24" s="1469"/>
      <c r="AF24" s="73"/>
      <c r="AG24" s="54">
        <f t="shared" si="0"/>
        <v>0</v>
      </c>
      <c r="AH24" s="582" t="e">
        <f t="shared" si="1"/>
        <v>#N/A</v>
      </c>
      <c r="AI24" s="2008"/>
      <c r="AJ24" s="582" t="e">
        <f t="shared" si="2"/>
        <v>#N/A</v>
      </c>
      <c r="AK24" s="2008"/>
      <c r="AL24" s="55" t="e">
        <f t="shared" si="3"/>
        <v>#N/A</v>
      </c>
      <c r="AM24" s="2008"/>
      <c r="AN24" s="2513"/>
      <c r="AO24" s="2513"/>
      <c r="AP24" s="2516"/>
      <c r="AQ24" s="2519"/>
      <c r="AR24" s="2519"/>
      <c r="AS24" s="2457"/>
      <c r="AT24" s="2457"/>
      <c r="AU24" s="2457"/>
      <c r="AV24" s="2460"/>
      <c r="AW24" s="2460"/>
      <c r="AX24" s="2457"/>
      <c r="AY24" s="2510"/>
    </row>
    <row r="25" spans="1:51" s="557" customFormat="1" ht="251.25" customHeight="1">
      <c r="A25" s="2556" t="s">
        <v>494</v>
      </c>
      <c r="B25" s="2558" t="s">
        <v>1949</v>
      </c>
      <c r="C25" s="2560" t="s">
        <v>495</v>
      </c>
      <c r="D25" s="2561"/>
      <c r="E25" s="2562"/>
      <c r="F25" s="1298" t="s">
        <v>1741</v>
      </c>
      <c r="G25" s="2551" t="s">
        <v>845</v>
      </c>
      <c r="H25" s="2552"/>
      <c r="I25" s="2553"/>
      <c r="J25" s="2566" t="s">
        <v>846</v>
      </c>
      <c r="K25" s="2567"/>
      <c r="L25" s="2568"/>
      <c r="M25" s="1570"/>
      <c r="N25" s="1570"/>
      <c r="O25" s="1570"/>
      <c r="P25" s="1570"/>
      <c r="Q25" s="1990" t="s">
        <v>64</v>
      </c>
      <c r="R25" s="1990" t="s">
        <v>643</v>
      </c>
      <c r="S25" s="73"/>
      <c r="T25" s="54">
        <f>VLOOKUP(Q25,[97]Listas!$D$6:$E$10,2,0)</f>
        <v>3</v>
      </c>
      <c r="U25" s="54">
        <f>HLOOKUP(R25,[97]Listas!$F$4:$J$5,2,0)</f>
        <v>2</v>
      </c>
      <c r="V25" s="2006" t="str">
        <f>INDEX([97]Listas!$F$6:$J$10,MATCH(Q25,[97]Listas!$D$6:$D$10,0),MATCH(R25,[97]Listas!$F$4:$J$4,0))</f>
        <v>6
MODERADO</v>
      </c>
      <c r="W25" s="73"/>
      <c r="X25" s="1776" t="s">
        <v>2781</v>
      </c>
      <c r="Y25" s="1776"/>
      <c r="Z25" s="1776"/>
      <c r="AA25" s="1780" t="s">
        <v>4013</v>
      </c>
      <c r="AB25" s="2450" t="s">
        <v>1742</v>
      </c>
      <c r="AC25" s="614" t="s">
        <v>3666</v>
      </c>
      <c r="AD25" s="1570">
        <v>64</v>
      </c>
      <c r="AE25" s="1298" t="s">
        <v>152</v>
      </c>
      <c r="AF25" s="73"/>
      <c r="AG25" s="54">
        <f t="shared" si="0"/>
        <v>1</v>
      </c>
      <c r="AH25" s="582">
        <f t="shared" si="1"/>
        <v>2</v>
      </c>
      <c r="AI25" s="2006" t="str">
        <f>IF(AH25&lt;=1,"Remota",VLOOKUP(AH25,[97]Listas!$C$6:$D$10,2,0))</f>
        <v>Baja</v>
      </c>
      <c r="AJ25" s="582">
        <f t="shared" si="2"/>
        <v>1</v>
      </c>
      <c r="AK25" s="2006" t="str">
        <f>IF(AJ25&lt;=1,"Insignificante",HLOOKUP(AJ25,[97]Listas!$F$3:$J$4,2,0))</f>
        <v>Insignificante</v>
      </c>
      <c r="AL25" s="55">
        <f t="shared" si="3"/>
        <v>2</v>
      </c>
      <c r="AM25" s="2006" t="str">
        <f>INDEX([97]Listas!$F$6:$J$10,MATCH(AI25,[97]Listas!$D$6:$D$10,0),MATCH(AK25,[97]Listas!$F$4:$J$4,0))</f>
        <v>2
INFERIOR</v>
      </c>
      <c r="AN25" s="2511" t="s">
        <v>2782</v>
      </c>
      <c r="AO25" s="2511" t="s">
        <v>3667</v>
      </c>
      <c r="AP25" s="2514" t="s">
        <v>3811</v>
      </c>
      <c r="AQ25" s="2517" t="s">
        <v>3812</v>
      </c>
      <c r="AR25" s="2554" t="s">
        <v>3813</v>
      </c>
      <c r="AS25" s="2455" t="s">
        <v>3814</v>
      </c>
      <c r="AT25" s="2455" t="s">
        <v>2573</v>
      </c>
      <c r="AU25" s="2455" t="s">
        <v>2573</v>
      </c>
      <c r="AV25" s="2458" t="s">
        <v>2573</v>
      </c>
      <c r="AW25" s="2458" t="s">
        <v>2573</v>
      </c>
      <c r="AX25" s="2455" t="s">
        <v>2573</v>
      </c>
      <c r="AY25" s="2549" t="s">
        <v>3668</v>
      </c>
    </row>
    <row r="26" spans="1:51" s="557" customFormat="1" ht="103.5" customHeight="1">
      <c r="A26" s="2557"/>
      <c r="B26" s="2559"/>
      <c r="C26" s="2563"/>
      <c r="D26" s="2564"/>
      <c r="E26" s="2565"/>
      <c r="F26" s="1299"/>
      <c r="G26" s="2551" t="s">
        <v>496</v>
      </c>
      <c r="H26" s="2552"/>
      <c r="I26" s="2553"/>
      <c r="J26" s="2569"/>
      <c r="K26" s="2570"/>
      <c r="L26" s="2571"/>
      <c r="M26" s="1571"/>
      <c r="N26" s="1571"/>
      <c r="O26" s="1571"/>
      <c r="P26" s="1571"/>
      <c r="Q26" s="1991"/>
      <c r="R26" s="1991"/>
      <c r="S26" s="73"/>
      <c r="T26" s="54" t="e">
        <f>VLOOKUP(Q26,[97]Listas!$D$6:$E$10,2,0)</f>
        <v>#N/A</v>
      </c>
      <c r="U26" s="54" t="e">
        <f>HLOOKUP(R26,[97]Listas!$F$4:$J$5,2,0)</f>
        <v>#N/A</v>
      </c>
      <c r="V26" s="2007"/>
      <c r="W26" s="73"/>
      <c r="X26" s="1776" t="s">
        <v>497</v>
      </c>
      <c r="Y26" s="1776"/>
      <c r="Z26" s="1776"/>
      <c r="AA26" s="1782"/>
      <c r="AB26" s="2452"/>
      <c r="AC26" s="614" t="s">
        <v>3669</v>
      </c>
      <c r="AD26" s="1571"/>
      <c r="AE26" s="1299"/>
      <c r="AF26" s="73"/>
      <c r="AG26" s="54">
        <f t="shared" si="0"/>
        <v>0</v>
      </c>
      <c r="AH26" s="582" t="e">
        <f t="shared" si="1"/>
        <v>#N/A</v>
      </c>
      <c r="AI26" s="2007"/>
      <c r="AJ26" s="582" t="e">
        <f t="shared" si="2"/>
        <v>#N/A</v>
      </c>
      <c r="AK26" s="2007"/>
      <c r="AL26" s="55" t="e">
        <f t="shared" si="3"/>
        <v>#N/A</v>
      </c>
      <c r="AM26" s="2007"/>
      <c r="AN26" s="2513"/>
      <c r="AO26" s="2513"/>
      <c r="AP26" s="2516"/>
      <c r="AQ26" s="2519"/>
      <c r="AR26" s="2555"/>
      <c r="AS26" s="2457"/>
      <c r="AT26" s="2457"/>
      <c r="AU26" s="2457"/>
      <c r="AV26" s="2460"/>
      <c r="AW26" s="2460"/>
      <c r="AX26" s="2457"/>
      <c r="AY26" s="2550"/>
    </row>
    <row r="27" spans="1:51" s="557" customFormat="1" ht="86.25" customHeight="1">
      <c r="A27" s="2525" t="s">
        <v>1743</v>
      </c>
      <c r="B27" s="1576" t="s">
        <v>1950</v>
      </c>
      <c r="C27" s="2528" t="s">
        <v>729</v>
      </c>
      <c r="D27" s="2529"/>
      <c r="E27" s="2530"/>
      <c r="F27" s="2450" t="s">
        <v>1745</v>
      </c>
      <c r="G27" s="1996" t="s">
        <v>1746</v>
      </c>
      <c r="H27" s="1997"/>
      <c r="I27" s="1998"/>
      <c r="J27" s="2522" t="s">
        <v>1747</v>
      </c>
      <c r="K27" s="2537"/>
      <c r="L27" s="2538"/>
      <c r="M27" s="1570"/>
      <c r="N27" s="1570"/>
      <c r="O27" s="1570" t="s">
        <v>8</v>
      </c>
      <c r="P27" s="1570"/>
      <c r="Q27" s="1990" t="s">
        <v>654</v>
      </c>
      <c r="R27" s="1990" t="s">
        <v>661</v>
      </c>
      <c r="S27" s="73"/>
      <c r="T27" s="54">
        <f>VLOOKUP(Q27,[98]Listas!$D$6:$E$10,2,0)</f>
        <v>1</v>
      </c>
      <c r="U27" s="54">
        <f>HLOOKUP(R27,[98]Listas!$F$4:$J$5,2,0)</f>
        <v>1</v>
      </c>
      <c r="V27" s="2006" t="str">
        <f>INDEX([98]Listas!$F$6:$J$10,MATCH(Q27,[98]Listas!$D$6:$D$10,0),MATCH(R27,[98]Listas!$F$4:$J$4,0))</f>
        <v>1
INFERIOR</v>
      </c>
      <c r="W27" s="73"/>
      <c r="X27" s="1999" t="s">
        <v>1748</v>
      </c>
      <c r="Y27" s="1999"/>
      <c r="Z27" s="1999"/>
      <c r="AA27" s="1993" t="s">
        <v>4259</v>
      </c>
      <c r="AB27" s="642" t="s">
        <v>1749</v>
      </c>
      <c r="AC27" s="2522" t="s">
        <v>1750</v>
      </c>
      <c r="AD27" s="1570">
        <v>84</v>
      </c>
      <c r="AE27" s="1298" t="s">
        <v>153</v>
      </c>
      <c r="AF27" s="73"/>
      <c r="AG27" s="54">
        <f t="shared" si="0"/>
        <v>2</v>
      </c>
      <c r="AH27" s="582">
        <f t="shared" si="1"/>
        <v>-1</v>
      </c>
      <c r="AI27" s="2006" t="str">
        <f>IF(AH27&lt;=1,"Remota",VLOOKUP(AH27,[98]Listas!$C$6:$D$10,2,0))</f>
        <v>Remota</v>
      </c>
      <c r="AJ27" s="582">
        <f t="shared" si="2"/>
        <v>1</v>
      </c>
      <c r="AK27" s="2006" t="str">
        <f>IF(AJ27&lt;=1,"Insignificante",HLOOKUP(AJ27,[98]Listas!$F$3:$J$4,2,0))</f>
        <v>Insignificante</v>
      </c>
      <c r="AL27" s="55">
        <f t="shared" si="3"/>
        <v>-1</v>
      </c>
      <c r="AM27" s="2006" t="str">
        <f>INDEX([98]Listas!$F$6:$J$10,MATCH(AI27,[98]Listas!$D$6:$D$10,0),MATCH(AK27,[98]Listas!$F$4:$J$4,0))</f>
        <v>1
INFERIOR</v>
      </c>
      <c r="AN27" s="2511" t="s">
        <v>2783</v>
      </c>
      <c r="AO27" s="2511" t="s">
        <v>2721</v>
      </c>
      <c r="AP27" s="2514">
        <v>0</v>
      </c>
      <c r="AQ27" s="2517" t="s">
        <v>3644</v>
      </c>
      <c r="AR27" s="2517" t="s">
        <v>3815</v>
      </c>
      <c r="AS27" s="2455" t="s">
        <v>36</v>
      </c>
      <c r="AT27" s="2455" t="s">
        <v>2573</v>
      </c>
      <c r="AU27" s="2455" t="s">
        <v>2573</v>
      </c>
      <c r="AV27" s="2458" t="s">
        <v>2573</v>
      </c>
      <c r="AW27" s="2458" t="s">
        <v>2573</v>
      </c>
      <c r="AX27" s="2455" t="s">
        <v>2573</v>
      </c>
      <c r="AY27" s="2508" t="s">
        <v>3670</v>
      </c>
    </row>
    <row r="28" spans="1:51" s="557" customFormat="1" ht="83.25" customHeight="1">
      <c r="A28" s="2526"/>
      <c r="B28" s="1577"/>
      <c r="C28" s="2531"/>
      <c r="D28" s="2532"/>
      <c r="E28" s="2533"/>
      <c r="F28" s="2451"/>
      <c r="G28" s="1996" t="s">
        <v>1751</v>
      </c>
      <c r="H28" s="1997"/>
      <c r="I28" s="1998"/>
      <c r="J28" s="2523"/>
      <c r="K28" s="2539"/>
      <c r="L28" s="2540"/>
      <c r="M28" s="1571"/>
      <c r="N28" s="1571"/>
      <c r="O28" s="1571"/>
      <c r="P28" s="1571"/>
      <c r="Q28" s="1991"/>
      <c r="R28" s="1991"/>
      <c r="S28" s="73"/>
      <c r="T28" s="54" t="e">
        <f>VLOOKUP(Q28,[98]Listas!$D$6:$E$10,2,0)</f>
        <v>#N/A</v>
      </c>
      <c r="U28" s="54" t="e">
        <f>HLOOKUP(R28,[98]Listas!$F$4:$J$5,2,0)</f>
        <v>#N/A</v>
      </c>
      <c r="V28" s="2007"/>
      <c r="W28" s="73"/>
      <c r="X28" s="1999" t="s">
        <v>1748</v>
      </c>
      <c r="Y28" s="1999"/>
      <c r="Z28" s="1999"/>
      <c r="AA28" s="1994"/>
      <c r="AB28" s="642" t="s">
        <v>1749</v>
      </c>
      <c r="AC28" s="2523"/>
      <c r="AD28" s="1571"/>
      <c r="AE28" s="1299"/>
      <c r="AF28" s="73"/>
      <c r="AG28" s="54">
        <f t="shared" si="0"/>
        <v>0</v>
      </c>
      <c r="AH28" s="582" t="e">
        <f t="shared" si="1"/>
        <v>#N/A</v>
      </c>
      <c r="AI28" s="2007"/>
      <c r="AJ28" s="582" t="e">
        <f t="shared" si="2"/>
        <v>#N/A</v>
      </c>
      <c r="AK28" s="2007"/>
      <c r="AL28" s="55" t="e">
        <f t="shared" si="3"/>
        <v>#N/A</v>
      </c>
      <c r="AM28" s="2007"/>
      <c r="AN28" s="2512"/>
      <c r="AO28" s="2512"/>
      <c r="AP28" s="2515"/>
      <c r="AQ28" s="2518"/>
      <c r="AR28" s="2518"/>
      <c r="AS28" s="2456"/>
      <c r="AT28" s="2456"/>
      <c r="AU28" s="2456"/>
      <c r="AV28" s="2459"/>
      <c r="AW28" s="2459"/>
      <c r="AX28" s="2456"/>
      <c r="AY28" s="2509"/>
    </row>
    <row r="29" spans="1:51" s="557" customFormat="1" ht="69.75" customHeight="1">
      <c r="A29" s="2526"/>
      <c r="B29" s="1577"/>
      <c r="C29" s="2531"/>
      <c r="D29" s="2532"/>
      <c r="E29" s="2533"/>
      <c r="F29" s="2451"/>
      <c r="G29" s="1996" t="s">
        <v>1752</v>
      </c>
      <c r="H29" s="1997"/>
      <c r="I29" s="1998"/>
      <c r="J29" s="2523"/>
      <c r="K29" s="2539"/>
      <c r="L29" s="2540"/>
      <c r="M29" s="1571"/>
      <c r="N29" s="1571"/>
      <c r="O29" s="1571"/>
      <c r="P29" s="1571"/>
      <c r="Q29" s="1991"/>
      <c r="R29" s="1991"/>
      <c r="S29" s="73"/>
      <c r="T29" s="54" t="e">
        <f>VLOOKUP(Q29,[98]Listas!$D$6:$E$10,2,0)</f>
        <v>#N/A</v>
      </c>
      <c r="U29" s="54" t="e">
        <f>HLOOKUP(R29,[98]Listas!$F$4:$J$5,2,0)</f>
        <v>#N/A</v>
      </c>
      <c r="V29" s="2007"/>
      <c r="W29" s="73"/>
      <c r="X29" s="1999" t="s">
        <v>1753</v>
      </c>
      <c r="Y29" s="1999"/>
      <c r="Z29" s="1999"/>
      <c r="AA29" s="1994"/>
      <c r="AB29" s="642" t="s">
        <v>1754</v>
      </c>
      <c r="AC29" s="2523"/>
      <c r="AD29" s="1571"/>
      <c r="AE29" s="1299"/>
      <c r="AF29" s="73"/>
      <c r="AG29" s="54">
        <f t="shared" si="0"/>
        <v>0</v>
      </c>
      <c r="AH29" s="582" t="e">
        <f t="shared" si="1"/>
        <v>#N/A</v>
      </c>
      <c r="AI29" s="2007"/>
      <c r="AJ29" s="582" t="e">
        <f t="shared" si="2"/>
        <v>#N/A</v>
      </c>
      <c r="AK29" s="2007"/>
      <c r="AL29" s="55" t="e">
        <f t="shared" si="3"/>
        <v>#N/A</v>
      </c>
      <c r="AM29" s="2007"/>
      <c r="AN29" s="2512"/>
      <c r="AO29" s="2512"/>
      <c r="AP29" s="2515"/>
      <c r="AQ29" s="2518"/>
      <c r="AR29" s="2518"/>
      <c r="AS29" s="2456"/>
      <c r="AT29" s="2456"/>
      <c r="AU29" s="2456"/>
      <c r="AV29" s="2459"/>
      <c r="AW29" s="2459"/>
      <c r="AX29" s="2456"/>
      <c r="AY29" s="2509"/>
    </row>
    <row r="30" spans="1:51" s="557" customFormat="1" ht="76.5" customHeight="1">
      <c r="A30" s="2526"/>
      <c r="B30" s="1577"/>
      <c r="C30" s="2531"/>
      <c r="D30" s="2532"/>
      <c r="E30" s="2533"/>
      <c r="F30" s="2451"/>
      <c r="G30" s="1996" t="s">
        <v>1755</v>
      </c>
      <c r="H30" s="1997"/>
      <c r="I30" s="1998"/>
      <c r="J30" s="2523"/>
      <c r="K30" s="2539"/>
      <c r="L30" s="2540"/>
      <c r="M30" s="1571"/>
      <c r="N30" s="1571"/>
      <c r="O30" s="1571"/>
      <c r="P30" s="1571"/>
      <c r="Q30" s="1991"/>
      <c r="R30" s="1991"/>
      <c r="S30" s="73"/>
      <c r="T30" s="54" t="e">
        <f>VLOOKUP(Q30,[98]Listas!$D$6:$E$10,2,0)</f>
        <v>#N/A</v>
      </c>
      <c r="U30" s="54" t="e">
        <f>HLOOKUP(R30,[98]Listas!$F$4:$J$5,2,0)</f>
        <v>#N/A</v>
      </c>
      <c r="V30" s="2007"/>
      <c r="W30" s="73"/>
      <c r="X30" s="1999" t="s">
        <v>1748</v>
      </c>
      <c r="Y30" s="1999"/>
      <c r="Z30" s="1999"/>
      <c r="AA30" s="1994"/>
      <c r="AB30" s="642" t="s">
        <v>1749</v>
      </c>
      <c r="AC30" s="2523"/>
      <c r="AD30" s="1571"/>
      <c r="AE30" s="1299"/>
      <c r="AF30" s="73"/>
      <c r="AG30" s="54">
        <f t="shared" si="0"/>
        <v>0</v>
      </c>
      <c r="AH30" s="582" t="e">
        <f t="shared" si="1"/>
        <v>#N/A</v>
      </c>
      <c r="AI30" s="2007"/>
      <c r="AJ30" s="582" t="e">
        <f t="shared" si="2"/>
        <v>#N/A</v>
      </c>
      <c r="AK30" s="2007"/>
      <c r="AL30" s="55" t="e">
        <f t="shared" si="3"/>
        <v>#N/A</v>
      </c>
      <c r="AM30" s="2007"/>
      <c r="AN30" s="2512"/>
      <c r="AO30" s="2512"/>
      <c r="AP30" s="2515"/>
      <c r="AQ30" s="2518"/>
      <c r="AR30" s="2518"/>
      <c r="AS30" s="2456"/>
      <c r="AT30" s="2456"/>
      <c r="AU30" s="2456"/>
      <c r="AV30" s="2459"/>
      <c r="AW30" s="2459"/>
      <c r="AX30" s="2456"/>
      <c r="AY30" s="2509"/>
    </row>
    <row r="31" spans="1:51" s="557" customFormat="1" ht="89.25" customHeight="1">
      <c r="A31" s="2526"/>
      <c r="B31" s="1577"/>
      <c r="C31" s="2531"/>
      <c r="D31" s="2532"/>
      <c r="E31" s="2533"/>
      <c r="F31" s="2451"/>
      <c r="G31" s="1996" t="s">
        <v>1756</v>
      </c>
      <c r="H31" s="1997"/>
      <c r="I31" s="1998"/>
      <c r="J31" s="2523"/>
      <c r="K31" s="2539"/>
      <c r="L31" s="2540"/>
      <c r="M31" s="1571"/>
      <c r="N31" s="1571"/>
      <c r="O31" s="1571"/>
      <c r="P31" s="1571"/>
      <c r="Q31" s="1991"/>
      <c r="R31" s="1991"/>
      <c r="S31" s="73"/>
      <c r="T31" s="54" t="e">
        <f>VLOOKUP(Q31,[98]Listas!$D$6:$E$10,2,0)</f>
        <v>#N/A</v>
      </c>
      <c r="U31" s="54" t="e">
        <f>HLOOKUP(R31,[98]Listas!$F$4:$J$5,2,0)</f>
        <v>#N/A</v>
      </c>
      <c r="V31" s="2007"/>
      <c r="W31" s="73"/>
      <c r="X31" s="1999" t="s">
        <v>1757</v>
      </c>
      <c r="Y31" s="1999"/>
      <c r="Z31" s="1999"/>
      <c r="AA31" s="1994"/>
      <c r="AB31" s="642" t="s">
        <v>1749</v>
      </c>
      <c r="AC31" s="2523"/>
      <c r="AD31" s="1571"/>
      <c r="AE31" s="1299"/>
      <c r="AF31" s="73"/>
      <c r="AG31" s="54">
        <f t="shared" si="0"/>
        <v>0</v>
      </c>
      <c r="AH31" s="582" t="e">
        <f t="shared" si="1"/>
        <v>#N/A</v>
      </c>
      <c r="AI31" s="2007"/>
      <c r="AJ31" s="582" t="e">
        <f t="shared" si="2"/>
        <v>#N/A</v>
      </c>
      <c r="AK31" s="2007"/>
      <c r="AL31" s="55" t="e">
        <f t="shared" si="3"/>
        <v>#N/A</v>
      </c>
      <c r="AM31" s="2007"/>
      <c r="AN31" s="2512"/>
      <c r="AO31" s="2512"/>
      <c r="AP31" s="2515"/>
      <c r="AQ31" s="2518"/>
      <c r="AR31" s="2518"/>
      <c r="AS31" s="2456"/>
      <c r="AT31" s="2456"/>
      <c r="AU31" s="2456"/>
      <c r="AV31" s="2459"/>
      <c r="AW31" s="2459"/>
      <c r="AX31" s="2456"/>
      <c r="AY31" s="2509"/>
    </row>
    <row r="32" spans="1:51" s="557" customFormat="1" ht="108" customHeight="1">
      <c r="A32" s="2526"/>
      <c r="B32" s="1577"/>
      <c r="C32" s="2531"/>
      <c r="D32" s="2532"/>
      <c r="E32" s="2533"/>
      <c r="F32" s="2451"/>
      <c r="G32" s="1996" t="s">
        <v>1758</v>
      </c>
      <c r="H32" s="1997"/>
      <c r="I32" s="1998"/>
      <c r="J32" s="2523"/>
      <c r="K32" s="2539"/>
      <c r="L32" s="2540"/>
      <c r="M32" s="1571"/>
      <c r="N32" s="1571"/>
      <c r="O32" s="1571"/>
      <c r="P32" s="1571"/>
      <c r="Q32" s="1991"/>
      <c r="R32" s="1991"/>
      <c r="S32" s="73"/>
      <c r="T32" s="54" t="e">
        <f>VLOOKUP(Q32,[98]Listas!$D$6:$E$10,2,0)</f>
        <v>#N/A</v>
      </c>
      <c r="U32" s="54" t="e">
        <f>HLOOKUP(R32,[98]Listas!$F$4:$J$5,2,0)</f>
        <v>#N/A</v>
      </c>
      <c r="V32" s="2007"/>
      <c r="W32" s="73"/>
      <c r="X32" s="1999" t="s">
        <v>1759</v>
      </c>
      <c r="Y32" s="1999"/>
      <c r="Z32" s="1999"/>
      <c r="AA32" s="1994"/>
      <c r="AB32" s="642" t="s">
        <v>1760</v>
      </c>
      <c r="AC32" s="2523"/>
      <c r="AD32" s="1571"/>
      <c r="AE32" s="1299"/>
      <c r="AF32" s="73"/>
      <c r="AG32" s="54">
        <f t="shared" si="0"/>
        <v>0</v>
      </c>
      <c r="AH32" s="582" t="e">
        <f t="shared" si="1"/>
        <v>#N/A</v>
      </c>
      <c r="AI32" s="2007"/>
      <c r="AJ32" s="582" t="e">
        <f t="shared" si="2"/>
        <v>#N/A</v>
      </c>
      <c r="AK32" s="2007"/>
      <c r="AL32" s="55" t="e">
        <f t="shared" si="3"/>
        <v>#N/A</v>
      </c>
      <c r="AM32" s="2007"/>
      <c r="AN32" s="2512"/>
      <c r="AO32" s="2512"/>
      <c r="AP32" s="2515"/>
      <c r="AQ32" s="2518"/>
      <c r="AR32" s="2518"/>
      <c r="AS32" s="2456"/>
      <c r="AT32" s="2456"/>
      <c r="AU32" s="2456"/>
      <c r="AV32" s="2459"/>
      <c r="AW32" s="2459"/>
      <c r="AX32" s="2456"/>
      <c r="AY32" s="2509"/>
    </row>
    <row r="33" spans="1:51" s="557" customFormat="1" ht="81.75" customHeight="1">
      <c r="A33" s="2526"/>
      <c r="B33" s="1577"/>
      <c r="C33" s="2531"/>
      <c r="D33" s="2532"/>
      <c r="E33" s="2533"/>
      <c r="F33" s="2451"/>
      <c r="G33" s="1996" t="s">
        <v>1761</v>
      </c>
      <c r="H33" s="1997"/>
      <c r="I33" s="1998"/>
      <c r="J33" s="2523"/>
      <c r="K33" s="2539"/>
      <c r="L33" s="2540"/>
      <c r="M33" s="1571"/>
      <c r="N33" s="1571"/>
      <c r="O33" s="1571"/>
      <c r="P33" s="1571"/>
      <c r="Q33" s="1991"/>
      <c r="R33" s="1991"/>
      <c r="S33" s="73"/>
      <c r="T33" s="54" t="e">
        <f>VLOOKUP(Q33,[98]Listas!$D$6:$E$10,2,0)</f>
        <v>#N/A</v>
      </c>
      <c r="U33" s="54" t="e">
        <f>HLOOKUP(R33,[98]Listas!$F$4:$J$5,2,0)</f>
        <v>#N/A</v>
      </c>
      <c r="V33" s="2007"/>
      <c r="W33" s="73"/>
      <c r="X33" s="1999" t="s">
        <v>1762</v>
      </c>
      <c r="Y33" s="1999"/>
      <c r="Z33" s="1999"/>
      <c r="AA33" s="1994"/>
      <c r="AB33" s="642" t="s">
        <v>1749</v>
      </c>
      <c r="AC33" s="2523"/>
      <c r="AD33" s="1571"/>
      <c r="AE33" s="1299"/>
      <c r="AF33" s="73"/>
      <c r="AG33" s="54">
        <f t="shared" si="0"/>
        <v>0</v>
      </c>
      <c r="AH33" s="582" t="e">
        <f t="shared" si="1"/>
        <v>#N/A</v>
      </c>
      <c r="AI33" s="2007"/>
      <c r="AJ33" s="582" t="e">
        <f t="shared" si="2"/>
        <v>#N/A</v>
      </c>
      <c r="AK33" s="2007"/>
      <c r="AL33" s="55" t="e">
        <f t="shared" si="3"/>
        <v>#N/A</v>
      </c>
      <c r="AM33" s="2007"/>
      <c r="AN33" s="2512"/>
      <c r="AO33" s="2512"/>
      <c r="AP33" s="2515"/>
      <c r="AQ33" s="2518"/>
      <c r="AR33" s="2518"/>
      <c r="AS33" s="2456"/>
      <c r="AT33" s="2456"/>
      <c r="AU33" s="2456"/>
      <c r="AV33" s="2459"/>
      <c r="AW33" s="2459"/>
      <c r="AX33" s="2456"/>
      <c r="AY33" s="2509"/>
    </row>
    <row r="34" spans="1:51" s="557" customFormat="1" ht="92.25" customHeight="1">
      <c r="A34" s="2527"/>
      <c r="B34" s="1578"/>
      <c r="C34" s="2534"/>
      <c r="D34" s="2535"/>
      <c r="E34" s="2536"/>
      <c r="F34" s="2452"/>
      <c r="G34" s="1996" t="s">
        <v>1763</v>
      </c>
      <c r="H34" s="1997"/>
      <c r="I34" s="1998"/>
      <c r="J34" s="2524"/>
      <c r="K34" s="2541"/>
      <c r="L34" s="2542"/>
      <c r="M34" s="1572"/>
      <c r="N34" s="1572"/>
      <c r="O34" s="1572"/>
      <c r="P34" s="1572"/>
      <c r="Q34" s="1992"/>
      <c r="R34" s="1992"/>
      <c r="S34" s="73"/>
      <c r="T34" s="54" t="e">
        <f>VLOOKUP(Q34,[98]Listas!$D$6:$E$10,2,0)</f>
        <v>#N/A</v>
      </c>
      <c r="U34" s="54" t="e">
        <f>HLOOKUP(R34,[98]Listas!$F$4:$J$5,2,0)</f>
        <v>#N/A</v>
      </c>
      <c r="V34" s="2008"/>
      <c r="W34" s="73"/>
      <c r="X34" s="1999" t="s">
        <v>1762</v>
      </c>
      <c r="Y34" s="1999"/>
      <c r="Z34" s="1999"/>
      <c r="AA34" s="1995"/>
      <c r="AB34" s="642" t="s">
        <v>1764</v>
      </c>
      <c r="AC34" s="2524"/>
      <c r="AD34" s="1572"/>
      <c r="AE34" s="1469"/>
      <c r="AF34" s="73"/>
      <c r="AG34" s="54">
        <f t="shared" si="0"/>
        <v>0</v>
      </c>
      <c r="AH34" s="582" t="e">
        <f t="shared" si="1"/>
        <v>#N/A</v>
      </c>
      <c r="AI34" s="2008"/>
      <c r="AJ34" s="582" t="e">
        <f t="shared" si="2"/>
        <v>#N/A</v>
      </c>
      <c r="AK34" s="2008"/>
      <c r="AL34" s="55" t="e">
        <f t="shared" si="3"/>
        <v>#N/A</v>
      </c>
      <c r="AM34" s="2008"/>
      <c r="AN34" s="2513"/>
      <c r="AO34" s="2513"/>
      <c r="AP34" s="2516"/>
      <c r="AQ34" s="2519"/>
      <c r="AR34" s="2519"/>
      <c r="AS34" s="2457"/>
      <c r="AT34" s="2457"/>
      <c r="AU34" s="2457"/>
      <c r="AV34" s="2460"/>
      <c r="AW34" s="2460"/>
      <c r="AX34" s="2457"/>
      <c r="AY34" s="2510"/>
    </row>
    <row r="35" spans="1:51" s="557" customFormat="1" ht="67.5" customHeight="1">
      <c r="A35" s="2546" t="s">
        <v>1743</v>
      </c>
      <c r="B35" s="1576" t="s">
        <v>1951</v>
      </c>
      <c r="C35" s="2528" t="s">
        <v>988</v>
      </c>
      <c r="D35" s="2529"/>
      <c r="E35" s="2530"/>
      <c r="F35" s="2450" t="s">
        <v>1745</v>
      </c>
      <c r="G35" s="1996" t="s">
        <v>1766</v>
      </c>
      <c r="H35" s="1997"/>
      <c r="I35" s="1998"/>
      <c r="J35" s="2522" t="s">
        <v>1767</v>
      </c>
      <c r="K35" s="2537"/>
      <c r="L35" s="2538"/>
      <c r="M35" s="1570"/>
      <c r="N35" s="1570"/>
      <c r="O35" s="1570" t="s">
        <v>8</v>
      </c>
      <c r="P35" s="1570"/>
      <c r="Q35" s="1990" t="s">
        <v>64</v>
      </c>
      <c r="R35" s="1990" t="s">
        <v>643</v>
      </c>
      <c r="S35" s="73"/>
      <c r="T35" s="54">
        <f>VLOOKUP(Q35,[98]Listas!$D$6:$E$10,2,0)</f>
        <v>3</v>
      </c>
      <c r="U35" s="54">
        <f>HLOOKUP(R35,[98]Listas!$F$4:$J$5,2,0)</f>
        <v>2</v>
      </c>
      <c r="V35" s="2006" t="str">
        <f>INDEX([98]Listas!$F$6:$J$10,MATCH(Q35,[98]Listas!$D$6:$D$10,0),MATCH(R35,[98]Listas!$F$4:$J$4,0))</f>
        <v>6
MODERADO</v>
      </c>
      <c r="W35" s="73"/>
      <c r="X35" s="1999" t="s">
        <v>1768</v>
      </c>
      <c r="Y35" s="1999"/>
      <c r="Z35" s="1999"/>
      <c r="AA35" s="1993" t="s">
        <v>4260</v>
      </c>
      <c r="AB35" s="642" t="s">
        <v>1769</v>
      </c>
      <c r="AC35" s="2522" t="s">
        <v>1750</v>
      </c>
      <c r="AD35" s="1570">
        <v>62</v>
      </c>
      <c r="AE35" s="1298" t="s">
        <v>152</v>
      </c>
      <c r="AF35" s="73"/>
      <c r="AG35" s="54">
        <f t="shared" si="0"/>
        <v>1</v>
      </c>
      <c r="AH35" s="582">
        <f t="shared" si="1"/>
        <v>2</v>
      </c>
      <c r="AI35" s="2006" t="str">
        <f>IF(AH35&lt;=1,"Remota",VLOOKUP(AH35,[98]Listas!$C$6:$D$10,2,0))</f>
        <v>Baja</v>
      </c>
      <c r="AJ35" s="582">
        <f t="shared" si="2"/>
        <v>1</v>
      </c>
      <c r="AK35" s="2006" t="str">
        <f>IF(AJ35&lt;=1,"Insignificante",HLOOKUP(AJ35,[98]Listas!$F$3:$J$4,2,0))</f>
        <v>Insignificante</v>
      </c>
      <c r="AL35" s="55">
        <f t="shared" si="3"/>
        <v>2</v>
      </c>
      <c r="AM35" s="2006" t="str">
        <f>INDEX([98]Listas!$F$6:$J$10,MATCH(AI35,[98]Listas!$D$6:$D$10,0),MATCH(AK35,[98]Listas!$F$4:$J$4,0))</f>
        <v>2
INFERIOR</v>
      </c>
      <c r="AN35" s="2511" t="s">
        <v>2783</v>
      </c>
      <c r="AO35" s="2511" t="s">
        <v>2721</v>
      </c>
      <c r="AP35" s="2514">
        <v>0</v>
      </c>
      <c r="AQ35" s="2517" t="s">
        <v>3644</v>
      </c>
      <c r="AR35" s="2517" t="s">
        <v>3816</v>
      </c>
      <c r="AS35" s="2455" t="s">
        <v>36</v>
      </c>
      <c r="AT35" s="2455" t="s">
        <v>2573</v>
      </c>
      <c r="AU35" s="2455" t="s">
        <v>2573</v>
      </c>
      <c r="AV35" s="2458" t="s">
        <v>2573</v>
      </c>
      <c r="AW35" s="2458" t="s">
        <v>2573</v>
      </c>
      <c r="AX35" s="2455" t="s">
        <v>2573</v>
      </c>
      <c r="AY35" s="2508" t="s">
        <v>3670</v>
      </c>
    </row>
    <row r="36" spans="1:51" s="557" customFormat="1" ht="116.25" customHeight="1">
      <c r="A36" s="2547"/>
      <c r="B36" s="1577" t="s">
        <v>473</v>
      </c>
      <c r="C36" s="2531"/>
      <c r="D36" s="2532"/>
      <c r="E36" s="2533"/>
      <c r="F36" s="2451"/>
      <c r="G36" s="1996" t="s">
        <v>1770</v>
      </c>
      <c r="H36" s="1997"/>
      <c r="I36" s="1998"/>
      <c r="J36" s="2523"/>
      <c r="K36" s="2539"/>
      <c r="L36" s="2540"/>
      <c r="M36" s="1571"/>
      <c r="N36" s="1571"/>
      <c r="O36" s="1571"/>
      <c r="P36" s="1571"/>
      <c r="Q36" s="1991"/>
      <c r="R36" s="1991"/>
      <c r="S36" s="73"/>
      <c r="T36" s="54" t="e">
        <f>VLOOKUP(Q36,[98]Listas!$D$6:$E$10,2,0)</f>
        <v>#N/A</v>
      </c>
      <c r="U36" s="54" t="e">
        <f>HLOOKUP(R36,[98]Listas!$F$4:$J$5,2,0)</f>
        <v>#N/A</v>
      </c>
      <c r="V36" s="2007"/>
      <c r="W36" s="73"/>
      <c r="X36" s="1999" t="s">
        <v>1771</v>
      </c>
      <c r="Y36" s="1999"/>
      <c r="Z36" s="1999"/>
      <c r="AA36" s="1994"/>
      <c r="AB36" s="642" t="s">
        <v>1772</v>
      </c>
      <c r="AC36" s="2523"/>
      <c r="AD36" s="1571"/>
      <c r="AE36" s="1299"/>
      <c r="AF36" s="73"/>
      <c r="AG36" s="54">
        <f t="shared" si="0"/>
        <v>0</v>
      </c>
      <c r="AH36" s="582" t="e">
        <f t="shared" si="1"/>
        <v>#N/A</v>
      </c>
      <c r="AI36" s="2007"/>
      <c r="AJ36" s="582" t="e">
        <f t="shared" si="2"/>
        <v>#N/A</v>
      </c>
      <c r="AK36" s="2007"/>
      <c r="AL36" s="55" t="e">
        <f t="shared" si="3"/>
        <v>#N/A</v>
      </c>
      <c r="AM36" s="2007"/>
      <c r="AN36" s="2512"/>
      <c r="AO36" s="2512"/>
      <c r="AP36" s="2515"/>
      <c r="AQ36" s="2518"/>
      <c r="AR36" s="2518"/>
      <c r="AS36" s="2456"/>
      <c r="AT36" s="2456"/>
      <c r="AU36" s="2456"/>
      <c r="AV36" s="2459"/>
      <c r="AW36" s="2459"/>
      <c r="AX36" s="2456"/>
      <c r="AY36" s="2509"/>
    </row>
    <row r="37" spans="1:51" s="557" customFormat="1" ht="123" customHeight="1">
      <c r="A37" s="2547"/>
      <c r="B37" s="1577" t="s">
        <v>473</v>
      </c>
      <c r="C37" s="2531"/>
      <c r="D37" s="2532"/>
      <c r="E37" s="2533"/>
      <c r="F37" s="2451"/>
      <c r="G37" s="1996" t="s">
        <v>1773</v>
      </c>
      <c r="H37" s="1997"/>
      <c r="I37" s="1998"/>
      <c r="J37" s="2523"/>
      <c r="K37" s="2539"/>
      <c r="L37" s="2540"/>
      <c r="M37" s="1571"/>
      <c r="N37" s="1571"/>
      <c r="O37" s="1571"/>
      <c r="P37" s="1571"/>
      <c r="Q37" s="1991"/>
      <c r="R37" s="1991"/>
      <c r="S37" s="73"/>
      <c r="T37" s="54" t="e">
        <f>VLOOKUP(Q37,[98]Listas!$D$6:$E$10,2,0)</f>
        <v>#N/A</v>
      </c>
      <c r="U37" s="54" t="e">
        <f>HLOOKUP(R37,[98]Listas!$F$4:$J$5,2,0)</f>
        <v>#N/A</v>
      </c>
      <c r="V37" s="2007"/>
      <c r="W37" s="73"/>
      <c r="X37" s="1999" t="s">
        <v>1774</v>
      </c>
      <c r="Y37" s="1999"/>
      <c r="Z37" s="1999"/>
      <c r="AA37" s="1994"/>
      <c r="AB37" s="642" t="s">
        <v>1775</v>
      </c>
      <c r="AC37" s="2523"/>
      <c r="AD37" s="1571"/>
      <c r="AE37" s="1299"/>
      <c r="AF37" s="73"/>
      <c r="AG37" s="54">
        <f t="shared" si="0"/>
        <v>0</v>
      </c>
      <c r="AH37" s="582" t="e">
        <f t="shared" si="1"/>
        <v>#N/A</v>
      </c>
      <c r="AI37" s="2007"/>
      <c r="AJ37" s="582" t="e">
        <f t="shared" si="2"/>
        <v>#N/A</v>
      </c>
      <c r="AK37" s="2007"/>
      <c r="AL37" s="55" t="e">
        <f t="shared" si="3"/>
        <v>#N/A</v>
      </c>
      <c r="AM37" s="2007"/>
      <c r="AN37" s="2512"/>
      <c r="AO37" s="2512"/>
      <c r="AP37" s="2515"/>
      <c r="AQ37" s="2518"/>
      <c r="AR37" s="2518"/>
      <c r="AS37" s="2456"/>
      <c r="AT37" s="2456"/>
      <c r="AU37" s="2456"/>
      <c r="AV37" s="2459"/>
      <c r="AW37" s="2459"/>
      <c r="AX37" s="2456"/>
      <c r="AY37" s="2509"/>
    </row>
    <row r="38" spans="1:51" s="557" customFormat="1" ht="113.25" customHeight="1">
      <c r="A38" s="2548"/>
      <c r="B38" s="1578" t="s">
        <v>473</v>
      </c>
      <c r="C38" s="2534"/>
      <c r="D38" s="2535"/>
      <c r="E38" s="2536"/>
      <c r="F38" s="2452"/>
      <c r="G38" s="1996" t="s">
        <v>1776</v>
      </c>
      <c r="H38" s="1997"/>
      <c r="I38" s="1998"/>
      <c r="J38" s="2524"/>
      <c r="K38" s="2541"/>
      <c r="L38" s="2542"/>
      <c r="M38" s="1572"/>
      <c r="N38" s="1572"/>
      <c r="O38" s="1572"/>
      <c r="P38" s="1572"/>
      <c r="Q38" s="1992"/>
      <c r="R38" s="1992"/>
      <c r="S38" s="73"/>
      <c r="T38" s="54" t="e">
        <f>VLOOKUP(Q38,[98]Listas!$D$6:$E$10,2,0)</f>
        <v>#N/A</v>
      </c>
      <c r="U38" s="54" t="e">
        <f>HLOOKUP(R38,[98]Listas!$F$4:$J$5,2,0)</f>
        <v>#N/A</v>
      </c>
      <c r="V38" s="2008"/>
      <c r="W38" s="73"/>
      <c r="X38" s="1999" t="s">
        <v>1777</v>
      </c>
      <c r="Y38" s="1999"/>
      <c r="Z38" s="1999"/>
      <c r="AA38" s="1995"/>
      <c r="AB38" s="642" t="s">
        <v>1775</v>
      </c>
      <c r="AC38" s="2524"/>
      <c r="AD38" s="1572"/>
      <c r="AE38" s="1469"/>
      <c r="AF38" s="73"/>
      <c r="AG38" s="54">
        <f t="shared" si="0"/>
        <v>0</v>
      </c>
      <c r="AH38" s="582" t="e">
        <f t="shared" si="1"/>
        <v>#N/A</v>
      </c>
      <c r="AI38" s="2008"/>
      <c r="AJ38" s="582" t="e">
        <f t="shared" si="2"/>
        <v>#N/A</v>
      </c>
      <c r="AK38" s="2008"/>
      <c r="AL38" s="55" t="e">
        <f t="shared" si="3"/>
        <v>#N/A</v>
      </c>
      <c r="AM38" s="2008"/>
      <c r="AN38" s="2513"/>
      <c r="AO38" s="2513"/>
      <c r="AP38" s="2516"/>
      <c r="AQ38" s="2519"/>
      <c r="AR38" s="2519"/>
      <c r="AS38" s="2457"/>
      <c r="AT38" s="2457"/>
      <c r="AU38" s="2457"/>
      <c r="AV38" s="2460"/>
      <c r="AW38" s="2460"/>
      <c r="AX38" s="2457"/>
      <c r="AY38" s="2510"/>
    </row>
    <row r="39" spans="1:51" s="557" customFormat="1" ht="88.5" customHeight="1">
      <c r="A39" s="2525" t="s">
        <v>1743</v>
      </c>
      <c r="B39" s="1576" t="s">
        <v>1952</v>
      </c>
      <c r="C39" s="2528" t="s">
        <v>982</v>
      </c>
      <c r="D39" s="2529"/>
      <c r="E39" s="2530"/>
      <c r="F39" s="2450" t="s">
        <v>1745</v>
      </c>
      <c r="G39" s="1996" t="s">
        <v>1779</v>
      </c>
      <c r="H39" s="1997"/>
      <c r="I39" s="1998"/>
      <c r="J39" s="2522" t="s">
        <v>1780</v>
      </c>
      <c r="K39" s="2537"/>
      <c r="L39" s="2538"/>
      <c r="M39" s="1570"/>
      <c r="N39" s="1570"/>
      <c r="O39" s="1570" t="s">
        <v>8</v>
      </c>
      <c r="P39" s="1570"/>
      <c r="Q39" s="1990" t="s">
        <v>655</v>
      </c>
      <c r="R39" s="1990" t="s">
        <v>643</v>
      </c>
      <c r="S39" s="73"/>
      <c r="T39" s="54">
        <f>VLOOKUP(Q39,[98]Listas!$D$6:$E$10,2,0)</f>
        <v>2</v>
      </c>
      <c r="U39" s="54">
        <f>HLOOKUP(R39,[98]Listas!$F$4:$J$5,2,0)</f>
        <v>2</v>
      </c>
      <c r="V39" s="2006" t="str">
        <f>INDEX([98]Listas!$F$6:$J$10,MATCH(Q39,[98]Listas!$D$6:$D$10,0),MATCH(R39,[98]Listas!$F$4:$J$4,0))</f>
        <v>4
INFERIOR</v>
      </c>
      <c r="W39" s="73"/>
      <c r="X39" s="1999" t="s">
        <v>1781</v>
      </c>
      <c r="Y39" s="1999"/>
      <c r="Z39" s="1999"/>
      <c r="AA39" s="1993" t="s">
        <v>4261</v>
      </c>
      <c r="AB39" s="642" t="s">
        <v>1782</v>
      </c>
      <c r="AC39" s="2522" t="s">
        <v>1783</v>
      </c>
      <c r="AD39" s="1570">
        <v>74</v>
      </c>
      <c r="AE39" s="1298" t="s">
        <v>153</v>
      </c>
      <c r="AF39" s="73"/>
      <c r="AG39" s="54">
        <f t="shared" si="0"/>
        <v>1</v>
      </c>
      <c r="AH39" s="582">
        <f t="shared" si="1"/>
        <v>1</v>
      </c>
      <c r="AI39" s="2006" t="str">
        <f>IF(AH39&lt;=1,"Remota",VLOOKUP(AH39,[98]Listas!$C$6:$D$10,2,0))</f>
        <v>Remota</v>
      </c>
      <c r="AJ39" s="582">
        <f t="shared" si="2"/>
        <v>2</v>
      </c>
      <c r="AK39" s="2006" t="str">
        <f>IF(AJ39&lt;=1,"Insignificante",HLOOKUP(AJ39,[98]Listas!$F$3:$J$4,2,0))</f>
        <v>Menor</v>
      </c>
      <c r="AL39" s="55">
        <f t="shared" si="3"/>
        <v>2</v>
      </c>
      <c r="AM39" s="2006" t="str">
        <f>INDEX([98]Listas!$F$6:$J$10,MATCH(AI39,[98]Listas!$D$6:$D$10,0),MATCH(AK39,[98]Listas!$F$4:$J$4,0))</f>
        <v>2
INFERIOR</v>
      </c>
      <c r="AN39" s="2511" t="s">
        <v>2783</v>
      </c>
      <c r="AO39" s="2511" t="s">
        <v>2721</v>
      </c>
      <c r="AP39" s="2514">
        <v>0</v>
      </c>
      <c r="AQ39" s="2517" t="s">
        <v>3644</v>
      </c>
      <c r="AR39" s="2517" t="s">
        <v>3817</v>
      </c>
      <c r="AS39" s="2455" t="s">
        <v>36</v>
      </c>
      <c r="AT39" s="2455" t="s">
        <v>2573</v>
      </c>
      <c r="AU39" s="2455" t="s">
        <v>2573</v>
      </c>
      <c r="AV39" s="2458" t="s">
        <v>2573</v>
      </c>
      <c r="AW39" s="2458" t="s">
        <v>2573</v>
      </c>
      <c r="AX39" s="2455" t="s">
        <v>2573</v>
      </c>
      <c r="AY39" s="2508" t="s">
        <v>3670</v>
      </c>
    </row>
    <row r="40" spans="1:51" s="557" customFormat="1" ht="68.25" customHeight="1">
      <c r="A40" s="2526"/>
      <c r="B40" s="1577" t="s">
        <v>473</v>
      </c>
      <c r="C40" s="2531"/>
      <c r="D40" s="2532"/>
      <c r="E40" s="2533"/>
      <c r="F40" s="2451"/>
      <c r="G40" s="1996" t="s">
        <v>1784</v>
      </c>
      <c r="H40" s="1997"/>
      <c r="I40" s="1998"/>
      <c r="J40" s="2523"/>
      <c r="K40" s="2539"/>
      <c r="L40" s="2540"/>
      <c r="M40" s="1571"/>
      <c r="N40" s="1571"/>
      <c r="O40" s="1571"/>
      <c r="P40" s="1571"/>
      <c r="Q40" s="1991"/>
      <c r="R40" s="1991"/>
      <c r="S40" s="73"/>
      <c r="T40" s="54" t="e">
        <f>VLOOKUP(Q40,[98]Listas!$D$6:$E$10,2,0)</f>
        <v>#N/A</v>
      </c>
      <c r="U40" s="54" t="e">
        <f>HLOOKUP(R40,[98]Listas!$F$4:$J$5,2,0)</f>
        <v>#N/A</v>
      </c>
      <c r="V40" s="2007"/>
      <c r="W40" s="73"/>
      <c r="X40" s="1999" t="s">
        <v>1768</v>
      </c>
      <c r="Y40" s="1999"/>
      <c r="Z40" s="1999"/>
      <c r="AA40" s="1994"/>
      <c r="AB40" s="642" t="s">
        <v>1785</v>
      </c>
      <c r="AC40" s="2523"/>
      <c r="AD40" s="1571"/>
      <c r="AE40" s="1299"/>
      <c r="AF40" s="73"/>
      <c r="AG40" s="54">
        <f t="shared" si="0"/>
        <v>0</v>
      </c>
      <c r="AH40" s="582" t="e">
        <f t="shared" si="1"/>
        <v>#N/A</v>
      </c>
      <c r="AI40" s="2007"/>
      <c r="AJ40" s="582" t="e">
        <f t="shared" si="2"/>
        <v>#N/A</v>
      </c>
      <c r="AK40" s="2007"/>
      <c r="AL40" s="55" t="e">
        <f t="shared" si="3"/>
        <v>#N/A</v>
      </c>
      <c r="AM40" s="2007"/>
      <c r="AN40" s="2512"/>
      <c r="AO40" s="2512"/>
      <c r="AP40" s="2515"/>
      <c r="AQ40" s="2518"/>
      <c r="AR40" s="2518"/>
      <c r="AS40" s="2456"/>
      <c r="AT40" s="2456"/>
      <c r="AU40" s="2456"/>
      <c r="AV40" s="2459"/>
      <c r="AW40" s="2459"/>
      <c r="AX40" s="2456"/>
      <c r="AY40" s="2509"/>
    </row>
    <row r="41" spans="1:51" s="557" customFormat="1" ht="179.25" customHeight="1">
      <c r="A41" s="2526"/>
      <c r="B41" s="1577" t="s">
        <v>473</v>
      </c>
      <c r="C41" s="2531"/>
      <c r="D41" s="2532"/>
      <c r="E41" s="2533"/>
      <c r="F41" s="2451"/>
      <c r="G41" s="1996" t="s">
        <v>1786</v>
      </c>
      <c r="H41" s="1997"/>
      <c r="I41" s="1998"/>
      <c r="J41" s="2523"/>
      <c r="K41" s="2539"/>
      <c r="L41" s="2540"/>
      <c r="M41" s="1571"/>
      <c r="N41" s="1571"/>
      <c r="O41" s="1571"/>
      <c r="P41" s="1571"/>
      <c r="Q41" s="1991"/>
      <c r="R41" s="1991"/>
      <c r="S41" s="73"/>
      <c r="T41" s="54" t="e">
        <f>VLOOKUP(Q41,[98]Listas!$D$6:$E$10,2,0)</f>
        <v>#N/A</v>
      </c>
      <c r="U41" s="54" t="e">
        <f>HLOOKUP(R41,[98]Listas!$F$4:$J$5,2,0)</f>
        <v>#N/A</v>
      </c>
      <c r="V41" s="2007"/>
      <c r="W41" s="73"/>
      <c r="X41" s="1999" t="s">
        <v>1787</v>
      </c>
      <c r="Y41" s="1999"/>
      <c r="Z41" s="1999"/>
      <c r="AA41" s="1994"/>
      <c r="AB41" s="642" t="s">
        <v>1788</v>
      </c>
      <c r="AC41" s="2523"/>
      <c r="AD41" s="1571"/>
      <c r="AE41" s="1299"/>
      <c r="AF41" s="73"/>
      <c r="AG41" s="54">
        <f t="shared" si="0"/>
        <v>0</v>
      </c>
      <c r="AH41" s="582" t="e">
        <f t="shared" si="1"/>
        <v>#N/A</v>
      </c>
      <c r="AI41" s="2007"/>
      <c r="AJ41" s="582" t="e">
        <f t="shared" si="2"/>
        <v>#N/A</v>
      </c>
      <c r="AK41" s="2007"/>
      <c r="AL41" s="55" t="e">
        <f t="shared" si="3"/>
        <v>#N/A</v>
      </c>
      <c r="AM41" s="2007"/>
      <c r="AN41" s="2512"/>
      <c r="AO41" s="2512"/>
      <c r="AP41" s="2515"/>
      <c r="AQ41" s="2518"/>
      <c r="AR41" s="2518"/>
      <c r="AS41" s="2456"/>
      <c r="AT41" s="2456"/>
      <c r="AU41" s="2456"/>
      <c r="AV41" s="2459"/>
      <c r="AW41" s="2459"/>
      <c r="AX41" s="2456"/>
      <c r="AY41" s="2509"/>
    </row>
    <row r="42" spans="1:51" s="557" customFormat="1" ht="129.75" customHeight="1">
      <c r="A42" s="2526"/>
      <c r="B42" s="1577"/>
      <c r="C42" s="2531"/>
      <c r="D42" s="2532"/>
      <c r="E42" s="2533"/>
      <c r="F42" s="2451"/>
      <c r="G42" s="2543" t="s">
        <v>1789</v>
      </c>
      <c r="H42" s="2544"/>
      <c r="I42" s="2545"/>
      <c r="J42" s="2523"/>
      <c r="K42" s="2539"/>
      <c r="L42" s="2540"/>
      <c r="M42" s="1571"/>
      <c r="N42" s="1571"/>
      <c r="O42" s="1571"/>
      <c r="P42" s="1571"/>
      <c r="Q42" s="1991"/>
      <c r="R42" s="1991"/>
      <c r="S42" s="73"/>
      <c r="T42" s="54" t="e">
        <f>VLOOKUP(Q42,[98]Listas!$D$6:$E$10,2,0)</f>
        <v>#N/A</v>
      </c>
      <c r="U42" s="54" t="e">
        <f>HLOOKUP(R42,[98]Listas!$F$4:$J$5,2,0)</f>
        <v>#N/A</v>
      </c>
      <c r="V42" s="2007"/>
      <c r="W42" s="73"/>
      <c r="X42" s="1999" t="s">
        <v>1790</v>
      </c>
      <c r="Y42" s="1999"/>
      <c r="Z42" s="1999"/>
      <c r="AA42" s="1994"/>
      <c r="AB42" s="642" t="s">
        <v>1788</v>
      </c>
      <c r="AC42" s="2523"/>
      <c r="AD42" s="1571"/>
      <c r="AE42" s="1299"/>
      <c r="AF42" s="73"/>
      <c r="AG42" s="54">
        <f t="shared" si="0"/>
        <v>0</v>
      </c>
      <c r="AH42" s="582" t="e">
        <f t="shared" si="1"/>
        <v>#N/A</v>
      </c>
      <c r="AI42" s="2007"/>
      <c r="AJ42" s="582" t="e">
        <f t="shared" si="2"/>
        <v>#N/A</v>
      </c>
      <c r="AK42" s="2007"/>
      <c r="AL42" s="55" t="e">
        <f t="shared" si="3"/>
        <v>#N/A</v>
      </c>
      <c r="AM42" s="2007"/>
      <c r="AN42" s="2512"/>
      <c r="AO42" s="2512"/>
      <c r="AP42" s="2515"/>
      <c r="AQ42" s="2518"/>
      <c r="AR42" s="2518"/>
      <c r="AS42" s="2456"/>
      <c r="AT42" s="2456"/>
      <c r="AU42" s="2456"/>
      <c r="AV42" s="2459"/>
      <c r="AW42" s="2459"/>
      <c r="AX42" s="2456"/>
      <c r="AY42" s="2509"/>
    </row>
    <row r="43" spans="1:51" s="557" customFormat="1" ht="120" customHeight="1">
      <c r="A43" s="2526"/>
      <c r="B43" s="1577"/>
      <c r="C43" s="2531"/>
      <c r="D43" s="2532"/>
      <c r="E43" s="2533"/>
      <c r="F43" s="2451"/>
      <c r="G43" s="1996" t="s">
        <v>1791</v>
      </c>
      <c r="H43" s="1997"/>
      <c r="I43" s="1998"/>
      <c r="J43" s="2523"/>
      <c r="K43" s="2539"/>
      <c r="L43" s="2540"/>
      <c r="M43" s="1571"/>
      <c r="N43" s="1571"/>
      <c r="O43" s="1571"/>
      <c r="P43" s="1571"/>
      <c r="Q43" s="1991"/>
      <c r="R43" s="1991"/>
      <c r="S43" s="73"/>
      <c r="T43" s="54" t="e">
        <f>VLOOKUP(Q43,[98]Listas!$D$6:$E$10,2,0)</f>
        <v>#N/A</v>
      </c>
      <c r="U43" s="54" t="e">
        <f>HLOOKUP(R43,[98]Listas!$F$4:$J$5,2,0)</f>
        <v>#N/A</v>
      </c>
      <c r="V43" s="2007"/>
      <c r="W43" s="73"/>
      <c r="X43" s="1999" t="s">
        <v>1792</v>
      </c>
      <c r="Y43" s="1999"/>
      <c r="Z43" s="1999"/>
      <c r="AA43" s="1994"/>
      <c r="AB43" s="642" t="s">
        <v>1793</v>
      </c>
      <c r="AC43" s="2523"/>
      <c r="AD43" s="1571"/>
      <c r="AE43" s="1299"/>
      <c r="AF43" s="73"/>
      <c r="AG43" s="54">
        <f t="shared" si="0"/>
        <v>0</v>
      </c>
      <c r="AH43" s="582" t="e">
        <f t="shared" si="1"/>
        <v>#N/A</v>
      </c>
      <c r="AI43" s="2007"/>
      <c r="AJ43" s="582" t="e">
        <f t="shared" si="2"/>
        <v>#N/A</v>
      </c>
      <c r="AK43" s="2007"/>
      <c r="AL43" s="55" t="e">
        <f t="shared" si="3"/>
        <v>#N/A</v>
      </c>
      <c r="AM43" s="2007"/>
      <c r="AN43" s="2512"/>
      <c r="AO43" s="2512"/>
      <c r="AP43" s="2515"/>
      <c r="AQ43" s="2518"/>
      <c r="AR43" s="2518"/>
      <c r="AS43" s="2456"/>
      <c r="AT43" s="2456"/>
      <c r="AU43" s="2456"/>
      <c r="AV43" s="2459"/>
      <c r="AW43" s="2459"/>
      <c r="AX43" s="2456"/>
      <c r="AY43" s="2509"/>
    </row>
    <row r="44" spans="1:51" s="557" customFormat="1" ht="129" customHeight="1">
      <c r="A44" s="2527"/>
      <c r="B44" s="1578" t="s">
        <v>473</v>
      </c>
      <c r="C44" s="2534"/>
      <c r="D44" s="2535"/>
      <c r="E44" s="2536"/>
      <c r="F44" s="2452"/>
      <c r="G44" s="1996" t="s">
        <v>1794</v>
      </c>
      <c r="H44" s="1997"/>
      <c r="I44" s="1998"/>
      <c r="J44" s="2524"/>
      <c r="K44" s="2541"/>
      <c r="L44" s="2542"/>
      <c r="M44" s="1572"/>
      <c r="N44" s="1572"/>
      <c r="O44" s="1572"/>
      <c r="P44" s="1572"/>
      <c r="Q44" s="1992"/>
      <c r="R44" s="1992"/>
      <c r="S44" s="73"/>
      <c r="T44" s="54" t="e">
        <f>VLOOKUP(Q44,[98]Listas!$D$6:$E$10,2,0)</f>
        <v>#N/A</v>
      </c>
      <c r="U44" s="54" t="e">
        <f>HLOOKUP(R44,[98]Listas!$F$4:$J$5,2,0)</f>
        <v>#N/A</v>
      </c>
      <c r="V44" s="2008"/>
      <c r="W44" s="73"/>
      <c r="X44" s="1999" t="s">
        <v>1795</v>
      </c>
      <c r="Y44" s="1999"/>
      <c r="Z44" s="1999"/>
      <c r="AA44" s="1995"/>
      <c r="AB44" s="642" t="s">
        <v>1793</v>
      </c>
      <c r="AC44" s="2524"/>
      <c r="AD44" s="1572"/>
      <c r="AE44" s="1469"/>
      <c r="AF44" s="73"/>
      <c r="AG44" s="54">
        <f t="shared" si="0"/>
        <v>0</v>
      </c>
      <c r="AH44" s="582" t="e">
        <f t="shared" si="1"/>
        <v>#N/A</v>
      </c>
      <c r="AI44" s="2008"/>
      <c r="AJ44" s="582" t="e">
        <f t="shared" si="2"/>
        <v>#N/A</v>
      </c>
      <c r="AK44" s="2008"/>
      <c r="AL44" s="55" t="e">
        <f t="shared" si="3"/>
        <v>#N/A</v>
      </c>
      <c r="AM44" s="2008"/>
      <c r="AN44" s="2513"/>
      <c r="AO44" s="2513"/>
      <c r="AP44" s="2516"/>
      <c r="AQ44" s="2519"/>
      <c r="AR44" s="2519"/>
      <c r="AS44" s="2457"/>
      <c r="AT44" s="2457"/>
      <c r="AU44" s="2457"/>
      <c r="AV44" s="2460"/>
      <c r="AW44" s="2460"/>
      <c r="AX44" s="2457"/>
      <c r="AY44" s="2510"/>
    </row>
    <row r="45" spans="1:51" s="557" customFormat="1" ht="115.5" customHeight="1">
      <c r="A45" s="2525" t="s">
        <v>1743</v>
      </c>
      <c r="B45" s="1576" t="s">
        <v>1953</v>
      </c>
      <c r="C45" s="2528" t="s">
        <v>1071</v>
      </c>
      <c r="D45" s="2529"/>
      <c r="E45" s="2530"/>
      <c r="F45" s="2450" t="s">
        <v>1745</v>
      </c>
      <c r="G45" s="1996" t="s">
        <v>1797</v>
      </c>
      <c r="H45" s="1997"/>
      <c r="I45" s="1998"/>
      <c r="J45" s="2522" t="s">
        <v>1798</v>
      </c>
      <c r="K45" s="2537"/>
      <c r="L45" s="2538"/>
      <c r="M45" s="1570"/>
      <c r="N45" s="1570"/>
      <c r="O45" s="1570" t="s">
        <v>8</v>
      </c>
      <c r="P45" s="1570"/>
      <c r="Q45" s="1990" t="s">
        <v>64</v>
      </c>
      <c r="R45" s="1990" t="s">
        <v>643</v>
      </c>
      <c r="S45" s="73"/>
      <c r="T45" s="54">
        <f>VLOOKUP(Q45,[98]Listas!$D$6:$E$10,2,0)</f>
        <v>3</v>
      </c>
      <c r="U45" s="54">
        <f>HLOOKUP(R45,[98]Listas!$F$4:$J$5,2,0)</f>
        <v>2</v>
      </c>
      <c r="V45" s="2006" t="str">
        <f>INDEX([98]Listas!$F$6:$J$10,MATCH(Q45,[98]Listas!$D$6:$D$10,0),MATCH(R45,[98]Listas!$F$4:$J$4,0))</f>
        <v>6
MODERADO</v>
      </c>
      <c r="W45" s="73"/>
      <c r="X45" s="1999" t="s">
        <v>1799</v>
      </c>
      <c r="Y45" s="1999"/>
      <c r="Z45" s="1999"/>
      <c r="AA45" s="1993" t="s">
        <v>4262</v>
      </c>
      <c r="AB45" s="642" t="s">
        <v>1800</v>
      </c>
      <c r="AC45" s="2522" t="s">
        <v>1801</v>
      </c>
      <c r="AD45" s="1570">
        <v>41</v>
      </c>
      <c r="AE45" s="1298" t="s">
        <v>153</v>
      </c>
      <c r="AF45" s="73"/>
      <c r="AG45" s="54">
        <f t="shared" si="0"/>
        <v>1</v>
      </c>
      <c r="AH45" s="582">
        <f t="shared" si="1"/>
        <v>2</v>
      </c>
      <c r="AI45" s="2006" t="str">
        <f>IF(AH45&lt;=1,"Remota",VLOOKUP(AH45,[98]Listas!$C$6:$D$10,2,0))</f>
        <v>Baja</v>
      </c>
      <c r="AJ45" s="582">
        <f t="shared" si="2"/>
        <v>2</v>
      </c>
      <c r="AK45" s="2006" t="str">
        <f>IF(AJ45&lt;=1,"Insignificante",HLOOKUP(AJ45,[98]Listas!$F$3:$J$4,2,0))</f>
        <v>Menor</v>
      </c>
      <c r="AL45" s="55">
        <f t="shared" si="3"/>
        <v>4</v>
      </c>
      <c r="AM45" s="2006" t="str">
        <f>INDEX([98]Listas!$F$6:$J$10,MATCH(AI45,[98]Listas!$D$6:$D$10,0),MATCH(AK45,[98]Listas!$F$4:$J$4,0))</f>
        <v>4
INFERIOR</v>
      </c>
      <c r="AN45" s="2511" t="s">
        <v>2783</v>
      </c>
      <c r="AO45" s="2511" t="s">
        <v>2721</v>
      </c>
      <c r="AP45" s="2514">
        <v>0</v>
      </c>
      <c r="AQ45" s="2517" t="s">
        <v>3644</v>
      </c>
      <c r="AR45" s="2517" t="s">
        <v>3817</v>
      </c>
      <c r="AS45" s="2455" t="s">
        <v>36</v>
      </c>
      <c r="AT45" s="2455" t="s">
        <v>2573</v>
      </c>
      <c r="AU45" s="2455" t="s">
        <v>2573</v>
      </c>
      <c r="AV45" s="2458" t="s">
        <v>2573</v>
      </c>
      <c r="AW45" s="2458" t="s">
        <v>2573</v>
      </c>
      <c r="AX45" s="2455" t="s">
        <v>2573</v>
      </c>
      <c r="AY45" s="2508" t="s">
        <v>3670</v>
      </c>
    </row>
    <row r="46" spans="1:51" s="557" customFormat="1" ht="125.25" customHeight="1">
      <c r="A46" s="2526"/>
      <c r="B46" s="1577" t="s">
        <v>473</v>
      </c>
      <c r="C46" s="2531"/>
      <c r="D46" s="2532"/>
      <c r="E46" s="2533"/>
      <c r="F46" s="2451"/>
      <c r="G46" s="1996" t="s">
        <v>1802</v>
      </c>
      <c r="H46" s="1997"/>
      <c r="I46" s="1998"/>
      <c r="J46" s="2523"/>
      <c r="K46" s="2539"/>
      <c r="L46" s="2540"/>
      <c r="M46" s="1571"/>
      <c r="N46" s="1571"/>
      <c r="O46" s="1571"/>
      <c r="P46" s="1571"/>
      <c r="Q46" s="1991"/>
      <c r="R46" s="1991"/>
      <c r="S46" s="73"/>
      <c r="T46" s="54" t="e">
        <f>VLOOKUP(Q46,[98]Listas!$D$6:$E$10,2,0)</f>
        <v>#N/A</v>
      </c>
      <c r="U46" s="54" t="e">
        <f>HLOOKUP(R46,[98]Listas!$F$4:$J$5,2,0)</f>
        <v>#N/A</v>
      </c>
      <c r="V46" s="2007"/>
      <c r="W46" s="73"/>
      <c r="X46" s="1999" t="s">
        <v>1803</v>
      </c>
      <c r="Y46" s="1999"/>
      <c r="Z46" s="1999"/>
      <c r="AA46" s="1994"/>
      <c r="AB46" s="642" t="s">
        <v>1804</v>
      </c>
      <c r="AC46" s="2523"/>
      <c r="AD46" s="1571"/>
      <c r="AE46" s="1299"/>
      <c r="AF46" s="73"/>
      <c r="AG46" s="54">
        <f t="shared" si="0"/>
        <v>0</v>
      </c>
      <c r="AH46" s="582" t="e">
        <f t="shared" si="1"/>
        <v>#N/A</v>
      </c>
      <c r="AI46" s="2007"/>
      <c r="AJ46" s="582" t="e">
        <f t="shared" si="2"/>
        <v>#N/A</v>
      </c>
      <c r="AK46" s="2007"/>
      <c r="AL46" s="55" t="e">
        <f t="shared" si="3"/>
        <v>#N/A</v>
      </c>
      <c r="AM46" s="2007"/>
      <c r="AN46" s="2512"/>
      <c r="AO46" s="2512"/>
      <c r="AP46" s="2515"/>
      <c r="AQ46" s="2518"/>
      <c r="AR46" s="2518"/>
      <c r="AS46" s="2456"/>
      <c r="AT46" s="2456"/>
      <c r="AU46" s="2456"/>
      <c r="AV46" s="2459"/>
      <c r="AW46" s="2459"/>
      <c r="AX46" s="2456"/>
      <c r="AY46" s="2509"/>
    </row>
    <row r="47" spans="1:51" s="557" customFormat="1" ht="102.75" customHeight="1">
      <c r="A47" s="2526"/>
      <c r="B47" s="1577"/>
      <c r="C47" s="2531"/>
      <c r="D47" s="2532"/>
      <c r="E47" s="2533"/>
      <c r="F47" s="2451"/>
      <c r="G47" s="1996" t="s">
        <v>1805</v>
      </c>
      <c r="H47" s="1997"/>
      <c r="I47" s="1998"/>
      <c r="J47" s="2523"/>
      <c r="K47" s="2539"/>
      <c r="L47" s="2540"/>
      <c r="M47" s="1571"/>
      <c r="N47" s="1571"/>
      <c r="O47" s="1571"/>
      <c r="P47" s="1571"/>
      <c r="Q47" s="1991"/>
      <c r="R47" s="1991"/>
      <c r="S47" s="73"/>
      <c r="T47" s="54" t="e">
        <f>VLOOKUP(Q47,[98]Listas!$D$6:$E$10,2,0)</f>
        <v>#N/A</v>
      </c>
      <c r="U47" s="54" t="e">
        <f>HLOOKUP(R47,[98]Listas!$F$4:$J$5,2,0)</f>
        <v>#N/A</v>
      </c>
      <c r="V47" s="2007"/>
      <c r="W47" s="73"/>
      <c r="X47" s="1999" t="s">
        <v>1806</v>
      </c>
      <c r="Y47" s="1999"/>
      <c r="Z47" s="1999"/>
      <c r="AA47" s="1994"/>
      <c r="AB47" s="642" t="s">
        <v>1807</v>
      </c>
      <c r="AC47" s="2523"/>
      <c r="AD47" s="1571"/>
      <c r="AE47" s="1299"/>
      <c r="AF47" s="73"/>
      <c r="AG47" s="54">
        <f t="shared" si="0"/>
        <v>0</v>
      </c>
      <c r="AH47" s="582" t="e">
        <f t="shared" si="1"/>
        <v>#N/A</v>
      </c>
      <c r="AI47" s="2007"/>
      <c r="AJ47" s="582" t="e">
        <f t="shared" si="2"/>
        <v>#N/A</v>
      </c>
      <c r="AK47" s="2007"/>
      <c r="AL47" s="55" t="e">
        <f t="shared" si="3"/>
        <v>#N/A</v>
      </c>
      <c r="AM47" s="2007"/>
      <c r="AN47" s="2512"/>
      <c r="AO47" s="2512"/>
      <c r="AP47" s="2515"/>
      <c r="AQ47" s="2518"/>
      <c r="AR47" s="2518"/>
      <c r="AS47" s="2456"/>
      <c r="AT47" s="2456"/>
      <c r="AU47" s="2456"/>
      <c r="AV47" s="2459"/>
      <c r="AW47" s="2459"/>
      <c r="AX47" s="2456"/>
      <c r="AY47" s="2509"/>
    </row>
    <row r="48" spans="1:51" s="557" customFormat="1" ht="103.5" customHeight="1">
      <c r="A48" s="2526"/>
      <c r="B48" s="1577"/>
      <c r="C48" s="2531"/>
      <c r="D48" s="2532"/>
      <c r="E48" s="2533"/>
      <c r="F48" s="2451"/>
      <c r="G48" s="1996" t="s">
        <v>1808</v>
      </c>
      <c r="H48" s="1997"/>
      <c r="I48" s="1998"/>
      <c r="J48" s="2523"/>
      <c r="K48" s="2539"/>
      <c r="L48" s="2540"/>
      <c r="M48" s="1571"/>
      <c r="N48" s="1571"/>
      <c r="O48" s="1571"/>
      <c r="P48" s="1571"/>
      <c r="Q48" s="1991"/>
      <c r="R48" s="1991"/>
      <c r="S48" s="73"/>
      <c r="T48" s="54" t="e">
        <f>VLOOKUP(Q48,[98]Listas!$D$6:$E$10,2,0)</f>
        <v>#N/A</v>
      </c>
      <c r="U48" s="54" t="e">
        <f>HLOOKUP(R48,[98]Listas!$F$4:$J$5,2,0)</f>
        <v>#N/A</v>
      </c>
      <c r="V48" s="2007"/>
      <c r="W48" s="73"/>
      <c r="X48" s="1999" t="s">
        <v>1809</v>
      </c>
      <c r="Y48" s="1999"/>
      <c r="Z48" s="1999"/>
      <c r="AA48" s="1994"/>
      <c r="AB48" s="642" t="s">
        <v>1810</v>
      </c>
      <c r="AC48" s="2523"/>
      <c r="AD48" s="1571"/>
      <c r="AE48" s="1299"/>
      <c r="AF48" s="73"/>
      <c r="AG48" s="54">
        <f t="shared" si="0"/>
        <v>0</v>
      </c>
      <c r="AH48" s="582" t="e">
        <f t="shared" si="1"/>
        <v>#N/A</v>
      </c>
      <c r="AI48" s="2007"/>
      <c r="AJ48" s="582" t="e">
        <f t="shared" si="2"/>
        <v>#N/A</v>
      </c>
      <c r="AK48" s="2007"/>
      <c r="AL48" s="55" t="e">
        <f t="shared" si="3"/>
        <v>#N/A</v>
      </c>
      <c r="AM48" s="2007"/>
      <c r="AN48" s="2512"/>
      <c r="AO48" s="2512"/>
      <c r="AP48" s="2515"/>
      <c r="AQ48" s="2518"/>
      <c r="AR48" s="2518"/>
      <c r="AS48" s="2456"/>
      <c r="AT48" s="2456"/>
      <c r="AU48" s="2456"/>
      <c r="AV48" s="2459"/>
      <c r="AW48" s="2459"/>
      <c r="AX48" s="2456"/>
      <c r="AY48" s="2509"/>
    </row>
    <row r="49" spans="1:51" s="557" customFormat="1" ht="103.5" customHeight="1">
      <c r="A49" s="2527"/>
      <c r="B49" s="1578" t="s">
        <v>473</v>
      </c>
      <c r="C49" s="2534"/>
      <c r="D49" s="2535"/>
      <c r="E49" s="2536"/>
      <c r="F49" s="2452"/>
      <c r="G49" s="1996" t="s">
        <v>1811</v>
      </c>
      <c r="H49" s="1997"/>
      <c r="I49" s="1998"/>
      <c r="J49" s="2524"/>
      <c r="K49" s="2541"/>
      <c r="L49" s="2542"/>
      <c r="M49" s="1572"/>
      <c r="N49" s="1572"/>
      <c r="O49" s="1572"/>
      <c r="P49" s="1572"/>
      <c r="Q49" s="1992"/>
      <c r="R49" s="1992"/>
      <c r="S49" s="73"/>
      <c r="T49" s="54" t="e">
        <f>VLOOKUP(Q49,[98]Listas!$D$6:$E$10,2,0)</f>
        <v>#N/A</v>
      </c>
      <c r="U49" s="54" t="e">
        <f>HLOOKUP(R49,[98]Listas!$F$4:$J$5,2,0)</f>
        <v>#N/A</v>
      </c>
      <c r="V49" s="2008"/>
      <c r="W49" s="73"/>
      <c r="X49" s="2040" t="s">
        <v>1812</v>
      </c>
      <c r="Y49" s="2040"/>
      <c r="Z49" s="2040"/>
      <c r="AA49" s="1995"/>
      <c r="AB49" s="642" t="s">
        <v>1813</v>
      </c>
      <c r="AC49" s="2524"/>
      <c r="AD49" s="1572"/>
      <c r="AE49" s="1469"/>
      <c r="AF49" s="73"/>
      <c r="AG49" s="54">
        <f t="shared" si="0"/>
        <v>0</v>
      </c>
      <c r="AH49" s="582" t="e">
        <f t="shared" si="1"/>
        <v>#N/A</v>
      </c>
      <c r="AI49" s="2008"/>
      <c r="AJ49" s="582" t="e">
        <f t="shared" si="2"/>
        <v>#N/A</v>
      </c>
      <c r="AK49" s="2008"/>
      <c r="AL49" s="55" t="e">
        <f t="shared" si="3"/>
        <v>#N/A</v>
      </c>
      <c r="AM49" s="2008"/>
      <c r="AN49" s="2513"/>
      <c r="AO49" s="2513"/>
      <c r="AP49" s="2516"/>
      <c r="AQ49" s="2519"/>
      <c r="AR49" s="2519"/>
      <c r="AS49" s="2457"/>
      <c r="AT49" s="2457"/>
      <c r="AU49" s="2457"/>
      <c r="AV49" s="2460"/>
      <c r="AW49" s="2460"/>
      <c r="AX49" s="2457"/>
      <c r="AY49" s="2510"/>
    </row>
    <row r="50" spans="1:51" s="557" customFormat="1" ht="138" customHeight="1">
      <c r="A50" s="2520" t="s">
        <v>1743</v>
      </c>
      <c r="B50" s="2375" t="s">
        <v>1954</v>
      </c>
      <c r="C50" s="2521" t="s">
        <v>1198</v>
      </c>
      <c r="D50" s="2521"/>
      <c r="E50" s="2521"/>
      <c r="F50" s="2450" t="s">
        <v>1745</v>
      </c>
      <c r="G50" s="1996" t="s">
        <v>1815</v>
      </c>
      <c r="H50" s="1997"/>
      <c r="I50" s="1998"/>
      <c r="J50" s="1999" t="s">
        <v>1816</v>
      </c>
      <c r="K50" s="1999"/>
      <c r="L50" s="1999"/>
      <c r="M50" s="1570"/>
      <c r="N50" s="1570"/>
      <c r="O50" s="1570" t="s">
        <v>8</v>
      </c>
      <c r="P50" s="1570"/>
      <c r="Q50" s="1990" t="s">
        <v>64</v>
      </c>
      <c r="R50" s="1990" t="s">
        <v>643</v>
      </c>
      <c r="S50" s="73"/>
      <c r="T50" s="54">
        <f>VLOOKUP(Q50,[98]Listas!$D$6:$E$10,2,0)</f>
        <v>3</v>
      </c>
      <c r="U50" s="54">
        <f>HLOOKUP(R50,[98]Listas!$F$4:$J$5,2,0)</f>
        <v>2</v>
      </c>
      <c r="V50" s="2006" t="str">
        <f>INDEX([98]Listas!$F$6:$J$10,MATCH(Q50,[98]Listas!$D$6:$D$10,0),MATCH(R50,[98]Listas!$F$4:$J$4,0))</f>
        <v>6
MODERADO</v>
      </c>
      <c r="W50" s="73"/>
      <c r="X50" s="1999" t="s">
        <v>1817</v>
      </c>
      <c r="Y50" s="1999"/>
      <c r="Z50" s="1999"/>
      <c r="AA50" s="1993" t="s">
        <v>4263</v>
      </c>
      <c r="AB50" s="642" t="s">
        <v>1818</v>
      </c>
      <c r="AC50" s="628" t="s">
        <v>1819</v>
      </c>
      <c r="AD50" s="1570">
        <v>62</v>
      </c>
      <c r="AE50" s="1298" t="s">
        <v>153</v>
      </c>
      <c r="AF50" s="73"/>
      <c r="AG50" s="54">
        <f t="shared" si="0"/>
        <v>1</v>
      </c>
      <c r="AH50" s="582">
        <f t="shared" si="1"/>
        <v>2</v>
      </c>
      <c r="AI50" s="2006" t="str">
        <f>IF(AH50&lt;=1,"Remota",VLOOKUP(AH50,[98]Listas!$C$6:$D$10,2,0))</f>
        <v>Baja</v>
      </c>
      <c r="AJ50" s="582">
        <f t="shared" si="2"/>
        <v>2</v>
      </c>
      <c r="AK50" s="2006" t="str">
        <f>IF(AJ50&lt;=1,"Insignificante",HLOOKUP(AJ50,[98]Listas!$F$3:$J$4,2,0))</f>
        <v>Menor</v>
      </c>
      <c r="AL50" s="55">
        <f t="shared" si="3"/>
        <v>4</v>
      </c>
      <c r="AM50" s="2006" t="str">
        <f>INDEX([98]Listas!$F$6:$J$10,MATCH(AI50,[98]Listas!$D$6:$D$10,0),MATCH(AK50,[98]Listas!$F$4:$J$4,0))</f>
        <v>4
INFERIOR</v>
      </c>
      <c r="AN50" s="2511" t="s">
        <v>2732</v>
      </c>
      <c r="AO50" s="1325" t="s">
        <v>2721</v>
      </c>
      <c r="AP50" s="2514">
        <v>0</v>
      </c>
      <c r="AQ50" s="2455" t="s">
        <v>3644</v>
      </c>
      <c r="AR50" s="2517" t="s">
        <v>3817</v>
      </c>
      <c r="AS50" s="2455" t="s">
        <v>36</v>
      </c>
      <c r="AT50" s="2455" t="s">
        <v>2573</v>
      </c>
      <c r="AU50" s="2455" t="s">
        <v>2573</v>
      </c>
      <c r="AV50" s="2458" t="s">
        <v>2573</v>
      </c>
      <c r="AW50" s="2458" t="s">
        <v>2573</v>
      </c>
      <c r="AX50" s="2455" t="s">
        <v>2573</v>
      </c>
      <c r="AY50" s="2508" t="s">
        <v>3670</v>
      </c>
    </row>
    <row r="51" spans="1:51" s="557" customFormat="1" ht="103.5" customHeight="1">
      <c r="A51" s="2520"/>
      <c r="B51" s="2375" t="s">
        <v>473</v>
      </c>
      <c r="C51" s="2521"/>
      <c r="D51" s="2521"/>
      <c r="E51" s="2521"/>
      <c r="F51" s="2451"/>
      <c r="G51" s="1996" t="s">
        <v>1820</v>
      </c>
      <c r="H51" s="1997"/>
      <c r="I51" s="1998"/>
      <c r="J51" s="1999"/>
      <c r="K51" s="1999"/>
      <c r="L51" s="1999"/>
      <c r="M51" s="1571"/>
      <c r="N51" s="1571"/>
      <c r="O51" s="1571"/>
      <c r="P51" s="1571"/>
      <c r="Q51" s="1991"/>
      <c r="R51" s="1991"/>
      <c r="S51" s="73"/>
      <c r="T51" s="54" t="e">
        <f>VLOOKUP(Q51,[98]Listas!$D$6:$E$10,2,0)</f>
        <v>#N/A</v>
      </c>
      <c r="U51" s="54" t="e">
        <f>HLOOKUP(R51,[98]Listas!$F$4:$J$5,2,0)</f>
        <v>#N/A</v>
      </c>
      <c r="V51" s="2007"/>
      <c r="W51" s="73"/>
      <c r="X51" s="1999" t="s">
        <v>1821</v>
      </c>
      <c r="Y51" s="1999"/>
      <c r="Z51" s="1999"/>
      <c r="AA51" s="1994"/>
      <c r="AB51" s="642" t="s">
        <v>1822</v>
      </c>
      <c r="AC51" s="628" t="s">
        <v>1823</v>
      </c>
      <c r="AD51" s="1571"/>
      <c r="AE51" s="1299"/>
      <c r="AF51" s="73"/>
      <c r="AG51" s="54">
        <f t="shared" si="0"/>
        <v>0</v>
      </c>
      <c r="AH51" s="582" t="e">
        <f t="shared" si="1"/>
        <v>#N/A</v>
      </c>
      <c r="AI51" s="2007"/>
      <c r="AJ51" s="582" t="e">
        <f t="shared" si="2"/>
        <v>#N/A</v>
      </c>
      <c r="AK51" s="2007"/>
      <c r="AL51" s="55" t="e">
        <f t="shared" si="3"/>
        <v>#N/A</v>
      </c>
      <c r="AM51" s="2007"/>
      <c r="AN51" s="2512"/>
      <c r="AO51" s="1326"/>
      <c r="AP51" s="2515"/>
      <c r="AQ51" s="2456"/>
      <c r="AR51" s="2518"/>
      <c r="AS51" s="2456"/>
      <c r="AT51" s="2456"/>
      <c r="AU51" s="2456"/>
      <c r="AV51" s="2459"/>
      <c r="AW51" s="2459"/>
      <c r="AX51" s="2456"/>
      <c r="AY51" s="2509"/>
    </row>
    <row r="52" spans="1:51" s="557" customFormat="1" ht="103.5" customHeight="1">
      <c r="A52" s="2520"/>
      <c r="B52" s="2375" t="s">
        <v>473</v>
      </c>
      <c r="C52" s="2521"/>
      <c r="D52" s="2521"/>
      <c r="E52" s="2521"/>
      <c r="F52" s="2451"/>
      <c r="G52" s="1996" t="s">
        <v>1824</v>
      </c>
      <c r="H52" s="1997"/>
      <c r="I52" s="1998"/>
      <c r="J52" s="1999"/>
      <c r="K52" s="1999"/>
      <c r="L52" s="1999"/>
      <c r="M52" s="1571"/>
      <c r="N52" s="1571"/>
      <c r="O52" s="1571"/>
      <c r="P52" s="1571"/>
      <c r="Q52" s="1991"/>
      <c r="R52" s="1991"/>
      <c r="S52" s="73"/>
      <c r="T52" s="54" t="e">
        <f>VLOOKUP(Q52,[98]Listas!$D$6:$E$10,2,0)</f>
        <v>#N/A</v>
      </c>
      <c r="U52" s="54" t="e">
        <f>HLOOKUP(R52,[98]Listas!$F$4:$J$5,2,0)</f>
        <v>#N/A</v>
      </c>
      <c r="V52" s="2007"/>
      <c r="W52" s="73"/>
      <c r="X52" s="1999" t="s">
        <v>1825</v>
      </c>
      <c r="Y52" s="1999"/>
      <c r="Z52" s="1999"/>
      <c r="AA52" s="1994"/>
      <c r="AB52" s="642" t="s">
        <v>1826</v>
      </c>
      <c r="AC52" s="628" t="s">
        <v>1827</v>
      </c>
      <c r="AD52" s="1571"/>
      <c r="AE52" s="1299"/>
      <c r="AF52" s="73"/>
      <c r="AG52" s="54">
        <f t="shared" si="0"/>
        <v>0</v>
      </c>
      <c r="AH52" s="582" t="e">
        <f t="shared" si="1"/>
        <v>#N/A</v>
      </c>
      <c r="AI52" s="2007"/>
      <c r="AJ52" s="582" t="e">
        <f t="shared" si="2"/>
        <v>#N/A</v>
      </c>
      <c r="AK52" s="2007"/>
      <c r="AL52" s="55" t="e">
        <f t="shared" si="3"/>
        <v>#N/A</v>
      </c>
      <c r="AM52" s="2007"/>
      <c r="AN52" s="2512"/>
      <c r="AO52" s="1326"/>
      <c r="AP52" s="2515"/>
      <c r="AQ52" s="2456"/>
      <c r="AR52" s="2518"/>
      <c r="AS52" s="2456"/>
      <c r="AT52" s="2456"/>
      <c r="AU52" s="2456"/>
      <c r="AV52" s="2459"/>
      <c r="AW52" s="2459"/>
      <c r="AX52" s="2456"/>
      <c r="AY52" s="2509"/>
    </row>
    <row r="53" spans="1:51" s="557" customFormat="1" ht="126.75" customHeight="1">
      <c r="A53" s="2520"/>
      <c r="B53" s="2375" t="s">
        <v>473</v>
      </c>
      <c r="C53" s="2521"/>
      <c r="D53" s="2521"/>
      <c r="E53" s="2521"/>
      <c r="F53" s="2451"/>
      <c r="G53" s="1996" t="s">
        <v>1828</v>
      </c>
      <c r="H53" s="1997"/>
      <c r="I53" s="1998"/>
      <c r="J53" s="1999"/>
      <c r="K53" s="1999"/>
      <c r="L53" s="1999"/>
      <c r="M53" s="1571"/>
      <c r="N53" s="1571"/>
      <c r="O53" s="1571"/>
      <c r="P53" s="1571"/>
      <c r="Q53" s="1991"/>
      <c r="R53" s="1991"/>
      <c r="S53" s="73"/>
      <c r="T53" s="54" t="e">
        <f>VLOOKUP(Q53,[98]Listas!$D$6:$E$10,2,0)</f>
        <v>#N/A</v>
      </c>
      <c r="U53" s="54" t="e">
        <f>HLOOKUP(R53,[98]Listas!$F$4:$J$5,2,0)</f>
        <v>#N/A</v>
      </c>
      <c r="V53" s="2007"/>
      <c r="W53" s="73"/>
      <c r="X53" s="1999" t="s">
        <v>1829</v>
      </c>
      <c r="Y53" s="1999"/>
      <c r="Z53" s="1999"/>
      <c r="AA53" s="1994"/>
      <c r="AB53" s="642" t="s">
        <v>1830</v>
      </c>
      <c r="AC53" s="628" t="s">
        <v>1831</v>
      </c>
      <c r="AD53" s="1571"/>
      <c r="AE53" s="1299"/>
      <c r="AF53" s="73"/>
      <c r="AG53" s="54">
        <f t="shared" si="0"/>
        <v>0</v>
      </c>
      <c r="AH53" s="582" t="e">
        <f t="shared" si="1"/>
        <v>#N/A</v>
      </c>
      <c r="AI53" s="2007"/>
      <c r="AJ53" s="582" t="e">
        <f t="shared" si="2"/>
        <v>#N/A</v>
      </c>
      <c r="AK53" s="2007"/>
      <c r="AL53" s="55" t="e">
        <f t="shared" si="3"/>
        <v>#N/A</v>
      </c>
      <c r="AM53" s="2007"/>
      <c r="AN53" s="2512"/>
      <c r="AO53" s="1326"/>
      <c r="AP53" s="2515"/>
      <c r="AQ53" s="2456"/>
      <c r="AR53" s="2518"/>
      <c r="AS53" s="2456"/>
      <c r="AT53" s="2456"/>
      <c r="AU53" s="2456"/>
      <c r="AV53" s="2459"/>
      <c r="AW53" s="2459"/>
      <c r="AX53" s="2456"/>
      <c r="AY53" s="2509"/>
    </row>
    <row r="54" spans="1:51" s="557" customFormat="1" ht="103.5" customHeight="1">
      <c r="A54" s="2520"/>
      <c r="B54" s="2375" t="s">
        <v>473</v>
      </c>
      <c r="C54" s="2521"/>
      <c r="D54" s="2521"/>
      <c r="E54" s="2521"/>
      <c r="F54" s="2452"/>
      <c r="G54" s="1996" t="s">
        <v>1832</v>
      </c>
      <c r="H54" s="1997"/>
      <c r="I54" s="1998"/>
      <c r="J54" s="1999"/>
      <c r="K54" s="1999"/>
      <c r="L54" s="1999"/>
      <c r="M54" s="1572"/>
      <c r="N54" s="1572"/>
      <c r="O54" s="1572"/>
      <c r="P54" s="1572"/>
      <c r="Q54" s="1992"/>
      <c r="R54" s="1992"/>
      <c r="S54" s="73"/>
      <c r="T54" s="54" t="e">
        <f>VLOOKUP(Q54,[98]Listas!$D$6:$E$10,2,0)</f>
        <v>#N/A</v>
      </c>
      <c r="U54" s="54" t="e">
        <f>HLOOKUP(R54,[98]Listas!$F$4:$J$5,2,0)</f>
        <v>#N/A</v>
      </c>
      <c r="V54" s="2008"/>
      <c r="W54" s="73"/>
      <c r="X54" s="1999" t="s">
        <v>1825</v>
      </c>
      <c r="Y54" s="1999"/>
      <c r="Z54" s="1999"/>
      <c r="AA54" s="1995"/>
      <c r="AB54" s="642" t="s">
        <v>1826</v>
      </c>
      <c r="AC54" s="628" t="s">
        <v>1827</v>
      </c>
      <c r="AD54" s="1572"/>
      <c r="AE54" s="1469"/>
      <c r="AF54" s="73"/>
      <c r="AG54" s="54">
        <f t="shared" si="0"/>
        <v>0</v>
      </c>
      <c r="AH54" s="582" t="e">
        <f t="shared" si="1"/>
        <v>#N/A</v>
      </c>
      <c r="AI54" s="2008"/>
      <c r="AJ54" s="582" t="e">
        <f t="shared" si="2"/>
        <v>#N/A</v>
      </c>
      <c r="AK54" s="2008"/>
      <c r="AL54" s="55" t="e">
        <f t="shared" si="3"/>
        <v>#N/A</v>
      </c>
      <c r="AM54" s="2008"/>
      <c r="AN54" s="2513"/>
      <c r="AO54" s="1327"/>
      <c r="AP54" s="2516"/>
      <c r="AQ54" s="2457"/>
      <c r="AR54" s="2519"/>
      <c r="AS54" s="2457"/>
      <c r="AT54" s="2457"/>
      <c r="AU54" s="2457"/>
      <c r="AV54" s="2460"/>
      <c r="AW54" s="2460"/>
      <c r="AX54" s="2457"/>
      <c r="AY54" s="2510"/>
    </row>
    <row r="55" spans="1:51" s="557" customFormat="1" ht="103.5" hidden="1" customHeight="1">
      <c r="A55" s="608"/>
      <c r="B55" s="266"/>
      <c r="C55" s="1399"/>
      <c r="D55" s="1408"/>
      <c r="E55" s="1400"/>
      <c r="F55" s="267"/>
      <c r="G55" s="1399"/>
      <c r="H55" s="1408"/>
      <c r="I55" s="1400"/>
      <c r="J55" s="1380"/>
      <c r="K55" s="1380"/>
      <c r="L55" s="1380"/>
      <c r="M55" s="608"/>
      <c r="N55" s="608"/>
      <c r="O55" s="608"/>
      <c r="P55" s="608"/>
      <c r="Q55" s="266"/>
      <c r="R55" s="266"/>
      <c r="S55" s="268"/>
      <c r="T55" s="269" t="e">
        <f>VLOOKUP(Q55,[71]Listas!$D$6:$E$10,2,0)</f>
        <v>#N/A</v>
      </c>
      <c r="U55" s="269" t="e">
        <f>HLOOKUP(R55,[71]Listas!$F$4:$J$5,2,0)</f>
        <v>#N/A</v>
      </c>
      <c r="V55" s="270" t="e">
        <f>INDEX([71]Listas!$F$6:$J$10,MATCH(Q55,[71]Listas!$D$6:$D$10,0),MATCH(R55,[71]Listas!$F$4:$J$4,0))</f>
        <v>#N/A</v>
      </c>
      <c r="W55" s="268"/>
      <c r="X55" s="1399"/>
      <c r="Y55" s="1408"/>
      <c r="Z55" s="1400"/>
      <c r="AA55" s="1063"/>
      <c r="AB55" s="267"/>
      <c r="AC55" s="259"/>
      <c r="AD55" s="608"/>
      <c r="AE55" s="267"/>
      <c r="AF55" s="268"/>
      <c r="AG55" s="269">
        <f t="shared" si="0"/>
        <v>0</v>
      </c>
      <c r="AH55" s="558" t="e">
        <f t="shared" si="1"/>
        <v>#N/A</v>
      </c>
      <c r="AI55" s="270" t="e">
        <f>IF(AH55&lt;=1,"Remota",VLOOKUP(AH55,[71]Listas!$C$6:$D$10,2,0))</f>
        <v>#N/A</v>
      </c>
      <c r="AJ55" s="558" t="e">
        <f t="shared" si="2"/>
        <v>#N/A</v>
      </c>
      <c r="AK55" s="270" t="e">
        <f>IF(AJ55&lt;=1,"Insignificante",HLOOKUP(AJ55,[71]Listas!$F$3:$J$4,2,0))</f>
        <v>#N/A</v>
      </c>
      <c r="AL55" s="273" t="e">
        <f t="shared" si="3"/>
        <v>#N/A</v>
      </c>
      <c r="AM55" s="270" t="e">
        <f>INDEX([71]Listas!$F$6:$J$10,MATCH(AI55,[71]Listas!$D$6:$D$10,0),MATCH(AK55,[71]Listas!$F$4:$J$4,0))</f>
        <v>#N/A</v>
      </c>
      <c r="AN55" s="259"/>
      <c r="AO55" s="259"/>
      <c r="AP55" s="610"/>
      <c r="AQ55" s="259"/>
      <c r="AR55" s="259" t="s">
        <v>2343</v>
      </c>
      <c r="AS55" s="608"/>
      <c r="AT55" s="259"/>
      <c r="AU55" s="259"/>
      <c r="AV55" s="559"/>
      <c r="AW55" s="559"/>
      <c r="AX55" s="608"/>
      <c r="AY55" s="556"/>
    </row>
    <row r="56" spans="1:51" s="557" customFormat="1" ht="103.5" hidden="1" customHeight="1">
      <c r="A56" s="608"/>
      <c r="B56" s="266"/>
      <c r="C56" s="1399"/>
      <c r="D56" s="1408"/>
      <c r="E56" s="1400"/>
      <c r="F56" s="267"/>
      <c r="G56" s="1399"/>
      <c r="H56" s="1408"/>
      <c r="I56" s="1400"/>
      <c r="J56" s="1380"/>
      <c r="K56" s="1380"/>
      <c r="L56" s="1380"/>
      <c r="M56" s="608"/>
      <c r="N56" s="608"/>
      <c r="O56" s="608"/>
      <c r="P56" s="608"/>
      <c r="Q56" s="266"/>
      <c r="R56" s="266"/>
      <c r="S56" s="268"/>
      <c r="T56" s="269" t="e">
        <f>VLOOKUP(Q56,[71]Listas!$D$6:$E$10,2,0)</f>
        <v>#N/A</v>
      </c>
      <c r="U56" s="269" t="e">
        <f>HLOOKUP(R56,[71]Listas!$F$4:$J$5,2,0)</f>
        <v>#N/A</v>
      </c>
      <c r="V56" s="270" t="e">
        <f>INDEX([71]Listas!$F$6:$J$10,MATCH(Q56,[71]Listas!$D$6:$D$10,0),MATCH(R56,[71]Listas!$F$4:$J$4,0))</f>
        <v>#N/A</v>
      </c>
      <c r="W56" s="268"/>
      <c r="X56" s="1399"/>
      <c r="Y56" s="1408"/>
      <c r="Z56" s="1400"/>
      <c r="AA56" s="1063"/>
      <c r="AB56" s="267"/>
      <c r="AC56" s="259"/>
      <c r="AD56" s="608"/>
      <c r="AE56" s="267"/>
      <c r="AF56" s="268"/>
      <c r="AG56" s="269">
        <f t="shared" si="0"/>
        <v>0</v>
      </c>
      <c r="AH56" s="558" t="e">
        <f t="shared" si="1"/>
        <v>#N/A</v>
      </c>
      <c r="AI56" s="270" t="e">
        <f>IF(AH56&lt;=1,"Remota",VLOOKUP(AH56,[71]Listas!$C$6:$D$10,2,0))</f>
        <v>#N/A</v>
      </c>
      <c r="AJ56" s="558" t="e">
        <f t="shared" si="2"/>
        <v>#N/A</v>
      </c>
      <c r="AK56" s="270" t="e">
        <f>IF(AJ56&lt;=1,"Insignificante",HLOOKUP(AJ56,[71]Listas!$F$3:$J$4,2,0))</f>
        <v>#N/A</v>
      </c>
      <c r="AL56" s="273" t="e">
        <f t="shared" si="3"/>
        <v>#N/A</v>
      </c>
      <c r="AM56" s="270" t="e">
        <f>INDEX([71]Listas!$F$6:$J$10,MATCH(AI56,[71]Listas!$D$6:$D$10,0),MATCH(AK56,[71]Listas!$F$4:$J$4,0))</f>
        <v>#N/A</v>
      </c>
      <c r="AN56" s="259"/>
      <c r="AO56" s="259"/>
      <c r="AP56" s="610"/>
      <c r="AQ56" s="259"/>
      <c r="AR56" s="259" t="s">
        <v>2343</v>
      </c>
      <c r="AS56" s="608"/>
      <c r="AT56" s="259"/>
      <c r="AU56" s="259"/>
      <c r="AV56" s="559"/>
      <c r="AW56" s="559"/>
      <c r="AX56" s="608"/>
      <c r="AY56" s="556"/>
    </row>
    <row r="57" spans="1:51" s="557" customFormat="1" ht="103.5" hidden="1" customHeight="1">
      <c r="A57" s="608"/>
      <c r="B57" s="266"/>
      <c r="C57" s="1399"/>
      <c r="D57" s="1408"/>
      <c r="E57" s="1400"/>
      <c r="F57" s="267"/>
      <c r="G57" s="1399"/>
      <c r="H57" s="1408"/>
      <c r="I57" s="1400"/>
      <c r="J57" s="1380"/>
      <c r="K57" s="1380"/>
      <c r="L57" s="1380"/>
      <c r="M57" s="608"/>
      <c r="N57" s="608"/>
      <c r="O57" s="608"/>
      <c r="P57" s="608"/>
      <c r="Q57" s="266"/>
      <c r="R57" s="266"/>
      <c r="S57" s="268"/>
      <c r="T57" s="269" t="e">
        <f>VLOOKUP(Q57,[71]Listas!$D$6:$E$10,2,0)</f>
        <v>#N/A</v>
      </c>
      <c r="U57" s="269" t="e">
        <f>HLOOKUP(R57,[71]Listas!$F$4:$J$5,2,0)</f>
        <v>#N/A</v>
      </c>
      <c r="V57" s="270" t="e">
        <f>INDEX([71]Listas!$F$6:$J$10,MATCH(Q57,[71]Listas!$D$6:$D$10,0),MATCH(R57,[71]Listas!$F$4:$J$4,0))</f>
        <v>#N/A</v>
      </c>
      <c r="W57" s="268"/>
      <c r="X57" s="1399"/>
      <c r="Y57" s="1408"/>
      <c r="Z57" s="1400"/>
      <c r="AA57" s="1063"/>
      <c r="AB57" s="267"/>
      <c r="AC57" s="259"/>
      <c r="AD57" s="608"/>
      <c r="AE57" s="267"/>
      <c r="AF57" s="268"/>
      <c r="AG57" s="269">
        <f t="shared" si="0"/>
        <v>0</v>
      </c>
      <c r="AH57" s="558" t="e">
        <f t="shared" si="1"/>
        <v>#N/A</v>
      </c>
      <c r="AI57" s="270" t="e">
        <f>IF(AH57&lt;=1,"Remota",VLOOKUP(AH57,[71]Listas!$C$6:$D$10,2,0))</f>
        <v>#N/A</v>
      </c>
      <c r="AJ57" s="558" t="e">
        <f t="shared" si="2"/>
        <v>#N/A</v>
      </c>
      <c r="AK57" s="270" t="e">
        <f>IF(AJ57&lt;=1,"Insignificante",HLOOKUP(AJ57,[71]Listas!$F$3:$J$4,2,0))</f>
        <v>#N/A</v>
      </c>
      <c r="AL57" s="273" t="e">
        <f t="shared" si="3"/>
        <v>#N/A</v>
      </c>
      <c r="AM57" s="270" t="e">
        <f>INDEX([71]Listas!$F$6:$J$10,MATCH(AI57,[71]Listas!$D$6:$D$10,0),MATCH(AK57,[71]Listas!$F$4:$J$4,0))</f>
        <v>#N/A</v>
      </c>
      <c r="AN57" s="259"/>
      <c r="AO57" s="259"/>
      <c r="AP57" s="610"/>
      <c r="AQ57" s="259"/>
      <c r="AR57" s="259" t="s">
        <v>2343</v>
      </c>
      <c r="AS57" s="608"/>
      <c r="AT57" s="259"/>
      <c r="AU57" s="259"/>
      <c r="AV57" s="559"/>
      <c r="AW57" s="559"/>
      <c r="AX57" s="608"/>
      <c r="AY57" s="556"/>
    </row>
    <row r="58" spans="1:51" s="557" customFormat="1" ht="103.5" hidden="1" customHeight="1">
      <c r="A58" s="608"/>
      <c r="B58" s="266"/>
      <c r="C58" s="1399"/>
      <c r="D58" s="1408"/>
      <c r="E58" s="1400"/>
      <c r="F58" s="267"/>
      <c r="G58" s="1399"/>
      <c r="H58" s="1408"/>
      <c r="I58" s="1400"/>
      <c r="J58" s="1380"/>
      <c r="K58" s="1380"/>
      <c r="L58" s="1380"/>
      <c r="M58" s="608"/>
      <c r="N58" s="608"/>
      <c r="O58" s="608"/>
      <c r="P58" s="608"/>
      <c r="Q58" s="266"/>
      <c r="R58" s="266"/>
      <c r="S58" s="268"/>
      <c r="T58" s="269" t="e">
        <f>VLOOKUP(Q58,[71]Listas!$D$6:$E$10,2,0)</f>
        <v>#N/A</v>
      </c>
      <c r="U58" s="269" t="e">
        <f>HLOOKUP(R58,[71]Listas!$F$4:$J$5,2,0)</f>
        <v>#N/A</v>
      </c>
      <c r="V58" s="270" t="e">
        <f>INDEX([71]Listas!$F$6:$J$10,MATCH(Q58,[71]Listas!$D$6:$D$10,0),MATCH(R58,[71]Listas!$F$4:$J$4,0))</f>
        <v>#N/A</v>
      </c>
      <c r="W58" s="268"/>
      <c r="X58" s="1399"/>
      <c r="Y58" s="1408"/>
      <c r="Z58" s="1400"/>
      <c r="AA58" s="1063"/>
      <c r="AB58" s="267"/>
      <c r="AC58" s="259"/>
      <c r="AD58" s="608"/>
      <c r="AE58" s="267"/>
      <c r="AF58" s="268"/>
      <c r="AG58" s="269">
        <f t="shared" si="0"/>
        <v>0</v>
      </c>
      <c r="AH58" s="558" t="e">
        <f t="shared" si="1"/>
        <v>#N/A</v>
      </c>
      <c r="AI58" s="270" t="e">
        <f>IF(AH58&lt;=1,"Remota",VLOOKUP(AH58,[71]Listas!$C$6:$D$10,2,0))</f>
        <v>#N/A</v>
      </c>
      <c r="AJ58" s="558" t="e">
        <f t="shared" si="2"/>
        <v>#N/A</v>
      </c>
      <c r="AK58" s="270" t="e">
        <f>IF(AJ58&lt;=1,"Insignificante",HLOOKUP(AJ58,[71]Listas!$F$3:$J$4,2,0))</f>
        <v>#N/A</v>
      </c>
      <c r="AL58" s="273" t="e">
        <f t="shared" si="3"/>
        <v>#N/A</v>
      </c>
      <c r="AM58" s="270" t="e">
        <f>INDEX([71]Listas!$F$6:$J$10,MATCH(AI58,[71]Listas!$D$6:$D$10,0),MATCH(AK58,[71]Listas!$F$4:$J$4,0))</f>
        <v>#N/A</v>
      </c>
      <c r="AN58" s="259"/>
      <c r="AO58" s="259"/>
      <c r="AP58" s="610"/>
      <c r="AQ58" s="259"/>
      <c r="AR58" s="259" t="s">
        <v>2343</v>
      </c>
      <c r="AS58" s="608"/>
      <c r="AT58" s="259"/>
      <c r="AU58" s="259"/>
      <c r="AV58" s="559"/>
      <c r="AW58" s="559"/>
      <c r="AX58" s="608"/>
      <c r="AY58" s="556"/>
    </row>
    <row r="59" spans="1:51" s="557" customFormat="1" ht="103.5" hidden="1" customHeight="1">
      <c r="A59" s="608"/>
      <c r="B59" s="266"/>
      <c r="C59" s="1399"/>
      <c r="D59" s="1408"/>
      <c r="E59" s="1400"/>
      <c r="F59" s="267"/>
      <c r="G59" s="1399"/>
      <c r="H59" s="1408"/>
      <c r="I59" s="1400"/>
      <c r="J59" s="1380"/>
      <c r="K59" s="1380"/>
      <c r="L59" s="1380"/>
      <c r="M59" s="608"/>
      <c r="N59" s="608"/>
      <c r="O59" s="608"/>
      <c r="P59" s="608"/>
      <c r="Q59" s="266"/>
      <c r="R59" s="266"/>
      <c r="S59" s="268"/>
      <c r="T59" s="269" t="e">
        <f>VLOOKUP(Q59,[71]Listas!$D$6:$E$10,2,0)</f>
        <v>#N/A</v>
      </c>
      <c r="U59" s="269" t="e">
        <f>HLOOKUP(R59,[71]Listas!$F$4:$J$5,2,0)</f>
        <v>#N/A</v>
      </c>
      <c r="V59" s="270" t="e">
        <f>INDEX([71]Listas!$F$6:$J$10,MATCH(Q59,[71]Listas!$D$6:$D$10,0),MATCH(R59,[71]Listas!$F$4:$J$4,0))</f>
        <v>#N/A</v>
      </c>
      <c r="W59" s="268"/>
      <c r="X59" s="1399"/>
      <c r="Y59" s="1408"/>
      <c r="Z59" s="1400"/>
      <c r="AA59" s="1063"/>
      <c r="AB59" s="267"/>
      <c r="AC59" s="259"/>
      <c r="AD59" s="608"/>
      <c r="AE59" s="267"/>
      <c r="AF59" s="268"/>
      <c r="AG59" s="269">
        <f t="shared" si="0"/>
        <v>0</v>
      </c>
      <c r="AH59" s="558" t="e">
        <f t="shared" si="1"/>
        <v>#N/A</v>
      </c>
      <c r="AI59" s="270" t="e">
        <f>IF(AH59&lt;=1,"Remota",VLOOKUP(AH59,[71]Listas!$C$6:$D$10,2,0))</f>
        <v>#N/A</v>
      </c>
      <c r="AJ59" s="558" t="e">
        <f t="shared" si="2"/>
        <v>#N/A</v>
      </c>
      <c r="AK59" s="270" t="e">
        <f>IF(AJ59&lt;=1,"Insignificante",HLOOKUP(AJ59,[71]Listas!$F$3:$J$4,2,0))</f>
        <v>#N/A</v>
      </c>
      <c r="AL59" s="273" t="e">
        <f t="shared" si="3"/>
        <v>#N/A</v>
      </c>
      <c r="AM59" s="270" t="e">
        <f>INDEX([71]Listas!$F$6:$J$10,MATCH(AI59,[71]Listas!$D$6:$D$10,0),MATCH(AK59,[71]Listas!$F$4:$J$4,0))</f>
        <v>#N/A</v>
      </c>
      <c r="AN59" s="259"/>
      <c r="AO59" s="259"/>
      <c r="AP59" s="610"/>
      <c r="AQ59" s="259"/>
      <c r="AR59" s="259" t="s">
        <v>2343</v>
      </c>
      <c r="AS59" s="608"/>
      <c r="AT59" s="259"/>
      <c r="AU59" s="259"/>
      <c r="AV59" s="559"/>
      <c r="AW59" s="559"/>
      <c r="AX59" s="608"/>
      <c r="AY59" s="556"/>
    </row>
    <row r="60" spans="1:51" s="557" customFormat="1" ht="103.5" hidden="1" customHeight="1">
      <c r="A60" s="608"/>
      <c r="B60" s="266"/>
      <c r="C60" s="1399"/>
      <c r="D60" s="1408"/>
      <c r="E60" s="1400"/>
      <c r="F60" s="267"/>
      <c r="G60" s="1399"/>
      <c r="H60" s="1408"/>
      <c r="I60" s="1400"/>
      <c r="J60" s="1380"/>
      <c r="K60" s="1380"/>
      <c r="L60" s="1380"/>
      <c r="M60" s="608"/>
      <c r="N60" s="608"/>
      <c r="O60" s="608"/>
      <c r="P60" s="608"/>
      <c r="Q60" s="266"/>
      <c r="R60" s="266"/>
      <c r="S60" s="268"/>
      <c r="T60" s="269" t="e">
        <f>VLOOKUP(Q60,[71]Listas!$D$6:$E$10,2,0)</f>
        <v>#N/A</v>
      </c>
      <c r="U60" s="269" t="e">
        <f>HLOOKUP(R60,[71]Listas!$F$4:$J$5,2,0)</f>
        <v>#N/A</v>
      </c>
      <c r="V60" s="270" t="e">
        <f>INDEX([71]Listas!$F$6:$J$10,MATCH(Q60,[71]Listas!$D$6:$D$10,0),MATCH(R60,[71]Listas!$F$4:$J$4,0))</f>
        <v>#N/A</v>
      </c>
      <c r="W60" s="268"/>
      <c r="X60" s="1399"/>
      <c r="Y60" s="1408"/>
      <c r="Z60" s="1400"/>
      <c r="AA60" s="1063"/>
      <c r="AB60" s="267"/>
      <c r="AC60" s="259"/>
      <c r="AD60" s="608"/>
      <c r="AE60" s="267"/>
      <c r="AF60" s="268"/>
      <c r="AG60" s="269">
        <f t="shared" si="0"/>
        <v>0</v>
      </c>
      <c r="AH60" s="558" t="e">
        <f t="shared" si="1"/>
        <v>#N/A</v>
      </c>
      <c r="AI60" s="270" t="e">
        <f>IF(AH60&lt;=1,"Remota",VLOOKUP(AH60,[71]Listas!$C$6:$D$10,2,0))</f>
        <v>#N/A</v>
      </c>
      <c r="AJ60" s="558" t="e">
        <f t="shared" si="2"/>
        <v>#N/A</v>
      </c>
      <c r="AK60" s="270" t="e">
        <f>IF(AJ60&lt;=1,"Insignificante",HLOOKUP(AJ60,[71]Listas!$F$3:$J$4,2,0))</f>
        <v>#N/A</v>
      </c>
      <c r="AL60" s="273" t="e">
        <f t="shared" si="3"/>
        <v>#N/A</v>
      </c>
      <c r="AM60" s="270" t="e">
        <f>INDEX([71]Listas!$F$6:$J$10,MATCH(AI60,[71]Listas!$D$6:$D$10,0),MATCH(AK60,[71]Listas!$F$4:$J$4,0))</f>
        <v>#N/A</v>
      </c>
      <c r="AN60" s="259"/>
      <c r="AO60" s="259"/>
      <c r="AP60" s="610"/>
      <c r="AQ60" s="259"/>
      <c r="AR60" s="259" t="s">
        <v>2343</v>
      </c>
      <c r="AS60" s="608"/>
      <c r="AT60" s="259"/>
      <c r="AU60" s="259"/>
      <c r="AV60" s="559"/>
      <c r="AW60" s="559"/>
      <c r="AX60" s="608"/>
      <c r="AY60" s="556"/>
    </row>
    <row r="61" spans="1:51" s="557" customFormat="1" ht="103.5" hidden="1" customHeight="1">
      <c r="A61" s="608"/>
      <c r="B61" s="266"/>
      <c r="C61" s="1399"/>
      <c r="D61" s="1408"/>
      <c r="E61" s="1400"/>
      <c r="F61" s="267"/>
      <c r="G61" s="1399"/>
      <c r="H61" s="1408"/>
      <c r="I61" s="1400"/>
      <c r="J61" s="1380"/>
      <c r="K61" s="1380"/>
      <c r="L61" s="1380"/>
      <c r="M61" s="608"/>
      <c r="N61" s="608"/>
      <c r="O61" s="608"/>
      <c r="P61" s="608"/>
      <c r="Q61" s="266"/>
      <c r="R61" s="266"/>
      <c r="S61" s="268"/>
      <c r="T61" s="269" t="e">
        <f>VLOOKUP(Q61,[71]Listas!$D$6:$E$10,2,0)</f>
        <v>#N/A</v>
      </c>
      <c r="U61" s="269" t="e">
        <f>HLOOKUP(R61,[71]Listas!$F$4:$J$5,2,0)</f>
        <v>#N/A</v>
      </c>
      <c r="V61" s="270" t="e">
        <f>INDEX([71]Listas!$F$6:$J$10,MATCH(Q61,[71]Listas!$D$6:$D$10,0),MATCH(R61,[71]Listas!$F$4:$J$4,0))</f>
        <v>#N/A</v>
      </c>
      <c r="W61" s="268"/>
      <c r="X61" s="1399"/>
      <c r="Y61" s="1408"/>
      <c r="Z61" s="1400"/>
      <c r="AA61" s="1063"/>
      <c r="AB61" s="267"/>
      <c r="AC61" s="259"/>
      <c r="AD61" s="608"/>
      <c r="AE61" s="267"/>
      <c r="AF61" s="268"/>
      <c r="AG61" s="269">
        <f t="shared" si="0"/>
        <v>0</v>
      </c>
      <c r="AH61" s="558" t="e">
        <f t="shared" si="1"/>
        <v>#N/A</v>
      </c>
      <c r="AI61" s="270" t="e">
        <f>IF(AH61&lt;=1,"Remota",VLOOKUP(AH61,[71]Listas!$C$6:$D$10,2,0))</f>
        <v>#N/A</v>
      </c>
      <c r="AJ61" s="558" t="e">
        <f t="shared" si="2"/>
        <v>#N/A</v>
      </c>
      <c r="AK61" s="270" t="e">
        <f>IF(AJ61&lt;=1,"Insignificante",HLOOKUP(AJ61,[71]Listas!$F$3:$J$4,2,0))</f>
        <v>#N/A</v>
      </c>
      <c r="AL61" s="273" t="e">
        <f t="shared" si="3"/>
        <v>#N/A</v>
      </c>
      <c r="AM61" s="270" t="e">
        <f>INDEX([71]Listas!$F$6:$J$10,MATCH(AI61,[71]Listas!$D$6:$D$10,0),MATCH(AK61,[71]Listas!$F$4:$J$4,0))</f>
        <v>#N/A</v>
      </c>
      <c r="AN61" s="259"/>
      <c r="AO61" s="259"/>
      <c r="AP61" s="610"/>
      <c r="AQ61" s="259"/>
      <c r="AR61" s="259" t="s">
        <v>2343</v>
      </c>
      <c r="AS61" s="608"/>
      <c r="AT61" s="259"/>
      <c r="AU61" s="259"/>
      <c r="AV61" s="559"/>
      <c r="AW61" s="559"/>
      <c r="AX61" s="608"/>
      <c r="AY61" s="556"/>
    </row>
    <row r="62" spans="1:51" s="557" customFormat="1" ht="103.5" hidden="1" customHeight="1">
      <c r="A62" s="608"/>
      <c r="B62" s="266"/>
      <c r="C62" s="1399"/>
      <c r="D62" s="1408"/>
      <c r="E62" s="1400"/>
      <c r="F62" s="267"/>
      <c r="G62" s="1399"/>
      <c r="H62" s="1408"/>
      <c r="I62" s="1400"/>
      <c r="J62" s="1380"/>
      <c r="K62" s="1380"/>
      <c r="L62" s="1380"/>
      <c r="M62" s="608"/>
      <c r="N62" s="608"/>
      <c r="O62" s="608"/>
      <c r="P62" s="608"/>
      <c r="Q62" s="266"/>
      <c r="R62" s="266"/>
      <c r="S62" s="268"/>
      <c r="T62" s="269" t="e">
        <f>VLOOKUP(Q62,[71]Listas!$D$6:$E$10,2,0)</f>
        <v>#N/A</v>
      </c>
      <c r="U62" s="269" t="e">
        <f>HLOOKUP(R62,[71]Listas!$F$4:$J$5,2,0)</f>
        <v>#N/A</v>
      </c>
      <c r="V62" s="270" t="e">
        <f>INDEX([71]Listas!$F$6:$J$10,MATCH(Q62,[71]Listas!$D$6:$D$10,0),MATCH(R62,[71]Listas!$F$4:$J$4,0))</f>
        <v>#N/A</v>
      </c>
      <c r="W62" s="268"/>
      <c r="X62" s="1399"/>
      <c r="Y62" s="1408"/>
      <c r="Z62" s="1400"/>
      <c r="AA62" s="1063"/>
      <c r="AB62" s="267"/>
      <c r="AC62" s="259"/>
      <c r="AD62" s="608"/>
      <c r="AE62" s="267"/>
      <c r="AF62" s="268"/>
      <c r="AG62" s="269">
        <f t="shared" si="0"/>
        <v>0</v>
      </c>
      <c r="AH62" s="558" t="e">
        <f t="shared" si="1"/>
        <v>#N/A</v>
      </c>
      <c r="AI62" s="270" t="e">
        <f>IF(AH62&lt;=1,"Remota",VLOOKUP(AH62,[71]Listas!$C$6:$D$10,2,0))</f>
        <v>#N/A</v>
      </c>
      <c r="AJ62" s="558" t="e">
        <f t="shared" si="2"/>
        <v>#N/A</v>
      </c>
      <c r="AK62" s="270" t="e">
        <f>IF(AJ62&lt;=1,"Insignificante",HLOOKUP(AJ62,[71]Listas!$F$3:$J$4,2,0))</f>
        <v>#N/A</v>
      </c>
      <c r="AL62" s="273" t="e">
        <f t="shared" si="3"/>
        <v>#N/A</v>
      </c>
      <c r="AM62" s="270" t="e">
        <f>INDEX([71]Listas!$F$6:$J$10,MATCH(AI62,[71]Listas!$D$6:$D$10,0),MATCH(AK62,[71]Listas!$F$4:$J$4,0))</f>
        <v>#N/A</v>
      </c>
      <c r="AN62" s="259"/>
      <c r="AO62" s="259"/>
      <c r="AP62" s="610"/>
      <c r="AQ62" s="259"/>
      <c r="AR62" s="259" t="s">
        <v>2343</v>
      </c>
      <c r="AS62" s="608"/>
      <c r="AT62" s="259"/>
      <c r="AU62" s="259"/>
      <c r="AV62" s="559"/>
      <c r="AW62" s="559"/>
      <c r="AX62" s="608"/>
      <c r="AY62" s="556"/>
    </row>
    <row r="63" spans="1:51" s="557" customFormat="1" ht="103.5" hidden="1" customHeight="1">
      <c r="A63" s="608"/>
      <c r="B63" s="266"/>
      <c r="C63" s="1399"/>
      <c r="D63" s="1408"/>
      <c r="E63" s="1400"/>
      <c r="F63" s="266"/>
      <c r="G63" s="1399"/>
      <c r="H63" s="1408"/>
      <c r="I63" s="1400"/>
      <c r="J63" s="1380"/>
      <c r="K63" s="1380"/>
      <c r="L63" s="1380"/>
      <c r="M63" s="608"/>
      <c r="N63" s="608"/>
      <c r="O63" s="608"/>
      <c r="P63" s="608"/>
      <c r="Q63" s="266"/>
      <c r="R63" s="266"/>
      <c r="S63" s="268"/>
      <c r="T63" s="269" t="e">
        <f>VLOOKUP(Q63,[71]Listas!$D$6:$E$10,2,0)</f>
        <v>#N/A</v>
      </c>
      <c r="U63" s="269" t="e">
        <f>HLOOKUP(R63,[71]Listas!$F$4:$J$5,2,0)</f>
        <v>#N/A</v>
      </c>
      <c r="V63" s="270" t="e">
        <f>INDEX([71]Listas!$F$6:$J$10,MATCH(Q63,[71]Listas!$D$6:$D$10,0),MATCH(R63,[71]Listas!$F$4:$J$4,0))</f>
        <v>#N/A</v>
      </c>
      <c r="W63" s="268"/>
      <c r="X63" s="1399"/>
      <c r="Y63" s="1408"/>
      <c r="Z63" s="1400"/>
      <c r="AA63" s="1063"/>
      <c r="AB63" s="267"/>
      <c r="AC63" s="259"/>
      <c r="AD63" s="608"/>
      <c r="AE63" s="267"/>
      <c r="AF63" s="268"/>
      <c r="AG63" s="269">
        <f>IF(AD63&lt;=33,0,IF(AD63&gt;81,2,1))</f>
        <v>0</v>
      </c>
      <c r="AH63" s="558" t="e">
        <f>IF(OR(AE63="Probabilidad",AE63="Ambos"),T63-AG63,T63)</f>
        <v>#N/A</v>
      </c>
      <c r="AI63" s="270" t="e">
        <f>IF(AH63&lt;=1,"Remota",VLOOKUP(AH63,[71]Listas!$C$6:$D$10,2,0))</f>
        <v>#N/A</v>
      </c>
      <c r="AJ63" s="558" t="e">
        <f>IF(OR(AE63="Impacto",AE63="Ambos"),U63-AG63,U63)</f>
        <v>#N/A</v>
      </c>
      <c r="AK63" s="270" t="e">
        <f>IF(AJ63&lt;=1,"Insignificante",HLOOKUP(AJ63,[71]Listas!$F$3:$J$4,2,0))</f>
        <v>#N/A</v>
      </c>
      <c r="AL63" s="273" t="e">
        <f>AH63*AJ63</f>
        <v>#N/A</v>
      </c>
      <c r="AM63" s="270" t="e">
        <f>INDEX([71]Listas!$F$6:$J$10,MATCH(AI63,[71]Listas!$D$6:$D$10,0),MATCH(AK63,[71]Listas!$F$4:$J$4,0))</f>
        <v>#N/A</v>
      </c>
      <c r="AN63" s="259"/>
      <c r="AO63" s="259"/>
      <c r="AP63" s="610"/>
      <c r="AQ63" s="259"/>
      <c r="AR63" s="259" t="s">
        <v>2343</v>
      </c>
      <c r="AS63" s="608"/>
      <c r="AU63" s="259"/>
      <c r="AV63" s="559"/>
      <c r="AW63" s="559"/>
      <c r="AX63" s="608"/>
      <c r="AY63" s="556"/>
    </row>
    <row r="64" spans="1:51" s="557" customFormat="1" ht="103.5" hidden="1" customHeight="1">
      <c r="A64" s="608"/>
      <c r="B64" s="266"/>
      <c r="C64" s="1399"/>
      <c r="D64" s="1408"/>
      <c r="E64" s="1400"/>
      <c r="F64" s="267"/>
      <c r="G64" s="1399"/>
      <c r="H64" s="1408"/>
      <c r="I64" s="1400"/>
      <c r="J64" s="1380"/>
      <c r="K64" s="1380"/>
      <c r="L64" s="1380"/>
      <c r="M64" s="608"/>
      <c r="N64" s="608"/>
      <c r="O64" s="608"/>
      <c r="P64" s="608"/>
      <c r="Q64" s="266"/>
      <c r="R64" s="266"/>
      <c r="S64" s="268"/>
      <c r="T64" s="269" t="e">
        <f>VLOOKUP(Q64,[71]Listas!$D$6:$E$10,2,0)</f>
        <v>#N/A</v>
      </c>
      <c r="U64" s="269" t="e">
        <f>HLOOKUP(R64,[71]Listas!$F$4:$J$5,2,0)</f>
        <v>#N/A</v>
      </c>
      <c r="V64" s="270" t="e">
        <f>INDEX([71]Listas!$F$6:$J$10,MATCH(Q64,[71]Listas!$D$6:$D$10,0),MATCH(R64,[71]Listas!$F$4:$J$4,0))</f>
        <v>#N/A</v>
      </c>
      <c r="W64" s="268"/>
      <c r="X64" s="1399"/>
      <c r="Y64" s="1408"/>
      <c r="Z64" s="1400"/>
      <c r="AA64" s="1063"/>
      <c r="AB64" s="267"/>
      <c r="AC64" s="259"/>
      <c r="AD64" s="608"/>
      <c r="AE64" s="267"/>
      <c r="AF64" s="268"/>
      <c r="AG64" s="269">
        <f t="shared" ref="AG64:AG84" si="4">IF(AD64&lt;=33,0,IF(AD64&gt;81,2,1))</f>
        <v>0</v>
      </c>
      <c r="AH64" s="558" t="e">
        <f t="shared" ref="AH64:AH84" si="5">IF(OR(AE64="Probabilidad",AE64="Ambos"),T64-AG64,T64)</f>
        <v>#N/A</v>
      </c>
      <c r="AI64" s="270" t="e">
        <f>IF(AH64&lt;=1,"Remota",VLOOKUP(AH64,[71]Listas!$C$6:$D$10,2,0))</f>
        <v>#N/A</v>
      </c>
      <c r="AJ64" s="558" t="e">
        <f t="shared" ref="AJ64:AJ84" si="6">IF(OR(AE64="Impacto",AE64="Ambos"),U64-AG64,U64)</f>
        <v>#N/A</v>
      </c>
      <c r="AK64" s="270" t="e">
        <f>IF(AJ64&lt;=1,"Insignificante",HLOOKUP(AJ64,[71]Listas!$F$3:$J$4,2,0))</f>
        <v>#N/A</v>
      </c>
      <c r="AL64" s="273" t="e">
        <f t="shared" ref="AL64:AL84" si="7">AH64*AJ64</f>
        <v>#N/A</v>
      </c>
      <c r="AM64" s="270" t="e">
        <f>INDEX([71]Listas!$F$6:$J$10,MATCH(AI64,[71]Listas!$D$6:$D$10,0),MATCH(AK64,[71]Listas!$F$4:$J$4,0))</f>
        <v>#N/A</v>
      </c>
      <c r="AN64" s="259"/>
      <c r="AO64" s="259"/>
      <c r="AP64" s="610"/>
      <c r="AQ64" s="259"/>
      <c r="AR64" s="259" t="s">
        <v>2343</v>
      </c>
      <c r="AS64" s="608"/>
      <c r="AT64" s="259"/>
      <c r="AU64" s="259"/>
      <c r="AV64" s="559"/>
      <c r="AW64" s="559"/>
      <c r="AX64" s="608"/>
      <c r="AY64" s="556"/>
    </row>
    <row r="65" spans="1:51" s="557" customFormat="1" ht="103.5" hidden="1" customHeight="1">
      <c r="A65" s="608"/>
      <c r="B65" s="266"/>
      <c r="C65" s="1399"/>
      <c r="D65" s="1408"/>
      <c r="E65" s="1400"/>
      <c r="F65" s="267"/>
      <c r="G65" s="1399"/>
      <c r="H65" s="1408"/>
      <c r="I65" s="1400"/>
      <c r="J65" s="1380"/>
      <c r="K65" s="1380"/>
      <c r="L65" s="1380"/>
      <c r="M65" s="608"/>
      <c r="N65" s="608"/>
      <c r="O65" s="608"/>
      <c r="P65" s="608"/>
      <c r="Q65" s="266"/>
      <c r="R65" s="266"/>
      <c r="S65" s="268"/>
      <c r="T65" s="269" t="e">
        <f>VLOOKUP(Q65,[71]Listas!$D$6:$E$10,2,0)</f>
        <v>#N/A</v>
      </c>
      <c r="U65" s="269" t="e">
        <f>HLOOKUP(R65,[71]Listas!$F$4:$J$5,2,0)</f>
        <v>#N/A</v>
      </c>
      <c r="V65" s="270" t="e">
        <f>INDEX([71]Listas!$F$6:$J$10,MATCH(Q65,[71]Listas!$D$6:$D$10,0),MATCH(R65,[71]Listas!$F$4:$J$4,0))</f>
        <v>#N/A</v>
      </c>
      <c r="W65" s="268"/>
      <c r="X65" s="1399"/>
      <c r="Y65" s="1408"/>
      <c r="Z65" s="1400"/>
      <c r="AA65" s="1063"/>
      <c r="AB65" s="267"/>
      <c r="AC65" s="259"/>
      <c r="AD65" s="608"/>
      <c r="AE65" s="267"/>
      <c r="AF65" s="268"/>
      <c r="AG65" s="269">
        <f t="shared" si="4"/>
        <v>0</v>
      </c>
      <c r="AH65" s="558" t="e">
        <f t="shared" si="5"/>
        <v>#N/A</v>
      </c>
      <c r="AI65" s="270" t="e">
        <f>IF(AH65&lt;=1,"Remota",VLOOKUP(AH65,[71]Listas!$C$6:$D$10,2,0))</f>
        <v>#N/A</v>
      </c>
      <c r="AJ65" s="558" t="e">
        <f t="shared" si="6"/>
        <v>#N/A</v>
      </c>
      <c r="AK65" s="270" t="e">
        <f>IF(AJ65&lt;=1,"Insignificante",HLOOKUP(AJ65,[71]Listas!$F$3:$J$4,2,0))</f>
        <v>#N/A</v>
      </c>
      <c r="AL65" s="273" t="e">
        <f t="shared" si="7"/>
        <v>#N/A</v>
      </c>
      <c r="AM65" s="270" t="e">
        <f>INDEX([71]Listas!$F$6:$J$10,MATCH(AI65,[71]Listas!$D$6:$D$10,0),MATCH(AK65,[71]Listas!$F$4:$J$4,0))</f>
        <v>#N/A</v>
      </c>
      <c r="AN65" s="259"/>
      <c r="AO65" s="259"/>
      <c r="AP65" s="610"/>
      <c r="AQ65" s="259"/>
      <c r="AR65" s="259" t="s">
        <v>2343</v>
      </c>
      <c r="AS65" s="608"/>
      <c r="AT65" s="259"/>
      <c r="AU65" s="259"/>
      <c r="AV65" s="559"/>
      <c r="AW65" s="559"/>
      <c r="AX65" s="608"/>
      <c r="AY65" s="556"/>
    </row>
    <row r="66" spans="1:51" s="557" customFormat="1" ht="103.5" hidden="1" customHeight="1">
      <c r="A66" s="608"/>
      <c r="B66" s="266"/>
      <c r="C66" s="1399"/>
      <c r="D66" s="1408"/>
      <c r="E66" s="1400"/>
      <c r="F66" s="267"/>
      <c r="G66" s="1399"/>
      <c r="H66" s="1408"/>
      <c r="I66" s="1400"/>
      <c r="J66" s="1380"/>
      <c r="K66" s="1380"/>
      <c r="L66" s="1380"/>
      <c r="M66" s="608"/>
      <c r="N66" s="608"/>
      <c r="O66" s="608"/>
      <c r="P66" s="608"/>
      <c r="Q66" s="266"/>
      <c r="R66" s="266"/>
      <c r="S66" s="268"/>
      <c r="T66" s="269" t="e">
        <f>VLOOKUP(Q66,[71]Listas!$D$6:$E$10,2,0)</f>
        <v>#N/A</v>
      </c>
      <c r="U66" s="269" t="e">
        <f>HLOOKUP(R66,[71]Listas!$F$4:$J$5,2,0)</f>
        <v>#N/A</v>
      </c>
      <c r="V66" s="270" t="e">
        <f>INDEX([71]Listas!$F$6:$J$10,MATCH(Q66,[71]Listas!$D$6:$D$10,0),MATCH(R66,[71]Listas!$F$4:$J$4,0))</f>
        <v>#N/A</v>
      </c>
      <c r="W66" s="268"/>
      <c r="X66" s="1399"/>
      <c r="Y66" s="1408"/>
      <c r="Z66" s="1400"/>
      <c r="AA66" s="1063"/>
      <c r="AB66" s="267"/>
      <c r="AC66" s="259"/>
      <c r="AD66" s="608"/>
      <c r="AE66" s="267"/>
      <c r="AF66" s="268"/>
      <c r="AG66" s="269">
        <f t="shared" si="4"/>
        <v>0</v>
      </c>
      <c r="AH66" s="558" t="e">
        <f t="shared" si="5"/>
        <v>#N/A</v>
      </c>
      <c r="AI66" s="270" t="e">
        <f>IF(AH66&lt;=1,"Remota",VLOOKUP(AH66,[71]Listas!$C$6:$D$10,2,0))</f>
        <v>#N/A</v>
      </c>
      <c r="AJ66" s="558" t="e">
        <f t="shared" si="6"/>
        <v>#N/A</v>
      </c>
      <c r="AK66" s="270" t="e">
        <f>IF(AJ66&lt;=1,"Insignificante",HLOOKUP(AJ66,[71]Listas!$F$3:$J$4,2,0))</f>
        <v>#N/A</v>
      </c>
      <c r="AL66" s="273" t="e">
        <f t="shared" si="7"/>
        <v>#N/A</v>
      </c>
      <c r="AM66" s="270" t="e">
        <f>INDEX([71]Listas!$F$6:$J$10,MATCH(AI66,[71]Listas!$D$6:$D$10,0),MATCH(AK66,[71]Listas!$F$4:$J$4,0))</f>
        <v>#N/A</v>
      </c>
      <c r="AN66" s="259"/>
      <c r="AO66" s="259"/>
      <c r="AP66" s="610"/>
      <c r="AQ66" s="259"/>
      <c r="AR66" s="259" t="s">
        <v>2343</v>
      </c>
      <c r="AS66" s="608"/>
      <c r="AT66" s="259"/>
      <c r="AU66" s="259"/>
      <c r="AV66" s="559"/>
      <c r="AW66" s="559"/>
      <c r="AX66" s="608"/>
      <c r="AY66" s="556"/>
    </row>
    <row r="67" spans="1:51" s="557" customFormat="1" ht="103.5" hidden="1" customHeight="1">
      <c r="A67" s="608"/>
      <c r="B67" s="266"/>
      <c r="C67" s="1399"/>
      <c r="D67" s="1408"/>
      <c r="E67" s="1400"/>
      <c r="F67" s="267"/>
      <c r="G67" s="1399"/>
      <c r="H67" s="1408"/>
      <c r="I67" s="1400"/>
      <c r="J67" s="1380"/>
      <c r="K67" s="1380"/>
      <c r="L67" s="1380"/>
      <c r="M67" s="608"/>
      <c r="N67" s="608"/>
      <c r="O67" s="608"/>
      <c r="P67" s="608"/>
      <c r="Q67" s="266"/>
      <c r="R67" s="266"/>
      <c r="S67" s="268"/>
      <c r="T67" s="269" t="e">
        <f>VLOOKUP(Q67,[71]Listas!$D$6:$E$10,2,0)</f>
        <v>#N/A</v>
      </c>
      <c r="U67" s="269" t="e">
        <f>HLOOKUP(R67,[71]Listas!$F$4:$J$5,2,0)</f>
        <v>#N/A</v>
      </c>
      <c r="V67" s="270" t="e">
        <f>INDEX([71]Listas!$F$6:$J$10,MATCH(Q67,[71]Listas!$D$6:$D$10,0),MATCH(R67,[71]Listas!$F$4:$J$4,0))</f>
        <v>#N/A</v>
      </c>
      <c r="W67" s="268"/>
      <c r="X67" s="1399"/>
      <c r="Y67" s="1408"/>
      <c r="Z67" s="1400"/>
      <c r="AA67" s="1063"/>
      <c r="AB67" s="267"/>
      <c r="AC67" s="259"/>
      <c r="AD67" s="608"/>
      <c r="AE67" s="267"/>
      <c r="AF67" s="268"/>
      <c r="AG67" s="269">
        <f t="shared" si="4"/>
        <v>0</v>
      </c>
      <c r="AH67" s="558" t="e">
        <f t="shared" si="5"/>
        <v>#N/A</v>
      </c>
      <c r="AI67" s="270" t="e">
        <f>IF(AH67&lt;=1,"Remota",VLOOKUP(AH67,[71]Listas!$C$6:$D$10,2,0))</f>
        <v>#N/A</v>
      </c>
      <c r="AJ67" s="558" t="e">
        <f t="shared" si="6"/>
        <v>#N/A</v>
      </c>
      <c r="AK67" s="270" t="e">
        <f>IF(AJ67&lt;=1,"Insignificante",HLOOKUP(AJ67,[71]Listas!$F$3:$J$4,2,0))</f>
        <v>#N/A</v>
      </c>
      <c r="AL67" s="273" t="e">
        <f t="shared" si="7"/>
        <v>#N/A</v>
      </c>
      <c r="AM67" s="270" t="e">
        <f>INDEX([71]Listas!$F$6:$J$10,MATCH(AI67,[71]Listas!$D$6:$D$10,0),MATCH(AK67,[71]Listas!$F$4:$J$4,0))</f>
        <v>#N/A</v>
      </c>
      <c r="AN67" s="259"/>
      <c r="AO67" s="259"/>
      <c r="AP67" s="610"/>
      <c r="AQ67" s="259"/>
      <c r="AR67" s="259" t="s">
        <v>2343</v>
      </c>
      <c r="AS67" s="608"/>
      <c r="AT67" s="259"/>
      <c r="AU67" s="259"/>
      <c r="AV67" s="559"/>
      <c r="AW67" s="559"/>
      <c r="AX67" s="608"/>
      <c r="AY67" s="556"/>
    </row>
    <row r="68" spans="1:51" s="557" customFormat="1" ht="103.5" hidden="1" customHeight="1">
      <c r="A68" s="608"/>
      <c r="B68" s="266"/>
      <c r="C68" s="1399"/>
      <c r="D68" s="1408"/>
      <c r="E68" s="1400"/>
      <c r="F68" s="267"/>
      <c r="G68" s="1399"/>
      <c r="H68" s="1408"/>
      <c r="I68" s="1400"/>
      <c r="J68" s="1380"/>
      <c r="K68" s="1380"/>
      <c r="L68" s="1380"/>
      <c r="M68" s="608"/>
      <c r="N68" s="608"/>
      <c r="O68" s="608"/>
      <c r="P68" s="608"/>
      <c r="Q68" s="266"/>
      <c r="R68" s="266"/>
      <c r="S68" s="268"/>
      <c r="T68" s="269" t="e">
        <f>VLOOKUP(Q68,[71]Listas!$D$6:$E$10,2,0)</f>
        <v>#N/A</v>
      </c>
      <c r="U68" s="269" t="e">
        <f>HLOOKUP(R68,[71]Listas!$F$4:$J$5,2,0)</f>
        <v>#N/A</v>
      </c>
      <c r="V68" s="270" t="e">
        <f>INDEX([71]Listas!$F$6:$J$10,MATCH(Q68,[71]Listas!$D$6:$D$10,0),MATCH(R68,[71]Listas!$F$4:$J$4,0))</f>
        <v>#N/A</v>
      </c>
      <c r="W68" s="268"/>
      <c r="X68" s="1399"/>
      <c r="Y68" s="1408"/>
      <c r="Z68" s="1400"/>
      <c r="AA68" s="1063"/>
      <c r="AB68" s="267"/>
      <c r="AC68" s="259"/>
      <c r="AD68" s="608"/>
      <c r="AE68" s="267"/>
      <c r="AF68" s="268"/>
      <c r="AG68" s="269">
        <f t="shared" si="4"/>
        <v>0</v>
      </c>
      <c r="AH68" s="558" t="e">
        <f t="shared" si="5"/>
        <v>#N/A</v>
      </c>
      <c r="AI68" s="270" t="e">
        <f>IF(AH68&lt;=1,"Remota",VLOOKUP(AH68,[71]Listas!$C$6:$D$10,2,0))</f>
        <v>#N/A</v>
      </c>
      <c r="AJ68" s="558" t="e">
        <f t="shared" si="6"/>
        <v>#N/A</v>
      </c>
      <c r="AK68" s="270" t="e">
        <f>IF(AJ68&lt;=1,"Insignificante",HLOOKUP(AJ68,[71]Listas!$F$3:$J$4,2,0))</f>
        <v>#N/A</v>
      </c>
      <c r="AL68" s="273" t="e">
        <f t="shared" si="7"/>
        <v>#N/A</v>
      </c>
      <c r="AM68" s="270" t="e">
        <f>INDEX([71]Listas!$F$6:$J$10,MATCH(AI68,[71]Listas!$D$6:$D$10,0),MATCH(AK68,[71]Listas!$F$4:$J$4,0))</f>
        <v>#N/A</v>
      </c>
      <c r="AN68" s="259"/>
      <c r="AO68" s="259"/>
      <c r="AP68" s="610"/>
      <c r="AQ68" s="259"/>
      <c r="AR68" s="259" t="s">
        <v>2343</v>
      </c>
      <c r="AS68" s="608"/>
      <c r="AT68" s="259"/>
      <c r="AU68" s="259"/>
      <c r="AV68" s="559"/>
      <c r="AW68" s="559"/>
      <c r="AX68" s="608"/>
      <c r="AY68" s="556"/>
    </row>
    <row r="69" spans="1:51" s="557" customFormat="1" ht="103.5" hidden="1" customHeight="1">
      <c r="A69" s="608"/>
      <c r="B69" s="266"/>
      <c r="C69" s="1399"/>
      <c r="D69" s="1408"/>
      <c r="E69" s="1400"/>
      <c r="F69" s="267"/>
      <c r="G69" s="1399"/>
      <c r="H69" s="1408"/>
      <c r="I69" s="1400"/>
      <c r="J69" s="1380"/>
      <c r="K69" s="1380"/>
      <c r="L69" s="1380"/>
      <c r="M69" s="608"/>
      <c r="N69" s="608"/>
      <c r="O69" s="608"/>
      <c r="P69" s="608"/>
      <c r="Q69" s="266"/>
      <c r="R69" s="266"/>
      <c r="S69" s="268"/>
      <c r="T69" s="269" t="e">
        <f>VLOOKUP(Q69,[71]Listas!$D$6:$E$10,2,0)</f>
        <v>#N/A</v>
      </c>
      <c r="U69" s="269" t="e">
        <f>HLOOKUP(R69,[71]Listas!$F$4:$J$5,2,0)</f>
        <v>#N/A</v>
      </c>
      <c r="V69" s="270" t="e">
        <f>INDEX([71]Listas!$F$6:$J$10,MATCH(Q69,[71]Listas!$D$6:$D$10,0),MATCH(R69,[71]Listas!$F$4:$J$4,0))</f>
        <v>#N/A</v>
      </c>
      <c r="W69" s="268"/>
      <c r="X69" s="1399"/>
      <c r="Y69" s="1408"/>
      <c r="Z69" s="1400"/>
      <c r="AA69" s="1063"/>
      <c r="AB69" s="267"/>
      <c r="AC69" s="259"/>
      <c r="AD69" s="608"/>
      <c r="AE69" s="267"/>
      <c r="AF69" s="268"/>
      <c r="AG69" s="269">
        <f t="shared" si="4"/>
        <v>0</v>
      </c>
      <c r="AH69" s="558" t="e">
        <f t="shared" si="5"/>
        <v>#N/A</v>
      </c>
      <c r="AI69" s="270" t="e">
        <f>IF(AH69&lt;=1,"Remota",VLOOKUP(AH69,[71]Listas!$C$6:$D$10,2,0))</f>
        <v>#N/A</v>
      </c>
      <c r="AJ69" s="558" t="e">
        <f t="shared" si="6"/>
        <v>#N/A</v>
      </c>
      <c r="AK69" s="270" t="e">
        <f>IF(AJ69&lt;=1,"Insignificante",HLOOKUP(AJ69,[71]Listas!$F$3:$J$4,2,0))</f>
        <v>#N/A</v>
      </c>
      <c r="AL69" s="273" t="e">
        <f t="shared" si="7"/>
        <v>#N/A</v>
      </c>
      <c r="AM69" s="270" t="e">
        <f>INDEX([71]Listas!$F$6:$J$10,MATCH(AI69,[71]Listas!$D$6:$D$10,0),MATCH(AK69,[71]Listas!$F$4:$J$4,0))</f>
        <v>#N/A</v>
      </c>
      <c r="AN69" s="259"/>
      <c r="AO69" s="259"/>
      <c r="AP69" s="610"/>
      <c r="AQ69" s="259"/>
      <c r="AR69" s="259" t="s">
        <v>2343</v>
      </c>
      <c r="AS69" s="608"/>
      <c r="AT69" s="259"/>
      <c r="AU69" s="259"/>
      <c r="AV69" s="559"/>
      <c r="AW69" s="559"/>
      <c r="AX69" s="608"/>
      <c r="AY69" s="556"/>
    </row>
    <row r="70" spans="1:51" s="557" customFormat="1" ht="103.5" hidden="1" customHeight="1">
      <c r="A70" s="608"/>
      <c r="B70" s="266"/>
      <c r="C70" s="1399"/>
      <c r="D70" s="1408"/>
      <c r="E70" s="1400"/>
      <c r="F70" s="267"/>
      <c r="G70" s="1399"/>
      <c r="H70" s="1408"/>
      <c r="I70" s="1400"/>
      <c r="J70" s="1380"/>
      <c r="K70" s="1380"/>
      <c r="L70" s="1380"/>
      <c r="M70" s="608"/>
      <c r="N70" s="608"/>
      <c r="O70" s="608"/>
      <c r="P70" s="608"/>
      <c r="Q70" s="266"/>
      <c r="R70" s="266"/>
      <c r="S70" s="268"/>
      <c r="T70" s="269" t="e">
        <f>VLOOKUP(Q70,[71]Listas!$D$6:$E$10,2,0)</f>
        <v>#N/A</v>
      </c>
      <c r="U70" s="269" t="e">
        <f>HLOOKUP(R70,[71]Listas!$F$4:$J$5,2,0)</f>
        <v>#N/A</v>
      </c>
      <c r="V70" s="270" t="e">
        <f>INDEX([71]Listas!$F$6:$J$10,MATCH(Q70,[71]Listas!$D$6:$D$10,0),MATCH(R70,[71]Listas!$F$4:$J$4,0))</f>
        <v>#N/A</v>
      </c>
      <c r="W70" s="268"/>
      <c r="X70" s="1399"/>
      <c r="Y70" s="1408"/>
      <c r="Z70" s="1400"/>
      <c r="AA70" s="1063"/>
      <c r="AB70" s="267"/>
      <c r="AC70" s="259"/>
      <c r="AD70" s="608"/>
      <c r="AE70" s="267"/>
      <c r="AF70" s="268"/>
      <c r="AG70" s="269">
        <f t="shared" si="4"/>
        <v>0</v>
      </c>
      <c r="AH70" s="558" t="e">
        <f t="shared" si="5"/>
        <v>#N/A</v>
      </c>
      <c r="AI70" s="270" t="e">
        <f>IF(AH70&lt;=1,"Remota",VLOOKUP(AH70,[71]Listas!$C$6:$D$10,2,0))</f>
        <v>#N/A</v>
      </c>
      <c r="AJ70" s="558" t="e">
        <f t="shared" si="6"/>
        <v>#N/A</v>
      </c>
      <c r="AK70" s="270" t="e">
        <f>IF(AJ70&lt;=1,"Insignificante",HLOOKUP(AJ70,[71]Listas!$F$3:$J$4,2,0))</f>
        <v>#N/A</v>
      </c>
      <c r="AL70" s="273" t="e">
        <f t="shared" si="7"/>
        <v>#N/A</v>
      </c>
      <c r="AM70" s="270" t="e">
        <f>INDEX([71]Listas!$F$6:$J$10,MATCH(AI70,[71]Listas!$D$6:$D$10,0),MATCH(AK70,[71]Listas!$F$4:$J$4,0))</f>
        <v>#N/A</v>
      </c>
      <c r="AN70" s="259"/>
      <c r="AO70" s="259"/>
      <c r="AP70" s="610"/>
      <c r="AQ70" s="259"/>
      <c r="AR70" s="259" t="s">
        <v>2343</v>
      </c>
      <c r="AS70" s="608"/>
      <c r="AT70" s="259"/>
      <c r="AU70" s="259"/>
      <c r="AV70" s="559"/>
      <c r="AW70" s="559"/>
      <c r="AX70" s="608"/>
      <c r="AY70" s="556"/>
    </row>
    <row r="71" spans="1:51" s="557" customFormat="1" ht="103.5" hidden="1" customHeight="1">
      <c r="A71" s="608"/>
      <c r="B71" s="266"/>
      <c r="C71" s="1399"/>
      <c r="D71" s="1408"/>
      <c r="E71" s="1400"/>
      <c r="F71" s="267"/>
      <c r="G71" s="1399"/>
      <c r="H71" s="1408"/>
      <c r="I71" s="1400"/>
      <c r="J71" s="1380"/>
      <c r="K71" s="1380"/>
      <c r="L71" s="1380"/>
      <c r="M71" s="608"/>
      <c r="N71" s="608"/>
      <c r="O71" s="608"/>
      <c r="P71" s="608"/>
      <c r="Q71" s="266"/>
      <c r="R71" s="266"/>
      <c r="S71" s="268"/>
      <c r="T71" s="269" t="e">
        <f>VLOOKUP(Q71,[71]Listas!$D$6:$E$10,2,0)</f>
        <v>#N/A</v>
      </c>
      <c r="U71" s="269" t="e">
        <f>HLOOKUP(R71,[71]Listas!$F$4:$J$5,2,0)</f>
        <v>#N/A</v>
      </c>
      <c r="V71" s="270" t="e">
        <f>INDEX([71]Listas!$F$6:$J$10,MATCH(Q71,[71]Listas!$D$6:$D$10,0),MATCH(R71,[71]Listas!$F$4:$J$4,0))</f>
        <v>#N/A</v>
      </c>
      <c r="W71" s="268"/>
      <c r="X71" s="1399"/>
      <c r="Y71" s="1408"/>
      <c r="Z71" s="1400"/>
      <c r="AA71" s="1063"/>
      <c r="AB71" s="267"/>
      <c r="AC71" s="259"/>
      <c r="AD71" s="608"/>
      <c r="AE71" s="267"/>
      <c r="AF71" s="268"/>
      <c r="AG71" s="269">
        <f t="shared" si="4"/>
        <v>0</v>
      </c>
      <c r="AH71" s="558" t="e">
        <f t="shared" si="5"/>
        <v>#N/A</v>
      </c>
      <c r="AI71" s="270" t="e">
        <f>IF(AH71&lt;=1,"Remota",VLOOKUP(AH71,[71]Listas!$C$6:$D$10,2,0))</f>
        <v>#N/A</v>
      </c>
      <c r="AJ71" s="558" t="e">
        <f t="shared" si="6"/>
        <v>#N/A</v>
      </c>
      <c r="AK71" s="270" t="e">
        <f>IF(AJ71&lt;=1,"Insignificante",HLOOKUP(AJ71,[71]Listas!$F$3:$J$4,2,0))</f>
        <v>#N/A</v>
      </c>
      <c r="AL71" s="273" t="e">
        <f t="shared" si="7"/>
        <v>#N/A</v>
      </c>
      <c r="AM71" s="270" t="e">
        <f>INDEX([71]Listas!$F$6:$J$10,MATCH(AI71,[71]Listas!$D$6:$D$10,0),MATCH(AK71,[71]Listas!$F$4:$J$4,0))</f>
        <v>#N/A</v>
      </c>
      <c r="AN71" s="259"/>
      <c r="AO71" s="259"/>
      <c r="AP71" s="610"/>
      <c r="AQ71" s="259"/>
      <c r="AR71" s="259" t="s">
        <v>2343</v>
      </c>
      <c r="AS71" s="608"/>
      <c r="AT71" s="259"/>
      <c r="AU71" s="259"/>
      <c r="AV71" s="559"/>
      <c r="AW71" s="559"/>
      <c r="AX71" s="608"/>
      <c r="AY71" s="556"/>
    </row>
    <row r="72" spans="1:51" s="557" customFormat="1" ht="103.5" hidden="1" customHeight="1">
      <c r="A72" s="608"/>
      <c r="B72" s="266"/>
      <c r="C72" s="1399"/>
      <c r="D72" s="1408"/>
      <c r="E72" s="1400"/>
      <c r="F72" s="267"/>
      <c r="G72" s="1399"/>
      <c r="H72" s="1408"/>
      <c r="I72" s="1400"/>
      <c r="J72" s="1380"/>
      <c r="K72" s="1380"/>
      <c r="L72" s="1380"/>
      <c r="M72" s="608"/>
      <c r="N72" s="608"/>
      <c r="O72" s="608"/>
      <c r="P72" s="608"/>
      <c r="Q72" s="266"/>
      <c r="R72" s="266"/>
      <c r="S72" s="268"/>
      <c r="T72" s="269" t="e">
        <f>VLOOKUP(Q72,[71]Listas!$D$6:$E$10,2,0)</f>
        <v>#N/A</v>
      </c>
      <c r="U72" s="269" t="e">
        <f>HLOOKUP(R72,[71]Listas!$F$4:$J$5,2,0)</f>
        <v>#N/A</v>
      </c>
      <c r="V72" s="270" t="e">
        <f>INDEX([71]Listas!$F$6:$J$10,MATCH(Q72,[71]Listas!$D$6:$D$10,0),MATCH(R72,[71]Listas!$F$4:$J$4,0))</f>
        <v>#N/A</v>
      </c>
      <c r="W72" s="268"/>
      <c r="X72" s="1399"/>
      <c r="Y72" s="1408"/>
      <c r="Z72" s="1400"/>
      <c r="AA72" s="1063"/>
      <c r="AB72" s="267"/>
      <c r="AC72" s="259"/>
      <c r="AD72" s="608"/>
      <c r="AE72" s="267"/>
      <c r="AF72" s="268"/>
      <c r="AG72" s="269">
        <f t="shared" si="4"/>
        <v>0</v>
      </c>
      <c r="AH72" s="558" t="e">
        <f t="shared" si="5"/>
        <v>#N/A</v>
      </c>
      <c r="AI72" s="270" t="e">
        <f>IF(AH72&lt;=1,"Remota",VLOOKUP(AH72,[71]Listas!$C$6:$D$10,2,0))</f>
        <v>#N/A</v>
      </c>
      <c r="AJ72" s="558" t="e">
        <f t="shared" si="6"/>
        <v>#N/A</v>
      </c>
      <c r="AK72" s="270" t="e">
        <f>IF(AJ72&lt;=1,"Insignificante",HLOOKUP(AJ72,[71]Listas!$F$3:$J$4,2,0))</f>
        <v>#N/A</v>
      </c>
      <c r="AL72" s="273" t="e">
        <f t="shared" si="7"/>
        <v>#N/A</v>
      </c>
      <c r="AM72" s="270" t="e">
        <f>INDEX([71]Listas!$F$6:$J$10,MATCH(AI72,[71]Listas!$D$6:$D$10,0),MATCH(AK72,[71]Listas!$F$4:$J$4,0))</f>
        <v>#N/A</v>
      </c>
      <c r="AN72" s="259"/>
      <c r="AO72" s="259"/>
      <c r="AP72" s="610"/>
      <c r="AQ72" s="259"/>
      <c r="AR72" s="259" t="s">
        <v>2343</v>
      </c>
      <c r="AS72" s="608"/>
      <c r="AT72" s="259"/>
      <c r="AU72" s="259"/>
      <c r="AV72" s="559"/>
      <c r="AW72" s="559"/>
      <c r="AX72" s="608"/>
      <c r="AY72" s="556"/>
    </row>
    <row r="73" spans="1:51" s="557" customFormat="1" ht="103.5" hidden="1" customHeight="1">
      <c r="A73" s="608"/>
      <c r="B73" s="266"/>
      <c r="C73" s="1399"/>
      <c r="D73" s="1408"/>
      <c r="E73" s="1400"/>
      <c r="F73" s="267"/>
      <c r="G73" s="1399"/>
      <c r="H73" s="1408"/>
      <c r="I73" s="1400"/>
      <c r="J73" s="1380"/>
      <c r="K73" s="1380"/>
      <c r="L73" s="1380"/>
      <c r="M73" s="608"/>
      <c r="N73" s="608"/>
      <c r="O73" s="608"/>
      <c r="P73" s="608"/>
      <c r="Q73" s="266"/>
      <c r="R73" s="266"/>
      <c r="S73" s="268"/>
      <c r="T73" s="269" t="e">
        <f>VLOOKUP(Q73,[71]Listas!$D$6:$E$10,2,0)</f>
        <v>#N/A</v>
      </c>
      <c r="U73" s="269" t="e">
        <f>HLOOKUP(R73,[71]Listas!$F$4:$J$5,2,0)</f>
        <v>#N/A</v>
      </c>
      <c r="V73" s="270" t="e">
        <f>INDEX([71]Listas!$F$6:$J$10,MATCH(Q73,[71]Listas!$D$6:$D$10,0),MATCH(R73,[71]Listas!$F$4:$J$4,0))</f>
        <v>#N/A</v>
      </c>
      <c r="W73" s="268"/>
      <c r="X73" s="1399"/>
      <c r="Y73" s="1408"/>
      <c r="Z73" s="1400"/>
      <c r="AA73" s="1063"/>
      <c r="AB73" s="267"/>
      <c r="AC73" s="259"/>
      <c r="AD73" s="608"/>
      <c r="AE73" s="267"/>
      <c r="AF73" s="268"/>
      <c r="AG73" s="269">
        <f t="shared" si="4"/>
        <v>0</v>
      </c>
      <c r="AH73" s="558" t="e">
        <f t="shared" si="5"/>
        <v>#N/A</v>
      </c>
      <c r="AI73" s="270" t="e">
        <f>IF(AH73&lt;=1,"Remota",VLOOKUP(AH73,[71]Listas!$C$6:$D$10,2,0))</f>
        <v>#N/A</v>
      </c>
      <c r="AJ73" s="558" t="e">
        <f t="shared" si="6"/>
        <v>#N/A</v>
      </c>
      <c r="AK73" s="270" t="e">
        <f>IF(AJ73&lt;=1,"Insignificante",HLOOKUP(AJ73,[71]Listas!$F$3:$J$4,2,0))</f>
        <v>#N/A</v>
      </c>
      <c r="AL73" s="273" t="e">
        <f t="shared" si="7"/>
        <v>#N/A</v>
      </c>
      <c r="AM73" s="270" t="e">
        <f>INDEX([71]Listas!$F$6:$J$10,MATCH(AI73,[71]Listas!$D$6:$D$10,0),MATCH(AK73,[71]Listas!$F$4:$J$4,0))</f>
        <v>#N/A</v>
      </c>
      <c r="AN73" s="259"/>
      <c r="AO73" s="259"/>
      <c r="AP73" s="610"/>
      <c r="AQ73" s="259"/>
      <c r="AR73" s="259" t="s">
        <v>2343</v>
      </c>
      <c r="AS73" s="608"/>
      <c r="AT73" s="259"/>
      <c r="AU73" s="259"/>
      <c r="AV73" s="559"/>
      <c r="AW73" s="559"/>
      <c r="AX73" s="608"/>
      <c r="AY73" s="556"/>
    </row>
    <row r="74" spans="1:51" s="557" customFormat="1" ht="103.5" hidden="1" customHeight="1">
      <c r="A74" s="608"/>
      <c r="B74" s="266"/>
      <c r="C74" s="1399"/>
      <c r="D74" s="1408"/>
      <c r="E74" s="1400"/>
      <c r="F74" s="267"/>
      <c r="G74" s="1399"/>
      <c r="H74" s="1408"/>
      <c r="I74" s="1400"/>
      <c r="J74" s="1380"/>
      <c r="K74" s="1380"/>
      <c r="L74" s="1380"/>
      <c r="M74" s="608"/>
      <c r="N74" s="608"/>
      <c r="O74" s="608"/>
      <c r="P74" s="608"/>
      <c r="Q74" s="266"/>
      <c r="R74" s="266"/>
      <c r="S74" s="268"/>
      <c r="T74" s="269" t="e">
        <f>VLOOKUP(Q74,[71]Listas!$D$6:$E$10,2,0)</f>
        <v>#N/A</v>
      </c>
      <c r="U74" s="269" t="e">
        <f>HLOOKUP(R74,[71]Listas!$F$4:$J$5,2,0)</f>
        <v>#N/A</v>
      </c>
      <c r="V74" s="270" t="e">
        <f>INDEX([71]Listas!$F$6:$J$10,MATCH(Q74,[71]Listas!$D$6:$D$10,0),MATCH(R74,[71]Listas!$F$4:$J$4,0))</f>
        <v>#N/A</v>
      </c>
      <c r="W74" s="268"/>
      <c r="X74" s="1399"/>
      <c r="Y74" s="1408"/>
      <c r="Z74" s="1400"/>
      <c r="AA74" s="1063"/>
      <c r="AB74" s="267"/>
      <c r="AC74" s="259"/>
      <c r="AD74" s="608"/>
      <c r="AE74" s="267"/>
      <c r="AF74" s="268"/>
      <c r="AG74" s="269">
        <f t="shared" si="4"/>
        <v>0</v>
      </c>
      <c r="AH74" s="558" t="e">
        <f t="shared" si="5"/>
        <v>#N/A</v>
      </c>
      <c r="AI74" s="270" t="e">
        <f>IF(AH74&lt;=1,"Remota",VLOOKUP(AH74,[71]Listas!$C$6:$D$10,2,0))</f>
        <v>#N/A</v>
      </c>
      <c r="AJ74" s="558" t="e">
        <f t="shared" si="6"/>
        <v>#N/A</v>
      </c>
      <c r="AK74" s="270" t="e">
        <f>IF(AJ74&lt;=1,"Insignificante",HLOOKUP(AJ74,[71]Listas!$F$3:$J$4,2,0))</f>
        <v>#N/A</v>
      </c>
      <c r="AL74" s="273" t="e">
        <f t="shared" si="7"/>
        <v>#N/A</v>
      </c>
      <c r="AM74" s="270" t="e">
        <f>INDEX([71]Listas!$F$6:$J$10,MATCH(AI74,[71]Listas!$D$6:$D$10,0),MATCH(AK74,[71]Listas!$F$4:$J$4,0))</f>
        <v>#N/A</v>
      </c>
      <c r="AN74" s="259"/>
      <c r="AO74" s="259"/>
      <c r="AP74" s="610"/>
      <c r="AQ74" s="259"/>
      <c r="AR74" s="259" t="s">
        <v>2343</v>
      </c>
      <c r="AS74" s="608"/>
      <c r="AT74" s="259"/>
      <c r="AU74" s="259"/>
      <c r="AV74" s="559"/>
      <c r="AW74" s="559"/>
      <c r="AX74" s="608"/>
      <c r="AY74" s="556"/>
    </row>
    <row r="75" spans="1:51" s="557" customFormat="1" ht="103.5" hidden="1" customHeight="1">
      <c r="A75" s="608"/>
      <c r="B75" s="266"/>
      <c r="C75" s="1399"/>
      <c r="D75" s="1408"/>
      <c r="E75" s="1400"/>
      <c r="F75" s="267"/>
      <c r="G75" s="1399"/>
      <c r="H75" s="1408"/>
      <c r="I75" s="1400"/>
      <c r="J75" s="1380"/>
      <c r="K75" s="1380"/>
      <c r="L75" s="1380"/>
      <c r="M75" s="608"/>
      <c r="N75" s="608"/>
      <c r="O75" s="608"/>
      <c r="P75" s="608"/>
      <c r="Q75" s="266"/>
      <c r="R75" s="266"/>
      <c r="S75" s="268"/>
      <c r="T75" s="269" t="e">
        <f>VLOOKUP(Q75,[71]Listas!$D$6:$E$10,2,0)</f>
        <v>#N/A</v>
      </c>
      <c r="U75" s="269" t="e">
        <f>HLOOKUP(R75,[71]Listas!$F$4:$J$5,2,0)</f>
        <v>#N/A</v>
      </c>
      <c r="V75" s="270" t="e">
        <f>INDEX([71]Listas!$F$6:$J$10,MATCH(Q75,[71]Listas!$D$6:$D$10,0),MATCH(R75,[71]Listas!$F$4:$J$4,0))</f>
        <v>#N/A</v>
      </c>
      <c r="W75" s="268"/>
      <c r="X75" s="1399"/>
      <c r="Y75" s="1408"/>
      <c r="Z75" s="1400"/>
      <c r="AA75" s="1063"/>
      <c r="AB75" s="267"/>
      <c r="AC75" s="259"/>
      <c r="AD75" s="608"/>
      <c r="AE75" s="267"/>
      <c r="AF75" s="268"/>
      <c r="AG75" s="269">
        <f t="shared" si="4"/>
        <v>0</v>
      </c>
      <c r="AH75" s="558" t="e">
        <f t="shared" si="5"/>
        <v>#N/A</v>
      </c>
      <c r="AI75" s="270" t="e">
        <f>IF(AH75&lt;=1,"Remota",VLOOKUP(AH75,[71]Listas!$C$6:$D$10,2,0))</f>
        <v>#N/A</v>
      </c>
      <c r="AJ75" s="558" t="e">
        <f t="shared" si="6"/>
        <v>#N/A</v>
      </c>
      <c r="AK75" s="270" t="e">
        <f>IF(AJ75&lt;=1,"Insignificante",HLOOKUP(AJ75,[71]Listas!$F$3:$J$4,2,0))</f>
        <v>#N/A</v>
      </c>
      <c r="AL75" s="273" t="e">
        <f t="shared" si="7"/>
        <v>#N/A</v>
      </c>
      <c r="AM75" s="270" t="e">
        <f>INDEX([71]Listas!$F$6:$J$10,MATCH(AI75,[71]Listas!$D$6:$D$10,0),MATCH(AK75,[71]Listas!$F$4:$J$4,0))</f>
        <v>#N/A</v>
      </c>
      <c r="AN75" s="259"/>
      <c r="AO75" s="259"/>
      <c r="AP75" s="610"/>
      <c r="AQ75" s="259"/>
      <c r="AR75" s="259" t="s">
        <v>2343</v>
      </c>
      <c r="AS75" s="608"/>
      <c r="AT75" s="259"/>
      <c r="AU75" s="259"/>
      <c r="AV75" s="559"/>
      <c r="AW75" s="559"/>
      <c r="AX75" s="608"/>
      <c r="AY75" s="556"/>
    </row>
    <row r="76" spans="1:51" s="557" customFormat="1" ht="103.5" hidden="1" customHeight="1">
      <c r="A76" s="608"/>
      <c r="B76" s="266"/>
      <c r="C76" s="1399"/>
      <c r="D76" s="1408"/>
      <c r="E76" s="1400"/>
      <c r="F76" s="267"/>
      <c r="G76" s="1399"/>
      <c r="H76" s="1408"/>
      <c r="I76" s="1400"/>
      <c r="J76" s="1380"/>
      <c r="K76" s="1380"/>
      <c r="L76" s="1380"/>
      <c r="M76" s="608"/>
      <c r="N76" s="608"/>
      <c r="O76" s="608"/>
      <c r="P76" s="608"/>
      <c r="Q76" s="266"/>
      <c r="R76" s="266"/>
      <c r="S76" s="268"/>
      <c r="T76" s="269" t="e">
        <f>VLOOKUP(Q76,[71]Listas!$D$6:$E$10,2,0)</f>
        <v>#N/A</v>
      </c>
      <c r="U76" s="269" t="e">
        <f>HLOOKUP(R76,[71]Listas!$F$4:$J$5,2,0)</f>
        <v>#N/A</v>
      </c>
      <c r="V76" s="270" t="e">
        <f>INDEX([71]Listas!$F$6:$J$10,MATCH(Q76,[71]Listas!$D$6:$D$10,0),MATCH(R76,[71]Listas!$F$4:$J$4,0))</f>
        <v>#N/A</v>
      </c>
      <c r="W76" s="268"/>
      <c r="X76" s="1399"/>
      <c r="Y76" s="1408"/>
      <c r="Z76" s="1400"/>
      <c r="AA76" s="1063"/>
      <c r="AB76" s="267"/>
      <c r="AC76" s="259"/>
      <c r="AD76" s="608"/>
      <c r="AE76" s="267"/>
      <c r="AF76" s="268"/>
      <c r="AG76" s="269">
        <f t="shared" si="4"/>
        <v>0</v>
      </c>
      <c r="AH76" s="558" t="e">
        <f t="shared" si="5"/>
        <v>#N/A</v>
      </c>
      <c r="AI76" s="270" t="e">
        <f>IF(AH76&lt;=1,"Remota",VLOOKUP(AH76,[71]Listas!$C$6:$D$10,2,0))</f>
        <v>#N/A</v>
      </c>
      <c r="AJ76" s="558" t="e">
        <f t="shared" si="6"/>
        <v>#N/A</v>
      </c>
      <c r="AK76" s="270" t="e">
        <f>IF(AJ76&lt;=1,"Insignificante",HLOOKUP(AJ76,[71]Listas!$F$3:$J$4,2,0))</f>
        <v>#N/A</v>
      </c>
      <c r="AL76" s="273" t="e">
        <f t="shared" si="7"/>
        <v>#N/A</v>
      </c>
      <c r="AM76" s="270" t="e">
        <f>INDEX([71]Listas!$F$6:$J$10,MATCH(AI76,[71]Listas!$D$6:$D$10,0),MATCH(AK76,[71]Listas!$F$4:$J$4,0))</f>
        <v>#N/A</v>
      </c>
      <c r="AN76" s="259"/>
      <c r="AO76" s="259"/>
      <c r="AP76" s="610"/>
      <c r="AQ76" s="259"/>
      <c r="AR76" s="259" t="s">
        <v>2343</v>
      </c>
      <c r="AS76" s="608"/>
      <c r="AT76" s="259"/>
      <c r="AU76" s="259"/>
      <c r="AV76" s="559"/>
      <c r="AW76" s="559"/>
      <c r="AX76" s="608"/>
      <c r="AY76" s="556"/>
    </row>
    <row r="77" spans="1:51" s="557" customFormat="1" ht="103.5" hidden="1" customHeight="1">
      <c r="A77" s="608"/>
      <c r="B77" s="266"/>
      <c r="C77" s="1399"/>
      <c r="D77" s="1408"/>
      <c r="E77" s="1400"/>
      <c r="F77" s="267"/>
      <c r="G77" s="1399"/>
      <c r="H77" s="1408"/>
      <c r="I77" s="1400"/>
      <c r="J77" s="1380"/>
      <c r="K77" s="1380"/>
      <c r="L77" s="1380"/>
      <c r="M77" s="608"/>
      <c r="N77" s="608"/>
      <c r="O77" s="608"/>
      <c r="P77" s="608"/>
      <c r="Q77" s="266"/>
      <c r="R77" s="266"/>
      <c r="S77" s="268"/>
      <c r="T77" s="269" t="e">
        <f>VLOOKUP(Q77,[71]Listas!$D$6:$E$10,2,0)</f>
        <v>#N/A</v>
      </c>
      <c r="U77" s="269" t="e">
        <f>HLOOKUP(R77,[71]Listas!$F$4:$J$5,2,0)</f>
        <v>#N/A</v>
      </c>
      <c r="V77" s="270" t="e">
        <f>INDEX([71]Listas!$F$6:$J$10,MATCH(Q77,[71]Listas!$D$6:$D$10,0),MATCH(R77,[71]Listas!$F$4:$J$4,0))</f>
        <v>#N/A</v>
      </c>
      <c r="W77" s="268"/>
      <c r="X77" s="1399"/>
      <c r="Y77" s="1408"/>
      <c r="Z77" s="1400"/>
      <c r="AA77" s="1063"/>
      <c r="AB77" s="267"/>
      <c r="AC77" s="259"/>
      <c r="AD77" s="608"/>
      <c r="AE77" s="267"/>
      <c r="AF77" s="268"/>
      <c r="AG77" s="269">
        <f t="shared" si="4"/>
        <v>0</v>
      </c>
      <c r="AH77" s="558" t="e">
        <f t="shared" si="5"/>
        <v>#N/A</v>
      </c>
      <c r="AI77" s="270" t="e">
        <f>IF(AH77&lt;=1,"Remota",VLOOKUP(AH77,[71]Listas!$C$6:$D$10,2,0))</f>
        <v>#N/A</v>
      </c>
      <c r="AJ77" s="558" t="e">
        <f t="shared" si="6"/>
        <v>#N/A</v>
      </c>
      <c r="AK77" s="270" t="e">
        <f>IF(AJ77&lt;=1,"Insignificante",HLOOKUP(AJ77,[71]Listas!$F$3:$J$4,2,0))</f>
        <v>#N/A</v>
      </c>
      <c r="AL77" s="273" t="e">
        <f t="shared" si="7"/>
        <v>#N/A</v>
      </c>
      <c r="AM77" s="270" t="e">
        <f>INDEX([71]Listas!$F$6:$J$10,MATCH(AI77,[71]Listas!$D$6:$D$10,0),MATCH(AK77,[71]Listas!$F$4:$J$4,0))</f>
        <v>#N/A</v>
      </c>
      <c r="AN77" s="259"/>
      <c r="AO77" s="259"/>
      <c r="AP77" s="610"/>
      <c r="AQ77" s="259"/>
      <c r="AR77" s="259" t="s">
        <v>2343</v>
      </c>
      <c r="AS77" s="608"/>
      <c r="AT77" s="259"/>
      <c r="AU77" s="259"/>
      <c r="AV77" s="559"/>
      <c r="AW77" s="559"/>
      <c r="AX77" s="608"/>
      <c r="AY77" s="556"/>
    </row>
    <row r="78" spans="1:51" s="557" customFormat="1" ht="103.5" hidden="1" customHeight="1">
      <c r="A78" s="608"/>
      <c r="B78" s="266"/>
      <c r="C78" s="1399"/>
      <c r="D78" s="1408"/>
      <c r="E78" s="1400"/>
      <c r="F78" s="267"/>
      <c r="G78" s="1399"/>
      <c r="H78" s="1408"/>
      <c r="I78" s="1400"/>
      <c r="J78" s="1380"/>
      <c r="K78" s="1380"/>
      <c r="L78" s="1380"/>
      <c r="M78" s="608"/>
      <c r="N78" s="608"/>
      <c r="O78" s="608"/>
      <c r="P78" s="608"/>
      <c r="Q78" s="266"/>
      <c r="R78" s="266"/>
      <c r="S78" s="268"/>
      <c r="T78" s="269" t="e">
        <f>VLOOKUP(Q78,[71]Listas!$D$6:$E$10,2,0)</f>
        <v>#N/A</v>
      </c>
      <c r="U78" s="269" t="e">
        <f>HLOOKUP(R78,[71]Listas!$F$4:$J$5,2,0)</f>
        <v>#N/A</v>
      </c>
      <c r="V78" s="270" t="e">
        <f>INDEX([71]Listas!$F$6:$J$10,MATCH(Q78,[71]Listas!$D$6:$D$10,0),MATCH(R78,[71]Listas!$F$4:$J$4,0))</f>
        <v>#N/A</v>
      </c>
      <c r="W78" s="268"/>
      <c r="X78" s="1399"/>
      <c r="Y78" s="1408"/>
      <c r="Z78" s="1400"/>
      <c r="AA78" s="1063"/>
      <c r="AB78" s="267"/>
      <c r="AC78" s="259"/>
      <c r="AD78" s="608"/>
      <c r="AE78" s="267"/>
      <c r="AF78" s="268"/>
      <c r="AG78" s="269">
        <f t="shared" si="4"/>
        <v>0</v>
      </c>
      <c r="AH78" s="558" t="e">
        <f t="shared" si="5"/>
        <v>#N/A</v>
      </c>
      <c r="AI78" s="270" t="e">
        <f>IF(AH78&lt;=1,"Remota",VLOOKUP(AH78,[71]Listas!$C$6:$D$10,2,0))</f>
        <v>#N/A</v>
      </c>
      <c r="AJ78" s="558" t="e">
        <f t="shared" si="6"/>
        <v>#N/A</v>
      </c>
      <c r="AK78" s="270" t="e">
        <f>IF(AJ78&lt;=1,"Insignificante",HLOOKUP(AJ78,[71]Listas!$F$3:$J$4,2,0))</f>
        <v>#N/A</v>
      </c>
      <c r="AL78" s="273" t="e">
        <f t="shared" si="7"/>
        <v>#N/A</v>
      </c>
      <c r="AM78" s="270" t="e">
        <f>INDEX([71]Listas!$F$6:$J$10,MATCH(AI78,[71]Listas!$D$6:$D$10,0),MATCH(AK78,[71]Listas!$F$4:$J$4,0))</f>
        <v>#N/A</v>
      </c>
      <c r="AN78" s="259"/>
      <c r="AO78" s="259"/>
      <c r="AP78" s="610"/>
      <c r="AQ78" s="259"/>
      <c r="AR78" s="259" t="s">
        <v>2343</v>
      </c>
      <c r="AS78" s="608"/>
      <c r="AT78" s="259"/>
      <c r="AU78" s="259"/>
      <c r="AV78" s="559"/>
      <c r="AW78" s="559"/>
      <c r="AX78" s="608"/>
      <c r="AY78" s="556"/>
    </row>
    <row r="79" spans="1:51" s="557" customFormat="1" ht="103.5" hidden="1" customHeight="1">
      <c r="A79" s="608"/>
      <c r="B79" s="266"/>
      <c r="C79" s="1399"/>
      <c r="D79" s="1408"/>
      <c r="E79" s="1400"/>
      <c r="F79" s="267"/>
      <c r="G79" s="1399"/>
      <c r="H79" s="1408"/>
      <c r="I79" s="1400"/>
      <c r="J79" s="1380"/>
      <c r="K79" s="1380"/>
      <c r="L79" s="1380"/>
      <c r="M79" s="608"/>
      <c r="N79" s="608"/>
      <c r="O79" s="608"/>
      <c r="P79" s="608"/>
      <c r="Q79" s="266"/>
      <c r="R79" s="266"/>
      <c r="S79" s="268"/>
      <c r="T79" s="269" t="e">
        <f>VLOOKUP(Q79,[71]Listas!$D$6:$E$10,2,0)</f>
        <v>#N/A</v>
      </c>
      <c r="U79" s="269" t="e">
        <f>HLOOKUP(R79,[71]Listas!$F$4:$J$5,2,0)</f>
        <v>#N/A</v>
      </c>
      <c r="V79" s="270" t="e">
        <f>INDEX([71]Listas!$F$6:$J$10,MATCH(Q79,[71]Listas!$D$6:$D$10,0),MATCH(R79,[71]Listas!$F$4:$J$4,0))</f>
        <v>#N/A</v>
      </c>
      <c r="W79" s="268"/>
      <c r="X79" s="1399"/>
      <c r="Y79" s="1408"/>
      <c r="Z79" s="1400"/>
      <c r="AA79" s="1063"/>
      <c r="AB79" s="267"/>
      <c r="AC79" s="259"/>
      <c r="AD79" s="608"/>
      <c r="AE79" s="267"/>
      <c r="AF79" s="268"/>
      <c r="AG79" s="269">
        <f t="shared" si="4"/>
        <v>0</v>
      </c>
      <c r="AH79" s="558" t="e">
        <f t="shared" si="5"/>
        <v>#N/A</v>
      </c>
      <c r="AI79" s="270" t="e">
        <f>IF(AH79&lt;=1,"Remota",VLOOKUP(AH79,[71]Listas!$C$6:$D$10,2,0))</f>
        <v>#N/A</v>
      </c>
      <c r="AJ79" s="558" t="e">
        <f t="shared" si="6"/>
        <v>#N/A</v>
      </c>
      <c r="AK79" s="270" t="e">
        <f>IF(AJ79&lt;=1,"Insignificante",HLOOKUP(AJ79,[71]Listas!$F$3:$J$4,2,0))</f>
        <v>#N/A</v>
      </c>
      <c r="AL79" s="273" t="e">
        <f t="shared" si="7"/>
        <v>#N/A</v>
      </c>
      <c r="AM79" s="270" t="e">
        <f>INDEX([71]Listas!$F$6:$J$10,MATCH(AI79,[71]Listas!$D$6:$D$10,0),MATCH(AK79,[71]Listas!$F$4:$J$4,0))</f>
        <v>#N/A</v>
      </c>
      <c r="AN79" s="259"/>
      <c r="AO79" s="259"/>
      <c r="AP79" s="610"/>
      <c r="AQ79" s="259"/>
      <c r="AR79" s="259" t="s">
        <v>2343</v>
      </c>
      <c r="AS79" s="608"/>
      <c r="AT79" s="259"/>
      <c r="AU79" s="259"/>
      <c r="AV79" s="559"/>
      <c r="AW79" s="559"/>
      <c r="AX79" s="608"/>
      <c r="AY79" s="556"/>
    </row>
    <row r="80" spans="1:51" s="557" customFormat="1" ht="103.5" hidden="1" customHeight="1">
      <c r="A80" s="608"/>
      <c r="B80" s="266"/>
      <c r="C80" s="1399"/>
      <c r="D80" s="1408"/>
      <c r="E80" s="1400"/>
      <c r="F80" s="267"/>
      <c r="G80" s="1399"/>
      <c r="H80" s="1408"/>
      <c r="I80" s="1400"/>
      <c r="J80" s="1380"/>
      <c r="K80" s="1380"/>
      <c r="L80" s="1380"/>
      <c r="M80" s="608"/>
      <c r="N80" s="608"/>
      <c r="O80" s="608"/>
      <c r="P80" s="608"/>
      <c r="Q80" s="266"/>
      <c r="R80" s="266"/>
      <c r="S80" s="268"/>
      <c r="T80" s="269" t="e">
        <f>VLOOKUP(Q80,[71]Listas!$D$6:$E$10,2,0)</f>
        <v>#N/A</v>
      </c>
      <c r="U80" s="269" t="e">
        <f>HLOOKUP(R80,[71]Listas!$F$4:$J$5,2,0)</f>
        <v>#N/A</v>
      </c>
      <c r="V80" s="270" t="e">
        <f>INDEX([71]Listas!$F$6:$J$10,MATCH(Q80,[71]Listas!$D$6:$D$10,0),MATCH(R80,[71]Listas!$F$4:$J$4,0))</f>
        <v>#N/A</v>
      </c>
      <c r="W80" s="268"/>
      <c r="X80" s="1399"/>
      <c r="Y80" s="1408"/>
      <c r="Z80" s="1400"/>
      <c r="AA80" s="1063"/>
      <c r="AB80" s="267"/>
      <c r="AC80" s="259"/>
      <c r="AD80" s="608"/>
      <c r="AE80" s="267"/>
      <c r="AF80" s="268"/>
      <c r="AG80" s="269">
        <f t="shared" si="4"/>
        <v>0</v>
      </c>
      <c r="AH80" s="558" t="e">
        <f t="shared" si="5"/>
        <v>#N/A</v>
      </c>
      <c r="AI80" s="270" t="e">
        <f>IF(AH80&lt;=1,"Remota",VLOOKUP(AH80,[71]Listas!$C$6:$D$10,2,0))</f>
        <v>#N/A</v>
      </c>
      <c r="AJ80" s="558" t="e">
        <f t="shared" si="6"/>
        <v>#N/A</v>
      </c>
      <c r="AK80" s="270" t="e">
        <f>IF(AJ80&lt;=1,"Insignificante",HLOOKUP(AJ80,[71]Listas!$F$3:$J$4,2,0))</f>
        <v>#N/A</v>
      </c>
      <c r="AL80" s="273" t="e">
        <f t="shared" si="7"/>
        <v>#N/A</v>
      </c>
      <c r="AM80" s="270" t="e">
        <f>INDEX([71]Listas!$F$6:$J$10,MATCH(AI80,[71]Listas!$D$6:$D$10,0),MATCH(AK80,[71]Listas!$F$4:$J$4,0))</f>
        <v>#N/A</v>
      </c>
      <c r="AN80" s="259"/>
      <c r="AO80" s="259"/>
      <c r="AP80" s="610"/>
      <c r="AQ80" s="259"/>
      <c r="AR80" s="259" t="s">
        <v>2343</v>
      </c>
      <c r="AS80" s="608"/>
      <c r="AT80" s="259"/>
      <c r="AU80" s="259"/>
      <c r="AV80" s="559"/>
      <c r="AW80" s="559"/>
      <c r="AX80" s="608"/>
      <c r="AY80" s="556"/>
    </row>
    <row r="81" spans="1:51" s="557" customFormat="1" ht="103.5" hidden="1" customHeight="1">
      <c r="A81" s="608"/>
      <c r="B81" s="266"/>
      <c r="C81" s="1399"/>
      <c r="D81" s="1408"/>
      <c r="E81" s="1400"/>
      <c r="F81" s="267"/>
      <c r="G81" s="1399"/>
      <c r="H81" s="1408"/>
      <c r="I81" s="1400"/>
      <c r="J81" s="1380"/>
      <c r="K81" s="1380"/>
      <c r="L81" s="1380"/>
      <c r="M81" s="608"/>
      <c r="N81" s="608"/>
      <c r="O81" s="608"/>
      <c r="P81" s="608"/>
      <c r="Q81" s="266"/>
      <c r="R81" s="266"/>
      <c r="S81" s="268"/>
      <c r="T81" s="269" t="e">
        <f>VLOOKUP(Q81,[71]Listas!$D$6:$E$10,2,0)</f>
        <v>#N/A</v>
      </c>
      <c r="U81" s="269" t="e">
        <f>HLOOKUP(R81,[71]Listas!$F$4:$J$5,2,0)</f>
        <v>#N/A</v>
      </c>
      <c r="V81" s="270" t="e">
        <f>INDEX([71]Listas!$F$6:$J$10,MATCH(Q81,[71]Listas!$D$6:$D$10,0),MATCH(R81,[71]Listas!$F$4:$J$4,0))</f>
        <v>#N/A</v>
      </c>
      <c r="W81" s="268"/>
      <c r="X81" s="1399"/>
      <c r="Y81" s="1408"/>
      <c r="Z81" s="1400"/>
      <c r="AA81" s="1063"/>
      <c r="AB81" s="267"/>
      <c r="AC81" s="259"/>
      <c r="AD81" s="608"/>
      <c r="AE81" s="267"/>
      <c r="AF81" s="268"/>
      <c r="AG81" s="269">
        <f t="shared" si="4"/>
        <v>0</v>
      </c>
      <c r="AH81" s="558" t="e">
        <f t="shared" si="5"/>
        <v>#N/A</v>
      </c>
      <c r="AI81" s="270" t="e">
        <f>IF(AH81&lt;=1,"Remota",VLOOKUP(AH81,[71]Listas!$C$6:$D$10,2,0))</f>
        <v>#N/A</v>
      </c>
      <c r="AJ81" s="558" t="e">
        <f t="shared" si="6"/>
        <v>#N/A</v>
      </c>
      <c r="AK81" s="270" t="e">
        <f>IF(AJ81&lt;=1,"Insignificante",HLOOKUP(AJ81,[71]Listas!$F$3:$J$4,2,0))</f>
        <v>#N/A</v>
      </c>
      <c r="AL81" s="273" t="e">
        <f t="shared" si="7"/>
        <v>#N/A</v>
      </c>
      <c r="AM81" s="270" t="e">
        <f>INDEX([71]Listas!$F$6:$J$10,MATCH(AI81,[71]Listas!$D$6:$D$10,0),MATCH(AK81,[71]Listas!$F$4:$J$4,0))</f>
        <v>#N/A</v>
      </c>
      <c r="AN81" s="259"/>
      <c r="AO81" s="259"/>
      <c r="AP81" s="610"/>
      <c r="AQ81" s="259"/>
      <c r="AR81" s="259" t="s">
        <v>2343</v>
      </c>
      <c r="AS81" s="608"/>
      <c r="AT81" s="259"/>
      <c r="AU81" s="259"/>
      <c r="AV81" s="559"/>
      <c r="AW81" s="559"/>
      <c r="AX81" s="608"/>
      <c r="AY81" s="556"/>
    </row>
    <row r="82" spans="1:51" s="557" customFormat="1" ht="103.5" hidden="1" customHeight="1">
      <c r="A82" s="608"/>
      <c r="B82" s="266"/>
      <c r="C82" s="1399"/>
      <c r="D82" s="1408"/>
      <c r="E82" s="1400"/>
      <c r="F82" s="267"/>
      <c r="G82" s="1399"/>
      <c r="H82" s="1408"/>
      <c r="I82" s="1400"/>
      <c r="J82" s="1380"/>
      <c r="K82" s="1380"/>
      <c r="L82" s="1380"/>
      <c r="M82" s="608"/>
      <c r="N82" s="608"/>
      <c r="O82" s="608"/>
      <c r="P82" s="608"/>
      <c r="Q82" s="266"/>
      <c r="R82" s="266"/>
      <c r="S82" s="268"/>
      <c r="T82" s="269" t="e">
        <f>VLOOKUP(Q82,[71]Listas!$D$6:$E$10,2,0)</f>
        <v>#N/A</v>
      </c>
      <c r="U82" s="269" t="e">
        <f>HLOOKUP(R82,[71]Listas!$F$4:$J$5,2,0)</f>
        <v>#N/A</v>
      </c>
      <c r="V82" s="270" t="e">
        <f>INDEX([71]Listas!$F$6:$J$10,MATCH(Q82,[71]Listas!$D$6:$D$10,0),MATCH(R82,[71]Listas!$F$4:$J$4,0))</f>
        <v>#N/A</v>
      </c>
      <c r="W82" s="268"/>
      <c r="X82" s="1399"/>
      <c r="Y82" s="1408"/>
      <c r="Z82" s="1400"/>
      <c r="AA82" s="1063"/>
      <c r="AB82" s="267"/>
      <c r="AC82" s="259"/>
      <c r="AD82" s="608"/>
      <c r="AE82" s="267"/>
      <c r="AF82" s="268"/>
      <c r="AG82" s="269">
        <f t="shared" si="4"/>
        <v>0</v>
      </c>
      <c r="AH82" s="558" t="e">
        <f t="shared" si="5"/>
        <v>#N/A</v>
      </c>
      <c r="AI82" s="270" t="e">
        <f>IF(AH82&lt;=1,"Remota",VLOOKUP(AH82,[71]Listas!$C$6:$D$10,2,0))</f>
        <v>#N/A</v>
      </c>
      <c r="AJ82" s="558" t="e">
        <f t="shared" si="6"/>
        <v>#N/A</v>
      </c>
      <c r="AK82" s="270" t="e">
        <f>IF(AJ82&lt;=1,"Insignificante",HLOOKUP(AJ82,[71]Listas!$F$3:$J$4,2,0))</f>
        <v>#N/A</v>
      </c>
      <c r="AL82" s="273" t="e">
        <f t="shared" si="7"/>
        <v>#N/A</v>
      </c>
      <c r="AM82" s="270" t="e">
        <f>INDEX([71]Listas!$F$6:$J$10,MATCH(AI82,[71]Listas!$D$6:$D$10,0),MATCH(AK82,[71]Listas!$F$4:$J$4,0))</f>
        <v>#N/A</v>
      </c>
      <c r="AN82" s="259"/>
      <c r="AO82" s="259"/>
      <c r="AP82" s="610"/>
      <c r="AQ82" s="259"/>
      <c r="AR82" s="259" t="s">
        <v>2343</v>
      </c>
      <c r="AS82" s="608"/>
      <c r="AT82" s="259"/>
      <c r="AU82" s="259"/>
      <c r="AV82" s="559"/>
      <c r="AW82" s="559"/>
      <c r="AX82" s="608"/>
      <c r="AY82" s="556"/>
    </row>
    <row r="83" spans="1:51" s="557" customFormat="1" ht="103.5" hidden="1" customHeight="1">
      <c r="A83" s="608"/>
      <c r="B83" s="266"/>
      <c r="C83" s="1399"/>
      <c r="D83" s="1408"/>
      <c r="E83" s="1400"/>
      <c r="F83" s="267"/>
      <c r="G83" s="1399"/>
      <c r="H83" s="1408"/>
      <c r="I83" s="1400"/>
      <c r="J83" s="1380"/>
      <c r="K83" s="1380"/>
      <c r="L83" s="1380"/>
      <c r="M83" s="608"/>
      <c r="N83" s="608"/>
      <c r="O83" s="608"/>
      <c r="P83" s="608"/>
      <c r="Q83" s="266"/>
      <c r="R83" s="266"/>
      <c r="S83" s="268"/>
      <c r="T83" s="269" t="e">
        <f>VLOOKUP(Q83,[71]Listas!$D$6:$E$10,2,0)</f>
        <v>#N/A</v>
      </c>
      <c r="U83" s="269" t="e">
        <f>HLOOKUP(R83,[71]Listas!$F$4:$J$5,2,0)</f>
        <v>#N/A</v>
      </c>
      <c r="V83" s="270" t="e">
        <f>INDEX([71]Listas!$F$6:$J$10,MATCH(Q83,[71]Listas!$D$6:$D$10,0),MATCH(R83,[71]Listas!$F$4:$J$4,0))</f>
        <v>#N/A</v>
      </c>
      <c r="W83" s="268"/>
      <c r="X83" s="1399"/>
      <c r="Y83" s="1408"/>
      <c r="Z83" s="1400"/>
      <c r="AA83" s="1063"/>
      <c r="AB83" s="267"/>
      <c r="AC83" s="259"/>
      <c r="AD83" s="608"/>
      <c r="AE83" s="267"/>
      <c r="AF83" s="268"/>
      <c r="AG83" s="269">
        <f t="shared" si="4"/>
        <v>0</v>
      </c>
      <c r="AH83" s="558" t="e">
        <f t="shared" si="5"/>
        <v>#N/A</v>
      </c>
      <c r="AI83" s="270" t="e">
        <f>IF(AH83&lt;=1,"Remota",VLOOKUP(AH83,[71]Listas!$C$6:$D$10,2,0))</f>
        <v>#N/A</v>
      </c>
      <c r="AJ83" s="558" t="e">
        <f t="shared" si="6"/>
        <v>#N/A</v>
      </c>
      <c r="AK83" s="270" t="e">
        <f>IF(AJ83&lt;=1,"Insignificante",HLOOKUP(AJ83,[71]Listas!$F$3:$J$4,2,0))</f>
        <v>#N/A</v>
      </c>
      <c r="AL83" s="273" t="e">
        <f t="shared" si="7"/>
        <v>#N/A</v>
      </c>
      <c r="AM83" s="270" t="e">
        <f>INDEX([71]Listas!$F$6:$J$10,MATCH(AI83,[71]Listas!$D$6:$D$10,0),MATCH(AK83,[71]Listas!$F$4:$J$4,0))</f>
        <v>#N/A</v>
      </c>
      <c r="AN83" s="259"/>
      <c r="AO83" s="259"/>
      <c r="AP83" s="610"/>
      <c r="AQ83" s="259"/>
      <c r="AR83" s="259" t="s">
        <v>2343</v>
      </c>
      <c r="AS83" s="608"/>
      <c r="AT83" s="259"/>
      <c r="AU83" s="259"/>
      <c r="AV83" s="559"/>
      <c r="AW83" s="559"/>
      <c r="AX83" s="608"/>
      <c r="AY83" s="556"/>
    </row>
    <row r="84" spans="1:51" s="557" customFormat="1" ht="103.5" hidden="1" customHeight="1">
      <c r="A84" s="608"/>
      <c r="B84" s="266"/>
      <c r="C84" s="1399"/>
      <c r="D84" s="1408"/>
      <c r="E84" s="1400"/>
      <c r="F84" s="267"/>
      <c r="G84" s="1399"/>
      <c r="H84" s="1408"/>
      <c r="I84" s="1400"/>
      <c r="J84" s="1380"/>
      <c r="K84" s="1380"/>
      <c r="L84" s="1380"/>
      <c r="M84" s="608"/>
      <c r="N84" s="608"/>
      <c r="O84" s="608"/>
      <c r="P84" s="608"/>
      <c r="Q84" s="266"/>
      <c r="R84" s="266"/>
      <c r="S84" s="268"/>
      <c r="T84" s="269" t="e">
        <f>VLOOKUP(Q84,[71]Listas!$D$6:$E$10,2,0)</f>
        <v>#N/A</v>
      </c>
      <c r="U84" s="269" t="e">
        <f>HLOOKUP(R84,[71]Listas!$F$4:$J$5,2,0)</f>
        <v>#N/A</v>
      </c>
      <c r="V84" s="270" t="e">
        <f>INDEX([71]Listas!$F$6:$J$10,MATCH(Q84,[71]Listas!$D$6:$D$10,0),MATCH(R84,[71]Listas!$F$4:$J$4,0))</f>
        <v>#N/A</v>
      </c>
      <c r="W84" s="268"/>
      <c r="X84" s="1399"/>
      <c r="Y84" s="1408"/>
      <c r="Z84" s="1400"/>
      <c r="AA84" s="1063"/>
      <c r="AB84" s="267"/>
      <c r="AC84" s="259"/>
      <c r="AD84" s="608"/>
      <c r="AE84" s="267"/>
      <c r="AF84" s="268"/>
      <c r="AG84" s="269">
        <f t="shared" si="4"/>
        <v>0</v>
      </c>
      <c r="AH84" s="558" t="e">
        <f t="shared" si="5"/>
        <v>#N/A</v>
      </c>
      <c r="AI84" s="270" t="e">
        <f>IF(AH84&lt;=1,"Remota",VLOOKUP(AH84,[71]Listas!$C$6:$D$10,2,0))</f>
        <v>#N/A</v>
      </c>
      <c r="AJ84" s="558" t="e">
        <f t="shared" si="6"/>
        <v>#N/A</v>
      </c>
      <c r="AK84" s="270" t="e">
        <f>IF(AJ84&lt;=1,"Insignificante",HLOOKUP(AJ84,[71]Listas!$F$3:$J$4,2,0))</f>
        <v>#N/A</v>
      </c>
      <c r="AL84" s="273" t="e">
        <f t="shared" si="7"/>
        <v>#N/A</v>
      </c>
      <c r="AM84" s="270" t="e">
        <f>INDEX([71]Listas!$F$6:$J$10,MATCH(AI84,[71]Listas!$D$6:$D$10,0),MATCH(AK84,[71]Listas!$F$4:$J$4,0))</f>
        <v>#N/A</v>
      </c>
      <c r="AN84" s="259"/>
      <c r="AO84" s="259"/>
      <c r="AP84" s="610"/>
      <c r="AQ84" s="259"/>
      <c r="AR84" s="259" t="s">
        <v>2343</v>
      </c>
      <c r="AS84" s="608"/>
      <c r="AT84" s="259"/>
      <c r="AU84" s="259"/>
      <c r="AV84" s="559"/>
      <c r="AW84" s="559"/>
      <c r="AX84" s="608"/>
      <c r="AY84" s="556"/>
    </row>
    <row r="85" spans="1:51" s="557" customFormat="1" ht="103.5" hidden="1" customHeight="1">
      <c r="A85" s="608"/>
      <c r="B85" s="266"/>
      <c r="C85" s="1399"/>
      <c r="D85" s="1408"/>
      <c r="E85" s="1400"/>
      <c r="F85" s="266"/>
      <c r="G85" s="1399"/>
      <c r="H85" s="1408"/>
      <c r="I85" s="1400"/>
      <c r="J85" s="1380"/>
      <c r="K85" s="1380"/>
      <c r="L85" s="1380"/>
      <c r="M85" s="608"/>
      <c r="N85" s="608"/>
      <c r="O85" s="608"/>
      <c r="P85" s="608"/>
      <c r="Q85" s="266"/>
      <c r="R85" s="266"/>
      <c r="S85" s="268"/>
      <c r="T85" s="269" t="e">
        <f>VLOOKUP(Q85,[71]Listas!$D$6:$E$10,2,0)</f>
        <v>#N/A</v>
      </c>
      <c r="U85" s="269" t="e">
        <f>HLOOKUP(R85,[71]Listas!$F$4:$J$5,2,0)</f>
        <v>#N/A</v>
      </c>
      <c r="V85" s="270" t="e">
        <f>INDEX([71]Listas!$F$6:$J$10,MATCH(Q85,[71]Listas!$D$6:$D$10,0),MATCH(R85,[71]Listas!$F$4:$J$4,0))</f>
        <v>#N/A</v>
      </c>
      <c r="W85" s="268"/>
      <c r="X85" s="1399"/>
      <c r="Y85" s="1408"/>
      <c r="Z85" s="1400"/>
      <c r="AA85" s="1063"/>
      <c r="AB85" s="267"/>
      <c r="AC85" s="259"/>
      <c r="AD85" s="608"/>
      <c r="AE85" s="267"/>
      <c r="AF85" s="268"/>
      <c r="AG85" s="269">
        <f>IF(AD85&lt;=33,0,IF(AD85&gt;81,2,1))</f>
        <v>0</v>
      </c>
      <c r="AH85" s="558" t="e">
        <f>IF(OR(AE85="Probabilidad",AE85="Ambos"),T85-AG85,T85)</f>
        <v>#N/A</v>
      </c>
      <c r="AI85" s="270" t="e">
        <f>IF(AH85&lt;=1,"Remota",VLOOKUP(AH85,[71]Listas!$C$6:$D$10,2,0))</f>
        <v>#N/A</v>
      </c>
      <c r="AJ85" s="558" t="e">
        <f>IF(OR(AE85="Impacto",AE85="Ambos"),U85-AG85,U85)</f>
        <v>#N/A</v>
      </c>
      <c r="AK85" s="270" t="e">
        <f>IF(AJ85&lt;=1,"Insignificante",HLOOKUP(AJ85,[71]Listas!$F$3:$J$4,2,0))</f>
        <v>#N/A</v>
      </c>
      <c r="AL85" s="273" t="e">
        <f>AH85*AJ85</f>
        <v>#N/A</v>
      </c>
      <c r="AM85" s="270" t="e">
        <f>INDEX([71]Listas!$F$6:$J$10,MATCH(AI85,[71]Listas!$D$6:$D$10,0),MATCH(AK85,[71]Listas!$F$4:$J$4,0))</f>
        <v>#N/A</v>
      </c>
      <c r="AN85" s="259"/>
      <c r="AO85" s="259"/>
      <c r="AP85" s="610"/>
      <c r="AQ85" s="259"/>
      <c r="AR85" s="259" t="s">
        <v>2343</v>
      </c>
      <c r="AS85" s="608"/>
      <c r="AU85" s="259"/>
      <c r="AV85" s="559"/>
      <c r="AW85" s="559"/>
      <c r="AX85" s="608"/>
      <c r="AY85" s="556"/>
    </row>
    <row r="86" spans="1:51" s="557" customFormat="1" ht="103.5" hidden="1" customHeight="1">
      <c r="A86" s="608"/>
      <c r="B86" s="266"/>
      <c r="C86" s="1399"/>
      <c r="D86" s="1408"/>
      <c r="E86" s="1400"/>
      <c r="F86" s="267"/>
      <c r="G86" s="1399"/>
      <c r="H86" s="1408"/>
      <c r="I86" s="1400"/>
      <c r="J86" s="1380"/>
      <c r="K86" s="1380"/>
      <c r="L86" s="1380"/>
      <c r="M86" s="608"/>
      <c r="N86" s="608"/>
      <c r="O86" s="608"/>
      <c r="P86" s="608"/>
      <c r="Q86" s="266"/>
      <c r="R86" s="266"/>
      <c r="S86" s="268"/>
      <c r="T86" s="269" t="e">
        <f>VLOOKUP(Q86,[71]Listas!$D$6:$E$10,2,0)</f>
        <v>#N/A</v>
      </c>
      <c r="U86" s="269" t="e">
        <f>HLOOKUP(R86,[71]Listas!$F$4:$J$5,2,0)</f>
        <v>#N/A</v>
      </c>
      <c r="V86" s="270" t="e">
        <f>INDEX([71]Listas!$F$6:$J$10,MATCH(Q86,[71]Listas!$D$6:$D$10,0),MATCH(R86,[71]Listas!$F$4:$J$4,0))</f>
        <v>#N/A</v>
      </c>
      <c r="W86" s="268"/>
      <c r="X86" s="1399"/>
      <c r="Y86" s="1408"/>
      <c r="Z86" s="1400"/>
      <c r="AA86" s="1063"/>
      <c r="AB86" s="267"/>
      <c r="AC86" s="259"/>
      <c r="AD86" s="608"/>
      <c r="AE86" s="267"/>
      <c r="AF86" s="268"/>
      <c r="AG86" s="269">
        <f t="shared" ref="AG86:AG149" si="8">IF(AD86&lt;=33,0,IF(AD86&gt;81,2,1))</f>
        <v>0</v>
      </c>
      <c r="AH86" s="558" t="e">
        <f t="shared" ref="AH86:AH149" si="9">IF(OR(AE86="Probabilidad",AE86="Ambos"),T86-AG86,T86)</f>
        <v>#N/A</v>
      </c>
      <c r="AI86" s="270" t="e">
        <f>IF(AH86&lt;=1,"Remota",VLOOKUP(AH86,[71]Listas!$C$6:$D$10,2,0))</f>
        <v>#N/A</v>
      </c>
      <c r="AJ86" s="558" t="e">
        <f t="shared" ref="AJ86:AJ149" si="10">IF(OR(AE86="Impacto",AE86="Ambos"),U86-AG86,U86)</f>
        <v>#N/A</v>
      </c>
      <c r="AK86" s="270" t="e">
        <f>IF(AJ86&lt;=1,"Insignificante",HLOOKUP(AJ86,[71]Listas!$F$3:$J$4,2,0))</f>
        <v>#N/A</v>
      </c>
      <c r="AL86" s="273" t="e">
        <f t="shared" ref="AL86:AL149" si="11">AH86*AJ86</f>
        <v>#N/A</v>
      </c>
      <c r="AM86" s="270" t="e">
        <f>INDEX([71]Listas!$F$6:$J$10,MATCH(AI86,[71]Listas!$D$6:$D$10,0),MATCH(AK86,[71]Listas!$F$4:$J$4,0))</f>
        <v>#N/A</v>
      </c>
      <c r="AN86" s="259"/>
      <c r="AO86" s="259"/>
      <c r="AP86" s="610"/>
      <c r="AQ86" s="259"/>
      <c r="AR86" s="259" t="s">
        <v>2343</v>
      </c>
      <c r="AS86" s="608"/>
      <c r="AT86" s="259"/>
      <c r="AU86" s="259"/>
      <c r="AV86" s="559"/>
      <c r="AW86" s="559"/>
      <c r="AX86" s="608"/>
      <c r="AY86" s="556"/>
    </row>
    <row r="87" spans="1:51" s="557" customFormat="1" ht="103.5" hidden="1" customHeight="1">
      <c r="A87" s="608"/>
      <c r="B87" s="266"/>
      <c r="C87" s="1399"/>
      <c r="D87" s="1408"/>
      <c r="E87" s="1400"/>
      <c r="F87" s="267"/>
      <c r="G87" s="1399"/>
      <c r="H87" s="1408"/>
      <c r="I87" s="1400"/>
      <c r="J87" s="1380"/>
      <c r="K87" s="1380"/>
      <c r="L87" s="1380"/>
      <c r="M87" s="608"/>
      <c r="N87" s="608"/>
      <c r="O87" s="608"/>
      <c r="P87" s="608"/>
      <c r="Q87" s="266"/>
      <c r="R87" s="266"/>
      <c r="S87" s="268"/>
      <c r="T87" s="269" t="e">
        <f>VLOOKUP(Q87,[71]Listas!$D$6:$E$10,2,0)</f>
        <v>#N/A</v>
      </c>
      <c r="U87" s="269" t="e">
        <f>HLOOKUP(R87,[71]Listas!$F$4:$J$5,2,0)</f>
        <v>#N/A</v>
      </c>
      <c r="V87" s="270" t="e">
        <f>INDEX([71]Listas!$F$6:$J$10,MATCH(Q87,[71]Listas!$D$6:$D$10,0),MATCH(R87,[71]Listas!$F$4:$J$4,0))</f>
        <v>#N/A</v>
      </c>
      <c r="W87" s="268"/>
      <c r="X87" s="1399"/>
      <c r="Y87" s="1408"/>
      <c r="Z87" s="1400"/>
      <c r="AA87" s="1063"/>
      <c r="AB87" s="267"/>
      <c r="AC87" s="259"/>
      <c r="AD87" s="608"/>
      <c r="AE87" s="267"/>
      <c r="AF87" s="268"/>
      <c r="AG87" s="269">
        <f t="shared" si="8"/>
        <v>0</v>
      </c>
      <c r="AH87" s="558" t="e">
        <f t="shared" si="9"/>
        <v>#N/A</v>
      </c>
      <c r="AI87" s="270" t="e">
        <f>IF(AH87&lt;=1,"Remota",VLOOKUP(AH87,[71]Listas!$C$6:$D$10,2,0))</f>
        <v>#N/A</v>
      </c>
      <c r="AJ87" s="558" t="e">
        <f t="shared" si="10"/>
        <v>#N/A</v>
      </c>
      <c r="AK87" s="270" t="e">
        <f>IF(AJ87&lt;=1,"Insignificante",HLOOKUP(AJ87,[71]Listas!$F$3:$J$4,2,0))</f>
        <v>#N/A</v>
      </c>
      <c r="AL87" s="273" t="e">
        <f t="shared" si="11"/>
        <v>#N/A</v>
      </c>
      <c r="AM87" s="270" t="e">
        <f>INDEX([71]Listas!$F$6:$J$10,MATCH(AI87,[71]Listas!$D$6:$D$10,0),MATCH(AK87,[71]Listas!$F$4:$J$4,0))</f>
        <v>#N/A</v>
      </c>
      <c r="AN87" s="259"/>
      <c r="AO87" s="259"/>
      <c r="AP87" s="610"/>
      <c r="AQ87" s="259"/>
      <c r="AR87" s="259" t="s">
        <v>2343</v>
      </c>
      <c r="AS87" s="608"/>
      <c r="AT87" s="259"/>
      <c r="AU87" s="259"/>
      <c r="AV87" s="559"/>
      <c r="AW87" s="559"/>
      <c r="AX87" s="608"/>
      <c r="AY87" s="556"/>
    </row>
    <row r="88" spans="1:51" s="557" customFormat="1" ht="103.5" hidden="1" customHeight="1">
      <c r="A88" s="608"/>
      <c r="B88" s="266"/>
      <c r="C88" s="1399"/>
      <c r="D88" s="1408"/>
      <c r="E88" s="1400"/>
      <c r="F88" s="267"/>
      <c r="G88" s="1399"/>
      <c r="H88" s="1408"/>
      <c r="I88" s="1400"/>
      <c r="J88" s="1380"/>
      <c r="K88" s="1380"/>
      <c r="L88" s="1380"/>
      <c r="M88" s="608"/>
      <c r="N88" s="608"/>
      <c r="O88" s="608"/>
      <c r="P88" s="608"/>
      <c r="Q88" s="266"/>
      <c r="R88" s="266"/>
      <c r="S88" s="268"/>
      <c r="T88" s="269" t="e">
        <f>VLOOKUP(Q88,[71]Listas!$D$6:$E$10,2,0)</f>
        <v>#N/A</v>
      </c>
      <c r="U88" s="269" t="e">
        <f>HLOOKUP(R88,[71]Listas!$F$4:$J$5,2,0)</f>
        <v>#N/A</v>
      </c>
      <c r="V88" s="270" t="e">
        <f>INDEX([71]Listas!$F$6:$J$10,MATCH(Q88,[71]Listas!$D$6:$D$10,0),MATCH(R88,[71]Listas!$F$4:$J$4,0))</f>
        <v>#N/A</v>
      </c>
      <c r="W88" s="268"/>
      <c r="X88" s="1399"/>
      <c r="Y88" s="1408"/>
      <c r="Z88" s="1400"/>
      <c r="AA88" s="1063"/>
      <c r="AB88" s="267"/>
      <c r="AC88" s="259"/>
      <c r="AD88" s="608"/>
      <c r="AE88" s="267"/>
      <c r="AF88" s="268"/>
      <c r="AG88" s="269">
        <f t="shared" si="8"/>
        <v>0</v>
      </c>
      <c r="AH88" s="558" t="e">
        <f t="shared" si="9"/>
        <v>#N/A</v>
      </c>
      <c r="AI88" s="270" t="e">
        <f>IF(AH88&lt;=1,"Remota",VLOOKUP(AH88,[71]Listas!$C$6:$D$10,2,0))</f>
        <v>#N/A</v>
      </c>
      <c r="AJ88" s="558" t="e">
        <f t="shared" si="10"/>
        <v>#N/A</v>
      </c>
      <c r="AK88" s="270" t="e">
        <f>IF(AJ88&lt;=1,"Insignificante",HLOOKUP(AJ88,[71]Listas!$F$3:$J$4,2,0))</f>
        <v>#N/A</v>
      </c>
      <c r="AL88" s="273" t="e">
        <f t="shared" si="11"/>
        <v>#N/A</v>
      </c>
      <c r="AM88" s="270" t="e">
        <f>INDEX([71]Listas!$F$6:$J$10,MATCH(AI88,[71]Listas!$D$6:$D$10,0),MATCH(AK88,[71]Listas!$F$4:$J$4,0))</f>
        <v>#N/A</v>
      </c>
      <c r="AN88" s="259"/>
      <c r="AO88" s="259"/>
      <c r="AP88" s="610"/>
      <c r="AQ88" s="259"/>
      <c r="AR88" s="259" t="s">
        <v>2343</v>
      </c>
      <c r="AS88" s="608"/>
      <c r="AT88" s="259"/>
      <c r="AU88" s="259"/>
      <c r="AV88" s="559"/>
      <c r="AW88" s="559"/>
      <c r="AX88" s="608"/>
      <c r="AY88" s="556"/>
    </row>
    <row r="89" spans="1:51" s="557" customFormat="1" ht="103.5" hidden="1" customHeight="1">
      <c r="A89" s="608"/>
      <c r="B89" s="266"/>
      <c r="C89" s="1399"/>
      <c r="D89" s="1408"/>
      <c r="E89" s="1400"/>
      <c r="F89" s="267"/>
      <c r="G89" s="1399"/>
      <c r="H89" s="1408"/>
      <c r="I89" s="1400"/>
      <c r="J89" s="1380"/>
      <c r="K89" s="1380"/>
      <c r="L89" s="1380"/>
      <c r="M89" s="608"/>
      <c r="N89" s="608"/>
      <c r="O89" s="608"/>
      <c r="P89" s="608"/>
      <c r="Q89" s="266"/>
      <c r="R89" s="266"/>
      <c r="S89" s="268"/>
      <c r="T89" s="269" t="e">
        <f>VLOOKUP(Q89,[71]Listas!$D$6:$E$10,2,0)</f>
        <v>#N/A</v>
      </c>
      <c r="U89" s="269" t="e">
        <f>HLOOKUP(R89,[71]Listas!$F$4:$J$5,2,0)</f>
        <v>#N/A</v>
      </c>
      <c r="V89" s="270" t="e">
        <f>INDEX([71]Listas!$F$6:$J$10,MATCH(Q89,[71]Listas!$D$6:$D$10,0),MATCH(R89,[71]Listas!$F$4:$J$4,0))</f>
        <v>#N/A</v>
      </c>
      <c r="W89" s="268"/>
      <c r="X89" s="1399"/>
      <c r="Y89" s="1408"/>
      <c r="Z89" s="1400"/>
      <c r="AA89" s="1063"/>
      <c r="AB89" s="267"/>
      <c r="AC89" s="259"/>
      <c r="AD89" s="608"/>
      <c r="AE89" s="267"/>
      <c r="AF89" s="268"/>
      <c r="AG89" s="269">
        <f t="shared" si="8"/>
        <v>0</v>
      </c>
      <c r="AH89" s="558" t="e">
        <f t="shared" si="9"/>
        <v>#N/A</v>
      </c>
      <c r="AI89" s="270" t="e">
        <f>IF(AH89&lt;=1,"Remota",VLOOKUP(AH89,[71]Listas!$C$6:$D$10,2,0))</f>
        <v>#N/A</v>
      </c>
      <c r="AJ89" s="558" t="e">
        <f t="shared" si="10"/>
        <v>#N/A</v>
      </c>
      <c r="AK89" s="270" t="e">
        <f>IF(AJ89&lt;=1,"Insignificante",HLOOKUP(AJ89,[71]Listas!$F$3:$J$4,2,0))</f>
        <v>#N/A</v>
      </c>
      <c r="AL89" s="273" t="e">
        <f t="shared" si="11"/>
        <v>#N/A</v>
      </c>
      <c r="AM89" s="270" t="e">
        <f>INDEX([71]Listas!$F$6:$J$10,MATCH(AI89,[71]Listas!$D$6:$D$10,0),MATCH(AK89,[71]Listas!$F$4:$J$4,0))</f>
        <v>#N/A</v>
      </c>
      <c r="AN89" s="259"/>
      <c r="AO89" s="259"/>
      <c r="AP89" s="610"/>
      <c r="AQ89" s="259"/>
      <c r="AR89" s="259" t="s">
        <v>2343</v>
      </c>
      <c r="AS89" s="608"/>
      <c r="AT89" s="259"/>
      <c r="AU89" s="259"/>
      <c r="AV89" s="559"/>
      <c r="AW89" s="559"/>
      <c r="AX89" s="608"/>
      <c r="AY89" s="556"/>
    </row>
    <row r="90" spans="1:51" s="557" customFormat="1" ht="103.5" hidden="1" customHeight="1">
      <c r="A90" s="608"/>
      <c r="B90" s="266"/>
      <c r="C90" s="1399"/>
      <c r="D90" s="1408"/>
      <c r="E90" s="1400"/>
      <c r="F90" s="267"/>
      <c r="G90" s="1399"/>
      <c r="H90" s="1408"/>
      <c r="I90" s="1400"/>
      <c r="J90" s="1380"/>
      <c r="K90" s="1380"/>
      <c r="L90" s="1380"/>
      <c r="M90" s="608"/>
      <c r="N90" s="608"/>
      <c r="O90" s="608"/>
      <c r="P90" s="608"/>
      <c r="Q90" s="266"/>
      <c r="R90" s="266"/>
      <c r="S90" s="268"/>
      <c r="T90" s="269" t="e">
        <f>VLOOKUP(Q90,[71]Listas!$D$6:$E$10,2,0)</f>
        <v>#N/A</v>
      </c>
      <c r="U90" s="269" t="e">
        <f>HLOOKUP(R90,[71]Listas!$F$4:$J$5,2,0)</f>
        <v>#N/A</v>
      </c>
      <c r="V90" s="270" t="e">
        <f>INDEX([71]Listas!$F$6:$J$10,MATCH(Q90,[71]Listas!$D$6:$D$10,0),MATCH(R90,[71]Listas!$F$4:$J$4,0))</f>
        <v>#N/A</v>
      </c>
      <c r="W90" s="268"/>
      <c r="X90" s="1399"/>
      <c r="Y90" s="1408"/>
      <c r="Z90" s="1400"/>
      <c r="AA90" s="1063"/>
      <c r="AB90" s="267"/>
      <c r="AC90" s="259"/>
      <c r="AD90" s="608"/>
      <c r="AE90" s="267"/>
      <c r="AF90" s="268"/>
      <c r="AG90" s="269">
        <f t="shared" si="8"/>
        <v>0</v>
      </c>
      <c r="AH90" s="558" t="e">
        <f t="shared" si="9"/>
        <v>#N/A</v>
      </c>
      <c r="AI90" s="270" t="e">
        <f>IF(AH90&lt;=1,"Remota",VLOOKUP(AH90,[71]Listas!$C$6:$D$10,2,0))</f>
        <v>#N/A</v>
      </c>
      <c r="AJ90" s="558" t="e">
        <f t="shared" si="10"/>
        <v>#N/A</v>
      </c>
      <c r="AK90" s="270" t="e">
        <f>IF(AJ90&lt;=1,"Insignificante",HLOOKUP(AJ90,[71]Listas!$F$3:$J$4,2,0))</f>
        <v>#N/A</v>
      </c>
      <c r="AL90" s="273" t="e">
        <f t="shared" si="11"/>
        <v>#N/A</v>
      </c>
      <c r="AM90" s="270" t="e">
        <f>INDEX([71]Listas!$F$6:$J$10,MATCH(AI90,[71]Listas!$D$6:$D$10,0),MATCH(AK90,[71]Listas!$F$4:$J$4,0))</f>
        <v>#N/A</v>
      </c>
      <c r="AN90" s="259"/>
      <c r="AO90" s="259"/>
      <c r="AP90" s="610"/>
      <c r="AQ90" s="259"/>
      <c r="AR90" s="259" t="s">
        <v>2343</v>
      </c>
      <c r="AS90" s="608"/>
      <c r="AT90" s="259"/>
      <c r="AU90" s="259"/>
      <c r="AV90" s="559"/>
      <c r="AW90" s="559"/>
      <c r="AX90" s="608"/>
      <c r="AY90" s="556"/>
    </row>
    <row r="91" spans="1:51" s="557" customFormat="1" ht="103.5" hidden="1" customHeight="1">
      <c r="A91" s="608"/>
      <c r="B91" s="266"/>
      <c r="C91" s="1399"/>
      <c r="D91" s="1408"/>
      <c r="E91" s="1400"/>
      <c r="F91" s="267"/>
      <c r="G91" s="1399"/>
      <c r="H91" s="1408"/>
      <c r="I91" s="1400"/>
      <c r="J91" s="1380"/>
      <c r="K91" s="1380"/>
      <c r="L91" s="1380"/>
      <c r="M91" s="608"/>
      <c r="N91" s="608"/>
      <c r="O91" s="608"/>
      <c r="P91" s="608"/>
      <c r="Q91" s="266"/>
      <c r="R91" s="266"/>
      <c r="S91" s="268"/>
      <c r="T91" s="269" t="e">
        <f>VLOOKUP(Q91,[71]Listas!$D$6:$E$10,2,0)</f>
        <v>#N/A</v>
      </c>
      <c r="U91" s="269" t="e">
        <f>HLOOKUP(R91,[71]Listas!$F$4:$J$5,2,0)</f>
        <v>#N/A</v>
      </c>
      <c r="V91" s="270" t="e">
        <f>INDEX([71]Listas!$F$6:$J$10,MATCH(Q91,[71]Listas!$D$6:$D$10,0),MATCH(R91,[71]Listas!$F$4:$J$4,0))</f>
        <v>#N/A</v>
      </c>
      <c r="W91" s="268"/>
      <c r="X91" s="1399"/>
      <c r="Y91" s="1408"/>
      <c r="Z91" s="1400"/>
      <c r="AA91" s="1063"/>
      <c r="AB91" s="267"/>
      <c r="AC91" s="259"/>
      <c r="AD91" s="608"/>
      <c r="AE91" s="267"/>
      <c r="AF91" s="268"/>
      <c r="AG91" s="269">
        <f t="shared" si="8"/>
        <v>0</v>
      </c>
      <c r="AH91" s="558" t="e">
        <f t="shared" si="9"/>
        <v>#N/A</v>
      </c>
      <c r="AI91" s="270" t="e">
        <f>IF(AH91&lt;=1,"Remota",VLOOKUP(AH91,[71]Listas!$C$6:$D$10,2,0))</f>
        <v>#N/A</v>
      </c>
      <c r="AJ91" s="558" t="e">
        <f t="shared" si="10"/>
        <v>#N/A</v>
      </c>
      <c r="AK91" s="270" t="e">
        <f>IF(AJ91&lt;=1,"Insignificante",HLOOKUP(AJ91,[71]Listas!$F$3:$J$4,2,0))</f>
        <v>#N/A</v>
      </c>
      <c r="AL91" s="273" t="e">
        <f t="shared" si="11"/>
        <v>#N/A</v>
      </c>
      <c r="AM91" s="270" t="e">
        <f>INDEX([71]Listas!$F$6:$J$10,MATCH(AI91,[71]Listas!$D$6:$D$10,0),MATCH(AK91,[71]Listas!$F$4:$J$4,0))</f>
        <v>#N/A</v>
      </c>
      <c r="AN91" s="259"/>
      <c r="AO91" s="259"/>
      <c r="AP91" s="610"/>
      <c r="AQ91" s="259"/>
      <c r="AR91" s="259" t="s">
        <v>2343</v>
      </c>
      <c r="AS91" s="608"/>
      <c r="AT91" s="259"/>
      <c r="AU91" s="259"/>
      <c r="AV91" s="559"/>
      <c r="AW91" s="559"/>
      <c r="AX91" s="608"/>
      <c r="AY91" s="556"/>
    </row>
    <row r="92" spans="1:51" s="557" customFormat="1" ht="103.5" hidden="1" customHeight="1">
      <c r="A92" s="608"/>
      <c r="B92" s="266"/>
      <c r="C92" s="1399"/>
      <c r="D92" s="1408"/>
      <c r="E92" s="1400"/>
      <c r="F92" s="267"/>
      <c r="G92" s="1399"/>
      <c r="H92" s="1408"/>
      <c r="I92" s="1400"/>
      <c r="J92" s="1380"/>
      <c r="K92" s="1380"/>
      <c r="L92" s="1380"/>
      <c r="M92" s="608"/>
      <c r="N92" s="608"/>
      <c r="O92" s="608"/>
      <c r="P92" s="608"/>
      <c r="Q92" s="266"/>
      <c r="R92" s="266"/>
      <c r="S92" s="268"/>
      <c r="T92" s="269" t="e">
        <f>VLOOKUP(Q92,[71]Listas!$D$6:$E$10,2,0)</f>
        <v>#N/A</v>
      </c>
      <c r="U92" s="269" t="e">
        <f>HLOOKUP(R92,[71]Listas!$F$4:$J$5,2,0)</f>
        <v>#N/A</v>
      </c>
      <c r="V92" s="270" t="e">
        <f>INDEX([71]Listas!$F$6:$J$10,MATCH(Q92,[71]Listas!$D$6:$D$10,0),MATCH(R92,[71]Listas!$F$4:$J$4,0))</f>
        <v>#N/A</v>
      </c>
      <c r="W92" s="268"/>
      <c r="X92" s="1399"/>
      <c r="Y92" s="1408"/>
      <c r="Z92" s="1400"/>
      <c r="AA92" s="1063"/>
      <c r="AB92" s="267"/>
      <c r="AC92" s="259"/>
      <c r="AD92" s="608"/>
      <c r="AE92" s="267"/>
      <c r="AF92" s="268"/>
      <c r="AG92" s="269">
        <f t="shared" si="8"/>
        <v>0</v>
      </c>
      <c r="AH92" s="558" t="e">
        <f t="shared" si="9"/>
        <v>#N/A</v>
      </c>
      <c r="AI92" s="270" t="e">
        <f>IF(AH92&lt;=1,"Remota",VLOOKUP(AH92,[71]Listas!$C$6:$D$10,2,0))</f>
        <v>#N/A</v>
      </c>
      <c r="AJ92" s="558" t="e">
        <f t="shared" si="10"/>
        <v>#N/A</v>
      </c>
      <c r="AK92" s="270" t="e">
        <f>IF(AJ92&lt;=1,"Insignificante",HLOOKUP(AJ92,[71]Listas!$F$3:$J$4,2,0))</f>
        <v>#N/A</v>
      </c>
      <c r="AL92" s="273" t="e">
        <f t="shared" si="11"/>
        <v>#N/A</v>
      </c>
      <c r="AM92" s="270" t="e">
        <f>INDEX([71]Listas!$F$6:$J$10,MATCH(AI92,[71]Listas!$D$6:$D$10,0),MATCH(AK92,[71]Listas!$F$4:$J$4,0))</f>
        <v>#N/A</v>
      </c>
      <c r="AN92" s="259"/>
      <c r="AO92" s="259"/>
      <c r="AP92" s="610"/>
      <c r="AQ92" s="259"/>
      <c r="AR92" s="259" t="s">
        <v>2343</v>
      </c>
      <c r="AS92" s="608"/>
      <c r="AT92" s="259"/>
      <c r="AU92" s="259"/>
      <c r="AV92" s="559"/>
      <c r="AW92" s="559"/>
      <c r="AX92" s="608"/>
      <c r="AY92" s="556"/>
    </row>
    <row r="93" spans="1:51" s="557" customFormat="1" ht="103.5" hidden="1" customHeight="1">
      <c r="A93" s="608"/>
      <c r="B93" s="266"/>
      <c r="C93" s="1399"/>
      <c r="D93" s="1408"/>
      <c r="E93" s="1400"/>
      <c r="F93" s="267"/>
      <c r="G93" s="1399"/>
      <c r="H93" s="1408"/>
      <c r="I93" s="1400"/>
      <c r="J93" s="1380"/>
      <c r="K93" s="1380"/>
      <c r="L93" s="1380"/>
      <c r="M93" s="608"/>
      <c r="N93" s="608"/>
      <c r="O93" s="608"/>
      <c r="P93" s="608"/>
      <c r="Q93" s="266"/>
      <c r="R93" s="266"/>
      <c r="S93" s="268"/>
      <c r="T93" s="269" t="e">
        <f>VLOOKUP(Q93,[71]Listas!$D$6:$E$10,2,0)</f>
        <v>#N/A</v>
      </c>
      <c r="U93" s="269" t="e">
        <f>HLOOKUP(R93,[71]Listas!$F$4:$J$5,2,0)</f>
        <v>#N/A</v>
      </c>
      <c r="V93" s="270" t="e">
        <f>INDEX([71]Listas!$F$6:$J$10,MATCH(Q93,[71]Listas!$D$6:$D$10,0),MATCH(R93,[71]Listas!$F$4:$J$4,0))</f>
        <v>#N/A</v>
      </c>
      <c r="W93" s="268"/>
      <c r="X93" s="1399"/>
      <c r="Y93" s="1408"/>
      <c r="Z93" s="1400"/>
      <c r="AA93" s="1063"/>
      <c r="AB93" s="267"/>
      <c r="AC93" s="259"/>
      <c r="AD93" s="608"/>
      <c r="AE93" s="267"/>
      <c r="AF93" s="268"/>
      <c r="AG93" s="269">
        <f t="shared" si="8"/>
        <v>0</v>
      </c>
      <c r="AH93" s="558" t="e">
        <f t="shared" si="9"/>
        <v>#N/A</v>
      </c>
      <c r="AI93" s="270" t="e">
        <f>IF(AH93&lt;=1,"Remota",VLOOKUP(AH93,[71]Listas!$C$6:$D$10,2,0))</f>
        <v>#N/A</v>
      </c>
      <c r="AJ93" s="558" t="e">
        <f t="shared" si="10"/>
        <v>#N/A</v>
      </c>
      <c r="AK93" s="270" t="e">
        <f>IF(AJ93&lt;=1,"Insignificante",HLOOKUP(AJ93,[71]Listas!$F$3:$J$4,2,0))</f>
        <v>#N/A</v>
      </c>
      <c r="AL93" s="273" t="e">
        <f t="shared" si="11"/>
        <v>#N/A</v>
      </c>
      <c r="AM93" s="270" t="e">
        <f>INDEX([71]Listas!$F$6:$J$10,MATCH(AI93,[71]Listas!$D$6:$D$10,0),MATCH(AK93,[71]Listas!$F$4:$J$4,0))</f>
        <v>#N/A</v>
      </c>
      <c r="AN93" s="259"/>
      <c r="AO93" s="259"/>
      <c r="AP93" s="610"/>
      <c r="AQ93" s="259"/>
      <c r="AR93" s="259" t="s">
        <v>2343</v>
      </c>
      <c r="AS93" s="608"/>
      <c r="AT93" s="259"/>
      <c r="AU93" s="259"/>
      <c r="AV93" s="559"/>
      <c r="AW93" s="559"/>
      <c r="AX93" s="608"/>
      <c r="AY93" s="556"/>
    </row>
    <row r="94" spans="1:51" s="557" customFormat="1" ht="103.5" hidden="1" customHeight="1">
      <c r="A94" s="608"/>
      <c r="B94" s="266"/>
      <c r="C94" s="1399"/>
      <c r="D94" s="1408"/>
      <c r="E94" s="1400"/>
      <c r="F94" s="267"/>
      <c r="G94" s="1399"/>
      <c r="H94" s="1408"/>
      <c r="I94" s="1400"/>
      <c r="J94" s="1380"/>
      <c r="K94" s="1380"/>
      <c r="L94" s="1380"/>
      <c r="M94" s="608"/>
      <c r="N94" s="608"/>
      <c r="O94" s="608"/>
      <c r="P94" s="608"/>
      <c r="Q94" s="266"/>
      <c r="R94" s="266"/>
      <c r="S94" s="268"/>
      <c r="T94" s="269" t="e">
        <f>VLOOKUP(Q94,[71]Listas!$D$6:$E$10,2,0)</f>
        <v>#N/A</v>
      </c>
      <c r="U94" s="269" t="e">
        <f>HLOOKUP(R94,[71]Listas!$F$4:$J$5,2,0)</f>
        <v>#N/A</v>
      </c>
      <c r="V94" s="270" t="e">
        <f>INDEX([71]Listas!$F$6:$J$10,MATCH(Q94,[71]Listas!$D$6:$D$10,0),MATCH(R94,[71]Listas!$F$4:$J$4,0))</f>
        <v>#N/A</v>
      </c>
      <c r="W94" s="268"/>
      <c r="X94" s="1399"/>
      <c r="Y94" s="1408"/>
      <c r="Z94" s="1400"/>
      <c r="AA94" s="1063"/>
      <c r="AB94" s="267"/>
      <c r="AC94" s="259"/>
      <c r="AD94" s="608"/>
      <c r="AE94" s="267"/>
      <c r="AF94" s="268"/>
      <c r="AG94" s="269">
        <f t="shared" si="8"/>
        <v>0</v>
      </c>
      <c r="AH94" s="558" t="e">
        <f t="shared" si="9"/>
        <v>#N/A</v>
      </c>
      <c r="AI94" s="270" t="e">
        <f>IF(AH94&lt;=1,"Remota",VLOOKUP(AH94,[71]Listas!$C$6:$D$10,2,0))</f>
        <v>#N/A</v>
      </c>
      <c r="AJ94" s="558" t="e">
        <f t="shared" si="10"/>
        <v>#N/A</v>
      </c>
      <c r="AK94" s="270" t="e">
        <f>IF(AJ94&lt;=1,"Insignificante",HLOOKUP(AJ94,[71]Listas!$F$3:$J$4,2,0))</f>
        <v>#N/A</v>
      </c>
      <c r="AL94" s="273" t="e">
        <f t="shared" si="11"/>
        <v>#N/A</v>
      </c>
      <c r="AM94" s="270" t="e">
        <f>INDEX([71]Listas!$F$6:$J$10,MATCH(AI94,[71]Listas!$D$6:$D$10,0),MATCH(AK94,[71]Listas!$F$4:$J$4,0))</f>
        <v>#N/A</v>
      </c>
      <c r="AN94" s="259"/>
      <c r="AO94" s="259"/>
      <c r="AP94" s="610"/>
      <c r="AQ94" s="259"/>
      <c r="AR94" s="259" t="s">
        <v>2343</v>
      </c>
      <c r="AS94" s="608"/>
      <c r="AT94" s="259"/>
      <c r="AU94" s="259"/>
      <c r="AV94" s="559"/>
      <c r="AW94" s="559"/>
      <c r="AX94" s="608"/>
      <c r="AY94" s="556"/>
    </row>
    <row r="95" spans="1:51" s="557" customFormat="1" ht="103.5" hidden="1" customHeight="1">
      <c r="A95" s="608"/>
      <c r="B95" s="266"/>
      <c r="C95" s="1399"/>
      <c r="D95" s="1408"/>
      <c r="E95" s="1400"/>
      <c r="F95" s="267"/>
      <c r="G95" s="1399"/>
      <c r="H95" s="1408"/>
      <c r="I95" s="1400"/>
      <c r="J95" s="1380"/>
      <c r="K95" s="1380"/>
      <c r="L95" s="1380"/>
      <c r="M95" s="608"/>
      <c r="N95" s="608"/>
      <c r="O95" s="608"/>
      <c r="P95" s="608"/>
      <c r="Q95" s="266"/>
      <c r="R95" s="266"/>
      <c r="S95" s="268"/>
      <c r="T95" s="269" t="e">
        <f>VLOOKUP(Q95,[71]Listas!$D$6:$E$10,2,0)</f>
        <v>#N/A</v>
      </c>
      <c r="U95" s="269" t="e">
        <f>HLOOKUP(R95,[71]Listas!$F$4:$J$5,2,0)</f>
        <v>#N/A</v>
      </c>
      <c r="V95" s="270" t="e">
        <f>INDEX([71]Listas!$F$6:$J$10,MATCH(Q95,[71]Listas!$D$6:$D$10,0),MATCH(R95,[71]Listas!$F$4:$J$4,0))</f>
        <v>#N/A</v>
      </c>
      <c r="W95" s="268"/>
      <c r="X95" s="1399"/>
      <c r="Y95" s="1408"/>
      <c r="Z95" s="1400"/>
      <c r="AA95" s="1063"/>
      <c r="AB95" s="267"/>
      <c r="AC95" s="259"/>
      <c r="AD95" s="608"/>
      <c r="AE95" s="267"/>
      <c r="AF95" s="268"/>
      <c r="AG95" s="269">
        <f t="shared" si="8"/>
        <v>0</v>
      </c>
      <c r="AH95" s="558" t="e">
        <f t="shared" si="9"/>
        <v>#N/A</v>
      </c>
      <c r="AI95" s="270" t="e">
        <f>IF(AH95&lt;=1,"Remota",VLOOKUP(AH95,[71]Listas!$C$6:$D$10,2,0))</f>
        <v>#N/A</v>
      </c>
      <c r="AJ95" s="558" t="e">
        <f t="shared" si="10"/>
        <v>#N/A</v>
      </c>
      <c r="AK95" s="270" t="e">
        <f>IF(AJ95&lt;=1,"Insignificante",HLOOKUP(AJ95,[71]Listas!$F$3:$J$4,2,0))</f>
        <v>#N/A</v>
      </c>
      <c r="AL95" s="273" t="e">
        <f t="shared" si="11"/>
        <v>#N/A</v>
      </c>
      <c r="AM95" s="270" t="e">
        <f>INDEX([71]Listas!$F$6:$J$10,MATCH(AI95,[71]Listas!$D$6:$D$10,0),MATCH(AK95,[71]Listas!$F$4:$J$4,0))</f>
        <v>#N/A</v>
      </c>
      <c r="AN95" s="259"/>
      <c r="AO95" s="259"/>
      <c r="AP95" s="610"/>
      <c r="AQ95" s="259"/>
      <c r="AR95" s="259" t="s">
        <v>2343</v>
      </c>
      <c r="AS95" s="608"/>
      <c r="AT95" s="259"/>
      <c r="AU95" s="259"/>
      <c r="AV95" s="559"/>
      <c r="AW95" s="559"/>
      <c r="AX95" s="608"/>
      <c r="AY95" s="556"/>
    </row>
    <row r="96" spans="1:51" s="557" customFormat="1" ht="103.5" hidden="1" customHeight="1">
      <c r="A96" s="608"/>
      <c r="B96" s="266"/>
      <c r="C96" s="1399"/>
      <c r="D96" s="1408"/>
      <c r="E96" s="1400"/>
      <c r="F96" s="267"/>
      <c r="G96" s="1399"/>
      <c r="H96" s="1408"/>
      <c r="I96" s="1400"/>
      <c r="J96" s="1380"/>
      <c r="K96" s="1380"/>
      <c r="L96" s="1380"/>
      <c r="M96" s="608"/>
      <c r="N96" s="608"/>
      <c r="O96" s="608"/>
      <c r="P96" s="608"/>
      <c r="Q96" s="266"/>
      <c r="R96" s="266"/>
      <c r="S96" s="268"/>
      <c r="T96" s="269" t="e">
        <f>VLOOKUP(Q96,[71]Listas!$D$6:$E$10,2,0)</f>
        <v>#N/A</v>
      </c>
      <c r="U96" s="269" t="e">
        <f>HLOOKUP(R96,[71]Listas!$F$4:$J$5,2,0)</f>
        <v>#N/A</v>
      </c>
      <c r="V96" s="270" t="e">
        <f>INDEX([71]Listas!$F$6:$J$10,MATCH(Q96,[71]Listas!$D$6:$D$10,0),MATCH(R96,[71]Listas!$F$4:$J$4,0))</f>
        <v>#N/A</v>
      </c>
      <c r="W96" s="268"/>
      <c r="X96" s="1399"/>
      <c r="Y96" s="1408"/>
      <c r="Z96" s="1400"/>
      <c r="AA96" s="1063"/>
      <c r="AB96" s="267"/>
      <c r="AC96" s="259"/>
      <c r="AD96" s="608"/>
      <c r="AE96" s="267"/>
      <c r="AF96" s="268"/>
      <c r="AG96" s="269">
        <f t="shared" si="8"/>
        <v>0</v>
      </c>
      <c r="AH96" s="558" t="e">
        <f t="shared" si="9"/>
        <v>#N/A</v>
      </c>
      <c r="AI96" s="270" t="e">
        <f>IF(AH96&lt;=1,"Remota",VLOOKUP(AH96,[71]Listas!$C$6:$D$10,2,0))</f>
        <v>#N/A</v>
      </c>
      <c r="AJ96" s="558" t="e">
        <f t="shared" si="10"/>
        <v>#N/A</v>
      </c>
      <c r="AK96" s="270" t="e">
        <f>IF(AJ96&lt;=1,"Insignificante",HLOOKUP(AJ96,[71]Listas!$F$3:$J$4,2,0))</f>
        <v>#N/A</v>
      </c>
      <c r="AL96" s="273" t="e">
        <f t="shared" si="11"/>
        <v>#N/A</v>
      </c>
      <c r="AM96" s="270" t="e">
        <f>INDEX([71]Listas!$F$6:$J$10,MATCH(AI96,[71]Listas!$D$6:$D$10,0),MATCH(AK96,[71]Listas!$F$4:$J$4,0))</f>
        <v>#N/A</v>
      </c>
      <c r="AN96" s="259"/>
      <c r="AO96" s="259"/>
      <c r="AP96" s="610"/>
      <c r="AQ96" s="259"/>
      <c r="AR96" s="259" t="s">
        <v>2343</v>
      </c>
      <c r="AS96" s="608"/>
      <c r="AT96" s="259"/>
      <c r="AU96" s="259"/>
      <c r="AV96" s="559"/>
      <c r="AW96" s="559"/>
      <c r="AX96" s="608"/>
      <c r="AY96" s="556"/>
    </row>
    <row r="97" spans="1:51" s="557" customFormat="1" ht="103.5" hidden="1" customHeight="1">
      <c r="A97" s="608"/>
      <c r="B97" s="266"/>
      <c r="C97" s="1399"/>
      <c r="D97" s="1408"/>
      <c r="E97" s="1400"/>
      <c r="F97" s="267"/>
      <c r="G97" s="1399"/>
      <c r="H97" s="1408"/>
      <c r="I97" s="1400"/>
      <c r="J97" s="1380"/>
      <c r="K97" s="1380"/>
      <c r="L97" s="1380"/>
      <c r="M97" s="608"/>
      <c r="N97" s="608"/>
      <c r="O97" s="608"/>
      <c r="P97" s="608"/>
      <c r="Q97" s="266"/>
      <c r="R97" s="266"/>
      <c r="S97" s="268"/>
      <c r="T97" s="269" t="e">
        <f>VLOOKUP(Q97,[71]Listas!$D$6:$E$10,2,0)</f>
        <v>#N/A</v>
      </c>
      <c r="U97" s="269" t="e">
        <f>HLOOKUP(R97,[71]Listas!$F$4:$J$5,2,0)</f>
        <v>#N/A</v>
      </c>
      <c r="V97" s="270" t="e">
        <f>INDEX([71]Listas!$F$6:$J$10,MATCH(Q97,[71]Listas!$D$6:$D$10,0),MATCH(R97,[71]Listas!$F$4:$J$4,0))</f>
        <v>#N/A</v>
      </c>
      <c r="W97" s="268"/>
      <c r="X97" s="1399"/>
      <c r="Y97" s="1408"/>
      <c r="Z97" s="1400"/>
      <c r="AA97" s="1063"/>
      <c r="AB97" s="267"/>
      <c r="AC97" s="259"/>
      <c r="AD97" s="608"/>
      <c r="AE97" s="267"/>
      <c r="AF97" s="268"/>
      <c r="AG97" s="269">
        <f t="shared" si="8"/>
        <v>0</v>
      </c>
      <c r="AH97" s="558" t="e">
        <f t="shared" si="9"/>
        <v>#N/A</v>
      </c>
      <c r="AI97" s="270" t="e">
        <f>IF(AH97&lt;=1,"Remota",VLOOKUP(AH97,[71]Listas!$C$6:$D$10,2,0))</f>
        <v>#N/A</v>
      </c>
      <c r="AJ97" s="558" t="e">
        <f t="shared" si="10"/>
        <v>#N/A</v>
      </c>
      <c r="AK97" s="270" t="e">
        <f>IF(AJ97&lt;=1,"Insignificante",HLOOKUP(AJ97,[71]Listas!$F$3:$J$4,2,0))</f>
        <v>#N/A</v>
      </c>
      <c r="AL97" s="273" t="e">
        <f t="shared" si="11"/>
        <v>#N/A</v>
      </c>
      <c r="AM97" s="270" t="e">
        <f>INDEX([71]Listas!$F$6:$J$10,MATCH(AI97,[71]Listas!$D$6:$D$10,0),MATCH(AK97,[71]Listas!$F$4:$J$4,0))</f>
        <v>#N/A</v>
      </c>
      <c r="AN97" s="259"/>
      <c r="AO97" s="259"/>
      <c r="AP97" s="610"/>
      <c r="AQ97" s="259"/>
      <c r="AR97" s="259" t="s">
        <v>2343</v>
      </c>
      <c r="AS97" s="608"/>
      <c r="AT97" s="259"/>
      <c r="AU97" s="259"/>
      <c r="AV97" s="559"/>
      <c r="AW97" s="559"/>
      <c r="AX97" s="608"/>
      <c r="AY97" s="556"/>
    </row>
    <row r="98" spans="1:51" s="557" customFormat="1" ht="103.5" hidden="1" customHeight="1">
      <c r="A98" s="608"/>
      <c r="B98" s="266"/>
      <c r="C98" s="1399"/>
      <c r="D98" s="1408"/>
      <c r="E98" s="1400"/>
      <c r="F98" s="267"/>
      <c r="G98" s="1399"/>
      <c r="H98" s="1408"/>
      <c r="I98" s="1400"/>
      <c r="J98" s="1380"/>
      <c r="K98" s="1380"/>
      <c r="L98" s="1380"/>
      <c r="M98" s="608"/>
      <c r="N98" s="608"/>
      <c r="O98" s="608"/>
      <c r="P98" s="608"/>
      <c r="Q98" s="266"/>
      <c r="R98" s="266"/>
      <c r="S98" s="268"/>
      <c r="T98" s="269" t="e">
        <f>VLOOKUP(Q98,[71]Listas!$D$6:$E$10,2,0)</f>
        <v>#N/A</v>
      </c>
      <c r="U98" s="269" t="e">
        <f>HLOOKUP(R98,[71]Listas!$F$4:$J$5,2,0)</f>
        <v>#N/A</v>
      </c>
      <c r="V98" s="270" t="e">
        <f>INDEX([71]Listas!$F$6:$J$10,MATCH(Q98,[71]Listas!$D$6:$D$10,0),MATCH(R98,[71]Listas!$F$4:$J$4,0))</f>
        <v>#N/A</v>
      </c>
      <c r="W98" s="268"/>
      <c r="X98" s="1399"/>
      <c r="Y98" s="1408"/>
      <c r="Z98" s="1400"/>
      <c r="AA98" s="1063"/>
      <c r="AB98" s="267"/>
      <c r="AC98" s="259"/>
      <c r="AD98" s="608"/>
      <c r="AE98" s="267"/>
      <c r="AF98" s="268"/>
      <c r="AG98" s="269">
        <f t="shared" si="8"/>
        <v>0</v>
      </c>
      <c r="AH98" s="558" t="e">
        <f t="shared" si="9"/>
        <v>#N/A</v>
      </c>
      <c r="AI98" s="270" t="e">
        <f>IF(AH98&lt;=1,"Remota",VLOOKUP(AH98,[71]Listas!$C$6:$D$10,2,0))</f>
        <v>#N/A</v>
      </c>
      <c r="AJ98" s="558" t="e">
        <f t="shared" si="10"/>
        <v>#N/A</v>
      </c>
      <c r="AK98" s="270" t="e">
        <f>IF(AJ98&lt;=1,"Insignificante",HLOOKUP(AJ98,[71]Listas!$F$3:$J$4,2,0))</f>
        <v>#N/A</v>
      </c>
      <c r="AL98" s="273" t="e">
        <f t="shared" si="11"/>
        <v>#N/A</v>
      </c>
      <c r="AM98" s="270" t="e">
        <f>INDEX([71]Listas!$F$6:$J$10,MATCH(AI98,[71]Listas!$D$6:$D$10,0),MATCH(AK98,[71]Listas!$F$4:$J$4,0))</f>
        <v>#N/A</v>
      </c>
      <c r="AN98" s="259"/>
      <c r="AO98" s="259"/>
      <c r="AP98" s="610"/>
      <c r="AQ98" s="259"/>
      <c r="AR98" s="259" t="s">
        <v>2343</v>
      </c>
      <c r="AS98" s="608"/>
      <c r="AT98" s="259"/>
      <c r="AU98" s="259"/>
      <c r="AV98" s="559"/>
      <c r="AW98" s="559"/>
      <c r="AX98" s="608"/>
      <c r="AY98" s="556"/>
    </row>
    <row r="99" spans="1:51" s="557" customFormat="1" ht="103.5" hidden="1" customHeight="1">
      <c r="A99" s="620"/>
      <c r="B99" s="274"/>
      <c r="C99" s="1399"/>
      <c r="D99" s="1408"/>
      <c r="E99" s="1400"/>
      <c r="F99" s="267"/>
      <c r="G99" s="1399"/>
      <c r="H99" s="1408"/>
      <c r="I99" s="1400"/>
      <c r="J99" s="1380"/>
      <c r="K99" s="1380"/>
      <c r="L99" s="1380"/>
      <c r="M99" s="608"/>
      <c r="N99" s="608"/>
      <c r="O99" s="608"/>
      <c r="P99" s="608"/>
      <c r="Q99" s="266"/>
      <c r="R99" s="266"/>
      <c r="S99" s="268"/>
      <c r="T99" s="269" t="e">
        <f>VLOOKUP(Q99,[71]Listas!$D$6:$E$10,2,0)</f>
        <v>#N/A</v>
      </c>
      <c r="U99" s="269" t="e">
        <f>HLOOKUP(R99,[71]Listas!$F$4:$J$5,2,0)</f>
        <v>#N/A</v>
      </c>
      <c r="V99" s="270" t="e">
        <f>INDEX([71]Listas!$F$6:$J$10,MATCH(Q99,[71]Listas!$D$6:$D$10,0),MATCH(R99,[71]Listas!$F$4:$J$4,0))</f>
        <v>#N/A</v>
      </c>
      <c r="W99" s="268"/>
      <c r="X99" s="1399"/>
      <c r="Y99" s="1408"/>
      <c r="Z99" s="1400"/>
      <c r="AA99" s="1063"/>
      <c r="AB99" s="267"/>
      <c r="AC99" s="259"/>
      <c r="AD99" s="608"/>
      <c r="AE99" s="267"/>
      <c r="AF99" s="268"/>
      <c r="AG99" s="269">
        <f t="shared" si="8"/>
        <v>0</v>
      </c>
      <c r="AH99" s="558" t="e">
        <f t="shared" si="9"/>
        <v>#N/A</v>
      </c>
      <c r="AI99" s="270" t="e">
        <f>IF(AH99&lt;=1,"Remota",VLOOKUP(AH99,[71]Listas!$C$6:$D$10,2,0))</f>
        <v>#N/A</v>
      </c>
      <c r="AJ99" s="558" t="e">
        <f t="shared" si="10"/>
        <v>#N/A</v>
      </c>
      <c r="AK99" s="270" t="e">
        <f>IF(AJ99&lt;=1,"Insignificante",HLOOKUP(AJ99,[71]Listas!$F$3:$J$4,2,0))</f>
        <v>#N/A</v>
      </c>
      <c r="AL99" s="273" t="e">
        <f t="shared" si="11"/>
        <v>#N/A</v>
      </c>
      <c r="AM99" s="270" t="e">
        <f>INDEX([71]Listas!$F$6:$J$10,MATCH(AI99,[71]Listas!$D$6:$D$10,0),MATCH(AK99,[71]Listas!$F$4:$J$4,0))</f>
        <v>#N/A</v>
      </c>
      <c r="AN99" s="259"/>
      <c r="AO99" s="259"/>
      <c r="AP99" s="610"/>
      <c r="AQ99" s="259"/>
      <c r="AR99" s="259" t="s">
        <v>2343</v>
      </c>
      <c r="AS99" s="608"/>
      <c r="AT99" s="259"/>
      <c r="AU99" s="259"/>
      <c r="AV99" s="559"/>
      <c r="AW99" s="559"/>
      <c r="AX99" s="608"/>
      <c r="AY99" s="556"/>
    </row>
    <row r="100" spans="1:51" s="557" customFormat="1" ht="103.5" hidden="1" customHeight="1">
      <c r="A100" s="608"/>
      <c r="B100" s="266"/>
      <c r="C100" s="1399"/>
      <c r="D100" s="1408"/>
      <c r="E100" s="1400"/>
      <c r="F100" s="267"/>
      <c r="G100" s="1399"/>
      <c r="H100" s="1408"/>
      <c r="I100" s="1400"/>
      <c r="J100" s="1380"/>
      <c r="K100" s="1380"/>
      <c r="L100" s="1380"/>
      <c r="M100" s="608"/>
      <c r="N100" s="608"/>
      <c r="O100" s="608"/>
      <c r="P100" s="608"/>
      <c r="Q100" s="266"/>
      <c r="R100" s="266"/>
      <c r="S100" s="268"/>
      <c r="T100" s="269" t="e">
        <f>VLOOKUP(Q100,[71]Listas!$D$6:$E$10,2,0)</f>
        <v>#N/A</v>
      </c>
      <c r="U100" s="269" t="e">
        <f>HLOOKUP(R100,[71]Listas!$F$4:$J$5,2,0)</f>
        <v>#N/A</v>
      </c>
      <c r="V100" s="270" t="e">
        <f>INDEX([71]Listas!$F$6:$J$10,MATCH(Q100,[71]Listas!$D$6:$D$10,0),MATCH(R100,[71]Listas!$F$4:$J$4,0))</f>
        <v>#N/A</v>
      </c>
      <c r="W100" s="268"/>
      <c r="X100" s="1399"/>
      <c r="Y100" s="1408"/>
      <c r="Z100" s="1400"/>
      <c r="AA100" s="1063"/>
      <c r="AB100" s="267"/>
      <c r="AC100" s="259"/>
      <c r="AD100" s="608"/>
      <c r="AE100" s="267"/>
      <c r="AF100" s="268"/>
      <c r="AG100" s="269">
        <f t="shared" si="8"/>
        <v>0</v>
      </c>
      <c r="AH100" s="558" t="e">
        <f t="shared" si="9"/>
        <v>#N/A</v>
      </c>
      <c r="AI100" s="270" t="e">
        <f>IF(AH100&lt;=1,"Remota",VLOOKUP(AH100,[71]Listas!$C$6:$D$10,2,0))</f>
        <v>#N/A</v>
      </c>
      <c r="AJ100" s="558" t="e">
        <f t="shared" si="10"/>
        <v>#N/A</v>
      </c>
      <c r="AK100" s="270" t="e">
        <f>IF(AJ100&lt;=1,"Insignificante",HLOOKUP(AJ100,[71]Listas!$F$3:$J$4,2,0))</f>
        <v>#N/A</v>
      </c>
      <c r="AL100" s="273" t="e">
        <f t="shared" si="11"/>
        <v>#N/A</v>
      </c>
      <c r="AM100" s="270" t="e">
        <f>INDEX([71]Listas!$F$6:$J$10,MATCH(AI100,[71]Listas!$D$6:$D$10,0),MATCH(AK100,[71]Listas!$F$4:$J$4,0))</f>
        <v>#N/A</v>
      </c>
      <c r="AN100" s="259"/>
      <c r="AO100" s="259"/>
      <c r="AP100" s="610"/>
      <c r="AQ100" s="259"/>
      <c r="AR100" s="259" t="s">
        <v>2343</v>
      </c>
      <c r="AS100" s="608"/>
      <c r="AT100" s="259"/>
      <c r="AU100" s="259"/>
      <c r="AV100" s="559"/>
      <c r="AW100" s="559"/>
      <c r="AX100" s="608"/>
      <c r="AY100" s="556"/>
    </row>
    <row r="101" spans="1:51" s="557" customFormat="1" ht="103.5" hidden="1" customHeight="1">
      <c r="A101" s="608"/>
      <c r="B101" s="266"/>
      <c r="C101" s="1399"/>
      <c r="D101" s="1408"/>
      <c r="E101" s="1400"/>
      <c r="F101" s="267"/>
      <c r="G101" s="1399"/>
      <c r="H101" s="1408"/>
      <c r="I101" s="1400"/>
      <c r="J101" s="1380"/>
      <c r="K101" s="1380"/>
      <c r="L101" s="1380"/>
      <c r="M101" s="608"/>
      <c r="N101" s="608"/>
      <c r="O101" s="608"/>
      <c r="P101" s="608"/>
      <c r="Q101" s="266"/>
      <c r="R101" s="266"/>
      <c r="S101" s="268"/>
      <c r="T101" s="269" t="e">
        <f>VLOOKUP(Q101,[71]Listas!$D$6:$E$10,2,0)</f>
        <v>#N/A</v>
      </c>
      <c r="U101" s="269" t="e">
        <f>HLOOKUP(R101,[71]Listas!$F$4:$J$5,2,0)</f>
        <v>#N/A</v>
      </c>
      <c r="V101" s="270" t="e">
        <f>INDEX([71]Listas!$F$6:$J$10,MATCH(Q101,[71]Listas!$D$6:$D$10,0),MATCH(R101,[71]Listas!$F$4:$J$4,0))</f>
        <v>#N/A</v>
      </c>
      <c r="W101" s="268"/>
      <c r="X101" s="1399"/>
      <c r="Y101" s="1408"/>
      <c r="Z101" s="1400"/>
      <c r="AA101" s="1063"/>
      <c r="AB101" s="267"/>
      <c r="AC101" s="259"/>
      <c r="AD101" s="608"/>
      <c r="AE101" s="267"/>
      <c r="AF101" s="268"/>
      <c r="AG101" s="269">
        <f t="shared" si="8"/>
        <v>0</v>
      </c>
      <c r="AH101" s="558" t="e">
        <f t="shared" si="9"/>
        <v>#N/A</v>
      </c>
      <c r="AI101" s="270" t="e">
        <f>IF(AH101&lt;=1,"Remota",VLOOKUP(AH101,[71]Listas!$C$6:$D$10,2,0))</f>
        <v>#N/A</v>
      </c>
      <c r="AJ101" s="558" t="e">
        <f t="shared" si="10"/>
        <v>#N/A</v>
      </c>
      <c r="AK101" s="270" t="e">
        <f>IF(AJ101&lt;=1,"Insignificante",HLOOKUP(AJ101,[71]Listas!$F$3:$J$4,2,0))</f>
        <v>#N/A</v>
      </c>
      <c r="AL101" s="273" t="e">
        <f t="shared" si="11"/>
        <v>#N/A</v>
      </c>
      <c r="AM101" s="270" t="e">
        <f>INDEX([71]Listas!$F$6:$J$10,MATCH(AI101,[71]Listas!$D$6:$D$10,0),MATCH(AK101,[71]Listas!$F$4:$J$4,0))</f>
        <v>#N/A</v>
      </c>
      <c r="AN101" s="259"/>
      <c r="AO101" s="259"/>
      <c r="AP101" s="610"/>
      <c r="AQ101" s="259"/>
      <c r="AR101" s="259" t="s">
        <v>2343</v>
      </c>
      <c r="AS101" s="608"/>
      <c r="AT101" s="259"/>
      <c r="AU101" s="259"/>
      <c r="AV101" s="559"/>
      <c r="AW101" s="559"/>
      <c r="AX101" s="608"/>
      <c r="AY101" s="556"/>
    </row>
    <row r="102" spans="1:51" s="557" customFormat="1" ht="103.5" hidden="1" customHeight="1">
      <c r="A102" s="608"/>
      <c r="B102" s="266"/>
      <c r="C102" s="1399"/>
      <c r="D102" s="1408"/>
      <c r="E102" s="1400"/>
      <c r="F102" s="267"/>
      <c r="G102" s="1399"/>
      <c r="H102" s="1408"/>
      <c r="I102" s="1400"/>
      <c r="J102" s="1380"/>
      <c r="K102" s="1380"/>
      <c r="L102" s="1380"/>
      <c r="M102" s="608"/>
      <c r="N102" s="608"/>
      <c r="O102" s="608"/>
      <c r="P102" s="608"/>
      <c r="Q102" s="266"/>
      <c r="R102" s="266"/>
      <c r="S102" s="268"/>
      <c r="T102" s="269" t="e">
        <f>VLOOKUP(Q102,[71]Listas!$D$6:$E$10,2,0)</f>
        <v>#N/A</v>
      </c>
      <c r="U102" s="269" t="e">
        <f>HLOOKUP(R102,[71]Listas!$F$4:$J$5,2,0)</f>
        <v>#N/A</v>
      </c>
      <c r="V102" s="270" t="e">
        <f>INDEX([71]Listas!$F$6:$J$10,MATCH(Q102,[71]Listas!$D$6:$D$10,0),MATCH(R102,[71]Listas!$F$4:$J$4,0))</f>
        <v>#N/A</v>
      </c>
      <c r="W102" s="268"/>
      <c r="X102" s="1399"/>
      <c r="Y102" s="1408"/>
      <c r="Z102" s="1400"/>
      <c r="AA102" s="1063"/>
      <c r="AB102" s="267"/>
      <c r="AC102" s="259"/>
      <c r="AD102" s="608"/>
      <c r="AE102" s="267"/>
      <c r="AF102" s="268"/>
      <c r="AG102" s="269">
        <f t="shared" si="8"/>
        <v>0</v>
      </c>
      <c r="AH102" s="558" t="e">
        <f t="shared" si="9"/>
        <v>#N/A</v>
      </c>
      <c r="AI102" s="270" t="e">
        <f>IF(AH102&lt;=1,"Remota",VLOOKUP(AH102,[71]Listas!$C$6:$D$10,2,0))</f>
        <v>#N/A</v>
      </c>
      <c r="AJ102" s="558" t="e">
        <f t="shared" si="10"/>
        <v>#N/A</v>
      </c>
      <c r="AK102" s="270" t="e">
        <f>IF(AJ102&lt;=1,"Insignificante",HLOOKUP(AJ102,[71]Listas!$F$3:$J$4,2,0))</f>
        <v>#N/A</v>
      </c>
      <c r="AL102" s="273" t="e">
        <f t="shared" si="11"/>
        <v>#N/A</v>
      </c>
      <c r="AM102" s="270" t="e">
        <f>INDEX([71]Listas!$F$6:$J$10,MATCH(AI102,[71]Listas!$D$6:$D$10,0),MATCH(AK102,[71]Listas!$F$4:$J$4,0))</f>
        <v>#N/A</v>
      </c>
      <c r="AN102" s="259"/>
      <c r="AO102" s="259"/>
      <c r="AP102" s="610"/>
      <c r="AQ102" s="259"/>
      <c r="AR102" s="259" t="s">
        <v>2343</v>
      </c>
      <c r="AS102" s="608"/>
      <c r="AT102" s="259"/>
      <c r="AU102" s="259"/>
      <c r="AV102" s="559"/>
      <c r="AW102" s="559"/>
      <c r="AX102" s="608"/>
      <c r="AY102" s="556"/>
    </row>
    <row r="103" spans="1:51" s="557" customFormat="1" ht="103.5" hidden="1" customHeight="1">
      <c r="A103" s="608"/>
      <c r="B103" s="266"/>
      <c r="C103" s="1399"/>
      <c r="D103" s="1408"/>
      <c r="E103" s="1400"/>
      <c r="F103" s="267"/>
      <c r="G103" s="1399"/>
      <c r="H103" s="1408"/>
      <c r="I103" s="1400"/>
      <c r="J103" s="1380"/>
      <c r="K103" s="1380"/>
      <c r="L103" s="1380"/>
      <c r="M103" s="608"/>
      <c r="N103" s="608"/>
      <c r="O103" s="608"/>
      <c r="P103" s="608"/>
      <c r="Q103" s="266"/>
      <c r="R103" s="266"/>
      <c r="S103" s="268"/>
      <c r="T103" s="269" t="e">
        <f>VLOOKUP(Q103,[71]Listas!$D$6:$E$10,2,0)</f>
        <v>#N/A</v>
      </c>
      <c r="U103" s="269" t="e">
        <f>HLOOKUP(R103,[71]Listas!$F$4:$J$5,2,0)</f>
        <v>#N/A</v>
      </c>
      <c r="V103" s="270" t="e">
        <f>INDEX([71]Listas!$F$6:$J$10,MATCH(Q103,[71]Listas!$D$6:$D$10,0),MATCH(R103,[71]Listas!$F$4:$J$4,0))</f>
        <v>#N/A</v>
      </c>
      <c r="W103" s="268"/>
      <c r="X103" s="1399"/>
      <c r="Y103" s="1408"/>
      <c r="Z103" s="1400"/>
      <c r="AA103" s="1063"/>
      <c r="AB103" s="267"/>
      <c r="AC103" s="259"/>
      <c r="AD103" s="608"/>
      <c r="AE103" s="267"/>
      <c r="AF103" s="268"/>
      <c r="AG103" s="269">
        <f t="shared" si="8"/>
        <v>0</v>
      </c>
      <c r="AH103" s="558" t="e">
        <f t="shared" si="9"/>
        <v>#N/A</v>
      </c>
      <c r="AI103" s="270" t="e">
        <f>IF(AH103&lt;=1,"Remota",VLOOKUP(AH103,[71]Listas!$C$6:$D$10,2,0))</f>
        <v>#N/A</v>
      </c>
      <c r="AJ103" s="558" t="e">
        <f t="shared" si="10"/>
        <v>#N/A</v>
      </c>
      <c r="AK103" s="270" t="e">
        <f>IF(AJ103&lt;=1,"Insignificante",HLOOKUP(AJ103,[71]Listas!$F$3:$J$4,2,0))</f>
        <v>#N/A</v>
      </c>
      <c r="AL103" s="273" t="e">
        <f t="shared" si="11"/>
        <v>#N/A</v>
      </c>
      <c r="AM103" s="270" t="e">
        <f>INDEX([71]Listas!$F$6:$J$10,MATCH(AI103,[71]Listas!$D$6:$D$10,0),MATCH(AK103,[71]Listas!$F$4:$J$4,0))</f>
        <v>#N/A</v>
      </c>
      <c r="AN103" s="259"/>
      <c r="AO103" s="259"/>
      <c r="AP103" s="610"/>
      <c r="AQ103" s="259"/>
      <c r="AR103" s="259" t="s">
        <v>2343</v>
      </c>
      <c r="AS103" s="608"/>
      <c r="AT103" s="259"/>
      <c r="AU103" s="259"/>
      <c r="AV103" s="559"/>
      <c r="AW103" s="559"/>
      <c r="AX103" s="608"/>
      <c r="AY103" s="556"/>
    </row>
    <row r="104" spans="1:51" s="557" customFormat="1" ht="103.5" hidden="1" customHeight="1">
      <c r="A104" s="608"/>
      <c r="B104" s="266"/>
      <c r="C104" s="1399"/>
      <c r="D104" s="1408"/>
      <c r="E104" s="1400"/>
      <c r="F104" s="267"/>
      <c r="G104" s="1399"/>
      <c r="H104" s="1408"/>
      <c r="I104" s="1400"/>
      <c r="J104" s="1380"/>
      <c r="K104" s="1380"/>
      <c r="L104" s="1380"/>
      <c r="M104" s="608"/>
      <c r="N104" s="608"/>
      <c r="O104" s="608"/>
      <c r="P104" s="608"/>
      <c r="Q104" s="266"/>
      <c r="R104" s="266"/>
      <c r="S104" s="268"/>
      <c r="T104" s="269" t="e">
        <f>VLOOKUP(Q104,[71]Listas!$D$6:$E$10,2,0)</f>
        <v>#N/A</v>
      </c>
      <c r="U104" s="269" t="e">
        <f>HLOOKUP(R104,[71]Listas!$F$4:$J$5,2,0)</f>
        <v>#N/A</v>
      </c>
      <c r="V104" s="270" t="e">
        <f>INDEX([71]Listas!$F$6:$J$10,MATCH(Q104,[71]Listas!$D$6:$D$10,0),MATCH(R104,[71]Listas!$F$4:$J$4,0))</f>
        <v>#N/A</v>
      </c>
      <c r="W104" s="268"/>
      <c r="X104" s="1399"/>
      <c r="Y104" s="1408"/>
      <c r="Z104" s="1400"/>
      <c r="AA104" s="1063"/>
      <c r="AB104" s="267"/>
      <c r="AC104" s="259"/>
      <c r="AD104" s="608"/>
      <c r="AE104" s="267"/>
      <c r="AF104" s="268"/>
      <c r="AG104" s="269">
        <f t="shared" si="8"/>
        <v>0</v>
      </c>
      <c r="AH104" s="558" t="e">
        <f t="shared" si="9"/>
        <v>#N/A</v>
      </c>
      <c r="AI104" s="270" t="e">
        <f>IF(AH104&lt;=1,"Remota",VLOOKUP(AH104,[71]Listas!$C$6:$D$10,2,0))</f>
        <v>#N/A</v>
      </c>
      <c r="AJ104" s="558" t="e">
        <f t="shared" si="10"/>
        <v>#N/A</v>
      </c>
      <c r="AK104" s="270" t="e">
        <f>IF(AJ104&lt;=1,"Insignificante",HLOOKUP(AJ104,[71]Listas!$F$3:$J$4,2,0))</f>
        <v>#N/A</v>
      </c>
      <c r="AL104" s="273" t="e">
        <f t="shared" si="11"/>
        <v>#N/A</v>
      </c>
      <c r="AM104" s="270" t="e">
        <f>INDEX([71]Listas!$F$6:$J$10,MATCH(AI104,[71]Listas!$D$6:$D$10,0),MATCH(AK104,[71]Listas!$F$4:$J$4,0))</f>
        <v>#N/A</v>
      </c>
      <c r="AN104" s="259"/>
      <c r="AO104" s="259"/>
      <c r="AP104" s="610"/>
      <c r="AQ104" s="259"/>
      <c r="AR104" s="259" t="s">
        <v>2343</v>
      </c>
      <c r="AS104" s="608"/>
      <c r="AT104" s="259"/>
      <c r="AU104" s="259"/>
      <c r="AV104" s="559"/>
      <c r="AW104" s="559"/>
      <c r="AX104" s="608"/>
      <c r="AY104" s="556"/>
    </row>
    <row r="105" spans="1:51" s="557" customFormat="1" ht="103.5" hidden="1" customHeight="1">
      <c r="A105" s="608"/>
      <c r="B105" s="266"/>
      <c r="C105" s="1399"/>
      <c r="D105" s="1408"/>
      <c r="E105" s="1400"/>
      <c r="F105" s="267"/>
      <c r="G105" s="1399"/>
      <c r="H105" s="1408"/>
      <c r="I105" s="1400"/>
      <c r="J105" s="1380"/>
      <c r="K105" s="1380"/>
      <c r="L105" s="1380"/>
      <c r="M105" s="608"/>
      <c r="N105" s="608"/>
      <c r="O105" s="608"/>
      <c r="P105" s="608"/>
      <c r="Q105" s="266"/>
      <c r="R105" s="266"/>
      <c r="S105" s="268"/>
      <c r="T105" s="269" t="e">
        <f>VLOOKUP(Q105,[71]Listas!$D$6:$E$10,2,0)</f>
        <v>#N/A</v>
      </c>
      <c r="U105" s="269" t="e">
        <f>HLOOKUP(R105,[71]Listas!$F$4:$J$5,2,0)</f>
        <v>#N/A</v>
      </c>
      <c r="V105" s="270" t="e">
        <f>INDEX([71]Listas!$F$6:$J$10,MATCH(Q105,[71]Listas!$D$6:$D$10,0),MATCH(R105,[71]Listas!$F$4:$J$4,0))</f>
        <v>#N/A</v>
      </c>
      <c r="W105" s="268"/>
      <c r="X105" s="1399"/>
      <c r="Y105" s="1408"/>
      <c r="Z105" s="1400"/>
      <c r="AA105" s="1063"/>
      <c r="AB105" s="267"/>
      <c r="AC105" s="259"/>
      <c r="AD105" s="608"/>
      <c r="AE105" s="267"/>
      <c r="AF105" s="268"/>
      <c r="AG105" s="269">
        <f t="shared" si="8"/>
        <v>0</v>
      </c>
      <c r="AH105" s="558" t="e">
        <f t="shared" si="9"/>
        <v>#N/A</v>
      </c>
      <c r="AI105" s="270" t="e">
        <f>IF(AH105&lt;=1,"Remota",VLOOKUP(AH105,[71]Listas!$C$6:$D$10,2,0))</f>
        <v>#N/A</v>
      </c>
      <c r="AJ105" s="558" t="e">
        <f t="shared" si="10"/>
        <v>#N/A</v>
      </c>
      <c r="AK105" s="270" t="e">
        <f>IF(AJ105&lt;=1,"Insignificante",HLOOKUP(AJ105,[71]Listas!$F$3:$J$4,2,0))</f>
        <v>#N/A</v>
      </c>
      <c r="AL105" s="273" t="e">
        <f t="shared" si="11"/>
        <v>#N/A</v>
      </c>
      <c r="AM105" s="270" t="e">
        <f>INDEX([71]Listas!$F$6:$J$10,MATCH(AI105,[71]Listas!$D$6:$D$10,0),MATCH(AK105,[71]Listas!$F$4:$J$4,0))</f>
        <v>#N/A</v>
      </c>
      <c r="AN105" s="259"/>
      <c r="AO105" s="259"/>
      <c r="AP105" s="610"/>
      <c r="AQ105" s="259"/>
      <c r="AR105" s="259" t="s">
        <v>2343</v>
      </c>
      <c r="AS105" s="608"/>
      <c r="AT105" s="259"/>
      <c r="AU105" s="259"/>
      <c r="AV105" s="559"/>
      <c r="AW105" s="559"/>
      <c r="AX105" s="608"/>
      <c r="AY105" s="556"/>
    </row>
    <row r="106" spans="1:51" s="557" customFormat="1" ht="103.5" hidden="1" customHeight="1">
      <c r="A106" s="608"/>
      <c r="B106" s="266"/>
      <c r="C106" s="1399"/>
      <c r="D106" s="1408"/>
      <c r="E106" s="1400"/>
      <c r="F106" s="267"/>
      <c r="G106" s="1399"/>
      <c r="H106" s="1408"/>
      <c r="I106" s="1400"/>
      <c r="J106" s="1380"/>
      <c r="K106" s="1380"/>
      <c r="L106" s="1380"/>
      <c r="M106" s="608"/>
      <c r="N106" s="608"/>
      <c r="O106" s="608"/>
      <c r="P106" s="608"/>
      <c r="Q106" s="266"/>
      <c r="R106" s="266"/>
      <c r="S106" s="268"/>
      <c r="T106" s="269" t="e">
        <f>VLOOKUP(Q106,[71]Listas!$D$6:$E$10,2,0)</f>
        <v>#N/A</v>
      </c>
      <c r="U106" s="269" t="e">
        <f>HLOOKUP(R106,[71]Listas!$F$4:$J$5,2,0)</f>
        <v>#N/A</v>
      </c>
      <c r="V106" s="270" t="e">
        <f>INDEX([71]Listas!$F$6:$J$10,MATCH(Q106,[71]Listas!$D$6:$D$10,0),MATCH(R106,[71]Listas!$F$4:$J$4,0))</f>
        <v>#N/A</v>
      </c>
      <c r="W106" s="268"/>
      <c r="X106" s="1399"/>
      <c r="Y106" s="1408"/>
      <c r="Z106" s="1400"/>
      <c r="AA106" s="1063"/>
      <c r="AB106" s="267"/>
      <c r="AC106" s="259"/>
      <c r="AD106" s="608"/>
      <c r="AE106" s="267"/>
      <c r="AF106" s="268"/>
      <c r="AG106" s="269">
        <f t="shared" si="8"/>
        <v>0</v>
      </c>
      <c r="AH106" s="558" t="e">
        <f t="shared" si="9"/>
        <v>#N/A</v>
      </c>
      <c r="AI106" s="270" t="e">
        <f>IF(AH106&lt;=1,"Remota",VLOOKUP(AH106,[71]Listas!$C$6:$D$10,2,0))</f>
        <v>#N/A</v>
      </c>
      <c r="AJ106" s="558" t="e">
        <f t="shared" si="10"/>
        <v>#N/A</v>
      </c>
      <c r="AK106" s="270" t="e">
        <f>IF(AJ106&lt;=1,"Insignificante",HLOOKUP(AJ106,[71]Listas!$F$3:$J$4,2,0))</f>
        <v>#N/A</v>
      </c>
      <c r="AL106" s="273" t="e">
        <f t="shared" si="11"/>
        <v>#N/A</v>
      </c>
      <c r="AM106" s="270" t="e">
        <f>INDEX([71]Listas!$F$6:$J$10,MATCH(AI106,[71]Listas!$D$6:$D$10,0),MATCH(AK106,[71]Listas!$F$4:$J$4,0))</f>
        <v>#N/A</v>
      </c>
      <c r="AN106" s="259"/>
      <c r="AO106" s="259"/>
      <c r="AP106" s="610"/>
      <c r="AQ106" s="259"/>
      <c r="AR106" s="259" t="s">
        <v>2343</v>
      </c>
      <c r="AS106" s="608"/>
      <c r="AT106" s="259"/>
      <c r="AU106" s="259"/>
      <c r="AV106" s="559"/>
      <c r="AW106" s="559"/>
      <c r="AX106" s="608"/>
      <c r="AY106" s="556"/>
    </row>
    <row r="107" spans="1:51" s="557" customFormat="1" ht="103.5" hidden="1" customHeight="1">
      <c r="A107" s="608"/>
      <c r="B107" s="266"/>
      <c r="C107" s="1399"/>
      <c r="D107" s="1408"/>
      <c r="E107" s="1400"/>
      <c r="F107" s="267"/>
      <c r="G107" s="1399"/>
      <c r="H107" s="1408"/>
      <c r="I107" s="1400"/>
      <c r="J107" s="1380"/>
      <c r="K107" s="1380"/>
      <c r="L107" s="1380"/>
      <c r="M107" s="608"/>
      <c r="N107" s="608"/>
      <c r="O107" s="608"/>
      <c r="P107" s="608"/>
      <c r="Q107" s="266"/>
      <c r="R107" s="266"/>
      <c r="S107" s="268"/>
      <c r="T107" s="269" t="e">
        <f>VLOOKUP(Q107,[71]Listas!$D$6:$E$10,2,0)</f>
        <v>#N/A</v>
      </c>
      <c r="U107" s="269" t="e">
        <f>HLOOKUP(R107,[71]Listas!$F$4:$J$5,2,0)</f>
        <v>#N/A</v>
      </c>
      <c r="V107" s="270" t="e">
        <f>INDEX([71]Listas!$F$6:$J$10,MATCH(Q107,[71]Listas!$D$6:$D$10,0),MATCH(R107,[71]Listas!$F$4:$J$4,0))</f>
        <v>#N/A</v>
      </c>
      <c r="W107" s="268"/>
      <c r="X107" s="1399"/>
      <c r="Y107" s="1408"/>
      <c r="Z107" s="1400"/>
      <c r="AA107" s="1063"/>
      <c r="AB107" s="267"/>
      <c r="AC107" s="259"/>
      <c r="AD107" s="608"/>
      <c r="AE107" s="267"/>
      <c r="AF107" s="268"/>
      <c r="AG107" s="269">
        <f t="shared" si="8"/>
        <v>0</v>
      </c>
      <c r="AH107" s="558" t="e">
        <f t="shared" si="9"/>
        <v>#N/A</v>
      </c>
      <c r="AI107" s="270" t="e">
        <f>IF(AH107&lt;=1,"Remota",VLOOKUP(AH107,[71]Listas!$C$6:$D$10,2,0))</f>
        <v>#N/A</v>
      </c>
      <c r="AJ107" s="558" t="e">
        <f t="shared" si="10"/>
        <v>#N/A</v>
      </c>
      <c r="AK107" s="270" t="e">
        <f>IF(AJ107&lt;=1,"Insignificante",HLOOKUP(AJ107,[71]Listas!$F$3:$J$4,2,0))</f>
        <v>#N/A</v>
      </c>
      <c r="AL107" s="273" t="e">
        <f t="shared" si="11"/>
        <v>#N/A</v>
      </c>
      <c r="AM107" s="270" t="e">
        <f>INDEX([71]Listas!$F$6:$J$10,MATCH(AI107,[71]Listas!$D$6:$D$10,0),MATCH(AK107,[71]Listas!$F$4:$J$4,0))</f>
        <v>#N/A</v>
      </c>
      <c r="AN107" s="259"/>
      <c r="AO107" s="259"/>
      <c r="AP107" s="610"/>
      <c r="AQ107" s="259"/>
      <c r="AR107" s="259" t="s">
        <v>2343</v>
      </c>
      <c r="AS107" s="608"/>
      <c r="AT107" s="259"/>
      <c r="AU107" s="259"/>
      <c r="AV107" s="559"/>
      <c r="AW107" s="559"/>
      <c r="AX107" s="608"/>
      <c r="AY107" s="556"/>
    </row>
    <row r="108" spans="1:51" s="557" customFormat="1" ht="103.5" hidden="1" customHeight="1">
      <c r="A108" s="608"/>
      <c r="B108" s="266"/>
      <c r="C108" s="1399"/>
      <c r="D108" s="1408"/>
      <c r="E108" s="1400"/>
      <c r="F108" s="267"/>
      <c r="G108" s="1399"/>
      <c r="H108" s="1408"/>
      <c r="I108" s="1400"/>
      <c r="J108" s="1380"/>
      <c r="K108" s="1380"/>
      <c r="L108" s="1380"/>
      <c r="M108" s="608"/>
      <c r="N108" s="608"/>
      <c r="O108" s="608"/>
      <c r="P108" s="608"/>
      <c r="Q108" s="266"/>
      <c r="R108" s="266"/>
      <c r="S108" s="268"/>
      <c r="T108" s="269" t="e">
        <f>VLOOKUP(Q108,[71]Listas!$D$6:$E$10,2,0)</f>
        <v>#N/A</v>
      </c>
      <c r="U108" s="269" t="e">
        <f>HLOOKUP(R108,[71]Listas!$F$4:$J$5,2,0)</f>
        <v>#N/A</v>
      </c>
      <c r="V108" s="270" t="e">
        <f>INDEX([71]Listas!$F$6:$J$10,MATCH(Q108,[71]Listas!$D$6:$D$10,0),MATCH(R108,[71]Listas!$F$4:$J$4,0))</f>
        <v>#N/A</v>
      </c>
      <c r="W108" s="268"/>
      <c r="X108" s="1399"/>
      <c r="Y108" s="1408"/>
      <c r="Z108" s="1400"/>
      <c r="AA108" s="1063"/>
      <c r="AB108" s="267"/>
      <c r="AC108" s="259"/>
      <c r="AD108" s="608"/>
      <c r="AE108" s="267"/>
      <c r="AF108" s="268"/>
      <c r="AG108" s="269">
        <f t="shared" si="8"/>
        <v>0</v>
      </c>
      <c r="AH108" s="558" t="e">
        <f t="shared" si="9"/>
        <v>#N/A</v>
      </c>
      <c r="AI108" s="270" t="e">
        <f>IF(AH108&lt;=1,"Remota",VLOOKUP(AH108,[71]Listas!$C$6:$D$10,2,0))</f>
        <v>#N/A</v>
      </c>
      <c r="AJ108" s="558" t="e">
        <f t="shared" si="10"/>
        <v>#N/A</v>
      </c>
      <c r="AK108" s="270" t="e">
        <f>IF(AJ108&lt;=1,"Insignificante",HLOOKUP(AJ108,[71]Listas!$F$3:$J$4,2,0))</f>
        <v>#N/A</v>
      </c>
      <c r="AL108" s="273" t="e">
        <f t="shared" si="11"/>
        <v>#N/A</v>
      </c>
      <c r="AM108" s="270" t="e">
        <f>INDEX([71]Listas!$F$6:$J$10,MATCH(AI108,[71]Listas!$D$6:$D$10,0),MATCH(AK108,[71]Listas!$F$4:$J$4,0))</f>
        <v>#N/A</v>
      </c>
      <c r="AN108" s="259"/>
      <c r="AO108" s="259"/>
      <c r="AP108" s="610"/>
      <c r="AQ108" s="259"/>
      <c r="AR108" s="259" t="s">
        <v>2343</v>
      </c>
      <c r="AS108" s="608"/>
      <c r="AT108" s="259"/>
      <c r="AU108" s="259"/>
      <c r="AV108" s="559"/>
      <c r="AW108" s="559"/>
      <c r="AX108" s="608"/>
      <c r="AY108" s="556"/>
    </row>
    <row r="109" spans="1:51" s="557" customFormat="1" ht="103.5" hidden="1" customHeight="1">
      <c r="A109" s="608"/>
      <c r="B109" s="266"/>
      <c r="C109" s="1399"/>
      <c r="D109" s="1408"/>
      <c r="E109" s="1400"/>
      <c r="F109" s="267"/>
      <c r="G109" s="1399"/>
      <c r="H109" s="1408"/>
      <c r="I109" s="1400"/>
      <c r="J109" s="1380"/>
      <c r="K109" s="1380"/>
      <c r="L109" s="1380"/>
      <c r="M109" s="608"/>
      <c r="N109" s="608"/>
      <c r="O109" s="608"/>
      <c r="P109" s="608"/>
      <c r="Q109" s="266"/>
      <c r="R109" s="266"/>
      <c r="S109" s="268"/>
      <c r="T109" s="269" t="e">
        <f>VLOOKUP(Q109,[71]Listas!$D$6:$E$10,2,0)</f>
        <v>#N/A</v>
      </c>
      <c r="U109" s="269" t="e">
        <f>HLOOKUP(R109,[71]Listas!$F$4:$J$5,2,0)</f>
        <v>#N/A</v>
      </c>
      <c r="V109" s="270" t="e">
        <f>INDEX([71]Listas!$F$6:$J$10,MATCH(Q109,[71]Listas!$D$6:$D$10,0),MATCH(R109,[71]Listas!$F$4:$J$4,0))</f>
        <v>#N/A</v>
      </c>
      <c r="W109" s="268"/>
      <c r="X109" s="1399"/>
      <c r="Y109" s="1408"/>
      <c r="Z109" s="1400"/>
      <c r="AA109" s="1063"/>
      <c r="AB109" s="267"/>
      <c r="AC109" s="259"/>
      <c r="AD109" s="608"/>
      <c r="AE109" s="267"/>
      <c r="AF109" s="268"/>
      <c r="AG109" s="269">
        <f t="shared" si="8"/>
        <v>0</v>
      </c>
      <c r="AH109" s="558" t="e">
        <f t="shared" si="9"/>
        <v>#N/A</v>
      </c>
      <c r="AI109" s="270" t="e">
        <f>IF(AH109&lt;=1,"Remota",VLOOKUP(AH109,[71]Listas!$C$6:$D$10,2,0))</f>
        <v>#N/A</v>
      </c>
      <c r="AJ109" s="558" t="e">
        <f t="shared" si="10"/>
        <v>#N/A</v>
      </c>
      <c r="AK109" s="270" t="e">
        <f>IF(AJ109&lt;=1,"Insignificante",HLOOKUP(AJ109,[71]Listas!$F$3:$J$4,2,0))</f>
        <v>#N/A</v>
      </c>
      <c r="AL109" s="273" t="e">
        <f t="shared" si="11"/>
        <v>#N/A</v>
      </c>
      <c r="AM109" s="270" t="e">
        <f>INDEX([71]Listas!$F$6:$J$10,MATCH(AI109,[71]Listas!$D$6:$D$10,0),MATCH(AK109,[71]Listas!$F$4:$J$4,0))</f>
        <v>#N/A</v>
      </c>
      <c r="AN109" s="259"/>
      <c r="AO109" s="259"/>
      <c r="AP109" s="610"/>
      <c r="AQ109" s="259"/>
      <c r="AR109" s="259" t="s">
        <v>2343</v>
      </c>
      <c r="AS109" s="608"/>
      <c r="AT109" s="259"/>
      <c r="AU109" s="259"/>
      <c r="AV109" s="559"/>
      <c r="AW109" s="559"/>
      <c r="AX109" s="608"/>
      <c r="AY109" s="556"/>
    </row>
    <row r="110" spans="1:51" s="557" customFormat="1" ht="103.5" hidden="1" customHeight="1">
      <c r="A110" s="608"/>
      <c r="B110" s="266"/>
      <c r="C110" s="1399"/>
      <c r="D110" s="1408"/>
      <c r="E110" s="1400"/>
      <c r="F110" s="267"/>
      <c r="G110" s="1399"/>
      <c r="H110" s="1408"/>
      <c r="I110" s="1400"/>
      <c r="J110" s="1380"/>
      <c r="K110" s="1380"/>
      <c r="L110" s="1380"/>
      <c r="M110" s="608"/>
      <c r="N110" s="608"/>
      <c r="O110" s="608"/>
      <c r="P110" s="608"/>
      <c r="Q110" s="266"/>
      <c r="R110" s="266"/>
      <c r="S110" s="268"/>
      <c r="T110" s="269" t="e">
        <f>VLOOKUP(Q110,[71]Listas!$D$6:$E$10,2,0)</f>
        <v>#N/A</v>
      </c>
      <c r="U110" s="269" t="e">
        <f>HLOOKUP(R110,[71]Listas!$F$4:$J$5,2,0)</f>
        <v>#N/A</v>
      </c>
      <c r="V110" s="270" t="e">
        <f>INDEX([71]Listas!$F$6:$J$10,MATCH(Q110,[71]Listas!$D$6:$D$10,0),MATCH(R110,[71]Listas!$F$4:$J$4,0))</f>
        <v>#N/A</v>
      </c>
      <c r="W110" s="268"/>
      <c r="X110" s="1399"/>
      <c r="Y110" s="1408"/>
      <c r="Z110" s="1400"/>
      <c r="AA110" s="1063"/>
      <c r="AB110" s="267"/>
      <c r="AC110" s="259"/>
      <c r="AD110" s="608"/>
      <c r="AE110" s="267"/>
      <c r="AF110" s="268"/>
      <c r="AG110" s="269">
        <f t="shared" si="8"/>
        <v>0</v>
      </c>
      <c r="AH110" s="558" t="e">
        <f t="shared" si="9"/>
        <v>#N/A</v>
      </c>
      <c r="AI110" s="270" t="e">
        <f>IF(AH110&lt;=1,"Remota",VLOOKUP(AH110,[71]Listas!$C$6:$D$10,2,0))</f>
        <v>#N/A</v>
      </c>
      <c r="AJ110" s="558" t="e">
        <f t="shared" si="10"/>
        <v>#N/A</v>
      </c>
      <c r="AK110" s="270" t="e">
        <f>IF(AJ110&lt;=1,"Insignificante",HLOOKUP(AJ110,[71]Listas!$F$3:$J$4,2,0))</f>
        <v>#N/A</v>
      </c>
      <c r="AL110" s="273" t="e">
        <f t="shared" si="11"/>
        <v>#N/A</v>
      </c>
      <c r="AM110" s="270" t="e">
        <f>INDEX([71]Listas!$F$6:$J$10,MATCH(AI110,[71]Listas!$D$6:$D$10,0),MATCH(AK110,[71]Listas!$F$4:$J$4,0))</f>
        <v>#N/A</v>
      </c>
      <c r="AN110" s="259"/>
      <c r="AO110" s="259"/>
      <c r="AP110" s="610"/>
      <c r="AQ110" s="259"/>
      <c r="AR110" s="259" t="s">
        <v>2343</v>
      </c>
      <c r="AS110" s="608"/>
      <c r="AT110" s="259"/>
      <c r="AU110" s="259"/>
      <c r="AV110" s="559"/>
      <c r="AW110" s="559"/>
      <c r="AX110" s="608"/>
      <c r="AY110" s="556"/>
    </row>
    <row r="111" spans="1:51" s="557" customFormat="1" ht="103.5" hidden="1" customHeight="1">
      <c r="A111" s="608"/>
      <c r="B111" s="266"/>
      <c r="C111" s="1399"/>
      <c r="D111" s="1408"/>
      <c r="E111" s="1400"/>
      <c r="F111" s="267"/>
      <c r="G111" s="1399"/>
      <c r="H111" s="1408"/>
      <c r="I111" s="1400"/>
      <c r="J111" s="1380"/>
      <c r="K111" s="1380"/>
      <c r="L111" s="1380"/>
      <c r="M111" s="608"/>
      <c r="N111" s="608"/>
      <c r="O111" s="608"/>
      <c r="P111" s="608"/>
      <c r="Q111" s="266"/>
      <c r="R111" s="266"/>
      <c r="S111" s="268"/>
      <c r="T111" s="269" t="e">
        <f>VLOOKUP(Q111,[71]Listas!$D$6:$E$10,2,0)</f>
        <v>#N/A</v>
      </c>
      <c r="U111" s="269" t="e">
        <f>HLOOKUP(R111,[71]Listas!$F$4:$J$5,2,0)</f>
        <v>#N/A</v>
      </c>
      <c r="V111" s="270" t="e">
        <f>INDEX([71]Listas!$F$6:$J$10,MATCH(Q111,[71]Listas!$D$6:$D$10,0),MATCH(R111,[71]Listas!$F$4:$J$4,0))</f>
        <v>#N/A</v>
      </c>
      <c r="W111" s="268"/>
      <c r="X111" s="1399"/>
      <c r="Y111" s="1408"/>
      <c r="Z111" s="1400"/>
      <c r="AA111" s="1063"/>
      <c r="AB111" s="267"/>
      <c r="AC111" s="259"/>
      <c r="AD111" s="608"/>
      <c r="AE111" s="267"/>
      <c r="AF111" s="268"/>
      <c r="AG111" s="269">
        <f t="shared" si="8"/>
        <v>0</v>
      </c>
      <c r="AH111" s="558" t="e">
        <f t="shared" si="9"/>
        <v>#N/A</v>
      </c>
      <c r="AI111" s="270" t="e">
        <f>IF(AH111&lt;=1,"Remota",VLOOKUP(AH111,[71]Listas!$C$6:$D$10,2,0))</f>
        <v>#N/A</v>
      </c>
      <c r="AJ111" s="558" t="e">
        <f t="shared" si="10"/>
        <v>#N/A</v>
      </c>
      <c r="AK111" s="270" t="e">
        <f>IF(AJ111&lt;=1,"Insignificante",HLOOKUP(AJ111,[71]Listas!$F$3:$J$4,2,0))</f>
        <v>#N/A</v>
      </c>
      <c r="AL111" s="273" t="e">
        <f t="shared" si="11"/>
        <v>#N/A</v>
      </c>
      <c r="AM111" s="270" t="e">
        <f>INDEX([71]Listas!$F$6:$J$10,MATCH(AI111,[71]Listas!$D$6:$D$10,0),MATCH(AK111,[71]Listas!$F$4:$J$4,0))</f>
        <v>#N/A</v>
      </c>
      <c r="AN111" s="259"/>
      <c r="AO111" s="259"/>
      <c r="AP111" s="610"/>
      <c r="AQ111" s="259"/>
      <c r="AR111" s="259" t="s">
        <v>2343</v>
      </c>
      <c r="AS111" s="608"/>
      <c r="AT111" s="259"/>
      <c r="AU111" s="259"/>
      <c r="AV111" s="559"/>
      <c r="AW111" s="559"/>
      <c r="AX111" s="608"/>
      <c r="AY111" s="556"/>
    </row>
    <row r="112" spans="1:51" s="557" customFormat="1" ht="103.5" hidden="1" customHeight="1">
      <c r="A112" s="608"/>
      <c r="B112" s="266"/>
      <c r="C112" s="1399"/>
      <c r="D112" s="1408"/>
      <c r="E112" s="1400"/>
      <c r="F112" s="267"/>
      <c r="G112" s="1399"/>
      <c r="H112" s="1408"/>
      <c r="I112" s="1400"/>
      <c r="J112" s="1380"/>
      <c r="K112" s="1380"/>
      <c r="L112" s="1380"/>
      <c r="M112" s="608"/>
      <c r="N112" s="608"/>
      <c r="O112" s="608"/>
      <c r="P112" s="608"/>
      <c r="Q112" s="266"/>
      <c r="R112" s="266"/>
      <c r="S112" s="268"/>
      <c r="T112" s="269" t="e">
        <f>VLOOKUP(Q112,[71]Listas!$D$6:$E$10,2,0)</f>
        <v>#N/A</v>
      </c>
      <c r="U112" s="269" t="e">
        <f>HLOOKUP(R112,[71]Listas!$F$4:$J$5,2,0)</f>
        <v>#N/A</v>
      </c>
      <c r="V112" s="270" t="e">
        <f>INDEX([71]Listas!$F$6:$J$10,MATCH(Q112,[71]Listas!$D$6:$D$10,0),MATCH(R112,[71]Listas!$F$4:$J$4,0))</f>
        <v>#N/A</v>
      </c>
      <c r="W112" s="268"/>
      <c r="X112" s="1399"/>
      <c r="Y112" s="1408"/>
      <c r="Z112" s="1400"/>
      <c r="AA112" s="1063"/>
      <c r="AB112" s="267"/>
      <c r="AC112" s="259"/>
      <c r="AD112" s="608"/>
      <c r="AE112" s="267"/>
      <c r="AF112" s="268"/>
      <c r="AG112" s="269">
        <f t="shared" si="8"/>
        <v>0</v>
      </c>
      <c r="AH112" s="558" t="e">
        <f t="shared" si="9"/>
        <v>#N/A</v>
      </c>
      <c r="AI112" s="270" t="e">
        <f>IF(AH112&lt;=1,"Remota",VLOOKUP(AH112,[71]Listas!$C$6:$D$10,2,0))</f>
        <v>#N/A</v>
      </c>
      <c r="AJ112" s="558" t="e">
        <f t="shared" si="10"/>
        <v>#N/A</v>
      </c>
      <c r="AK112" s="270" t="e">
        <f>IF(AJ112&lt;=1,"Insignificante",HLOOKUP(AJ112,[71]Listas!$F$3:$J$4,2,0))</f>
        <v>#N/A</v>
      </c>
      <c r="AL112" s="273" t="e">
        <f t="shared" si="11"/>
        <v>#N/A</v>
      </c>
      <c r="AM112" s="270" t="e">
        <f>INDEX([71]Listas!$F$6:$J$10,MATCH(AI112,[71]Listas!$D$6:$D$10,0),MATCH(AK112,[71]Listas!$F$4:$J$4,0))</f>
        <v>#N/A</v>
      </c>
      <c r="AN112" s="259"/>
      <c r="AO112" s="259"/>
      <c r="AP112" s="610"/>
      <c r="AQ112" s="259"/>
      <c r="AR112" s="259" t="s">
        <v>2343</v>
      </c>
      <c r="AS112" s="608"/>
      <c r="AT112" s="259"/>
      <c r="AU112" s="259"/>
      <c r="AV112" s="559"/>
      <c r="AW112" s="559"/>
      <c r="AX112" s="608"/>
      <c r="AY112" s="556"/>
    </row>
    <row r="113" spans="1:51" s="557" customFormat="1" ht="103.5" hidden="1" customHeight="1">
      <c r="A113" s="608"/>
      <c r="B113" s="266"/>
      <c r="C113" s="1399"/>
      <c r="D113" s="1408"/>
      <c r="E113" s="1400"/>
      <c r="F113" s="267"/>
      <c r="G113" s="1399"/>
      <c r="H113" s="1408"/>
      <c r="I113" s="1400"/>
      <c r="J113" s="1380"/>
      <c r="K113" s="1380"/>
      <c r="L113" s="1380"/>
      <c r="M113" s="608"/>
      <c r="N113" s="608"/>
      <c r="O113" s="608"/>
      <c r="P113" s="608"/>
      <c r="Q113" s="266"/>
      <c r="R113" s="266"/>
      <c r="S113" s="268"/>
      <c r="T113" s="269" t="e">
        <f>VLOOKUP(Q113,[71]Listas!$D$6:$E$10,2,0)</f>
        <v>#N/A</v>
      </c>
      <c r="U113" s="269" t="e">
        <f>HLOOKUP(R113,[71]Listas!$F$4:$J$5,2,0)</f>
        <v>#N/A</v>
      </c>
      <c r="V113" s="270" t="e">
        <f>INDEX([71]Listas!$F$6:$J$10,MATCH(Q113,[71]Listas!$D$6:$D$10,0),MATCH(R113,[71]Listas!$F$4:$J$4,0))</f>
        <v>#N/A</v>
      </c>
      <c r="W113" s="268"/>
      <c r="X113" s="1399"/>
      <c r="Y113" s="1408"/>
      <c r="Z113" s="1400"/>
      <c r="AA113" s="1063"/>
      <c r="AB113" s="267"/>
      <c r="AC113" s="259"/>
      <c r="AD113" s="608"/>
      <c r="AE113" s="267"/>
      <c r="AF113" s="268"/>
      <c r="AG113" s="269">
        <f t="shared" si="8"/>
        <v>0</v>
      </c>
      <c r="AH113" s="558" t="e">
        <f t="shared" si="9"/>
        <v>#N/A</v>
      </c>
      <c r="AI113" s="270" t="e">
        <f>IF(AH113&lt;=1,"Remota",VLOOKUP(AH113,[71]Listas!$C$6:$D$10,2,0))</f>
        <v>#N/A</v>
      </c>
      <c r="AJ113" s="558" t="e">
        <f t="shared" si="10"/>
        <v>#N/A</v>
      </c>
      <c r="AK113" s="270" t="e">
        <f>IF(AJ113&lt;=1,"Insignificante",HLOOKUP(AJ113,[71]Listas!$F$3:$J$4,2,0))</f>
        <v>#N/A</v>
      </c>
      <c r="AL113" s="273" t="e">
        <f t="shared" si="11"/>
        <v>#N/A</v>
      </c>
      <c r="AM113" s="270" t="e">
        <f>INDEX([71]Listas!$F$6:$J$10,MATCH(AI113,[71]Listas!$D$6:$D$10,0),MATCH(AK113,[71]Listas!$F$4:$J$4,0))</f>
        <v>#N/A</v>
      </c>
      <c r="AN113" s="259"/>
      <c r="AO113" s="259"/>
      <c r="AP113" s="610"/>
      <c r="AQ113" s="259"/>
      <c r="AR113" s="259" t="s">
        <v>2343</v>
      </c>
      <c r="AS113" s="608"/>
      <c r="AT113" s="259"/>
      <c r="AU113" s="259"/>
      <c r="AV113" s="559"/>
      <c r="AW113" s="559"/>
      <c r="AX113" s="608"/>
      <c r="AY113" s="556"/>
    </row>
    <row r="114" spans="1:51" s="557" customFormat="1" ht="103.5" hidden="1" customHeight="1">
      <c r="A114" s="608"/>
      <c r="B114" s="266"/>
      <c r="C114" s="1399"/>
      <c r="D114" s="1408"/>
      <c r="E114" s="1400"/>
      <c r="F114" s="267"/>
      <c r="G114" s="1399"/>
      <c r="H114" s="1408"/>
      <c r="I114" s="1400"/>
      <c r="J114" s="1380"/>
      <c r="K114" s="1380"/>
      <c r="L114" s="1380"/>
      <c r="M114" s="608"/>
      <c r="N114" s="608"/>
      <c r="O114" s="608"/>
      <c r="P114" s="608"/>
      <c r="Q114" s="266"/>
      <c r="R114" s="266"/>
      <c r="S114" s="268"/>
      <c r="T114" s="269" t="e">
        <f>VLOOKUP(Q114,[71]Listas!$D$6:$E$10,2,0)</f>
        <v>#N/A</v>
      </c>
      <c r="U114" s="269" t="e">
        <f>HLOOKUP(R114,[71]Listas!$F$4:$J$5,2,0)</f>
        <v>#N/A</v>
      </c>
      <c r="V114" s="270" t="e">
        <f>INDEX([71]Listas!$F$6:$J$10,MATCH(Q114,[71]Listas!$D$6:$D$10,0),MATCH(R114,[71]Listas!$F$4:$J$4,0))</f>
        <v>#N/A</v>
      </c>
      <c r="W114" s="268"/>
      <c r="X114" s="1399"/>
      <c r="Y114" s="1408"/>
      <c r="Z114" s="1400"/>
      <c r="AA114" s="1063"/>
      <c r="AB114" s="267"/>
      <c r="AC114" s="259"/>
      <c r="AD114" s="608"/>
      <c r="AE114" s="267"/>
      <c r="AF114" s="268"/>
      <c r="AG114" s="269">
        <f t="shared" si="8"/>
        <v>0</v>
      </c>
      <c r="AH114" s="558" t="e">
        <f t="shared" si="9"/>
        <v>#N/A</v>
      </c>
      <c r="AI114" s="270" t="e">
        <f>IF(AH114&lt;=1,"Remota",VLOOKUP(AH114,[71]Listas!$C$6:$D$10,2,0))</f>
        <v>#N/A</v>
      </c>
      <c r="AJ114" s="558" t="e">
        <f t="shared" si="10"/>
        <v>#N/A</v>
      </c>
      <c r="AK114" s="270" t="e">
        <f>IF(AJ114&lt;=1,"Insignificante",HLOOKUP(AJ114,[71]Listas!$F$3:$J$4,2,0))</f>
        <v>#N/A</v>
      </c>
      <c r="AL114" s="273" t="e">
        <f t="shared" si="11"/>
        <v>#N/A</v>
      </c>
      <c r="AM114" s="270" t="e">
        <f>INDEX([71]Listas!$F$6:$J$10,MATCH(AI114,[71]Listas!$D$6:$D$10,0),MATCH(AK114,[71]Listas!$F$4:$J$4,0))</f>
        <v>#N/A</v>
      </c>
      <c r="AN114" s="259"/>
      <c r="AO114" s="259"/>
      <c r="AP114" s="610"/>
      <c r="AQ114" s="259"/>
      <c r="AR114" s="259" t="s">
        <v>2343</v>
      </c>
      <c r="AS114" s="608"/>
      <c r="AT114" s="259"/>
      <c r="AU114" s="259"/>
      <c r="AV114" s="559"/>
      <c r="AW114" s="559"/>
      <c r="AX114" s="608"/>
      <c r="AY114" s="556"/>
    </row>
    <row r="115" spans="1:51" s="557" customFormat="1" ht="103.5" hidden="1" customHeight="1">
      <c r="A115" s="608"/>
      <c r="B115" s="266"/>
      <c r="C115" s="1399"/>
      <c r="D115" s="1408"/>
      <c r="E115" s="1400"/>
      <c r="F115" s="267"/>
      <c r="G115" s="1399"/>
      <c r="H115" s="1408"/>
      <c r="I115" s="1400"/>
      <c r="J115" s="1380"/>
      <c r="K115" s="1380"/>
      <c r="L115" s="1380"/>
      <c r="M115" s="608"/>
      <c r="N115" s="608"/>
      <c r="O115" s="608"/>
      <c r="P115" s="608"/>
      <c r="Q115" s="266"/>
      <c r="R115" s="266"/>
      <c r="S115" s="268"/>
      <c r="T115" s="269" t="e">
        <f>VLOOKUP(Q115,[71]Listas!$D$6:$E$10,2,0)</f>
        <v>#N/A</v>
      </c>
      <c r="U115" s="269" t="e">
        <f>HLOOKUP(R115,[71]Listas!$F$4:$J$5,2,0)</f>
        <v>#N/A</v>
      </c>
      <c r="V115" s="270" t="e">
        <f>INDEX([71]Listas!$F$6:$J$10,MATCH(Q115,[71]Listas!$D$6:$D$10,0),MATCH(R115,[71]Listas!$F$4:$J$4,0))</f>
        <v>#N/A</v>
      </c>
      <c r="W115" s="268"/>
      <c r="X115" s="1399"/>
      <c r="Y115" s="1408"/>
      <c r="Z115" s="1400"/>
      <c r="AA115" s="1063"/>
      <c r="AB115" s="267"/>
      <c r="AC115" s="259"/>
      <c r="AD115" s="608"/>
      <c r="AE115" s="267"/>
      <c r="AF115" s="268"/>
      <c r="AG115" s="269">
        <f t="shared" si="8"/>
        <v>0</v>
      </c>
      <c r="AH115" s="558" t="e">
        <f t="shared" si="9"/>
        <v>#N/A</v>
      </c>
      <c r="AI115" s="270" t="e">
        <f>IF(AH115&lt;=1,"Remota",VLOOKUP(AH115,[71]Listas!$C$6:$D$10,2,0))</f>
        <v>#N/A</v>
      </c>
      <c r="AJ115" s="558" t="e">
        <f t="shared" si="10"/>
        <v>#N/A</v>
      </c>
      <c r="AK115" s="270" t="e">
        <f>IF(AJ115&lt;=1,"Insignificante",HLOOKUP(AJ115,[71]Listas!$F$3:$J$4,2,0))</f>
        <v>#N/A</v>
      </c>
      <c r="AL115" s="273" t="e">
        <f t="shared" si="11"/>
        <v>#N/A</v>
      </c>
      <c r="AM115" s="270" t="e">
        <f>INDEX([71]Listas!$F$6:$J$10,MATCH(AI115,[71]Listas!$D$6:$D$10,0),MATCH(AK115,[71]Listas!$F$4:$J$4,0))</f>
        <v>#N/A</v>
      </c>
      <c r="AN115" s="259"/>
      <c r="AO115" s="259"/>
      <c r="AP115" s="610"/>
      <c r="AQ115" s="259"/>
      <c r="AR115" s="259" t="s">
        <v>2343</v>
      </c>
      <c r="AS115" s="608"/>
      <c r="AT115" s="259"/>
      <c r="AU115" s="259"/>
      <c r="AV115" s="559"/>
      <c r="AW115" s="559"/>
      <c r="AX115" s="608"/>
      <c r="AY115" s="556"/>
    </row>
    <row r="116" spans="1:51" s="557" customFormat="1" ht="103.5" hidden="1" customHeight="1">
      <c r="A116" s="608"/>
      <c r="B116" s="266"/>
      <c r="C116" s="1399"/>
      <c r="D116" s="1408"/>
      <c r="E116" s="1400"/>
      <c r="F116" s="267"/>
      <c r="G116" s="1399"/>
      <c r="H116" s="1408"/>
      <c r="I116" s="1400"/>
      <c r="J116" s="1380"/>
      <c r="K116" s="1380"/>
      <c r="L116" s="1380"/>
      <c r="M116" s="608"/>
      <c r="N116" s="608"/>
      <c r="O116" s="608"/>
      <c r="P116" s="608"/>
      <c r="Q116" s="266"/>
      <c r="R116" s="266"/>
      <c r="S116" s="268"/>
      <c r="T116" s="269" t="e">
        <f>VLOOKUP(Q116,[71]Listas!$D$6:$E$10,2,0)</f>
        <v>#N/A</v>
      </c>
      <c r="U116" s="269" t="e">
        <f>HLOOKUP(R116,[71]Listas!$F$4:$J$5,2,0)</f>
        <v>#N/A</v>
      </c>
      <c r="V116" s="270" t="e">
        <f>INDEX([71]Listas!$F$6:$J$10,MATCH(Q116,[71]Listas!$D$6:$D$10,0),MATCH(R116,[71]Listas!$F$4:$J$4,0))</f>
        <v>#N/A</v>
      </c>
      <c r="W116" s="268"/>
      <c r="X116" s="1399"/>
      <c r="Y116" s="1408"/>
      <c r="Z116" s="1400"/>
      <c r="AA116" s="1063"/>
      <c r="AB116" s="267"/>
      <c r="AC116" s="259"/>
      <c r="AD116" s="608"/>
      <c r="AE116" s="267"/>
      <c r="AF116" s="268"/>
      <c r="AG116" s="269">
        <f t="shared" si="8"/>
        <v>0</v>
      </c>
      <c r="AH116" s="558" t="e">
        <f t="shared" si="9"/>
        <v>#N/A</v>
      </c>
      <c r="AI116" s="270" t="e">
        <f>IF(AH116&lt;=1,"Remota",VLOOKUP(AH116,[71]Listas!$C$6:$D$10,2,0))</f>
        <v>#N/A</v>
      </c>
      <c r="AJ116" s="558" t="e">
        <f t="shared" si="10"/>
        <v>#N/A</v>
      </c>
      <c r="AK116" s="270" t="e">
        <f>IF(AJ116&lt;=1,"Insignificante",HLOOKUP(AJ116,[71]Listas!$F$3:$J$4,2,0))</f>
        <v>#N/A</v>
      </c>
      <c r="AL116" s="273" t="e">
        <f t="shared" si="11"/>
        <v>#N/A</v>
      </c>
      <c r="AM116" s="270" t="e">
        <f>INDEX([71]Listas!$F$6:$J$10,MATCH(AI116,[71]Listas!$D$6:$D$10,0),MATCH(AK116,[71]Listas!$F$4:$J$4,0))</f>
        <v>#N/A</v>
      </c>
      <c r="AN116" s="259"/>
      <c r="AO116" s="259"/>
      <c r="AP116" s="610"/>
      <c r="AQ116" s="259"/>
      <c r="AR116" s="259" t="s">
        <v>2343</v>
      </c>
      <c r="AS116" s="608"/>
      <c r="AT116" s="259"/>
      <c r="AU116" s="259"/>
      <c r="AV116" s="559"/>
      <c r="AW116" s="559"/>
      <c r="AX116" s="608"/>
      <c r="AY116" s="556"/>
    </row>
    <row r="117" spans="1:51" s="557" customFormat="1" ht="103.5" hidden="1" customHeight="1">
      <c r="A117" s="608"/>
      <c r="B117" s="266"/>
      <c r="C117" s="1399"/>
      <c r="D117" s="1408"/>
      <c r="E117" s="1400"/>
      <c r="F117" s="267"/>
      <c r="G117" s="1399"/>
      <c r="H117" s="1408"/>
      <c r="I117" s="1400"/>
      <c r="J117" s="1380"/>
      <c r="K117" s="1380"/>
      <c r="L117" s="1380"/>
      <c r="M117" s="608"/>
      <c r="N117" s="608"/>
      <c r="O117" s="608"/>
      <c r="P117" s="608"/>
      <c r="Q117" s="266"/>
      <c r="R117" s="266"/>
      <c r="S117" s="268"/>
      <c r="T117" s="269" t="e">
        <f>VLOOKUP(Q117,[71]Listas!$D$6:$E$10,2,0)</f>
        <v>#N/A</v>
      </c>
      <c r="U117" s="269" t="e">
        <f>HLOOKUP(R117,[71]Listas!$F$4:$J$5,2,0)</f>
        <v>#N/A</v>
      </c>
      <c r="V117" s="270" t="e">
        <f>INDEX([71]Listas!$F$6:$J$10,MATCH(Q117,[71]Listas!$D$6:$D$10,0),MATCH(R117,[71]Listas!$F$4:$J$4,0))</f>
        <v>#N/A</v>
      </c>
      <c r="W117" s="268"/>
      <c r="X117" s="1399"/>
      <c r="Y117" s="1408"/>
      <c r="Z117" s="1400"/>
      <c r="AA117" s="1063"/>
      <c r="AB117" s="267"/>
      <c r="AC117" s="259"/>
      <c r="AD117" s="608"/>
      <c r="AE117" s="267"/>
      <c r="AF117" s="268"/>
      <c r="AG117" s="269">
        <f t="shared" si="8"/>
        <v>0</v>
      </c>
      <c r="AH117" s="558" t="e">
        <f t="shared" si="9"/>
        <v>#N/A</v>
      </c>
      <c r="AI117" s="270" t="e">
        <f>IF(AH117&lt;=1,"Remota",VLOOKUP(AH117,[71]Listas!$C$6:$D$10,2,0))</f>
        <v>#N/A</v>
      </c>
      <c r="AJ117" s="558" t="e">
        <f t="shared" si="10"/>
        <v>#N/A</v>
      </c>
      <c r="AK117" s="270" t="e">
        <f>IF(AJ117&lt;=1,"Insignificante",HLOOKUP(AJ117,[71]Listas!$F$3:$J$4,2,0))</f>
        <v>#N/A</v>
      </c>
      <c r="AL117" s="273" t="e">
        <f t="shared" si="11"/>
        <v>#N/A</v>
      </c>
      <c r="AM117" s="270" t="e">
        <f>INDEX([71]Listas!$F$6:$J$10,MATCH(AI117,[71]Listas!$D$6:$D$10,0),MATCH(AK117,[71]Listas!$F$4:$J$4,0))</f>
        <v>#N/A</v>
      </c>
      <c r="AN117" s="259"/>
      <c r="AO117" s="259"/>
      <c r="AP117" s="610"/>
      <c r="AQ117" s="259"/>
      <c r="AR117" s="259" t="s">
        <v>2343</v>
      </c>
      <c r="AS117" s="608"/>
      <c r="AT117" s="259"/>
      <c r="AU117" s="259"/>
      <c r="AV117" s="559"/>
      <c r="AW117" s="559"/>
      <c r="AX117" s="608"/>
      <c r="AY117" s="556"/>
    </row>
    <row r="118" spans="1:51" s="557" customFormat="1" ht="103.5" hidden="1" customHeight="1">
      <c r="A118" s="608"/>
      <c r="B118" s="266"/>
      <c r="C118" s="1399"/>
      <c r="D118" s="1408"/>
      <c r="E118" s="1400"/>
      <c r="F118" s="267"/>
      <c r="G118" s="1399"/>
      <c r="H118" s="1408"/>
      <c r="I118" s="1400"/>
      <c r="J118" s="1380"/>
      <c r="K118" s="1380"/>
      <c r="L118" s="1380"/>
      <c r="M118" s="608"/>
      <c r="N118" s="608"/>
      <c r="O118" s="608"/>
      <c r="P118" s="608"/>
      <c r="Q118" s="266"/>
      <c r="R118" s="266"/>
      <c r="S118" s="268"/>
      <c r="T118" s="269" t="e">
        <f>VLOOKUP(Q118,[71]Listas!$D$6:$E$10,2,0)</f>
        <v>#N/A</v>
      </c>
      <c r="U118" s="269" t="e">
        <f>HLOOKUP(R118,[71]Listas!$F$4:$J$5,2,0)</f>
        <v>#N/A</v>
      </c>
      <c r="V118" s="270" t="e">
        <f>INDEX([71]Listas!$F$6:$J$10,MATCH(Q118,[71]Listas!$D$6:$D$10,0),MATCH(R118,[71]Listas!$F$4:$J$4,0))</f>
        <v>#N/A</v>
      </c>
      <c r="W118" s="268"/>
      <c r="X118" s="1399"/>
      <c r="Y118" s="1408"/>
      <c r="Z118" s="1400"/>
      <c r="AA118" s="1063"/>
      <c r="AB118" s="267"/>
      <c r="AC118" s="259"/>
      <c r="AD118" s="608"/>
      <c r="AE118" s="267"/>
      <c r="AF118" s="268"/>
      <c r="AG118" s="269">
        <f t="shared" si="8"/>
        <v>0</v>
      </c>
      <c r="AH118" s="558" t="e">
        <f t="shared" si="9"/>
        <v>#N/A</v>
      </c>
      <c r="AI118" s="270" t="e">
        <f>IF(AH118&lt;=1,"Remota",VLOOKUP(AH118,[71]Listas!$C$6:$D$10,2,0))</f>
        <v>#N/A</v>
      </c>
      <c r="AJ118" s="558" t="e">
        <f t="shared" si="10"/>
        <v>#N/A</v>
      </c>
      <c r="AK118" s="270" t="e">
        <f>IF(AJ118&lt;=1,"Insignificante",HLOOKUP(AJ118,[71]Listas!$F$3:$J$4,2,0))</f>
        <v>#N/A</v>
      </c>
      <c r="AL118" s="273" t="e">
        <f t="shared" si="11"/>
        <v>#N/A</v>
      </c>
      <c r="AM118" s="270" t="e">
        <f>INDEX([71]Listas!$F$6:$J$10,MATCH(AI118,[71]Listas!$D$6:$D$10,0),MATCH(AK118,[71]Listas!$F$4:$J$4,0))</f>
        <v>#N/A</v>
      </c>
      <c r="AN118" s="259"/>
      <c r="AO118" s="259"/>
      <c r="AP118" s="610"/>
      <c r="AQ118" s="259"/>
      <c r="AR118" s="259" t="s">
        <v>2343</v>
      </c>
      <c r="AS118" s="608"/>
      <c r="AT118" s="259"/>
      <c r="AU118" s="259"/>
      <c r="AV118" s="559"/>
      <c r="AW118" s="559"/>
      <c r="AX118" s="608"/>
      <c r="AY118" s="556"/>
    </row>
    <row r="119" spans="1:51" s="557" customFormat="1" ht="103.5" hidden="1" customHeight="1">
      <c r="A119" s="608"/>
      <c r="B119" s="266"/>
      <c r="C119" s="1399"/>
      <c r="D119" s="1408"/>
      <c r="E119" s="1400"/>
      <c r="F119" s="267"/>
      <c r="G119" s="1399"/>
      <c r="H119" s="1408"/>
      <c r="I119" s="1400"/>
      <c r="J119" s="1380"/>
      <c r="K119" s="1380"/>
      <c r="L119" s="1380"/>
      <c r="M119" s="608"/>
      <c r="N119" s="608"/>
      <c r="O119" s="608"/>
      <c r="P119" s="608"/>
      <c r="Q119" s="266"/>
      <c r="R119" s="266"/>
      <c r="S119" s="268"/>
      <c r="T119" s="269" t="e">
        <f>VLOOKUP(Q119,[71]Listas!$D$6:$E$10,2,0)</f>
        <v>#N/A</v>
      </c>
      <c r="U119" s="269" t="e">
        <f>HLOOKUP(R119,[71]Listas!$F$4:$J$5,2,0)</f>
        <v>#N/A</v>
      </c>
      <c r="V119" s="270" t="e">
        <f>INDEX([71]Listas!$F$6:$J$10,MATCH(Q119,[71]Listas!$D$6:$D$10,0),MATCH(R119,[71]Listas!$F$4:$J$4,0))</f>
        <v>#N/A</v>
      </c>
      <c r="W119" s="268"/>
      <c r="X119" s="1399"/>
      <c r="Y119" s="1408"/>
      <c r="Z119" s="1400"/>
      <c r="AA119" s="1063"/>
      <c r="AB119" s="267"/>
      <c r="AC119" s="259"/>
      <c r="AD119" s="608"/>
      <c r="AE119" s="267"/>
      <c r="AF119" s="268"/>
      <c r="AG119" s="269">
        <f t="shared" si="8"/>
        <v>0</v>
      </c>
      <c r="AH119" s="558" t="e">
        <f t="shared" si="9"/>
        <v>#N/A</v>
      </c>
      <c r="AI119" s="270" t="e">
        <f>IF(AH119&lt;=1,"Remota",VLOOKUP(AH119,[71]Listas!$C$6:$D$10,2,0))</f>
        <v>#N/A</v>
      </c>
      <c r="AJ119" s="558" t="e">
        <f t="shared" si="10"/>
        <v>#N/A</v>
      </c>
      <c r="AK119" s="270" t="e">
        <f>IF(AJ119&lt;=1,"Insignificante",HLOOKUP(AJ119,[71]Listas!$F$3:$J$4,2,0))</f>
        <v>#N/A</v>
      </c>
      <c r="AL119" s="273" t="e">
        <f t="shared" si="11"/>
        <v>#N/A</v>
      </c>
      <c r="AM119" s="270" t="e">
        <f>INDEX([71]Listas!$F$6:$J$10,MATCH(AI119,[71]Listas!$D$6:$D$10,0),MATCH(AK119,[71]Listas!$F$4:$J$4,0))</f>
        <v>#N/A</v>
      </c>
      <c r="AN119" s="259"/>
      <c r="AO119" s="259"/>
      <c r="AP119" s="610"/>
      <c r="AQ119" s="259"/>
      <c r="AR119" s="259" t="s">
        <v>2343</v>
      </c>
      <c r="AS119" s="608"/>
      <c r="AT119" s="259"/>
      <c r="AU119" s="259"/>
      <c r="AV119" s="559"/>
      <c r="AW119" s="559"/>
      <c r="AX119" s="608"/>
      <c r="AY119" s="556"/>
    </row>
    <row r="120" spans="1:51" s="557" customFormat="1" ht="103.5" hidden="1" customHeight="1">
      <c r="A120" s="608"/>
      <c r="B120" s="266"/>
      <c r="C120" s="1399"/>
      <c r="D120" s="1408"/>
      <c r="E120" s="1400"/>
      <c r="F120" s="267"/>
      <c r="G120" s="1399"/>
      <c r="H120" s="1408"/>
      <c r="I120" s="1400"/>
      <c r="J120" s="1380"/>
      <c r="K120" s="1380"/>
      <c r="L120" s="1380"/>
      <c r="M120" s="608"/>
      <c r="N120" s="608"/>
      <c r="O120" s="608"/>
      <c r="P120" s="608"/>
      <c r="Q120" s="266"/>
      <c r="R120" s="266"/>
      <c r="S120" s="268"/>
      <c r="T120" s="269" t="e">
        <f>VLOOKUP(Q120,[71]Listas!$D$6:$E$10,2,0)</f>
        <v>#N/A</v>
      </c>
      <c r="U120" s="269" t="e">
        <f>HLOOKUP(R120,[71]Listas!$F$4:$J$5,2,0)</f>
        <v>#N/A</v>
      </c>
      <c r="V120" s="270" t="e">
        <f>INDEX([71]Listas!$F$6:$J$10,MATCH(Q120,[71]Listas!$D$6:$D$10,0),MATCH(R120,[71]Listas!$F$4:$J$4,0))</f>
        <v>#N/A</v>
      </c>
      <c r="W120" s="268"/>
      <c r="X120" s="1399"/>
      <c r="Y120" s="1408"/>
      <c r="Z120" s="1400"/>
      <c r="AA120" s="1063"/>
      <c r="AB120" s="267"/>
      <c r="AC120" s="259"/>
      <c r="AD120" s="608"/>
      <c r="AE120" s="267"/>
      <c r="AF120" s="268"/>
      <c r="AG120" s="269">
        <f t="shared" si="8"/>
        <v>0</v>
      </c>
      <c r="AH120" s="558" t="e">
        <f t="shared" si="9"/>
        <v>#N/A</v>
      </c>
      <c r="AI120" s="270" t="e">
        <f>IF(AH120&lt;=1,"Remota",VLOOKUP(AH120,[71]Listas!$C$6:$D$10,2,0))</f>
        <v>#N/A</v>
      </c>
      <c r="AJ120" s="558" t="e">
        <f t="shared" si="10"/>
        <v>#N/A</v>
      </c>
      <c r="AK120" s="270" t="e">
        <f>IF(AJ120&lt;=1,"Insignificante",HLOOKUP(AJ120,[71]Listas!$F$3:$J$4,2,0))</f>
        <v>#N/A</v>
      </c>
      <c r="AL120" s="273" t="e">
        <f t="shared" si="11"/>
        <v>#N/A</v>
      </c>
      <c r="AM120" s="270" t="e">
        <f>INDEX([71]Listas!$F$6:$J$10,MATCH(AI120,[71]Listas!$D$6:$D$10,0),MATCH(AK120,[71]Listas!$F$4:$J$4,0))</f>
        <v>#N/A</v>
      </c>
      <c r="AN120" s="259"/>
      <c r="AO120" s="259"/>
      <c r="AP120" s="610"/>
      <c r="AQ120" s="259"/>
      <c r="AR120" s="259" t="s">
        <v>2343</v>
      </c>
      <c r="AS120" s="608"/>
      <c r="AT120" s="259"/>
      <c r="AU120" s="259"/>
      <c r="AV120" s="559"/>
      <c r="AW120" s="559"/>
      <c r="AX120" s="608"/>
      <c r="AY120" s="556"/>
    </row>
    <row r="121" spans="1:51" s="557" customFormat="1" ht="103.5" hidden="1" customHeight="1">
      <c r="A121" s="608"/>
      <c r="B121" s="266"/>
      <c r="C121" s="1399"/>
      <c r="D121" s="1408"/>
      <c r="E121" s="1400"/>
      <c r="F121" s="267"/>
      <c r="G121" s="1399"/>
      <c r="H121" s="1408"/>
      <c r="I121" s="1400"/>
      <c r="J121" s="1380"/>
      <c r="K121" s="1380"/>
      <c r="L121" s="1380"/>
      <c r="M121" s="608"/>
      <c r="N121" s="608"/>
      <c r="O121" s="608"/>
      <c r="P121" s="608"/>
      <c r="Q121" s="266"/>
      <c r="R121" s="266"/>
      <c r="S121" s="268"/>
      <c r="T121" s="269" t="e">
        <f>VLOOKUP(Q121,[71]Listas!$D$6:$E$10,2,0)</f>
        <v>#N/A</v>
      </c>
      <c r="U121" s="269" t="e">
        <f>HLOOKUP(R121,[71]Listas!$F$4:$J$5,2,0)</f>
        <v>#N/A</v>
      </c>
      <c r="V121" s="270" t="e">
        <f>INDEX([71]Listas!$F$6:$J$10,MATCH(Q121,[71]Listas!$D$6:$D$10,0),MATCH(R121,[71]Listas!$F$4:$J$4,0))</f>
        <v>#N/A</v>
      </c>
      <c r="W121" s="268"/>
      <c r="X121" s="1399"/>
      <c r="Y121" s="1408"/>
      <c r="Z121" s="1400"/>
      <c r="AA121" s="1063"/>
      <c r="AB121" s="267"/>
      <c r="AC121" s="259"/>
      <c r="AD121" s="608"/>
      <c r="AE121" s="267"/>
      <c r="AF121" s="268"/>
      <c r="AG121" s="269">
        <f t="shared" si="8"/>
        <v>0</v>
      </c>
      <c r="AH121" s="558" t="e">
        <f t="shared" si="9"/>
        <v>#N/A</v>
      </c>
      <c r="AI121" s="270" t="e">
        <f>IF(AH121&lt;=1,"Remota",VLOOKUP(AH121,[71]Listas!$C$6:$D$10,2,0))</f>
        <v>#N/A</v>
      </c>
      <c r="AJ121" s="558" t="e">
        <f t="shared" si="10"/>
        <v>#N/A</v>
      </c>
      <c r="AK121" s="270" t="e">
        <f>IF(AJ121&lt;=1,"Insignificante",HLOOKUP(AJ121,[71]Listas!$F$3:$J$4,2,0))</f>
        <v>#N/A</v>
      </c>
      <c r="AL121" s="273" t="e">
        <f t="shared" si="11"/>
        <v>#N/A</v>
      </c>
      <c r="AM121" s="270" t="e">
        <f>INDEX([71]Listas!$F$6:$J$10,MATCH(AI121,[71]Listas!$D$6:$D$10,0),MATCH(AK121,[71]Listas!$F$4:$J$4,0))</f>
        <v>#N/A</v>
      </c>
      <c r="AN121" s="259"/>
      <c r="AO121" s="259"/>
      <c r="AP121" s="610"/>
      <c r="AQ121" s="259"/>
      <c r="AR121" s="259" t="s">
        <v>2343</v>
      </c>
      <c r="AS121" s="608"/>
      <c r="AT121" s="259"/>
      <c r="AU121" s="259"/>
      <c r="AV121" s="559"/>
      <c r="AW121" s="559"/>
      <c r="AX121" s="608"/>
      <c r="AY121" s="556"/>
    </row>
    <row r="122" spans="1:51" s="557" customFormat="1" ht="103.5" hidden="1" customHeight="1">
      <c r="A122" s="608"/>
      <c r="B122" s="266"/>
      <c r="C122" s="1399"/>
      <c r="D122" s="1408"/>
      <c r="E122" s="1400"/>
      <c r="F122" s="267"/>
      <c r="G122" s="1399"/>
      <c r="H122" s="1408"/>
      <c r="I122" s="1400"/>
      <c r="J122" s="1380"/>
      <c r="K122" s="1380"/>
      <c r="L122" s="1380"/>
      <c r="M122" s="608"/>
      <c r="N122" s="608"/>
      <c r="O122" s="608"/>
      <c r="P122" s="608"/>
      <c r="Q122" s="266"/>
      <c r="R122" s="266"/>
      <c r="S122" s="268"/>
      <c r="T122" s="269" t="e">
        <f>VLOOKUP(Q122,[71]Listas!$D$6:$E$10,2,0)</f>
        <v>#N/A</v>
      </c>
      <c r="U122" s="269" t="e">
        <f>HLOOKUP(R122,[71]Listas!$F$4:$J$5,2,0)</f>
        <v>#N/A</v>
      </c>
      <c r="V122" s="270" t="e">
        <f>INDEX([71]Listas!$F$6:$J$10,MATCH(Q122,[71]Listas!$D$6:$D$10,0),MATCH(R122,[71]Listas!$F$4:$J$4,0))</f>
        <v>#N/A</v>
      </c>
      <c r="W122" s="268"/>
      <c r="X122" s="1399"/>
      <c r="Y122" s="1408"/>
      <c r="Z122" s="1400"/>
      <c r="AA122" s="1063"/>
      <c r="AB122" s="267"/>
      <c r="AC122" s="259"/>
      <c r="AD122" s="608"/>
      <c r="AE122" s="267"/>
      <c r="AF122" s="268"/>
      <c r="AG122" s="269">
        <f t="shared" si="8"/>
        <v>0</v>
      </c>
      <c r="AH122" s="558" t="e">
        <f t="shared" si="9"/>
        <v>#N/A</v>
      </c>
      <c r="AI122" s="270" t="e">
        <f>IF(AH122&lt;=1,"Remota",VLOOKUP(AH122,[71]Listas!$C$6:$D$10,2,0))</f>
        <v>#N/A</v>
      </c>
      <c r="AJ122" s="558" t="e">
        <f t="shared" si="10"/>
        <v>#N/A</v>
      </c>
      <c r="AK122" s="270" t="e">
        <f>IF(AJ122&lt;=1,"Insignificante",HLOOKUP(AJ122,[71]Listas!$F$3:$J$4,2,0))</f>
        <v>#N/A</v>
      </c>
      <c r="AL122" s="273" t="e">
        <f t="shared" si="11"/>
        <v>#N/A</v>
      </c>
      <c r="AM122" s="270" t="e">
        <f>INDEX([71]Listas!$F$6:$J$10,MATCH(AI122,[71]Listas!$D$6:$D$10,0),MATCH(AK122,[71]Listas!$F$4:$J$4,0))</f>
        <v>#N/A</v>
      </c>
      <c r="AN122" s="259"/>
      <c r="AO122" s="259"/>
      <c r="AP122" s="610"/>
      <c r="AQ122" s="259"/>
      <c r="AR122" s="259" t="s">
        <v>2343</v>
      </c>
      <c r="AS122" s="608"/>
      <c r="AT122" s="259"/>
      <c r="AU122" s="259"/>
      <c r="AV122" s="559"/>
      <c r="AW122" s="559"/>
      <c r="AX122" s="608"/>
      <c r="AY122" s="556"/>
    </row>
    <row r="123" spans="1:51" s="557" customFormat="1" ht="103.5" hidden="1" customHeight="1">
      <c r="A123" s="608"/>
      <c r="B123" s="266"/>
      <c r="C123" s="1399"/>
      <c r="D123" s="1408"/>
      <c r="E123" s="1400"/>
      <c r="F123" s="267"/>
      <c r="G123" s="1399"/>
      <c r="H123" s="1408"/>
      <c r="I123" s="1400"/>
      <c r="J123" s="1380"/>
      <c r="K123" s="1380"/>
      <c r="L123" s="1380"/>
      <c r="M123" s="608"/>
      <c r="N123" s="608"/>
      <c r="O123" s="608"/>
      <c r="P123" s="608"/>
      <c r="Q123" s="266"/>
      <c r="R123" s="266"/>
      <c r="S123" s="268"/>
      <c r="T123" s="269" t="e">
        <f>VLOOKUP(Q123,[71]Listas!$D$6:$E$10,2,0)</f>
        <v>#N/A</v>
      </c>
      <c r="U123" s="269" t="e">
        <f>HLOOKUP(R123,[71]Listas!$F$4:$J$5,2,0)</f>
        <v>#N/A</v>
      </c>
      <c r="V123" s="270" t="e">
        <f>INDEX([71]Listas!$F$6:$J$10,MATCH(Q123,[71]Listas!$D$6:$D$10,0),MATCH(R123,[71]Listas!$F$4:$J$4,0))</f>
        <v>#N/A</v>
      </c>
      <c r="W123" s="268"/>
      <c r="X123" s="1399"/>
      <c r="Y123" s="1408"/>
      <c r="Z123" s="1400"/>
      <c r="AA123" s="1063"/>
      <c r="AB123" s="267"/>
      <c r="AC123" s="259"/>
      <c r="AD123" s="608"/>
      <c r="AE123" s="267"/>
      <c r="AF123" s="268"/>
      <c r="AG123" s="269">
        <f t="shared" si="8"/>
        <v>0</v>
      </c>
      <c r="AH123" s="558" t="e">
        <f t="shared" si="9"/>
        <v>#N/A</v>
      </c>
      <c r="AI123" s="270" t="e">
        <f>IF(AH123&lt;=1,"Remota",VLOOKUP(AH123,[71]Listas!$C$6:$D$10,2,0))</f>
        <v>#N/A</v>
      </c>
      <c r="AJ123" s="558" t="e">
        <f t="shared" si="10"/>
        <v>#N/A</v>
      </c>
      <c r="AK123" s="270" t="e">
        <f>IF(AJ123&lt;=1,"Insignificante",HLOOKUP(AJ123,[71]Listas!$F$3:$J$4,2,0))</f>
        <v>#N/A</v>
      </c>
      <c r="AL123" s="273" t="e">
        <f t="shared" si="11"/>
        <v>#N/A</v>
      </c>
      <c r="AM123" s="270" t="e">
        <f>INDEX([71]Listas!$F$6:$J$10,MATCH(AI123,[71]Listas!$D$6:$D$10,0),MATCH(AK123,[71]Listas!$F$4:$J$4,0))</f>
        <v>#N/A</v>
      </c>
      <c r="AN123" s="259"/>
      <c r="AO123" s="259"/>
      <c r="AP123" s="610"/>
      <c r="AQ123" s="259"/>
      <c r="AR123" s="259" t="s">
        <v>2343</v>
      </c>
      <c r="AS123" s="608"/>
      <c r="AT123" s="259"/>
      <c r="AU123" s="259"/>
      <c r="AV123" s="559"/>
      <c r="AW123" s="559"/>
      <c r="AX123" s="608"/>
      <c r="AY123" s="556"/>
    </row>
    <row r="124" spans="1:51" s="557" customFormat="1" ht="103.5" hidden="1" customHeight="1">
      <c r="A124" s="608"/>
      <c r="B124" s="266"/>
      <c r="C124" s="1399"/>
      <c r="D124" s="1408"/>
      <c r="E124" s="1400"/>
      <c r="F124" s="267"/>
      <c r="G124" s="1399"/>
      <c r="H124" s="1408"/>
      <c r="I124" s="1400"/>
      <c r="J124" s="1380"/>
      <c r="K124" s="1380"/>
      <c r="L124" s="1380"/>
      <c r="M124" s="608"/>
      <c r="N124" s="608"/>
      <c r="O124" s="608"/>
      <c r="P124" s="608"/>
      <c r="Q124" s="266"/>
      <c r="R124" s="266"/>
      <c r="S124" s="268"/>
      <c r="T124" s="269" t="e">
        <f>VLOOKUP(Q124,[71]Listas!$D$6:$E$10,2,0)</f>
        <v>#N/A</v>
      </c>
      <c r="U124" s="269" t="e">
        <f>HLOOKUP(R124,[71]Listas!$F$4:$J$5,2,0)</f>
        <v>#N/A</v>
      </c>
      <c r="V124" s="270" t="e">
        <f>INDEX([71]Listas!$F$6:$J$10,MATCH(Q124,[71]Listas!$D$6:$D$10,0),MATCH(R124,[71]Listas!$F$4:$J$4,0))</f>
        <v>#N/A</v>
      </c>
      <c r="W124" s="268"/>
      <c r="X124" s="1399"/>
      <c r="Y124" s="1408"/>
      <c r="Z124" s="1400"/>
      <c r="AA124" s="1063"/>
      <c r="AB124" s="267"/>
      <c r="AC124" s="259"/>
      <c r="AD124" s="608"/>
      <c r="AE124" s="267"/>
      <c r="AF124" s="268"/>
      <c r="AG124" s="269">
        <f t="shared" si="8"/>
        <v>0</v>
      </c>
      <c r="AH124" s="558" t="e">
        <f t="shared" si="9"/>
        <v>#N/A</v>
      </c>
      <c r="AI124" s="270" t="e">
        <f>IF(AH124&lt;=1,"Remota",VLOOKUP(AH124,[71]Listas!$C$6:$D$10,2,0))</f>
        <v>#N/A</v>
      </c>
      <c r="AJ124" s="558" t="e">
        <f t="shared" si="10"/>
        <v>#N/A</v>
      </c>
      <c r="AK124" s="270" t="e">
        <f>IF(AJ124&lt;=1,"Insignificante",HLOOKUP(AJ124,[71]Listas!$F$3:$J$4,2,0))</f>
        <v>#N/A</v>
      </c>
      <c r="AL124" s="273" t="e">
        <f t="shared" si="11"/>
        <v>#N/A</v>
      </c>
      <c r="AM124" s="270" t="e">
        <f>INDEX([71]Listas!$F$6:$J$10,MATCH(AI124,[71]Listas!$D$6:$D$10,0),MATCH(AK124,[71]Listas!$F$4:$J$4,0))</f>
        <v>#N/A</v>
      </c>
      <c r="AN124" s="259"/>
      <c r="AO124" s="259"/>
      <c r="AP124" s="610"/>
      <c r="AQ124" s="259"/>
      <c r="AR124" s="259" t="s">
        <v>2343</v>
      </c>
      <c r="AS124" s="608"/>
      <c r="AT124" s="259"/>
      <c r="AU124" s="259"/>
      <c r="AV124" s="559"/>
      <c r="AW124" s="559"/>
      <c r="AX124" s="608"/>
      <c r="AY124" s="556"/>
    </row>
    <row r="125" spans="1:51" s="557" customFormat="1" ht="103.5" hidden="1" customHeight="1">
      <c r="A125" s="608"/>
      <c r="B125" s="266"/>
      <c r="C125" s="1399"/>
      <c r="D125" s="1408"/>
      <c r="E125" s="1400"/>
      <c r="F125" s="267"/>
      <c r="G125" s="1399"/>
      <c r="H125" s="1408"/>
      <c r="I125" s="1400"/>
      <c r="J125" s="1380"/>
      <c r="K125" s="1380"/>
      <c r="L125" s="1380"/>
      <c r="M125" s="608"/>
      <c r="N125" s="608"/>
      <c r="O125" s="608"/>
      <c r="P125" s="608"/>
      <c r="Q125" s="266"/>
      <c r="R125" s="266"/>
      <c r="S125" s="268"/>
      <c r="T125" s="269" t="e">
        <f>VLOOKUP(Q125,[71]Listas!$D$6:$E$10,2,0)</f>
        <v>#N/A</v>
      </c>
      <c r="U125" s="269" t="e">
        <f>HLOOKUP(R125,[71]Listas!$F$4:$J$5,2,0)</f>
        <v>#N/A</v>
      </c>
      <c r="V125" s="270" t="e">
        <f>INDEX([71]Listas!$F$6:$J$10,MATCH(Q125,[71]Listas!$D$6:$D$10,0),MATCH(R125,[71]Listas!$F$4:$J$4,0))</f>
        <v>#N/A</v>
      </c>
      <c r="W125" s="268"/>
      <c r="X125" s="1399"/>
      <c r="Y125" s="1408"/>
      <c r="Z125" s="1400"/>
      <c r="AA125" s="1063"/>
      <c r="AB125" s="267"/>
      <c r="AC125" s="259"/>
      <c r="AD125" s="608"/>
      <c r="AE125" s="267"/>
      <c r="AF125" s="268"/>
      <c r="AG125" s="269">
        <f t="shared" si="8"/>
        <v>0</v>
      </c>
      <c r="AH125" s="558" t="e">
        <f t="shared" si="9"/>
        <v>#N/A</v>
      </c>
      <c r="AI125" s="270" t="e">
        <f>IF(AH125&lt;=1,"Remota",VLOOKUP(AH125,[71]Listas!$C$6:$D$10,2,0))</f>
        <v>#N/A</v>
      </c>
      <c r="AJ125" s="558" t="e">
        <f t="shared" si="10"/>
        <v>#N/A</v>
      </c>
      <c r="AK125" s="270" t="e">
        <f>IF(AJ125&lt;=1,"Insignificante",HLOOKUP(AJ125,[71]Listas!$F$3:$J$4,2,0))</f>
        <v>#N/A</v>
      </c>
      <c r="AL125" s="273" t="e">
        <f t="shared" si="11"/>
        <v>#N/A</v>
      </c>
      <c r="AM125" s="270" t="e">
        <f>INDEX([71]Listas!$F$6:$J$10,MATCH(AI125,[71]Listas!$D$6:$D$10,0),MATCH(AK125,[71]Listas!$F$4:$J$4,0))</f>
        <v>#N/A</v>
      </c>
      <c r="AN125" s="259"/>
      <c r="AO125" s="259"/>
      <c r="AP125" s="610"/>
      <c r="AQ125" s="259"/>
      <c r="AR125" s="259" t="s">
        <v>2343</v>
      </c>
      <c r="AS125" s="608"/>
      <c r="AT125" s="259"/>
      <c r="AU125" s="259"/>
      <c r="AV125" s="559"/>
      <c r="AW125" s="559"/>
      <c r="AX125" s="608"/>
      <c r="AY125" s="556"/>
    </row>
    <row r="126" spans="1:51" s="557" customFormat="1" ht="103.5" hidden="1" customHeight="1">
      <c r="A126" s="608"/>
      <c r="B126" s="266"/>
      <c r="C126" s="1399"/>
      <c r="D126" s="1408"/>
      <c r="E126" s="1400"/>
      <c r="F126" s="267"/>
      <c r="G126" s="1399"/>
      <c r="H126" s="1408"/>
      <c r="I126" s="1400"/>
      <c r="J126" s="1380"/>
      <c r="K126" s="1380"/>
      <c r="L126" s="1380"/>
      <c r="M126" s="608"/>
      <c r="N126" s="608"/>
      <c r="O126" s="608"/>
      <c r="P126" s="608"/>
      <c r="Q126" s="266"/>
      <c r="R126" s="266"/>
      <c r="S126" s="268"/>
      <c r="T126" s="269" t="e">
        <f>VLOOKUP(Q126,[71]Listas!$D$6:$E$10,2,0)</f>
        <v>#N/A</v>
      </c>
      <c r="U126" s="269" t="e">
        <f>HLOOKUP(R126,[71]Listas!$F$4:$J$5,2,0)</f>
        <v>#N/A</v>
      </c>
      <c r="V126" s="270" t="e">
        <f>INDEX([71]Listas!$F$6:$J$10,MATCH(Q126,[71]Listas!$D$6:$D$10,0),MATCH(R126,[71]Listas!$F$4:$J$4,0))</f>
        <v>#N/A</v>
      </c>
      <c r="W126" s="268"/>
      <c r="X126" s="1399"/>
      <c r="Y126" s="1408"/>
      <c r="Z126" s="1400"/>
      <c r="AA126" s="1063"/>
      <c r="AB126" s="267"/>
      <c r="AC126" s="259"/>
      <c r="AD126" s="608"/>
      <c r="AE126" s="267"/>
      <c r="AF126" s="268"/>
      <c r="AG126" s="269">
        <f t="shared" si="8"/>
        <v>0</v>
      </c>
      <c r="AH126" s="558" t="e">
        <f t="shared" si="9"/>
        <v>#N/A</v>
      </c>
      <c r="AI126" s="270" t="e">
        <f>IF(AH126&lt;=1,"Remota",VLOOKUP(AH126,[71]Listas!$C$6:$D$10,2,0))</f>
        <v>#N/A</v>
      </c>
      <c r="AJ126" s="558" t="e">
        <f t="shared" si="10"/>
        <v>#N/A</v>
      </c>
      <c r="AK126" s="270" t="e">
        <f>IF(AJ126&lt;=1,"Insignificante",HLOOKUP(AJ126,[71]Listas!$F$3:$J$4,2,0))</f>
        <v>#N/A</v>
      </c>
      <c r="AL126" s="273" t="e">
        <f t="shared" si="11"/>
        <v>#N/A</v>
      </c>
      <c r="AM126" s="270" t="e">
        <f>INDEX([71]Listas!$F$6:$J$10,MATCH(AI126,[71]Listas!$D$6:$D$10,0),MATCH(AK126,[71]Listas!$F$4:$J$4,0))</f>
        <v>#N/A</v>
      </c>
      <c r="AN126" s="259"/>
      <c r="AO126" s="259"/>
      <c r="AP126" s="610"/>
      <c r="AQ126" s="259"/>
      <c r="AR126" s="259" t="s">
        <v>2343</v>
      </c>
      <c r="AS126" s="608"/>
      <c r="AT126" s="259"/>
      <c r="AU126" s="259"/>
      <c r="AV126" s="559"/>
      <c r="AW126" s="559"/>
      <c r="AX126" s="608"/>
      <c r="AY126" s="556"/>
    </row>
    <row r="127" spans="1:51" s="557" customFormat="1" ht="103.5" hidden="1" customHeight="1">
      <c r="A127" s="608"/>
      <c r="B127" s="266"/>
      <c r="C127" s="1399"/>
      <c r="D127" s="1408"/>
      <c r="E127" s="1400"/>
      <c r="F127" s="267"/>
      <c r="G127" s="1399"/>
      <c r="H127" s="1408"/>
      <c r="I127" s="1400"/>
      <c r="J127" s="1380"/>
      <c r="K127" s="1380"/>
      <c r="L127" s="1380"/>
      <c r="M127" s="608"/>
      <c r="N127" s="608"/>
      <c r="O127" s="608"/>
      <c r="P127" s="608"/>
      <c r="Q127" s="266"/>
      <c r="R127" s="266"/>
      <c r="S127" s="268"/>
      <c r="T127" s="269" t="e">
        <f>VLOOKUP(Q127,[71]Listas!$D$6:$E$10,2,0)</f>
        <v>#N/A</v>
      </c>
      <c r="U127" s="269" t="e">
        <f>HLOOKUP(R127,[71]Listas!$F$4:$J$5,2,0)</f>
        <v>#N/A</v>
      </c>
      <c r="V127" s="270" t="e">
        <f>INDEX([71]Listas!$F$6:$J$10,MATCH(Q127,[71]Listas!$D$6:$D$10,0),MATCH(R127,[71]Listas!$F$4:$J$4,0))</f>
        <v>#N/A</v>
      </c>
      <c r="W127" s="268"/>
      <c r="X127" s="1399"/>
      <c r="Y127" s="1408"/>
      <c r="Z127" s="1400"/>
      <c r="AA127" s="1063"/>
      <c r="AB127" s="267"/>
      <c r="AC127" s="259"/>
      <c r="AD127" s="608"/>
      <c r="AE127" s="267"/>
      <c r="AF127" s="268"/>
      <c r="AG127" s="269">
        <f t="shared" si="8"/>
        <v>0</v>
      </c>
      <c r="AH127" s="558" t="e">
        <f t="shared" si="9"/>
        <v>#N/A</v>
      </c>
      <c r="AI127" s="270" t="e">
        <f>IF(AH127&lt;=1,"Remota",VLOOKUP(AH127,[71]Listas!$C$6:$D$10,2,0))</f>
        <v>#N/A</v>
      </c>
      <c r="AJ127" s="558" t="e">
        <f t="shared" si="10"/>
        <v>#N/A</v>
      </c>
      <c r="AK127" s="270" t="e">
        <f>IF(AJ127&lt;=1,"Insignificante",HLOOKUP(AJ127,[71]Listas!$F$3:$J$4,2,0))</f>
        <v>#N/A</v>
      </c>
      <c r="AL127" s="273" t="e">
        <f t="shared" si="11"/>
        <v>#N/A</v>
      </c>
      <c r="AM127" s="270" t="e">
        <f>INDEX([71]Listas!$F$6:$J$10,MATCH(AI127,[71]Listas!$D$6:$D$10,0),MATCH(AK127,[71]Listas!$F$4:$J$4,0))</f>
        <v>#N/A</v>
      </c>
      <c r="AN127" s="259"/>
      <c r="AO127" s="259"/>
      <c r="AP127" s="610"/>
      <c r="AQ127" s="259"/>
      <c r="AR127" s="259" t="s">
        <v>2343</v>
      </c>
      <c r="AS127" s="608"/>
      <c r="AT127" s="259"/>
      <c r="AU127" s="259"/>
      <c r="AV127" s="559"/>
      <c r="AW127" s="559"/>
      <c r="AX127" s="608"/>
      <c r="AY127" s="556"/>
    </row>
    <row r="128" spans="1:51" s="557" customFormat="1" ht="103.5" hidden="1" customHeight="1">
      <c r="A128" s="608"/>
      <c r="B128" s="266"/>
      <c r="C128" s="1399"/>
      <c r="D128" s="1408"/>
      <c r="E128" s="1400"/>
      <c r="F128" s="267"/>
      <c r="G128" s="1399"/>
      <c r="H128" s="1408"/>
      <c r="I128" s="1400"/>
      <c r="J128" s="1380"/>
      <c r="K128" s="1380"/>
      <c r="L128" s="1380"/>
      <c r="M128" s="608"/>
      <c r="N128" s="608"/>
      <c r="O128" s="608"/>
      <c r="P128" s="608"/>
      <c r="Q128" s="266"/>
      <c r="R128" s="266"/>
      <c r="S128" s="268"/>
      <c r="T128" s="269" t="e">
        <f>VLOOKUP(Q128,[71]Listas!$D$6:$E$10,2,0)</f>
        <v>#N/A</v>
      </c>
      <c r="U128" s="269" t="e">
        <f>HLOOKUP(R128,[71]Listas!$F$4:$J$5,2,0)</f>
        <v>#N/A</v>
      </c>
      <c r="V128" s="270" t="e">
        <f>INDEX([71]Listas!$F$6:$J$10,MATCH(Q128,[71]Listas!$D$6:$D$10,0),MATCH(R128,[71]Listas!$F$4:$J$4,0))</f>
        <v>#N/A</v>
      </c>
      <c r="W128" s="268"/>
      <c r="X128" s="1399"/>
      <c r="Y128" s="1408"/>
      <c r="Z128" s="1400"/>
      <c r="AA128" s="1063"/>
      <c r="AB128" s="267"/>
      <c r="AC128" s="259"/>
      <c r="AD128" s="608"/>
      <c r="AE128" s="267"/>
      <c r="AF128" s="268"/>
      <c r="AG128" s="269">
        <f t="shared" si="8"/>
        <v>0</v>
      </c>
      <c r="AH128" s="558" t="e">
        <f t="shared" si="9"/>
        <v>#N/A</v>
      </c>
      <c r="AI128" s="270" t="e">
        <f>IF(AH128&lt;=1,"Remota",VLOOKUP(AH128,[71]Listas!$C$6:$D$10,2,0))</f>
        <v>#N/A</v>
      </c>
      <c r="AJ128" s="558" t="e">
        <f t="shared" si="10"/>
        <v>#N/A</v>
      </c>
      <c r="AK128" s="270" t="e">
        <f>IF(AJ128&lt;=1,"Insignificante",HLOOKUP(AJ128,[71]Listas!$F$3:$J$4,2,0))</f>
        <v>#N/A</v>
      </c>
      <c r="AL128" s="273" t="e">
        <f t="shared" si="11"/>
        <v>#N/A</v>
      </c>
      <c r="AM128" s="270" t="e">
        <f>INDEX([71]Listas!$F$6:$J$10,MATCH(AI128,[71]Listas!$D$6:$D$10,0),MATCH(AK128,[71]Listas!$F$4:$J$4,0))</f>
        <v>#N/A</v>
      </c>
      <c r="AN128" s="259"/>
      <c r="AO128" s="259"/>
      <c r="AP128" s="610"/>
      <c r="AQ128" s="259"/>
      <c r="AR128" s="259" t="s">
        <v>2343</v>
      </c>
      <c r="AS128" s="608"/>
      <c r="AT128" s="259"/>
      <c r="AU128" s="259"/>
      <c r="AV128" s="559"/>
      <c r="AW128" s="559"/>
      <c r="AX128" s="608"/>
      <c r="AY128" s="556"/>
    </row>
    <row r="129" spans="1:51" s="557" customFormat="1" ht="103.5" hidden="1" customHeight="1">
      <c r="A129" s="608"/>
      <c r="B129" s="266"/>
      <c r="C129" s="1399"/>
      <c r="D129" s="1408"/>
      <c r="E129" s="1400"/>
      <c r="F129" s="267"/>
      <c r="G129" s="1399"/>
      <c r="H129" s="1408"/>
      <c r="I129" s="1400"/>
      <c r="J129" s="1380"/>
      <c r="K129" s="1380"/>
      <c r="L129" s="1380"/>
      <c r="M129" s="608"/>
      <c r="N129" s="608"/>
      <c r="O129" s="608"/>
      <c r="P129" s="608"/>
      <c r="Q129" s="266"/>
      <c r="R129" s="266"/>
      <c r="S129" s="268"/>
      <c r="T129" s="269" t="e">
        <f>VLOOKUP(Q129,[71]Listas!$D$6:$E$10,2,0)</f>
        <v>#N/A</v>
      </c>
      <c r="U129" s="269" t="e">
        <f>HLOOKUP(R129,[71]Listas!$F$4:$J$5,2,0)</f>
        <v>#N/A</v>
      </c>
      <c r="V129" s="270" t="e">
        <f>INDEX([71]Listas!$F$6:$J$10,MATCH(Q129,[71]Listas!$D$6:$D$10,0),MATCH(R129,[71]Listas!$F$4:$J$4,0))</f>
        <v>#N/A</v>
      </c>
      <c r="W129" s="268"/>
      <c r="X129" s="1399"/>
      <c r="Y129" s="1408"/>
      <c r="Z129" s="1400"/>
      <c r="AA129" s="1063"/>
      <c r="AB129" s="267"/>
      <c r="AC129" s="259"/>
      <c r="AD129" s="608"/>
      <c r="AE129" s="267"/>
      <c r="AF129" s="268"/>
      <c r="AG129" s="269">
        <f t="shared" si="8"/>
        <v>0</v>
      </c>
      <c r="AH129" s="558" t="e">
        <f t="shared" si="9"/>
        <v>#N/A</v>
      </c>
      <c r="AI129" s="270" t="e">
        <f>IF(AH129&lt;=1,"Remota",VLOOKUP(AH129,[71]Listas!$C$6:$D$10,2,0))</f>
        <v>#N/A</v>
      </c>
      <c r="AJ129" s="558" t="e">
        <f t="shared" si="10"/>
        <v>#N/A</v>
      </c>
      <c r="AK129" s="270" t="e">
        <f>IF(AJ129&lt;=1,"Insignificante",HLOOKUP(AJ129,[71]Listas!$F$3:$J$4,2,0))</f>
        <v>#N/A</v>
      </c>
      <c r="AL129" s="273" t="e">
        <f t="shared" si="11"/>
        <v>#N/A</v>
      </c>
      <c r="AM129" s="270" t="e">
        <f>INDEX([71]Listas!$F$6:$J$10,MATCH(AI129,[71]Listas!$D$6:$D$10,0),MATCH(AK129,[71]Listas!$F$4:$J$4,0))</f>
        <v>#N/A</v>
      </c>
      <c r="AN129" s="259"/>
      <c r="AO129" s="259"/>
      <c r="AP129" s="610"/>
      <c r="AQ129" s="259"/>
      <c r="AR129" s="259" t="s">
        <v>2343</v>
      </c>
      <c r="AS129" s="608"/>
      <c r="AT129" s="259"/>
      <c r="AU129" s="259"/>
      <c r="AV129" s="559"/>
      <c r="AW129" s="559"/>
      <c r="AX129" s="608"/>
      <c r="AY129" s="556"/>
    </row>
    <row r="130" spans="1:51" s="557" customFormat="1" ht="103.5" hidden="1" customHeight="1">
      <c r="A130" s="608"/>
      <c r="B130" s="266"/>
      <c r="C130" s="1399"/>
      <c r="D130" s="1408"/>
      <c r="E130" s="1400"/>
      <c r="F130" s="267"/>
      <c r="G130" s="1399"/>
      <c r="H130" s="1408"/>
      <c r="I130" s="1400"/>
      <c r="J130" s="1380"/>
      <c r="K130" s="1380"/>
      <c r="L130" s="1380"/>
      <c r="M130" s="608"/>
      <c r="N130" s="608"/>
      <c r="O130" s="608"/>
      <c r="P130" s="608"/>
      <c r="Q130" s="266"/>
      <c r="R130" s="266"/>
      <c r="S130" s="268"/>
      <c r="T130" s="269" t="e">
        <f>VLOOKUP(Q130,[71]Listas!$D$6:$E$10,2,0)</f>
        <v>#N/A</v>
      </c>
      <c r="U130" s="269" t="e">
        <f>HLOOKUP(R130,[71]Listas!$F$4:$J$5,2,0)</f>
        <v>#N/A</v>
      </c>
      <c r="V130" s="270" t="e">
        <f>INDEX([71]Listas!$F$6:$J$10,MATCH(Q130,[71]Listas!$D$6:$D$10,0),MATCH(R130,[71]Listas!$F$4:$J$4,0))</f>
        <v>#N/A</v>
      </c>
      <c r="W130" s="268"/>
      <c r="X130" s="1399"/>
      <c r="Y130" s="1408"/>
      <c r="Z130" s="1400"/>
      <c r="AA130" s="1063"/>
      <c r="AB130" s="267"/>
      <c r="AC130" s="259"/>
      <c r="AD130" s="608"/>
      <c r="AE130" s="267"/>
      <c r="AF130" s="268"/>
      <c r="AG130" s="269">
        <f t="shared" si="8"/>
        <v>0</v>
      </c>
      <c r="AH130" s="558" t="e">
        <f t="shared" si="9"/>
        <v>#N/A</v>
      </c>
      <c r="AI130" s="270" t="e">
        <f>IF(AH130&lt;=1,"Remota",VLOOKUP(AH130,[71]Listas!$C$6:$D$10,2,0))</f>
        <v>#N/A</v>
      </c>
      <c r="AJ130" s="558" t="e">
        <f t="shared" si="10"/>
        <v>#N/A</v>
      </c>
      <c r="AK130" s="270" t="e">
        <f>IF(AJ130&lt;=1,"Insignificante",HLOOKUP(AJ130,[71]Listas!$F$3:$J$4,2,0))</f>
        <v>#N/A</v>
      </c>
      <c r="AL130" s="273" t="e">
        <f t="shared" si="11"/>
        <v>#N/A</v>
      </c>
      <c r="AM130" s="270" t="e">
        <f>INDEX([71]Listas!$F$6:$J$10,MATCH(AI130,[71]Listas!$D$6:$D$10,0),MATCH(AK130,[71]Listas!$F$4:$J$4,0))</f>
        <v>#N/A</v>
      </c>
      <c r="AN130" s="259"/>
      <c r="AO130" s="259"/>
      <c r="AP130" s="610"/>
      <c r="AQ130" s="259"/>
      <c r="AR130" s="259" t="s">
        <v>2343</v>
      </c>
      <c r="AS130" s="608"/>
      <c r="AT130" s="259"/>
      <c r="AU130" s="259"/>
      <c r="AV130" s="559"/>
      <c r="AW130" s="559"/>
      <c r="AX130" s="608"/>
      <c r="AY130" s="556"/>
    </row>
    <row r="131" spans="1:51" s="557" customFormat="1" ht="103.5" hidden="1" customHeight="1">
      <c r="A131" s="608"/>
      <c r="B131" s="266"/>
      <c r="C131" s="1399"/>
      <c r="D131" s="1408"/>
      <c r="E131" s="1400"/>
      <c r="F131" s="267"/>
      <c r="G131" s="1399"/>
      <c r="H131" s="1408"/>
      <c r="I131" s="1400"/>
      <c r="J131" s="1380"/>
      <c r="K131" s="1380"/>
      <c r="L131" s="1380"/>
      <c r="M131" s="608"/>
      <c r="N131" s="608"/>
      <c r="O131" s="608"/>
      <c r="P131" s="608"/>
      <c r="Q131" s="266"/>
      <c r="R131" s="266"/>
      <c r="S131" s="268"/>
      <c r="T131" s="269" t="e">
        <f>VLOOKUP(Q131,[71]Listas!$D$6:$E$10,2,0)</f>
        <v>#N/A</v>
      </c>
      <c r="U131" s="269" t="e">
        <f>HLOOKUP(R131,[71]Listas!$F$4:$J$5,2,0)</f>
        <v>#N/A</v>
      </c>
      <c r="V131" s="270" t="e">
        <f>INDEX([71]Listas!$F$6:$J$10,MATCH(Q131,[71]Listas!$D$6:$D$10,0),MATCH(R131,[71]Listas!$F$4:$J$4,0))</f>
        <v>#N/A</v>
      </c>
      <c r="W131" s="268"/>
      <c r="X131" s="1399"/>
      <c r="Y131" s="1408"/>
      <c r="Z131" s="1400"/>
      <c r="AA131" s="1063"/>
      <c r="AB131" s="267"/>
      <c r="AC131" s="259"/>
      <c r="AD131" s="608"/>
      <c r="AE131" s="267"/>
      <c r="AF131" s="268"/>
      <c r="AG131" s="269">
        <f t="shared" si="8"/>
        <v>0</v>
      </c>
      <c r="AH131" s="558" t="e">
        <f t="shared" si="9"/>
        <v>#N/A</v>
      </c>
      <c r="AI131" s="270" t="e">
        <f>IF(AH131&lt;=1,"Remota",VLOOKUP(AH131,[71]Listas!$C$6:$D$10,2,0))</f>
        <v>#N/A</v>
      </c>
      <c r="AJ131" s="558" t="e">
        <f t="shared" si="10"/>
        <v>#N/A</v>
      </c>
      <c r="AK131" s="270" t="e">
        <f>IF(AJ131&lt;=1,"Insignificante",HLOOKUP(AJ131,[71]Listas!$F$3:$J$4,2,0))</f>
        <v>#N/A</v>
      </c>
      <c r="AL131" s="273" t="e">
        <f t="shared" si="11"/>
        <v>#N/A</v>
      </c>
      <c r="AM131" s="270" t="e">
        <f>INDEX([71]Listas!$F$6:$J$10,MATCH(AI131,[71]Listas!$D$6:$D$10,0),MATCH(AK131,[71]Listas!$F$4:$J$4,0))</f>
        <v>#N/A</v>
      </c>
      <c r="AN131" s="259"/>
      <c r="AO131" s="259"/>
      <c r="AP131" s="610"/>
      <c r="AQ131" s="259"/>
      <c r="AR131" s="259" t="s">
        <v>2343</v>
      </c>
      <c r="AS131" s="608"/>
      <c r="AT131" s="259"/>
      <c r="AU131" s="259"/>
      <c r="AV131" s="559"/>
      <c r="AW131" s="559"/>
      <c r="AX131" s="608"/>
      <c r="AY131" s="556"/>
    </row>
    <row r="132" spans="1:51" s="557" customFormat="1" ht="103.5" hidden="1" customHeight="1">
      <c r="A132" s="608"/>
      <c r="B132" s="266"/>
      <c r="C132" s="1399"/>
      <c r="D132" s="1408"/>
      <c r="E132" s="1400"/>
      <c r="F132" s="267"/>
      <c r="G132" s="1399"/>
      <c r="H132" s="1408"/>
      <c r="I132" s="1400"/>
      <c r="J132" s="1380"/>
      <c r="K132" s="1380"/>
      <c r="L132" s="1380"/>
      <c r="M132" s="608"/>
      <c r="N132" s="608"/>
      <c r="O132" s="608"/>
      <c r="P132" s="608"/>
      <c r="Q132" s="266"/>
      <c r="R132" s="266"/>
      <c r="S132" s="268"/>
      <c r="T132" s="269" t="e">
        <f>VLOOKUP(Q132,[71]Listas!$D$6:$E$10,2,0)</f>
        <v>#N/A</v>
      </c>
      <c r="U132" s="269" t="e">
        <f>HLOOKUP(R132,[71]Listas!$F$4:$J$5,2,0)</f>
        <v>#N/A</v>
      </c>
      <c r="V132" s="270" t="e">
        <f>INDEX([71]Listas!$F$6:$J$10,MATCH(Q132,[71]Listas!$D$6:$D$10,0),MATCH(R132,[71]Listas!$F$4:$J$4,0))</f>
        <v>#N/A</v>
      </c>
      <c r="W132" s="268"/>
      <c r="X132" s="1399"/>
      <c r="Y132" s="1408"/>
      <c r="Z132" s="1400"/>
      <c r="AA132" s="1063"/>
      <c r="AB132" s="267"/>
      <c r="AC132" s="259"/>
      <c r="AD132" s="608"/>
      <c r="AE132" s="267"/>
      <c r="AF132" s="268"/>
      <c r="AG132" s="269">
        <f t="shared" si="8"/>
        <v>0</v>
      </c>
      <c r="AH132" s="558" t="e">
        <f t="shared" si="9"/>
        <v>#N/A</v>
      </c>
      <c r="AI132" s="270" t="e">
        <f>IF(AH132&lt;=1,"Remota",VLOOKUP(AH132,[71]Listas!$C$6:$D$10,2,0))</f>
        <v>#N/A</v>
      </c>
      <c r="AJ132" s="558" t="e">
        <f t="shared" si="10"/>
        <v>#N/A</v>
      </c>
      <c r="AK132" s="270" t="e">
        <f>IF(AJ132&lt;=1,"Insignificante",HLOOKUP(AJ132,[71]Listas!$F$3:$J$4,2,0))</f>
        <v>#N/A</v>
      </c>
      <c r="AL132" s="273" t="e">
        <f t="shared" si="11"/>
        <v>#N/A</v>
      </c>
      <c r="AM132" s="270" t="e">
        <f>INDEX([71]Listas!$F$6:$J$10,MATCH(AI132,[71]Listas!$D$6:$D$10,0),MATCH(AK132,[71]Listas!$F$4:$J$4,0))</f>
        <v>#N/A</v>
      </c>
      <c r="AN132" s="259"/>
      <c r="AO132" s="259"/>
      <c r="AP132" s="610"/>
      <c r="AQ132" s="259"/>
      <c r="AR132" s="259" t="s">
        <v>2343</v>
      </c>
      <c r="AS132" s="608"/>
      <c r="AT132" s="259"/>
      <c r="AU132" s="259"/>
      <c r="AV132" s="559"/>
      <c r="AW132" s="559"/>
      <c r="AX132" s="608"/>
      <c r="AY132" s="556"/>
    </row>
    <row r="133" spans="1:51" s="557" customFormat="1" ht="103.5" hidden="1" customHeight="1">
      <c r="A133" s="608"/>
      <c r="B133" s="266"/>
      <c r="C133" s="1399"/>
      <c r="D133" s="1408"/>
      <c r="E133" s="1400"/>
      <c r="F133" s="267"/>
      <c r="G133" s="1399"/>
      <c r="H133" s="1408"/>
      <c r="I133" s="1400"/>
      <c r="J133" s="1380"/>
      <c r="K133" s="1380"/>
      <c r="L133" s="1380"/>
      <c r="M133" s="608"/>
      <c r="N133" s="608"/>
      <c r="O133" s="608"/>
      <c r="P133" s="608"/>
      <c r="Q133" s="266"/>
      <c r="R133" s="266"/>
      <c r="S133" s="268"/>
      <c r="T133" s="269" t="e">
        <f>VLOOKUP(Q133,[71]Listas!$D$6:$E$10,2,0)</f>
        <v>#N/A</v>
      </c>
      <c r="U133" s="269" t="e">
        <f>HLOOKUP(R133,[71]Listas!$F$4:$J$5,2,0)</f>
        <v>#N/A</v>
      </c>
      <c r="V133" s="270" t="e">
        <f>INDEX([71]Listas!$F$6:$J$10,MATCH(Q133,[71]Listas!$D$6:$D$10,0),MATCH(R133,[71]Listas!$F$4:$J$4,0))</f>
        <v>#N/A</v>
      </c>
      <c r="W133" s="268"/>
      <c r="X133" s="1399"/>
      <c r="Y133" s="1408"/>
      <c r="Z133" s="1400"/>
      <c r="AA133" s="1063"/>
      <c r="AB133" s="267"/>
      <c r="AC133" s="259"/>
      <c r="AD133" s="608"/>
      <c r="AE133" s="267"/>
      <c r="AF133" s="268"/>
      <c r="AG133" s="269">
        <f t="shared" si="8"/>
        <v>0</v>
      </c>
      <c r="AH133" s="558" t="e">
        <f t="shared" si="9"/>
        <v>#N/A</v>
      </c>
      <c r="AI133" s="270" t="e">
        <f>IF(AH133&lt;=1,"Remota",VLOOKUP(AH133,[71]Listas!$C$6:$D$10,2,0))</f>
        <v>#N/A</v>
      </c>
      <c r="AJ133" s="558" t="e">
        <f t="shared" si="10"/>
        <v>#N/A</v>
      </c>
      <c r="AK133" s="270" t="e">
        <f>IF(AJ133&lt;=1,"Insignificante",HLOOKUP(AJ133,[71]Listas!$F$3:$J$4,2,0))</f>
        <v>#N/A</v>
      </c>
      <c r="AL133" s="273" t="e">
        <f t="shared" si="11"/>
        <v>#N/A</v>
      </c>
      <c r="AM133" s="270" t="e">
        <f>INDEX([71]Listas!$F$6:$J$10,MATCH(AI133,[71]Listas!$D$6:$D$10,0),MATCH(AK133,[71]Listas!$F$4:$J$4,0))</f>
        <v>#N/A</v>
      </c>
      <c r="AN133" s="259"/>
      <c r="AO133" s="259"/>
      <c r="AP133" s="610"/>
      <c r="AQ133" s="259"/>
      <c r="AR133" s="259" t="s">
        <v>2343</v>
      </c>
      <c r="AS133" s="608"/>
      <c r="AT133" s="259"/>
      <c r="AU133" s="259"/>
      <c r="AV133" s="559"/>
      <c r="AW133" s="559"/>
      <c r="AX133" s="608"/>
      <c r="AY133" s="556"/>
    </row>
    <row r="134" spans="1:51" s="557" customFormat="1" ht="103.5" hidden="1" customHeight="1">
      <c r="A134" s="608"/>
      <c r="B134" s="266"/>
      <c r="C134" s="1399"/>
      <c r="D134" s="1408"/>
      <c r="E134" s="1400"/>
      <c r="F134" s="267"/>
      <c r="G134" s="1399"/>
      <c r="H134" s="1408"/>
      <c r="I134" s="1400"/>
      <c r="J134" s="1380"/>
      <c r="K134" s="1380"/>
      <c r="L134" s="1380"/>
      <c r="M134" s="608"/>
      <c r="N134" s="608"/>
      <c r="O134" s="608"/>
      <c r="P134" s="608"/>
      <c r="Q134" s="266"/>
      <c r="R134" s="266"/>
      <c r="S134" s="268"/>
      <c r="T134" s="269" t="e">
        <f>VLOOKUP(Q134,[71]Listas!$D$6:$E$10,2,0)</f>
        <v>#N/A</v>
      </c>
      <c r="U134" s="269" t="e">
        <f>HLOOKUP(R134,[71]Listas!$F$4:$J$5,2,0)</f>
        <v>#N/A</v>
      </c>
      <c r="V134" s="270" t="e">
        <f>INDEX([71]Listas!$F$6:$J$10,MATCH(Q134,[71]Listas!$D$6:$D$10,0),MATCH(R134,[71]Listas!$F$4:$J$4,0))</f>
        <v>#N/A</v>
      </c>
      <c r="W134" s="268"/>
      <c r="X134" s="1399"/>
      <c r="Y134" s="1408"/>
      <c r="Z134" s="1400"/>
      <c r="AA134" s="1063"/>
      <c r="AB134" s="267"/>
      <c r="AC134" s="259"/>
      <c r="AD134" s="608"/>
      <c r="AE134" s="267"/>
      <c r="AF134" s="268"/>
      <c r="AG134" s="269">
        <f t="shared" si="8"/>
        <v>0</v>
      </c>
      <c r="AH134" s="558" t="e">
        <f t="shared" si="9"/>
        <v>#N/A</v>
      </c>
      <c r="AI134" s="270" t="e">
        <f>IF(AH134&lt;=1,"Remota",VLOOKUP(AH134,[71]Listas!$C$6:$D$10,2,0))</f>
        <v>#N/A</v>
      </c>
      <c r="AJ134" s="558" t="e">
        <f t="shared" si="10"/>
        <v>#N/A</v>
      </c>
      <c r="AK134" s="270" t="e">
        <f>IF(AJ134&lt;=1,"Insignificante",HLOOKUP(AJ134,[71]Listas!$F$3:$J$4,2,0))</f>
        <v>#N/A</v>
      </c>
      <c r="AL134" s="273" t="e">
        <f t="shared" si="11"/>
        <v>#N/A</v>
      </c>
      <c r="AM134" s="270" t="e">
        <f>INDEX([71]Listas!$F$6:$J$10,MATCH(AI134,[71]Listas!$D$6:$D$10,0),MATCH(AK134,[71]Listas!$F$4:$J$4,0))</f>
        <v>#N/A</v>
      </c>
      <c r="AN134" s="259"/>
      <c r="AO134" s="259"/>
      <c r="AP134" s="610"/>
      <c r="AQ134" s="259"/>
      <c r="AR134" s="259" t="s">
        <v>2343</v>
      </c>
      <c r="AS134" s="608"/>
      <c r="AT134" s="259"/>
      <c r="AU134" s="259"/>
      <c r="AV134" s="559"/>
      <c r="AW134" s="559"/>
      <c r="AX134" s="608"/>
      <c r="AY134" s="556"/>
    </row>
    <row r="135" spans="1:51" s="557" customFormat="1" ht="103.5" hidden="1" customHeight="1">
      <c r="A135" s="608"/>
      <c r="B135" s="266"/>
      <c r="C135" s="1399"/>
      <c r="D135" s="1408"/>
      <c r="E135" s="1400"/>
      <c r="F135" s="267"/>
      <c r="G135" s="1399"/>
      <c r="H135" s="1408"/>
      <c r="I135" s="1400"/>
      <c r="J135" s="1380"/>
      <c r="K135" s="1380"/>
      <c r="L135" s="1380"/>
      <c r="M135" s="608"/>
      <c r="N135" s="608"/>
      <c r="O135" s="608"/>
      <c r="P135" s="608"/>
      <c r="Q135" s="266"/>
      <c r="R135" s="266"/>
      <c r="S135" s="268"/>
      <c r="T135" s="269" t="e">
        <f>VLOOKUP(Q135,[71]Listas!$D$6:$E$10,2,0)</f>
        <v>#N/A</v>
      </c>
      <c r="U135" s="269" t="e">
        <f>HLOOKUP(R135,[71]Listas!$F$4:$J$5,2,0)</f>
        <v>#N/A</v>
      </c>
      <c r="V135" s="270" t="e">
        <f>INDEX([71]Listas!$F$6:$J$10,MATCH(Q135,[71]Listas!$D$6:$D$10,0),MATCH(R135,[71]Listas!$F$4:$J$4,0))</f>
        <v>#N/A</v>
      </c>
      <c r="W135" s="268"/>
      <c r="X135" s="1399"/>
      <c r="Y135" s="1408"/>
      <c r="Z135" s="1400"/>
      <c r="AA135" s="1063"/>
      <c r="AB135" s="267"/>
      <c r="AC135" s="259"/>
      <c r="AD135" s="608"/>
      <c r="AE135" s="267"/>
      <c r="AF135" s="268"/>
      <c r="AG135" s="269">
        <f t="shared" si="8"/>
        <v>0</v>
      </c>
      <c r="AH135" s="558" t="e">
        <f t="shared" si="9"/>
        <v>#N/A</v>
      </c>
      <c r="AI135" s="270" t="e">
        <f>IF(AH135&lt;=1,"Remota",VLOOKUP(AH135,[71]Listas!$C$6:$D$10,2,0))</f>
        <v>#N/A</v>
      </c>
      <c r="AJ135" s="558" t="e">
        <f t="shared" si="10"/>
        <v>#N/A</v>
      </c>
      <c r="AK135" s="270" t="e">
        <f>IF(AJ135&lt;=1,"Insignificante",HLOOKUP(AJ135,[71]Listas!$F$3:$J$4,2,0))</f>
        <v>#N/A</v>
      </c>
      <c r="AL135" s="273" t="e">
        <f t="shared" si="11"/>
        <v>#N/A</v>
      </c>
      <c r="AM135" s="270" t="e">
        <f>INDEX([71]Listas!$F$6:$J$10,MATCH(AI135,[71]Listas!$D$6:$D$10,0),MATCH(AK135,[71]Listas!$F$4:$J$4,0))</f>
        <v>#N/A</v>
      </c>
      <c r="AN135" s="259"/>
      <c r="AO135" s="259"/>
      <c r="AP135" s="610"/>
      <c r="AQ135" s="259"/>
      <c r="AR135" s="259" t="s">
        <v>2343</v>
      </c>
      <c r="AS135" s="608"/>
      <c r="AT135" s="259"/>
      <c r="AU135" s="259"/>
      <c r="AV135" s="559"/>
      <c r="AW135" s="559"/>
      <c r="AX135" s="608"/>
      <c r="AY135" s="556"/>
    </row>
    <row r="136" spans="1:51" s="557" customFormat="1" ht="103.5" hidden="1" customHeight="1">
      <c r="A136" s="608"/>
      <c r="B136" s="266"/>
      <c r="C136" s="1399"/>
      <c r="D136" s="1408"/>
      <c r="E136" s="1400"/>
      <c r="F136" s="267"/>
      <c r="G136" s="1399"/>
      <c r="H136" s="1408"/>
      <c r="I136" s="1400"/>
      <c r="J136" s="1380"/>
      <c r="K136" s="1380"/>
      <c r="L136" s="1380"/>
      <c r="M136" s="608"/>
      <c r="N136" s="608"/>
      <c r="O136" s="608"/>
      <c r="P136" s="608"/>
      <c r="Q136" s="266"/>
      <c r="R136" s="266"/>
      <c r="S136" s="268"/>
      <c r="T136" s="269" t="e">
        <f>VLOOKUP(Q136,[71]Listas!$D$6:$E$10,2,0)</f>
        <v>#N/A</v>
      </c>
      <c r="U136" s="269" t="e">
        <f>HLOOKUP(R136,[71]Listas!$F$4:$J$5,2,0)</f>
        <v>#N/A</v>
      </c>
      <c r="V136" s="270" t="e">
        <f>INDEX([71]Listas!$F$6:$J$10,MATCH(Q136,[71]Listas!$D$6:$D$10,0),MATCH(R136,[71]Listas!$F$4:$J$4,0))</f>
        <v>#N/A</v>
      </c>
      <c r="W136" s="268"/>
      <c r="X136" s="1399"/>
      <c r="Y136" s="1408"/>
      <c r="Z136" s="1400"/>
      <c r="AA136" s="1063"/>
      <c r="AB136" s="267"/>
      <c r="AC136" s="259"/>
      <c r="AD136" s="608"/>
      <c r="AE136" s="267"/>
      <c r="AF136" s="268"/>
      <c r="AG136" s="269">
        <f t="shared" si="8"/>
        <v>0</v>
      </c>
      <c r="AH136" s="558" t="e">
        <f t="shared" si="9"/>
        <v>#N/A</v>
      </c>
      <c r="AI136" s="270" t="e">
        <f>IF(AH136&lt;=1,"Remota",VLOOKUP(AH136,[71]Listas!$C$6:$D$10,2,0))</f>
        <v>#N/A</v>
      </c>
      <c r="AJ136" s="558" t="e">
        <f t="shared" si="10"/>
        <v>#N/A</v>
      </c>
      <c r="AK136" s="270" t="e">
        <f>IF(AJ136&lt;=1,"Insignificante",HLOOKUP(AJ136,[71]Listas!$F$3:$J$4,2,0))</f>
        <v>#N/A</v>
      </c>
      <c r="AL136" s="273" t="e">
        <f t="shared" si="11"/>
        <v>#N/A</v>
      </c>
      <c r="AM136" s="270" t="e">
        <f>INDEX([71]Listas!$F$6:$J$10,MATCH(AI136,[71]Listas!$D$6:$D$10,0),MATCH(AK136,[71]Listas!$F$4:$J$4,0))</f>
        <v>#N/A</v>
      </c>
      <c r="AN136" s="259"/>
      <c r="AO136" s="259"/>
      <c r="AP136" s="610"/>
      <c r="AQ136" s="259"/>
      <c r="AR136" s="259" t="s">
        <v>2343</v>
      </c>
      <c r="AS136" s="608"/>
      <c r="AT136" s="259"/>
      <c r="AU136" s="259"/>
      <c r="AV136" s="559"/>
      <c r="AW136" s="559"/>
      <c r="AX136" s="608"/>
      <c r="AY136" s="556"/>
    </row>
    <row r="137" spans="1:51" s="557" customFormat="1" ht="103.5" hidden="1" customHeight="1">
      <c r="A137" s="608"/>
      <c r="B137" s="266"/>
      <c r="C137" s="1399"/>
      <c r="D137" s="1408"/>
      <c r="E137" s="1400"/>
      <c r="F137" s="267"/>
      <c r="G137" s="1399"/>
      <c r="H137" s="1408"/>
      <c r="I137" s="1400"/>
      <c r="J137" s="1380"/>
      <c r="K137" s="1380"/>
      <c r="L137" s="1380"/>
      <c r="M137" s="608"/>
      <c r="N137" s="608"/>
      <c r="O137" s="608"/>
      <c r="P137" s="608"/>
      <c r="Q137" s="266"/>
      <c r="R137" s="266"/>
      <c r="S137" s="268"/>
      <c r="T137" s="269" t="e">
        <f>VLOOKUP(Q137,[71]Listas!$D$6:$E$10,2,0)</f>
        <v>#N/A</v>
      </c>
      <c r="U137" s="269" t="e">
        <f>HLOOKUP(R137,[71]Listas!$F$4:$J$5,2,0)</f>
        <v>#N/A</v>
      </c>
      <c r="V137" s="270" t="e">
        <f>INDEX([71]Listas!$F$6:$J$10,MATCH(Q137,[71]Listas!$D$6:$D$10,0),MATCH(R137,[71]Listas!$F$4:$J$4,0))</f>
        <v>#N/A</v>
      </c>
      <c r="W137" s="268"/>
      <c r="X137" s="1399"/>
      <c r="Y137" s="1408"/>
      <c r="Z137" s="1400"/>
      <c r="AA137" s="1063"/>
      <c r="AB137" s="267"/>
      <c r="AC137" s="259"/>
      <c r="AD137" s="608"/>
      <c r="AE137" s="267"/>
      <c r="AF137" s="268"/>
      <c r="AG137" s="269">
        <f t="shared" si="8"/>
        <v>0</v>
      </c>
      <c r="AH137" s="558" t="e">
        <f t="shared" si="9"/>
        <v>#N/A</v>
      </c>
      <c r="AI137" s="270" t="e">
        <f>IF(AH137&lt;=1,"Remota",VLOOKUP(AH137,[71]Listas!$C$6:$D$10,2,0))</f>
        <v>#N/A</v>
      </c>
      <c r="AJ137" s="558" t="e">
        <f t="shared" si="10"/>
        <v>#N/A</v>
      </c>
      <c r="AK137" s="270" t="e">
        <f>IF(AJ137&lt;=1,"Insignificante",HLOOKUP(AJ137,[71]Listas!$F$3:$J$4,2,0))</f>
        <v>#N/A</v>
      </c>
      <c r="AL137" s="273" t="e">
        <f t="shared" si="11"/>
        <v>#N/A</v>
      </c>
      <c r="AM137" s="270" t="e">
        <f>INDEX([71]Listas!$F$6:$J$10,MATCH(AI137,[71]Listas!$D$6:$D$10,0),MATCH(AK137,[71]Listas!$F$4:$J$4,0))</f>
        <v>#N/A</v>
      </c>
      <c r="AN137" s="259"/>
      <c r="AO137" s="259"/>
      <c r="AP137" s="610"/>
      <c r="AQ137" s="259"/>
      <c r="AR137" s="259" t="s">
        <v>2343</v>
      </c>
      <c r="AS137" s="608"/>
      <c r="AT137" s="259"/>
      <c r="AU137" s="259"/>
      <c r="AV137" s="559"/>
      <c r="AW137" s="559"/>
      <c r="AX137" s="608"/>
      <c r="AY137" s="556"/>
    </row>
    <row r="138" spans="1:51" s="557" customFormat="1" ht="103.5" hidden="1" customHeight="1">
      <c r="A138" s="608"/>
      <c r="B138" s="266"/>
      <c r="C138" s="1399"/>
      <c r="D138" s="1408"/>
      <c r="E138" s="1400"/>
      <c r="F138" s="267"/>
      <c r="G138" s="1399"/>
      <c r="H138" s="1408"/>
      <c r="I138" s="1400"/>
      <c r="J138" s="1380"/>
      <c r="K138" s="1380"/>
      <c r="L138" s="1380"/>
      <c r="M138" s="608"/>
      <c r="N138" s="608"/>
      <c r="O138" s="608"/>
      <c r="P138" s="608"/>
      <c r="Q138" s="266"/>
      <c r="R138" s="266"/>
      <c r="S138" s="268"/>
      <c r="T138" s="269" t="e">
        <f>VLOOKUP(Q138,[71]Listas!$D$6:$E$10,2,0)</f>
        <v>#N/A</v>
      </c>
      <c r="U138" s="269" t="e">
        <f>HLOOKUP(R138,[71]Listas!$F$4:$J$5,2,0)</f>
        <v>#N/A</v>
      </c>
      <c r="V138" s="270" t="e">
        <f>INDEX([71]Listas!$F$6:$J$10,MATCH(Q138,[71]Listas!$D$6:$D$10,0),MATCH(R138,[71]Listas!$F$4:$J$4,0))</f>
        <v>#N/A</v>
      </c>
      <c r="W138" s="268"/>
      <c r="X138" s="1399"/>
      <c r="Y138" s="1408"/>
      <c r="Z138" s="1400"/>
      <c r="AA138" s="1063"/>
      <c r="AB138" s="267"/>
      <c r="AC138" s="259"/>
      <c r="AD138" s="608"/>
      <c r="AE138" s="267"/>
      <c r="AF138" s="268"/>
      <c r="AG138" s="269">
        <f t="shared" si="8"/>
        <v>0</v>
      </c>
      <c r="AH138" s="558" t="e">
        <f t="shared" si="9"/>
        <v>#N/A</v>
      </c>
      <c r="AI138" s="270" t="e">
        <f>IF(AH138&lt;=1,"Remota",VLOOKUP(AH138,[71]Listas!$C$6:$D$10,2,0))</f>
        <v>#N/A</v>
      </c>
      <c r="AJ138" s="558" t="e">
        <f t="shared" si="10"/>
        <v>#N/A</v>
      </c>
      <c r="AK138" s="270" t="e">
        <f>IF(AJ138&lt;=1,"Insignificante",HLOOKUP(AJ138,[71]Listas!$F$3:$J$4,2,0))</f>
        <v>#N/A</v>
      </c>
      <c r="AL138" s="273" t="e">
        <f t="shared" si="11"/>
        <v>#N/A</v>
      </c>
      <c r="AM138" s="270" t="e">
        <f>INDEX([71]Listas!$F$6:$J$10,MATCH(AI138,[71]Listas!$D$6:$D$10,0),MATCH(AK138,[71]Listas!$F$4:$J$4,0))</f>
        <v>#N/A</v>
      </c>
      <c r="AN138" s="259"/>
      <c r="AO138" s="259"/>
      <c r="AP138" s="610"/>
      <c r="AQ138" s="259"/>
      <c r="AR138" s="259" t="s">
        <v>2343</v>
      </c>
      <c r="AS138" s="608"/>
      <c r="AT138" s="259"/>
      <c r="AU138" s="259"/>
      <c r="AV138" s="559"/>
      <c r="AW138" s="559"/>
      <c r="AX138" s="608"/>
      <c r="AY138" s="556"/>
    </row>
    <row r="139" spans="1:51" s="557" customFormat="1" ht="103.5" hidden="1" customHeight="1">
      <c r="A139" s="608"/>
      <c r="B139" s="266"/>
      <c r="C139" s="1399"/>
      <c r="D139" s="1408"/>
      <c r="E139" s="1400"/>
      <c r="F139" s="267"/>
      <c r="G139" s="1399"/>
      <c r="H139" s="1408"/>
      <c r="I139" s="1400"/>
      <c r="J139" s="1380"/>
      <c r="K139" s="1380"/>
      <c r="L139" s="1380"/>
      <c r="M139" s="608"/>
      <c r="N139" s="608"/>
      <c r="O139" s="608"/>
      <c r="P139" s="608"/>
      <c r="Q139" s="266"/>
      <c r="R139" s="266"/>
      <c r="S139" s="268"/>
      <c r="T139" s="269" t="e">
        <f>VLOOKUP(Q139,[71]Listas!$D$6:$E$10,2,0)</f>
        <v>#N/A</v>
      </c>
      <c r="U139" s="269" t="e">
        <f>HLOOKUP(R139,[71]Listas!$F$4:$J$5,2,0)</f>
        <v>#N/A</v>
      </c>
      <c r="V139" s="270" t="e">
        <f>INDEX([71]Listas!$F$6:$J$10,MATCH(Q139,[71]Listas!$D$6:$D$10,0),MATCH(R139,[71]Listas!$F$4:$J$4,0))</f>
        <v>#N/A</v>
      </c>
      <c r="W139" s="268"/>
      <c r="X139" s="1399"/>
      <c r="Y139" s="1408"/>
      <c r="Z139" s="1400"/>
      <c r="AA139" s="1063"/>
      <c r="AB139" s="267"/>
      <c r="AC139" s="259"/>
      <c r="AD139" s="608"/>
      <c r="AE139" s="267"/>
      <c r="AF139" s="268"/>
      <c r="AG139" s="269">
        <f t="shared" si="8"/>
        <v>0</v>
      </c>
      <c r="AH139" s="558" t="e">
        <f t="shared" si="9"/>
        <v>#N/A</v>
      </c>
      <c r="AI139" s="270" t="e">
        <f>IF(AH139&lt;=1,"Remota",VLOOKUP(AH139,[71]Listas!$C$6:$D$10,2,0))</f>
        <v>#N/A</v>
      </c>
      <c r="AJ139" s="558" t="e">
        <f t="shared" si="10"/>
        <v>#N/A</v>
      </c>
      <c r="AK139" s="270" t="e">
        <f>IF(AJ139&lt;=1,"Insignificante",HLOOKUP(AJ139,[71]Listas!$F$3:$J$4,2,0))</f>
        <v>#N/A</v>
      </c>
      <c r="AL139" s="273" t="e">
        <f t="shared" si="11"/>
        <v>#N/A</v>
      </c>
      <c r="AM139" s="270" t="e">
        <f>INDEX([71]Listas!$F$6:$J$10,MATCH(AI139,[71]Listas!$D$6:$D$10,0),MATCH(AK139,[71]Listas!$F$4:$J$4,0))</f>
        <v>#N/A</v>
      </c>
      <c r="AN139" s="259"/>
      <c r="AO139" s="259"/>
      <c r="AP139" s="610"/>
      <c r="AQ139" s="259"/>
      <c r="AR139" s="259" t="s">
        <v>2343</v>
      </c>
      <c r="AS139" s="608"/>
      <c r="AT139" s="259"/>
      <c r="AU139" s="259"/>
      <c r="AV139" s="559"/>
      <c r="AW139" s="559"/>
      <c r="AX139" s="608"/>
      <c r="AY139" s="556"/>
    </row>
    <row r="140" spans="1:51" s="557" customFormat="1" ht="103.5" hidden="1" customHeight="1">
      <c r="A140" s="608"/>
      <c r="B140" s="266"/>
      <c r="C140" s="1399"/>
      <c r="D140" s="1408"/>
      <c r="E140" s="1400"/>
      <c r="F140" s="267"/>
      <c r="G140" s="1399"/>
      <c r="H140" s="1408"/>
      <c r="I140" s="1400"/>
      <c r="J140" s="1380"/>
      <c r="K140" s="1380"/>
      <c r="L140" s="1380"/>
      <c r="M140" s="608"/>
      <c r="N140" s="608"/>
      <c r="O140" s="608"/>
      <c r="P140" s="608"/>
      <c r="Q140" s="266"/>
      <c r="R140" s="266"/>
      <c r="S140" s="268"/>
      <c r="T140" s="269" t="e">
        <f>VLOOKUP(Q140,[71]Listas!$D$6:$E$10,2,0)</f>
        <v>#N/A</v>
      </c>
      <c r="U140" s="269" t="e">
        <f>HLOOKUP(R140,[71]Listas!$F$4:$J$5,2,0)</f>
        <v>#N/A</v>
      </c>
      <c r="V140" s="270" t="e">
        <f>INDEX([71]Listas!$F$6:$J$10,MATCH(Q140,[71]Listas!$D$6:$D$10,0),MATCH(R140,[71]Listas!$F$4:$J$4,0))</f>
        <v>#N/A</v>
      </c>
      <c r="W140" s="268"/>
      <c r="X140" s="1399"/>
      <c r="Y140" s="1408"/>
      <c r="Z140" s="1400"/>
      <c r="AA140" s="1063"/>
      <c r="AB140" s="267"/>
      <c r="AC140" s="259"/>
      <c r="AD140" s="608"/>
      <c r="AE140" s="267"/>
      <c r="AF140" s="268"/>
      <c r="AG140" s="269">
        <f t="shared" si="8"/>
        <v>0</v>
      </c>
      <c r="AH140" s="558" t="e">
        <f t="shared" si="9"/>
        <v>#N/A</v>
      </c>
      <c r="AI140" s="270" t="e">
        <f>IF(AH140&lt;=1,"Remota",VLOOKUP(AH140,[71]Listas!$C$6:$D$10,2,0))</f>
        <v>#N/A</v>
      </c>
      <c r="AJ140" s="558" t="e">
        <f t="shared" si="10"/>
        <v>#N/A</v>
      </c>
      <c r="AK140" s="270" t="e">
        <f>IF(AJ140&lt;=1,"Insignificante",HLOOKUP(AJ140,[71]Listas!$F$3:$J$4,2,0))</f>
        <v>#N/A</v>
      </c>
      <c r="AL140" s="273" t="e">
        <f t="shared" si="11"/>
        <v>#N/A</v>
      </c>
      <c r="AM140" s="270" t="e">
        <f>INDEX([71]Listas!$F$6:$J$10,MATCH(AI140,[71]Listas!$D$6:$D$10,0),MATCH(AK140,[71]Listas!$F$4:$J$4,0))</f>
        <v>#N/A</v>
      </c>
      <c r="AN140" s="259"/>
      <c r="AO140" s="259"/>
      <c r="AP140" s="610"/>
      <c r="AQ140" s="259"/>
      <c r="AR140" s="259" t="s">
        <v>2343</v>
      </c>
      <c r="AS140" s="608"/>
      <c r="AT140" s="259"/>
      <c r="AU140" s="259"/>
      <c r="AV140" s="559"/>
      <c r="AW140" s="559"/>
      <c r="AX140" s="608"/>
      <c r="AY140" s="556"/>
    </row>
    <row r="141" spans="1:51" s="557" customFormat="1" ht="103.5" hidden="1" customHeight="1">
      <c r="A141" s="608"/>
      <c r="B141" s="266"/>
      <c r="C141" s="1399"/>
      <c r="D141" s="1408"/>
      <c r="E141" s="1400"/>
      <c r="F141" s="267"/>
      <c r="G141" s="1399"/>
      <c r="H141" s="1408"/>
      <c r="I141" s="1400"/>
      <c r="J141" s="1380"/>
      <c r="K141" s="1380"/>
      <c r="L141" s="1380"/>
      <c r="M141" s="608"/>
      <c r="N141" s="608"/>
      <c r="O141" s="608"/>
      <c r="P141" s="608"/>
      <c r="Q141" s="266"/>
      <c r="R141" s="266"/>
      <c r="S141" s="268"/>
      <c r="T141" s="269" t="e">
        <f>VLOOKUP(Q141,[71]Listas!$D$6:$E$10,2,0)</f>
        <v>#N/A</v>
      </c>
      <c r="U141" s="269" t="e">
        <f>HLOOKUP(R141,[71]Listas!$F$4:$J$5,2,0)</f>
        <v>#N/A</v>
      </c>
      <c r="V141" s="270" t="e">
        <f>INDEX([71]Listas!$F$6:$J$10,MATCH(Q141,[71]Listas!$D$6:$D$10,0),MATCH(R141,[71]Listas!$F$4:$J$4,0))</f>
        <v>#N/A</v>
      </c>
      <c r="W141" s="268"/>
      <c r="X141" s="1399"/>
      <c r="Y141" s="1408"/>
      <c r="Z141" s="1400"/>
      <c r="AA141" s="1063"/>
      <c r="AB141" s="267"/>
      <c r="AC141" s="259"/>
      <c r="AD141" s="608"/>
      <c r="AE141" s="267"/>
      <c r="AF141" s="268"/>
      <c r="AG141" s="269">
        <f t="shared" si="8"/>
        <v>0</v>
      </c>
      <c r="AH141" s="558" t="e">
        <f t="shared" si="9"/>
        <v>#N/A</v>
      </c>
      <c r="AI141" s="270" t="e">
        <f>IF(AH141&lt;=1,"Remota",VLOOKUP(AH141,[71]Listas!$C$6:$D$10,2,0))</f>
        <v>#N/A</v>
      </c>
      <c r="AJ141" s="558" t="e">
        <f t="shared" si="10"/>
        <v>#N/A</v>
      </c>
      <c r="AK141" s="270" t="e">
        <f>IF(AJ141&lt;=1,"Insignificante",HLOOKUP(AJ141,[71]Listas!$F$3:$J$4,2,0))</f>
        <v>#N/A</v>
      </c>
      <c r="AL141" s="273" t="e">
        <f t="shared" si="11"/>
        <v>#N/A</v>
      </c>
      <c r="AM141" s="270" t="e">
        <f>INDEX([71]Listas!$F$6:$J$10,MATCH(AI141,[71]Listas!$D$6:$D$10,0),MATCH(AK141,[71]Listas!$F$4:$J$4,0))</f>
        <v>#N/A</v>
      </c>
      <c r="AN141" s="259"/>
      <c r="AO141" s="259"/>
      <c r="AP141" s="610"/>
      <c r="AQ141" s="259"/>
      <c r="AR141" s="259" t="s">
        <v>2343</v>
      </c>
      <c r="AS141" s="608"/>
      <c r="AT141" s="259"/>
      <c r="AU141" s="259"/>
      <c r="AV141" s="559"/>
      <c r="AW141" s="559"/>
      <c r="AX141" s="608"/>
      <c r="AY141" s="556"/>
    </row>
    <row r="142" spans="1:51" s="557" customFormat="1" ht="103.5" hidden="1" customHeight="1">
      <c r="A142" s="608"/>
      <c r="B142" s="266"/>
      <c r="C142" s="1399"/>
      <c r="D142" s="1408"/>
      <c r="E142" s="1400"/>
      <c r="F142" s="267"/>
      <c r="G142" s="1399"/>
      <c r="H142" s="1408"/>
      <c r="I142" s="1400"/>
      <c r="J142" s="1380"/>
      <c r="K142" s="1380"/>
      <c r="L142" s="1380"/>
      <c r="M142" s="608"/>
      <c r="N142" s="608"/>
      <c r="O142" s="608"/>
      <c r="P142" s="608"/>
      <c r="Q142" s="266"/>
      <c r="R142" s="266"/>
      <c r="S142" s="268"/>
      <c r="T142" s="269" t="e">
        <f>VLOOKUP(Q142,[71]Listas!$D$6:$E$10,2,0)</f>
        <v>#N/A</v>
      </c>
      <c r="U142" s="269" t="e">
        <f>HLOOKUP(R142,[71]Listas!$F$4:$J$5,2,0)</f>
        <v>#N/A</v>
      </c>
      <c r="V142" s="270" t="e">
        <f>INDEX([71]Listas!$F$6:$J$10,MATCH(Q142,[71]Listas!$D$6:$D$10,0),MATCH(R142,[71]Listas!$F$4:$J$4,0))</f>
        <v>#N/A</v>
      </c>
      <c r="W142" s="268"/>
      <c r="X142" s="1399"/>
      <c r="Y142" s="1408"/>
      <c r="Z142" s="1400"/>
      <c r="AA142" s="1063"/>
      <c r="AB142" s="267"/>
      <c r="AC142" s="259"/>
      <c r="AD142" s="608"/>
      <c r="AE142" s="267"/>
      <c r="AF142" s="268"/>
      <c r="AG142" s="269">
        <f t="shared" si="8"/>
        <v>0</v>
      </c>
      <c r="AH142" s="558" t="e">
        <f t="shared" si="9"/>
        <v>#N/A</v>
      </c>
      <c r="AI142" s="270" t="e">
        <f>IF(AH142&lt;=1,"Remota",VLOOKUP(AH142,[71]Listas!$C$6:$D$10,2,0))</f>
        <v>#N/A</v>
      </c>
      <c r="AJ142" s="558" t="e">
        <f t="shared" si="10"/>
        <v>#N/A</v>
      </c>
      <c r="AK142" s="270" t="e">
        <f>IF(AJ142&lt;=1,"Insignificante",HLOOKUP(AJ142,[71]Listas!$F$3:$J$4,2,0))</f>
        <v>#N/A</v>
      </c>
      <c r="AL142" s="273" t="e">
        <f t="shared" si="11"/>
        <v>#N/A</v>
      </c>
      <c r="AM142" s="270" t="e">
        <f>INDEX([71]Listas!$F$6:$J$10,MATCH(AI142,[71]Listas!$D$6:$D$10,0),MATCH(AK142,[71]Listas!$F$4:$J$4,0))</f>
        <v>#N/A</v>
      </c>
      <c r="AN142" s="259"/>
      <c r="AO142" s="259"/>
      <c r="AP142" s="610"/>
      <c r="AQ142" s="259"/>
      <c r="AR142" s="259" t="s">
        <v>2343</v>
      </c>
      <c r="AS142" s="608"/>
      <c r="AT142" s="259"/>
      <c r="AU142" s="259"/>
      <c r="AV142" s="559"/>
      <c r="AW142" s="559"/>
      <c r="AX142" s="608"/>
      <c r="AY142" s="556"/>
    </row>
    <row r="143" spans="1:51" s="557" customFormat="1" ht="103.5" hidden="1" customHeight="1">
      <c r="A143" s="608"/>
      <c r="B143" s="266"/>
      <c r="C143" s="1399"/>
      <c r="D143" s="1408"/>
      <c r="E143" s="1400"/>
      <c r="F143" s="267"/>
      <c r="G143" s="1399"/>
      <c r="H143" s="1408"/>
      <c r="I143" s="1400"/>
      <c r="J143" s="1380"/>
      <c r="K143" s="1380"/>
      <c r="L143" s="1380"/>
      <c r="M143" s="608"/>
      <c r="N143" s="608"/>
      <c r="O143" s="608"/>
      <c r="P143" s="608"/>
      <c r="Q143" s="266"/>
      <c r="R143" s="266"/>
      <c r="S143" s="268"/>
      <c r="T143" s="269" t="e">
        <f>VLOOKUP(Q143,[71]Listas!$D$6:$E$10,2,0)</f>
        <v>#N/A</v>
      </c>
      <c r="U143" s="269" t="e">
        <f>HLOOKUP(R143,[71]Listas!$F$4:$J$5,2,0)</f>
        <v>#N/A</v>
      </c>
      <c r="V143" s="270" t="e">
        <f>INDEX([71]Listas!$F$6:$J$10,MATCH(Q143,[71]Listas!$D$6:$D$10,0),MATCH(R143,[71]Listas!$F$4:$J$4,0))</f>
        <v>#N/A</v>
      </c>
      <c r="W143" s="268"/>
      <c r="X143" s="1399"/>
      <c r="Y143" s="1408"/>
      <c r="Z143" s="1400"/>
      <c r="AA143" s="1063"/>
      <c r="AB143" s="267"/>
      <c r="AC143" s="259"/>
      <c r="AD143" s="608"/>
      <c r="AE143" s="267"/>
      <c r="AF143" s="268"/>
      <c r="AG143" s="269">
        <f t="shared" si="8"/>
        <v>0</v>
      </c>
      <c r="AH143" s="558" t="e">
        <f t="shared" si="9"/>
        <v>#N/A</v>
      </c>
      <c r="AI143" s="270" t="e">
        <f>IF(AH143&lt;=1,"Remota",VLOOKUP(AH143,[71]Listas!$C$6:$D$10,2,0))</f>
        <v>#N/A</v>
      </c>
      <c r="AJ143" s="558" t="e">
        <f t="shared" si="10"/>
        <v>#N/A</v>
      </c>
      <c r="AK143" s="270" t="e">
        <f>IF(AJ143&lt;=1,"Insignificante",HLOOKUP(AJ143,[71]Listas!$F$3:$J$4,2,0))</f>
        <v>#N/A</v>
      </c>
      <c r="AL143" s="273" t="e">
        <f t="shared" si="11"/>
        <v>#N/A</v>
      </c>
      <c r="AM143" s="270" t="e">
        <f>INDEX([71]Listas!$F$6:$J$10,MATCH(AI143,[71]Listas!$D$6:$D$10,0),MATCH(AK143,[71]Listas!$F$4:$J$4,0))</f>
        <v>#N/A</v>
      </c>
      <c r="AN143" s="259"/>
      <c r="AO143" s="259"/>
      <c r="AP143" s="610"/>
      <c r="AQ143" s="259"/>
      <c r="AR143" s="259" t="s">
        <v>2343</v>
      </c>
      <c r="AS143" s="608"/>
      <c r="AT143" s="259"/>
      <c r="AU143" s="259"/>
      <c r="AV143" s="559"/>
      <c r="AW143" s="559"/>
      <c r="AX143" s="608"/>
      <c r="AY143" s="556"/>
    </row>
    <row r="144" spans="1:51" s="557" customFormat="1" ht="103.5" hidden="1" customHeight="1">
      <c r="A144" s="608"/>
      <c r="B144" s="266"/>
      <c r="C144" s="1399"/>
      <c r="D144" s="1408"/>
      <c r="E144" s="1400"/>
      <c r="F144" s="267"/>
      <c r="G144" s="1399"/>
      <c r="H144" s="1408"/>
      <c r="I144" s="1400"/>
      <c r="J144" s="1380"/>
      <c r="K144" s="1380"/>
      <c r="L144" s="1380"/>
      <c r="M144" s="608"/>
      <c r="N144" s="608"/>
      <c r="O144" s="608"/>
      <c r="P144" s="608"/>
      <c r="Q144" s="266"/>
      <c r="R144" s="266"/>
      <c r="S144" s="268"/>
      <c r="T144" s="269" t="e">
        <f>VLOOKUP(Q144,[71]Listas!$D$6:$E$10,2,0)</f>
        <v>#N/A</v>
      </c>
      <c r="U144" s="269" t="e">
        <f>HLOOKUP(R144,[71]Listas!$F$4:$J$5,2,0)</f>
        <v>#N/A</v>
      </c>
      <c r="V144" s="270" t="e">
        <f>INDEX([71]Listas!$F$6:$J$10,MATCH(Q144,[71]Listas!$D$6:$D$10,0),MATCH(R144,[71]Listas!$F$4:$J$4,0))</f>
        <v>#N/A</v>
      </c>
      <c r="W144" s="268"/>
      <c r="X144" s="1399"/>
      <c r="Y144" s="1408"/>
      <c r="Z144" s="1400"/>
      <c r="AA144" s="1063"/>
      <c r="AB144" s="267"/>
      <c r="AC144" s="259"/>
      <c r="AD144" s="608"/>
      <c r="AE144" s="267"/>
      <c r="AF144" s="268"/>
      <c r="AG144" s="269">
        <f t="shared" si="8"/>
        <v>0</v>
      </c>
      <c r="AH144" s="558" t="e">
        <f t="shared" si="9"/>
        <v>#N/A</v>
      </c>
      <c r="AI144" s="270" t="e">
        <f>IF(AH144&lt;=1,"Remota",VLOOKUP(AH144,[71]Listas!$C$6:$D$10,2,0))</f>
        <v>#N/A</v>
      </c>
      <c r="AJ144" s="558" t="e">
        <f t="shared" si="10"/>
        <v>#N/A</v>
      </c>
      <c r="AK144" s="270" t="e">
        <f>IF(AJ144&lt;=1,"Insignificante",HLOOKUP(AJ144,[71]Listas!$F$3:$J$4,2,0))</f>
        <v>#N/A</v>
      </c>
      <c r="AL144" s="273" t="e">
        <f t="shared" si="11"/>
        <v>#N/A</v>
      </c>
      <c r="AM144" s="270" t="e">
        <f>INDEX([71]Listas!$F$6:$J$10,MATCH(AI144,[71]Listas!$D$6:$D$10,0),MATCH(AK144,[71]Listas!$F$4:$J$4,0))</f>
        <v>#N/A</v>
      </c>
      <c r="AN144" s="259"/>
      <c r="AO144" s="259"/>
      <c r="AP144" s="610"/>
      <c r="AQ144" s="259"/>
      <c r="AR144" s="259" t="s">
        <v>2343</v>
      </c>
      <c r="AS144" s="608"/>
      <c r="AT144" s="259"/>
      <c r="AU144" s="259"/>
      <c r="AV144" s="559"/>
      <c r="AW144" s="559"/>
      <c r="AX144" s="608"/>
      <c r="AY144" s="556"/>
    </row>
    <row r="145" spans="1:51" s="557" customFormat="1" ht="103.5" hidden="1" customHeight="1">
      <c r="A145" s="608"/>
      <c r="B145" s="266"/>
      <c r="C145" s="1399"/>
      <c r="D145" s="1408"/>
      <c r="E145" s="1400"/>
      <c r="F145" s="267"/>
      <c r="G145" s="1399"/>
      <c r="H145" s="1408"/>
      <c r="I145" s="1400"/>
      <c r="J145" s="1380"/>
      <c r="K145" s="1380"/>
      <c r="L145" s="1380"/>
      <c r="M145" s="608"/>
      <c r="N145" s="608"/>
      <c r="O145" s="608"/>
      <c r="P145" s="608"/>
      <c r="Q145" s="266"/>
      <c r="R145" s="266"/>
      <c r="S145" s="268"/>
      <c r="T145" s="269" t="e">
        <f>VLOOKUP(Q145,[71]Listas!$D$6:$E$10,2,0)</f>
        <v>#N/A</v>
      </c>
      <c r="U145" s="269" t="e">
        <f>HLOOKUP(R145,[71]Listas!$F$4:$J$5,2,0)</f>
        <v>#N/A</v>
      </c>
      <c r="V145" s="270" t="e">
        <f>INDEX([71]Listas!$F$6:$J$10,MATCH(Q145,[71]Listas!$D$6:$D$10,0),MATCH(R145,[71]Listas!$F$4:$J$4,0))</f>
        <v>#N/A</v>
      </c>
      <c r="W145" s="268"/>
      <c r="X145" s="1399"/>
      <c r="Y145" s="1408"/>
      <c r="Z145" s="1400"/>
      <c r="AA145" s="1063"/>
      <c r="AB145" s="267"/>
      <c r="AC145" s="259"/>
      <c r="AD145" s="608"/>
      <c r="AE145" s="267"/>
      <c r="AF145" s="268"/>
      <c r="AG145" s="269">
        <f t="shared" si="8"/>
        <v>0</v>
      </c>
      <c r="AH145" s="558" t="e">
        <f t="shared" si="9"/>
        <v>#N/A</v>
      </c>
      <c r="AI145" s="270" t="e">
        <f>IF(AH145&lt;=1,"Remota",VLOOKUP(AH145,[71]Listas!$C$6:$D$10,2,0))</f>
        <v>#N/A</v>
      </c>
      <c r="AJ145" s="558" t="e">
        <f t="shared" si="10"/>
        <v>#N/A</v>
      </c>
      <c r="AK145" s="270" t="e">
        <f>IF(AJ145&lt;=1,"Insignificante",HLOOKUP(AJ145,[71]Listas!$F$3:$J$4,2,0))</f>
        <v>#N/A</v>
      </c>
      <c r="AL145" s="273" t="e">
        <f t="shared" si="11"/>
        <v>#N/A</v>
      </c>
      <c r="AM145" s="270" t="e">
        <f>INDEX([71]Listas!$F$6:$J$10,MATCH(AI145,[71]Listas!$D$6:$D$10,0),MATCH(AK145,[71]Listas!$F$4:$J$4,0))</f>
        <v>#N/A</v>
      </c>
      <c r="AN145" s="259"/>
      <c r="AO145" s="259"/>
      <c r="AP145" s="610"/>
      <c r="AQ145" s="259"/>
      <c r="AR145" s="259" t="s">
        <v>2343</v>
      </c>
      <c r="AS145" s="608"/>
      <c r="AT145" s="259"/>
      <c r="AU145" s="259"/>
      <c r="AV145" s="559"/>
      <c r="AW145" s="559"/>
      <c r="AX145" s="608"/>
      <c r="AY145" s="556"/>
    </row>
    <row r="146" spans="1:51" s="557" customFormat="1" ht="103.5" hidden="1" customHeight="1">
      <c r="A146" s="608"/>
      <c r="B146" s="266"/>
      <c r="C146" s="1399"/>
      <c r="D146" s="1408"/>
      <c r="E146" s="1400"/>
      <c r="F146" s="267"/>
      <c r="G146" s="1399"/>
      <c r="H146" s="1408"/>
      <c r="I146" s="1400"/>
      <c r="J146" s="1380"/>
      <c r="K146" s="1380"/>
      <c r="L146" s="1380"/>
      <c r="M146" s="608"/>
      <c r="N146" s="608"/>
      <c r="O146" s="608"/>
      <c r="P146" s="608"/>
      <c r="Q146" s="266"/>
      <c r="R146" s="266"/>
      <c r="S146" s="268"/>
      <c r="T146" s="269" t="e">
        <f>VLOOKUP(Q146,[71]Listas!$D$6:$E$10,2,0)</f>
        <v>#N/A</v>
      </c>
      <c r="U146" s="269" t="e">
        <f>HLOOKUP(R146,[71]Listas!$F$4:$J$5,2,0)</f>
        <v>#N/A</v>
      </c>
      <c r="V146" s="270" t="e">
        <f>INDEX([71]Listas!$F$6:$J$10,MATCH(Q146,[71]Listas!$D$6:$D$10,0),MATCH(R146,[71]Listas!$F$4:$J$4,0))</f>
        <v>#N/A</v>
      </c>
      <c r="W146" s="268"/>
      <c r="X146" s="1399"/>
      <c r="Y146" s="1408"/>
      <c r="Z146" s="1400"/>
      <c r="AA146" s="1063"/>
      <c r="AB146" s="267"/>
      <c r="AC146" s="259"/>
      <c r="AD146" s="608"/>
      <c r="AE146" s="267"/>
      <c r="AF146" s="268"/>
      <c r="AG146" s="269">
        <f t="shared" si="8"/>
        <v>0</v>
      </c>
      <c r="AH146" s="558" t="e">
        <f t="shared" si="9"/>
        <v>#N/A</v>
      </c>
      <c r="AI146" s="270" t="e">
        <f>IF(AH146&lt;=1,"Remota",VLOOKUP(AH146,[71]Listas!$C$6:$D$10,2,0))</f>
        <v>#N/A</v>
      </c>
      <c r="AJ146" s="558" t="e">
        <f t="shared" si="10"/>
        <v>#N/A</v>
      </c>
      <c r="AK146" s="270" t="e">
        <f>IF(AJ146&lt;=1,"Insignificante",HLOOKUP(AJ146,[71]Listas!$F$3:$J$4,2,0))</f>
        <v>#N/A</v>
      </c>
      <c r="AL146" s="273" t="e">
        <f t="shared" si="11"/>
        <v>#N/A</v>
      </c>
      <c r="AM146" s="270" t="e">
        <f>INDEX([71]Listas!$F$6:$J$10,MATCH(AI146,[71]Listas!$D$6:$D$10,0),MATCH(AK146,[71]Listas!$F$4:$J$4,0))</f>
        <v>#N/A</v>
      </c>
      <c r="AN146" s="259"/>
      <c r="AO146" s="259"/>
      <c r="AP146" s="610"/>
      <c r="AQ146" s="259"/>
      <c r="AR146" s="259" t="s">
        <v>2343</v>
      </c>
      <c r="AS146" s="608"/>
      <c r="AT146" s="259"/>
      <c r="AU146" s="259"/>
      <c r="AV146" s="559"/>
      <c r="AW146" s="559"/>
      <c r="AX146" s="608"/>
      <c r="AY146" s="556"/>
    </row>
    <row r="147" spans="1:51" s="557" customFormat="1" ht="103.5" hidden="1" customHeight="1">
      <c r="A147" s="608"/>
      <c r="B147" s="266"/>
      <c r="C147" s="1399"/>
      <c r="D147" s="1408"/>
      <c r="E147" s="1400"/>
      <c r="F147" s="267"/>
      <c r="G147" s="1399"/>
      <c r="H147" s="1408"/>
      <c r="I147" s="1400"/>
      <c r="J147" s="1380"/>
      <c r="K147" s="1380"/>
      <c r="L147" s="1380"/>
      <c r="M147" s="608"/>
      <c r="N147" s="608"/>
      <c r="O147" s="608"/>
      <c r="P147" s="608"/>
      <c r="Q147" s="266"/>
      <c r="R147" s="266"/>
      <c r="S147" s="268"/>
      <c r="T147" s="269" t="e">
        <f>VLOOKUP(Q147,[71]Listas!$D$6:$E$10,2,0)</f>
        <v>#N/A</v>
      </c>
      <c r="U147" s="269" t="e">
        <f>HLOOKUP(R147,[71]Listas!$F$4:$J$5,2,0)</f>
        <v>#N/A</v>
      </c>
      <c r="V147" s="270" t="e">
        <f>INDEX([71]Listas!$F$6:$J$10,MATCH(Q147,[71]Listas!$D$6:$D$10,0),MATCH(R147,[71]Listas!$F$4:$J$4,0))</f>
        <v>#N/A</v>
      </c>
      <c r="W147" s="268"/>
      <c r="X147" s="1399"/>
      <c r="Y147" s="1408"/>
      <c r="Z147" s="1400"/>
      <c r="AA147" s="1063"/>
      <c r="AB147" s="267"/>
      <c r="AC147" s="259"/>
      <c r="AD147" s="608"/>
      <c r="AE147" s="267"/>
      <c r="AF147" s="268"/>
      <c r="AG147" s="269">
        <f t="shared" si="8"/>
        <v>0</v>
      </c>
      <c r="AH147" s="558" t="e">
        <f t="shared" si="9"/>
        <v>#N/A</v>
      </c>
      <c r="AI147" s="270" t="e">
        <f>IF(AH147&lt;=1,"Remota",VLOOKUP(AH147,[71]Listas!$C$6:$D$10,2,0))</f>
        <v>#N/A</v>
      </c>
      <c r="AJ147" s="558" t="e">
        <f t="shared" si="10"/>
        <v>#N/A</v>
      </c>
      <c r="AK147" s="270" t="e">
        <f>IF(AJ147&lt;=1,"Insignificante",HLOOKUP(AJ147,[71]Listas!$F$3:$J$4,2,0))</f>
        <v>#N/A</v>
      </c>
      <c r="AL147" s="273" t="e">
        <f t="shared" si="11"/>
        <v>#N/A</v>
      </c>
      <c r="AM147" s="270" t="e">
        <f>INDEX([71]Listas!$F$6:$J$10,MATCH(AI147,[71]Listas!$D$6:$D$10,0),MATCH(AK147,[71]Listas!$F$4:$J$4,0))</f>
        <v>#N/A</v>
      </c>
      <c r="AN147" s="259"/>
      <c r="AO147" s="259"/>
      <c r="AP147" s="610"/>
      <c r="AQ147" s="259"/>
      <c r="AR147" s="259" t="s">
        <v>2343</v>
      </c>
      <c r="AS147" s="608"/>
      <c r="AT147" s="259"/>
      <c r="AU147" s="259"/>
      <c r="AV147" s="559"/>
      <c r="AW147" s="559"/>
      <c r="AX147" s="608"/>
      <c r="AY147" s="556"/>
    </row>
    <row r="148" spans="1:51" s="557" customFormat="1" ht="103.5" hidden="1" customHeight="1">
      <c r="A148" s="608"/>
      <c r="B148" s="266"/>
      <c r="C148" s="1399"/>
      <c r="D148" s="1408"/>
      <c r="E148" s="1400"/>
      <c r="F148" s="267"/>
      <c r="G148" s="1399"/>
      <c r="H148" s="1408"/>
      <c r="I148" s="1400"/>
      <c r="J148" s="1380"/>
      <c r="K148" s="1380"/>
      <c r="L148" s="1380"/>
      <c r="M148" s="608"/>
      <c r="N148" s="608"/>
      <c r="O148" s="608"/>
      <c r="P148" s="608"/>
      <c r="Q148" s="266"/>
      <c r="R148" s="266"/>
      <c r="S148" s="268"/>
      <c r="T148" s="269" t="e">
        <f>VLOOKUP(Q148,[71]Listas!$D$6:$E$10,2,0)</f>
        <v>#N/A</v>
      </c>
      <c r="U148" s="269" t="e">
        <f>HLOOKUP(R148,[71]Listas!$F$4:$J$5,2,0)</f>
        <v>#N/A</v>
      </c>
      <c r="V148" s="270" t="e">
        <f>INDEX([71]Listas!$F$6:$J$10,MATCH(Q148,[71]Listas!$D$6:$D$10,0),MATCH(R148,[71]Listas!$F$4:$J$4,0))</f>
        <v>#N/A</v>
      </c>
      <c r="W148" s="268"/>
      <c r="X148" s="1399"/>
      <c r="Y148" s="1408"/>
      <c r="Z148" s="1400"/>
      <c r="AA148" s="1063"/>
      <c r="AB148" s="267"/>
      <c r="AC148" s="259"/>
      <c r="AD148" s="608"/>
      <c r="AE148" s="267"/>
      <c r="AF148" s="268"/>
      <c r="AG148" s="269">
        <f t="shared" si="8"/>
        <v>0</v>
      </c>
      <c r="AH148" s="558" t="e">
        <f t="shared" si="9"/>
        <v>#N/A</v>
      </c>
      <c r="AI148" s="270" t="e">
        <f>IF(AH148&lt;=1,"Remota",VLOOKUP(AH148,[71]Listas!$C$6:$D$10,2,0))</f>
        <v>#N/A</v>
      </c>
      <c r="AJ148" s="558" t="e">
        <f t="shared" si="10"/>
        <v>#N/A</v>
      </c>
      <c r="AK148" s="270" t="e">
        <f>IF(AJ148&lt;=1,"Insignificante",HLOOKUP(AJ148,[71]Listas!$F$3:$J$4,2,0))</f>
        <v>#N/A</v>
      </c>
      <c r="AL148" s="273" t="e">
        <f t="shared" si="11"/>
        <v>#N/A</v>
      </c>
      <c r="AM148" s="270" t="e">
        <f>INDEX([71]Listas!$F$6:$J$10,MATCH(AI148,[71]Listas!$D$6:$D$10,0),MATCH(AK148,[71]Listas!$F$4:$J$4,0))</f>
        <v>#N/A</v>
      </c>
      <c r="AN148" s="259"/>
      <c r="AO148" s="259"/>
      <c r="AP148" s="610"/>
      <c r="AQ148" s="259"/>
      <c r="AR148" s="259" t="s">
        <v>2343</v>
      </c>
      <c r="AS148" s="608"/>
      <c r="AT148" s="259"/>
      <c r="AU148" s="259"/>
      <c r="AV148" s="559"/>
      <c r="AW148" s="559"/>
      <c r="AX148" s="608"/>
      <c r="AY148" s="556"/>
    </row>
    <row r="149" spans="1:51" s="557" customFormat="1" ht="103.5" hidden="1" customHeight="1">
      <c r="A149" s="608"/>
      <c r="B149" s="266"/>
      <c r="C149" s="1399"/>
      <c r="D149" s="1408"/>
      <c r="E149" s="1400"/>
      <c r="F149" s="267"/>
      <c r="G149" s="1399"/>
      <c r="H149" s="1408"/>
      <c r="I149" s="1400"/>
      <c r="J149" s="1380"/>
      <c r="K149" s="1380"/>
      <c r="L149" s="1380"/>
      <c r="M149" s="608"/>
      <c r="N149" s="608"/>
      <c r="O149" s="608"/>
      <c r="P149" s="608"/>
      <c r="Q149" s="266"/>
      <c r="R149" s="266"/>
      <c r="S149" s="268"/>
      <c r="T149" s="269" t="e">
        <f>VLOOKUP(Q149,[71]Listas!$D$6:$E$10,2,0)</f>
        <v>#N/A</v>
      </c>
      <c r="U149" s="269" t="e">
        <f>HLOOKUP(R149,[71]Listas!$F$4:$J$5,2,0)</f>
        <v>#N/A</v>
      </c>
      <c r="V149" s="270" t="e">
        <f>INDEX([71]Listas!$F$6:$J$10,MATCH(Q149,[71]Listas!$D$6:$D$10,0),MATCH(R149,[71]Listas!$F$4:$J$4,0))</f>
        <v>#N/A</v>
      </c>
      <c r="W149" s="268"/>
      <c r="X149" s="1399"/>
      <c r="Y149" s="1408"/>
      <c r="Z149" s="1400"/>
      <c r="AA149" s="1063"/>
      <c r="AB149" s="267"/>
      <c r="AC149" s="259"/>
      <c r="AD149" s="608"/>
      <c r="AE149" s="267"/>
      <c r="AF149" s="268"/>
      <c r="AG149" s="269">
        <f t="shared" si="8"/>
        <v>0</v>
      </c>
      <c r="AH149" s="558" t="e">
        <f t="shared" si="9"/>
        <v>#N/A</v>
      </c>
      <c r="AI149" s="270" t="e">
        <f>IF(AH149&lt;=1,"Remota",VLOOKUP(AH149,[71]Listas!$C$6:$D$10,2,0))</f>
        <v>#N/A</v>
      </c>
      <c r="AJ149" s="558" t="e">
        <f t="shared" si="10"/>
        <v>#N/A</v>
      </c>
      <c r="AK149" s="270" t="e">
        <f>IF(AJ149&lt;=1,"Insignificante",HLOOKUP(AJ149,[71]Listas!$F$3:$J$4,2,0))</f>
        <v>#N/A</v>
      </c>
      <c r="AL149" s="273" t="e">
        <f t="shared" si="11"/>
        <v>#N/A</v>
      </c>
      <c r="AM149" s="270" t="e">
        <f>INDEX([71]Listas!$F$6:$J$10,MATCH(AI149,[71]Listas!$D$6:$D$10,0),MATCH(AK149,[71]Listas!$F$4:$J$4,0))</f>
        <v>#N/A</v>
      </c>
      <c r="AN149" s="259"/>
      <c r="AO149" s="259"/>
      <c r="AP149" s="610"/>
      <c r="AQ149" s="259"/>
      <c r="AR149" s="259" t="s">
        <v>2343</v>
      </c>
      <c r="AS149" s="608"/>
      <c r="AT149" s="259"/>
      <c r="AU149" s="259"/>
      <c r="AV149" s="559"/>
      <c r="AW149" s="559"/>
      <c r="AX149" s="608"/>
      <c r="AY149" s="556"/>
    </row>
    <row r="150" spans="1:51" s="557" customFormat="1" ht="103.5" hidden="1" customHeight="1">
      <c r="A150" s="608"/>
      <c r="B150" s="266"/>
      <c r="C150" s="1399"/>
      <c r="D150" s="1408"/>
      <c r="E150" s="1400"/>
      <c r="F150" s="267"/>
      <c r="G150" s="1399"/>
      <c r="H150" s="1408"/>
      <c r="I150" s="1400"/>
      <c r="J150" s="1380"/>
      <c r="K150" s="1380"/>
      <c r="L150" s="1380"/>
      <c r="M150" s="608"/>
      <c r="N150" s="608"/>
      <c r="O150" s="608"/>
      <c r="P150" s="608"/>
      <c r="Q150" s="266"/>
      <c r="R150" s="266"/>
      <c r="S150" s="268"/>
      <c r="T150" s="269" t="e">
        <f>VLOOKUP(Q150,[71]Listas!$D$6:$E$10,2,0)</f>
        <v>#N/A</v>
      </c>
      <c r="U150" s="269" t="e">
        <f>HLOOKUP(R150,[71]Listas!$F$4:$J$5,2,0)</f>
        <v>#N/A</v>
      </c>
      <c r="V150" s="270" t="e">
        <f>INDEX([71]Listas!$F$6:$J$10,MATCH(Q150,[71]Listas!$D$6:$D$10,0),MATCH(R150,[71]Listas!$F$4:$J$4,0))</f>
        <v>#N/A</v>
      </c>
      <c r="W150" s="268"/>
      <c r="X150" s="1399"/>
      <c r="Y150" s="1408"/>
      <c r="Z150" s="1400"/>
      <c r="AA150" s="1063"/>
      <c r="AB150" s="267"/>
      <c r="AC150" s="259"/>
      <c r="AD150" s="608"/>
      <c r="AE150" s="267"/>
      <c r="AF150" s="268"/>
      <c r="AG150" s="269">
        <f t="shared" ref="AG150:AG167" si="12">IF(AD150&lt;=33,0,IF(AD150&gt;81,2,1))</f>
        <v>0</v>
      </c>
      <c r="AH150" s="558" t="e">
        <f t="shared" ref="AH150:AH167" si="13">IF(OR(AE150="Probabilidad",AE150="Ambos"),T150-AG150,T150)</f>
        <v>#N/A</v>
      </c>
      <c r="AI150" s="270" t="e">
        <f>IF(AH150&lt;=1,"Remota",VLOOKUP(AH150,[71]Listas!$C$6:$D$10,2,0))</f>
        <v>#N/A</v>
      </c>
      <c r="AJ150" s="558" t="e">
        <f t="shared" ref="AJ150:AJ167" si="14">IF(OR(AE150="Impacto",AE150="Ambos"),U150-AG150,U150)</f>
        <v>#N/A</v>
      </c>
      <c r="AK150" s="270" t="e">
        <f>IF(AJ150&lt;=1,"Insignificante",HLOOKUP(AJ150,[71]Listas!$F$3:$J$4,2,0))</f>
        <v>#N/A</v>
      </c>
      <c r="AL150" s="273" t="e">
        <f t="shared" ref="AL150:AL167" si="15">AH150*AJ150</f>
        <v>#N/A</v>
      </c>
      <c r="AM150" s="270" t="e">
        <f>INDEX([71]Listas!$F$6:$J$10,MATCH(AI150,[71]Listas!$D$6:$D$10,0),MATCH(AK150,[71]Listas!$F$4:$J$4,0))</f>
        <v>#N/A</v>
      </c>
      <c r="AN150" s="259"/>
      <c r="AO150" s="259"/>
      <c r="AP150" s="610"/>
      <c r="AQ150" s="259"/>
      <c r="AR150" s="259" t="s">
        <v>2343</v>
      </c>
      <c r="AS150" s="608"/>
      <c r="AT150" s="259"/>
      <c r="AU150" s="259"/>
      <c r="AV150" s="559"/>
      <c r="AW150" s="559"/>
      <c r="AX150" s="608"/>
      <c r="AY150" s="556"/>
    </row>
    <row r="151" spans="1:51" s="557" customFormat="1" ht="103.5" hidden="1" customHeight="1">
      <c r="A151" s="608"/>
      <c r="B151" s="266"/>
      <c r="C151" s="1399"/>
      <c r="D151" s="1408"/>
      <c r="E151" s="1400"/>
      <c r="F151" s="267"/>
      <c r="G151" s="1399"/>
      <c r="H151" s="1408"/>
      <c r="I151" s="1400"/>
      <c r="J151" s="1380"/>
      <c r="K151" s="1380"/>
      <c r="L151" s="1380"/>
      <c r="M151" s="608"/>
      <c r="N151" s="608"/>
      <c r="O151" s="608"/>
      <c r="P151" s="608"/>
      <c r="Q151" s="266"/>
      <c r="R151" s="266"/>
      <c r="S151" s="268"/>
      <c r="T151" s="269" t="e">
        <f>VLOOKUP(Q151,[71]Listas!$D$6:$E$10,2,0)</f>
        <v>#N/A</v>
      </c>
      <c r="U151" s="269" t="e">
        <f>HLOOKUP(R151,[71]Listas!$F$4:$J$5,2,0)</f>
        <v>#N/A</v>
      </c>
      <c r="V151" s="270" t="e">
        <f>INDEX([71]Listas!$F$6:$J$10,MATCH(Q151,[71]Listas!$D$6:$D$10,0),MATCH(R151,[71]Listas!$F$4:$J$4,0))</f>
        <v>#N/A</v>
      </c>
      <c r="W151" s="268"/>
      <c r="X151" s="1399"/>
      <c r="Y151" s="1408"/>
      <c r="Z151" s="1400"/>
      <c r="AA151" s="1063"/>
      <c r="AB151" s="267"/>
      <c r="AC151" s="259"/>
      <c r="AD151" s="608"/>
      <c r="AE151" s="267"/>
      <c r="AF151" s="268"/>
      <c r="AG151" s="269">
        <f t="shared" si="12"/>
        <v>0</v>
      </c>
      <c r="AH151" s="558" t="e">
        <f t="shared" si="13"/>
        <v>#N/A</v>
      </c>
      <c r="AI151" s="270" t="e">
        <f>IF(AH151&lt;=1,"Remota",VLOOKUP(AH151,[71]Listas!$C$6:$D$10,2,0))</f>
        <v>#N/A</v>
      </c>
      <c r="AJ151" s="558" t="e">
        <f t="shared" si="14"/>
        <v>#N/A</v>
      </c>
      <c r="AK151" s="270" t="e">
        <f>IF(AJ151&lt;=1,"Insignificante",HLOOKUP(AJ151,[71]Listas!$F$3:$J$4,2,0))</f>
        <v>#N/A</v>
      </c>
      <c r="AL151" s="273" t="e">
        <f t="shared" si="15"/>
        <v>#N/A</v>
      </c>
      <c r="AM151" s="270" t="e">
        <f>INDEX([71]Listas!$F$6:$J$10,MATCH(AI151,[71]Listas!$D$6:$D$10,0),MATCH(AK151,[71]Listas!$F$4:$J$4,0))</f>
        <v>#N/A</v>
      </c>
      <c r="AN151" s="259"/>
      <c r="AO151" s="259"/>
      <c r="AP151" s="610"/>
      <c r="AQ151" s="259"/>
      <c r="AR151" s="259" t="s">
        <v>2343</v>
      </c>
      <c r="AS151" s="608"/>
      <c r="AT151" s="259"/>
      <c r="AU151" s="259"/>
      <c r="AV151" s="559"/>
      <c r="AW151" s="559"/>
      <c r="AX151" s="608"/>
      <c r="AY151" s="556"/>
    </row>
    <row r="152" spans="1:51" s="557" customFormat="1" ht="103.5" hidden="1" customHeight="1">
      <c r="A152" s="608"/>
      <c r="B152" s="266"/>
      <c r="C152" s="1399"/>
      <c r="D152" s="1408"/>
      <c r="E152" s="1400"/>
      <c r="F152" s="267"/>
      <c r="G152" s="1399"/>
      <c r="H152" s="1408"/>
      <c r="I152" s="1400"/>
      <c r="J152" s="1380"/>
      <c r="K152" s="1380"/>
      <c r="L152" s="1380"/>
      <c r="M152" s="608"/>
      <c r="N152" s="608"/>
      <c r="O152" s="608"/>
      <c r="P152" s="608"/>
      <c r="Q152" s="266"/>
      <c r="R152" s="266"/>
      <c r="S152" s="268"/>
      <c r="T152" s="269" t="e">
        <f>VLOOKUP(Q152,[71]Listas!$D$6:$E$10,2,0)</f>
        <v>#N/A</v>
      </c>
      <c r="U152" s="269" t="e">
        <f>HLOOKUP(R152,[71]Listas!$F$4:$J$5,2,0)</f>
        <v>#N/A</v>
      </c>
      <c r="V152" s="270" t="e">
        <f>INDEX([71]Listas!$F$6:$J$10,MATCH(Q152,[71]Listas!$D$6:$D$10,0),MATCH(R152,[71]Listas!$F$4:$J$4,0))</f>
        <v>#N/A</v>
      </c>
      <c r="W152" s="268"/>
      <c r="X152" s="1399"/>
      <c r="Y152" s="1408"/>
      <c r="Z152" s="1400"/>
      <c r="AA152" s="1063"/>
      <c r="AB152" s="267"/>
      <c r="AC152" s="259"/>
      <c r="AD152" s="608"/>
      <c r="AE152" s="267"/>
      <c r="AF152" s="268"/>
      <c r="AG152" s="269">
        <f t="shared" si="12"/>
        <v>0</v>
      </c>
      <c r="AH152" s="558" t="e">
        <f t="shared" si="13"/>
        <v>#N/A</v>
      </c>
      <c r="AI152" s="270" t="e">
        <f>IF(AH152&lt;=1,"Remota",VLOOKUP(AH152,[71]Listas!$C$6:$D$10,2,0))</f>
        <v>#N/A</v>
      </c>
      <c r="AJ152" s="558" t="e">
        <f t="shared" si="14"/>
        <v>#N/A</v>
      </c>
      <c r="AK152" s="270" t="e">
        <f>IF(AJ152&lt;=1,"Insignificante",HLOOKUP(AJ152,[71]Listas!$F$3:$J$4,2,0))</f>
        <v>#N/A</v>
      </c>
      <c r="AL152" s="273" t="e">
        <f t="shared" si="15"/>
        <v>#N/A</v>
      </c>
      <c r="AM152" s="270" t="e">
        <f>INDEX([71]Listas!$F$6:$J$10,MATCH(AI152,[71]Listas!$D$6:$D$10,0),MATCH(AK152,[71]Listas!$F$4:$J$4,0))</f>
        <v>#N/A</v>
      </c>
      <c r="AN152" s="259"/>
      <c r="AO152" s="259"/>
      <c r="AP152" s="610"/>
      <c r="AQ152" s="259"/>
      <c r="AR152" s="259" t="s">
        <v>2343</v>
      </c>
      <c r="AS152" s="608"/>
      <c r="AT152" s="259"/>
      <c r="AU152" s="259"/>
      <c r="AV152" s="559"/>
      <c r="AW152" s="559"/>
      <c r="AX152" s="608"/>
      <c r="AY152" s="556"/>
    </row>
    <row r="153" spans="1:51" s="557" customFormat="1" ht="103.5" hidden="1" customHeight="1">
      <c r="A153" s="608"/>
      <c r="B153" s="266"/>
      <c r="C153" s="1399"/>
      <c r="D153" s="1408"/>
      <c r="E153" s="1400"/>
      <c r="F153" s="267"/>
      <c r="G153" s="1399"/>
      <c r="H153" s="1408"/>
      <c r="I153" s="1400"/>
      <c r="J153" s="1380"/>
      <c r="K153" s="1380"/>
      <c r="L153" s="1380"/>
      <c r="M153" s="608"/>
      <c r="N153" s="608"/>
      <c r="O153" s="608"/>
      <c r="P153" s="608"/>
      <c r="Q153" s="266"/>
      <c r="R153" s="266"/>
      <c r="S153" s="268"/>
      <c r="T153" s="269" t="e">
        <f>VLOOKUP(Q153,[71]Listas!$D$6:$E$10,2,0)</f>
        <v>#N/A</v>
      </c>
      <c r="U153" s="269" t="e">
        <f>HLOOKUP(R153,[71]Listas!$F$4:$J$5,2,0)</f>
        <v>#N/A</v>
      </c>
      <c r="V153" s="270" t="e">
        <f>INDEX([71]Listas!$F$6:$J$10,MATCH(Q153,[71]Listas!$D$6:$D$10,0),MATCH(R153,[71]Listas!$F$4:$J$4,0))</f>
        <v>#N/A</v>
      </c>
      <c r="W153" s="268"/>
      <c r="X153" s="1399"/>
      <c r="Y153" s="1408"/>
      <c r="Z153" s="1400"/>
      <c r="AA153" s="1063"/>
      <c r="AB153" s="267"/>
      <c r="AC153" s="259"/>
      <c r="AD153" s="608"/>
      <c r="AE153" s="267"/>
      <c r="AF153" s="268"/>
      <c r="AG153" s="269">
        <f t="shared" si="12"/>
        <v>0</v>
      </c>
      <c r="AH153" s="558" t="e">
        <f t="shared" si="13"/>
        <v>#N/A</v>
      </c>
      <c r="AI153" s="270" t="e">
        <f>IF(AH153&lt;=1,"Remota",VLOOKUP(AH153,[71]Listas!$C$6:$D$10,2,0))</f>
        <v>#N/A</v>
      </c>
      <c r="AJ153" s="558" t="e">
        <f t="shared" si="14"/>
        <v>#N/A</v>
      </c>
      <c r="AK153" s="270" t="e">
        <f>IF(AJ153&lt;=1,"Insignificante",HLOOKUP(AJ153,[71]Listas!$F$3:$J$4,2,0))</f>
        <v>#N/A</v>
      </c>
      <c r="AL153" s="273" t="e">
        <f t="shared" si="15"/>
        <v>#N/A</v>
      </c>
      <c r="AM153" s="270" t="e">
        <f>INDEX([71]Listas!$F$6:$J$10,MATCH(AI153,[71]Listas!$D$6:$D$10,0),MATCH(AK153,[71]Listas!$F$4:$J$4,0))</f>
        <v>#N/A</v>
      </c>
      <c r="AN153" s="259"/>
      <c r="AO153" s="259"/>
      <c r="AP153" s="610"/>
      <c r="AQ153" s="259"/>
      <c r="AR153" s="259" t="s">
        <v>2343</v>
      </c>
      <c r="AS153" s="608"/>
      <c r="AT153" s="259"/>
      <c r="AU153" s="259"/>
      <c r="AV153" s="559"/>
      <c r="AW153" s="559"/>
      <c r="AX153" s="608"/>
      <c r="AY153" s="556"/>
    </row>
    <row r="154" spans="1:51" s="557" customFormat="1" ht="103.5" hidden="1" customHeight="1">
      <c r="A154" s="608"/>
      <c r="B154" s="266"/>
      <c r="C154" s="1399"/>
      <c r="D154" s="1408"/>
      <c r="E154" s="1400"/>
      <c r="F154" s="267"/>
      <c r="G154" s="1399"/>
      <c r="H154" s="1408"/>
      <c r="I154" s="1400"/>
      <c r="J154" s="1380"/>
      <c r="K154" s="1380"/>
      <c r="L154" s="1380"/>
      <c r="M154" s="608"/>
      <c r="N154" s="608"/>
      <c r="O154" s="608"/>
      <c r="P154" s="608"/>
      <c r="Q154" s="266"/>
      <c r="R154" s="266"/>
      <c r="S154" s="268"/>
      <c r="T154" s="269" t="e">
        <f>VLOOKUP(Q154,[71]Listas!$D$6:$E$10,2,0)</f>
        <v>#N/A</v>
      </c>
      <c r="U154" s="269" t="e">
        <f>HLOOKUP(R154,[71]Listas!$F$4:$J$5,2,0)</f>
        <v>#N/A</v>
      </c>
      <c r="V154" s="270" t="e">
        <f>INDEX([71]Listas!$F$6:$J$10,MATCH(Q154,[71]Listas!$D$6:$D$10,0),MATCH(R154,[71]Listas!$F$4:$J$4,0))</f>
        <v>#N/A</v>
      </c>
      <c r="W154" s="268"/>
      <c r="X154" s="1399"/>
      <c r="Y154" s="1408"/>
      <c r="Z154" s="1400"/>
      <c r="AA154" s="1063"/>
      <c r="AB154" s="267"/>
      <c r="AC154" s="259"/>
      <c r="AD154" s="608"/>
      <c r="AE154" s="267"/>
      <c r="AF154" s="268"/>
      <c r="AG154" s="269">
        <f t="shared" si="12"/>
        <v>0</v>
      </c>
      <c r="AH154" s="558" t="e">
        <f t="shared" si="13"/>
        <v>#N/A</v>
      </c>
      <c r="AI154" s="270" t="e">
        <f>IF(AH154&lt;=1,"Remota",VLOOKUP(AH154,[71]Listas!$C$6:$D$10,2,0))</f>
        <v>#N/A</v>
      </c>
      <c r="AJ154" s="558" t="e">
        <f t="shared" si="14"/>
        <v>#N/A</v>
      </c>
      <c r="AK154" s="270" t="e">
        <f>IF(AJ154&lt;=1,"Insignificante",HLOOKUP(AJ154,[71]Listas!$F$3:$J$4,2,0))</f>
        <v>#N/A</v>
      </c>
      <c r="AL154" s="273" t="e">
        <f t="shared" si="15"/>
        <v>#N/A</v>
      </c>
      <c r="AM154" s="270" t="e">
        <f>INDEX([71]Listas!$F$6:$J$10,MATCH(AI154,[71]Listas!$D$6:$D$10,0),MATCH(AK154,[71]Listas!$F$4:$J$4,0))</f>
        <v>#N/A</v>
      </c>
      <c r="AN154" s="259"/>
      <c r="AO154" s="259"/>
      <c r="AP154" s="610"/>
      <c r="AQ154" s="259"/>
      <c r="AR154" s="259" t="s">
        <v>2343</v>
      </c>
      <c r="AS154" s="608"/>
      <c r="AT154" s="259"/>
      <c r="AU154" s="259"/>
      <c r="AV154" s="559"/>
      <c r="AW154" s="559"/>
      <c r="AX154" s="608"/>
      <c r="AY154" s="556"/>
    </row>
    <row r="155" spans="1:51" s="557" customFormat="1" ht="103.5" hidden="1" customHeight="1">
      <c r="A155" s="608"/>
      <c r="B155" s="266"/>
      <c r="C155" s="1399"/>
      <c r="D155" s="1408"/>
      <c r="E155" s="1400"/>
      <c r="F155" s="267"/>
      <c r="G155" s="1399"/>
      <c r="H155" s="1408"/>
      <c r="I155" s="1400"/>
      <c r="J155" s="1380"/>
      <c r="K155" s="1380"/>
      <c r="L155" s="1380"/>
      <c r="M155" s="608"/>
      <c r="N155" s="608"/>
      <c r="O155" s="608"/>
      <c r="P155" s="608"/>
      <c r="Q155" s="266"/>
      <c r="R155" s="266"/>
      <c r="S155" s="268"/>
      <c r="T155" s="269" t="e">
        <f>VLOOKUP(Q155,[71]Listas!$D$6:$E$10,2,0)</f>
        <v>#N/A</v>
      </c>
      <c r="U155" s="269" t="e">
        <f>HLOOKUP(R155,[71]Listas!$F$4:$J$5,2,0)</f>
        <v>#N/A</v>
      </c>
      <c r="V155" s="270" t="e">
        <f>INDEX([71]Listas!$F$6:$J$10,MATCH(Q155,[71]Listas!$D$6:$D$10,0),MATCH(R155,[71]Listas!$F$4:$J$4,0))</f>
        <v>#N/A</v>
      </c>
      <c r="W155" s="268"/>
      <c r="X155" s="1399"/>
      <c r="Y155" s="1408"/>
      <c r="Z155" s="1400"/>
      <c r="AA155" s="1063"/>
      <c r="AB155" s="267"/>
      <c r="AC155" s="259"/>
      <c r="AD155" s="608"/>
      <c r="AE155" s="267"/>
      <c r="AF155" s="268"/>
      <c r="AG155" s="269">
        <f t="shared" si="12"/>
        <v>0</v>
      </c>
      <c r="AH155" s="558" t="e">
        <f t="shared" si="13"/>
        <v>#N/A</v>
      </c>
      <c r="AI155" s="270" t="e">
        <f>IF(AH155&lt;=1,"Remota",VLOOKUP(AH155,[71]Listas!$C$6:$D$10,2,0))</f>
        <v>#N/A</v>
      </c>
      <c r="AJ155" s="558" t="e">
        <f t="shared" si="14"/>
        <v>#N/A</v>
      </c>
      <c r="AK155" s="270" t="e">
        <f>IF(AJ155&lt;=1,"Insignificante",HLOOKUP(AJ155,[71]Listas!$F$3:$J$4,2,0))</f>
        <v>#N/A</v>
      </c>
      <c r="AL155" s="273" t="e">
        <f t="shared" si="15"/>
        <v>#N/A</v>
      </c>
      <c r="AM155" s="270" t="e">
        <f>INDEX([71]Listas!$F$6:$J$10,MATCH(AI155,[71]Listas!$D$6:$D$10,0),MATCH(AK155,[71]Listas!$F$4:$J$4,0))</f>
        <v>#N/A</v>
      </c>
      <c r="AN155" s="259"/>
      <c r="AO155" s="259"/>
      <c r="AP155" s="610"/>
      <c r="AQ155" s="259"/>
      <c r="AR155" s="259" t="s">
        <v>2343</v>
      </c>
      <c r="AS155" s="608"/>
      <c r="AT155" s="259"/>
      <c r="AU155" s="259"/>
      <c r="AV155" s="559"/>
      <c r="AW155" s="559"/>
      <c r="AX155" s="608"/>
      <c r="AY155" s="556"/>
    </row>
    <row r="156" spans="1:51" s="557" customFormat="1" ht="103.5" hidden="1" customHeight="1">
      <c r="A156" s="608"/>
      <c r="B156" s="266"/>
      <c r="C156" s="1399"/>
      <c r="D156" s="1408"/>
      <c r="E156" s="1400"/>
      <c r="F156" s="267"/>
      <c r="G156" s="1399"/>
      <c r="H156" s="1408"/>
      <c r="I156" s="1400"/>
      <c r="J156" s="1380"/>
      <c r="K156" s="1380"/>
      <c r="L156" s="1380"/>
      <c r="M156" s="608"/>
      <c r="N156" s="608"/>
      <c r="O156" s="608"/>
      <c r="P156" s="608"/>
      <c r="Q156" s="266"/>
      <c r="R156" s="266"/>
      <c r="S156" s="268"/>
      <c r="T156" s="269" t="e">
        <f>VLOOKUP(Q156,[71]Listas!$D$6:$E$10,2,0)</f>
        <v>#N/A</v>
      </c>
      <c r="U156" s="269" t="e">
        <f>HLOOKUP(R156,[71]Listas!$F$4:$J$5,2,0)</f>
        <v>#N/A</v>
      </c>
      <c r="V156" s="270" t="e">
        <f>INDEX([71]Listas!$F$6:$J$10,MATCH(Q156,[71]Listas!$D$6:$D$10,0),MATCH(R156,[71]Listas!$F$4:$J$4,0))</f>
        <v>#N/A</v>
      </c>
      <c r="W156" s="268"/>
      <c r="X156" s="1399"/>
      <c r="Y156" s="1408"/>
      <c r="Z156" s="1400"/>
      <c r="AA156" s="1063"/>
      <c r="AB156" s="267"/>
      <c r="AC156" s="259"/>
      <c r="AD156" s="608"/>
      <c r="AE156" s="267"/>
      <c r="AF156" s="268"/>
      <c r="AG156" s="269">
        <f t="shared" si="12"/>
        <v>0</v>
      </c>
      <c r="AH156" s="558" t="e">
        <f t="shared" si="13"/>
        <v>#N/A</v>
      </c>
      <c r="AI156" s="270" t="e">
        <f>IF(AH156&lt;=1,"Remota",VLOOKUP(AH156,[71]Listas!$C$6:$D$10,2,0))</f>
        <v>#N/A</v>
      </c>
      <c r="AJ156" s="558" t="e">
        <f t="shared" si="14"/>
        <v>#N/A</v>
      </c>
      <c r="AK156" s="270" t="e">
        <f>IF(AJ156&lt;=1,"Insignificante",HLOOKUP(AJ156,[71]Listas!$F$3:$J$4,2,0))</f>
        <v>#N/A</v>
      </c>
      <c r="AL156" s="273" t="e">
        <f t="shared" si="15"/>
        <v>#N/A</v>
      </c>
      <c r="AM156" s="270" t="e">
        <f>INDEX([71]Listas!$F$6:$J$10,MATCH(AI156,[71]Listas!$D$6:$D$10,0),MATCH(AK156,[71]Listas!$F$4:$J$4,0))</f>
        <v>#N/A</v>
      </c>
      <c r="AN156" s="259"/>
      <c r="AO156" s="259"/>
      <c r="AP156" s="610"/>
      <c r="AQ156" s="259"/>
      <c r="AR156" s="259" t="s">
        <v>2343</v>
      </c>
      <c r="AS156" s="608"/>
      <c r="AT156" s="259"/>
      <c r="AU156" s="259"/>
      <c r="AV156" s="559"/>
      <c r="AW156" s="559"/>
      <c r="AX156" s="608"/>
      <c r="AY156" s="556"/>
    </row>
    <row r="157" spans="1:51" s="557" customFormat="1" ht="103.5" hidden="1" customHeight="1">
      <c r="A157" s="608"/>
      <c r="B157" s="266"/>
      <c r="C157" s="1399"/>
      <c r="D157" s="1408"/>
      <c r="E157" s="1400"/>
      <c r="F157" s="267"/>
      <c r="G157" s="1399"/>
      <c r="H157" s="1408"/>
      <c r="I157" s="1400"/>
      <c r="J157" s="1380"/>
      <c r="K157" s="1380"/>
      <c r="L157" s="1380"/>
      <c r="M157" s="608"/>
      <c r="N157" s="608"/>
      <c r="O157" s="608"/>
      <c r="P157" s="608"/>
      <c r="Q157" s="266"/>
      <c r="R157" s="266"/>
      <c r="S157" s="268"/>
      <c r="T157" s="269" t="e">
        <f>VLOOKUP(Q157,[71]Listas!$D$6:$E$10,2,0)</f>
        <v>#N/A</v>
      </c>
      <c r="U157" s="269" t="e">
        <f>HLOOKUP(R157,[71]Listas!$F$4:$J$5,2,0)</f>
        <v>#N/A</v>
      </c>
      <c r="V157" s="270" t="e">
        <f>INDEX([71]Listas!$F$6:$J$10,MATCH(Q157,[71]Listas!$D$6:$D$10,0),MATCH(R157,[71]Listas!$F$4:$J$4,0))</f>
        <v>#N/A</v>
      </c>
      <c r="W157" s="268"/>
      <c r="X157" s="1399"/>
      <c r="Y157" s="1408"/>
      <c r="Z157" s="1400"/>
      <c r="AA157" s="1063"/>
      <c r="AB157" s="267"/>
      <c r="AC157" s="259"/>
      <c r="AD157" s="608"/>
      <c r="AE157" s="267"/>
      <c r="AF157" s="268"/>
      <c r="AG157" s="269">
        <f t="shared" si="12"/>
        <v>0</v>
      </c>
      <c r="AH157" s="558" t="e">
        <f t="shared" si="13"/>
        <v>#N/A</v>
      </c>
      <c r="AI157" s="270" t="e">
        <f>IF(AH157&lt;=1,"Remota",VLOOKUP(AH157,[71]Listas!$C$6:$D$10,2,0))</f>
        <v>#N/A</v>
      </c>
      <c r="AJ157" s="558" t="e">
        <f t="shared" si="14"/>
        <v>#N/A</v>
      </c>
      <c r="AK157" s="270" t="e">
        <f>IF(AJ157&lt;=1,"Insignificante",HLOOKUP(AJ157,[71]Listas!$F$3:$J$4,2,0))</f>
        <v>#N/A</v>
      </c>
      <c r="AL157" s="273" t="e">
        <f t="shared" si="15"/>
        <v>#N/A</v>
      </c>
      <c r="AM157" s="270" t="e">
        <f>INDEX([71]Listas!$F$6:$J$10,MATCH(AI157,[71]Listas!$D$6:$D$10,0),MATCH(AK157,[71]Listas!$F$4:$J$4,0))</f>
        <v>#N/A</v>
      </c>
      <c r="AN157" s="259"/>
      <c r="AO157" s="259"/>
      <c r="AP157" s="610"/>
      <c r="AQ157" s="259"/>
      <c r="AR157" s="259" t="s">
        <v>2343</v>
      </c>
      <c r="AS157" s="608"/>
      <c r="AT157" s="259"/>
      <c r="AU157" s="259"/>
      <c r="AV157" s="559"/>
      <c r="AW157" s="559"/>
      <c r="AX157" s="608"/>
      <c r="AY157" s="556"/>
    </row>
    <row r="158" spans="1:51" s="557" customFormat="1" ht="103.5" hidden="1" customHeight="1">
      <c r="A158" s="608"/>
      <c r="B158" s="266"/>
      <c r="C158" s="1399"/>
      <c r="D158" s="1408"/>
      <c r="E158" s="1400"/>
      <c r="F158" s="267"/>
      <c r="G158" s="1399"/>
      <c r="H158" s="1408"/>
      <c r="I158" s="1400"/>
      <c r="J158" s="1380"/>
      <c r="K158" s="1380"/>
      <c r="L158" s="1380"/>
      <c r="M158" s="608"/>
      <c r="N158" s="608"/>
      <c r="O158" s="608"/>
      <c r="P158" s="608"/>
      <c r="Q158" s="266"/>
      <c r="R158" s="266"/>
      <c r="S158" s="268"/>
      <c r="T158" s="269" t="e">
        <f>VLOOKUP(Q158,[71]Listas!$D$6:$E$10,2,0)</f>
        <v>#N/A</v>
      </c>
      <c r="U158" s="269" t="e">
        <f>HLOOKUP(R158,[71]Listas!$F$4:$J$5,2,0)</f>
        <v>#N/A</v>
      </c>
      <c r="V158" s="270" t="e">
        <f>INDEX([71]Listas!$F$6:$J$10,MATCH(Q158,[71]Listas!$D$6:$D$10,0),MATCH(R158,[71]Listas!$F$4:$J$4,0))</f>
        <v>#N/A</v>
      </c>
      <c r="W158" s="268"/>
      <c r="X158" s="1399"/>
      <c r="Y158" s="1408"/>
      <c r="Z158" s="1400"/>
      <c r="AA158" s="1063"/>
      <c r="AB158" s="267"/>
      <c r="AC158" s="259"/>
      <c r="AD158" s="608"/>
      <c r="AE158" s="267"/>
      <c r="AF158" s="268"/>
      <c r="AG158" s="269">
        <f t="shared" si="12"/>
        <v>0</v>
      </c>
      <c r="AH158" s="558" t="e">
        <f t="shared" si="13"/>
        <v>#N/A</v>
      </c>
      <c r="AI158" s="270" t="e">
        <f>IF(AH158&lt;=1,"Remota",VLOOKUP(AH158,[71]Listas!$C$6:$D$10,2,0))</f>
        <v>#N/A</v>
      </c>
      <c r="AJ158" s="558" t="e">
        <f t="shared" si="14"/>
        <v>#N/A</v>
      </c>
      <c r="AK158" s="270" t="e">
        <f>IF(AJ158&lt;=1,"Insignificante",HLOOKUP(AJ158,[71]Listas!$F$3:$J$4,2,0))</f>
        <v>#N/A</v>
      </c>
      <c r="AL158" s="273" t="e">
        <f t="shared" si="15"/>
        <v>#N/A</v>
      </c>
      <c r="AM158" s="270" t="e">
        <f>INDEX([71]Listas!$F$6:$J$10,MATCH(AI158,[71]Listas!$D$6:$D$10,0),MATCH(AK158,[71]Listas!$F$4:$J$4,0))</f>
        <v>#N/A</v>
      </c>
      <c r="AN158" s="259"/>
      <c r="AO158" s="259"/>
      <c r="AP158" s="610"/>
      <c r="AQ158" s="259"/>
      <c r="AR158" s="259" t="s">
        <v>2343</v>
      </c>
      <c r="AS158" s="608"/>
      <c r="AT158" s="259"/>
      <c r="AU158" s="259"/>
      <c r="AV158" s="559"/>
      <c r="AW158" s="559"/>
      <c r="AX158" s="608"/>
      <c r="AY158" s="556"/>
    </row>
    <row r="159" spans="1:51" s="557" customFormat="1" ht="103.5" hidden="1" customHeight="1">
      <c r="A159" s="608"/>
      <c r="B159" s="266"/>
      <c r="C159" s="1399"/>
      <c r="D159" s="1408"/>
      <c r="E159" s="1400"/>
      <c r="F159" s="267"/>
      <c r="G159" s="1399"/>
      <c r="H159" s="1408"/>
      <c r="I159" s="1400"/>
      <c r="J159" s="1380"/>
      <c r="K159" s="1380"/>
      <c r="L159" s="1380"/>
      <c r="M159" s="608"/>
      <c r="N159" s="608"/>
      <c r="O159" s="608"/>
      <c r="P159" s="608"/>
      <c r="Q159" s="266"/>
      <c r="R159" s="266"/>
      <c r="S159" s="268"/>
      <c r="T159" s="269" t="e">
        <f>VLOOKUP(Q159,[71]Listas!$D$6:$E$10,2,0)</f>
        <v>#N/A</v>
      </c>
      <c r="U159" s="269" t="e">
        <f>HLOOKUP(R159,[71]Listas!$F$4:$J$5,2,0)</f>
        <v>#N/A</v>
      </c>
      <c r="V159" s="270" t="e">
        <f>INDEX([71]Listas!$F$6:$J$10,MATCH(Q159,[71]Listas!$D$6:$D$10,0),MATCH(R159,[71]Listas!$F$4:$J$4,0))</f>
        <v>#N/A</v>
      </c>
      <c r="W159" s="268"/>
      <c r="X159" s="1399"/>
      <c r="Y159" s="1408"/>
      <c r="Z159" s="1400"/>
      <c r="AA159" s="1063"/>
      <c r="AB159" s="267"/>
      <c r="AC159" s="259"/>
      <c r="AD159" s="608"/>
      <c r="AE159" s="267"/>
      <c r="AF159" s="268"/>
      <c r="AG159" s="269">
        <f t="shared" si="12"/>
        <v>0</v>
      </c>
      <c r="AH159" s="558" t="e">
        <f t="shared" si="13"/>
        <v>#N/A</v>
      </c>
      <c r="AI159" s="270" t="e">
        <f>IF(AH159&lt;=1,"Remota",VLOOKUP(AH159,[71]Listas!$C$6:$D$10,2,0))</f>
        <v>#N/A</v>
      </c>
      <c r="AJ159" s="558" t="e">
        <f t="shared" si="14"/>
        <v>#N/A</v>
      </c>
      <c r="AK159" s="270" t="e">
        <f>IF(AJ159&lt;=1,"Insignificante",HLOOKUP(AJ159,[71]Listas!$F$3:$J$4,2,0))</f>
        <v>#N/A</v>
      </c>
      <c r="AL159" s="273" t="e">
        <f t="shared" si="15"/>
        <v>#N/A</v>
      </c>
      <c r="AM159" s="270" t="e">
        <f>INDEX([71]Listas!$F$6:$J$10,MATCH(AI159,[71]Listas!$D$6:$D$10,0),MATCH(AK159,[71]Listas!$F$4:$J$4,0))</f>
        <v>#N/A</v>
      </c>
      <c r="AN159" s="259"/>
      <c r="AO159" s="259"/>
      <c r="AP159" s="610"/>
      <c r="AQ159" s="259"/>
      <c r="AR159" s="259" t="s">
        <v>2343</v>
      </c>
      <c r="AS159" s="608"/>
      <c r="AT159" s="259"/>
      <c r="AU159" s="259"/>
      <c r="AV159" s="559"/>
      <c r="AW159" s="559"/>
      <c r="AX159" s="608"/>
      <c r="AY159" s="556"/>
    </row>
    <row r="160" spans="1:51" s="557" customFormat="1" ht="103.5" hidden="1" customHeight="1">
      <c r="A160" s="608"/>
      <c r="B160" s="266"/>
      <c r="C160" s="1399"/>
      <c r="D160" s="1408"/>
      <c r="E160" s="1400"/>
      <c r="F160" s="267"/>
      <c r="G160" s="1399"/>
      <c r="H160" s="1408"/>
      <c r="I160" s="1400"/>
      <c r="J160" s="1380"/>
      <c r="K160" s="1380"/>
      <c r="L160" s="1380"/>
      <c r="M160" s="608"/>
      <c r="N160" s="608"/>
      <c r="O160" s="608"/>
      <c r="P160" s="608"/>
      <c r="Q160" s="266"/>
      <c r="R160" s="266"/>
      <c r="S160" s="268"/>
      <c r="T160" s="269" t="e">
        <f>VLOOKUP(Q160,[71]Listas!$D$6:$E$10,2,0)</f>
        <v>#N/A</v>
      </c>
      <c r="U160" s="269" t="e">
        <f>HLOOKUP(R160,[71]Listas!$F$4:$J$5,2,0)</f>
        <v>#N/A</v>
      </c>
      <c r="V160" s="270" t="e">
        <f>INDEX([71]Listas!$F$6:$J$10,MATCH(Q160,[71]Listas!$D$6:$D$10,0),MATCH(R160,[71]Listas!$F$4:$J$4,0))</f>
        <v>#N/A</v>
      </c>
      <c r="W160" s="268"/>
      <c r="X160" s="1399"/>
      <c r="Y160" s="1408"/>
      <c r="Z160" s="1400"/>
      <c r="AA160" s="1063"/>
      <c r="AB160" s="267"/>
      <c r="AC160" s="259"/>
      <c r="AD160" s="608"/>
      <c r="AE160" s="267"/>
      <c r="AF160" s="268"/>
      <c r="AG160" s="269">
        <f t="shared" si="12"/>
        <v>0</v>
      </c>
      <c r="AH160" s="558" t="e">
        <f t="shared" si="13"/>
        <v>#N/A</v>
      </c>
      <c r="AI160" s="270" t="e">
        <f>IF(AH160&lt;=1,"Remota",VLOOKUP(AH160,[71]Listas!$C$6:$D$10,2,0))</f>
        <v>#N/A</v>
      </c>
      <c r="AJ160" s="558" t="e">
        <f t="shared" si="14"/>
        <v>#N/A</v>
      </c>
      <c r="AK160" s="270" t="e">
        <f>IF(AJ160&lt;=1,"Insignificante",HLOOKUP(AJ160,[71]Listas!$F$3:$J$4,2,0))</f>
        <v>#N/A</v>
      </c>
      <c r="AL160" s="273" t="e">
        <f t="shared" si="15"/>
        <v>#N/A</v>
      </c>
      <c r="AM160" s="270" t="e">
        <f>INDEX([71]Listas!$F$6:$J$10,MATCH(AI160,[71]Listas!$D$6:$D$10,0),MATCH(AK160,[71]Listas!$F$4:$J$4,0))</f>
        <v>#N/A</v>
      </c>
      <c r="AN160" s="259"/>
      <c r="AO160" s="259"/>
      <c r="AP160" s="610"/>
      <c r="AQ160" s="259"/>
      <c r="AR160" s="259" t="s">
        <v>2343</v>
      </c>
      <c r="AS160" s="608"/>
      <c r="AT160" s="259"/>
      <c r="AU160" s="259"/>
      <c r="AV160" s="559"/>
      <c r="AW160" s="559"/>
      <c r="AX160" s="608"/>
      <c r="AY160" s="556"/>
    </row>
    <row r="161" spans="1:1027" s="557" customFormat="1" ht="103.5" hidden="1" customHeight="1">
      <c r="A161" s="608"/>
      <c r="B161" s="266"/>
      <c r="C161" s="1399"/>
      <c r="D161" s="1408"/>
      <c r="E161" s="1400"/>
      <c r="F161" s="267"/>
      <c r="G161" s="1399"/>
      <c r="H161" s="1408"/>
      <c r="I161" s="1400"/>
      <c r="J161" s="1380"/>
      <c r="K161" s="1380"/>
      <c r="L161" s="1380"/>
      <c r="M161" s="608"/>
      <c r="N161" s="608"/>
      <c r="O161" s="608"/>
      <c r="P161" s="608"/>
      <c r="Q161" s="266"/>
      <c r="R161" s="266"/>
      <c r="S161" s="268"/>
      <c r="T161" s="269" t="e">
        <f>VLOOKUP(Q161,[71]Listas!$D$6:$E$10,2,0)</f>
        <v>#N/A</v>
      </c>
      <c r="U161" s="269" t="e">
        <f>HLOOKUP(R161,[71]Listas!$F$4:$J$5,2,0)</f>
        <v>#N/A</v>
      </c>
      <c r="V161" s="270" t="e">
        <f>INDEX([71]Listas!$F$6:$J$10,MATCH(Q161,[71]Listas!$D$6:$D$10,0),MATCH(R161,[71]Listas!$F$4:$J$4,0))</f>
        <v>#N/A</v>
      </c>
      <c r="W161" s="268"/>
      <c r="X161" s="1399"/>
      <c r="Y161" s="1408"/>
      <c r="Z161" s="1400"/>
      <c r="AA161" s="1063"/>
      <c r="AB161" s="267"/>
      <c r="AC161" s="259"/>
      <c r="AD161" s="608"/>
      <c r="AE161" s="267"/>
      <c r="AF161" s="268"/>
      <c r="AG161" s="269">
        <f t="shared" si="12"/>
        <v>0</v>
      </c>
      <c r="AH161" s="558" t="e">
        <f t="shared" si="13"/>
        <v>#N/A</v>
      </c>
      <c r="AI161" s="270" t="e">
        <f>IF(AH161&lt;=1,"Remota",VLOOKUP(AH161,[71]Listas!$C$6:$D$10,2,0))</f>
        <v>#N/A</v>
      </c>
      <c r="AJ161" s="558" t="e">
        <f t="shared" si="14"/>
        <v>#N/A</v>
      </c>
      <c r="AK161" s="270" t="e">
        <f>IF(AJ161&lt;=1,"Insignificante",HLOOKUP(AJ161,[71]Listas!$F$3:$J$4,2,0))</f>
        <v>#N/A</v>
      </c>
      <c r="AL161" s="273" t="e">
        <f t="shared" si="15"/>
        <v>#N/A</v>
      </c>
      <c r="AM161" s="270" t="e">
        <f>INDEX([71]Listas!$F$6:$J$10,MATCH(AI161,[71]Listas!$D$6:$D$10,0),MATCH(AK161,[71]Listas!$F$4:$J$4,0))</f>
        <v>#N/A</v>
      </c>
      <c r="AN161" s="259"/>
      <c r="AO161" s="259"/>
      <c r="AP161" s="610"/>
      <c r="AQ161" s="259"/>
      <c r="AR161" s="259" t="s">
        <v>2343</v>
      </c>
      <c r="AS161" s="608"/>
      <c r="AT161" s="259"/>
      <c r="AU161" s="259"/>
      <c r="AV161" s="559"/>
      <c r="AW161" s="559"/>
      <c r="AX161" s="608"/>
      <c r="AY161" s="556"/>
    </row>
    <row r="162" spans="1:1027" s="557" customFormat="1" ht="103.5" hidden="1" customHeight="1">
      <c r="A162" s="608"/>
      <c r="B162" s="266"/>
      <c r="C162" s="1399"/>
      <c r="D162" s="1408"/>
      <c r="E162" s="1400"/>
      <c r="F162" s="267"/>
      <c r="G162" s="1399"/>
      <c r="H162" s="1408"/>
      <c r="I162" s="1400"/>
      <c r="J162" s="1380"/>
      <c r="K162" s="1380"/>
      <c r="L162" s="1380"/>
      <c r="M162" s="608"/>
      <c r="N162" s="608"/>
      <c r="O162" s="608"/>
      <c r="P162" s="608"/>
      <c r="Q162" s="266"/>
      <c r="R162" s="266"/>
      <c r="S162" s="268"/>
      <c r="T162" s="269" t="e">
        <f>VLOOKUP(Q162,[71]Listas!$D$6:$E$10,2,0)</f>
        <v>#N/A</v>
      </c>
      <c r="U162" s="269" t="e">
        <f>HLOOKUP(R162,[71]Listas!$F$4:$J$5,2,0)</f>
        <v>#N/A</v>
      </c>
      <c r="V162" s="270" t="e">
        <f>INDEX([71]Listas!$F$6:$J$10,MATCH(Q162,[71]Listas!$D$6:$D$10,0),MATCH(R162,[71]Listas!$F$4:$J$4,0))</f>
        <v>#N/A</v>
      </c>
      <c r="W162" s="268"/>
      <c r="X162" s="1399"/>
      <c r="Y162" s="1408"/>
      <c r="Z162" s="1400"/>
      <c r="AA162" s="1063"/>
      <c r="AB162" s="267"/>
      <c r="AC162" s="259"/>
      <c r="AD162" s="608"/>
      <c r="AE162" s="267"/>
      <c r="AF162" s="268"/>
      <c r="AG162" s="269">
        <f t="shared" si="12"/>
        <v>0</v>
      </c>
      <c r="AH162" s="558" t="e">
        <f t="shared" si="13"/>
        <v>#N/A</v>
      </c>
      <c r="AI162" s="270" t="e">
        <f>IF(AH162&lt;=1,"Remota",VLOOKUP(AH162,[71]Listas!$C$6:$D$10,2,0))</f>
        <v>#N/A</v>
      </c>
      <c r="AJ162" s="558" t="e">
        <f t="shared" si="14"/>
        <v>#N/A</v>
      </c>
      <c r="AK162" s="270" t="e">
        <f>IF(AJ162&lt;=1,"Insignificante",HLOOKUP(AJ162,[71]Listas!$F$3:$J$4,2,0))</f>
        <v>#N/A</v>
      </c>
      <c r="AL162" s="273" t="e">
        <f t="shared" si="15"/>
        <v>#N/A</v>
      </c>
      <c r="AM162" s="270" t="e">
        <f>INDEX([71]Listas!$F$6:$J$10,MATCH(AI162,[71]Listas!$D$6:$D$10,0),MATCH(AK162,[71]Listas!$F$4:$J$4,0))</f>
        <v>#N/A</v>
      </c>
      <c r="AN162" s="259"/>
      <c r="AO162" s="259"/>
      <c r="AP162" s="610"/>
      <c r="AQ162" s="259"/>
      <c r="AR162" s="259" t="s">
        <v>2343</v>
      </c>
      <c r="AS162" s="608"/>
      <c r="AT162" s="259"/>
      <c r="AU162" s="259"/>
      <c r="AV162" s="559"/>
      <c r="AW162" s="559"/>
      <c r="AX162" s="608"/>
      <c r="AY162" s="556"/>
    </row>
    <row r="163" spans="1:1027" s="557" customFormat="1" ht="103.5" hidden="1" customHeight="1">
      <c r="A163" s="608"/>
      <c r="B163" s="266"/>
      <c r="C163" s="1399"/>
      <c r="D163" s="1408"/>
      <c r="E163" s="1400"/>
      <c r="F163" s="267"/>
      <c r="G163" s="1399"/>
      <c r="H163" s="1408"/>
      <c r="I163" s="1400"/>
      <c r="J163" s="1380"/>
      <c r="K163" s="1380"/>
      <c r="L163" s="1380"/>
      <c r="M163" s="608"/>
      <c r="N163" s="608"/>
      <c r="O163" s="608"/>
      <c r="P163" s="608"/>
      <c r="Q163" s="266"/>
      <c r="R163" s="266"/>
      <c r="S163" s="268"/>
      <c r="T163" s="269" t="e">
        <f>VLOOKUP(Q163,[71]Listas!$D$6:$E$10,2,0)</f>
        <v>#N/A</v>
      </c>
      <c r="U163" s="269" t="e">
        <f>HLOOKUP(R163,[71]Listas!$F$4:$J$5,2,0)</f>
        <v>#N/A</v>
      </c>
      <c r="V163" s="270" t="e">
        <f>INDEX([71]Listas!$F$6:$J$10,MATCH(Q163,[71]Listas!$D$6:$D$10,0),MATCH(R163,[71]Listas!$F$4:$J$4,0))</f>
        <v>#N/A</v>
      </c>
      <c r="W163" s="268"/>
      <c r="X163" s="1399"/>
      <c r="Y163" s="1408"/>
      <c r="Z163" s="1400"/>
      <c r="AA163" s="1063"/>
      <c r="AB163" s="267"/>
      <c r="AC163" s="259"/>
      <c r="AD163" s="608"/>
      <c r="AE163" s="267"/>
      <c r="AF163" s="268"/>
      <c r="AG163" s="269">
        <f t="shared" si="12"/>
        <v>0</v>
      </c>
      <c r="AH163" s="558" t="e">
        <f t="shared" si="13"/>
        <v>#N/A</v>
      </c>
      <c r="AI163" s="270" t="e">
        <f>IF(AH163&lt;=1,"Remota",VLOOKUP(AH163,[71]Listas!$C$6:$D$10,2,0))</f>
        <v>#N/A</v>
      </c>
      <c r="AJ163" s="558" t="e">
        <f t="shared" si="14"/>
        <v>#N/A</v>
      </c>
      <c r="AK163" s="270" t="e">
        <f>IF(AJ163&lt;=1,"Insignificante",HLOOKUP(AJ163,[71]Listas!$F$3:$J$4,2,0))</f>
        <v>#N/A</v>
      </c>
      <c r="AL163" s="273" t="e">
        <f t="shared" si="15"/>
        <v>#N/A</v>
      </c>
      <c r="AM163" s="270" t="e">
        <f>INDEX([71]Listas!$F$6:$J$10,MATCH(AI163,[71]Listas!$D$6:$D$10,0),MATCH(AK163,[71]Listas!$F$4:$J$4,0))</f>
        <v>#N/A</v>
      </c>
      <c r="AN163" s="259"/>
      <c r="AO163" s="259"/>
      <c r="AP163" s="610"/>
      <c r="AQ163" s="259"/>
      <c r="AR163" s="259" t="s">
        <v>2343</v>
      </c>
      <c r="AS163" s="608"/>
      <c r="AT163" s="259"/>
      <c r="AU163" s="259"/>
      <c r="AV163" s="559"/>
      <c r="AW163" s="559"/>
      <c r="AX163" s="608"/>
      <c r="AY163" s="556"/>
    </row>
    <row r="164" spans="1:1027" s="557" customFormat="1" ht="103.5" hidden="1" customHeight="1">
      <c r="A164" s="608"/>
      <c r="B164" s="266"/>
      <c r="C164" s="1399"/>
      <c r="D164" s="1408"/>
      <c r="E164" s="1400"/>
      <c r="F164" s="267"/>
      <c r="G164" s="1399"/>
      <c r="H164" s="1408"/>
      <c r="I164" s="1400"/>
      <c r="J164" s="1380"/>
      <c r="K164" s="1380"/>
      <c r="L164" s="1380"/>
      <c r="M164" s="608"/>
      <c r="N164" s="608"/>
      <c r="O164" s="608"/>
      <c r="P164" s="608"/>
      <c r="Q164" s="266"/>
      <c r="R164" s="266"/>
      <c r="S164" s="268"/>
      <c r="T164" s="269" t="e">
        <f>VLOOKUP(Q164,[71]Listas!$D$6:$E$10,2,0)</f>
        <v>#N/A</v>
      </c>
      <c r="U164" s="269" t="e">
        <f>HLOOKUP(R164,[71]Listas!$F$4:$J$5,2,0)</f>
        <v>#N/A</v>
      </c>
      <c r="V164" s="270" t="e">
        <f>INDEX([71]Listas!$F$6:$J$10,MATCH(Q164,[71]Listas!$D$6:$D$10,0),MATCH(R164,[71]Listas!$F$4:$J$4,0))</f>
        <v>#N/A</v>
      </c>
      <c r="W164" s="268"/>
      <c r="X164" s="1399"/>
      <c r="Y164" s="1408"/>
      <c r="Z164" s="1400"/>
      <c r="AA164" s="1063"/>
      <c r="AB164" s="267"/>
      <c r="AC164" s="259"/>
      <c r="AD164" s="608"/>
      <c r="AE164" s="267"/>
      <c r="AF164" s="268"/>
      <c r="AG164" s="269">
        <f t="shared" si="12"/>
        <v>0</v>
      </c>
      <c r="AH164" s="558" t="e">
        <f t="shared" si="13"/>
        <v>#N/A</v>
      </c>
      <c r="AI164" s="270" t="e">
        <f>IF(AH164&lt;=1,"Remota",VLOOKUP(AH164,[71]Listas!$C$6:$D$10,2,0))</f>
        <v>#N/A</v>
      </c>
      <c r="AJ164" s="558" t="e">
        <f t="shared" si="14"/>
        <v>#N/A</v>
      </c>
      <c r="AK164" s="270" t="e">
        <f>IF(AJ164&lt;=1,"Insignificante",HLOOKUP(AJ164,[71]Listas!$F$3:$J$4,2,0))</f>
        <v>#N/A</v>
      </c>
      <c r="AL164" s="273" t="e">
        <f t="shared" si="15"/>
        <v>#N/A</v>
      </c>
      <c r="AM164" s="270" t="e">
        <f>INDEX([71]Listas!$F$6:$J$10,MATCH(AI164,[71]Listas!$D$6:$D$10,0),MATCH(AK164,[71]Listas!$F$4:$J$4,0))</f>
        <v>#N/A</v>
      </c>
      <c r="AN164" s="259"/>
      <c r="AO164" s="259"/>
      <c r="AP164" s="610"/>
      <c r="AQ164" s="259"/>
      <c r="AR164" s="259" t="s">
        <v>2343</v>
      </c>
      <c r="AS164" s="608"/>
      <c r="AT164" s="259"/>
      <c r="AU164" s="259"/>
      <c r="AV164" s="559"/>
      <c r="AW164" s="559"/>
      <c r="AX164" s="608"/>
      <c r="AY164" s="556"/>
    </row>
    <row r="165" spans="1:1027" s="557" customFormat="1" ht="103.5" hidden="1" customHeight="1">
      <c r="A165" s="608"/>
      <c r="B165" s="266"/>
      <c r="C165" s="1399"/>
      <c r="D165" s="1408"/>
      <c r="E165" s="1400"/>
      <c r="F165" s="267"/>
      <c r="G165" s="1399"/>
      <c r="H165" s="1408"/>
      <c r="I165" s="1400"/>
      <c r="J165" s="1380"/>
      <c r="K165" s="1380"/>
      <c r="L165" s="1380"/>
      <c r="M165" s="608"/>
      <c r="N165" s="608"/>
      <c r="O165" s="608"/>
      <c r="P165" s="608"/>
      <c r="Q165" s="266"/>
      <c r="R165" s="266"/>
      <c r="S165" s="268"/>
      <c r="T165" s="269" t="e">
        <f>VLOOKUP(Q165,[71]Listas!$D$6:$E$10,2,0)</f>
        <v>#N/A</v>
      </c>
      <c r="U165" s="269" t="e">
        <f>HLOOKUP(R165,[71]Listas!$F$4:$J$5,2,0)</f>
        <v>#N/A</v>
      </c>
      <c r="V165" s="270" t="e">
        <f>INDEX([71]Listas!$F$6:$J$10,MATCH(Q165,[71]Listas!$D$6:$D$10,0),MATCH(R165,[71]Listas!$F$4:$J$4,0))</f>
        <v>#N/A</v>
      </c>
      <c r="W165" s="268"/>
      <c r="X165" s="1399"/>
      <c r="Y165" s="1408"/>
      <c r="Z165" s="1400"/>
      <c r="AA165" s="1063"/>
      <c r="AB165" s="267"/>
      <c r="AC165" s="259"/>
      <c r="AD165" s="608"/>
      <c r="AE165" s="267"/>
      <c r="AF165" s="268"/>
      <c r="AG165" s="269">
        <f t="shared" si="12"/>
        <v>0</v>
      </c>
      <c r="AH165" s="558" t="e">
        <f t="shared" si="13"/>
        <v>#N/A</v>
      </c>
      <c r="AI165" s="270" t="e">
        <f>IF(AH165&lt;=1,"Remota",VLOOKUP(AH165,[71]Listas!$C$6:$D$10,2,0))</f>
        <v>#N/A</v>
      </c>
      <c r="AJ165" s="558" t="e">
        <f t="shared" si="14"/>
        <v>#N/A</v>
      </c>
      <c r="AK165" s="270" t="e">
        <f>IF(AJ165&lt;=1,"Insignificante",HLOOKUP(AJ165,[71]Listas!$F$3:$J$4,2,0))</f>
        <v>#N/A</v>
      </c>
      <c r="AL165" s="273" t="e">
        <f t="shared" si="15"/>
        <v>#N/A</v>
      </c>
      <c r="AM165" s="270" t="e">
        <f>INDEX([71]Listas!$F$6:$J$10,MATCH(AI165,[71]Listas!$D$6:$D$10,0),MATCH(AK165,[71]Listas!$F$4:$J$4,0))</f>
        <v>#N/A</v>
      </c>
      <c r="AN165" s="259"/>
      <c r="AO165" s="259"/>
      <c r="AP165" s="610"/>
      <c r="AQ165" s="259"/>
      <c r="AR165" s="259" t="s">
        <v>2343</v>
      </c>
      <c r="AS165" s="608"/>
      <c r="AT165" s="259"/>
      <c r="AU165" s="259"/>
      <c r="AV165" s="559"/>
      <c r="AW165" s="559"/>
      <c r="AX165" s="608"/>
      <c r="AY165" s="556"/>
    </row>
    <row r="166" spans="1:1027" s="557" customFormat="1" ht="103.5" hidden="1" customHeight="1">
      <c r="A166" s="608"/>
      <c r="B166" s="266"/>
      <c r="C166" s="1399"/>
      <c r="D166" s="1408"/>
      <c r="E166" s="1400"/>
      <c r="F166" s="267"/>
      <c r="G166" s="1399"/>
      <c r="H166" s="1408"/>
      <c r="I166" s="1400"/>
      <c r="J166" s="1380"/>
      <c r="K166" s="1380"/>
      <c r="L166" s="1380"/>
      <c r="M166" s="608"/>
      <c r="N166" s="608"/>
      <c r="O166" s="608"/>
      <c r="P166" s="608"/>
      <c r="Q166" s="266"/>
      <c r="R166" s="266"/>
      <c r="S166" s="268"/>
      <c r="T166" s="269" t="e">
        <f>VLOOKUP(Q166,[71]Listas!$D$6:$E$10,2,0)</f>
        <v>#N/A</v>
      </c>
      <c r="U166" s="269" t="e">
        <f>HLOOKUP(R166,[71]Listas!$F$4:$J$5,2,0)</f>
        <v>#N/A</v>
      </c>
      <c r="V166" s="270" t="e">
        <f>INDEX([71]Listas!$F$6:$J$10,MATCH(Q166,[71]Listas!$D$6:$D$10,0),MATCH(R166,[71]Listas!$F$4:$J$4,0))</f>
        <v>#N/A</v>
      </c>
      <c r="W166" s="268"/>
      <c r="X166" s="1399"/>
      <c r="Y166" s="1408"/>
      <c r="Z166" s="1400"/>
      <c r="AA166" s="1063"/>
      <c r="AB166" s="267"/>
      <c r="AC166" s="259"/>
      <c r="AD166" s="608"/>
      <c r="AE166" s="267"/>
      <c r="AF166" s="268"/>
      <c r="AG166" s="269">
        <f t="shared" si="12"/>
        <v>0</v>
      </c>
      <c r="AH166" s="558" t="e">
        <f t="shared" si="13"/>
        <v>#N/A</v>
      </c>
      <c r="AI166" s="270" t="e">
        <f>IF(AH166&lt;=1,"Remota",VLOOKUP(AH166,[71]Listas!$C$6:$D$10,2,0))</f>
        <v>#N/A</v>
      </c>
      <c r="AJ166" s="558" t="e">
        <f t="shared" si="14"/>
        <v>#N/A</v>
      </c>
      <c r="AK166" s="270" t="e">
        <f>IF(AJ166&lt;=1,"Insignificante",HLOOKUP(AJ166,[71]Listas!$F$3:$J$4,2,0))</f>
        <v>#N/A</v>
      </c>
      <c r="AL166" s="273" t="e">
        <f t="shared" si="15"/>
        <v>#N/A</v>
      </c>
      <c r="AM166" s="270" t="e">
        <f>INDEX([71]Listas!$F$6:$J$10,MATCH(AI166,[71]Listas!$D$6:$D$10,0),MATCH(AK166,[71]Listas!$F$4:$J$4,0))</f>
        <v>#N/A</v>
      </c>
      <c r="AN166" s="259"/>
      <c r="AO166" s="259"/>
      <c r="AP166" s="610"/>
      <c r="AQ166" s="259"/>
      <c r="AR166" s="259" t="s">
        <v>2343</v>
      </c>
      <c r="AS166" s="608"/>
      <c r="AT166" s="259"/>
      <c r="AU166" s="259"/>
      <c r="AV166" s="559"/>
      <c r="AW166" s="559"/>
      <c r="AX166" s="608"/>
      <c r="AY166" s="556"/>
    </row>
    <row r="167" spans="1:1027" s="557" customFormat="1" ht="103.5" hidden="1" customHeight="1">
      <c r="A167" s="608"/>
      <c r="B167" s="266"/>
      <c r="C167" s="1399"/>
      <c r="D167" s="1408"/>
      <c r="E167" s="1400"/>
      <c r="F167" s="267"/>
      <c r="G167" s="1399"/>
      <c r="H167" s="1408"/>
      <c r="I167" s="1400"/>
      <c r="J167" s="1380"/>
      <c r="K167" s="1380"/>
      <c r="L167" s="1380"/>
      <c r="M167" s="608"/>
      <c r="N167" s="608"/>
      <c r="O167" s="608"/>
      <c r="P167" s="608"/>
      <c r="Q167" s="266"/>
      <c r="R167" s="266"/>
      <c r="S167" s="268"/>
      <c r="T167" s="269" t="e">
        <f>VLOOKUP(Q167,[71]Listas!$D$6:$E$10,2,0)</f>
        <v>#N/A</v>
      </c>
      <c r="U167" s="269" t="e">
        <f>HLOOKUP(R167,[71]Listas!$F$4:$J$5,2,0)</f>
        <v>#N/A</v>
      </c>
      <c r="V167" s="270" t="e">
        <f>INDEX([71]Listas!$F$6:$J$10,MATCH(Q167,[71]Listas!$D$6:$D$10,0),MATCH(R167,[71]Listas!$F$4:$J$4,0))</f>
        <v>#N/A</v>
      </c>
      <c r="W167" s="268"/>
      <c r="X167" s="1399"/>
      <c r="Y167" s="1408"/>
      <c r="Z167" s="1400"/>
      <c r="AA167" s="1063"/>
      <c r="AB167" s="267"/>
      <c r="AC167" s="259"/>
      <c r="AD167" s="608"/>
      <c r="AE167" s="267"/>
      <c r="AF167" s="268"/>
      <c r="AG167" s="269">
        <f t="shared" si="12"/>
        <v>0</v>
      </c>
      <c r="AH167" s="558" t="e">
        <f t="shared" si="13"/>
        <v>#N/A</v>
      </c>
      <c r="AI167" s="270" t="e">
        <f>IF(AH167&lt;=1,"Remota",VLOOKUP(AH167,[71]Listas!$C$6:$D$10,2,0))</f>
        <v>#N/A</v>
      </c>
      <c r="AJ167" s="558" t="e">
        <f t="shared" si="14"/>
        <v>#N/A</v>
      </c>
      <c r="AK167" s="270" t="e">
        <f>IF(AJ167&lt;=1,"Insignificante",HLOOKUP(AJ167,[71]Listas!$F$3:$J$4,2,0))</f>
        <v>#N/A</v>
      </c>
      <c r="AL167" s="273" t="e">
        <f t="shared" si="15"/>
        <v>#N/A</v>
      </c>
      <c r="AM167" s="270" t="e">
        <f>INDEX([71]Listas!$F$6:$J$10,MATCH(AI167,[71]Listas!$D$6:$D$10,0),MATCH(AK167,[71]Listas!$F$4:$J$4,0))</f>
        <v>#N/A</v>
      </c>
      <c r="AN167" s="259"/>
      <c r="AO167" s="259"/>
      <c r="AP167" s="610"/>
      <c r="AQ167" s="259"/>
      <c r="AR167" s="259" t="s">
        <v>2343</v>
      </c>
      <c r="AS167" s="608"/>
      <c r="AT167" s="259"/>
      <c r="AU167" s="259"/>
      <c r="AV167" s="559"/>
      <c r="AW167" s="559"/>
      <c r="AX167" s="608"/>
      <c r="AY167" s="556"/>
    </row>
    <row r="168" spans="1:1027" ht="5.25" customHeight="1">
      <c r="A168" s="560"/>
      <c r="B168" s="276"/>
      <c r="C168" s="276"/>
      <c r="D168" s="276"/>
      <c r="E168" s="560"/>
      <c r="F168" s="560"/>
      <c r="G168" s="561"/>
      <c r="H168" s="561"/>
      <c r="I168" s="561"/>
      <c r="J168" s="560"/>
      <c r="K168" s="560"/>
      <c r="L168" s="278"/>
      <c r="M168" s="278"/>
      <c r="N168" s="278"/>
      <c r="O168" s="278"/>
      <c r="P168" s="278"/>
      <c r="Q168" s="278"/>
      <c r="R168" s="278"/>
      <c r="S168" s="278"/>
      <c r="T168" s="278"/>
      <c r="U168" s="278"/>
      <c r="V168" s="560"/>
      <c r="W168" s="560"/>
      <c r="X168" s="561"/>
      <c r="Y168" s="561"/>
      <c r="Z168" s="561"/>
      <c r="AA168" s="561"/>
      <c r="AB168" s="561"/>
      <c r="AC168" s="561"/>
      <c r="AD168" s="560"/>
      <c r="AE168" s="560"/>
      <c r="AF168" s="560"/>
      <c r="AG168" s="560"/>
      <c r="AH168" s="560"/>
      <c r="AI168" s="560"/>
      <c r="AJ168" s="560"/>
      <c r="AK168" s="560"/>
      <c r="AL168" s="560"/>
      <c r="AM168" s="279"/>
      <c r="AN168" s="556"/>
      <c r="AO168" s="556"/>
      <c r="AP168" s="556"/>
      <c r="AQ168" s="556"/>
      <c r="AR168" s="556"/>
      <c r="AS168" s="556"/>
      <c r="AT168" s="556"/>
      <c r="AU168" s="556"/>
      <c r="AV168" s="556"/>
      <c r="AW168" s="556"/>
      <c r="AX168" s="556"/>
      <c r="AY168" s="556"/>
      <c r="AZ168" s="551"/>
      <c r="BA168" s="551"/>
      <c r="BB168" s="551"/>
      <c r="BC168" s="551"/>
      <c r="BD168" s="551"/>
      <c r="BE168" s="551"/>
      <c r="BF168" s="551"/>
      <c r="BG168" s="551"/>
      <c r="BH168" s="551"/>
      <c r="BI168" s="551"/>
      <c r="BJ168" s="551"/>
      <c r="BK168" s="551"/>
      <c r="BL168" s="551"/>
      <c r="BM168" s="551"/>
      <c r="BN168" s="551"/>
      <c r="BO168" s="551"/>
      <c r="BP168" s="551"/>
      <c r="BQ168" s="551"/>
      <c r="BR168" s="551"/>
      <c r="BS168" s="551"/>
      <c r="BT168" s="551"/>
      <c r="BU168" s="551"/>
      <c r="BV168" s="551"/>
      <c r="BW168" s="551"/>
      <c r="BX168" s="551"/>
      <c r="BY168" s="551"/>
      <c r="BZ168" s="551"/>
      <c r="CA168" s="551"/>
      <c r="CB168" s="551"/>
      <c r="CC168" s="551"/>
      <c r="CD168" s="551"/>
      <c r="CE168" s="551"/>
      <c r="CF168" s="551"/>
      <c r="CG168" s="551"/>
      <c r="CH168" s="551"/>
      <c r="CI168" s="551"/>
      <c r="CJ168" s="551"/>
      <c r="CK168" s="551"/>
      <c r="CL168" s="551"/>
      <c r="CM168" s="551"/>
      <c r="CN168" s="551"/>
      <c r="CO168" s="551"/>
      <c r="CP168" s="551"/>
      <c r="CQ168" s="551"/>
      <c r="CR168" s="551"/>
      <c r="CS168" s="551"/>
      <c r="CT168" s="551"/>
      <c r="CU168" s="551"/>
      <c r="CV168" s="551"/>
      <c r="CW168" s="551"/>
      <c r="CX168" s="551"/>
      <c r="CY168" s="551"/>
      <c r="CZ168" s="551"/>
      <c r="DA168" s="551"/>
      <c r="DB168" s="551"/>
      <c r="DC168" s="551"/>
      <c r="DD168" s="551"/>
      <c r="DE168" s="551"/>
      <c r="DF168" s="551"/>
      <c r="DG168" s="551"/>
      <c r="DH168" s="551"/>
      <c r="DI168" s="551"/>
      <c r="DJ168" s="551"/>
      <c r="DK168" s="551"/>
      <c r="DL168" s="551"/>
      <c r="DM168" s="551"/>
      <c r="DN168" s="551"/>
      <c r="DO168" s="551"/>
      <c r="DP168" s="551"/>
      <c r="DQ168" s="551"/>
      <c r="DR168" s="551"/>
      <c r="DS168" s="551"/>
      <c r="DT168" s="551"/>
      <c r="DU168" s="551"/>
      <c r="DV168" s="551"/>
      <c r="DW168" s="551"/>
      <c r="DX168" s="551"/>
      <c r="DY168" s="551"/>
      <c r="DZ168" s="551"/>
      <c r="EA168" s="551"/>
      <c r="EB168" s="551"/>
      <c r="EC168" s="551"/>
      <c r="ED168" s="551"/>
      <c r="EE168" s="551"/>
      <c r="EF168" s="551"/>
      <c r="EG168" s="551"/>
      <c r="EH168" s="551"/>
      <c r="EI168" s="551"/>
      <c r="EJ168" s="551"/>
      <c r="EK168" s="551"/>
      <c r="EL168" s="551"/>
      <c r="EM168" s="551"/>
      <c r="EN168" s="551"/>
      <c r="EO168" s="551"/>
      <c r="EP168" s="551"/>
      <c r="EQ168" s="551"/>
      <c r="ER168" s="551"/>
      <c r="ES168" s="551"/>
      <c r="ET168" s="551"/>
      <c r="EU168" s="551"/>
      <c r="EV168" s="551"/>
      <c r="EW168" s="551"/>
      <c r="EX168" s="551"/>
      <c r="EY168" s="551"/>
      <c r="EZ168" s="551"/>
      <c r="FA168" s="551"/>
      <c r="FB168" s="551"/>
      <c r="FC168" s="551"/>
      <c r="FD168" s="551"/>
      <c r="FE168" s="551"/>
      <c r="FF168" s="551"/>
      <c r="FG168" s="551"/>
      <c r="FH168" s="551"/>
      <c r="FI168" s="551"/>
      <c r="FJ168" s="551"/>
      <c r="FK168" s="551"/>
      <c r="FL168" s="551"/>
      <c r="FM168" s="551"/>
      <c r="FN168" s="551"/>
      <c r="FO168" s="551"/>
      <c r="FP168" s="551"/>
      <c r="FQ168" s="551"/>
      <c r="FR168" s="551"/>
      <c r="FS168" s="551"/>
      <c r="FT168" s="551"/>
      <c r="FU168" s="551"/>
      <c r="FV168" s="551"/>
      <c r="FW168" s="551"/>
      <c r="FX168" s="551"/>
      <c r="FY168" s="551"/>
      <c r="FZ168" s="551"/>
      <c r="GA168" s="551"/>
      <c r="GB168" s="551"/>
      <c r="GC168" s="551"/>
      <c r="GD168" s="551"/>
      <c r="GE168" s="551"/>
      <c r="GF168" s="551"/>
      <c r="GG168" s="551"/>
      <c r="GH168" s="551"/>
      <c r="GI168" s="551"/>
      <c r="GJ168" s="551"/>
      <c r="GK168" s="551"/>
      <c r="GL168" s="551"/>
      <c r="GM168" s="551"/>
      <c r="GN168" s="551"/>
      <c r="GO168" s="551"/>
      <c r="GP168" s="551"/>
      <c r="GQ168" s="551"/>
      <c r="GR168" s="551"/>
      <c r="GS168" s="551"/>
      <c r="GT168" s="551"/>
      <c r="GU168" s="551"/>
      <c r="GV168" s="551"/>
      <c r="GW168" s="551"/>
      <c r="GX168" s="551"/>
      <c r="GY168" s="551"/>
      <c r="GZ168" s="551"/>
      <c r="HA168" s="551"/>
      <c r="HB168" s="551"/>
      <c r="HC168" s="551"/>
      <c r="HD168" s="551"/>
      <c r="HE168" s="551"/>
      <c r="HF168" s="551"/>
      <c r="HG168" s="551"/>
      <c r="HH168" s="551"/>
      <c r="HI168" s="551"/>
      <c r="HJ168" s="551"/>
      <c r="HK168" s="551"/>
      <c r="HL168" s="551"/>
      <c r="HM168" s="551"/>
      <c r="HN168" s="551"/>
      <c r="HO168" s="551"/>
      <c r="HP168" s="551"/>
      <c r="HQ168" s="551"/>
      <c r="HR168" s="551"/>
      <c r="HS168" s="551"/>
      <c r="HT168" s="551"/>
      <c r="HU168" s="551"/>
      <c r="HV168" s="551"/>
      <c r="HW168" s="551"/>
      <c r="HX168" s="551"/>
      <c r="HY168" s="551"/>
      <c r="HZ168" s="551"/>
      <c r="IA168" s="551"/>
      <c r="IB168" s="551"/>
      <c r="IC168" s="551"/>
      <c r="ID168" s="551"/>
      <c r="IE168" s="551"/>
      <c r="IF168" s="551"/>
      <c r="IG168" s="551"/>
      <c r="IH168" s="551"/>
      <c r="II168" s="551"/>
      <c r="IJ168" s="551"/>
      <c r="IK168" s="551"/>
      <c r="IL168" s="551"/>
      <c r="IM168" s="551"/>
      <c r="IN168" s="551"/>
      <c r="IO168" s="551"/>
      <c r="IP168" s="551"/>
      <c r="IQ168" s="551"/>
      <c r="IR168" s="551"/>
      <c r="IS168" s="551"/>
      <c r="IT168" s="551"/>
      <c r="IU168" s="551"/>
      <c r="IV168" s="551"/>
      <c r="IW168" s="551"/>
      <c r="IX168" s="551"/>
      <c r="IY168" s="551"/>
      <c r="IZ168" s="551"/>
      <c r="JA168" s="551"/>
      <c r="JB168" s="551"/>
      <c r="JC168" s="551"/>
      <c r="JD168" s="551"/>
      <c r="JE168" s="551"/>
      <c r="JF168" s="551"/>
      <c r="JG168" s="551"/>
      <c r="JH168" s="551"/>
      <c r="JI168" s="551"/>
      <c r="JJ168" s="551"/>
      <c r="JK168" s="551"/>
      <c r="JL168" s="551"/>
      <c r="JM168" s="551"/>
      <c r="JN168" s="551"/>
      <c r="JO168" s="551"/>
      <c r="JP168" s="551"/>
      <c r="JQ168" s="551"/>
      <c r="JR168" s="551"/>
      <c r="JS168" s="551"/>
      <c r="JT168" s="551"/>
      <c r="JU168" s="551"/>
      <c r="JV168" s="551"/>
      <c r="JW168" s="551"/>
      <c r="JX168" s="551"/>
      <c r="JY168" s="551"/>
      <c r="JZ168" s="551"/>
      <c r="KA168" s="551"/>
      <c r="KB168" s="551"/>
      <c r="KC168" s="551"/>
      <c r="KD168" s="551"/>
      <c r="KE168" s="551"/>
      <c r="KF168" s="551"/>
      <c r="KG168" s="551"/>
      <c r="KH168" s="551"/>
      <c r="KI168" s="551"/>
      <c r="KJ168" s="551"/>
      <c r="KK168" s="551"/>
      <c r="KL168" s="551"/>
      <c r="KM168" s="551"/>
      <c r="KN168" s="551"/>
      <c r="KO168" s="551"/>
      <c r="KP168" s="551"/>
      <c r="KQ168" s="551"/>
      <c r="KR168" s="551"/>
      <c r="KS168" s="551"/>
      <c r="KT168" s="551"/>
      <c r="KU168" s="551"/>
      <c r="KV168" s="551"/>
      <c r="KW168" s="551"/>
      <c r="KX168" s="551"/>
      <c r="KY168" s="551"/>
      <c r="KZ168" s="551"/>
      <c r="LA168" s="551"/>
      <c r="LB168" s="551"/>
      <c r="LC168" s="551"/>
      <c r="LD168" s="551"/>
      <c r="LE168" s="551"/>
      <c r="LF168" s="551"/>
      <c r="LG168" s="551"/>
      <c r="LH168" s="551"/>
      <c r="LI168" s="551"/>
      <c r="LJ168" s="551"/>
      <c r="LK168" s="551"/>
      <c r="LL168" s="551"/>
      <c r="LM168" s="551"/>
      <c r="LN168" s="551"/>
      <c r="LO168" s="551"/>
      <c r="LP168" s="551"/>
      <c r="LQ168" s="551"/>
      <c r="LR168" s="551"/>
      <c r="LS168" s="551"/>
      <c r="LT168" s="551"/>
      <c r="LU168" s="551"/>
      <c r="LV168" s="551"/>
      <c r="LW168" s="551"/>
      <c r="LX168" s="551"/>
      <c r="LY168" s="551"/>
      <c r="LZ168" s="551"/>
      <c r="MA168" s="551"/>
      <c r="MB168" s="551"/>
      <c r="MC168" s="551"/>
      <c r="MD168" s="551"/>
      <c r="ME168" s="551"/>
      <c r="MF168" s="551"/>
      <c r="MG168" s="551"/>
      <c r="MH168" s="551"/>
      <c r="MI168" s="551"/>
      <c r="MJ168" s="551"/>
      <c r="MK168" s="551"/>
      <c r="ML168" s="551"/>
      <c r="MM168" s="551"/>
      <c r="MN168" s="551"/>
      <c r="MO168" s="551"/>
      <c r="MP168" s="551"/>
      <c r="MQ168" s="551"/>
      <c r="MR168" s="551"/>
      <c r="MS168" s="551"/>
      <c r="MT168" s="551"/>
      <c r="MU168" s="551"/>
      <c r="MV168" s="551"/>
      <c r="MW168" s="551"/>
      <c r="MX168" s="551"/>
      <c r="MY168" s="551"/>
      <c r="MZ168" s="551"/>
      <c r="NA168" s="551"/>
      <c r="NB168" s="551"/>
      <c r="NC168" s="551"/>
      <c r="ND168" s="551"/>
      <c r="NE168" s="551"/>
      <c r="NF168" s="551"/>
      <c r="NG168" s="551"/>
      <c r="NH168" s="551"/>
      <c r="NI168" s="551"/>
      <c r="NJ168" s="551"/>
      <c r="NK168" s="551"/>
      <c r="NL168" s="551"/>
      <c r="NM168" s="551"/>
      <c r="NN168" s="551"/>
      <c r="NO168" s="551"/>
      <c r="NP168" s="551"/>
      <c r="NQ168" s="551"/>
      <c r="NR168" s="551"/>
      <c r="NS168" s="551"/>
      <c r="NT168" s="551"/>
      <c r="NU168" s="551"/>
      <c r="NV168" s="551"/>
      <c r="NW168" s="551"/>
      <c r="NX168" s="551"/>
      <c r="NY168" s="551"/>
      <c r="NZ168" s="551"/>
      <c r="OA168" s="551"/>
      <c r="OB168" s="551"/>
      <c r="OC168" s="551"/>
      <c r="OD168" s="551"/>
      <c r="OE168" s="551"/>
      <c r="OF168" s="551"/>
      <c r="OG168" s="551"/>
      <c r="OH168" s="551"/>
      <c r="OI168" s="551"/>
      <c r="OJ168" s="551"/>
      <c r="OK168" s="551"/>
      <c r="OL168" s="551"/>
      <c r="OM168" s="551"/>
      <c r="ON168" s="551"/>
      <c r="OO168" s="551"/>
      <c r="OP168" s="551"/>
      <c r="OQ168" s="551"/>
      <c r="OR168" s="551"/>
      <c r="OS168" s="551"/>
      <c r="OT168" s="551"/>
      <c r="OU168" s="551"/>
      <c r="OV168" s="551"/>
      <c r="OW168" s="551"/>
      <c r="OX168" s="551"/>
      <c r="OY168" s="551"/>
      <c r="OZ168" s="551"/>
      <c r="PA168" s="551"/>
      <c r="PB168" s="551"/>
      <c r="PC168" s="551"/>
      <c r="PD168" s="551"/>
      <c r="PE168" s="551"/>
      <c r="PF168" s="551"/>
      <c r="PG168" s="551"/>
      <c r="PH168" s="551"/>
      <c r="PI168" s="551"/>
      <c r="PJ168" s="551"/>
      <c r="PK168" s="551"/>
      <c r="PL168" s="551"/>
      <c r="PM168" s="551"/>
      <c r="PN168" s="551"/>
      <c r="PO168" s="551"/>
      <c r="PP168" s="551"/>
      <c r="PQ168" s="551"/>
      <c r="PR168" s="551"/>
      <c r="PS168" s="551"/>
      <c r="PT168" s="551"/>
      <c r="PU168" s="551"/>
      <c r="PV168" s="551"/>
      <c r="PW168" s="551"/>
      <c r="PX168" s="551"/>
      <c r="PY168" s="551"/>
      <c r="PZ168" s="551"/>
      <c r="QA168" s="551"/>
      <c r="QB168" s="551"/>
      <c r="QC168" s="551"/>
      <c r="QD168" s="551"/>
      <c r="QE168" s="551"/>
      <c r="QF168" s="551"/>
      <c r="QG168" s="551"/>
      <c r="QH168" s="551"/>
      <c r="QI168" s="551"/>
      <c r="QJ168" s="551"/>
      <c r="QK168" s="551"/>
      <c r="QL168" s="551"/>
      <c r="QM168" s="551"/>
      <c r="QN168" s="551"/>
      <c r="QO168" s="551"/>
      <c r="QP168" s="551"/>
      <c r="QQ168" s="551"/>
      <c r="QR168" s="551"/>
      <c r="QS168" s="551"/>
      <c r="QT168" s="551"/>
      <c r="QU168" s="551"/>
      <c r="QV168" s="551"/>
      <c r="QW168" s="551"/>
      <c r="QX168" s="551"/>
      <c r="QY168" s="551"/>
      <c r="QZ168" s="551"/>
      <c r="RA168" s="551"/>
      <c r="RB168" s="551"/>
      <c r="RC168" s="551"/>
      <c r="RD168" s="551"/>
      <c r="RE168" s="551"/>
      <c r="RF168" s="551"/>
      <c r="RG168" s="551"/>
      <c r="RH168" s="551"/>
      <c r="RI168" s="551"/>
      <c r="RJ168" s="551"/>
      <c r="RK168" s="551"/>
      <c r="RL168" s="551"/>
      <c r="RM168" s="551"/>
      <c r="RN168" s="551"/>
      <c r="RO168" s="551"/>
      <c r="RP168" s="551"/>
      <c r="RQ168" s="551"/>
      <c r="RR168" s="551"/>
      <c r="RS168" s="551"/>
      <c r="RT168" s="551"/>
      <c r="RU168" s="551"/>
      <c r="RV168" s="551"/>
      <c r="RW168" s="551"/>
      <c r="RX168" s="551"/>
      <c r="RY168" s="551"/>
      <c r="RZ168" s="551"/>
      <c r="SA168" s="551"/>
      <c r="SB168" s="551"/>
      <c r="SC168" s="551"/>
      <c r="SD168" s="551"/>
      <c r="SE168" s="551"/>
      <c r="SF168" s="551"/>
      <c r="SG168" s="551"/>
      <c r="SH168" s="551"/>
      <c r="SI168" s="551"/>
      <c r="SJ168" s="551"/>
      <c r="SK168" s="551"/>
      <c r="SL168" s="551"/>
      <c r="SM168" s="551"/>
      <c r="SN168" s="551"/>
      <c r="SO168" s="551"/>
      <c r="SP168" s="551"/>
      <c r="SQ168" s="551"/>
      <c r="SR168" s="551"/>
      <c r="SS168" s="551"/>
      <c r="ST168" s="551"/>
      <c r="SU168" s="551"/>
      <c r="SV168" s="551"/>
      <c r="SW168" s="551"/>
      <c r="SX168" s="551"/>
      <c r="SY168" s="551"/>
      <c r="SZ168" s="551"/>
      <c r="TA168" s="551"/>
      <c r="TB168" s="551"/>
      <c r="TC168" s="551"/>
      <c r="TD168" s="551"/>
      <c r="TE168" s="551"/>
      <c r="TF168" s="551"/>
      <c r="TG168" s="551"/>
      <c r="TH168" s="551"/>
      <c r="TI168" s="551"/>
      <c r="TJ168" s="551"/>
      <c r="TK168" s="551"/>
      <c r="TL168" s="551"/>
      <c r="TM168" s="551"/>
      <c r="TN168" s="551"/>
      <c r="TO168" s="551"/>
      <c r="TP168" s="551"/>
      <c r="TQ168" s="551"/>
      <c r="TR168" s="551"/>
      <c r="TS168" s="551"/>
      <c r="TT168" s="551"/>
      <c r="TU168" s="551"/>
      <c r="TV168" s="551"/>
      <c r="TW168" s="551"/>
      <c r="TX168" s="551"/>
      <c r="TY168" s="551"/>
      <c r="TZ168" s="551"/>
      <c r="UA168" s="551"/>
      <c r="UB168" s="551"/>
      <c r="UC168" s="551"/>
      <c r="UD168" s="551"/>
      <c r="UE168" s="551"/>
      <c r="UF168" s="551"/>
      <c r="UG168" s="551"/>
      <c r="UH168" s="551"/>
      <c r="UI168" s="551"/>
      <c r="UJ168" s="551"/>
      <c r="UK168" s="551"/>
      <c r="UL168" s="551"/>
      <c r="UM168" s="551"/>
      <c r="UN168" s="551"/>
      <c r="UO168" s="551"/>
      <c r="UP168" s="551"/>
      <c r="UQ168" s="551"/>
      <c r="UR168" s="551"/>
      <c r="US168" s="551"/>
      <c r="UT168" s="551"/>
      <c r="UU168" s="551"/>
      <c r="UV168" s="551"/>
      <c r="UW168" s="551"/>
      <c r="UX168" s="551"/>
      <c r="UY168" s="551"/>
      <c r="UZ168" s="551"/>
      <c r="VA168" s="551"/>
      <c r="VB168" s="551"/>
      <c r="VC168" s="551"/>
      <c r="VD168" s="551"/>
      <c r="VE168" s="551"/>
      <c r="VF168" s="551"/>
      <c r="VG168" s="551"/>
      <c r="VH168" s="551"/>
      <c r="VI168" s="551"/>
      <c r="VJ168" s="551"/>
      <c r="VK168" s="551"/>
      <c r="VL168" s="551"/>
      <c r="VM168" s="551"/>
      <c r="VN168" s="551"/>
      <c r="VO168" s="551"/>
      <c r="VP168" s="551"/>
      <c r="VQ168" s="551"/>
      <c r="VR168" s="551"/>
      <c r="VS168" s="551"/>
      <c r="VT168" s="551"/>
      <c r="VU168" s="551"/>
      <c r="VV168" s="551"/>
      <c r="VW168" s="551"/>
      <c r="VX168" s="551"/>
      <c r="VY168" s="551"/>
      <c r="VZ168" s="551"/>
      <c r="WA168" s="551"/>
      <c r="WB168" s="551"/>
      <c r="WC168" s="551"/>
      <c r="WD168" s="551"/>
      <c r="WE168" s="551"/>
      <c r="WF168" s="551"/>
      <c r="WG168" s="551"/>
      <c r="WH168" s="551"/>
      <c r="WI168" s="551"/>
      <c r="WJ168" s="551"/>
      <c r="WK168" s="551"/>
      <c r="WL168" s="551"/>
      <c r="WM168" s="551"/>
      <c r="WN168" s="551"/>
      <c r="WO168" s="551"/>
      <c r="WP168" s="551"/>
      <c r="WQ168" s="551"/>
      <c r="WR168" s="551"/>
      <c r="WS168" s="551"/>
      <c r="WT168" s="551"/>
      <c r="WU168" s="551"/>
      <c r="WV168" s="551"/>
      <c r="WW168" s="551"/>
      <c r="WX168" s="551"/>
      <c r="WY168" s="551"/>
      <c r="WZ168" s="551"/>
      <c r="XA168" s="551"/>
      <c r="XB168" s="551"/>
      <c r="XC168" s="551"/>
      <c r="XD168" s="551"/>
      <c r="XE168" s="551"/>
      <c r="XF168" s="551"/>
      <c r="XG168" s="551"/>
      <c r="XH168" s="551"/>
      <c r="XI168" s="551"/>
      <c r="XJ168" s="551"/>
      <c r="XK168" s="551"/>
      <c r="XL168" s="551"/>
      <c r="XM168" s="551"/>
      <c r="XN168" s="551"/>
      <c r="XO168" s="551"/>
      <c r="XP168" s="551"/>
      <c r="XQ168" s="551"/>
      <c r="XR168" s="551"/>
      <c r="XS168" s="551"/>
      <c r="XT168" s="551"/>
      <c r="XU168" s="551"/>
      <c r="XV168" s="551"/>
      <c r="XW168" s="551"/>
      <c r="XX168" s="551"/>
      <c r="XY168" s="551"/>
      <c r="XZ168" s="551"/>
      <c r="YA168" s="551"/>
      <c r="YB168" s="551"/>
      <c r="YC168" s="551"/>
      <c r="YD168" s="551"/>
      <c r="YE168" s="551"/>
      <c r="YF168" s="551"/>
      <c r="YG168" s="551"/>
      <c r="YH168" s="551"/>
      <c r="YI168" s="551"/>
      <c r="YJ168" s="551"/>
      <c r="YK168" s="551"/>
      <c r="YL168" s="551"/>
      <c r="YM168" s="551"/>
      <c r="YN168" s="551"/>
      <c r="YO168" s="551"/>
      <c r="YP168" s="551"/>
      <c r="YQ168" s="551"/>
      <c r="YR168" s="551"/>
      <c r="YS168" s="551"/>
      <c r="YT168" s="551"/>
      <c r="YU168" s="551"/>
      <c r="YV168" s="551"/>
      <c r="YW168" s="551"/>
      <c r="YX168" s="551"/>
      <c r="YY168" s="551"/>
      <c r="YZ168" s="551"/>
      <c r="ZA168" s="551"/>
      <c r="ZB168" s="551"/>
      <c r="ZC168" s="551"/>
      <c r="ZD168" s="551"/>
      <c r="ZE168" s="551"/>
      <c r="ZF168" s="551"/>
      <c r="ZG168" s="551"/>
      <c r="ZH168" s="551"/>
      <c r="ZI168" s="551"/>
      <c r="ZJ168" s="551"/>
      <c r="ZK168" s="551"/>
      <c r="ZL168" s="551"/>
      <c r="ZM168" s="551"/>
      <c r="ZN168" s="551"/>
      <c r="ZO168" s="551"/>
      <c r="ZP168" s="551"/>
      <c r="ZQ168" s="551"/>
      <c r="ZR168" s="551"/>
      <c r="ZS168" s="551"/>
      <c r="ZT168" s="551"/>
      <c r="ZU168" s="551"/>
      <c r="ZV168" s="551"/>
      <c r="ZW168" s="551"/>
      <c r="ZX168" s="551"/>
      <c r="ZY168" s="551"/>
      <c r="ZZ168" s="551"/>
      <c r="AAA168" s="551"/>
      <c r="AAB168" s="551"/>
      <c r="AAC168" s="551"/>
      <c r="AAD168" s="551"/>
      <c r="AAE168" s="551"/>
      <c r="AAF168" s="551"/>
      <c r="AAG168" s="551"/>
      <c r="AAH168" s="551"/>
      <c r="AAI168" s="551"/>
      <c r="AAJ168" s="551"/>
      <c r="AAK168" s="551"/>
      <c r="AAL168" s="551"/>
      <c r="AAM168" s="551"/>
      <c r="AAN168" s="551"/>
      <c r="AAO168" s="551"/>
      <c r="AAP168" s="551"/>
      <c r="AAQ168" s="551"/>
      <c r="AAR168" s="551"/>
      <c r="AAS168" s="551"/>
      <c r="AAT168" s="551"/>
      <c r="AAU168" s="551"/>
      <c r="AAV168" s="551"/>
      <c r="AAW168" s="551"/>
      <c r="AAX168" s="551"/>
      <c r="AAY168" s="551"/>
      <c r="AAZ168" s="551"/>
      <c r="ABA168" s="551"/>
      <c r="ABB168" s="551"/>
      <c r="ABC168" s="551"/>
      <c r="ABD168" s="551"/>
      <c r="ABE168" s="551"/>
      <c r="ABF168" s="551"/>
      <c r="ABG168" s="551"/>
      <c r="ABH168" s="551"/>
      <c r="ABI168" s="551"/>
      <c r="ABJ168" s="551"/>
      <c r="ABK168" s="551"/>
      <c r="ABL168" s="551"/>
      <c r="ABM168" s="551"/>
      <c r="ABN168" s="551"/>
      <c r="ABO168" s="551"/>
      <c r="ABP168" s="551"/>
      <c r="ABQ168" s="551"/>
      <c r="ABR168" s="551"/>
      <c r="ABS168" s="551"/>
      <c r="ABT168" s="551"/>
      <c r="ABU168" s="551"/>
      <c r="ABV168" s="551"/>
      <c r="ABW168" s="551"/>
      <c r="ABX168" s="551"/>
      <c r="ABY168" s="551"/>
      <c r="ABZ168" s="551"/>
      <c r="ACA168" s="551"/>
      <c r="ACB168" s="551"/>
      <c r="ACC168" s="551"/>
      <c r="ACD168" s="551"/>
      <c r="ACE168" s="551"/>
      <c r="ACF168" s="551"/>
      <c r="ACG168" s="551"/>
      <c r="ACH168" s="551"/>
      <c r="ACI168" s="551"/>
      <c r="ACJ168" s="551"/>
      <c r="ACK168" s="551"/>
      <c r="ACL168" s="551"/>
      <c r="ACM168" s="551"/>
      <c r="ACN168" s="551"/>
      <c r="ACO168" s="551"/>
      <c r="ACP168" s="551"/>
      <c r="ACQ168" s="551"/>
      <c r="ACR168" s="551"/>
      <c r="ACS168" s="551"/>
      <c r="ACT168" s="551"/>
      <c r="ACU168" s="551"/>
      <c r="ACV168" s="551"/>
      <c r="ACW168" s="551"/>
      <c r="ACX168" s="551"/>
      <c r="ACY168" s="551"/>
      <c r="ACZ168" s="551"/>
      <c r="ADA168" s="551"/>
      <c r="ADB168" s="551"/>
      <c r="ADC168" s="551"/>
      <c r="ADD168" s="551"/>
      <c r="ADE168" s="551"/>
      <c r="ADF168" s="551"/>
      <c r="ADG168" s="551"/>
      <c r="ADH168" s="551"/>
      <c r="ADI168" s="551"/>
      <c r="ADJ168" s="551"/>
      <c r="ADK168" s="551"/>
      <c r="ADL168" s="551"/>
      <c r="ADM168" s="551"/>
      <c r="ADN168" s="551"/>
      <c r="ADO168" s="551"/>
      <c r="ADP168" s="551"/>
      <c r="ADQ168" s="551"/>
      <c r="ADR168" s="551"/>
      <c r="ADS168" s="551"/>
      <c r="ADT168" s="551"/>
      <c r="ADU168" s="551"/>
      <c r="ADV168" s="551"/>
      <c r="ADW168" s="551"/>
      <c r="ADX168" s="551"/>
      <c r="ADY168" s="551"/>
      <c r="ADZ168" s="551"/>
      <c r="AEA168" s="551"/>
      <c r="AEB168" s="551"/>
      <c r="AEC168" s="551"/>
      <c r="AED168" s="551"/>
      <c r="AEE168" s="551"/>
      <c r="AEF168" s="551"/>
      <c r="AEG168" s="551"/>
      <c r="AEH168" s="551"/>
      <c r="AEI168" s="551"/>
      <c r="AEJ168" s="551"/>
      <c r="AEK168" s="551"/>
      <c r="AEL168" s="551"/>
      <c r="AEM168" s="551"/>
      <c r="AEN168" s="551"/>
      <c r="AEO168" s="551"/>
      <c r="AEP168" s="551"/>
      <c r="AEQ168" s="551"/>
      <c r="AER168" s="551"/>
      <c r="AES168" s="551"/>
      <c r="AET168" s="551"/>
      <c r="AEU168" s="551"/>
      <c r="AEV168" s="551"/>
      <c r="AEW168" s="551"/>
      <c r="AEX168" s="551"/>
      <c r="AEY168" s="551"/>
      <c r="AEZ168" s="551"/>
      <c r="AFA168" s="551"/>
      <c r="AFB168" s="551"/>
      <c r="AFC168" s="551"/>
      <c r="AFD168" s="551"/>
      <c r="AFE168" s="551"/>
      <c r="AFF168" s="551"/>
      <c r="AFG168" s="551"/>
      <c r="AFH168" s="551"/>
      <c r="AFI168" s="551"/>
      <c r="AFJ168" s="551"/>
      <c r="AFK168" s="551"/>
      <c r="AFL168" s="551"/>
      <c r="AFM168" s="551"/>
      <c r="AFN168" s="551"/>
      <c r="AFO168" s="551"/>
      <c r="AFP168" s="551"/>
      <c r="AFQ168" s="551"/>
      <c r="AFR168" s="551"/>
      <c r="AFS168" s="551"/>
      <c r="AFT168" s="551"/>
      <c r="AFU168" s="551"/>
      <c r="AFV168" s="551"/>
      <c r="AFW168" s="551"/>
      <c r="AFX168" s="551"/>
      <c r="AFY168" s="551"/>
      <c r="AFZ168" s="551"/>
      <c r="AGA168" s="551"/>
      <c r="AGB168" s="551"/>
      <c r="AGC168" s="551"/>
      <c r="AGD168" s="551"/>
      <c r="AGE168" s="551"/>
      <c r="AGF168" s="551"/>
      <c r="AGG168" s="551"/>
      <c r="AGH168" s="551"/>
      <c r="AGI168" s="551"/>
      <c r="AGJ168" s="551"/>
      <c r="AGK168" s="551"/>
      <c r="AGL168" s="551"/>
      <c r="AGM168" s="551"/>
      <c r="AGN168" s="551"/>
      <c r="AGO168" s="551"/>
      <c r="AGP168" s="551"/>
      <c r="AGQ168" s="551"/>
      <c r="AGR168" s="551"/>
      <c r="AGS168" s="551"/>
      <c r="AGT168" s="551"/>
      <c r="AGU168" s="551"/>
      <c r="AGV168" s="551"/>
      <c r="AGW168" s="551"/>
      <c r="AGX168" s="551"/>
      <c r="AGY168" s="551"/>
      <c r="AGZ168" s="551"/>
      <c r="AHA168" s="551"/>
      <c r="AHB168" s="551"/>
      <c r="AHC168" s="551"/>
      <c r="AHD168" s="551"/>
      <c r="AHE168" s="551"/>
      <c r="AHF168" s="551"/>
      <c r="AHG168" s="551"/>
      <c r="AHH168" s="551"/>
      <c r="AHI168" s="551"/>
      <c r="AHJ168" s="551"/>
      <c r="AHK168" s="551"/>
      <c r="AHL168" s="551"/>
      <c r="AHM168" s="551"/>
      <c r="AHN168" s="551"/>
      <c r="AHO168" s="551"/>
      <c r="AHP168" s="551"/>
      <c r="AHQ168" s="551"/>
      <c r="AHR168" s="551"/>
      <c r="AHS168" s="551"/>
      <c r="AHT168" s="551"/>
      <c r="AHU168" s="551"/>
      <c r="AHV168" s="551"/>
      <c r="AHW168" s="551"/>
      <c r="AHX168" s="551"/>
      <c r="AHY168" s="551"/>
      <c r="AHZ168" s="551"/>
      <c r="AIA168" s="551"/>
      <c r="AIB168" s="551"/>
      <c r="AIC168" s="551"/>
      <c r="AID168" s="551"/>
      <c r="AIE168" s="551"/>
      <c r="AIF168" s="551"/>
      <c r="AIG168" s="551"/>
      <c r="AIH168" s="551"/>
      <c r="AII168" s="551"/>
      <c r="AIJ168" s="551"/>
      <c r="AIK168" s="551"/>
      <c r="AIL168" s="551"/>
      <c r="AIM168" s="551"/>
      <c r="AIN168" s="551"/>
      <c r="AIO168" s="551"/>
      <c r="AIP168" s="551"/>
      <c r="AIQ168" s="551"/>
      <c r="AIR168" s="551"/>
      <c r="AIS168" s="551"/>
      <c r="AIT168" s="551"/>
      <c r="AIU168" s="551"/>
      <c r="AIV168" s="551"/>
      <c r="AIW168" s="551"/>
      <c r="AIX168" s="551"/>
      <c r="AIY168" s="551"/>
      <c r="AIZ168" s="551"/>
      <c r="AJA168" s="551"/>
      <c r="AJB168" s="551"/>
      <c r="AJC168" s="551"/>
      <c r="AJD168" s="551"/>
      <c r="AJE168" s="551"/>
      <c r="AJF168" s="551"/>
      <c r="AJG168" s="551"/>
      <c r="AJH168" s="551"/>
      <c r="AJI168" s="551"/>
      <c r="AJJ168" s="551"/>
      <c r="AJK168" s="551"/>
      <c r="AJL168" s="551"/>
      <c r="AJM168" s="551"/>
      <c r="AJN168" s="551"/>
      <c r="AJO168" s="551"/>
      <c r="AJP168" s="551"/>
      <c r="AJQ168" s="551"/>
      <c r="AJR168" s="551"/>
      <c r="AJS168" s="551"/>
      <c r="AJT168" s="551"/>
      <c r="AJU168" s="551"/>
      <c r="AJV168" s="551"/>
      <c r="AJW168" s="551"/>
      <c r="AJX168" s="551"/>
      <c r="AJY168" s="551"/>
      <c r="AJZ168" s="551"/>
      <c r="AKA168" s="551"/>
      <c r="AKB168" s="551"/>
      <c r="AKC168" s="551"/>
      <c r="AKD168" s="551"/>
      <c r="AKE168" s="551"/>
      <c r="AKF168" s="551"/>
      <c r="AKG168" s="551"/>
      <c r="AKH168" s="551"/>
      <c r="AKI168" s="551"/>
      <c r="AKJ168" s="551"/>
      <c r="AKK168" s="551"/>
      <c r="AKL168" s="551"/>
      <c r="AKM168" s="551"/>
      <c r="AKN168" s="551"/>
      <c r="AKO168" s="551"/>
      <c r="AKP168" s="551"/>
      <c r="AKQ168" s="551"/>
      <c r="AKR168" s="551"/>
      <c r="AKS168" s="551"/>
      <c r="AKT168" s="551"/>
      <c r="AKU168" s="551"/>
      <c r="AKV168" s="551"/>
      <c r="AKW168" s="551"/>
      <c r="AKX168" s="551"/>
      <c r="AKY168" s="551"/>
      <c r="AKZ168" s="551"/>
      <c r="ALA168" s="551"/>
      <c r="ALB168" s="551"/>
      <c r="ALC168" s="551"/>
      <c r="ALD168" s="551"/>
      <c r="ALE168" s="551"/>
      <c r="ALF168" s="551"/>
      <c r="ALG168" s="551"/>
      <c r="ALH168" s="551"/>
      <c r="ALI168" s="551"/>
      <c r="ALJ168" s="551"/>
      <c r="ALK168" s="551"/>
      <c r="ALL168" s="551"/>
      <c r="ALM168" s="551"/>
      <c r="ALN168" s="551"/>
      <c r="ALO168" s="551"/>
      <c r="ALP168" s="551"/>
      <c r="ALQ168" s="551"/>
      <c r="ALR168" s="551"/>
      <c r="ALS168" s="551"/>
      <c r="ALT168" s="551"/>
      <c r="ALU168" s="551"/>
      <c r="ALV168" s="551"/>
      <c r="ALW168" s="551"/>
      <c r="ALX168" s="551"/>
      <c r="ALY168" s="551"/>
      <c r="ALZ168" s="551"/>
      <c r="AMA168" s="551"/>
      <c r="AMB168" s="551"/>
      <c r="AMC168" s="551"/>
      <c r="AMD168" s="551"/>
      <c r="AME168" s="551"/>
      <c r="AMF168" s="551"/>
      <c r="AMG168" s="551"/>
      <c r="AMH168" s="551"/>
      <c r="AMI168" s="551"/>
      <c r="AMJ168" s="551"/>
      <c r="AMK168" s="551"/>
      <c r="AML168" s="551"/>
      <c r="AMM168" s="551"/>
    </row>
    <row r="169" spans="1:1027" ht="11.25" customHeight="1">
      <c r="A169" s="1386" t="s">
        <v>649</v>
      </c>
      <c r="B169" s="1387"/>
      <c r="C169" s="1387"/>
      <c r="D169" s="1387"/>
      <c r="E169" s="1387"/>
      <c r="F169" s="1387"/>
      <c r="G169" s="1387"/>
      <c r="H169" s="1387"/>
      <c r="I169" s="1387"/>
      <c r="J169" s="1387"/>
      <c r="K169" s="1387"/>
      <c r="L169" s="1388"/>
      <c r="M169" s="560"/>
      <c r="N169" s="280" t="s">
        <v>650</v>
      </c>
      <c r="O169" s="280"/>
      <c r="P169" s="562"/>
      <c r="Q169" s="562"/>
      <c r="R169" s="562"/>
      <c r="S169" s="562"/>
      <c r="T169" s="562"/>
      <c r="U169" s="562"/>
      <c r="V169" s="562"/>
      <c r="W169" s="562"/>
      <c r="X169" s="563"/>
      <c r="Y169" s="563"/>
      <c r="Z169" s="563"/>
      <c r="AA169" s="563"/>
      <c r="AB169" s="563"/>
      <c r="AC169" s="563"/>
      <c r="AD169" s="562"/>
      <c r="AE169" s="562"/>
      <c r="AF169" s="562"/>
      <c r="AG169" s="562"/>
      <c r="AH169" s="562"/>
      <c r="AI169" s="562"/>
      <c r="AJ169" s="560"/>
      <c r="AK169" s="560"/>
      <c r="AL169" s="560"/>
      <c r="AM169" s="279"/>
      <c r="AN169" s="556"/>
      <c r="AO169" s="556"/>
      <c r="AP169" s="556"/>
      <c r="AQ169" s="556"/>
      <c r="AR169" s="556"/>
      <c r="AS169" s="556"/>
      <c r="AT169" s="556"/>
      <c r="AU169" s="556"/>
      <c r="AV169" s="556"/>
      <c r="AW169" s="556"/>
      <c r="AX169" s="556"/>
      <c r="AY169" s="551"/>
      <c r="AZ169" s="551"/>
      <c r="BA169" s="551"/>
      <c r="BB169" s="551"/>
      <c r="BC169" s="551"/>
      <c r="BD169" s="551"/>
      <c r="BE169" s="551"/>
      <c r="BF169" s="551"/>
      <c r="BG169" s="551"/>
      <c r="BH169" s="551"/>
      <c r="BI169" s="551"/>
      <c r="BJ169" s="551"/>
      <c r="BK169" s="551"/>
      <c r="BL169" s="551"/>
      <c r="BM169" s="551"/>
      <c r="BN169" s="551"/>
      <c r="BO169" s="551"/>
      <c r="BP169" s="551"/>
      <c r="BQ169" s="551"/>
      <c r="BR169" s="551"/>
      <c r="BS169" s="551"/>
      <c r="BT169" s="551"/>
      <c r="BU169" s="551"/>
      <c r="BV169" s="551"/>
      <c r="BW169" s="551"/>
      <c r="BX169" s="551"/>
      <c r="BY169" s="551"/>
      <c r="BZ169" s="551"/>
      <c r="CA169" s="551"/>
      <c r="CB169" s="551"/>
      <c r="CC169" s="551"/>
      <c r="CD169" s="551"/>
      <c r="CE169" s="551"/>
      <c r="CF169" s="551"/>
      <c r="CG169" s="551"/>
      <c r="CH169" s="551"/>
      <c r="CI169" s="551"/>
      <c r="CJ169" s="551"/>
      <c r="CK169" s="551"/>
      <c r="CL169" s="551"/>
      <c r="CM169" s="551"/>
      <c r="CN169" s="551"/>
      <c r="CO169" s="551"/>
      <c r="CP169" s="551"/>
      <c r="CQ169" s="551"/>
      <c r="CR169" s="551"/>
      <c r="CS169" s="551"/>
      <c r="CT169" s="551"/>
      <c r="CU169" s="551"/>
      <c r="CV169" s="551"/>
      <c r="CW169" s="551"/>
      <c r="CX169" s="551"/>
      <c r="CY169" s="551"/>
      <c r="CZ169" s="551"/>
      <c r="DA169" s="551"/>
      <c r="DB169" s="551"/>
      <c r="DC169" s="551"/>
      <c r="DD169" s="551"/>
      <c r="DE169" s="551"/>
      <c r="DF169" s="551"/>
      <c r="DG169" s="551"/>
      <c r="DH169" s="551"/>
      <c r="DI169" s="551"/>
      <c r="DJ169" s="551"/>
      <c r="DK169" s="551"/>
      <c r="DL169" s="551"/>
      <c r="DM169" s="551"/>
      <c r="DN169" s="551"/>
      <c r="DO169" s="551"/>
      <c r="DP169" s="551"/>
      <c r="DQ169" s="551"/>
      <c r="DR169" s="551"/>
      <c r="DS169" s="551"/>
      <c r="DT169" s="551"/>
      <c r="DU169" s="551"/>
      <c r="DV169" s="551"/>
      <c r="DW169" s="551"/>
      <c r="DX169" s="551"/>
      <c r="DY169" s="551"/>
      <c r="DZ169" s="551"/>
      <c r="EA169" s="551"/>
      <c r="EB169" s="551"/>
      <c r="EC169" s="551"/>
      <c r="ED169" s="551"/>
      <c r="EE169" s="551"/>
      <c r="EF169" s="551"/>
      <c r="EG169" s="551"/>
      <c r="EH169" s="551"/>
      <c r="EI169" s="551"/>
      <c r="EJ169" s="551"/>
      <c r="EK169" s="551"/>
      <c r="EL169" s="551"/>
      <c r="EM169" s="551"/>
      <c r="EN169" s="551"/>
      <c r="EO169" s="551"/>
      <c r="EP169" s="551"/>
      <c r="EQ169" s="551"/>
      <c r="ER169" s="551"/>
      <c r="ES169" s="551"/>
      <c r="ET169" s="551"/>
      <c r="EU169" s="551"/>
      <c r="EV169" s="551"/>
      <c r="EW169" s="551"/>
      <c r="EX169" s="551"/>
      <c r="EY169" s="551"/>
      <c r="EZ169" s="551"/>
      <c r="FA169" s="551"/>
      <c r="FB169" s="551"/>
      <c r="FC169" s="551"/>
      <c r="FD169" s="551"/>
      <c r="FE169" s="551"/>
      <c r="FF169" s="551"/>
      <c r="FG169" s="551"/>
      <c r="FH169" s="551"/>
      <c r="FI169" s="551"/>
      <c r="FJ169" s="551"/>
      <c r="FK169" s="551"/>
      <c r="FL169" s="551"/>
      <c r="FM169" s="551"/>
      <c r="FN169" s="551"/>
      <c r="FO169" s="551"/>
      <c r="FP169" s="551"/>
      <c r="FQ169" s="551"/>
      <c r="FR169" s="551"/>
      <c r="FS169" s="551"/>
      <c r="FT169" s="551"/>
      <c r="FU169" s="551"/>
      <c r="FV169" s="551"/>
      <c r="FW169" s="551"/>
      <c r="FX169" s="551"/>
      <c r="FY169" s="551"/>
      <c r="FZ169" s="551"/>
      <c r="GA169" s="551"/>
      <c r="GB169" s="551"/>
      <c r="GC169" s="551"/>
      <c r="GD169" s="551"/>
      <c r="GE169" s="551"/>
      <c r="GF169" s="551"/>
      <c r="GG169" s="551"/>
      <c r="GH169" s="551"/>
      <c r="GI169" s="551"/>
      <c r="GJ169" s="551"/>
      <c r="GK169" s="551"/>
      <c r="GL169" s="551"/>
      <c r="GM169" s="551"/>
      <c r="GN169" s="551"/>
      <c r="GO169" s="551"/>
      <c r="GP169" s="551"/>
      <c r="GQ169" s="551"/>
      <c r="GR169" s="551"/>
      <c r="GS169" s="551"/>
      <c r="GT169" s="551"/>
      <c r="GU169" s="551"/>
      <c r="GV169" s="551"/>
      <c r="GW169" s="551"/>
      <c r="GX169" s="551"/>
      <c r="GY169" s="551"/>
      <c r="GZ169" s="551"/>
      <c r="HA169" s="551"/>
      <c r="HB169" s="551"/>
      <c r="HC169" s="551"/>
      <c r="HD169" s="551"/>
      <c r="HE169" s="551"/>
      <c r="HF169" s="551"/>
      <c r="HG169" s="551"/>
      <c r="HH169" s="551"/>
      <c r="HI169" s="551"/>
      <c r="HJ169" s="551"/>
      <c r="HK169" s="551"/>
      <c r="HL169" s="551"/>
      <c r="HM169" s="551"/>
      <c r="HN169" s="551"/>
      <c r="HO169" s="551"/>
      <c r="HP169" s="551"/>
      <c r="HQ169" s="551"/>
      <c r="HR169" s="551"/>
      <c r="HS169" s="551"/>
      <c r="HT169" s="551"/>
      <c r="HU169" s="551"/>
      <c r="HV169" s="551"/>
      <c r="HW169" s="551"/>
      <c r="HX169" s="551"/>
      <c r="HY169" s="551"/>
      <c r="HZ169" s="551"/>
      <c r="IA169" s="551"/>
      <c r="IB169" s="551"/>
      <c r="IC169" s="551"/>
      <c r="ID169" s="551"/>
      <c r="IE169" s="551"/>
      <c r="IF169" s="551"/>
      <c r="IG169" s="551"/>
      <c r="IH169" s="551"/>
      <c r="II169" s="551"/>
      <c r="IJ169" s="551"/>
      <c r="IK169" s="551"/>
      <c r="IL169" s="551"/>
      <c r="IM169" s="551"/>
      <c r="IN169" s="551"/>
      <c r="IO169" s="551"/>
      <c r="IP169" s="551"/>
      <c r="IQ169" s="551"/>
      <c r="IR169" s="551"/>
      <c r="IS169" s="551"/>
      <c r="IT169" s="551"/>
      <c r="IU169" s="551"/>
      <c r="IV169" s="551"/>
      <c r="IW169" s="551"/>
      <c r="IX169" s="551"/>
      <c r="IY169" s="551"/>
      <c r="IZ169" s="551"/>
      <c r="JA169" s="551"/>
      <c r="JB169" s="551"/>
      <c r="JC169" s="551"/>
      <c r="JD169" s="551"/>
      <c r="JE169" s="551"/>
      <c r="JF169" s="551"/>
      <c r="JG169" s="551"/>
      <c r="JH169" s="551"/>
      <c r="JI169" s="551"/>
      <c r="JJ169" s="551"/>
      <c r="JK169" s="551"/>
      <c r="JL169" s="551"/>
      <c r="JM169" s="551"/>
      <c r="JN169" s="551"/>
      <c r="JO169" s="551"/>
      <c r="JP169" s="551"/>
      <c r="JQ169" s="551"/>
      <c r="JR169" s="551"/>
      <c r="JS169" s="551"/>
      <c r="JT169" s="551"/>
      <c r="JU169" s="551"/>
      <c r="JV169" s="551"/>
      <c r="JW169" s="551"/>
      <c r="JX169" s="551"/>
      <c r="JY169" s="551"/>
      <c r="JZ169" s="551"/>
      <c r="KA169" s="551"/>
      <c r="KB169" s="551"/>
      <c r="KC169" s="551"/>
      <c r="KD169" s="551"/>
      <c r="KE169" s="551"/>
      <c r="KF169" s="551"/>
      <c r="KG169" s="551"/>
      <c r="KH169" s="551"/>
      <c r="KI169" s="551"/>
      <c r="KJ169" s="551"/>
      <c r="KK169" s="551"/>
      <c r="KL169" s="551"/>
      <c r="KM169" s="551"/>
      <c r="KN169" s="551"/>
      <c r="KO169" s="551"/>
      <c r="KP169" s="551"/>
      <c r="KQ169" s="551"/>
      <c r="KR169" s="551"/>
      <c r="KS169" s="551"/>
      <c r="KT169" s="551"/>
      <c r="KU169" s="551"/>
      <c r="KV169" s="551"/>
      <c r="KW169" s="551"/>
      <c r="KX169" s="551"/>
      <c r="KY169" s="551"/>
      <c r="KZ169" s="551"/>
      <c r="LA169" s="551"/>
      <c r="LB169" s="551"/>
      <c r="LC169" s="551"/>
      <c r="LD169" s="551"/>
      <c r="LE169" s="551"/>
      <c r="LF169" s="551"/>
      <c r="LG169" s="551"/>
      <c r="LH169" s="551"/>
      <c r="LI169" s="551"/>
      <c r="LJ169" s="551"/>
      <c r="LK169" s="551"/>
      <c r="LL169" s="551"/>
      <c r="LM169" s="551"/>
      <c r="LN169" s="551"/>
      <c r="LO169" s="551"/>
      <c r="LP169" s="551"/>
      <c r="LQ169" s="551"/>
      <c r="LR169" s="551"/>
      <c r="LS169" s="551"/>
      <c r="LT169" s="551"/>
      <c r="LU169" s="551"/>
      <c r="LV169" s="551"/>
      <c r="LW169" s="551"/>
      <c r="LX169" s="551"/>
      <c r="LY169" s="551"/>
      <c r="LZ169" s="551"/>
      <c r="MA169" s="551"/>
      <c r="MB169" s="551"/>
      <c r="MC169" s="551"/>
      <c r="MD169" s="551"/>
      <c r="ME169" s="551"/>
      <c r="MF169" s="551"/>
      <c r="MG169" s="551"/>
      <c r="MH169" s="551"/>
      <c r="MI169" s="551"/>
      <c r="MJ169" s="551"/>
      <c r="MK169" s="551"/>
      <c r="ML169" s="551"/>
      <c r="MM169" s="551"/>
      <c r="MN169" s="551"/>
      <c r="MO169" s="551"/>
      <c r="MP169" s="551"/>
      <c r="MQ169" s="551"/>
      <c r="MR169" s="551"/>
      <c r="MS169" s="551"/>
      <c r="MT169" s="551"/>
      <c r="MU169" s="551"/>
      <c r="MV169" s="551"/>
      <c r="MW169" s="551"/>
      <c r="MX169" s="551"/>
      <c r="MY169" s="551"/>
      <c r="MZ169" s="551"/>
      <c r="NA169" s="551"/>
      <c r="NB169" s="551"/>
      <c r="NC169" s="551"/>
      <c r="ND169" s="551"/>
      <c r="NE169" s="551"/>
      <c r="NF169" s="551"/>
      <c r="NG169" s="551"/>
      <c r="NH169" s="551"/>
      <c r="NI169" s="551"/>
      <c r="NJ169" s="551"/>
      <c r="NK169" s="551"/>
      <c r="NL169" s="551"/>
      <c r="NM169" s="551"/>
      <c r="NN169" s="551"/>
      <c r="NO169" s="551"/>
      <c r="NP169" s="551"/>
      <c r="NQ169" s="551"/>
      <c r="NR169" s="551"/>
      <c r="NS169" s="551"/>
      <c r="NT169" s="551"/>
      <c r="NU169" s="551"/>
      <c r="NV169" s="551"/>
      <c r="NW169" s="551"/>
      <c r="NX169" s="551"/>
      <c r="NY169" s="551"/>
      <c r="NZ169" s="551"/>
      <c r="OA169" s="551"/>
      <c r="OB169" s="551"/>
      <c r="OC169" s="551"/>
      <c r="OD169" s="551"/>
      <c r="OE169" s="551"/>
      <c r="OF169" s="551"/>
      <c r="OG169" s="551"/>
      <c r="OH169" s="551"/>
      <c r="OI169" s="551"/>
      <c r="OJ169" s="551"/>
      <c r="OK169" s="551"/>
      <c r="OL169" s="551"/>
      <c r="OM169" s="551"/>
      <c r="ON169" s="551"/>
      <c r="OO169" s="551"/>
      <c r="OP169" s="551"/>
      <c r="OQ169" s="551"/>
      <c r="OR169" s="551"/>
      <c r="OS169" s="551"/>
      <c r="OT169" s="551"/>
      <c r="OU169" s="551"/>
      <c r="OV169" s="551"/>
      <c r="OW169" s="551"/>
      <c r="OX169" s="551"/>
      <c r="OY169" s="551"/>
      <c r="OZ169" s="551"/>
      <c r="PA169" s="551"/>
      <c r="PB169" s="551"/>
      <c r="PC169" s="551"/>
      <c r="PD169" s="551"/>
      <c r="PE169" s="551"/>
      <c r="PF169" s="551"/>
      <c r="PG169" s="551"/>
      <c r="PH169" s="551"/>
      <c r="PI169" s="551"/>
      <c r="PJ169" s="551"/>
      <c r="PK169" s="551"/>
      <c r="PL169" s="551"/>
      <c r="PM169" s="551"/>
      <c r="PN169" s="551"/>
      <c r="PO169" s="551"/>
      <c r="PP169" s="551"/>
      <c r="PQ169" s="551"/>
      <c r="PR169" s="551"/>
      <c r="PS169" s="551"/>
      <c r="PT169" s="551"/>
      <c r="PU169" s="551"/>
      <c r="PV169" s="551"/>
      <c r="PW169" s="551"/>
      <c r="PX169" s="551"/>
      <c r="PY169" s="551"/>
      <c r="PZ169" s="551"/>
      <c r="QA169" s="551"/>
      <c r="QB169" s="551"/>
      <c r="QC169" s="551"/>
      <c r="QD169" s="551"/>
      <c r="QE169" s="551"/>
      <c r="QF169" s="551"/>
      <c r="QG169" s="551"/>
      <c r="QH169" s="551"/>
      <c r="QI169" s="551"/>
      <c r="QJ169" s="551"/>
      <c r="QK169" s="551"/>
      <c r="QL169" s="551"/>
      <c r="QM169" s="551"/>
      <c r="QN169" s="551"/>
      <c r="QO169" s="551"/>
      <c r="QP169" s="551"/>
      <c r="QQ169" s="551"/>
      <c r="QR169" s="551"/>
      <c r="QS169" s="551"/>
      <c r="QT169" s="551"/>
      <c r="QU169" s="551"/>
      <c r="QV169" s="551"/>
      <c r="QW169" s="551"/>
      <c r="QX169" s="551"/>
      <c r="QY169" s="551"/>
      <c r="QZ169" s="551"/>
      <c r="RA169" s="551"/>
      <c r="RB169" s="551"/>
      <c r="RC169" s="551"/>
      <c r="RD169" s="551"/>
      <c r="RE169" s="551"/>
      <c r="RF169" s="551"/>
      <c r="RG169" s="551"/>
      <c r="RH169" s="551"/>
      <c r="RI169" s="551"/>
      <c r="RJ169" s="551"/>
      <c r="RK169" s="551"/>
      <c r="RL169" s="551"/>
      <c r="RM169" s="551"/>
      <c r="RN169" s="551"/>
      <c r="RO169" s="551"/>
      <c r="RP169" s="551"/>
      <c r="RQ169" s="551"/>
      <c r="RR169" s="551"/>
      <c r="RS169" s="551"/>
      <c r="RT169" s="551"/>
      <c r="RU169" s="551"/>
      <c r="RV169" s="551"/>
      <c r="RW169" s="551"/>
      <c r="RX169" s="551"/>
      <c r="RY169" s="551"/>
      <c r="RZ169" s="551"/>
      <c r="SA169" s="551"/>
      <c r="SB169" s="551"/>
      <c r="SC169" s="551"/>
      <c r="SD169" s="551"/>
      <c r="SE169" s="551"/>
      <c r="SF169" s="551"/>
      <c r="SG169" s="551"/>
      <c r="SH169" s="551"/>
      <c r="SI169" s="551"/>
      <c r="SJ169" s="551"/>
      <c r="SK169" s="551"/>
      <c r="SL169" s="551"/>
      <c r="SM169" s="551"/>
      <c r="SN169" s="551"/>
      <c r="SO169" s="551"/>
      <c r="SP169" s="551"/>
      <c r="SQ169" s="551"/>
      <c r="SR169" s="551"/>
      <c r="SS169" s="551"/>
      <c r="ST169" s="551"/>
      <c r="SU169" s="551"/>
      <c r="SV169" s="551"/>
      <c r="SW169" s="551"/>
      <c r="SX169" s="551"/>
      <c r="SY169" s="551"/>
      <c r="SZ169" s="551"/>
      <c r="TA169" s="551"/>
      <c r="TB169" s="551"/>
      <c r="TC169" s="551"/>
      <c r="TD169" s="551"/>
      <c r="TE169" s="551"/>
      <c r="TF169" s="551"/>
      <c r="TG169" s="551"/>
      <c r="TH169" s="551"/>
      <c r="TI169" s="551"/>
      <c r="TJ169" s="551"/>
      <c r="TK169" s="551"/>
      <c r="TL169" s="551"/>
      <c r="TM169" s="551"/>
      <c r="TN169" s="551"/>
      <c r="TO169" s="551"/>
      <c r="TP169" s="551"/>
      <c r="TQ169" s="551"/>
      <c r="TR169" s="551"/>
      <c r="TS169" s="551"/>
      <c r="TT169" s="551"/>
      <c r="TU169" s="551"/>
      <c r="TV169" s="551"/>
      <c r="TW169" s="551"/>
      <c r="TX169" s="551"/>
      <c r="TY169" s="551"/>
      <c r="TZ169" s="551"/>
      <c r="UA169" s="551"/>
      <c r="UB169" s="551"/>
      <c r="UC169" s="551"/>
      <c r="UD169" s="551"/>
      <c r="UE169" s="551"/>
      <c r="UF169" s="551"/>
      <c r="UG169" s="551"/>
      <c r="UH169" s="551"/>
      <c r="UI169" s="551"/>
      <c r="UJ169" s="551"/>
      <c r="UK169" s="551"/>
      <c r="UL169" s="551"/>
      <c r="UM169" s="551"/>
      <c r="UN169" s="551"/>
      <c r="UO169" s="551"/>
      <c r="UP169" s="551"/>
      <c r="UQ169" s="551"/>
      <c r="UR169" s="551"/>
      <c r="US169" s="551"/>
      <c r="UT169" s="551"/>
      <c r="UU169" s="551"/>
      <c r="UV169" s="551"/>
      <c r="UW169" s="551"/>
      <c r="UX169" s="551"/>
      <c r="UY169" s="551"/>
      <c r="UZ169" s="551"/>
      <c r="VA169" s="551"/>
      <c r="VB169" s="551"/>
      <c r="VC169" s="551"/>
      <c r="VD169" s="551"/>
      <c r="VE169" s="551"/>
      <c r="VF169" s="551"/>
      <c r="VG169" s="551"/>
      <c r="VH169" s="551"/>
      <c r="VI169" s="551"/>
      <c r="VJ169" s="551"/>
      <c r="VK169" s="551"/>
      <c r="VL169" s="551"/>
      <c r="VM169" s="551"/>
      <c r="VN169" s="551"/>
      <c r="VO169" s="551"/>
      <c r="VP169" s="551"/>
      <c r="VQ169" s="551"/>
      <c r="VR169" s="551"/>
      <c r="VS169" s="551"/>
      <c r="VT169" s="551"/>
      <c r="VU169" s="551"/>
      <c r="VV169" s="551"/>
      <c r="VW169" s="551"/>
      <c r="VX169" s="551"/>
      <c r="VY169" s="551"/>
      <c r="VZ169" s="551"/>
      <c r="WA169" s="551"/>
      <c r="WB169" s="551"/>
      <c r="WC169" s="551"/>
      <c r="WD169" s="551"/>
      <c r="WE169" s="551"/>
      <c r="WF169" s="551"/>
      <c r="WG169" s="551"/>
      <c r="WH169" s="551"/>
      <c r="WI169" s="551"/>
      <c r="WJ169" s="551"/>
      <c r="WK169" s="551"/>
      <c r="WL169" s="551"/>
      <c r="WM169" s="551"/>
      <c r="WN169" s="551"/>
      <c r="WO169" s="551"/>
      <c r="WP169" s="551"/>
      <c r="WQ169" s="551"/>
      <c r="WR169" s="551"/>
      <c r="WS169" s="551"/>
      <c r="WT169" s="551"/>
      <c r="WU169" s="551"/>
      <c r="WV169" s="551"/>
      <c r="WW169" s="551"/>
      <c r="WX169" s="551"/>
      <c r="WY169" s="551"/>
      <c r="WZ169" s="551"/>
      <c r="XA169" s="551"/>
      <c r="XB169" s="551"/>
      <c r="XC169" s="551"/>
      <c r="XD169" s="551"/>
      <c r="XE169" s="551"/>
      <c r="XF169" s="551"/>
      <c r="XG169" s="551"/>
      <c r="XH169" s="551"/>
      <c r="XI169" s="551"/>
      <c r="XJ169" s="551"/>
      <c r="XK169" s="551"/>
      <c r="XL169" s="551"/>
      <c r="XM169" s="551"/>
      <c r="XN169" s="551"/>
      <c r="XO169" s="551"/>
      <c r="XP169" s="551"/>
      <c r="XQ169" s="551"/>
      <c r="XR169" s="551"/>
      <c r="XS169" s="551"/>
      <c r="XT169" s="551"/>
      <c r="XU169" s="551"/>
      <c r="XV169" s="551"/>
      <c r="XW169" s="551"/>
      <c r="XX169" s="551"/>
      <c r="XY169" s="551"/>
      <c r="XZ169" s="551"/>
      <c r="YA169" s="551"/>
      <c r="YB169" s="551"/>
      <c r="YC169" s="551"/>
      <c r="YD169" s="551"/>
      <c r="YE169" s="551"/>
      <c r="YF169" s="551"/>
      <c r="YG169" s="551"/>
      <c r="YH169" s="551"/>
      <c r="YI169" s="551"/>
      <c r="YJ169" s="551"/>
      <c r="YK169" s="551"/>
      <c r="YL169" s="551"/>
      <c r="YM169" s="551"/>
      <c r="YN169" s="551"/>
      <c r="YO169" s="551"/>
      <c r="YP169" s="551"/>
      <c r="YQ169" s="551"/>
      <c r="YR169" s="551"/>
      <c r="YS169" s="551"/>
      <c r="YT169" s="551"/>
      <c r="YU169" s="551"/>
      <c r="YV169" s="551"/>
      <c r="YW169" s="551"/>
      <c r="YX169" s="551"/>
      <c r="YY169" s="551"/>
      <c r="YZ169" s="551"/>
      <c r="ZA169" s="551"/>
      <c r="ZB169" s="551"/>
      <c r="ZC169" s="551"/>
      <c r="ZD169" s="551"/>
      <c r="ZE169" s="551"/>
      <c r="ZF169" s="551"/>
      <c r="ZG169" s="551"/>
      <c r="ZH169" s="551"/>
      <c r="ZI169" s="551"/>
      <c r="ZJ169" s="551"/>
      <c r="ZK169" s="551"/>
      <c r="ZL169" s="551"/>
      <c r="ZM169" s="551"/>
      <c r="ZN169" s="551"/>
      <c r="ZO169" s="551"/>
      <c r="ZP169" s="551"/>
      <c r="ZQ169" s="551"/>
      <c r="ZR169" s="551"/>
      <c r="ZS169" s="551"/>
      <c r="ZT169" s="551"/>
      <c r="ZU169" s="551"/>
      <c r="ZV169" s="551"/>
      <c r="ZW169" s="551"/>
      <c r="ZX169" s="551"/>
      <c r="ZY169" s="551"/>
      <c r="ZZ169" s="551"/>
      <c r="AAA169" s="551"/>
      <c r="AAB169" s="551"/>
      <c r="AAC169" s="551"/>
      <c r="AAD169" s="551"/>
      <c r="AAE169" s="551"/>
      <c r="AAF169" s="551"/>
      <c r="AAG169" s="551"/>
      <c r="AAH169" s="551"/>
      <c r="AAI169" s="551"/>
      <c r="AAJ169" s="551"/>
      <c r="AAK169" s="551"/>
      <c r="AAL169" s="551"/>
      <c r="AAM169" s="551"/>
      <c r="AAN169" s="551"/>
      <c r="AAO169" s="551"/>
      <c r="AAP169" s="551"/>
      <c r="AAQ169" s="551"/>
      <c r="AAR169" s="551"/>
      <c r="AAS169" s="551"/>
      <c r="AAT169" s="551"/>
      <c r="AAU169" s="551"/>
      <c r="AAV169" s="551"/>
      <c r="AAW169" s="551"/>
      <c r="AAX169" s="551"/>
      <c r="AAY169" s="551"/>
      <c r="AAZ169" s="551"/>
      <c r="ABA169" s="551"/>
      <c r="ABB169" s="551"/>
      <c r="ABC169" s="551"/>
      <c r="ABD169" s="551"/>
      <c r="ABE169" s="551"/>
      <c r="ABF169" s="551"/>
      <c r="ABG169" s="551"/>
      <c r="ABH169" s="551"/>
      <c r="ABI169" s="551"/>
      <c r="ABJ169" s="551"/>
      <c r="ABK169" s="551"/>
      <c r="ABL169" s="551"/>
      <c r="ABM169" s="551"/>
      <c r="ABN169" s="551"/>
      <c r="ABO169" s="551"/>
      <c r="ABP169" s="551"/>
      <c r="ABQ169" s="551"/>
      <c r="ABR169" s="551"/>
      <c r="ABS169" s="551"/>
      <c r="ABT169" s="551"/>
      <c r="ABU169" s="551"/>
      <c r="ABV169" s="551"/>
      <c r="ABW169" s="551"/>
      <c r="ABX169" s="551"/>
      <c r="ABY169" s="551"/>
      <c r="ABZ169" s="551"/>
      <c r="ACA169" s="551"/>
      <c r="ACB169" s="551"/>
      <c r="ACC169" s="551"/>
      <c r="ACD169" s="551"/>
      <c r="ACE169" s="551"/>
      <c r="ACF169" s="551"/>
      <c r="ACG169" s="551"/>
      <c r="ACH169" s="551"/>
      <c r="ACI169" s="551"/>
      <c r="ACJ169" s="551"/>
      <c r="ACK169" s="551"/>
      <c r="ACL169" s="551"/>
      <c r="ACM169" s="551"/>
      <c r="ACN169" s="551"/>
      <c r="ACO169" s="551"/>
      <c r="ACP169" s="551"/>
      <c r="ACQ169" s="551"/>
      <c r="ACR169" s="551"/>
      <c r="ACS169" s="551"/>
      <c r="ACT169" s="551"/>
      <c r="ACU169" s="551"/>
      <c r="ACV169" s="551"/>
      <c r="ACW169" s="551"/>
      <c r="ACX169" s="551"/>
      <c r="ACY169" s="551"/>
      <c r="ACZ169" s="551"/>
      <c r="ADA169" s="551"/>
      <c r="ADB169" s="551"/>
      <c r="ADC169" s="551"/>
      <c r="ADD169" s="551"/>
      <c r="ADE169" s="551"/>
      <c r="ADF169" s="551"/>
      <c r="ADG169" s="551"/>
      <c r="ADH169" s="551"/>
      <c r="ADI169" s="551"/>
      <c r="ADJ169" s="551"/>
      <c r="ADK169" s="551"/>
      <c r="ADL169" s="551"/>
      <c r="ADM169" s="551"/>
      <c r="ADN169" s="551"/>
      <c r="ADO169" s="551"/>
      <c r="ADP169" s="551"/>
      <c r="ADQ169" s="551"/>
      <c r="ADR169" s="551"/>
      <c r="ADS169" s="551"/>
      <c r="ADT169" s="551"/>
      <c r="ADU169" s="551"/>
      <c r="ADV169" s="551"/>
      <c r="ADW169" s="551"/>
      <c r="ADX169" s="551"/>
      <c r="ADY169" s="551"/>
      <c r="ADZ169" s="551"/>
      <c r="AEA169" s="551"/>
      <c r="AEB169" s="551"/>
      <c r="AEC169" s="551"/>
      <c r="AED169" s="551"/>
      <c r="AEE169" s="551"/>
      <c r="AEF169" s="551"/>
      <c r="AEG169" s="551"/>
      <c r="AEH169" s="551"/>
      <c r="AEI169" s="551"/>
      <c r="AEJ169" s="551"/>
      <c r="AEK169" s="551"/>
      <c r="AEL169" s="551"/>
      <c r="AEM169" s="551"/>
      <c r="AEN169" s="551"/>
      <c r="AEO169" s="551"/>
      <c r="AEP169" s="551"/>
      <c r="AEQ169" s="551"/>
      <c r="AER169" s="551"/>
      <c r="AES169" s="551"/>
      <c r="AET169" s="551"/>
      <c r="AEU169" s="551"/>
      <c r="AEV169" s="551"/>
      <c r="AEW169" s="551"/>
      <c r="AEX169" s="551"/>
      <c r="AEY169" s="551"/>
      <c r="AEZ169" s="551"/>
      <c r="AFA169" s="551"/>
      <c r="AFB169" s="551"/>
      <c r="AFC169" s="551"/>
      <c r="AFD169" s="551"/>
      <c r="AFE169" s="551"/>
      <c r="AFF169" s="551"/>
      <c r="AFG169" s="551"/>
      <c r="AFH169" s="551"/>
      <c r="AFI169" s="551"/>
      <c r="AFJ169" s="551"/>
      <c r="AFK169" s="551"/>
      <c r="AFL169" s="551"/>
      <c r="AFM169" s="551"/>
      <c r="AFN169" s="551"/>
      <c r="AFO169" s="551"/>
      <c r="AFP169" s="551"/>
      <c r="AFQ169" s="551"/>
      <c r="AFR169" s="551"/>
      <c r="AFS169" s="551"/>
      <c r="AFT169" s="551"/>
      <c r="AFU169" s="551"/>
      <c r="AFV169" s="551"/>
      <c r="AFW169" s="551"/>
      <c r="AFX169" s="551"/>
      <c r="AFY169" s="551"/>
      <c r="AFZ169" s="551"/>
      <c r="AGA169" s="551"/>
      <c r="AGB169" s="551"/>
      <c r="AGC169" s="551"/>
      <c r="AGD169" s="551"/>
      <c r="AGE169" s="551"/>
      <c r="AGF169" s="551"/>
      <c r="AGG169" s="551"/>
      <c r="AGH169" s="551"/>
      <c r="AGI169" s="551"/>
      <c r="AGJ169" s="551"/>
      <c r="AGK169" s="551"/>
      <c r="AGL169" s="551"/>
      <c r="AGM169" s="551"/>
      <c r="AGN169" s="551"/>
      <c r="AGO169" s="551"/>
      <c r="AGP169" s="551"/>
      <c r="AGQ169" s="551"/>
      <c r="AGR169" s="551"/>
      <c r="AGS169" s="551"/>
      <c r="AGT169" s="551"/>
      <c r="AGU169" s="551"/>
      <c r="AGV169" s="551"/>
      <c r="AGW169" s="551"/>
      <c r="AGX169" s="551"/>
      <c r="AGY169" s="551"/>
      <c r="AGZ169" s="551"/>
      <c r="AHA169" s="551"/>
      <c r="AHB169" s="551"/>
      <c r="AHC169" s="551"/>
      <c r="AHD169" s="551"/>
      <c r="AHE169" s="551"/>
      <c r="AHF169" s="551"/>
      <c r="AHG169" s="551"/>
      <c r="AHH169" s="551"/>
      <c r="AHI169" s="551"/>
      <c r="AHJ169" s="551"/>
      <c r="AHK169" s="551"/>
      <c r="AHL169" s="551"/>
      <c r="AHM169" s="551"/>
      <c r="AHN169" s="551"/>
      <c r="AHO169" s="551"/>
      <c r="AHP169" s="551"/>
      <c r="AHQ169" s="551"/>
      <c r="AHR169" s="551"/>
      <c r="AHS169" s="551"/>
      <c r="AHT169" s="551"/>
      <c r="AHU169" s="551"/>
      <c r="AHV169" s="551"/>
      <c r="AHW169" s="551"/>
      <c r="AHX169" s="551"/>
      <c r="AHY169" s="551"/>
      <c r="AHZ169" s="551"/>
      <c r="AIA169" s="551"/>
      <c r="AIB169" s="551"/>
      <c r="AIC169" s="551"/>
      <c r="AID169" s="551"/>
      <c r="AIE169" s="551"/>
      <c r="AIF169" s="551"/>
      <c r="AIG169" s="551"/>
      <c r="AIH169" s="551"/>
      <c r="AII169" s="551"/>
      <c r="AIJ169" s="551"/>
      <c r="AIK169" s="551"/>
      <c r="AIL169" s="551"/>
      <c r="AIM169" s="551"/>
      <c r="AIN169" s="551"/>
      <c r="AIO169" s="551"/>
      <c r="AIP169" s="551"/>
      <c r="AIQ169" s="551"/>
      <c r="AIR169" s="551"/>
      <c r="AIS169" s="551"/>
      <c r="AIT169" s="551"/>
      <c r="AIU169" s="551"/>
      <c r="AIV169" s="551"/>
      <c r="AIW169" s="551"/>
      <c r="AIX169" s="551"/>
      <c r="AIY169" s="551"/>
      <c r="AIZ169" s="551"/>
      <c r="AJA169" s="551"/>
      <c r="AJB169" s="551"/>
      <c r="AJC169" s="551"/>
      <c r="AJD169" s="551"/>
      <c r="AJE169" s="551"/>
      <c r="AJF169" s="551"/>
      <c r="AJG169" s="551"/>
      <c r="AJH169" s="551"/>
      <c r="AJI169" s="551"/>
      <c r="AJJ169" s="551"/>
      <c r="AJK169" s="551"/>
      <c r="AJL169" s="551"/>
      <c r="AJM169" s="551"/>
      <c r="AJN169" s="551"/>
      <c r="AJO169" s="551"/>
      <c r="AJP169" s="551"/>
      <c r="AJQ169" s="551"/>
      <c r="AJR169" s="551"/>
      <c r="AJS169" s="551"/>
      <c r="AJT169" s="551"/>
      <c r="AJU169" s="551"/>
      <c r="AJV169" s="551"/>
      <c r="AJW169" s="551"/>
      <c r="AJX169" s="551"/>
      <c r="AJY169" s="551"/>
      <c r="AJZ169" s="551"/>
      <c r="AKA169" s="551"/>
      <c r="AKB169" s="551"/>
      <c r="AKC169" s="551"/>
      <c r="AKD169" s="551"/>
      <c r="AKE169" s="551"/>
      <c r="AKF169" s="551"/>
      <c r="AKG169" s="551"/>
      <c r="AKH169" s="551"/>
      <c r="AKI169" s="551"/>
      <c r="AKJ169" s="551"/>
      <c r="AKK169" s="551"/>
      <c r="AKL169" s="551"/>
      <c r="AKM169" s="551"/>
      <c r="AKN169" s="551"/>
      <c r="AKO169" s="551"/>
      <c r="AKP169" s="551"/>
      <c r="AKQ169" s="551"/>
      <c r="AKR169" s="551"/>
      <c r="AKS169" s="551"/>
      <c r="AKT169" s="551"/>
      <c r="AKU169" s="551"/>
      <c r="AKV169" s="551"/>
      <c r="AKW169" s="551"/>
      <c r="AKX169" s="551"/>
      <c r="AKY169" s="551"/>
      <c r="AKZ169" s="551"/>
      <c r="ALA169" s="551"/>
      <c r="ALB169" s="551"/>
      <c r="ALC169" s="551"/>
      <c r="ALD169" s="551"/>
      <c r="ALE169" s="551"/>
      <c r="ALF169" s="551"/>
      <c r="ALG169" s="551"/>
      <c r="ALH169" s="551"/>
      <c r="ALI169" s="551"/>
      <c r="ALJ169" s="551"/>
      <c r="ALK169" s="551"/>
      <c r="ALL169" s="551"/>
      <c r="ALM169" s="551"/>
      <c r="ALN169" s="551"/>
      <c r="ALO169" s="551"/>
      <c r="ALP169" s="551"/>
      <c r="ALQ169" s="551"/>
      <c r="ALR169" s="551"/>
      <c r="ALS169" s="551"/>
      <c r="ALT169" s="551"/>
      <c r="ALU169" s="551"/>
      <c r="ALV169" s="551"/>
      <c r="ALW169" s="551"/>
      <c r="ALX169" s="551"/>
      <c r="ALY169" s="551"/>
      <c r="ALZ169" s="551"/>
      <c r="AMA169" s="551"/>
      <c r="AMB169" s="551"/>
      <c r="AMC169" s="551"/>
      <c r="AMD169" s="551"/>
      <c r="AME169" s="551"/>
      <c r="AMF169" s="551"/>
      <c r="AMG169" s="551"/>
      <c r="AMH169" s="551"/>
      <c r="AMI169" s="551"/>
      <c r="AMJ169" s="551"/>
      <c r="AMK169" s="551"/>
      <c r="AML169" s="551"/>
      <c r="AMM169" s="551"/>
    </row>
    <row r="170" spans="1:1027">
      <c r="A170" s="1418"/>
      <c r="B170" s="1419"/>
      <c r="C170" s="1419"/>
      <c r="D170" s="1419"/>
      <c r="E170" s="1419"/>
      <c r="F170" s="1419"/>
      <c r="G170" s="1419"/>
      <c r="H170" s="1419"/>
      <c r="I170" s="1419"/>
      <c r="J170" s="1419"/>
      <c r="K170" s="1419"/>
      <c r="L170" s="1420"/>
      <c r="M170" s="283"/>
      <c r="N170" s="1392" t="s">
        <v>278</v>
      </c>
      <c r="O170" s="1393"/>
      <c r="P170" s="1393"/>
      <c r="Q170" s="1393"/>
      <c r="R170" s="1394"/>
      <c r="S170" s="284"/>
      <c r="T170" s="284"/>
      <c r="U170" s="284"/>
      <c r="V170" s="1392" t="s">
        <v>170</v>
      </c>
      <c r="W170" s="1393"/>
      <c r="X170" s="1393"/>
      <c r="Y170" s="1393"/>
      <c r="Z170" s="1394"/>
      <c r="AA170" s="1065"/>
      <c r="AB170" s="1392" t="s">
        <v>171</v>
      </c>
      <c r="AC170" s="1394"/>
      <c r="AD170" s="1395" t="s">
        <v>172</v>
      </c>
      <c r="AE170" s="1395"/>
      <c r="AF170" s="1395"/>
      <c r="AG170" s="1395"/>
      <c r="AH170" s="1395"/>
      <c r="AI170" s="1395"/>
      <c r="AJ170" s="1395"/>
      <c r="AK170" s="1395"/>
      <c r="AL170" s="1395"/>
      <c r="AM170" s="1395"/>
      <c r="AN170" s="1395"/>
      <c r="AO170" s="556"/>
      <c r="AP170" s="556"/>
      <c r="AQ170" s="556"/>
      <c r="AR170" s="556"/>
      <c r="AS170" s="556"/>
      <c r="AT170" s="556"/>
      <c r="AU170" s="556"/>
      <c r="AV170" s="556"/>
      <c r="AW170" s="556"/>
      <c r="AX170" s="556"/>
      <c r="AY170" s="551"/>
      <c r="AZ170" s="551"/>
      <c r="BA170" s="551"/>
      <c r="BB170" s="551"/>
      <c r="BC170" s="551"/>
      <c r="BD170" s="551"/>
      <c r="BE170" s="551"/>
      <c r="BF170" s="551"/>
      <c r="BG170" s="551"/>
      <c r="BH170" s="551"/>
      <c r="BI170" s="551"/>
      <c r="BJ170" s="551"/>
      <c r="BK170" s="551"/>
      <c r="BL170" s="551"/>
      <c r="BM170" s="551"/>
      <c r="BN170" s="551"/>
      <c r="BO170" s="551"/>
      <c r="BP170" s="551"/>
      <c r="BQ170" s="551"/>
      <c r="BR170" s="551"/>
      <c r="BS170" s="551"/>
      <c r="BT170" s="551"/>
      <c r="BU170" s="551"/>
      <c r="BV170" s="551"/>
      <c r="BW170" s="551"/>
      <c r="BX170" s="551"/>
      <c r="BY170" s="551"/>
      <c r="BZ170" s="551"/>
      <c r="CA170" s="551"/>
      <c r="CB170" s="551"/>
      <c r="CC170" s="551"/>
      <c r="CD170" s="551"/>
      <c r="CE170" s="551"/>
      <c r="CF170" s="551"/>
      <c r="CG170" s="551"/>
      <c r="CH170" s="551"/>
      <c r="CI170" s="551"/>
      <c r="CJ170" s="551"/>
      <c r="CK170" s="551"/>
      <c r="CL170" s="551"/>
      <c r="CM170" s="551"/>
      <c r="CN170" s="551"/>
      <c r="CO170" s="551"/>
      <c r="CP170" s="551"/>
      <c r="CQ170" s="551"/>
      <c r="CR170" s="551"/>
      <c r="CS170" s="551"/>
      <c r="CT170" s="551"/>
      <c r="CU170" s="551"/>
      <c r="CV170" s="551"/>
      <c r="CW170" s="551"/>
      <c r="CX170" s="551"/>
      <c r="CY170" s="551"/>
      <c r="CZ170" s="551"/>
      <c r="DA170" s="551"/>
      <c r="DB170" s="551"/>
      <c r="DC170" s="551"/>
      <c r="DD170" s="551"/>
      <c r="DE170" s="551"/>
      <c r="DF170" s="551"/>
      <c r="DG170" s="551"/>
      <c r="DH170" s="551"/>
      <c r="DI170" s="551"/>
      <c r="DJ170" s="551"/>
      <c r="DK170" s="551"/>
      <c r="DL170" s="551"/>
      <c r="DM170" s="551"/>
      <c r="DN170" s="551"/>
      <c r="DO170" s="551"/>
      <c r="DP170" s="551"/>
      <c r="DQ170" s="551"/>
      <c r="DR170" s="551"/>
      <c r="DS170" s="551"/>
      <c r="DT170" s="551"/>
      <c r="DU170" s="551"/>
      <c r="DV170" s="551"/>
      <c r="DW170" s="551"/>
      <c r="DX170" s="551"/>
      <c r="DY170" s="551"/>
      <c r="DZ170" s="551"/>
      <c r="EA170" s="551"/>
      <c r="EB170" s="551"/>
      <c r="EC170" s="551"/>
      <c r="ED170" s="551"/>
      <c r="EE170" s="551"/>
      <c r="EF170" s="551"/>
      <c r="EG170" s="551"/>
      <c r="EH170" s="551"/>
      <c r="EI170" s="551"/>
      <c r="EJ170" s="551"/>
      <c r="EK170" s="551"/>
      <c r="EL170" s="551"/>
      <c r="EM170" s="551"/>
      <c r="EN170" s="551"/>
      <c r="EO170" s="551"/>
      <c r="EP170" s="551"/>
      <c r="EQ170" s="551"/>
      <c r="ER170" s="551"/>
      <c r="ES170" s="551"/>
      <c r="ET170" s="551"/>
      <c r="EU170" s="551"/>
      <c r="EV170" s="551"/>
      <c r="EW170" s="551"/>
      <c r="EX170" s="551"/>
      <c r="EY170" s="551"/>
      <c r="EZ170" s="551"/>
      <c r="FA170" s="551"/>
      <c r="FB170" s="551"/>
      <c r="FC170" s="551"/>
      <c r="FD170" s="551"/>
      <c r="FE170" s="551"/>
      <c r="FF170" s="551"/>
      <c r="FG170" s="551"/>
      <c r="FH170" s="551"/>
      <c r="FI170" s="551"/>
      <c r="FJ170" s="551"/>
      <c r="FK170" s="551"/>
      <c r="FL170" s="551"/>
      <c r="FM170" s="551"/>
      <c r="FN170" s="551"/>
      <c r="FO170" s="551"/>
      <c r="FP170" s="551"/>
      <c r="FQ170" s="551"/>
      <c r="FR170" s="551"/>
      <c r="FS170" s="551"/>
      <c r="FT170" s="551"/>
      <c r="FU170" s="551"/>
      <c r="FV170" s="551"/>
      <c r="FW170" s="551"/>
      <c r="FX170" s="551"/>
      <c r="FY170" s="551"/>
      <c r="FZ170" s="551"/>
      <c r="GA170" s="551"/>
      <c r="GB170" s="551"/>
      <c r="GC170" s="551"/>
      <c r="GD170" s="551"/>
      <c r="GE170" s="551"/>
      <c r="GF170" s="551"/>
      <c r="GG170" s="551"/>
      <c r="GH170" s="551"/>
      <c r="GI170" s="551"/>
      <c r="GJ170" s="551"/>
      <c r="GK170" s="551"/>
      <c r="GL170" s="551"/>
      <c r="GM170" s="551"/>
      <c r="GN170" s="551"/>
      <c r="GO170" s="551"/>
      <c r="GP170" s="551"/>
      <c r="GQ170" s="551"/>
      <c r="GR170" s="551"/>
      <c r="GS170" s="551"/>
      <c r="GT170" s="551"/>
      <c r="GU170" s="551"/>
      <c r="GV170" s="551"/>
      <c r="GW170" s="551"/>
      <c r="GX170" s="551"/>
      <c r="GY170" s="551"/>
      <c r="GZ170" s="551"/>
      <c r="HA170" s="551"/>
      <c r="HB170" s="551"/>
      <c r="HC170" s="551"/>
      <c r="HD170" s="551"/>
      <c r="HE170" s="551"/>
      <c r="HF170" s="551"/>
      <c r="HG170" s="551"/>
      <c r="HH170" s="551"/>
      <c r="HI170" s="551"/>
      <c r="HJ170" s="551"/>
      <c r="HK170" s="551"/>
      <c r="HL170" s="551"/>
      <c r="HM170" s="551"/>
      <c r="HN170" s="551"/>
      <c r="HO170" s="551"/>
      <c r="HP170" s="551"/>
      <c r="HQ170" s="551"/>
      <c r="HR170" s="551"/>
      <c r="HS170" s="551"/>
      <c r="HT170" s="551"/>
      <c r="HU170" s="551"/>
      <c r="HV170" s="551"/>
      <c r="HW170" s="551"/>
      <c r="HX170" s="551"/>
      <c r="HY170" s="551"/>
      <c r="HZ170" s="551"/>
      <c r="IA170" s="551"/>
      <c r="IB170" s="551"/>
      <c r="IC170" s="551"/>
      <c r="ID170" s="551"/>
      <c r="IE170" s="551"/>
      <c r="IF170" s="551"/>
      <c r="IG170" s="551"/>
      <c r="IH170" s="551"/>
      <c r="II170" s="551"/>
      <c r="IJ170" s="551"/>
      <c r="IK170" s="551"/>
      <c r="IL170" s="551"/>
      <c r="IM170" s="551"/>
      <c r="IN170" s="551"/>
      <c r="IO170" s="551"/>
      <c r="IP170" s="551"/>
      <c r="IQ170" s="551"/>
      <c r="IR170" s="551"/>
      <c r="IS170" s="551"/>
      <c r="IT170" s="551"/>
      <c r="IU170" s="551"/>
      <c r="IV170" s="551"/>
      <c r="IW170" s="551"/>
      <c r="IX170" s="551"/>
      <c r="IY170" s="551"/>
      <c r="IZ170" s="551"/>
      <c r="JA170" s="551"/>
      <c r="JB170" s="551"/>
      <c r="JC170" s="551"/>
      <c r="JD170" s="551"/>
      <c r="JE170" s="551"/>
      <c r="JF170" s="551"/>
      <c r="JG170" s="551"/>
      <c r="JH170" s="551"/>
      <c r="JI170" s="551"/>
      <c r="JJ170" s="551"/>
      <c r="JK170" s="551"/>
      <c r="JL170" s="551"/>
      <c r="JM170" s="551"/>
      <c r="JN170" s="551"/>
      <c r="JO170" s="551"/>
      <c r="JP170" s="551"/>
      <c r="JQ170" s="551"/>
      <c r="JR170" s="551"/>
      <c r="JS170" s="551"/>
      <c r="JT170" s="551"/>
      <c r="JU170" s="551"/>
      <c r="JV170" s="551"/>
      <c r="JW170" s="551"/>
      <c r="JX170" s="551"/>
      <c r="JY170" s="551"/>
      <c r="JZ170" s="551"/>
      <c r="KA170" s="551"/>
      <c r="KB170" s="551"/>
      <c r="KC170" s="551"/>
      <c r="KD170" s="551"/>
      <c r="KE170" s="551"/>
      <c r="KF170" s="551"/>
      <c r="KG170" s="551"/>
      <c r="KH170" s="551"/>
      <c r="KI170" s="551"/>
      <c r="KJ170" s="551"/>
      <c r="KK170" s="551"/>
      <c r="KL170" s="551"/>
      <c r="KM170" s="551"/>
      <c r="KN170" s="551"/>
      <c r="KO170" s="551"/>
      <c r="KP170" s="551"/>
      <c r="KQ170" s="551"/>
      <c r="KR170" s="551"/>
      <c r="KS170" s="551"/>
      <c r="KT170" s="551"/>
      <c r="KU170" s="551"/>
      <c r="KV170" s="551"/>
      <c r="KW170" s="551"/>
      <c r="KX170" s="551"/>
      <c r="KY170" s="551"/>
      <c r="KZ170" s="551"/>
      <c r="LA170" s="551"/>
      <c r="LB170" s="551"/>
      <c r="LC170" s="551"/>
      <c r="LD170" s="551"/>
      <c r="LE170" s="551"/>
      <c r="LF170" s="551"/>
      <c r="LG170" s="551"/>
      <c r="LH170" s="551"/>
      <c r="LI170" s="551"/>
      <c r="LJ170" s="551"/>
      <c r="LK170" s="551"/>
      <c r="LL170" s="551"/>
      <c r="LM170" s="551"/>
      <c r="LN170" s="551"/>
      <c r="LO170" s="551"/>
      <c r="LP170" s="551"/>
      <c r="LQ170" s="551"/>
      <c r="LR170" s="551"/>
      <c r="LS170" s="551"/>
      <c r="LT170" s="551"/>
      <c r="LU170" s="551"/>
      <c r="LV170" s="551"/>
      <c r="LW170" s="551"/>
      <c r="LX170" s="551"/>
      <c r="LY170" s="551"/>
      <c r="LZ170" s="551"/>
      <c r="MA170" s="551"/>
      <c r="MB170" s="551"/>
      <c r="MC170" s="551"/>
      <c r="MD170" s="551"/>
      <c r="ME170" s="551"/>
      <c r="MF170" s="551"/>
      <c r="MG170" s="551"/>
      <c r="MH170" s="551"/>
      <c r="MI170" s="551"/>
      <c r="MJ170" s="551"/>
      <c r="MK170" s="551"/>
      <c r="ML170" s="551"/>
      <c r="MM170" s="551"/>
      <c r="MN170" s="551"/>
      <c r="MO170" s="551"/>
      <c r="MP170" s="551"/>
      <c r="MQ170" s="551"/>
      <c r="MR170" s="551"/>
      <c r="MS170" s="551"/>
      <c r="MT170" s="551"/>
      <c r="MU170" s="551"/>
      <c r="MV170" s="551"/>
      <c r="MW170" s="551"/>
      <c r="MX170" s="551"/>
      <c r="MY170" s="551"/>
      <c r="MZ170" s="551"/>
      <c r="NA170" s="551"/>
      <c r="NB170" s="551"/>
      <c r="NC170" s="551"/>
      <c r="ND170" s="551"/>
      <c r="NE170" s="551"/>
      <c r="NF170" s="551"/>
      <c r="NG170" s="551"/>
      <c r="NH170" s="551"/>
      <c r="NI170" s="551"/>
      <c r="NJ170" s="551"/>
      <c r="NK170" s="551"/>
      <c r="NL170" s="551"/>
      <c r="NM170" s="551"/>
      <c r="NN170" s="551"/>
      <c r="NO170" s="551"/>
      <c r="NP170" s="551"/>
      <c r="NQ170" s="551"/>
      <c r="NR170" s="551"/>
      <c r="NS170" s="551"/>
      <c r="NT170" s="551"/>
      <c r="NU170" s="551"/>
      <c r="NV170" s="551"/>
      <c r="NW170" s="551"/>
      <c r="NX170" s="551"/>
      <c r="NY170" s="551"/>
      <c r="NZ170" s="551"/>
      <c r="OA170" s="551"/>
      <c r="OB170" s="551"/>
      <c r="OC170" s="551"/>
      <c r="OD170" s="551"/>
      <c r="OE170" s="551"/>
      <c r="OF170" s="551"/>
      <c r="OG170" s="551"/>
      <c r="OH170" s="551"/>
      <c r="OI170" s="551"/>
      <c r="OJ170" s="551"/>
      <c r="OK170" s="551"/>
      <c r="OL170" s="551"/>
      <c r="OM170" s="551"/>
      <c r="ON170" s="551"/>
      <c r="OO170" s="551"/>
      <c r="OP170" s="551"/>
      <c r="OQ170" s="551"/>
      <c r="OR170" s="551"/>
      <c r="OS170" s="551"/>
      <c r="OT170" s="551"/>
      <c r="OU170" s="551"/>
      <c r="OV170" s="551"/>
      <c r="OW170" s="551"/>
      <c r="OX170" s="551"/>
      <c r="OY170" s="551"/>
      <c r="OZ170" s="551"/>
      <c r="PA170" s="551"/>
      <c r="PB170" s="551"/>
      <c r="PC170" s="551"/>
      <c r="PD170" s="551"/>
      <c r="PE170" s="551"/>
      <c r="PF170" s="551"/>
      <c r="PG170" s="551"/>
      <c r="PH170" s="551"/>
      <c r="PI170" s="551"/>
      <c r="PJ170" s="551"/>
      <c r="PK170" s="551"/>
      <c r="PL170" s="551"/>
      <c r="PM170" s="551"/>
      <c r="PN170" s="551"/>
      <c r="PO170" s="551"/>
      <c r="PP170" s="551"/>
      <c r="PQ170" s="551"/>
      <c r="PR170" s="551"/>
      <c r="PS170" s="551"/>
      <c r="PT170" s="551"/>
      <c r="PU170" s="551"/>
      <c r="PV170" s="551"/>
      <c r="PW170" s="551"/>
      <c r="PX170" s="551"/>
      <c r="PY170" s="551"/>
      <c r="PZ170" s="551"/>
      <c r="QA170" s="551"/>
      <c r="QB170" s="551"/>
      <c r="QC170" s="551"/>
      <c r="QD170" s="551"/>
      <c r="QE170" s="551"/>
      <c r="QF170" s="551"/>
      <c r="QG170" s="551"/>
      <c r="QH170" s="551"/>
      <c r="QI170" s="551"/>
      <c r="QJ170" s="551"/>
      <c r="QK170" s="551"/>
      <c r="QL170" s="551"/>
      <c r="QM170" s="551"/>
      <c r="QN170" s="551"/>
      <c r="QO170" s="551"/>
      <c r="QP170" s="551"/>
      <c r="QQ170" s="551"/>
      <c r="QR170" s="551"/>
      <c r="QS170" s="551"/>
      <c r="QT170" s="551"/>
      <c r="QU170" s="551"/>
      <c r="QV170" s="551"/>
      <c r="QW170" s="551"/>
      <c r="QX170" s="551"/>
      <c r="QY170" s="551"/>
      <c r="QZ170" s="551"/>
      <c r="RA170" s="551"/>
      <c r="RB170" s="551"/>
      <c r="RC170" s="551"/>
      <c r="RD170" s="551"/>
      <c r="RE170" s="551"/>
      <c r="RF170" s="551"/>
      <c r="RG170" s="551"/>
      <c r="RH170" s="551"/>
      <c r="RI170" s="551"/>
      <c r="RJ170" s="551"/>
      <c r="RK170" s="551"/>
      <c r="RL170" s="551"/>
      <c r="RM170" s="551"/>
      <c r="RN170" s="551"/>
      <c r="RO170" s="551"/>
      <c r="RP170" s="551"/>
      <c r="RQ170" s="551"/>
      <c r="RR170" s="551"/>
      <c r="RS170" s="551"/>
      <c r="RT170" s="551"/>
      <c r="RU170" s="551"/>
      <c r="RV170" s="551"/>
      <c r="RW170" s="551"/>
      <c r="RX170" s="551"/>
      <c r="RY170" s="551"/>
      <c r="RZ170" s="551"/>
      <c r="SA170" s="551"/>
      <c r="SB170" s="551"/>
      <c r="SC170" s="551"/>
      <c r="SD170" s="551"/>
      <c r="SE170" s="551"/>
      <c r="SF170" s="551"/>
      <c r="SG170" s="551"/>
      <c r="SH170" s="551"/>
      <c r="SI170" s="551"/>
      <c r="SJ170" s="551"/>
      <c r="SK170" s="551"/>
      <c r="SL170" s="551"/>
      <c r="SM170" s="551"/>
      <c r="SN170" s="551"/>
      <c r="SO170" s="551"/>
      <c r="SP170" s="551"/>
      <c r="SQ170" s="551"/>
      <c r="SR170" s="551"/>
      <c r="SS170" s="551"/>
      <c r="ST170" s="551"/>
      <c r="SU170" s="551"/>
      <c r="SV170" s="551"/>
      <c r="SW170" s="551"/>
      <c r="SX170" s="551"/>
      <c r="SY170" s="551"/>
      <c r="SZ170" s="551"/>
      <c r="TA170" s="551"/>
      <c r="TB170" s="551"/>
      <c r="TC170" s="551"/>
      <c r="TD170" s="551"/>
      <c r="TE170" s="551"/>
      <c r="TF170" s="551"/>
      <c r="TG170" s="551"/>
      <c r="TH170" s="551"/>
      <c r="TI170" s="551"/>
      <c r="TJ170" s="551"/>
      <c r="TK170" s="551"/>
      <c r="TL170" s="551"/>
      <c r="TM170" s="551"/>
      <c r="TN170" s="551"/>
      <c r="TO170" s="551"/>
      <c r="TP170" s="551"/>
      <c r="TQ170" s="551"/>
      <c r="TR170" s="551"/>
      <c r="TS170" s="551"/>
      <c r="TT170" s="551"/>
      <c r="TU170" s="551"/>
      <c r="TV170" s="551"/>
      <c r="TW170" s="551"/>
      <c r="TX170" s="551"/>
      <c r="TY170" s="551"/>
      <c r="TZ170" s="551"/>
      <c r="UA170" s="551"/>
      <c r="UB170" s="551"/>
      <c r="UC170" s="551"/>
      <c r="UD170" s="551"/>
      <c r="UE170" s="551"/>
      <c r="UF170" s="551"/>
      <c r="UG170" s="551"/>
      <c r="UH170" s="551"/>
      <c r="UI170" s="551"/>
      <c r="UJ170" s="551"/>
      <c r="UK170" s="551"/>
      <c r="UL170" s="551"/>
      <c r="UM170" s="551"/>
      <c r="UN170" s="551"/>
      <c r="UO170" s="551"/>
      <c r="UP170" s="551"/>
      <c r="UQ170" s="551"/>
      <c r="UR170" s="551"/>
      <c r="US170" s="551"/>
      <c r="UT170" s="551"/>
      <c r="UU170" s="551"/>
      <c r="UV170" s="551"/>
      <c r="UW170" s="551"/>
      <c r="UX170" s="551"/>
      <c r="UY170" s="551"/>
      <c r="UZ170" s="551"/>
      <c r="VA170" s="551"/>
      <c r="VB170" s="551"/>
      <c r="VC170" s="551"/>
      <c r="VD170" s="551"/>
      <c r="VE170" s="551"/>
      <c r="VF170" s="551"/>
      <c r="VG170" s="551"/>
      <c r="VH170" s="551"/>
      <c r="VI170" s="551"/>
      <c r="VJ170" s="551"/>
      <c r="VK170" s="551"/>
      <c r="VL170" s="551"/>
      <c r="VM170" s="551"/>
      <c r="VN170" s="551"/>
      <c r="VO170" s="551"/>
      <c r="VP170" s="551"/>
      <c r="VQ170" s="551"/>
      <c r="VR170" s="551"/>
      <c r="VS170" s="551"/>
      <c r="VT170" s="551"/>
      <c r="VU170" s="551"/>
      <c r="VV170" s="551"/>
      <c r="VW170" s="551"/>
      <c r="VX170" s="551"/>
      <c r="VY170" s="551"/>
      <c r="VZ170" s="551"/>
      <c r="WA170" s="551"/>
      <c r="WB170" s="551"/>
      <c r="WC170" s="551"/>
      <c r="WD170" s="551"/>
      <c r="WE170" s="551"/>
      <c r="WF170" s="551"/>
      <c r="WG170" s="551"/>
      <c r="WH170" s="551"/>
      <c r="WI170" s="551"/>
      <c r="WJ170" s="551"/>
      <c r="WK170" s="551"/>
      <c r="WL170" s="551"/>
      <c r="WM170" s="551"/>
      <c r="WN170" s="551"/>
      <c r="WO170" s="551"/>
      <c r="WP170" s="551"/>
      <c r="WQ170" s="551"/>
      <c r="WR170" s="551"/>
      <c r="WS170" s="551"/>
      <c r="WT170" s="551"/>
      <c r="WU170" s="551"/>
      <c r="WV170" s="551"/>
      <c r="WW170" s="551"/>
      <c r="WX170" s="551"/>
      <c r="WY170" s="551"/>
      <c r="WZ170" s="551"/>
      <c r="XA170" s="551"/>
      <c r="XB170" s="551"/>
      <c r="XC170" s="551"/>
      <c r="XD170" s="551"/>
      <c r="XE170" s="551"/>
      <c r="XF170" s="551"/>
      <c r="XG170" s="551"/>
      <c r="XH170" s="551"/>
      <c r="XI170" s="551"/>
      <c r="XJ170" s="551"/>
      <c r="XK170" s="551"/>
      <c r="XL170" s="551"/>
      <c r="XM170" s="551"/>
      <c r="XN170" s="551"/>
      <c r="XO170" s="551"/>
      <c r="XP170" s="551"/>
      <c r="XQ170" s="551"/>
      <c r="XR170" s="551"/>
      <c r="XS170" s="551"/>
      <c r="XT170" s="551"/>
      <c r="XU170" s="551"/>
      <c r="XV170" s="551"/>
      <c r="XW170" s="551"/>
      <c r="XX170" s="551"/>
      <c r="XY170" s="551"/>
      <c r="XZ170" s="551"/>
      <c r="YA170" s="551"/>
      <c r="YB170" s="551"/>
      <c r="YC170" s="551"/>
      <c r="YD170" s="551"/>
      <c r="YE170" s="551"/>
      <c r="YF170" s="551"/>
      <c r="YG170" s="551"/>
      <c r="YH170" s="551"/>
      <c r="YI170" s="551"/>
      <c r="YJ170" s="551"/>
      <c r="YK170" s="551"/>
      <c r="YL170" s="551"/>
      <c r="YM170" s="551"/>
      <c r="YN170" s="551"/>
      <c r="YO170" s="551"/>
      <c r="YP170" s="551"/>
      <c r="YQ170" s="551"/>
      <c r="YR170" s="551"/>
      <c r="YS170" s="551"/>
      <c r="YT170" s="551"/>
      <c r="YU170" s="551"/>
      <c r="YV170" s="551"/>
      <c r="YW170" s="551"/>
      <c r="YX170" s="551"/>
      <c r="YY170" s="551"/>
      <c r="YZ170" s="551"/>
      <c r="ZA170" s="551"/>
      <c r="ZB170" s="551"/>
      <c r="ZC170" s="551"/>
      <c r="ZD170" s="551"/>
      <c r="ZE170" s="551"/>
      <c r="ZF170" s="551"/>
      <c r="ZG170" s="551"/>
      <c r="ZH170" s="551"/>
      <c r="ZI170" s="551"/>
      <c r="ZJ170" s="551"/>
      <c r="ZK170" s="551"/>
      <c r="ZL170" s="551"/>
      <c r="ZM170" s="551"/>
      <c r="ZN170" s="551"/>
      <c r="ZO170" s="551"/>
      <c r="ZP170" s="551"/>
      <c r="ZQ170" s="551"/>
      <c r="ZR170" s="551"/>
      <c r="ZS170" s="551"/>
      <c r="ZT170" s="551"/>
      <c r="ZU170" s="551"/>
      <c r="ZV170" s="551"/>
      <c r="ZW170" s="551"/>
      <c r="ZX170" s="551"/>
      <c r="ZY170" s="551"/>
      <c r="ZZ170" s="551"/>
      <c r="AAA170" s="551"/>
      <c r="AAB170" s="551"/>
      <c r="AAC170" s="551"/>
      <c r="AAD170" s="551"/>
      <c r="AAE170" s="551"/>
      <c r="AAF170" s="551"/>
      <c r="AAG170" s="551"/>
      <c r="AAH170" s="551"/>
      <c r="AAI170" s="551"/>
      <c r="AAJ170" s="551"/>
      <c r="AAK170" s="551"/>
      <c r="AAL170" s="551"/>
      <c r="AAM170" s="551"/>
      <c r="AAN170" s="551"/>
      <c r="AAO170" s="551"/>
      <c r="AAP170" s="551"/>
      <c r="AAQ170" s="551"/>
      <c r="AAR170" s="551"/>
      <c r="AAS170" s="551"/>
      <c r="AAT170" s="551"/>
      <c r="AAU170" s="551"/>
      <c r="AAV170" s="551"/>
      <c r="AAW170" s="551"/>
      <c r="AAX170" s="551"/>
      <c r="AAY170" s="551"/>
      <c r="AAZ170" s="551"/>
      <c r="ABA170" s="551"/>
      <c r="ABB170" s="551"/>
      <c r="ABC170" s="551"/>
      <c r="ABD170" s="551"/>
      <c r="ABE170" s="551"/>
      <c r="ABF170" s="551"/>
      <c r="ABG170" s="551"/>
      <c r="ABH170" s="551"/>
      <c r="ABI170" s="551"/>
      <c r="ABJ170" s="551"/>
      <c r="ABK170" s="551"/>
      <c r="ABL170" s="551"/>
      <c r="ABM170" s="551"/>
      <c r="ABN170" s="551"/>
      <c r="ABO170" s="551"/>
      <c r="ABP170" s="551"/>
      <c r="ABQ170" s="551"/>
      <c r="ABR170" s="551"/>
      <c r="ABS170" s="551"/>
      <c r="ABT170" s="551"/>
      <c r="ABU170" s="551"/>
      <c r="ABV170" s="551"/>
      <c r="ABW170" s="551"/>
      <c r="ABX170" s="551"/>
      <c r="ABY170" s="551"/>
      <c r="ABZ170" s="551"/>
      <c r="ACA170" s="551"/>
      <c r="ACB170" s="551"/>
      <c r="ACC170" s="551"/>
      <c r="ACD170" s="551"/>
      <c r="ACE170" s="551"/>
      <c r="ACF170" s="551"/>
      <c r="ACG170" s="551"/>
      <c r="ACH170" s="551"/>
      <c r="ACI170" s="551"/>
      <c r="ACJ170" s="551"/>
      <c r="ACK170" s="551"/>
      <c r="ACL170" s="551"/>
      <c r="ACM170" s="551"/>
      <c r="ACN170" s="551"/>
      <c r="ACO170" s="551"/>
      <c r="ACP170" s="551"/>
      <c r="ACQ170" s="551"/>
      <c r="ACR170" s="551"/>
      <c r="ACS170" s="551"/>
      <c r="ACT170" s="551"/>
      <c r="ACU170" s="551"/>
      <c r="ACV170" s="551"/>
      <c r="ACW170" s="551"/>
      <c r="ACX170" s="551"/>
      <c r="ACY170" s="551"/>
      <c r="ACZ170" s="551"/>
      <c r="ADA170" s="551"/>
      <c r="ADB170" s="551"/>
      <c r="ADC170" s="551"/>
      <c r="ADD170" s="551"/>
      <c r="ADE170" s="551"/>
      <c r="ADF170" s="551"/>
      <c r="ADG170" s="551"/>
      <c r="ADH170" s="551"/>
      <c r="ADI170" s="551"/>
      <c r="ADJ170" s="551"/>
      <c r="ADK170" s="551"/>
      <c r="ADL170" s="551"/>
      <c r="ADM170" s="551"/>
      <c r="ADN170" s="551"/>
      <c r="ADO170" s="551"/>
      <c r="ADP170" s="551"/>
      <c r="ADQ170" s="551"/>
      <c r="ADR170" s="551"/>
      <c r="ADS170" s="551"/>
      <c r="ADT170" s="551"/>
      <c r="ADU170" s="551"/>
      <c r="ADV170" s="551"/>
      <c r="ADW170" s="551"/>
      <c r="ADX170" s="551"/>
      <c r="ADY170" s="551"/>
      <c r="ADZ170" s="551"/>
      <c r="AEA170" s="551"/>
      <c r="AEB170" s="551"/>
      <c r="AEC170" s="551"/>
      <c r="AED170" s="551"/>
      <c r="AEE170" s="551"/>
      <c r="AEF170" s="551"/>
      <c r="AEG170" s="551"/>
      <c r="AEH170" s="551"/>
      <c r="AEI170" s="551"/>
      <c r="AEJ170" s="551"/>
      <c r="AEK170" s="551"/>
      <c r="AEL170" s="551"/>
      <c r="AEM170" s="551"/>
      <c r="AEN170" s="551"/>
      <c r="AEO170" s="551"/>
      <c r="AEP170" s="551"/>
      <c r="AEQ170" s="551"/>
      <c r="AER170" s="551"/>
      <c r="AES170" s="551"/>
      <c r="AET170" s="551"/>
      <c r="AEU170" s="551"/>
      <c r="AEV170" s="551"/>
      <c r="AEW170" s="551"/>
      <c r="AEX170" s="551"/>
      <c r="AEY170" s="551"/>
      <c r="AEZ170" s="551"/>
      <c r="AFA170" s="551"/>
      <c r="AFB170" s="551"/>
      <c r="AFC170" s="551"/>
      <c r="AFD170" s="551"/>
      <c r="AFE170" s="551"/>
      <c r="AFF170" s="551"/>
      <c r="AFG170" s="551"/>
      <c r="AFH170" s="551"/>
      <c r="AFI170" s="551"/>
      <c r="AFJ170" s="551"/>
      <c r="AFK170" s="551"/>
      <c r="AFL170" s="551"/>
      <c r="AFM170" s="551"/>
      <c r="AFN170" s="551"/>
      <c r="AFO170" s="551"/>
      <c r="AFP170" s="551"/>
      <c r="AFQ170" s="551"/>
      <c r="AFR170" s="551"/>
      <c r="AFS170" s="551"/>
      <c r="AFT170" s="551"/>
      <c r="AFU170" s="551"/>
      <c r="AFV170" s="551"/>
      <c r="AFW170" s="551"/>
      <c r="AFX170" s="551"/>
      <c r="AFY170" s="551"/>
      <c r="AFZ170" s="551"/>
      <c r="AGA170" s="551"/>
      <c r="AGB170" s="551"/>
      <c r="AGC170" s="551"/>
      <c r="AGD170" s="551"/>
      <c r="AGE170" s="551"/>
      <c r="AGF170" s="551"/>
      <c r="AGG170" s="551"/>
      <c r="AGH170" s="551"/>
      <c r="AGI170" s="551"/>
      <c r="AGJ170" s="551"/>
      <c r="AGK170" s="551"/>
      <c r="AGL170" s="551"/>
      <c r="AGM170" s="551"/>
      <c r="AGN170" s="551"/>
      <c r="AGO170" s="551"/>
      <c r="AGP170" s="551"/>
      <c r="AGQ170" s="551"/>
      <c r="AGR170" s="551"/>
      <c r="AGS170" s="551"/>
      <c r="AGT170" s="551"/>
      <c r="AGU170" s="551"/>
      <c r="AGV170" s="551"/>
      <c r="AGW170" s="551"/>
      <c r="AGX170" s="551"/>
      <c r="AGY170" s="551"/>
      <c r="AGZ170" s="551"/>
      <c r="AHA170" s="551"/>
      <c r="AHB170" s="551"/>
      <c r="AHC170" s="551"/>
      <c r="AHD170" s="551"/>
      <c r="AHE170" s="551"/>
      <c r="AHF170" s="551"/>
      <c r="AHG170" s="551"/>
      <c r="AHH170" s="551"/>
      <c r="AHI170" s="551"/>
      <c r="AHJ170" s="551"/>
      <c r="AHK170" s="551"/>
      <c r="AHL170" s="551"/>
      <c r="AHM170" s="551"/>
      <c r="AHN170" s="551"/>
      <c r="AHO170" s="551"/>
      <c r="AHP170" s="551"/>
      <c r="AHQ170" s="551"/>
      <c r="AHR170" s="551"/>
      <c r="AHS170" s="551"/>
      <c r="AHT170" s="551"/>
      <c r="AHU170" s="551"/>
      <c r="AHV170" s="551"/>
      <c r="AHW170" s="551"/>
      <c r="AHX170" s="551"/>
      <c r="AHY170" s="551"/>
      <c r="AHZ170" s="551"/>
      <c r="AIA170" s="551"/>
      <c r="AIB170" s="551"/>
      <c r="AIC170" s="551"/>
      <c r="AID170" s="551"/>
      <c r="AIE170" s="551"/>
      <c r="AIF170" s="551"/>
      <c r="AIG170" s="551"/>
      <c r="AIH170" s="551"/>
      <c r="AII170" s="551"/>
      <c r="AIJ170" s="551"/>
      <c r="AIK170" s="551"/>
      <c r="AIL170" s="551"/>
      <c r="AIM170" s="551"/>
      <c r="AIN170" s="551"/>
      <c r="AIO170" s="551"/>
      <c r="AIP170" s="551"/>
      <c r="AIQ170" s="551"/>
      <c r="AIR170" s="551"/>
      <c r="AIS170" s="551"/>
      <c r="AIT170" s="551"/>
      <c r="AIU170" s="551"/>
      <c r="AIV170" s="551"/>
      <c r="AIW170" s="551"/>
      <c r="AIX170" s="551"/>
      <c r="AIY170" s="551"/>
      <c r="AIZ170" s="551"/>
      <c r="AJA170" s="551"/>
      <c r="AJB170" s="551"/>
      <c r="AJC170" s="551"/>
      <c r="AJD170" s="551"/>
      <c r="AJE170" s="551"/>
      <c r="AJF170" s="551"/>
      <c r="AJG170" s="551"/>
      <c r="AJH170" s="551"/>
      <c r="AJI170" s="551"/>
      <c r="AJJ170" s="551"/>
      <c r="AJK170" s="551"/>
      <c r="AJL170" s="551"/>
      <c r="AJM170" s="551"/>
      <c r="AJN170" s="551"/>
      <c r="AJO170" s="551"/>
      <c r="AJP170" s="551"/>
      <c r="AJQ170" s="551"/>
      <c r="AJR170" s="551"/>
      <c r="AJS170" s="551"/>
      <c r="AJT170" s="551"/>
      <c r="AJU170" s="551"/>
      <c r="AJV170" s="551"/>
      <c r="AJW170" s="551"/>
      <c r="AJX170" s="551"/>
      <c r="AJY170" s="551"/>
      <c r="AJZ170" s="551"/>
      <c r="AKA170" s="551"/>
      <c r="AKB170" s="551"/>
      <c r="AKC170" s="551"/>
      <c r="AKD170" s="551"/>
      <c r="AKE170" s="551"/>
      <c r="AKF170" s="551"/>
      <c r="AKG170" s="551"/>
      <c r="AKH170" s="551"/>
      <c r="AKI170" s="551"/>
      <c r="AKJ170" s="551"/>
      <c r="AKK170" s="551"/>
      <c r="AKL170" s="551"/>
      <c r="AKM170" s="551"/>
      <c r="AKN170" s="551"/>
      <c r="AKO170" s="551"/>
      <c r="AKP170" s="551"/>
      <c r="AKQ170" s="551"/>
      <c r="AKR170" s="551"/>
      <c r="AKS170" s="551"/>
      <c r="AKT170" s="551"/>
      <c r="AKU170" s="551"/>
      <c r="AKV170" s="551"/>
      <c r="AKW170" s="551"/>
      <c r="AKX170" s="551"/>
      <c r="AKY170" s="551"/>
      <c r="AKZ170" s="551"/>
      <c r="ALA170" s="551"/>
      <c r="ALB170" s="551"/>
      <c r="ALC170" s="551"/>
      <c r="ALD170" s="551"/>
      <c r="ALE170" s="551"/>
      <c r="ALF170" s="551"/>
      <c r="ALG170" s="551"/>
      <c r="ALH170" s="551"/>
      <c r="ALI170" s="551"/>
      <c r="ALJ170" s="551"/>
      <c r="ALK170" s="551"/>
      <c r="ALL170" s="551"/>
      <c r="ALM170" s="551"/>
      <c r="ALN170" s="551"/>
      <c r="ALO170" s="551"/>
      <c r="ALP170" s="551"/>
      <c r="ALQ170" s="551"/>
      <c r="ALR170" s="551"/>
      <c r="ALS170" s="551"/>
      <c r="ALT170" s="551"/>
      <c r="ALU170" s="551"/>
      <c r="ALV170" s="551"/>
      <c r="ALW170" s="551"/>
      <c r="ALX170" s="551"/>
      <c r="ALY170" s="551"/>
      <c r="ALZ170" s="551"/>
      <c r="AMA170" s="551"/>
      <c r="AMB170" s="551"/>
      <c r="AMC170" s="551"/>
      <c r="AMD170" s="551"/>
      <c r="AME170" s="551"/>
      <c r="AMF170" s="551"/>
      <c r="AMG170" s="551"/>
      <c r="AMH170" s="551"/>
      <c r="AMI170" s="551"/>
      <c r="AMJ170" s="551"/>
      <c r="AMK170" s="551"/>
      <c r="AML170" s="551"/>
      <c r="AMM170" s="551"/>
    </row>
    <row r="171" spans="1:1027" s="243" customFormat="1" ht="80.25" customHeight="1">
      <c r="A171" s="2507"/>
      <c r="B171" s="2507"/>
      <c r="C171" s="2507"/>
      <c r="D171" s="2507"/>
      <c r="E171" s="2507"/>
      <c r="F171" s="2507"/>
      <c r="G171" s="2507"/>
      <c r="H171" s="2507"/>
      <c r="I171" s="2507"/>
      <c r="J171" s="2507"/>
      <c r="K171" s="2507"/>
      <c r="L171" s="2507"/>
      <c r="M171" s="285"/>
      <c r="N171" s="2502" t="s">
        <v>99</v>
      </c>
      <c r="O171" s="2503"/>
      <c r="P171" s="2503"/>
      <c r="Q171" s="2503"/>
      <c r="R171" s="2504"/>
      <c r="S171" s="1040"/>
      <c r="T171" s="1040"/>
      <c r="U171" s="1040"/>
      <c r="V171" s="2502" t="s">
        <v>281</v>
      </c>
      <c r="W171" s="2503"/>
      <c r="X171" s="2503"/>
      <c r="Y171" s="2503"/>
      <c r="Z171" s="2504"/>
      <c r="AA171" s="1106"/>
      <c r="AB171" s="2505" t="s">
        <v>154</v>
      </c>
      <c r="AC171" s="2506"/>
      <c r="AD171" s="1401"/>
      <c r="AE171" s="1401"/>
      <c r="AF171" s="1401"/>
      <c r="AG171" s="1401"/>
      <c r="AH171" s="1401"/>
      <c r="AI171" s="1401"/>
      <c r="AJ171" s="1401"/>
      <c r="AK171" s="1401"/>
      <c r="AL171" s="1401"/>
      <c r="AM171" s="1401"/>
      <c r="AN171" s="1401"/>
      <c r="AO171" s="245"/>
      <c r="AP171" s="245"/>
      <c r="AQ171" s="245"/>
      <c r="AR171" s="245"/>
      <c r="AS171" s="245"/>
      <c r="AT171" s="245"/>
      <c r="AU171" s="245"/>
      <c r="AV171" s="245"/>
      <c r="AW171" s="245"/>
      <c r="AX171" s="245"/>
    </row>
    <row r="172" spans="1:1027" s="243" customFormat="1" ht="80.25" customHeight="1">
      <c r="A172" s="2507"/>
      <c r="B172" s="2507"/>
      <c r="C172" s="2507"/>
      <c r="D172" s="2507"/>
      <c r="E172" s="2507"/>
      <c r="F172" s="2507"/>
      <c r="G172" s="2507"/>
      <c r="H172" s="2507"/>
      <c r="I172" s="2507"/>
      <c r="J172" s="2507"/>
      <c r="K172" s="2507"/>
      <c r="L172" s="2507"/>
      <c r="M172" s="285"/>
      <c r="N172" s="2502" t="s">
        <v>15</v>
      </c>
      <c r="O172" s="2503"/>
      <c r="P172" s="2503"/>
      <c r="Q172" s="2503"/>
      <c r="R172" s="2504"/>
      <c r="S172" s="1040"/>
      <c r="T172" s="1040"/>
      <c r="U172" s="1040"/>
      <c r="V172" s="2502" t="s">
        <v>847</v>
      </c>
      <c r="W172" s="2503"/>
      <c r="X172" s="2503"/>
      <c r="Y172" s="2503"/>
      <c r="Z172" s="2504"/>
      <c r="AA172" s="1106"/>
      <c r="AB172" s="2505" t="s">
        <v>220</v>
      </c>
      <c r="AC172" s="2506"/>
      <c r="AD172" s="1401"/>
      <c r="AE172" s="1401"/>
      <c r="AF172" s="1401"/>
      <c r="AG172" s="1401"/>
      <c r="AH172" s="1401"/>
      <c r="AI172" s="1401"/>
      <c r="AJ172" s="1401"/>
      <c r="AK172" s="1401"/>
      <c r="AL172" s="1401"/>
      <c r="AM172" s="1401"/>
      <c r="AN172" s="1401"/>
      <c r="AO172" s="245"/>
      <c r="AP172" s="245"/>
      <c r="AQ172" s="245"/>
      <c r="AR172" s="245"/>
      <c r="AS172" s="245"/>
      <c r="AT172" s="245"/>
      <c r="AU172" s="245"/>
      <c r="AV172" s="245"/>
      <c r="AW172" s="245"/>
      <c r="AX172" s="245"/>
    </row>
    <row r="173" spans="1:1027" s="243" customFormat="1" ht="80.25" customHeight="1">
      <c r="A173" s="2507"/>
      <c r="B173" s="2507"/>
      <c r="C173" s="2507"/>
      <c r="D173" s="2507"/>
      <c r="E173" s="2507"/>
      <c r="F173" s="2507"/>
      <c r="G173" s="2507"/>
      <c r="H173" s="2507"/>
      <c r="I173" s="2507"/>
      <c r="J173" s="2507"/>
      <c r="K173" s="2507"/>
      <c r="L173" s="2507"/>
      <c r="M173" s="285"/>
      <c r="N173" s="2502" t="s">
        <v>19</v>
      </c>
      <c r="O173" s="2503"/>
      <c r="P173" s="2503"/>
      <c r="Q173" s="2503"/>
      <c r="R173" s="2504"/>
      <c r="S173" s="1040"/>
      <c r="T173" s="1040"/>
      <c r="U173" s="1040"/>
      <c r="V173" s="2502" t="s">
        <v>968</v>
      </c>
      <c r="W173" s="2503"/>
      <c r="X173" s="2503"/>
      <c r="Y173" s="2503"/>
      <c r="Z173" s="2504"/>
      <c r="AA173" s="1106"/>
      <c r="AB173" s="2505" t="s">
        <v>1833</v>
      </c>
      <c r="AC173" s="2506"/>
      <c r="AD173" s="1401"/>
      <c r="AE173" s="1401"/>
      <c r="AF173" s="1401"/>
      <c r="AG173" s="1401"/>
      <c r="AH173" s="1401"/>
      <c r="AI173" s="1401"/>
      <c r="AJ173" s="1401"/>
      <c r="AK173" s="1401"/>
      <c r="AL173" s="1401"/>
      <c r="AM173" s="1401"/>
      <c r="AN173" s="1401"/>
      <c r="AO173" s="245"/>
      <c r="AP173" s="245"/>
      <c r="AQ173" s="245"/>
      <c r="AR173" s="245"/>
      <c r="AS173" s="245"/>
      <c r="AT173" s="245"/>
      <c r="AU173" s="245"/>
      <c r="AV173" s="245"/>
      <c r="AW173" s="245"/>
      <c r="AX173" s="245"/>
    </row>
    <row r="174" spans="1:1027" s="243" customFormat="1" ht="30" customHeight="1">
      <c r="A174" s="300"/>
      <c r="B174" s="300"/>
      <c r="C174" s="300"/>
      <c r="D174" s="300"/>
      <c r="E174" s="300"/>
      <c r="F174" s="300"/>
      <c r="G174" s="300"/>
      <c r="H174" s="300"/>
      <c r="I174" s="300"/>
      <c r="J174" s="300"/>
      <c r="K174" s="300"/>
      <c r="L174" s="300"/>
      <c r="M174" s="285"/>
      <c r="N174" s="1403"/>
      <c r="O174" s="1403"/>
      <c r="P174" s="1403"/>
      <c r="Q174" s="1403"/>
      <c r="R174" s="1403"/>
      <c r="S174" s="288"/>
      <c r="T174" s="288"/>
      <c r="U174" s="288"/>
      <c r="V174" s="1403"/>
      <c r="W174" s="1403"/>
      <c r="X174" s="1403"/>
      <c r="Y174" s="1403"/>
      <c r="Z174" s="1403"/>
      <c r="AA174" s="1064"/>
      <c r="AB174" s="611"/>
      <c r="AC174" s="611"/>
      <c r="AD174" s="285"/>
      <c r="AE174" s="285"/>
      <c r="AF174" s="285"/>
      <c r="AG174" s="285"/>
      <c r="AH174" s="285"/>
      <c r="AI174" s="285"/>
      <c r="AJ174" s="285"/>
      <c r="AK174" s="285"/>
      <c r="AL174" s="285"/>
      <c r="AM174" s="285"/>
      <c r="AN174" s="245"/>
      <c r="AO174" s="245"/>
      <c r="AP174" s="245"/>
      <c r="AQ174" s="245"/>
      <c r="AR174" s="245"/>
      <c r="AS174" s="245"/>
      <c r="AT174" s="245"/>
      <c r="AU174" s="245"/>
      <c r="AV174" s="245"/>
      <c r="AW174" s="245"/>
      <c r="AX174" s="245"/>
    </row>
    <row r="175" spans="1:1027">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row>
    <row r="176" spans="1:1027">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c r="AL176" s="233"/>
      <c r="AM176" s="233"/>
    </row>
  </sheetData>
  <sheetProtection formatCells="0" formatColumns="0" formatRows="0" insertRows="0" deleteColumns="0" sort="0" autoFilter="0"/>
  <mergeCells count="927">
    <mergeCell ref="AW1:AX4"/>
    <mergeCell ref="G2:V2"/>
    <mergeCell ref="AP2:AQ2"/>
    <mergeCell ref="AR2:AS2"/>
    <mergeCell ref="A3:A4"/>
    <mergeCell ref="G3:H3"/>
    <mergeCell ref="I3:N3"/>
    <mergeCell ref="O3:V3"/>
    <mergeCell ref="Z3:AB4"/>
    <mergeCell ref="AC3:AC4"/>
    <mergeCell ref="G1:V1"/>
    <mergeCell ref="X1:Y4"/>
    <mergeCell ref="Z1:AB2"/>
    <mergeCell ref="AC1:AC2"/>
    <mergeCell ref="AD1:AN2"/>
    <mergeCell ref="AP1:AS1"/>
    <mergeCell ref="AD3:AN4"/>
    <mergeCell ref="AP3:AQ3"/>
    <mergeCell ref="AR3:AS3"/>
    <mergeCell ref="G4:H4"/>
    <mergeCell ref="I4:N4"/>
    <mergeCell ref="O4:V4"/>
    <mergeCell ref="AP4:AQ4"/>
    <mergeCell ref="AR4:AS4"/>
    <mergeCell ref="AT6:AX6"/>
    <mergeCell ref="A7:A8"/>
    <mergeCell ref="B7:B8"/>
    <mergeCell ref="C7:E8"/>
    <mergeCell ref="F7:F8"/>
    <mergeCell ref="G7:I8"/>
    <mergeCell ref="J7:L8"/>
    <mergeCell ref="M7:P7"/>
    <mergeCell ref="Q7:V7"/>
    <mergeCell ref="X7:Z8"/>
    <mergeCell ref="AX7:AX8"/>
    <mergeCell ref="AU7:AU8"/>
    <mergeCell ref="AV7:AV8"/>
    <mergeCell ref="AW7:AW8"/>
    <mergeCell ref="A6:P6"/>
    <mergeCell ref="Q6:V6"/>
    <mergeCell ref="X6:AM6"/>
    <mergeCell ref="AA7:AA8"/>
    <mergeCell ref="AY7:AY8"/>
    <mergeCell ref="A9:A12"/>
    <mergeCell ref="B9:B12"/>
    <mergeCell ref="C9:E12"/>
    <mergeCell ref="F9:F12"/>
    <mergeCell ref="G9:I9"/>
    <mergeCell ref="AO7:AO8"/>
    <mergeCell ref="AP7:AP8"/>
    <mergeCell ref="AQ7:AQ8"/>
    <mergeCell ref="AR7:AR8"/>
    <mergeCell ref="AS7:AS8"/>
    <mergeCell ref="AT7:AT8"/>
    <mergeCell ref="AB7:AB8"/>
    <mergeCell ref="AC7:AC8"/>
    <mergeCell ref="AD7:AD8"/>
    <mergeCell ref="AE7:AE8"/>
    <mergeCell ref="AI7:AM7"/>
    <mergeCell ref="AN7:AN8"/>
    <mergeCell ref="J9:L12"/>
    <mergeCell ref="M9:M12"/>
    <mergeCell ref="N9:N12"/>
    <mergeCell ref="O9:O12"/>
    <mergeCell ref="P9:P12"/>
    <mergeCell ref="Q9:Q12"/>
    <mergeCell ref="AN9:AN12"/>
    <mergeCell ref="AO9:AO12"/>
    <mergeCell ref="AP9:AP12"/>
    <mergeCell ref="R9:R12"/>
    <mergeCell ref="V9:V12"/>
    <mergeCell ref="X9:Z9"/>
    <mergeCell ref="AB9:AB12"/>
    <mergeCell ref="AD9:AD12"/>
    <mergeCell ref="AE9:AE12"/>
    <mergeCell ref="AA9:AA12"/>
    <mergeCell ref="A13:A17"/>
    <mergeCell ref="B13:B17"/>
    <mergeCell ref="C13:E17"/>
    <mergeCell ref="F13:F17"/>
    <mergeCell ref="G13:I13"/>
    <mergeCell ref="J13:L17"/>
    <mergeCell ref="AW9:AW12"/>
    <mergeCell ref="AX9:AX12"/>
    <mergeCell ref="AY9:AY12"/>
    <mergeCell ref="G10:I10"/>
    <mergeCell ref="X10:Z10"/>
    <mergeCell ref="G11:I11"/>
    <mergeCell ref="X11:Z11"/>
    <mergeCell ref="G12:I12"/>
    <mergeCell ref="X12:Z12"/>
    <mergeCell ref="AQ9:AQ12"/>
    <mergeCell ref="AR9:AR12"/>
    <mergeCell ref="AS9:AS12"/>
    <mergeCell ref="AT9:AT12"/>
    <mergeCell ref="AU9:AU12"/>
    <mergeCell ref="AV9:AV12"/>
    <mergeCell ref="AI9:AI12"/>
    <mergeCell ref="AK9:AK12"/>
    <mergeCell ref="AM9:AM12"/>
    <mergeCell ref="AB13:AB15"/>
    <mergeCell ref="AD13:AD17"/>
    <mergeCell ref="AE13:AE17"/>
    <mergeCell ref="AI13:AI17"/>
    <mergeCell ref="M13:M17"/>
    <mergeCell ref="N13:N17"/>
    <mergeCell ref="O13:O17"/>
    <mergeCell ref="P13:P17"/>
    <mergeCell ref="Q13:Q17"/>
    <mergeCell ref="R13:R17"/>
    <mergeCell ref="AA13:AA17"/>
    <mergeCell ref="AX13:AX17"/>
    <mergeCell ref="AY13:AY17"/>
    <mergeCell ref="G14:I14"/>
    <mergeCell ref="X14:Z14"/>
    <mergeCell ref="G15:I15"/>
    <mergeCell ref="X15:Z15"/>
    <mergeCell ref="G16:I16"/>
    <mergeCell ref="X16:Z16"/>
    <mergeCell ref="G17:I17"/>
    <mergeCell ref="X17:Z17"/>
    <mergeCell ref="AR13:AR17"/>
    <mergeCell ref="AS13:AS17"/>
    <mergeCell ref="AT13:AT17"/>
    <mergeCell ref="AU13:AU17"/>
    <mergeCell ref="AV13:AV17"/>
    <mergeCell ref="AW13:AW17"/>
    <mergeCell ref="AK13:AK17"/>
    <mergeCell ref="AM13:AM17"/>
    <mergeCell ref="AN13:AN17"/>
    <mergeCell ref="AO13:AO17"/>
    <mergeCell ref="AP13:AP17"/>
    <mergeCell ref="AQ13:AQ17"/>
    <mergeCell ref="V13:V17"/>
    <mergeCell ref="X13:Z13"/>
    <mergeCell ref="M18:M22"/>
    <mergeCell ref="N18:N22"/>
    <mergeCell ref="O18:O22"/>
    <mergeCell ref="P18:P22"/>
    <mergeCell ref="Q18:Q22"/>
    <mergeCell ref="R18:R22"/>
    <mergeCell ref="A18:A22"/>
    <mergeCell ref="B18:B22"/>
    <mergeCell ref="C18:E22"/>
    <mergeCell ref="F18:F22"/>
    <mergeCell ref="G18:I18"/>
    <mergeCell ref="J18:L22"/>
    <mergeCell ref="AO18:AO22"/>
    <mergeCell ref="AP18:AP22"/>
    <mergeCell ref="AQ18:AQ22"/>
    <mergeCell ref="AR18:AR22"/>
    <mergeCell ref="V18:V22"/>
    <mergeCell ref="X18:Z18"/>
    <mergeCell ref="AD18:AD22"/>
    <mergeCell ref="AE18:AE22"/>
    <mergeCell ref="AI18:AI22"/>
    <mergeCell ref="AK18:AK22"/>
    <mergeCell ref="AA18:AA22"/>
    <mergeCell ref="A23:A24"/>
    <mergeCell ref="B23:B24"/>
    <mergeCell ref="C23:E24"/>
    <mergeCell ref="F23:F24"/>
    <mergeCell ref="G23:I23"/>
    <mergeCell ref="J23:L24"/>
    <mergeCell ref="AY18:AY22"/>
    <mergeCell ref="G19:I19"/>
    <mergeCell ref="X19:Z19"/>
    <mergeCell ref="AB19:AB20"/>
    <mergeCell ref="G20:I20"/>
    <mergeCell ref="X20:Z20"/>
    <mergeCell ref="G21:I21"/>
    <mergeCell ref="X21:Z21"/>
    <mergeCell ref="G22:I22"/>
    <mergeCell ref="X22:Z22"/>
    <mergeCell ref="AS18:AS22"/>
    <mergeCell ref="AT18:AT22"/>
    <mergeCell ref="AU18:AU22"/>
    <mergeCell ref="AV18:AV22"/>
    <mergeCell ref="AW18:AW22"/>
    <mergeCell ref="AX18:AX22"/>
    <mergeCell ref="AM18:AM22"/>
    <mergeCell ref="AN18:AN22"/>
    <mergeCell ref="AD23:AD24"/>
    <mergeCell ref="AE23:AE24"/>
    <mergeCell ref="AI23:AI24"/>
    <mergeCell ref="AK23:AK24"/>
    <mergeCell ref="M23:M24"/>
    <mergeCell ref="N23:N24"/>
    <mergeCell ref="O23:O24"/>
    <mergeCell ref="P23:P24"/>
    <mergeCell ref="Q23:Q24"/>
    <mergeCell ref="R23:R24"/>
    <mergeCell ref="AA23:AA24"/>
    <mergeCell ref="AY23:AY24"/>
    <mergeCell ref="G24:I24"/>
    <mergeCell ref="X24:Z24"/>
    <mergeCell ref="A25:A26"/>
    <mergeCell ref="B25:B26"/>
    <mergeCell ref="C25:E26"/>
    <mergeCell ref="F25:F26"/>
    <mergeCell ref="G25:I25"/>
    <mergeCell ref="J25:L26"/>
    <mergeCell ref="M25:M26"/>
    <mergeCell ref="AS23:AS24"/>
    <mergeCell ref="AT23:AT24"/>
    <mergeCell ref="AU23:AU24"/>
    <mergeCell ref="AV23:AV24"/>
    <mergeCell ref="AW23:AW24"/>
    <mergeCell ref="AX23:AX24"/>
    <mergeCell ref="AM23:AM24"/>
    <mergeCell ref="AN23:AN24"/>
    <mergeCell ref="AO23:AO24"/>
    <mergeCell ref="AP23:AP24"/>
    <mergeCell ref="AQ23:AQ24"/>
    <mergeCell ref="AR23:AR24"/>
    <mergeCell ref="V23:V24"/>
    <mergeCell ref="X23:Z23"/>
    <mergeCell ref="AD25:AD26"/>
    <mergeCell ref="AE25:AE26"/>
    <mergeCell ref="AI25:AI26"/>
    <mergeCell ref="AK25:AK26"/>
    <mergeCell ref="N25:N26"/>
    <mergeCell ref="O25:O26"/>
    <mergeCell ref="P25:P26"/>
    <mergeCell ref="Q25:Q26"/>
    <mergeCell ref="R25:R26"/>
    <mergeCell ref="V25:V26"/>
    <mergeCell ref="AA25:AA26"/>
    <mergeCell ref="AY25:AY26"/>
    <mergeCell ref="G26:I26"/>
    <mergeCell ref="X26:Z26"/>
    <mergeCell ref="A27:A34"/>
    <mergeCell ref="B27:B34"/>
    <mergeCell ref="C27:E34"/>
    <mergeCell ref="F27:F34"/>
    <mergeCell ref="G27:I27"/>
    <mergeCell ref="J27:L34"/>
    <mergeCell ref="M27:M34"/>
    <mergeCell ref="AS25:AS26"/>
    <mergeCell ref="AT25:AT26"/>
    <mergeCell ref="AU25:AU26"/>
    <mergeCell ref="AV25:AV26"/>
    <mergeCell ref="AW25:AW26"/>
    <mergeCell ref="AX25:AX26"/>
    <mergeCell ref="AM25:AM26"/>
    <mergeCell ref="AN25:AN26"/>
    <mergeCell ref="AO25:AO26"/>
    <mergeCell ref="AP25:AP26"/>
    <mergeCell ref="AQ25:AQ26"/>
    <mergeCell ref="AR25:AR26"/>
    <mergeCell ref="X25:Z25"/>
    <mergeCell ref="AB25:AB26"/>
    <mergeCell ref="AO27:AO34"/>
    <mergeCell ref="AP27:AP34"/>
    <mergeCell ref="AQ27:AQ34"/>
    <mergeCell ref="AR27:AR34"/>
    <mergeCell ref="X27:Z27"/>
    <mergeCell ref="AC27:AC34"/>
    <mergeCell ref="AD27:AD34"/>
    <mergeCell ref="AE27:AE34"/>
    <mergeCell ref="AI27:AI34"/>
    <mergeCell ref="AK27:AK34"/>
    <mergeCell ref="X32:Z32"/>
    <mergeCell ref="AA27:AA34"/>
    <mergeCell ref="A35:A38"/>
    <mergeCell ref="B35:B38"/>
    <mergeCell ref="C35:E38"/>
    <mergeCell ref="F35:F38"/>
    <mergeCell ref="G35:I35"/>
    <mergeCell ref="J35:L38"/>
    <mergeCell ref="AY27:AY34"/>
    <mergeCell ref="G28:I28"/>
    <mergeCell ref="X28:Z28"/>
    <mergeCell ref="G29:I29"/>
    <mergeCell ref="X29:Z29"/>
    <mergeCell ref="G30:I30"/>
    <mergeCell ref="X30:Z30"/>
    <mergeCell ref="G31:I31"/>
    <mergeCell ref="X31:Z31"/>
    <mergeCell ref="G32:I32"/>
    <mergeCell ref="AS27:AS34"/>
    <mergeCell ref="AT27:AT34"/>
    <mergeCell ref="AU27:AU34"/>
    <mergeCell ref="AV27:AV34"/>
    <mergeCell ref="AW27:AW34"/>
    <mergeCell ref="AX27:AX34"/>
    <mergeCell ref="AM27:AM34"/>
    <mergeCell ref="AN27:AN34"/>
    <mergeCell ref="M35:M38"/>
    <mergeCell ref="N35:N38"/>
    <mergeCell ref="O35:O38"/>
    <mergeCell ref="P35:P38"/>
    <mergeCell ref="Q35:Q38"/>
    <mergeCell ref="R35:R38"/>
    <mergeCell ref="G33:I33"/>
    <mergeCell ref="X33:Z33"/>
    <mergeCell ref="G34:I34"/>
    <mergeCell ref="X34:Z34"/>
    <mergeCell ref="N27:N34"/>
    <mergeCell ref="O27:O34"/>
    <mergeCell ref="P27:P34"/>
    <mergeCell ref="Q27:Q34"/>
    <mergeCell ref="R27:R34"/>
    <mergeCell ref="V27:V34"/>
    <mergeCell ref="AO35:AO38"/>
    <mergeCell ref="AP35:AP38"/>
    <mergeCell ref="AQ35:AQ38"/>
    <mergeCell ref="V35:V38"/>
    <mergeCell ref="X35:Z35"/>
    <mergeCell ref="AC35:AC38"/>
    <mergeCell ref="AD35:AD38"/>
    <mergeCell ref="AE35:AE38"/>
    <mergeCell ref="AI35:AI38"/>
    <mergeCell ref="AA35:AA38"/>
    <mergeCell ref="A39:A44"/>
    <mergeCell ref="B39:B44"/>
    <mergeCell ref="C39:E44"/>
    <mergeCell ref="F39:F44"/>
    <mergeCell ref="G39:I39"/>
    <mergeCell ref="J39:L44"/>
    <mergeCell ref="G44:I44"/>
    <mergeCell ref="AX35:AX38"/>
    <mergeCell ref="AY35:AY38"/>
    <mergeCell ref="G36:I36"/>
    <mergeCell ref="X36:Z36"/>
    <mergeCell ref="G37:I37"/>
    <mergeCell ref="X37:Z37"/>
    <mergeCell ref="G38:I38"/>
    <mergeCell ref="X38:Z38"/>
    <mergeCell ref="AR35:AR38"/>
    <mergeCell ref="AS35:AS38"/>
    <mergeCell ref="AT35:AT38"/>
    <mergeCell ref="AU35:AU38"/>
    <mergeCell ref="AV35:AV38"/>
    <mergeCell ref="AW35:AW38"/>
    <mergeCell ref="AK35:AK38"/>
    <mergeCell ref="AM35:AM38"/>
    <mergeCell ref="AN35:AN38"/>
    <mergeCell ref="AC39:AC44"/>
    <mergeCell ref="AD39:AD44"/>
    <mergeCell ref="AE39:AE44"/>
    <mergeCell ref="AI39:AI44"/>
    <mergeCell ref="X44:Z44"/>
    <mergeCell ref="M39:M44"/>
    <mergeCell ref="N39:N44"/>
    <mergeCell ref="O39:O44"/>
    <mergeCell ref="P39:P44"/>
    <mergeCell ref="Q39:Q44"/>
    <mergeCell ref="R39:R44"/>
    <mergeCell ref="AA39:AA44"/>
    <mergeCell ref="AX39:AX44"/>
    <mergeCell ref="AY39:AY44"/>
    <mergeCell ref="G40:I40"/>
    <mergeCell ref="X40:Z40"/>
    <mergeCell ref="G41:I41"/>
    <mergeCell ref="X41:Z41"/>
    <mergeCell ref="G42:I42"/>
    <mergeCell ref="X42:Z42"/>
    <mergeCell ref="G43:I43"/>
    <mergeCell ref="X43:Z43"/>
    <mergeCell ref="AR39:AR44"/>
    <mergeCell ref="AS39:AS44"/>
    <mergeCell ref="AT39:AT44"/>
    <mergeCell ref="AU39:AU44"/>
    <mergeCell ref="AV39:AV44"/>
    <mergeCell ref="AW39:AW44"/>
    <mergeCell ref="AK39:AK44"/>
    <mergeCell ref="AM39:AM44"/>
    <mergeCell ref="AN39:AN44"/>
    <mergeCell ref="AO39:AO44"/>
    <mergeCell ref="AP39:AP44"/>
    <mergeCell ref="AQ39:AQ44"/>
    <mergeCell ref="V39:V44"/>
    <mergeCell ref="X39:Z39"/>
    <mergeCell ref="M45:M49"/>
    <mergeCell ref="N45:N49"/>
    <mergeCell ref="O45:O49"/>
    <mergeCell ref="P45:P49"/>
    <mergeCell ref="Q45:Q49"/>
    <mergeCell ref="R45:R49"/>
    <mergeCell ref="A45:A49"/>
    <mergeCell ref="B45:B49"/>
    <mergeCell ref="C45:E49"/>
    <mergeCell ref="F45:F49"/>
    <mergeCell ref="G45:I45"/>
    <mergeCell ref="J45:L49"/>
    <mergeCell ref="AN45:AN49"/>
    <mergeCell ref="AO45:AO49"/>
    <mergeCell ref="AP45:AP49"/>
    <mergeCell ref="AQ45:AQ49"/>
    <mergeCell ref="V45:V49"/>
    <mergeCell ref="X45:Z45"/>
    <mergeCell ref="AC45:AC49"/>
    <mergeCell ref="AD45:AD49"/>
    <mergeCell ref="AE45:AE49"/>
    <mergeCell ref="AI45:AI49"/>
    <mergeCell ref="AA45:AA49"/>
    <mergeCell ref="A50:A54"/>
    <mergeCell ref="B50:B54"/>
    <mergeCell ref="C50:E54"/>
    <mergeCell ref="F50:F54"/>
    <mergeCell ref="G50:I50"/>
    <mergeCell ref="J50:L54"/>
    <mergeCell ref="AX45:AX49"/>
    <mergeCell ref="AY45:AY49"/>
    <mergeCell ref="G46:I46"/>
    <mergeCell ref="X46:Z46"/>
    <mergeCell ref="G47:I47"/>
    <mergeCell ref="X47:Z47"/>
    <mergeCell ref="G48:I48"/>
    <mergeCell ref="X48:Z48"/>
    <mergeCell ref="G49:I49"/>
    <mergeCell ref="X49:Z49"/>
    <mergeCell ref="AR45:AR49"/>
    <mergeCell ref="AS45:AS49"/>
    <mergeCell ref="AT45:AT49"/>
    <mergeCell ref="AU45:AU49"/>
    <mergeCell ref="AV45:AV49"/>
    <mergeCell ref="AW45:AW49"/>
    <mergeCell ref="AK45:AK49"/>
    <mergeCell ref="AM45:AM49"/>
    <mergeCell ref="AE50:AE54"/>
    <mergeCell ref="AI50:AI54"/>
    <mergeCell ref="AK50:AK54"/>
    <mergeCell ref="M50:M54"/>
    <mergeCell ref="N50:N54"/>
    <mergeCell ref="O50:O54"/>
    <mergeCell ref="P50:P54"/>
    <mergeCell ref="Q50:Q54"/>
    <mergeCell ref="R50:R54"/>
    <mergeCell ref="AA50:AA54"/>
    <mergeCell ref="AY50:AY54"/>
    <mergeCell ref="G51:I51"/>
    <mergeCell ref="X51:Z51"/>
    <mergeCell ref="G52:I52"/>
    <mergeCell ref="X52:Z52"/>
    <mergeCell ref="G53:I53"/>
    <mergeCell ref="X53:Z53"/>
    <mergeCell ref="G54:I54"/>
    <mergeCell ref="X54:Z54"/>
    <mergeCell ref="AS50:AS54"/>
    <mergeCell ref="AT50:AT54"/>
    <mergeCell ref="AU50:AU54"/>
    <mergeCell ref="AV50:AV54"/>
    <mergeCell ref="AW50:AW54"/>
    <mergeCell ref="AX50:AX54"/>
    <mergeCell ref="AM50:AM54"/>
    <mergeCell ref="AN50:AN54"/>
    <mergeCell ref="AO50:AO54"/>
    <mergeCell ref="AP50:AP54"/>
    <mergeCell ref="AQ50:AQ54"/>
    <mergeCell ref="AR50:AR54"/>
    <mergeCell ref="V50:V54"/>
    <mergeCell ref="X50:Z50"/>
    <mergeCell ref="AD50:AD54"/>
    <mergeCell ref="C57:E57"/>
    <mergeCell ref="G57:I57"/>
    <mergeCell ref="J57:L57"/>
    <mergeCell ref="X57:Z57"/>
    <mergeCell ref="C58:E58"/>
    <mergeCell ref="G58:I58"/>
    <mergeCell ref="J58:L58"/>
    <mergeCell ref="X58:Z58"/>
    <mergeCell ref="C55:E55"/>
    <mergeCell ref="G55:I55"/>
    <mergeCell ref="J55:L55"/>
    <mergeCell ref="X55:Z55"/>
    <mergeCell ref="C56:E56"/>
    <mergeCell ref="G56:I56"/>
    <mergeCell ref="J56:L56"/>
    <mergeCell ref="X56:Z56"/>
    <mergeCell ref="C61:E61"/>
    <mergeCell ref="G61:I61"/>
    <mergeCell ref="J61:L61"/>
    <mergeCell ref="X61:Z61"/>
    <mergeCell ref="C62:E62"/>
    <mergeCell ref="G62:I62"/>
    <mergeCell ref="J62:L62"/>
    <mergeCell ref="X62:Z62"/>
    <mergeCell ref="C59:E59"/>
    <mergeCell ref="G59:I59"/>
    <mergeCell ref="J59:L59"/>
    <mergeCell ref="X59:Z59"/>
    <mergeCell ref="C60:E60"/>
    <mergeCell ref="G60:I60"/>
    <mergeCell ref="J60:L60"/>
    <mergeCell ref="X60:Z60"/>
    <mergeCell ref="C65:E65"/>
    <mergeCell ref="G65:I65"/>
    <mergeCell ref="J65:L65"/>
    <mergeCell ref="X65:Z65"/>
    <mergeCell ref="C66:E66"/>
    <mergeCell ref="G66:I66"/>
    <mergeCell ref="J66:L66"/>
    <mergeCell ref="X66:Z66"/>
    <mergeCell ref="C63:E63"/>
    <mergeCell ref="G63:I63"/>
    <mergeCell ref="J63:L63"/>
    <mergeCell ref="X63:Z63"/>
    <mergeCell ref="C64:E64"/>
    <mergeCell ref="G64:I64"/>
    <mergeCell ref="J64:L64"/>
    <mergeCell ref="X64:Z64"/>
    <mergeCell ref="C69:E69"/>
    <mergeCell ref="G69:I69"/>
    <mergeCell ref="J69:L69"/>
    <mergeCell ref="X69:Z69"/>
    <mergeCell ref="C70:E70"/>
    <mergeCell ref="G70:I70"/>
    <mergeCell ref="J70:L70"/>
    <mergeCell ref="X70:Z70"/>
    <mergeCell ref="C67:E67"/>
    <mergeCell ref="G67:I67"/>
    <mergeCell ref="J67:L67"/>
    <mergeCell ref="X67:Z67"/>
    <mergeCell ref="C68:E68"/>
    <mergeCell ref="G68:I68"/>
    <mergeCell ref="J68:L68"/>
    <mergeCell ref="X68:Z68"/>
    <mergeCell ref="C73:E73"/>
    <mergeCell ref="G73:I73"/>
    <mergeCell ref="J73:L73"/>
    <mergeCell ref="X73:Z73"/>
    <mergeCell ref="C74:E74"/>
    <mergeCell ref="G74:I74"/>
    <mergeCell ref="J74:L74"/>
    <mergeCell ref="X74:Z74"/>
    <mergeCell ref="C71:E71"/>
    <mergeCell ref="G71:I71"/>
    <mergeCell ref="J71:L71"/>
    <mergeCell ref="X71:Z71"/>
    <mergeCell ref="C72:E72"/>
    <mergeCell ref="G72:I72"/>
    <mergeCell ref="J72:L72"/>
    <mergeCell ref="X72:Z72"/>
    <mergeCell ref="C77:E77"/>
    <mergeCell ref="G77:I77"/>
    <mergeCell ref="J77:L77"/>
    <mergeCell ref="X77:Z77"/>
    <mergeCell ref="C78:E78"/>
    <mergeCell ref="G78:I78"/>
    <mergeCell ref="J78:L78"/>
    <mergeCell ref="X78:Z78"/>
    <mergeCell ref="C75:E75"/>
    <mergeCell ref="G75:I75"/>
    <mergeCell ref="J75:L75"/>
    <mergeCell ref="X75:Z75"/>
    <mergeCell ref="C76:E76"/>
    <mergeCell ref="G76:I76"/>
    <mergeCell ref="J76:L76"/>
    <mergeCell ref="X76:Z76"/>
    <mergeCell ref="C81:E81"/>
    <mergeCell ref="G81:I81"/>
    <mergeCell ref="J81:L81"/>
    <mergeCell ref="X81:Z81"/>
    <mergeCell ref="C82:E82"/>
    <mergeCell ref="G82:I82"/>
    <mergeCell ref="J82:L82"/>
    <mergeCell ref="X82:Z82"/>
    <mergeCell ref="C79:E79"/>
    <mergeCell ref="G79:I79"/>
    <mergeCell ref="J79:L79"/>
    <mergeCell ref="X79:Z79"/>
    <mergeCell ref="C80:E80"/>
    <mergeCell ref="G80:I80"/>
    <mergeCell ref="J80:L80"/>
    <mergeCell ref="X80:Z80"/>
    <mergeCell ref="C85:E85"/>
    <mergeCell ref="G85:I85"/>
    <mergeCell ref="J85:L85"/>
    <mergeCell ref="X85:Z85"/>
    <mergeCell ref="C86:E86"/>
    <mergeCell ref="G86:I86"/>
    <mergeCell ref="J86:L86"/>
    <mergeCell ref="X86:Z86"/>
    <mergeCell ref="C83:E83"/>
    <mergeCell ref="G83:I83"/>
    <mergeCell ref="J83:L83"/>
    <mergeCell ref="X83:Z83"/>
    <mergeCell ref="C84:E84"/>
    <mergeCell ref="G84:I84"/>
    <mergeCell ref="J84:L84"/>
    <mergeCell ref="X84:Z84"/>
    <mergeCell ref="C89:E89"/>
    <mergeCell ref="G89:I89"/>
    <mergeCell ref="J89:L89"/>
    <mergeCell ref="X89:Z89"/>
    <mergeCell ref="C90:E90"/>
    <mergeCell ref="G90:I90"/>
    <mergeCell ref="J90:L90"/>
    <mergeCell ref="X90:Z90"/>
    <mergeCell ref="C87:E87"/>
    <mergeCell ref="G87:I87"/>
    <mergeCell ref="J87:L87"/>
    <mergeCell ref="X87:Z87"/>
    <mergeCell ref="C88:E88"/>
    <mergeCell ref="G88:I88"/>
    <mergeCell ref="J88:L88"/>
    <mergeCell ref="X88:Z88"/>
    <mergeCell ref="C93:E93"/>
    <mergeCell ref="G93:I93"/>
    <mergeCell ref="J93:L93"/>
    <mergeCell ref="X93:Z93"/>
    <mergeCell ref="C94:E94"/>
    <mergeCell ref="G94:I94"/>
    <mergeCell ref="J94:L94"/>
    <mergeCell ref="X94:Z94"/>
    <mergeCell ref="C91:E91"/>
    <mergeCell ref="G91:I91"/>
    <mergeCell ref="J91:L91"/>
    <mergeCell ref="X91:Z91"/>
    <mergeCell ref="C92:E92"/>
    <mergeCell ref="G92:I92"/>
    <mergeCell ref="J92:L92"/>
    <mergeCell ref="X92:Z92"/>
    <mergeCell ref="C97:E97"/>
    <mergeCell ref="G97:I97"/>
    <mergeCell ref="J97:L97"/>
    <mergeCell ref="X97:Z97"/>
    <mergeCell ref="C98:E98"/>
    <mergeCell ref="G98:I98"/>
    <mergeCell ref="J98:L98"/>
    <mergeCell ref="X98:Z98"/>
    <mergeCell ref="C95:E95"/>
    <mergeCell ref="G95:I95"/>
    <mergeCell ref="J95:L95"/>
    <mergeCell ref="X95:Z95"/>
    <mergeCell ref="C96:E96"/>
    <mergeCell ref="G96:I96"/>
    <mergeCell ref="J96:L96"/>
    <mergeCell ref="X96:Z96"/>
    <mergeCell ref="C101:E101"/>
    <mergeCell ref="G101:I101"/>
    <mergeCell ref="J101:L101"/>
    <mergeCell ref="X101:Z101"/>
    <mergeCell ref="C102:E102"/>
    <mergeCell ref="G102:I102"/>
    <mergeCell ref="J102:L102"/>
    <mergeCell ref="X102:Z102"/>
    <mergeCell ref="C99:E99"/>
    <mergeCell ref="G99:I99"/>
    <mergeCell ref="J99:L99"/>
    <mergeCell ref="X99:Z99"/>
    <mergeCell ref="C100:E100"/>
    <mergeCell ref="G100:I100"/>
    <mergeCell ref="J100:L100"/>
    <mergeCell ref="X100:Z100"/>
    <mergeCell ref="C105:E105"/>
    <mergeCell ref="G105:I105"/>
    <mergeCell ref="J105:L105"/>
    <mergeCell ref="X105:Z105"/>
    <mergeCell ref="C106:E106"/>
    <mergeCell ref="G106:I106"/>
    <mergeCell ref="J106:L106"/>
    <mergeCell ref="X106:Z106"/>
    <mergeCell ref="C103:E103"/>
    <mergeCell ref="G103:I103"/>
    <mergeCell ref="J103:L103"/>
    <mergeCell ref="X103:Z103"/>
    <mergeCell ref="C104:E104"/>
    <mergeCell ref="G104:I104"/>
    <mergeCell ref="J104:L104"/>
    <mergeCell ref="X104:Z104"/>
    <mergeCell ref="C109:E109"/>
    <mergeCell ref="G109:I109"/>
    <mergeCell ref="J109:L109"/>
    <mergeCell ref="X109:Z109"/>
    <mergeCell ref="C110:E110"/>
    <mergeCell ref="G110:I110"/>
    <mergeCell ref="J110:L110"/>
    <mergeCell ref="X110:Z110"/>
    <mergeCell ref="C107:E107"/>
    <mergeCell ref="G107:I107"/>
    <mergeCell ref="J107:L107"/>
    <mergeCell ref="X107:Z107"/>
    <mergeCell ref="C108:E108"/>
    <mergeCell ref="G108:I108"/>
    <mergeCell ref="J108:L108"/>
    <mergeCell ref="X108:Z108"/>
    <mergeCell ref="C113:E113"/>
    <mergeCell ref="G113:I113"/>
    <mergeCell ref="J113:L113"/>
    <mergeCell ref="X113:Z113"/>
    <mergeCell ref="C114:E114"/>
    <mergeCell ref="G114:I114"/>
    <mergeCell ref="J114:L114"/>
    <mergeCell ref="X114:Z114"/>
    <mergeCell ref="C111:E111"/>
    <mergeCell ref="G111:I111"/>
    <mergeCell ref="J111:L111"/>
    <mergeCell ref="X111:Z111"/>
    <mergeCell ref="C112:E112"/>
    <mergeCell ref="G112:I112"/>
    <mergeCell ref="J112:L112"/>
    <mergeCell ref="X112:Z112"/>
    <mergeCell ref="C117:E117"/>
    <mergeCell ref="G117:I117"/>
    <mergeCell ref="J117:L117"/>
    <mergeCell ref="X117:Z117"/>
    <mergeCell ref="C118:E118"/>
    <mergeCell ref="G118:I118"/>
    <mergeCell ref="J118:L118"/>
    <mergeCell ref="X118:Z118"/>
    <mergeCell ref="C115:E115"/>
    <mergeCell ref="G115:I115"/>
    <mergeCell ref="J115:L115"/>
    <mergeCell ref="X115:Z115"/>
    <mergeCell ref="C116:E116"/>
    <mergeCell ref="G116:I116"/>
    <mergeCell ref="J116:L116"/>
    <mergeCell ref="X116:Z116"/>
    <mergeCell ref="C121:E121"/>
    <mergeCell ref="G121:I121"/>
    <mergeCell ref="J121:L121"/>
    <mergeCell ref="X121:Z121"/>
    <mergeCell ref="C122:E122"/>
    <mergeCell ref="G122:I122"/>
    <mergeCell ref="J122:L122"/>
    <mergeCell ref="X122:Z122"/>
    <mergeCell ref="C119:E119"/>
    <mergeCell ref="G119:I119"/>
    <mergeCell ref="J119:L119"/>
    <mergeCell ref="X119:Z119"/>
    <mergeCell ref="C120:E120"/>
    <mergeCell ref="G120:I120"/>
    <mergeCell ref="J120:L120"/>
    <mergeCell ref="X120:Z120"/>
    <mergeCell ref="C125:E125"/>
    <mergeCell ref="G125:I125"/>
    <mergeCell ref="J125:L125"/>
    <mergeCell ref="X125:Z125"/>
    <mergeCell ref="C126:E126"/>
    <mergeCell ref="G126:I126"/>
    <mergeCell ref="J126:L126"/>
    <mergeCell ref="X126:Z126"/>
    <mergeCell ref="C123:E123"/>
    <mergeCell ref="G123:I123"/>
    <mergeCell ref="J123:L123"/>
    <mergeCell ref="X123:Z123"/>
    <mergeCell ref="C124:E124"/>
    <mergeCell ref="G124:I124"/>
    <mergeCell ref="J124:L124"/>
    <mergeCell ref="X124:Z124"/>
    <mergeCell ref="C129:E129"/>
    <mergeCell ref="G129:I129"/>
    <mergeCell ref="J129:L129"/>
    <mergeCell ref="X129:Z129"/>
    <mergeCell ref="C130:E130"/>
    <mergeCell ref="G130:I130"/>
    <mergeCell ref="J130:L130"/>
    <mergeCell ref="X130:Z130"/>
    <mergeCell ref="C127:E127"/>
    <mergeCell ref="G127:I127"/>
    <mergeCell ref="J127:L127"/>
    <mergeCell ref="X127:Z127"/>
    <mergeCell ref="C128:E128"/>
    <mergeCell ref="G128:I128"/>
    <mergeCell ref="J128:L128"/>
    <mergeCell ref="X128:Z128"/>
    <mergeCell ref="C133:E133"/>
    <mergeCell ref="G133:I133"/>
    <mergeCell ref="J133:L133"/>
    <mergeCell ref="X133:Z133"/>
    <mergeCell ref="C134:E134"/>
    <mergeCell ref="G134:I134"/>
    <mergeCell ref="J134:L134"/>
    <mergeCell ref="X134:Z134"/>
    <mergeCell ref="C131:E131"/>
    <mergeCell ref="G131:I131"/>
    <mergeCell ref="J131:L131"/>
    <mergeCell ref="X131:Z131"/>
    <mergeCell ref="C132:E132"/>
    <mergeCell ref="G132:I132"/>
    <mergeCell ref="J132:L132"/>
    <mergeCell ref="X132:Z132"/>
    <mergeCell ref="C137:E137"/>
    <mergeCell ref="G137:I137"/>
    <mergeCell ref="J137:L137"/>
    <mergeCell ref="X137:Z137"/>
    <mergeCell ref="C138:E138"/>
    <mergeCell ref="G138:I138"/>
    <mergeCell ref="J138:L138"/>
    <mergeCell ref="X138:Z138"/>
    <mergeCell ref="C135:E135"/>
    <mergeCell ref="G135:I135"/>
    <mergeCell ref="J135:L135"/>
    <mergeCell ref="X135:Z135"/>
    <mergeCell ref="C136:E136"/>
    <mergeCell ref="G136:I136"/>
    <mergeCell ref="J136:L136"/>
    <mergeCell ref="X136:Z136"/>
    <mergeCell ref="C141:E141"/>
    <mergeCell ref="G141:I141"/>
    <mergeCell ref="J141:L141"/>
    <mergeCell ref="X141:Z141"/>
    <mergeCell ref="C142:E142"/>
    <mergeCell ref="G142:I142"/>
    <mergeCell ref="J142:L142"/>
    <mergeCell ref="X142:Z142"/>
    <mergeCell ref="C139:E139"/>
    <mergeCell ref="G139:I139"/>
    <mergeCell ref="J139:L139"/>
    <mergeCell ref="X139:Z139"/>
    <mergeCell ref="C140:E140"/>
    <mergeCell ref="G140:I140"/>
    <mergeCell ref="J140:L140"/>
    <mergeCell ref="X140:Z140"/>
    <mergeCell ref="C145:E145"/>
    <mergeCell ref="G145:I145"/>
    <mergeCell ref="J145:L145"/>
    <mergeCell ref="X145:Z145"/>
    <mergeCell ref="C146:E146"/>
    <mergeCell ref="G146:I146"/>
    <mergeCell ref="J146:L146"/>
    <mergeCell ref="X146:Z146"/>
    <mergeCell ref="C143:E143"/>
    <mergeCell ref="G143:I143"/>
    <mergeCell ref="J143:L143"/>
    <mergeCell ref="X143:Z143"/>
    <mergeCell ref="C144:E144"/>
    <mergeCell ref="G144:I144"/>
    <mergeCell ref="J144:L144"/>
    <mergeCell ref="X144:Z144"/>
    <mergeCell ref="C149:E149"/>
    <mergeCell ref="G149:I149"/>
    <mergeCell ref="J149:L149"/>
    <mergeCell ref="X149:Z149"/>
    <mergeCell ref="C150:E150"/>
    <mergeCell ref="G150:I150"/>
    <mergeCell ref="J150:L150"/>
    <mergeCell ref="X150:Z150"/>
    <mergeCell ref="C147:E147"/>
    <mergeCell ref="G147:I147"/>
    <mergeCell ref="J147:L147"/>
    <mergeCell ref="X147:Z147"/>
    <mergeCell ref="C148:E148"/>
    <mergeCell ref="G148:I148"/>
    <mergeCell ref="J148:L148"/>
    <mergeCell ref="X148:Z148"/>
    <mergeCell ref="C153:E153"/>
    <mergeCell ref="G153:I153"/>
    <mergeCell ref="J153:L153"/>
    <mergeCell ref="X153:Z153"/>
    <mergeCell ref="C154:E154"/>
    <mergeCell ref="G154:I154"/>
    <mergeCell ref="J154:L154"/>
    <mergeCell ref="X154:Z154"/>
    <mergeCell ref="C151:E151"/>
    <mergeCell ref="G151:I151"/>
    <mergeCell ref="J151:L151"/>
    <mergeCell ref="X151:Z151"/>
    <mergeCell ref="C152:E152"/>
    <mergeCell ref="G152:I152"/>
    <mergeCell ref="J152:L152"/>
    <mergeCell ref="X152:Z152"/>
    <mergeCell ref="C157:E157"/>
    <mergeCell ref="G157:I157"/>
    <mergeCell ref="J157:L157"/>
    <mergeCell ref="X157:Z157"/>
    <mergeCell ref="C158:E158"/>
    <mergeCell ref="G158:I158"/>
    <mergeCell ref="J158:L158"/>
    <mergeCell ref="X158:Z158"/>
    <mergeCell ref="C155:E155"/>
    <mergeCell ref="G155:I155"/>
    <mergeCell ref="J155:L155"/>
    <mergeCell ref="X155:Z155"/>
    <mergeCell ref="C156:E156"/>
    <mergeCell ref="G156:I156"/>
    <mergeCell ref="J156:L156"/>
    <mergeCell ref="X156:Z156"/>
    <mergeCell ref="C161:E161"/>
    <mergeCell ref="G161:I161"/>
    <mergeCell ref="J161:L161"/>
    <mergeCell ref="X161:Z161"/>
    <mergeCell ref="C162:E162"/>
    <mergeCell ref="G162:I162"/>
    <mergeCell ref="J162:L162"/>
    <mergeCell ref="X162:Z162"/>
    <mergeCell ref="C159:E159"/>
    <mergeCell ref="G159:I159"/>
    <mergeCell ref="J159:L159"/>
    <mergeCell ref="X159:Z159"/>
    <mergeCell ref="C160:E160"/>
    <mergeCell ref="G160:I160"/>
    <mergeCell ref="J160:L160"/>
    <mergeCell ref="X160:Z160"/>
    <mergeCell ref="C165:E165"/>
    <mergeCell ref="G165:I165"/>
    <mergeCell ref="J165:L165"/>
    <mergeCell ref="X165:Z165"/>
    <mergeCell ref="C166:E166"/>
    <mergeCell ref="G166:I166"/>
    <mergeCell ref="J166:L166"/>
    <mergeCell ref="X166:Z166"/>
    <mergeCell ref="C163:E163"/>
    <mergeCell ref="G163:I163"/>
    <mergeCell ref="J163:L163"/>
    <mergeCell ref="X163:Z163"/>
    <mergeCell ref="C164:E164"/>
    <mergeCell ref="G164:I164"/>
    <mergeCell ref="J164:L164"/>
    <mergeCell ref="X164:Z164"/>
    <mergeCell ref="AD170:AN170"/>
    <mergeCell ref="AD171:AN171"/>
    <mergeCell ref="AD172:AN172"/>
    <mergeCell ref="AD173:AN173"/>
    <mergeCell ref="C167:E167"/>
    <mergeCell ref="G167:I167"/>
    <mergeCell ref="J167:L167"/>
    <mergeCell ref="X167:Z167"/>
    <mergeCell ref="A169:L170"/>
    <mergeCell ref="N170:R170"/>
    <mergeCell ref="V170:Z170"/>
    <mergeCell ref="N174:R174"/>
    <mergeCell ref="V174:Z174"/>
    <mergeCell ref="N173:R173"/>
    <mergeCell ref="V173:Z173"/>
    <mergeCell ref="AB173:AC173"/>
    <mergeCell ref="AB170:AC170"/>
    <mergeCell ref="A171:L173"/>
    <mergeCell ref="N171:R171"/>
    <mergeCell ref="V171:Z171"/>
    <mergeCell ref="AB171:AC171"/>
    <mergeCell ref="N172:R172"/>
    <mergeCell ref="V172:Z172"/>
    <mergeCell ref="AB172:AC172"/>
  </mergeCells>
  <dataValidations count="6">
    <dataValidation type="list" allowBlank="1" showInputMessage="1" showErrorMessage="1" sqref="WNE9:WNE167 WXA9:WXA167 KO9:KO167 UK9:UK167 AEG9:AEG167 AOC9:AOC167 AXY9:AXY167 BHU9:BHU167 BRQ9:BRQ167 CBM9:CBM167 CLI9:CLI167 CVE9:CVE167 DFA9:DFA167 DOW9:DOW167 DYS9:DYS167 EIO9:EIO167 ESK9:ESK167 FCG9:FCG167 FMC9:FMC167 FVY9:FVY167 GFU9:GFU167 GPQ9:GPQ167 GZM9:GZM167 HJI9:HJI167 HTE9:HTE167 IDA9:IDA167 IMW9:IMW167 IWS9:IWS167 JGO9:JGO167 JQK9:JQK167 KAG9:KAG167 KKC9:KKC167 KTY9:KTY167 LDU9:LDU167 LNQ9:LNQ167 LXM9:LXM167 MHI9:MHI167 MRE9:MRE167 NBA9:NBA167 NKW9:NKW167 NUS9:NUS167 OEO9:OEO167 OOK9:OOK167 OYG9:OYG167 PIC9:PIC167 PRY9:PRY167 QBU9:QBU167 QLQ9:QLQ167 QVM9:QVM167 RFI9:RFI167 RPE9:RPE167 RZA9:RZA167 SIW9:SIW167 SSS9:SSS167 TCO9:TCO167 TMK9:TMK167 TWG9:TWG167 UGC9:UGC167 UPY9:UPY167 UZU9:UZU167 VJQ9:VJQ167 VTM9:VTM167 WDI9:WDI167 AS55:AS167 AS9:AS50">
      <formula1>SINO</formula1>
    </dataValidation>
    <dataValidation type="list" allowBlank="1" showInputMessage="1" showErrorMessage="1" sqref="Q55:Q167 Q9 Q13 Q18 Q23 Q27 Q35 Q39 Q45 Q50 WVZ9:WVZ167 WMD9:WMD167 JN9:JN167 TJ9:TJ167 ADF9:ADF167 ANB9:ANB167 AWX9:AWX167 BGT9:BGT167 BQP9:BQP167 CAL9:CAL167 CKH9:CKH167 CUD9:CUD167 DDZ9:DDZ167 DNV9:DNV167 DXR9:DXR167 EHN9:EHN167 ERJ9:ERJ167 FBF9:FBF167 FLB9:FLB167 FUX9:FUX167 GET9:GET167 GOP9:GOP167 GYL9:GYL167 HIH9:HIH167 HSD9:HSD167 IBZ9:IBZ167 ILV9:ILV167 IVR9:IVR167 JFN9:JFN167 JPJ9:JPJ167 JZF9:JZF167 KJB9:KJB167 KSX9:KSX167 LCT9:LCT167 LMP9:LMP167 LWL9:LWL167 MGH9:MGH167 MQD9:MQD167 MZZ9:MZZ167 NJV9:NJV167 NTR9:NTR167 ODN9:ODN167 ONJ9:ONJ167 OXF9:OXF167 PHB9:PHB167 PQX9:PQX167 QAT9:QAT167 QKP9:QKP167 QUL9:QUL167 REH9:REH167 ROD9:ROD167 RXZ9:RXZ167 SHV9:SHV167 SRR9:SRR167 TBN9:TBN167 TLJ9:TLJ167 TVF9:TVF167 UFB9:UFB167 UOX9:UOX167 UYT9:UYT167 VIP9:VIP167 VSL9:VSL167 WCH9:WCH167 Q25">
      <formula1>PROBAB</formula1>
    </dataValidation>
    <dataValidation type="list" allowBlank="1" showInputMessage="1" showErrorMessage="1" sqref="R55:R167 R9 R13 R18 R23 R27 R35 R39 R45 R50 WWA9:WWA167 WME9:WME167 JO9:JO167 TK9:TK167 ADG9:ADG167 ANC9:ANC167 AWY9:AWY167 BGU9:BGU167 BQQ9:BQQ167 CAM9:CAM167 CKI9:CKI167 CUE9:CUE167 DEA9:DEA167 DNW9:DNW167 DXS9:DXS167 EHO9:EHO167 ERK9:ERK167 FBG9:FBG167 FLC9:FLC167 FUY9:FUY167 GEU9:GEU167 GOQ9:GOQ167 GYM9:GYM167 HII9:HII167 HSE9:HSE167 ICA9:ICA167 ILW9:ILW167 IVS9:IVS167 JFO9:JFO167 JPK9:JPK167 JZG9:JZG167 KJC9:KJC167 KSY9:KSY167 LCU9:LCU167 LMQ9:LMQ167 LWM9:LWM167 MGI9:MGI167 MQE9:MQE167 NAA9:NAA167 NJW9:NJW167 NTS9:NTS167 ODO9:ODO167 ONK9:ONK167 OXG9:OXG167 PHC9:PHC167 PQY9:PQY167 QAU9:QAU167 QKQ9:QKQ167 QUM9:QUM167 REI9:REI167 ROE9:ROE167 RYA9:RYA167 SHW9:SHW167 SRS9:SRS167 TBO9:TBO167 TLK9:TLK167 TVG9:TVG167 UFC9:UFC167 UOY9:UOY167 UYU9:UYU167 VIQ9:VIQ167 VSM9:VSM167 WCI9:WCI167 R25">
      <formula1>IMPACTO</formula1>
    </dataValidation>
    <dataValidation type="list" showInputMessage="1" showErrorMessage="1" errorTitle="Rechazado" error="Solo son validadas las opciones de la lista" sqref="AE55:AE167 AE9 AE13 AE18 AE23 AE27 AE35 AE39 AE45 AE50 WWM9:WWM167 WMQ9:WMQ167 KA9:KA167 TW9:TW167 ADS9:ADS167 ANO9:ANO167 AXK9:AXK167 BHG9:BHG167 BRC9:BRC167 CAY9:CAY167 CKU9:CKU167 CUQ9:CUQ167 DEM9:DEM167 DOI9:DOI167 DYE9:DYE167 EIA9:EIA167 ERW9:ERW167 FBS9:FBS167 FLO9:FLO167 FVK9:FVK167 GFG9:GFG167 GPC9:GPC167 GYY9:GYY167 HIU9:HIU167 HSQ9:HSQ167 ICM9:ICM167 IMI9:IMI167 IWE9:IWE167 JGA9:JGA167 JPW9:JPW167 JZS9:JZS167 KJO9:KJO167 KTK9:KTK167 LDG9:LDG167 LNC9:LNC167 LWY9:LWY167 MGU9:MGU167 MQQ9:MQQ167 NAM9:NAM167 NKI9:NKI167 NUE9:NUE167 OEA9:OEA167 ONW9:ONW167 OXS9:OXS167 PHO9:PHO167 PRK9:PRK167 QBG9:QBG167 QLC9:QLC167 QUY9:QUY167 REU9:REU167 ROQ9:ROQ167 RYM9:RYM167 SII9:SII167 SSE9:SSE167 TCA9:TCA167 TLW9:TLW167 TVS9:TVS167 UFO9:UFO167 UPK9:UPK167 UZG9:UZG167 VJC9:VJC167 VSY9:VSY167 WCU9:WCU167 AE25">
      <formula1>Efecto</formula1>
    </dataValidation>
    <dataValidation showInputMessage="1" showErrorMessage="1" sqref="AG55:AK167 AI9 AK9 AI13 AK13 AI18 AK18 AG9:AH54 AI23 AK23 AI27 AK27 AI35 AK35 AI39 AK39 AI45 AK45 AI50 AK50 WWO9:WWS167 WMS9:WMW167 KC9:KG167 TY9:UC167 ADU9:ADY167 ANQ9:ANU167 AXM9:AXQ167 BHI9:BHM167 BRE9:BRI167 CBA9:CBE167 CKW9:CLA167 CUS9:CUW167 DEO9:DES167 DOK9:DOO167 DYG9:DYK167 EIC9:EIG167 ERY9:ESC167 FBU9:FBY167 FLQ9:FLU167 FVM9:FVQ167 GFI9:GFM167 GPE9:GPI167 GZA9:GZE167 HIW9:HJA167 HSS9:HSW167 ICO9:ICS167 IMK9:IMO167 IWG9:IWK167 JGC9:JGG167 JPY9:JQC167 JZU9:JZY167 KJQ9:KJU167 KTM9:KTQ167 LDI9:LDM167 LNE9:LNI167 LXA9:LXE167 MGW9:MHA167 MQS9:MQW167 NAO9:NAS167 NKK9:NKO167 NUG9:NUK167 OEC9:OEG167 ONY9:OOC167 OXU9:OXY167 PHQ9:PHU167 PRM9:PRQ167 QBI9:QBM167 QLE9:QLI167 QVA9:QVE167 REW9:RFA167 ROS9:ROW167 RYO9:RYS167 SIK9:SIO167 SSG9:SSK167 TCC9:TCG167 TLY9:TMC167 TVU9:TVY167 UFQ9:UFU167 UPM9:UPQ167 UZI9:UZM167 VJE9:VJI167 VTA9:VTE167 WCW9:WDA167 AJ9:AJ54 AK25 AI25"/>
    <dataValidation type="whole" allowBlank="1" showInputMessage="1" showErrorMessage="1" sqref="AD55:AD167 AD9 AD13 AD18 AD23 AD27 AD35 AD39 AD45 AD50 WWL9:WWL167 WMP9:WMP167 JZ9:JZ167 TV9:TV167 ADR9:ADR167 ANN9:ANN167 AXJ9:AXJ167 BHF9:BHF167 BRB9:BRB167 CAX9:CAX167 CKT9:CKT167 CUP9:CUP167 DEL9:DEL167 DOH9:DOH167 DYD9:DYD167 EHZ9:EHZ167 ERV9:ERV167 FBR9:FBR167 FLN9:FLN167 FVJ9:FVJ167 GFF9:GFF167 GPB9:GPB167 GYX9:GYX167 HIT9:HIT167 HSP9:HSP167 ICL9:ICL167 IMH9:IMH167 IWD9:IWD167 JFZ9:JFZ167 JPV9:JPV167 JZR9:JZR167 KJN9:KJN167 KTJ9:KTJ167 LDF9:LDF167 LNB9:LNB167 LWX9:LWX167 MGT9:MGT167 MQP9:MQP167 NAL9:NAL167 NKH9:NKH167 NUD9:NUD167 ODZ9:ODZ167 ONV9:ONV167 OXR9:OXR167 PHN9:PHN167 PRJ9:PRJ167 QBF9:QBF167 QLB9:QLB167 QUX9:QUX167 RET9:RET167 ROP9:ROP167 RYL9:RYL167 SIH9:SIH167 SSD9:SSD167 TBZ9:TBZ167 TLV9:TLV167 TVR9:TVR167 UFN9:UFN167 UPJ9:UPJ167 UZF9:UZF167 VJB9:VJB167 VSX9:VSX167 WCT9:WCT167 AD25">
      <formula1>0</formula1>
      <formula2>100</formula2>
    </dataValidation>
  </dataValidations>
  <printOptions horizontalCentered="1"/>
  <pageMargins left="0.78740157480314965" right="0.78740157480314965" top="0.59055118110236227" bottom="0.59055118110236227" header="0.51181102362204722" footer="0.27559055118110237"/>
  <pageSetup paperSize="14" scale="28" firstPageNumber="0" fitToHeight="0" orientation="landscape" r:id="rId1"/>
  <headerFooter>
    <oddFooter>&amp;L&amp;9Formato: FO-AC-07 Versión: 3&amp;C&amp;9Página &amp;P</oddFooter>
  </headerFooter>
  <rowBreaks count="1" manualBreakCount="1">
    <brk id="38" max="49"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election activeCell="F27" sqref="F27"/>
    </sheetView>
  </sheetViews>
  <sheetFormatPr baseColWidth="10" defaultRowHeight="15"/>
  <cols>
    <col min="1" max="1" width="95.140625" bestFit="1" customWidth="1"/>
    <col min="2" max="2" width="20.42578125" bestFit="1" customWidth="1"/>
    <col min="3" max="3" width="23.7109375" bestFit="1" customWidth="1"/>
    <col min="4" max="4" width="23.42578125" bestFit="1" customWidth="1"/>
    <col min="5" max="5" width="24.140625" bestFit="1" customWidth="1"/>
    <col min="6" max="6" width="23.5703125" bestFit="1" customWidth="1"/>
    <col min="7" max="7" width="5.5703125" customWidth="1"/>
    <col min="8" max="8" width="11" customWidth="1"/>
    <col min="9" max="9" width="12.5703125" customWidth="1"/>
    <col min="10" max="18" width="7.28515625" customWidth="1"/>
    <col min="19" max="21" width="8.140625" customWidth="1"/>
    <col min="22" max="25" width="8.28515625" customWidth="1"/>
    <col min="26" max="30" width="8" customWidth="1"/>
    <col min="31" max="40" width="7.7109375" customWidth="1"/>
    <col min="41" max="49" width="8" customWidth="1"/>
    <col min="50" max="51" width="7.7109375" customWidth="1"/>
    <col min="52" max="56" width="8.140625" customWidth="1"/>
    <col min="57" max="68" width="8" customWidth="1"/>
    <col min="69" max="70" width="7.5703125" customWidth="1"/>
    <col min="71" max="77" width="7.85546875" customWidth="1"/>
    <col min="78" max="85" width="8.140625" customWidth="1"/>
    <col min="86" max="88" width="7.5703125" customWidth="1"/>
    <col min="89" max="93" width="8.5703125" customWidth="1"/>
    <col min="94" max="115" width="7.7109375" customWidth="1"/>
    <col min="116" max="123" width="7.85546875" customWidth="1"/>
    <col min="124" max="135" width="7.140625" customWidth="1"/>
    <col min="136" max="150" width="7.85546875" customWidth="1"/>
    <col min="151" max="151" width="11" customWidth="1"/>
    <col min="152" max="152" width="12.5703125" bestFit="1" customWidth="1"/>
  </cols>
  <sheetData>
    <row r="1" spans="1:6">
      <c r="A1" s="137" t="s">
        <v>1909</v>
      </c>
      <c r="B1" t="s">
        <v>1929</v>
      </c>
    </row>
    <row r="2" spans="1:6">
      <c r="A2" s="137" t="s">
        <v>1908</v>
      </c>
      <c r="B2" t="s">
        <v>2280</v>
      </c>
    </row>
    <row r="3" spans="1:6">
      <c r="A3" s="137" t="s">
        <v>1932</v>
      </c>
      <c r="B3" t="s">
        <v>2260</v>
      </c>
    </row>
    <row r="5" spans="1:6">
      <c r="A5" s="137" t="s">
        <v>2277</v>
      </c>
      <c r="B5" t="s">
        <v>2279</v>
      </c>
      <c r="C5" t="s">
        <v>2285</v>
      </c>
      <c r="D5" t="s">
        <v>2286</v>
      </c>
      <c r="E5" t="s">
        <v>2287</v>
      </c>
      <c r="F5" t="s">
        <v>2288</v>
      </c>
    </row>
    <row r="6" spans="1:6">
      <c r="A6" s="45" t="s">
        <v>2158</v>
      </c>
      <c r="B6" s="138">
        <v>2</v>
      </c>
      <c r="C6" s="139">
        <v>2</v>
      </c>
      <c r="D6" s="139">
        <v>10</v>
      </c>
      <c r="E6" s="139">
        <v>1.5</v>
      </c>
      <c r="F6" s="139">
        <v>10</v>
      </c>
    </row>
    <row r="7" spans="1:6">
      <c r="A7" s="45" t="s">
        <v>1917</v>
      </c>
      <c r="B7" s="138">
        <v>6</v>
      </c>
      <c r="C7" s="139">
        <v>1</v>
      </c>
      <c r="D7" s="139">
        <v>9.1666666666666661</v>
      </c>
      <c r="E7" s="139">
        <v>1</v>
      </c>
      <c r="F7" s="139">
        <v>9.1666666666666661</v>
      </c>
    </row>
    <row r="8" spans="1:6">
      <c r="A8" s="45" t="s">
        <v>1918</v>
      </c>
      <c r="B8" s="138">
        <v>3</v>
      </c>
      <c r="C8" s="139">
        <v>1.3333333333333333</v>
      </c>
      <c r="D8" s="139">
        <v>20</v>
      </c>
      <c r="E8" s="139">
        <v>1</v>
      </c>
      <c r="F8" s="139">
        <v>10</v>
      </c>
    </row>
    <row r="9" spans="1:6">
      <c r="A9" s="45" t="s">
        <v>1919</v>
      </c>
      <c r="B9" s="138">
        <v>5</v>
      </c>
      <c r="C9" s="139">
        <v>1.4</v>
      </c>
      <c r="D9" s="139">
        <v>9</v>
      </c>
      <c r="E9" s="139">
        <v>1.2</v>
      </c>
      <c r="F9" s="139">
        <v>9</v>
      </c>
    </row>
    <row r="10" spans="1:6">
      <c r="A10" s="45" t="s">
        <v>1920</v>
      </c>
      <c r="B10" s="138">
        <v>5</v>
      </c>
      <c r="C10" s="139">
        <v>1.8</v>
      </c>
      <c r="D10" s="139">
        <v>20</v>
      </c>
      <c r="E10" s="139">
        <v>1</v>
      </c>
      <c r="F10" s="139">
        <v>20</v>
      </c>
    </row>
    <row r="11" spans="1:6">
      <c r="A11" s="45" t="s">
        <v>1933</v>
      </c>
      <c r="B11" s="138">
        <v>6</v>
      </c>
      <c r="C11" s="139">
        <v>3</v>
      </c>
      <c r="D11" s="139">
        <v>5</v>
      </c>
      <c r="E11" s="139">
        <v>1.1666666666666667</v>
      </c>
      <c r="F11" s="139">
        <v>5</v>
      </c>
    </row>
    <row r="12" spans="1:6">
      <c r="A12" s="45" t="s">
        <v>1921</v>
      </c>
      <c r="B12" s="138">
        <v>7</v>
      </c>
      <c r="C12" s="139">
        <v>1.5714285714285714</v>
      </c>
      <c r="D12" s="139">
        <v>12.857142857142858</v>
      </c>
      <c r="E12" s="139">
        <v>1</v>
      </c>
      <c r="F12" s="139">
        <v>12.142857142857142</v>
      </c>
    </row>
    <row r="13" spans="1:6">
      <c r="A13" s="45" t="s">
        <v>1922</v>
      </c>
      <c r="B13" s="138">
        <v>1</v>
      </c>
      <c r="C13" s="139">
        <v>2</v>
      </c>
      <c r="D13" s="139">
        <v>20</v>
      </c>
      <c r="E13" s="139">
        <v>1</v>
      </c>
      <c r="F13" s="139">
        <v>20</v>
      </c>
    </row>
    <row r="14" spans="1:6">
      <c r="A14" s="45" t="s">
        <v>1923</v>
      </c>
      <c r="B14" s="138">
        <v>4</v>
      </c>
      <c r="C14" s="139">
        <v>1.25</v>
      </c>
      <c r="D14" s="139">
        <v>10</v>
      </c>
      <c r="E14" s="139">
        <v>1</v>
      </c>
      <c r="F14" s="139">
        <v>6.25</v>
      </c>
    </row>
    <row r="15" spans="1:6">
      <c r="A15" s="45" t="s">
        <v>1924</v>
      </c>
      <c r="B15" s="138">
        <v>2</v>
      </c>
      <c r="C15" s="139">
        <v>2.5</v>
      </c>
      <c r="D15" s="139">
        <v>10</v>
      </c>
      <c r="E15" s="139">
        <v>1</v>
      </c>
      <c r="F15" s="139">
        <v>5</v>
      </c>
    </row>
    <row r="16" spans="1:6">
      <c r="A16" s="45" t="s">
        <v>1925</v>
      </c>
      <c r="B16" s="138">
        <v>7</v>
      </c>
      <c r="C16" s="139">
        <v>1.1428571428571428</v>
      </c>
      <c r="D16" s="139">
        <v>10</v>
      </c>
      <c r="E16" s="139">
        <v>1</v>
      </c>
      <c r="F16" s="139">
        <v>7.8571428571428568</v>
      </c>
    </row>
    <row r="17" spans="1:6">
      <c r="A17" s="45" t="s">
        <v>1931</v>
      </c>
      <c r="B17" s="138">
        <v>1</v>
      </c>
      <c r="C17" s="139">
        <v>1</v>
      </c>
      <c r="D17" s="139">
        <v>10</v>
      </c>
      <c r="E17" s="139">
        <v>1</v>
      </c>
      <c r="F17" s="139">
        <v>10</v>
      </c>
    </row>
    <row r="18" spans="1:6">
      <c r="A18" s="45" t="s">
        <v>1926</v>
      </c>
      <c r="B18" s="138">
        <v>2</v>
      </c>
      <c r="C18" s="139">
        <v>1</v>
      </c>
      <c r="D18" s="139">
        <v>5</v>
      </c>
      <c r="E18" s="139">
        <v>1</v>
      </c>
      <c r="F18" s="139">
        <v>5</v>
      </c>
    </row>
    <row r="19" spans="1:6">
      <c r="A19" s="45" t="s">
        <v>1927</v>
      </c>
      <c r="B19" s="138">
        <v>4</v>
      </c>
      <c r="C19" s="139">
        <v>1.25</v>
      </c>
      <c r="D19" s="139">
        <v>8.75</v>
      </c>
      <c r="E19" s="139">
        <v>1</v>
      </c>
      <c r="F19" s="139">
        <v>6.25</v>
      </c>
    </row>
    <row r="20" spans="1:6">
      <c r="A20" s="45" t="s">
        <v>1928</v>
      </c>
      <c r="B20" s="138">
        <v>7</v>
      </c>
      <c r="C20" s="139">
        <v>1.4285714285714286</v>
      </c>
      <c r="D20" s="139">
        <v>15.714285714285714</v>
      </c>
      <c r="E20" s="139">
        <v>1</v>
      </c>
      <c r="F20" s="139">
        <v>12.142857142857142</v>
      </c>
    </row>
    <row r="21" spans="1:6">
      <c r="A21" s="45" t="s">
        <v>1910</v>
      </c>
      <c r="B21" s="138">
        <v>2</v>
      </c>
      <c r="C21" s="139">
        <v>1.5</v>
      </c>
      <c r="D21" s="139">
        <v>10</v>
      </c>
      <c r="E21" s="139">
        <v>1</v>
      </c>
      <c r="F21" s="139">
        <v>5</v>
      </c>
    </row>
    <row r="22" spans="1:6">
      <c r="A22" s="45" t="s">
        <v>1911</v>
      </c>
      <c r="B22" s="138">
        <v>2</v>
      </c>
      <c r="C22" s="139">
        <v>1.5</v>
      </c>
      <c r="D22" s="139">
        <v>15</v>
      </c>
      <c r="E22" s="139">
        <v>1</v>
      </c>
      <c r="F22" s="139">
        <v>5</v>
      </c>
    </row>
    <row r="23" spans="1:6">
      <c r="A23" s="45" t="s">
        <v>1912</v>
      </c>
      <c r="B23" s="138">
        <v>2</v>
      </c>
      <c r="C23" s="139">
        <v>2</v>
      </c>
      <c r="D23" s="139">
        <v>7.5</v>
      </c>
      <c r="E23" s="139">
        <v>1</v>
      </c>
      <c r="F23" s="139">
        <v>7.5</v>
      </c>
    </row>
    <row r="24" spans="1:6">
      <c r="A24" s="45" t="s">
        <v>1913</v>
      </c>
      <c r="B24" s="138">
        <v>1</v>
      </c>
      <c r="C24" s="139">
        <v>1</v>
      </c>
      <c r="D24" s="139">
        <v>10</v>
      </c>
      <c r="E24" s="139">
        <v>1</v>
      </c>
      <c r="F24" s="139">
        <v>10</v>
      </c>
    </row>
    <row r="25" spans="1:6">
      <c r="A25" s="45" t="s">
        <v>1914</v>
      </c>
      <c r="B25" s="138">
        <v>9</v>
      </c>
      <c r="C25" s="139">
        <v>1.8888888888888888</v>
      </c>
      <c r="D25" s="139">
        <v>9.4444444444444446</v>
      </c>
      <c r="E25" s="139">
        <v>1.1111111111111112</v>
      </c>
      <c r="F25" s="139">
        <v>6.666666666666667</v>
      </c>
    </row>
    <row r="26" spans="1:6">
      <c r="A26" s="45" t="s">
        <v>1915</v>
      </c>
      <c r="B26" s="138">
        <v>1</v>
      </c>
      <c r="C26" s="139">
        <v>2</v>
      </c>
      <c r="D26" s="139">
        <v>20</v>
      </c>
      <c r="E26" s="139">
        <v>1</v>
      </c>
      <c r="F26" s="139">
        <v>5</v>
      </c>
    </row>
    <row r="27" spans="1:6">
      <c r="A27" s="45" t="s">
        <v>1916</v>
      </c>
      <c r="B27" s="138">
        <v>2</v>
      </c>
      <c r="C27" s="139">
        <v>1</v>
      </c>
      <c r="D27" s="139">
        <v>15</v>
      </c>
      <c r="E27" s="139">
        <v>1</v>
      </c>
      <c r="F27" s="139">
        <v>15</v>
      </c>
    </row>
    <row r="28" spans="1:6">
      <c r="A28" s="45" t="s">
        <v>2255</v>
      </c>
      <c r="B28" s="138">
        <v>5</v>
      </c>
      <c r="C28" s="139">
        <v>2.6</v>
      </c>
      <c r="D28" s="139">
        <v>12</v>
      </c>
      <c r="E28" s="139">
        <v>1.4</v>
      </c>
      <c r="F28" s="139">
        <v>5</v>
      </c>
    </row>
    <row r="29" spans="1:6">
      <c r="A29" s="45" t="s">
        <v>2278</v>
      </c>
      <c r="B29" s="138">
        <v>86</v>
      </c>
      <c r="C29" s="139">
        <v>1.6511627906976745</v>
      </c>
      <c r="D29" s="139">
        <v>11.453488372093023</v>
      </c>
      <c r="E29" s="139">
        <v>1.069767441860465</v>
      </c>
      <c r="F29" s="139">
        <v>8.9534883720930232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M171"/>
  <sheetViews>
    <sheetView view="pageBreakPreview" zoomScaleNormal="70" zoomScaleSheetLayoutView="100" zoomScalePageLayoutView="95" workbookViewId="0">
      <pane xSplit="2" ySplit="8" topLeftCell="C9" activePane="bottomRight" state="frozen"/>
      <selection pane="topRight" activeCell="C1" sqref="C1"/>
      <selection pane="bottomLeft" activeCell="A9" sqref="A9"/>
      <selection pane="bottomRight" activeCell="AD1" sqref="AD1:AN2"/>
    </sheetView>
  </sheetViews>
  <sheetFormatPr baseColWidth="10" defaultRowHeight="12.75"/>
  <cols>
    <col min="1" max="1" width="12" style="235" customWidth="1"/>
    <col min="2" max="2" width="2.7109375" style="235" customWidth="1"/>
    <col min="3" max="4" width="6.5703125" style="235" customWidth="1"/>
    <col min="5" max="5" width="7.7109375" style="235" customWidth="1"/>
    <col min="6" max="6" width="6.5703125" style="235" customWidth="1"/>
    <col min="7" max="8" width="8.42578125" style="235" customWidth="1"/>
    <col min="9" max="9" width="18.140625" style="235" customWidth="1"/>
    <col min="10" max="10" width="2.5703125" style="235" customWidth="1"/>
    <col min="11" max="12" width="9.5703125" style="235" customWidth="1"/>
    <col min="13" max="15" width="3.7109375" style="235" customWidth="1"/>
    <col min="16" max="16" width="3.5703125" style="235" customWidth="1"/>
    <col min="17" max="17" width="2.85546875" style="235" customWidth="1"/>
    <col min="18" max="18" width="3" style="235" customWidth="1"/>
    <col min="19" max="21" width="0" style="235" hidden="1" customWidth="1"/>
    <col min="22" max="22" width="6.140625" style="235" customWidth="1"/>
    <col min="23" max="23" width="0" style="235" hidden="1" customWidth="1"/>
    <col min="24" max="24" width="15.85546875" style="235" customWidth="1"/>
    <col min="25" max="25" width="37.85546875" style="235" customWidth="1"/>
    <col min="26" max="27" width="15.85546875" style="235" customWidth="1"/>
    <col min="28" max="28" width="6.42578125" style="235" customWidth="1"/>
    <col min="29" max="29" width="47.28515625" style="235" customWidth="1"/>
    <col min="30" max="30" width="4.140625" style="235" customWidth="1"/>
    <col min="31" max="31" width="3" style="235" customWidth="1"/>
    <col min="32" max="34" width="0" style="235" hidden="1" customWidth="1"/>
    <col min="35" max="35" width="3" style="235" customWidth="1"/>
    <col min="36" max="36" width="0" style="235" hidden="1" customWidth="1"/>
    <col min="37" max="37" width="3" style="235" customWidth="1"/>
    <col min="38" max="38" width="0" style="235" hidden="1" customWidth="1"/>
    <col min="39" max="39" width="4.42578125" style="235" customWidth="1"/>
    <col min="40" max="40" width="32.85546875" style="235" customWidth="1"/>
    <col min="41" max="41" width="23.42578125" style="235" customWidth="1"/>
    <col min="42" max="42" width="18.42578125" style="235" customWidth="1"/>
    <col min="43" max="43" width="23.7109375" style="235" customWidth="1"/>
    <col min="44" max="44" width="42.7109375" style="235" customWidth="1"/>
    <col min="45" max="45" width="10.5703125" style="235" customWidth="1"/>
    <col min="46" max="46" width="18.5703125" style="235" customWidth="1"/>
    <col min="47" max="47" width="13.5703125" style="235" customWidth="1"/>
    <col min="48" max="49" width="6.7109375" style="235" customWidth="1"/>
    <col min="50" max="50" width="11.28515625" style="235" customWidth="1"/>
    <col min="51" max="53" width="16.7109375" style="235" hidden="1" customWidth="1"/>
    <col min="54" max="54" width="38.5703125" style="235" hidden="1" customWidth="1"/>
    <col min="55"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17.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1260" t="s">
        <v>76</v>
      </c>
      <c r="AE1" s="1260"/>
      <c r="AF1" s="1260"/>
      <c r="AG1" s="1260"/>
      <c r="AH1" s="1260"/>
      <c r="AI1" s="1260"/>
      <c r="AJ1" s="1260"/>
      <c r="AK1" s="1260"/>
      <c r="AL1" s="1260"/>
      <c r="AM1" s="1260"/>
      <c r="AN1" s="1260"/>
      <c r="AP1" s="1247" t="s">
        <v>2320</v>
      </c>
      <c r="AQ1" s="1247"/>
      <c r="AR1" s="1247"/>
      <c r="AS1" s="1247"/>
      <c r="AT1" s="233"/>
      <c r="AU1" s="233"/>
      <c r="AV1" s="233"/>
      <c r="AW1" s="1246"/>
      <c r="AX1" s="1246"/>
      <c r="AY1" s="233"/>
    </row>
    <row r="2" spans="1:1027" ht="14.25" customHeight="1">
      <c r="A2" s="237" t="s">
        <v>2348</v>
      </c>
      <c r="B2" s="233"/>
      <c r="C2" s="233"/>
      <c r="D2" s="233"/>
      <c r="E2" s="233"/>
      <c r="F2" s="233"/>
      <c r="G2" s="1214" t="str">
        <f>UPPER([45]Control!A2)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1260"/>
      <c r="AE2" s="1260"/>
      <c r="AF2" s="1260"/>
      <c r="AG2" s="1260"/>
      <c r="AH2" s="1260"/>
      <c r="AI2" s="1260"/>
      <c r="AJ2" s="1260"/>
      <c r="AK2" s="1260"/>
      <c r="AL2" s="1260"/>
      <c r="AM2" s="1260"/>
      <c r="AN2" s="1260"/>
      <c r="AP2" s="1268" t="s">
        <v>138</v>
      </c>
      <c r="AQ2" s="1269"/>
      <c r="AR2" s="1270" t="str">
        <f>AD1</f>
        <v>EVALUACIÓN Y CONTROL</v>
      </c>
      <c r="AS2" s="1271"/>
      <c r="AT2" s="233"/>
      <c r="AU2" s="233"/>
      <c r="AV2" s="233"/>
      <c r="AW2" s="1246"/>
      <c r="AX2" s="1246"/>
      <c r="AY2" s="233"/>
    </row>
    <row r="3" spans="1:1027" ht="13.5" customHeight="1">
      <c r="A3" s="1435">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1436">
        <v>43446</v>
      </c>
      <c r="AA3" s="1437"/>
      <c r="AB3" s="1438"/>
      <c r="AC3" s="1259" t="s">
        <v>2349</v>
      </c>
      <c r="AD3" s="2038" t="s">
        <v>664</v>
      </c>
      <c r="AE3" s="2038"/>
      <c r="AF3" s="2038"/>
      <c r="AG3" s="2038"/>
      <c r="AH3" s="2038"/>
      <c r="AI3" s="2038"/>
      <c r="AJ3" s="2038"/>
      <c r="AK3" s="2038"/>
      <c r="AL3" s="2038"/>
      <c r="AM3" s="2038"/>
      <c r="AN3" s="2038"/>
      <c r="AP3" s="1265" t="s">
        <v>2322</v>
      </c>
      <c r="AQ3" s="1266"/>
      <c r="AR3" s="1266" t="s">
        <v>2323</v>
      </c>
      <c r="AS3" s="1267"/>
      <c r="AT3" s="233"/>
      <c r="AU3" s="233"/>
      <c r="AV3" s="233"/>
      <c r="AW3" s="1246"/>
      <c r="AX3" s="1246"/>
      <c r="AY3" s="233"/>
    </row>
    <row r="4" spans="1:1027" ht="14.25" customHeight="1" thickBot="1">
      <c r="A4" s="1435"/>
      <c r="B4" s="233"/>
      <c r="C4" s="233"/>
      <c r="D4" s="233"/>
      <c r="E4" s="233"/>
      <c r="F4" s="233"/>
      <c r="G4" s="1236" t="str">
        <f>[45]Control!A4</f>
        <v>FO-PE-06</v>
      </c>
      <c r="H4" s="1237"/>
      <c r="I4" s="1238" t="str">
        <f>[45]Control!C4</f>
        <v>Planeación Estratégica</v>
      </c>
      <c r="J4" s="1237"/>
      <c r="K4" s="1237"/>
      <c r="L4" s="1237"/>
      <c r="M4" s="1237"/>
      <c r="N4" s="1239"/>
      <c r="O4" s="1238">
        <f>[45]Control!H4</f>
        <v>5</v>
      </c>
      <c r="P4" s="1237"/>
      <c r="Q4" s="1237"/>
      <c r="R4" s="1237"/>
      <c r="S4" s="1237"/>
      <c r="T4" s="1237"/>
      <c r="U4" s="1237"/>
      <c r="V4" s="1239"/>
      <c r="W4" s="239"/>
      <c r="X4" s="1255"/>
      <c r="Y4" s="1256"/>
      <c r="Z4" s="1439"/>
      <c r="AA4" s="1440"/>
      <c r="AB4" s="1441"/>
      <c r="AC4" s="1259"/>
      <c r="AD4" s="2038"/>
      <c r="AE4" s="2038"/>
      <c r="AF4" s="2038"/>
      <c r="AG4" s="2038"/>
      <c r="AH4" s="2038"/>
      <c r="AI4" s="2038"/>
      <c r="AJ4" s="2038"/>
      <c r="AK4" s="2038"/>
      <c r="AL4" s="2038"/>
      <c r="AM4" s="2038"/>
      <c r="AN4" s="2038"/>
      <c r="AP4" s="1240">
        <v>43710</v>
      </c>
      <c r="AQ4" s="1241"/>
      <c r="AR4" s="1240" t="s">
        <v>3694</v>
      </c>
      <c r="AS4" s="1241"/>
      <c r="AT4" s="233"/>
      <c r="AU4" s="233"/>
      <c r="AV4" s="233"/>
      <c r="AW4" s="1246"/>
      <c r="AX4" s="1246"/>
      <c r="AY4" s="233"/>
    </row>
    <row r="5" spans="1:1027"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2"/>
      <c r="AB5" s="242"/>
      <c r="AC5" s="242"/>
      <c r="AD5" s="241"/>
      <c r="AE5" s="241"/>
      <c r="AF5" s="241"/>
      <c r="AG5" s="241"/>
      <c r="AH5" s="241"/>
      <c r="AI5" s="241"/>
      <c r="AJ5" s="241"/>
      <c r="AK5" s="241"/>
      <c r="AL5" s="241"/>
      <c r="AM5" s="240"/>
      <c r="AN5" s="240"/>
      <c r="AO5" s="240"/>
      <c r="AQ5" s="244"/>
      <c r="AY5" s="245"/>
    </row>
    <row r="6" spans="1:1027" s="243" customFormat="1" ht="17.2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602" t="s">
        <v>268</v>
      </c>
      <c r="AO6" s="294"/>
      <c r="AP6" s="247" t="s">
        <v>2325</v>
      </c>
      <c r="AQ6" s="248"/>
      <c r="AR6" s="248"/>
      <c r="AS6" s="249"/>
      <c r="AT6" s="1244" t="s">
        <v>2326</v>
      </c>
      <c r="AU6" s="1244"/>
      <c r="AV6" s="1244"/>
      <c r="AW6" s="1244"/>
      <c r="AX6" s="1245"/>
      <c r="AY6" s="245"/>
    </row>
    <row r="7" spans="1:1027" s="243" customFormat="1" ht="41.25" customHeight="1">
      <c r="A7" s="1217" t="s">
        <v>1002</v>
      </c>
      <c r="B7" s="1218" t="s">
        <v>640</v>
      </c>
      <c r="C7" s="1219" t="s">
        <v>1001</v>
      </c>
      <c r="D7" s="1220"/>
      <c r="E7" s="1221"/>
      <c r="F7" s="1217" t="s">
        <v>1000</v>
      </c>
      <c r="G7" s="1219" t="s">
        <v>999</v>
      </c>
      <c r="H7" s="1220"/>
      <c r="I7" s="1221"/>
      <c r="J7" s="1217" t="s">
        <v>145</v>
      </c>
      <c r="K7" s="1217"/>
      <c r="L7" s="1217"/>
      <c r="M7" s="1225" t="s">
        <v>144</v>
      </c>
      <c r="N7" s="1226"/>
      <c r="O7" s="1226"/>
      <c r="P7" s="1226"/>
      <c r="Q7" s="1227" t="s">
        <v>637</v>
      </c>
      <c r="R7" s="1228"/>
      <c r="S7" s="1228"/>
      <c r="T7" s="1228"/>
      <c r="U7" s="1228"/>
      <c r="V7" s="1229"/>
      <c r="W7" s="250"/>
      <c r="X7" s="1217" t="s">
        <v>2351</v>
      </c>
      <c r="Y7" s="1217"/>
      <c r="Z7" s="1217"/>
      <c r="AA7" s="1284" t="s">
        <v>4175</v>
      </c>
      <c r="AB7" s="1221" t="s">
        <v>998</v>
      </c>
      <c r="AC7" s="1284" t="s">
        <v>641</v>
      </c>
      <c r="AD7" s="1286" t="s">
        <v>546</v>
      </c>
      <c r="AE7" s="1286" t="s">
        <v>638</v>
      </c>
      <c r="AF7" s="251"/>
      <c r="AG7" s="252"/>
      <c r="AH7" s="253"/>
      <c r="AI7" s="1288" t="s">
        <v>639</v>
      </c>
      <c r="AJ7" s="1288"/>
      <c r="AK7" s="1288"/>
      <c r="AL7" s="1288"/>
      <c r="AM7" s="1288"/>
      <c r="AN7" s="1288" t="s">
        <v>2327</v>
      </c>
      <c r="AO7" s="1431" t="s">
        <v>2328</v>
      </c>
      <c r="AP7" s="1432" t="s">
        <v>2353</v>
      </c>
      <c r="AQ7" s="1431" t="s">
        <v>2330</v>
      </c>
      <c r="AR7" s="1432" t="s">
        <v>2354</v>
      </c>
      <c r="AS7" s="1432" t="s">
        <v>2332</v>
      </c>
      <c r="AT7" s="1432" t="s">
        <v>2333</v>
      </c>
      <c r="AU7" s="1432" t="s">
        <v>2334</v>
      </c>
      <c r="AV7" s="1432" t="s">
        <v>2335</v>
      </c>
      <c r="AW7" s="1432" t="s">
        <v>2336</v>
      </c>
      <c r="AX7" s="1432" t="s">
        <v>2337</v>
      </c>
      <c r="AY7" s="2769" t="s">
        <v>3595</v>
      </c>
      <c r="AZ7" s="2770"/>
      <c r="BA7" s="2771"/>
      <c r="BB7" s="2778" t="s">
        <v>3596</v>
      </c>
    </row>
    <row r="8" spans="1:1027" ht="24.75" customHeight="1">
      <c r="A8" s="1217"/>
      <c r="B8" s="1218"/>
      <c r="C8" s="1222"/>
      <c r="D8" s="1223"/>
      <c r="E8" s="1224"/>
      <c r="F8" s="1217"/>
      <c r="G8" s="1222"/>
      <c r="H8" s="1223"/>
      <c r="I8" s="1224"/>
      <c r="J8" s="1217"/>
      <c r="K8" s="1217"/>
      <c r="L8" s="1217"/>
      <c r="M8" s="254" t="s">
        <v>146</v>
      </c>
      <c r="N8" s="254" t="s">
        <v>997</v>
      </c>
      <c r="O8" s="254" t="s">
        <v>65</v>
      </c>
      <c r="P8" s="254" t="s">
        <v>996</v>
      </c>
      <c r="Q8" s="601" t="s">
        <v>147</v>
      </c>
      <c r="R8" s="601" t="s">
        <v>148</v>
      </c>
      <c r="S8" s="255"/>
      <c r="T8" s="255" t="s">
        <v>239</v>
      </c>
      <c r="U8" s="255" t="s">
        <v>242</v>
      </c>
      <c r="V8" s="601" t="s">
        <v>149</v>
      </c>
      <c r="W8" s="256"/>
      <c r="X8" s="1217"/>
      <c r="Y8" s="1217"/>
      <c r="Z8" s="1217"/>
      <c r="AA8" s="1285"/>
      <c r="AB8" s="1224"/>
      <c r="AC8" s="1285"/>
      <c r="AD8" s="1287"/>
      <c r="AE8" s="1287"/>
      <c r="AF8" s="256"/>
      <c r="AG8" s="553" t="s">
        <v>642</v>
      </c>
      <c r="AH8" s="553" t="s">
        <v>264</v>
      </c>
      <c r="AI8" s="601" t="s">
        <v>147</v>
      </c>
      <c r="AJ8" s="554" t="s">
        <v>265</v>
      </c>
      <c r="AK8" s="601" t="s">
        <v>148</v>
      </c>
      <c r="AL8" s="255" t="s">
        <v>150</v>
      </c>
      <c r="AM8" s="601" t="s">
        <v>150</v>
      </c>
      <c r="AN8" s="1288"/>
      <c r="AO8" s="1431"/>
      <c r="AP8" s="1432"/>
      <c r="AQ8" s="1432"/>
      <c r="AR8" s="1432"/>
      <c r="AS8" s="1432"/>
      <c r="AT8" s="1432"/>
      <c r="AU8" s="1432"/>
      <c r="AV8" s="1432"/>
      <c r="AW8" s="1432"/>
      <c r="AX8" s="1432"/>
      <c r="AY8" s="2772"/>
      <c r="AZ8" s="2773"/>
      <c r="BA8" s="2774"/>
      <c r="BB8" s="2779"/>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140.25" customHeight="1">
      <c r="A9" s="2762" t="s">
        <v>665</v>
      </c>
      <c r="B9" s="2763" t="s">
        <v>2018</v>
      </c>
      <c r="C9" s="2764" t="s">
        <v>1834</v>
      </c>
      <c r="D9" s="2764"/>
      <c r="E9" s="2764"/>
      <c r="F9" s="2425" t="s">
        <v>1734</v>
      </c>
      <c r="G9" s="2673" t="s">
        <v>1835</v>
      </c>
      <c r="H9" s="2674"/>
      <c r="I9" s="2675"/>
      <c r="J9" s="2683" t="s">
        <v>1836</v>
      </c>
      <c r="K9" s="2683"/>
      <c r="L9" s="2683"/>
      <c r="M9" s="1570"/>
      <c r="N9" s="1570">
        <v>6</v>
      </c>
      <c r="O9" s="1570"/>
      <c r="P9" s="1570"/>
      <c r="Q9" s="1990" t="s">
        <v>64</v>
      </c>
      <c r="R9" s="1990" t="s">
        <v>643</v>
      </c>
      <c r="S9" s="73"/>
      <c r="T9" s="54">
        <f>VLOOKUP(Q9,[99]Listas!$D$6:$E$10,2,0)</f>
        <v>3</v>
      </c>
      <c r="U9" s="54">
        <f>HLOOKUP(R9,[99]Listas!$F$4:$J$5,2,0)</f>
        <v>2</v>
      </c>
      <c r="V9" s="2006" t="str">
        <f>INDEX([99]Listas!$F$6:$J$10,MATCH(Q9,[99]Listas!$D$6:$D$10,0),MATCH(R9,[99]Listas!$F$4:$J$4,0))</f>
        <v>6
MODERADO</v>
      </c>
      <c r="W9" s="73"/>
      <c r="X9" s="2682" t="s">
        <v>3695</v>
      </c>
      <c r="Y9" s="2682"/>
      <c r="Z9" s="2682"/>
      <c r="AA9" s="2766" t="s">
        <v>4013</v>
      </c>
      <c r="AB9" s="642" t="s">
        <v>1734</v>
      </c>
      <c r="AC9" s="648" t="s">
        <v>3696</v>
      </c>
      <c r="AD9" s="2012">
        <v>64</v>
      </c>
      <c r="AE9" s="1298" t="s">
        <v>152</v>
      </c>
      <c r="AF9" s="73"/>
      <c r="AG9" s="54">
        <f>IF(AD9&lt;=33,0,IF(AD9&gt;81,2,1))</f>
        <v>1</v>
      </c>
      <c r="AH9" s="54">
        <f>IF(OR(AE9="Probabilidad",AE9="Ambos"),T9-AG9,T9)</f>
        <v>2</v>
      </c>
      <c r="AI9" s="2632" t="str">
        <f>IF(AH9&lt;=1,"Remota",VLOOKUP(AH9,[99]Listas!$C$6:$D$10,2,0))</f>
        <v>Baja</v>
      </c>
      <c r="AJ9" s="53">
        <f>IF(OR(AE9="Impacto",AE9="Ambos"),U9-AG9,U9)</f>
        <v>1</v>
      </c>
      <c r="AK9" s="2632" t="str">
        <f>IF(AJ9&lt;=1,"Insignificante",HLOOKUP(AJ9,[99]Listas!$F$3:$J$4,2,0))</f>
        <v>Insignificante</v>
      </c>
      <c r="AL9" s="86">
        <f>AH9*AJ9</f>
        <v>2</v>
      </c>
      <c r="AM9" s="2643" t="str">
        <f>INDEX([99]Listas!$F$6:$J$10,MATCH(AI9,[99]Listas!$D$6:$D$10,0),MATCH(AK9,[99]Listas!$F$4:$J$4,0))</f>
        <v>2
INFERIOR</v>
      </c>
      <c r="AN9" s="2511" t="s">
        <v>2697</v>
      </c>
      <c r="AO9" s="2644" t="s">
        <v>2698</v>
      </c>
      <c r="AP9" s="2679" t="s">
        <v>3697</v>
      </c>
      <c r="AQ9" s="2517" t="s">
        <v>3597</v>
      </c>
      <c r="AR9" s="2517" t="s">
        <v>3698</v>
      </c>
      <c r="AS9" s="2455" t="s">
        <v>36</v>
      </c>
      <c r="AT9" s="2759" t="s">
        <v>2573</v>
      </c>
      <c r="AU9" s="2455" t="s">
        <v>2573</v>
      </c>
      <c r="AV9" s="2640" t="s">
        <v>2573</v>
      </c>
      <c r="AW9" s="2640" t="s">
        <v>2573</v>
      </c>
      <c r="AX9" s="2455" t="s">
        <v>2573</v>
      </c>
      <c r="AY9" s="2780" t="s">
        <v>3699</v>
      </c>
      <c r="AZ9" s="2781"/>
      <c r="BA9" s="2782"/>
      <c r="BB9" s="2756" t="s">
        <v>3700</v>
      </c>
    </row>
    <row r="10" spans="1:1027" s="260" customFormat="1" ht="163.5" customHeight="1">
      <c r="A10" s="2762"/>
      <c r="B10" s="2763"/>
      <c r="C10" s="2764"/>
      <c r="D10" s="2764"/>
      <c r="E10" s="2764"/>
      <c r="F10" s="2426"/>
      <c r="G10" s="2673" t="s">
        <v>1837</v>
      </c>
      <c r="H10" s="2674"/>
      <c r="I10" s="2675"/>
      <c r="J10" s="2683"/>
      <c r="K10" s="2683"/>
      <c r="L10" s="2683"/>
      <c r="M10" s="1571"/>
      <c r="N10" s="1571"/>
      <c r="O10" s="1571"/>
      <c r="P10" s="1571"/>
      <c r="Q10" s="1991"/>
      <c r="R10" s="1991"/>
      <c r="S10" s="73"/>
      <c r="T10" s="54" t="e">
        <f>VLOOKUP(Q10,[99]Listas!$D$6:$E$10,2,0)</f>
        <v>#N/A</v>
      </c>
      <c r="U10" s="54" t="e">
        <f>HLOOKUP(R10,[99]Listas!$F$4:$J$5,2,0)</f>
        <v>#N/A</v>
      </c>
      <c r="V10" s="2007"/>
      <c r="W10" s="73"/>
      <c r="X10" s="2775" t="s">
        <v>3701</v>
      </c>
      <c r="Y10" s="2776"/>
      <c r="Z10" s="2777"/>
      <c r="AA10" s="2767"/>
      <c r="AB10" s="642" t="s">
        <v>1838</v>
      </c>
      <c r="AC10" s="90" t="s">
        <v>2699</v>
      </c>
      <c r="AD10" s="2013"/>
      <c r="AE10" s="1299"/>
      <c r="AF10" s="73"/>
      <c r="AG10" s="54">
        <f t="shared" ref="AG10:AG73" si="0">IF(AD10&lt;=33,0,IF(AD10&gt;81,2,1))</f>
        <v>0</v>
      </c>
      <c r="AH10" s="54" t="e">
        <f t="shared" ref="AH10:AH73" si="1">IF(OR(AE10="Probabilidad",AE10="Ambos"),T10-AG10,T10)</f>
        <v>#N/A</v>
      </c>
      <c r="AI10" s="2632"/>
      <c r="AJ10" s="53" t="e">
        <f t="shared" ref="AJ10:AJ73" si="2">IF(OR(AE10="Impacto",AE10="Ambos"),U10-AG10,U10)</f>
        <v>#N/A</v>
      </c>
      <c r="AK10" s="2632"/>
      <c r="AL10" s="86" t="e">
        <f t="shared" ref="AL10:AL73" si="3">AH10*AJ10</f>
        <v>#N/A</v>
      </c>
      <c r="AM10" s="2643"/>
      <c r="AN10" s="2512"/>
      <c r="AO10" s="2645"/>
      <c r="AP10" s="2680"/>
      <c r="AQ10" s="2518"/>
      <c r="AR10" s="2518"/>
      <c r="AS10" s="2456"/>
      <c r="AT10" s="2760"/>
      <c r="AU10" s="2456"/>
      <c r="AV10" s="2641"/>
      <c r="AW10" s="2641"/>
      <c r="AX10" s="2456"/>
      <c r="AY10" s="2783"/>
      <c r="AZ10" s="2784"/>
      <c r="BA10" s="2785"/>
      <c r="BB10" s="2757"/>
    </row>
    <row r="11" spans="1:1027" s="260" customFormat="1" ht="77.25" customHeight="1">
      <c r="A11" s="2762"/>
      <c r="B11" s="2763"/>
      <c r="C11" s="2764"/>
      <c r="D11" s="2764"/>
      <c r="E11" s="2764"/>
      <c r="F11" s="2426"/>
      <c r="G11" s="2673" t="s">
        <v>1839</v>
      </c>
      <c r="H11" s="2674"/>
      <c r="I11" s="2675"/>
      <c r="J11" s="2683"/>
      <c r="K11" s="2683"/>
      <c r="L11" s="2683"/>
      <c r="M11" s="1571"/>
      <c r="N11" s="1571"/>
      <c r="O11" s="1571"/>
      <c r="P11" s="1571"/>
      <c r="Q11" s="1991"/>
      <c r="R11" s="1991"/>
      <c r="S11" s="73"/>
      <c r="T11" s="54"/>
      <c r="U11" s="54"/>
      <c r="V11" s="2007"/>
      <c r="W11" s="73"/>
      <c r="X11" s="2676" t="s">
        <v>2700</v>
      </c>
      <c r="Y11" s="2776"/>
      <c r="Z11" s="2777"/>
      <c r="AA11" s="2767"/>
      <c r="AB11" s="642" t="s">
        <v>1734</v>
      </c>
      <c r="AC11" s="91" t="s">
        <v>1840</v>
      </c>
      <c r="AD11" s="2013"/>
      <c r="AE11" s="1299"/>
      <c r="AF11" s="73"/>
      <c r="AG11" s="54"/>
      <c r="AH11" s="54"/>
      <c r="AI11" s="2632"/>
      <c r="AJ11" s="53"/>
      <c r="AK11" s="2632"/>
      <c r="AL11" s="86"/>
      <c r="AM11" s="2643"/>
      <c r="AN11" s="2512"/>
      <c r="AO11" s="2645"/>
      <c r="AP11" s="2680"/>
      <c r="AQ11" s="2518"/>
      <c r="AR11" s="2518"/>
      <c r="AS11" s="2456"/>
      <c r="AT11" s="2760"/>
      <c r="AU11" s="2456"/>
      <c r="AV11" s="2641"/>
      <c r="AW11" s="2641"/>
      <c r="AX11" s="2456"/>
      <c r="AY11" s="2783"/>
      <c r="AZ11" s="2784"/>
      <c r="BA11" s="2785"/>
      <c r="BB11" s="2757"/>
    </row>
    <row r="12" spans="1:1027" s="260" customFormat="1" ht="90" customHeight="1">
      <c r="A12" s="2762"/>
      <c r="B12" s="2763"/>
      <c r="C12" s="2764"/>
      <c r="D12" s="2764"/>
      <c r="E12" s="2764"/>
      <c r="F12" s="2427"/>
      <c r="G12" s="2673" t="s">
        <v>1841</v>
      </c>
      <c r="H12" s="2674"/>
      <c r="I12" s="2675"/>
      <c r="J12" s="2683"/>
      <c r="K12" s="2683"/>
      <c r="L12" s="2683"/>
      <c r="M12" s="1572"/>
      <c r="N12" s="1572"/>
      <c r="O12" s="1572"/>
      <c r="P12" s="1572"/>
      <c r="Q12" s="1992"/>
      <c r="R12" s="1992"/>
      <c r="S12" s="73"/>
      <c r="T12" s="54" t="e">
        <f>VLOOKUP(Q12,[99]Listas!$D$6:$E$10,2,0)</f>
        <v>#N/A</v>
      </c>
      <c r="U12" s="54" t="e">
        <f>HLOOKUP(R12,[99]Listas!$F$4:$J$5,2,0)</f>
        <v>#N/A</v>
      </c>
      <c r="V12" s="2008"/>
      <c r="W12" s="73"/>
      <c r="X12" s="2682" t="s">
        <v>3695</v>
      </c>
      <c r="Y12" s="2682"/>
      <c r="Z12" s="2682"/>
      <c r="AA12" s="2768"/>
      <c r="AB12" s="642" t="s">
        <v>1734</v>
      </c>
      <c r="AC12" s="648" t="s">
        <v>2701</v>
      </c>
      <c r="AD12" s="2014"/>
      <c r="AE12" s="1469"/>
      <c r="AF12" s="73"/>
      <c r="AG12" s="54">
        <f t="shared" si="0"/>
        <v>0</v>
      </c>
      <c r="AH12" s="54" t="e">
        <f t="shared" si="1"/>
        <v>#N/A</v>
      </c>
      <c r="AI12" s="2632"/>
      <c r="AJ12" s="53" t="e">
        <f t="shared" si="2"/>
        <v>#N/A</v>
      </c>
      <c r="AK12" s="2632"/>
      <c r="AL12" s="86" t="e">
        <f t="shared" si="3"/>
        <v>#N/A</v>
      </c>
      <c r="AM12" s="2643"/>
      <c r="AN12" s="2513"/>
      <c r="AO12" s="2646"/>
      <c r="AP12" s="2681"/>
      <c r="AQ12" s="2519"/>
      <c r="AR12" s="2519"/>
      <c r="AS12" s="2457"/>
      <c r="AT12" s="2761"/>
      <c r="AU12" s="2457"/>
      <c r="AV12" s="2642"/>
      <c r="AW12" s="2642"/>
      <c r="AX12" s="2457"/>
      <c r="AY12" s="2786"/>
      <c r="AZ12" s="2787"/>
      <c r="BA12" s="2788"/>
      <c r="BB12" s="2758"/>
    </row>
    <row r="13" spans="1:1027" s="260" customFormat="1" ht="138" customHeight="1">
      <c r="A13" s="2762" t="s">
        <v>77</v>
      </c>
      <c r="B13" s="2763" t="s">
        <v>2019</v>
      </c>
      <c r="C13" s="2764" t="s">
        <v>666</v>
      </c>
      <c r="D13" s="2764"/>
      <c r="E13" s="2764"/>
      <c r="F13" s="2450" t="s">
        <v>1734</v>
      </c>
      <c r="G13" s="2673" t="s">
        <v>1842</v>
      </c>
      <c r="H13" s="2674"/>
      <c r="I13" s="2675"/>
      <c r="J13" s="2683" t="s">
        <v>667</v>
      </c>
      <c r="K13" s="2683"/>
      <c r="L13" s="2683"/>
      <c r="M13" s="2012"/>
      <c r="N13" s="2012"/>
      <c r="O13" s="2012"/>
      <c r="P13" s="2012"/>
      <c r="Q13" s="2425" t="s">
        <v>655</v>
      </c>
      <c r="R13" s="2425" t="s">
        <v>274</v>
      </c>
      <c r="S13" s="52"/>
      <c r="T13" s="53">
        <f>VLOOKUP(Q13,[99]Listas!$D$6:$E$10,2,0)</f>
        <v>2</v>
      </c>
      <c r="U13" s="53">
        <f>HLOOKUP(R13,[99]Listas!$F$4:$J$5,2,0)</f>
        <v>3</v>
      </c>
      <c r="V13" s="2438" t="str">
        <f>INDEX([99]Listas!$F$6:$J$10,MATCH(Q13,[99]Listas!$D$6:$D$10,0),MATCH(R13,[99]Listas!$F$4:$J$4,0))</f>
        <v>6
MODERADO</v>
      </c>
      <c r="W13" s="52"/>
      <c r="X13" s="2683" t="s">
        <v>2702</v>
      </c>
      <c r="Y13" s="2683"/>
      <c r="Z13" s="2683"/>
      <c r="AA13" s="2694" t="s">
        <v>4013</v>
      </c>
      <c r="AB13" s="642" t="s">
        <v>1734</v>
      </c>
      <c r="AC13" s="647" t="s">
        <v>2703</v>
      </c>
      <c r="AD13" s="2012">
        <v>84</v>
      </c>
      <c r="AE13" s="2450" t="s">
        <v>152</v>
      </c>
      <c r="AF13" s="52"/>
      <c r="AG13" s="53">
        <f t="shared" si="0"/>
        <v>2</v>
      </c>
      <c r="AH13" s="53">
        <f t="shared" si="1"/>
        <v>0</v>
      </c>
      <c r="AI13" s="2632" t="str">
        <f>IF(AH13&lt;=1,"Remota",VLOOKUP(AH13,[99]Listas!$C$6:$D$10,2,0))</f>
        <v>Remota</v>
      </c>
      <c r="AJ13" s="53">
        <f t="shared" si="2"/>
        <v>1</v>
      </c>
      <c r="AK13" s="2632" t="str">
        <f>IF(AJ13&lt;=1,"Insignificante",HLOOKUP(AJ13,[99]Listas!$F$3:$J$4,2,0))</f>
        <v>Insignificante</v>
      </c>
      <c r="AL13" s="86">
        <f t="shared" si="3"/>
        <v>0</v>
      </c>
      <c r="AM13" s="2643" t="str">
        <f>INDEX([99]Listas!$F$6:$J$10,MATCH(AI13,[99]Listas!$D$6:$D$10,0),MATCH(AK13,[99]Listas!$F$4:$J$4,0))</f>
        <v>1
INFERIOR</v>
      </c>
      <c r="AN13" s="2511" t="s">
        <v>2704</v>
      </c>
      <c r="AO13" s="2644" t="s">
        <v>2705</v>
      </c>
      <c r="AP13" s="2679" t="s">
        <v>3702</v>
      </c>
      <c r="AQ13" s="2517" t="s">
        <v>3598</v>
      </c>
      <c r="AR13" s="2517" t="s">
        <v>3703</v>
      </c>
      <c r="AS13" s="2455" t="s">
        <v>36</v>
      </c>
      <c r="AT13" s="2455" t="s">
        <v>2573</v>
      </c>
      <c r="AU13" s="2455" t="s">
        <v>2573</v>
      </c>
      <c r="AV13" s="2640" t="s">
        <v>2573</v>
      </c>
      <c r="AW13" s="2640" t="s">
        <v>2573</v>
      </c>
      <c r="AX13" s="2455" t="s">
        <v>2573</v>
      </c>
      <c r="AY13" s="2755" t="s">
        <v>3704</v>
      </c>
      <c r="AZ13" s="2755"/>
      <c r="BA13" s="2755"/>
      <c r="BB13" s="2756" t="s">
        <v>3700</v>
      </c>
    </row>
    <row r="14" spans="1:1027" s="260" customFormat="1" ht="179.25" customHeight="1">
      <c r="A14" s="2762"/>
      <c r="B14" s="2763"/>
      <c r="C14" s="2764"/>
      <c r="D14" s="2764"/>
      <c r="E14" s="2764"/>
      <c r="F14" s="2451"/>
      <c r="G14" s="2673" t="s">
        <v>1843</v>
      </c>
      <c r="H14" s="2674"/>
      <c r="I14" s="2675"/>
      <c r="J14" s="2683"/>
      <c r="K14" s="2683"/>
      <c r="L14" s="2683"/>
      <c r="M14" s="2013"/>
      <c r="N14" s="2013"/>
      <c r="O14" s="2013"/>
      <c r="P14" s="2013"/>
      <c r="Q14" s="2426"/>
      <c r="R14" s="2426"/>
      <c r="S14" s="52"/>
      <c r="T14" s="53" t="e">
        <f>VLOOKUP(Q14,[99]Listas!$D$6:$E$10,2,0)</f>
        <v>#N/A</v>
      </c>
      <c r="U14" s="53" t="e">
        <f>HLOOKUP(R14,[99]Listas!$F$4:$J$5,2,0)</f>
        <v>#N/A</v>
      </c>
      <c r="V14" s="2439"/>
      <c r="W14" s="52"/>
      <c r="X14" s="2683" t="s">
        <v>3599</v>
      </c>
      <c r="Y14" s="2683"/>
      <c r="Z14" s="2683"/>
      <c r="AA14" s="2695"/>
      <c r="AB14" s="642" t="s">
        <v>2706</v>
      </c>
      <c r="AC14" s="647" t="s">
        <v>2707</v>
      </c>
      <c r="AD14" s="2013"/>
      <c r="AE14" s="2451"/>
      <c r="AF14" s="52"/>
      <c r="AG14" s="53">
        <f t="shared" si="0"/>
        <v>0</v>
      </c>
      <c r="AH14" s="53" t="e">
        <f t="shared" si="1"/>
        <v>#N/A</v>
      </c>
      <c r="AI14" s="2632"/>
      <c r="AJ14" s="53" t="e">
        <f t="shared" si="2"/>
        <v>#N/A</v>
      </c>
      <c r="AK14" s="2632"/>
      <c r="AL14" s="86" t="e">
        <f t="shared" si="3"/>
        <v>#N/A</v>
      </c>
      <c r="AM14" s="2643"/>
      <c r="AN14" s="2512"/>
      <c r="AO14" s="2645"/>
      <c r="AP14" s="2680"/>
      <c r="AQ14" s="2518"/>
      <c r="AR14" s="2518"/>
      <c r="AS14" s="2456"/>
      <c r="AT14" s="2456"/>
      <c r="AU14" s="2456"/>
      <c r="AV14" s="2641"/>
      <c r="AW14" s="2641"/>
      <c r="AX14" s="2456"/>
      <c r="AY14" s="2755"/>
      <c r="AZ14" s="2755"/>
      <c r="BA14" s="2755"/>
      <c r="BB14" s="2757"/>
    </row>
    <row r="15" spans="1:1027" s="260" customFormat="1" ht="111" customHeight="1">
      <c r="A15" s="2762"/>
      <c r="B15" s="2763"/>
      <c r="C15" s="2764"/>
      <c r="D15" s="2764"/>
      <c r="E15" s="2764"/>
      <c r="F15" s="2452"/>
      <c r="G15" s="2673" t="s">
        <v>1844</v>
      </c>
      <c r="H15" s="2674"/>
      <c r="I15" s="2675"/>
      <c r="J15" s="2683"/>
      <c r="K15" s="2683"/>
      <c r="L15" s="2683"/>
      <c r="M15" s="2014"/>
      <c r="N15" s="2014"/>
      <c r="O15" s="2014"/>
      <c r="P15" s="2014"/>
      <c r="Q15" s="2427"/>
      <c r="R15" s="2427"/>
      <c r="S15" s="52"/>
      <c r="T15" s="53" t="e">
        <f>VLOOKUP(Q15,[99]Listas!$D$6:$E$10,2,0)</f>
        <v>#N/A</v>
      </c>
      <c r="U15" s="53" t="e">
        <f>HLOOKUP(R15,[99]Listas!$F$4:$J$5,2,0)</f>
        <v>#N/A</v>
      </c>
      <c r="V15" s="2440"/>
      <c r="W15" s="52"/>
      <c r="X15" s="2683" t="s">
        <v>3705</v>
      </c>
      <c r="Y15" s="2683"/>
      <c r="Z15" s="2683"/>
      <c r="AA15" s="2696"/>
      <c r="AB15" s="642" t="s">
        <v>1734</v>
      </c>
      <c r="AC15" s="647" t="s">
        <v>3706</v>
      </c>
      <c r="AD15" s="2014"/>
      <c r="AE15" s="2452"/>
      <c r="AF15" s="52"/>
      <c r="AG15" s="53">
        <f t="shared" si="0"/>
        <v>0</v>
      </c>
      <c r="AH15" s="53" t="e">
        <f t="shared" si="1"/>
        <v>#N/A</v>
      </c>
      <c r="AI15" s="2632"/>
      <c r="AJ15" s="53" t="e">
        <f t="shared" si="2"/>
        <v>#N/A</v>
      </c>
      <c r="AK15" s="2632"/>
      <c r="AL15" s="86" t="e">
        <f t="shared" si="3"/>
        <v>#N/A</v>
      </c>
      <c r="AM15" s="2643"/>
      <c r="AN15" s="2513"/>
      <c r="AO15" s="2646"/>
      <c r="AP15" s="2681"/>
      <c r="AQ15" s="2519"/>
      <c r="AR15" s="2519"/>
      <c r="AS15" s="2457"/>
      <c r="AT15" s="2457"/>
      <c r="AU15" s="2457"/>
      <c r="AV15" s="2642"/>
      <c r="AW15" s="2642"/>
      <c r="AX15" s="2457"/>
      <c r="AY15" s="2755"/>
      <c r="AZ15" s="2755"/>
      <c r="BA15" s="2755"/>
      <c r="BB15" s="2758"/>
    </row>
    <row r="16" spans="1:1027" s="260" customFormat="1" ht="122.25" customHeight="1">
      <c r="A16" s="2762" t="s">
        <v>474</v>
      </c>
      <c r="B16" s="2763" t="s">
        <v>2020</v>
      </c>
      <c r="C16" s="2764" t="s">
        <v>1845</v>
      </c>
      <c r="D16" s="2764"/>
      <c r="E16" s="2764"/>
      <c r="F16" s="2450" t="s">
        <v>1734</v>
      </c>
      <c r="G16" s="2673" t="s">
        <v>1846</v>
      </c>
      <c r="H16" s="2674"/>
      <c r="I16" s="2675"/>
      <c r="J16" s="2683" t="s">
        <v>1847</v>
      </c>
      <c r="K16" s="2683"/>
      <c r="L16" s="2683"/>
      <c r="M16" s="1570"/>
      <c r="N16" s="1570">
        <v>6</v>
      </c>
      <c r="O16" s="1570"/>
      <c r="P16" s="1570"/>
      <c r="Q16" s="1990" t="s">
        <v>648</v>
      </c>
      <c r="R16" s="1990" t="s">
        <v>643</v>
      </c>
      <c r="S16" s="73"/>
      <c r="T16" s="54">
        <f>VLOOKUP(Q16,[99]Listas!$D$6:$E$10,2,0)</f>
        <v>4</v>
      </c>
      <c r="U16" s="54">
        <f>HLOOKUP(R16,[99]Listas!$F$4:$J$5,2,0)</f>
        <v>2</v>
      </c>
      <c r="V16" s="2006" t="str">
        <f>INDEX([99]Listas!$F$6:$J$10,MATCH(Q16,[99]Listas!$D$6:$D$10,0),MATCH(R16,[99]Listas!$F$4:$J$4,0))</f>
        <v>8
MODERADO</v>
      </c>
      <c r="W16" s="73"/>
      <c r="X16" s="2683" t="s">
        <v>3600</v>
      </c>
      <c r="Y16" s="2683"/>
      <c r="Z16" s="2683"/>
      <c r="AA16" s="2694" t="s">
        <v>4013</v>
      </c>
      <c r="AB16" s="642" t="s">
        <v>1734</v>
      </c>
      <c r="AC16" s="648" t="s">
        <v>2708</v>
      </c>
      <c r="AD16" s="1570">
        <v>72</v>
      </c>
      <c r="AE16" s="1298" t="s">
        <v>152</v>
      </c>
      <c r="AF16" s="73"/>
      <c r="AG16" s="54">
        <f t="shared" si="0"/>
        <v>1</v>
      </c>
      <c r="AH16" s="54">
        <f t="shared" si="1"/>
        <v>3</v>
      </c>
      <c r="AI16" s="2632" t="str">
        <f>IF(AH16&lt;=1,"Remota",VLOOKUP(AH16,[99]Listas!$C$6:$D$10,2,0))</f>
        <v>Posible</v>
      </c>
      <c r="AJ16" s="53">
        <f t="shared" si="2"/>
        <v>1</v>
      </c>
      <c r="AK16" s="2632" t="str">
        <f>IF(AJ16&lt;=1,"Insignificante",HLOOKUP(AJ16,[99]Listas!$F$3:$J$4,2,0))</f>
        <v>Insignificante</v>
      </c>
      <c r="AL16" s="86">
        <f t="shared" si="3"/>
        <v>3</v>
      </c>
      <c r="AM16" s="2643" t="str">
        <f>INDEX([99]Listas!$F$6:$J$10,MATCH(AI16,[99]Listas!$D$6:$D$10,0),MATCH(AK16,[99]Listas!$F$4:$J$4,0))</f>
        <v>3
INFERIOR</v>
      </c>
      <c r="AN16" s="2511" t="s">
        <v>2709</v>
      </c>
      <c r="AO16" s="2644" t="s">
        <v>2710</v>
      </c>
      <c r="AP16" s="2679" t="s">
        <v>3707</v>
      </c>
      <c r="AQ16" s="2517" t="s">
        <v>3708</v>
      </c>
      <c r="AR16" s="2517" t="s">
        <v>3709</v>
      </c>
      <c r="AS16" s="2455" t="s">
        <v>36</v>
      </c>
      <c r="AT16" s="2455" t="s">
        <v>2573</v>
      </c>
      <c r="AU16" s="2455" t="s">
        <v>2573</v>
      </c>
      <c r="AV16" s="2640" t="s">
        <v>2573</v>
      </c>
      <c r="AW16" s="2640" t="s">
        <v>2573</v>
      </c>
      <c r="AX16" s="2455" t="s">
        <v>2573</v>
      </c>
      <c r="AY16" s="2755" t="s">
        <v>3710</v>
      </c>
      <c r="AZ16" s="2755"/>
      <c r="BA16" s="2755"/>
      <c r="BB16" s="2756" t="s">
        <v>3700</v>
      </c>
    </row>
    <row r="17" spans="1:54" s="260" customFormat="1" ht="102" customHeight="1">
      <c r="A17" s="2762"/>
      <c r="B17" s="2763"/>
      <c r="C17" s="2764"/>
      <c r="D17" s="2764"/>
      <c r="E17" s="2764"/>
      <c r="F17" s="2451"/>
      <c r="G17" s="2673" t="s">
        <v>1848</v>
      </c>
      <c r="H17" s="2674"/>
      <c r="I17" s="2675"/>
      <c r="J17" s="2683"/>
      <c r="K17" s="2683"/>
      <c r="L17" s="2683"/>
      <c r="M17" s="1571"/>
      <c r="N17" s="1571"/>
      <c r="O17" s="1571"/>
      <c r="P17" s="1571"/>
      <c r="Q17" s="1991"/>
      <c r="R17" s="1991"/>
      <c r="S17" s="73"/>
      <c r="T17" s="54" t="e">
        <f>VLOOKUP(Q17,[99]Listas!$D$6:$E$10,2,0)</f>
        <v>#N/A</v>
      </c>
      <c r="U17" s="54" t="e">
        <f>HLOOKUP(R17,[99]Listas!$F$4:$J$5,2,0)</f>
        <v>#N/A</v>
      </c>
      <c r="V17" s="2007"/>
      <c r="W17" s="73"/>
      <c r="X17" s="2682" t="s">
        <v>2711</v>
      </c>
      <c r="Y17" s="2682"/>
      <c r="Z17" s="2682"/>
      <c r="AA17" s="2695"/>
      <c r="AB17" s="642" t="s">
        <v>1734</v>
      </c>
      <c r="AC17" s="648" t="s">
        <v>475</v>
      </c>
      <c r="AD17" s="1571"/>
      <c r="AE17" s="1299"/>
      <c r="AF17" s="73"/>
      <c r="AG17" s="54">
        <f t="shared" si="0"/>
        <v>0</v>
      </c>
      <c r="AH17" s="54" t="e">
        <f t="shared" si="1"/>
        <v>#N/A</v>
      </c>
      <c r="AI17" s="2632"/>
      <c r="AJ17" s="53" t="e">
        <f t="shared" si="2"/>
        <v>#N/A</v>
      </c>
      <c r="AK17" s="2632"/>
      <c r="AL17" s="86" t="e">
        <f t="shared" si="3"/>
        <v>#N/A</v>
      </c>
      <c r="AM17" s="2643"/>
      <c r="AN17" s="2512"/>
      <c r="AO17" s="2645"/>
      <c r="AP17" s="2680"/>
      <c r="AQ17" s="2518"/>
      <c r="AR17" s="2518"/>
      <c r="AS17" s="2456"/>
      <c r="AT17" s="2456"/>
      <c r="AU17" s="2456"/>
      <c r="AV17" s="2641"/>
      <c r="AW17" s="2641"/>
      <c r="AX17" s="2456"/>
      <c r="AY17" s="2755"/>
      <c r="AZ17" s="2755"/>
      <c r="BA17" s="2755"/>
      <c r="BB17" s="2757"/>
    </row>
    <row r="18" spans="1:54" s="260" customFormat="1" ht="100.5" customHeight="1">
      <c r="A18" s="2762"/>
      <c r="B18" s="2763"/>
      <c r="C18" s="2764"/>
      <c r="D18" s="2764"/>
      <c r="E18" s="2764"/>
      <c r="F18" s="2451"/>
      <c r="G18" s="2673" t="s">
        <v>1849</v>
      </c>
      <c r="H18" s="2674"/>
      <c r="I18" s="2675"/>
      <c r="J18" s="2683"/>
      <c r="K18" s="2683"/>
      <c r="L18" s="2683"/>
      <c r="M18" s="1571"/>
      <c r="N18" s="1571"/>
      <c r="O18" s="1571"/>
      <c r="P18" s="1571"/>
      <c r="Q18" s="1991"/>
      <c r="R18" s="1991"/>
      <c r="S18" s="73"/>
      <c r="T18" s="54" t="e">
        <f>VLOOKUP(Q18,[99]Listas!$D$6:$E$10,2,0)</f>
        <v>#N/A</v>
      </c>
      <c r="U18" s="54" t="e">
        <f>HLOOKUP(R18,[99]Listas!$F$4:$J$5,2,0)</f>
        <v>#N/A</v>
      </c>
      <c r="V18" s="2007"/>
      <c r="W18" s="73"/>
      <c r="X18" s="2682" t="s">
        <v>2711</v>
      </c>
      <c r="Y18" s="2682"/>
      <c r="Z18" s="2682"/>
      <c r="AA18" s="2695"/>
      <c r="AB18" s="642" t="s">
        <v>1734</v>
      </c>
      <c r="AC18" s="648" t="s">
        <v>3601</v>
      </c>
      <c r="AD18" s="1571"/>
      <c r="AE18" s="1299"/>
      <c r="AF18" s="73"/>
      <c r="AG18" s="54">
        <f t="shared" si="0"/>
        <v>0</v>
      </c>
      <c r="AH18" s="54" t="e">
        <f t="shared" si="1"/>
        <v>#N/A</v>
      </c>
      <c r="AI18" s="2632"/>
      <c r="AJ18" s="53" t="e">
        <f t="shared" si="2"/>
        <v>#N/A</v>
      </c>
      <c r="AK18" s="2632"/>
      <c r="AL18" s="86" t="e">
        <f t="shared" si="3"/>
        <v>#N/A</v>
      </c>
      <c r="AM18" s="2643"/>
      <c r="AN18" s="2512"/>
      <c r="AO18" s="2645"/>
      <c r="AP18" s="2680"/>
      <c r="AQ18" s="2518"/>
      <c r="AR18" s="2518"/>
      <c r="AS18" s="2456"/>
      <c r="AT18" s="2456"/>
      <c r="AU18" s="2456"/>
      <c r="AV18" s="2641"/>
      <c r="AW18" s="2641"/>
      <c r="AX18" s="2456"/>
      <c r="AY18" s="2755"/>
      <c r="AZ18" s="2755"/>
      <c r="BA18" s="2755"/>
      <c r="BB18" s="2757"/>
    </row>
    <row r="19" spans="1:54" s="260" customFormat="1" ht="75.75" customHeight="1">
      <c r="A19" s="2762"/>
      <c r="B19" s="2763"/>
      <c r="C19" s="2764"/>
      <c r="D19" s="2764"/>
      <c r="E19" s="2764"/>
      <c r="F19" s="2452"/>
      <c r="G19" s="2673" t="s">
        <v>1850</v>
      </c>
      <c r="H19" s="2674"/>
      <c r="I19" s="2675"/>
      <c r="J19" s="2683"/>
      <c r="K19" s="2683"/>
      <c r="L19" s="2683"/>
      <c r="M19" s="1572"/>
      <c r="N19" s="1572"/>
      <c r="O19" s="1572"/>
      <c r="P19" s="1572"/>
      <c r="Q19" s="1992"/>
      <c r="R19" s="1992"/>
      <c r="S19" s="73"/>
      <c r="T19" s="54" t="e">
        <f>VLOOKUP(Q19,[99]Listas!$D$6:$E$10,2,0)</f>
        <v>#N/A</v>
      </c>
      <c r="U19" s="54" t="e">
        <f>HLOOKUP(R19,[99]Listas!$F$4:$J$5,2,0)</f>
        <v>#N/A</v>
      </c>
      <c r="V19" s="2008"/>
      <c r="W19" s="73"/>
      <c r="X19" s="2765" t="s">
        <v>2712</v>
      </c>
      <c r="Y19" s="2682"/>
      <c r="Z19" s="2682"/>
      <c r="AA19" s="2696"/>
      <c r="AB19" s="642" t="s">
        <v>1734</v>
      </c>
      <c r="AC19" s="648" t="s">
        <v>2713</v>
      </c>
      <c r="AD19" s="1572"/>
      <c r="AE19" s="1469"/>
      <c r="AF19" s="73"/>
      <c r="AG19" s="54">
        <f t="shared" si="0"/>
        <v>0</v>
      </c>
      <c r="AH19" s="54" t="e">
        <f t="shared" si="1"/>
        <v>#N/A</v>
      </c>
      <c r="AI19" s="2632"/>
      <c r="AJ19" s="53" t="e">
        <f t="shared" si="2"/>
        <v>#N/A</v>
      </c>
      <c r="AK19" s="2632"/>
      <c r="AL19" s="86" t="e">
        <f t="shared" si="3"/>
        <v>#N/A</v>
      </c>
      <c r="AM19" s="2643"/>
      <c r="AN19" s="2513"/>
      <c r="AO19" s="2646"/>
      <c r="AP19" s="2681"/>
      <c r="AQ19" s="2519"/>
      <c r="AR19" s="2519"/>
      <c r="AS19" s="2457"/>
      <c r="AT19" s="2457"/>
      <c r="AU19" s="2457"/>
      <c r="AV19" s="2642"/>
      <c r="AW19" s="2642"/>
      <c r="AX19" s="2457"/>
      <c r="AY19" s="2755"/>
      <c r="AZ19" s="2755"/>
      <c r="BA19" s="2755"/>
      <c r="BB19" s="2758"/>
    </row>
    <row r="20" spans="1:54" s="260" customFormat="1" ht="160.5" customHeight="1">
      <c r="A20" s="2762" t="s">
        <v>78</v>
      </c>
      <c r="B20" s="2763" t="s">
        <v>2021</v>
      </c>
      <c r="C20" s="2764" t="s">
        <v>1851</v>
      </c>
      <c r="D20" s="2764"/>
      <c r="E20" s="2764"/>
      <c r="F20" s="2450" t="s">
        <v>1734</v>
      </c>
      <c r="G20" s="2673" t="s">
        <v>1852</v>
      </c>
      <c r="H20" s="2674"/>
      <c r="I20" s="2675"/>
      <c r="J20" s="2683" t="s">
        <v>1853</v>
      </c>
      <c r="K20" s="2683"/>
      <c r="L20" s="2683"/>
      <c r="M20" s="1570"/>
      <c r="N20" s="1570">
        <v>6</v>
      </c>
      <c r="O20" s="1570"/>
      <c r="P20" s="1570"/>
      <c r="Q20" s="1990" t="s">
        <v>64</v>
      </c>
      <c r="R20" s="1990" t="s">
        <v>643</v>
      </c>
      <c r="S20" s="73"/>
      <c r="T20" s="54">
        <f>VLOOKUP(Q20,[99]Listas!$D$6:$E$10,2,0)</f>
        <v>3</v>
      </c>
      <c r="U20" s="54">
        <f>HLOOKUP(R20,[99]Listas!$F$4:$J$5,2,0)</f>
        <v>2</v>
      </c>
      <c r="V20" s="2006" t="str">
        <f>INDEX([99]Listas!$F$6:$J$10,MATCH(Q20,[99]Listas!$D$6:$D$10,0),MATCH(R20,[99]Listas!$F$4:$J$4,0))</f>
        <v>6
MODERADO</v>
      </c>
      <c r="W20" s="73"/>
      <c r="X20" s="2683" t="s">
        <v>3602</v>
      </c>
      <c r="Y20" s="2683"/>
      <c r="Z20" s="2683"/>
      <c r="AA20" s="2694" t="s">
        <v>4013</v>
      </c>
      <c r="AB20" s="642" t="s">
        <v>2714</v>
      </c>
      <c r="AC20" s="647" t="s">
        <v>2715</v>
      </c>
      <c r="AD20" s="1570">
        <v>47</v>
      </c>
      <c r="AE20" s="1298" t="s">
        <v>153</v>
      </c>
      <c r="AF20" s="73"/>
      <c r="AG20" s="54">
        <f t="shared" si="0"/>
        <v>1</v>
      </c>
      <c r="AH20" s="54">
        <f t="shared" si="1"/>
        <v>2</v>
      </c>
      <c r="AI20" s="2632" t="str">
        <f>IF(AH20&lt;=1,"Remota",VLOOKUP(AH20,[99]Listas!$C$6:$D$10,2,0))</f>
        <v>Baja</v>
      </c>
      <c r="AJ20" s="53">
        <f t="shared" si="2"/>
        <v>2</v>
      </c>
      <c r="AK20" s="2632" t="str">
        <f>IF(AJ20&lt;=1,"Insignificante",HLOOKUP(AJ20,[99]Listas!$F$3:$J$4,2,0))</f>
        <v>Menor</v>
      </c>
      <c r="AL20" s="86">
        <f t="shared" si="3"/>
        <v>4</v>
      </c>
      <c r="AM20" s="2643" t="str">
        <f>INDEX([99]Listas!$F$6:$J$10,MATCH(AI20,[99]Listas!$D$6:$D$10,0),MATCH(AK20,[99]Listas!$F$4:$J$4,0))</f>
        <v>4
INFERIOR</v>
      </c>
      <c r="AN20" s="2511" t="s">
        <v>2716</v>
      </c>
      <c r="AO20" s="2644" t="s">
        <v>3603</v>
      </c>
      <c r="AP20" s="2679" t="s">
        <v>3604</v>
      </c>
      <c r="AQ20" s="2517" t="s">
        <v>3711</v>
      </c>
      <c r="AR20" s="2517" t="s">
        <v>3712</v>
      </c>
      <c r="AS20" s="2455" t="s">
        <v>36</v>
      </c>
      <c r="AT20" s="2759" t="s">
        <v>2573</v>
      </c>
      <c r="AU20" s="2455" t="s">
        <v>2573</v>
      </c>
      <c r="AV20" s="2640" t="s">
        <v>2573</v>
      </c>
      <c r="AW20" s="2640" t="s">
        <v>2573</v>
      </c>
      <c r="AX20" s="2455" t="s">
        <v>2573</v>
      </c>
      <c r="AY20" s="2755" t="s">
        <v>3704</v>
      </c>
      <c r="AZ20" s="2755"/>
      <c r="BA20" s="2755"/>
      <c r="BB20" s="2756" t="s">
        <v>3700</v>
      </c>
    </row>
    <row r="21" spans="1:54" s="260" customFormat="1" ht="93" customHeight="1">
      <c r="A21" s="2762"/>
      <c r="B21" s="2763"/>
      <c r="C21" s="2764"/>
      <c r="D21" s="2764"/>
      <c r="E21" s="2764"/>
      <c r="F21" s="2451"/>
      <c r="G21" s="2673" t="s">
        <v>1854</v>
      </c>
      <c r="H21" s="2674"/>
      <c r="I21" s="2675"/>
      <c r="J21" s="2683"/>
      <c r="K21" s="2683"/>
      <c r="L21" s="2683"/>
      <c r="M21" s="1571"/>
      <c r="N21" s="1571"/>
      <c r="O21" s="1571"/>
      <c r="P21" s="1571"/>
      <c r="Q21" s="1991"/>
      <c r="R21" s="1991"/>
      <c r="S21" s="73"/>
      <c r="T21" s="54"/>
      <c r="U21" s="54"/>
      <c r="V21" s="2007"/>
      <c r="W21" s="73"/>
      <c r="X21" s="2683" t="s">
        <v>2717</v>
      </c>
      <c r="Y21" s="2683"/>
      <c r="Z21" s="2683"/>
      <c r="AA21" s="2695"/>
      <c r="AB21" s="642" t="s">
        <v>1734</v>
      </c>
      <c r="AC21" s="647" t="s">
        <v>2718</v>
      </c>
      <c r="AD21" s="1571"/>
      <c r="AE21" s="1299"/>
      <c r="AF21" s="73"/>
      <c r="AG21" s="54"/>
      <c r="AH21" s="54"/>
      <c r="AI21" s="2632"/>
      <c r="AJ21" s="53"/>
      <c r="AK21" s="2632"/>
      <c r="AL21" s="86"/>
      <c r="AM21" s="2643"/>
      <c r="AN21" s="2512"/>
      <c r="AO21" s="2645"/>
      <c r="AP21" s="2680"/>
      <c r="AQ21" s="2518"/>
      <c r="AR21" s="2518"/>
      <c r="AS21" s="2456"/>
      <c r="AT21" s="2760"/>
      <c r="AU21" s="2456"/>
      <c r="AV21" s="2641"/>
      <c r="AW21" s="2641"/>
      <c r="AX21" s="2456"/>
      <c r="AY21" s="2755"/>
      <c r="AZ21" s="2755"/>
      <c r="BA21" s="2755"/>
      <c r="BB21" s="2757"/>
    </row>
    <row r="22" spans="1:54" s="260" customFormat="1" ht="102.75" customHeight="1">
      <c r="A22" s="2762"/>
      <c r="B22" s="2763"/>
      <c r="C22" s="2764"/>
      <c r="D22" s="2764"/>
      <c r="E22" s="2764"/>
      <c r="F22" s="2451"/>
      <c r="G22" s="2673" t="s">
        <v>1855</v>
      </c>
      <c r="H22" s="2674"/>
      <c r="I22" s="2675"/>
      <c r="J22" s="2683"/>
      <c r="K22" s="2683"/>
      <c r="L22" s="2683"/>
      <c r="M22" s="1571"/>
      <c r="N22" s="1571"/>
      <c r="O22" s="1571"/>
      <c r="P22" s="1571"/>
      <c r="Q22" s="1991"/>
      <c r="R22" s="1991"/>
      <c r="S22" s="73"/>
      <c r="T22" s="54" t="e">
        <f>VLOOKUP(Q22,[99]Listas!$D$6:$E$10,2,0)</f>
        <v>#N/A</v>
      </c>
      <c r="U22" s="54" t="e">
        <f>HLOOKUP(R22,[99]Listas!$F$4:$J$5,2,0)</f>
        <v>#N/A</v>
      </c>
      <c r="V22" s="2007"/>
      <c r="W22" s="73"/>
      <c r="X22" s="2683" t="s">
        <v>2717</v>
      </c>
      <c r="Y22" s="2683"/>
      <c r="Z22" s="2683"/>
      <c r="AA22" s="2695"/>
      <c r="AB22" s="642" t="s">
        <v>1734</v>
      </c>
      <c r="AC22" s="647" t="s">
        <v>2718</v>
      </c>
      <c r="AD22" s="1571"/>
      <c r="AE22" s="1299"/>
      <c r="AF22" s="73"/>
      <c r="AG22" s="54">
        <f t="shared" si="0"/>
        <v>0</v>
      </c>
      <c r="AH22" s="54" t="e">
        <f t="shared" si="1"/>
        <v>#N/A</v>
      </c>
      <c r="AI22" s="2632"/>
      <c r="AJ22" s="53" t="e">
        <f t="shared" si="2"/>
        <v>#N/A</v>
      </c>
      <c r="AK22" s="2632"/>
      <c r="AL22" s="86" t="e">
        <f t="shared" si="3"/>
        <v>#N/A</v>
      </c>
      <c r="AM22" s="2643"/>
      <c r="AN22" s="2512"/>
      <c r="AO22" s="2645"/>
      <c r="AP22" s="2680"/>
      <c r="AQ22" s="2518"/>
      <c r="AR22" s="2518"/>
      <c r="AS22" s="2456"/>
      <c r="AT22" s="2760"/>
      <c r="AU22" s="2456"/>
      <c r="AV22" s="2641"/>
      <c r="AW22" s="2641"/>
      <c r="AX22" s="2456"/>
      <c r="AY22" s="2755"/>
      <c r="AZ22" s="2755"/>
      <c r="BA22" s="2755"/>
      <c r="BB22" s="2757"/>
    </row>
    <row r="23" spans="1:54" s="260" customFormat="1" ht="91.5" customHeight="1">
      <c r="A23" s="2762"/>
      <c r="B23" s="2763"/>
      <c r="C23" s="2764"/>
      <c r="D23" s="2764"/>
      <c r="E23" s="2764"/>
      <c r="F23" s="2451"/>
      <c r="G23" s="2673" t="s">
        <v>1857</v>
      </c>
      <c r="H23" s="2674"/>
      <c r="I23" s="2675"/>
      <c r="J23" s="2683"/>
      <c r="K23" s="2683"/>
      <c r="L23" s="2683"/>
      <c r="M23" s="1571"/>
      <c r="N23" s="1571"/>
      <c r="O23" s="1571"/>
      <c r="P23" s="1571"/>
      <c r="Q23" s="1991"/>
      <c r="R23" s="1991"/>
      <c r="S23" s="73"/>
      <c r="T23" s="54" t="e">
        <f>VLOOKUP(Q23,[99]Listas!$D$6:$E$10,2,0)</f>
        <v>#N/A</v>
      </c>
      <c r="U23" s="54" t="e">
        <f>HLOOKUP(R23,[99]Listas!$F$4:$J$5,2,0)</f>
        <v>#N/A</v>
      </c>
      <c r="V23" s="2007"/>
      <c r="W23" s="73"/>
      <c r="X23" s="2683" t="s">
        <v>2719</v>
      </c>
      <c r="Y23" s="2683"/>
      <c r="Z23" s="2683"/>
      <c r="AA23" s="2696"/>
      <c r="AB23" s="642" t="s">
        <v>1734</v>
      </c>
      <c r="AC23" s="647" t="s">
        <v>1856</v>
      </c>
      <c r="AD23" s="1571"/>
      <c r="AE23" s="1299"/>
      <c r="AF23" s="73"/>
      <c r="AG23" s="54">
        <f t="shared" si="0"/>
        <v>0</v>
      </c>
      <c r="AH23" s="54" t="e">
        <f t="shared" si="1"/>
        <v>#N/A</v>
      </c>
      <c r="AI23" s="2632"/>
      <c r="AJ23" s="53" t="e">
        <f t="shared" si="2"/>
        <v>#N/A</v>
      </c>
      <c r="AK23" s="2632"/>
      <c r="AL23" s="86" t="e">
        <f t="shared" si="3"/>
        <v>#N/A</v>
      </c>
      <c r="AM23" s="2643"/>
      <c r="AN23" s="2513"/>
      <c r="AO23" s="2646"/>
      <c r="AP23" s="2681"/>
      <c r="AQ23" s="2519"/>
      <c r="AR23" s="2519"/>
      <c r="AS23" s="2457"/>
      <c r="AT23" s="2761"/>
      <c r="AU23" s="2457"/>
      <c r="AV23" s="2642"/>
      <c r="AW23" s="2642"/>
      <c r="AX23" s="2457"/>
      <c r="AY23" s="2755"/>
      <c r="AZ23" s="2755"/>
      <c r="BA23" s="2755"/>
      <c r="BB23" s="2758"/>
    </row>
    <row r="24" spans="1:54" s="260" customFormat="1" ht="149.25" customHeight="1">
      <c r="A24" s="2731" t="s">
        <v>7</v>
      </c>
      <c r="B24" s="2734" t="s">
        <v>2023</v>
      </c>
      <c r="C24" s="2737" t="s">
        <v>476</v>
      </c>
      <c r="D24" s="2738"/>
      <c r="E24" s="2739"/>
      <c r="F24" s="2450" t="s">
        <v>1742</v>
      </c>
      <c r="G24" s="2712" t="s">
        <v>1858</v>
      </c>
      <c r="H24" s="2713"/>
      <c r="I24" s="2714"/>
      <c r="J24" s="2746" t="s">
        <v>477</v>
      </c>
      <c r="K24" s="2747"/>
      <c r="L24" s="2748"/>
      <c r="M24" s="1570"/>
      <c r="N24" s="1570"/>
      <c r="O24" s="1570" t="s">
        <v>8</v>
      </c>
      <c r="P24" s="1570"/>
      <c r="Q24" s="1990" t="s">
        <v>655</v>
      </c>
      <c r="R24" s="1990" t="s">
        <v>643</v>
      </c>
      <c r="S24" s="73"/>
      <c r="T24" s="54">
        <f>VLOOKUP(Q24,[99]Listas!$D$6:$E$10,2,0)</f>
        <v>2</v>
      </c>
      <c r="U24" s="54">
        <f>HLOOKUP(R24,[99]Listas!$F$4:$J$5,2,0)</f>
        <v>2</v>
      </c>
      <c r="V24" s="2006" t="str">
        <f>INDEX([99]Listas!$F$6:$J$10,MATCH(Q24,[99]Listas!$D$6:$D$10,0),MATCH(R24,[99]Listas!$F$4:$J$4,0))</f>
        <v>4
INFERIOR</v>
      </c>
      <c r="W24" s="73"/>
      <c r="X24" s="2683" t="s">
        <v>3605</v>
      </c>
      <c r="Y24" s="2683"/>
      <c r="Z24" s="2683"/>
      <c r="AA24" s="2694" t="s">
        <v>4264</v>
      </c>
      <c r="AB24" s="642" t="s">
        <v>1742</v>
      </c>
      <c r="AC24" s="650" t="s">
        <v>3606</v>
      </c>
      <c r="AD24" s="1570">
        <v>76</v>
      </c>
      <c r="AE24" s="1298" t="s">
        <v>152</v>
      </c>
      <c r="AF24" s="73"/>
      <c r="AG24" s="54">
        <f t="shared" si="0"/>
        <v>1</v>
      </c>
      <c r="AH24" s="54">
        <f t="shared" si="1"/>
        <v>1</v>
      </c>
      <c r="AI24" s="2632" t="str">
        <f>IF(AH24&lt;=1,"Remota",VLOOKUP(AH24,[99]Listas!$C$6:$D$10,2,0))</f>
        <v>Remota</v>
      </c>
      <c r="AJ24" s="53">
        <f t="shared" si="2"/>
        <v>1</v>
      </c>
      <c r="AK24" s="2632" t="str">
        <f>IF(AJ24&lt;=1,"Insignificante",HLOOKUP(AJ24,[99]Listas!$F$3:$J$4,2,0))</f>
        <v>Insignificante</v>
      </c>
      <c r="AL24" s="86">
        <f t="shared" si="3"/>
        <v>1</v>
      </c>
      <c r="AM24" s="2643" t="str">
        <f>INDEX([99]Listas!$F$6:$J$10,MATCH(AI24,[99]Listas!$D$6:$D$10,0),MATCH(AK24,[99]Listas!$F$4:$J$4,0))</f>
        <v>1
INFERIOR</v>
      </c>
      <c r="AN24" s="2644" t="s">
        <v>2720</v>
      </c>
      <c r="AO24" s="2644" t="s">
        <v>2721</v>
      </c>
      <c r="AP24" s="2514">
        <v>0</v>
      </c>
      <c r="AQ24" s="2517" t="s">
        <v>3607</v>
      </c>
      <c r="AR24" s="2517" t="s">
        <v>3713</v>
      </c>
      <c r="AS24" s="2455" t="s">
        <v>36</v>
      </c>
      <c r="AT24" s="2455" t="s">
        <v>2573</v>
      </c>
      <c r="AU24" s="2455" t="s">
        <v>2573</v>
      </c>
      <c r="AV24" s="2640" t="s">
        <v>2573</v>
      </c>
      <c r="AW24" s="2640" t="s">
        <v>2573</v>
      </c>
      <c r="AX24" s="2455" t="s">
        <v>2573</v>
      </c>
      <c r="AY24" s="2717" t="s">
        <v>3714</v>
      </c>
      <c r="AZ24" s="2718"/>
      <c r="BA24" s="2719"/>
      <c r="BB24" s="2633"/>
    </row>
    <row r="25" spans="1:54" s="260" customFormat="1" ht="137.25" customHeight="1">
      <c r="A25" s="2732"/>
      <c r="B25" s="2735"/>
      <c r="C25" s="2740"/>
      <c r="D25" s="2741"/>
      <c r="E25" s="2742"/>
      <c r="F25" s="2451"/>
      <c r="G25" s="2712" t="s">
        <v>2722</v>
      </c>
      <c r="H25" s="2713"/>
      <c r="I25" s="2714"/>
      <c r="J25" s="2749"/>
      <c r="K25" s="2750"/>
      <c r="L25" s="2751"/>
      <c r="M25" s="1571"/>
      <c r="N25" s="1571"/>
      <c r="O25" s="1571"/>
      <c r="P25" s="1571"/>
      <c r="Q25" s="1991"/>
      <c r="R25" s="1991"/>
      <c r="S25" s="73"/>
      <c r="T25" s="54" t="e">
        <f>VLOOKUP(Q25,[99]Listas!$D$6:$E$10,2,0)</f>
        <v>#N/A</v>
      </c>
      <c r="U25" s="54" t="e">
        <f>HLOOKUP(R25,[99]Listas!$F$4:$J$5,2,0)</f>
        <v>#N/A</v>
      </c>
      <c r="V25" s="2007"/>
      <c r="W25" s="73"/>
      <c r="X25" s="2726" t="s">
        <v>1859</v>
      </c>
      <c r="Y25" s="2727"/>
      <c r="Z25" s="2728"/>
      <c r="AA25" s="2695"/>
      <c r="AB25" s="642" t="s">
        <v>1742</v>
      </c>
      <c r="AC25" s="650" t="s">
        <v>2723</v>
      </c>
      <c r="AD25" s="1571"/>
      <c r="AE25" s="1299"/>
      <c r="AF25" s="73"/>
      <c r="AG25" s="54">
        <f t="shared" si="0"/>
        <v>0</v>
      </c>
      <c r="AH25" s="54" t="e">
        <f t="shared" si="1"/>
        <v>#N/A</v>
      </c>
      <c r="AI25" s="2632"/>
      <c r="AJ25" s="53" t="e">
        <f t="shared" si="2"/>
        <v>#N/A</v>
      </c>
      <c r="AK25" s="2632"/>
      <c r="AL25" s="86" t="e">
        <f t="shared" si="3"/>
        <v>#N/A</v>
      </c>
      <c r="AM25" s="2643"/>
      <c r="AN25" s="2645"/>
      <c r="AO25" s="2645"/>
      <c r="AP25" s="2515"/>
      <c r="AQ25" s="2518"/>
      <c r="AR25" s="2518"/>
      <c r="AS25" s="2456"/>
      <c r="AT25" s="2456"/>
      <c r="AU25" s="2456"/>
      <c r="AV25" s="2641"/>
      <c r="AW25" s="2641"/>
      <c r="AX25" s="2456"/>
      <c r="AY25" s="2720"/>
      <c r="AZ25" s="2721"/>
      <c r="BA25" s="2722"/>
      <c r="BB25" s="2634"/>
    </row>
    <row r="26" spans="1:54" s="260" customFormat="1" ht="172.5" customHeight="1">
      <c r="A26" s="2733"/>
      <c r="B26" s="2736"/>
      <c r="C26" s="2743"/>
      <c r="D26" s="2744"/>
      <c r="E26" s="2745"/>
      <c r="F26" s="2452"/>
      <c r="G26" s="2712" t="s">
        <v>2724</v>
      </c>
      <c r="H26" s="2713"/>
      <c r="I26" s="2714"/>
      <c r="J26" s="2752"/>
      <c r="K26" s="2753"/>
      <c r="L26" s="2754"/>
      <c r="M26" s="1572"/>
      <c r="N26" s="1572"/>
      <c r="O26" s="1572"/>
      <c r="P26" s="1572"/>
      <c r="Q26" s="1992"/>
      <c r="R26" s="1992"/>
      <c r="S26" s="73"/>
      <c r="T26" s="54" t="e">
        <f>VLOOKUP(Q26,[99]Listas!$D$6:$E$10,2,0)</f>
        <v>#N/A</v>
      </c>
      <c r="U26" s="54" t="e">
        <f>HLOOKUP(R26,[99]Listas!$F$4:$J$5,2,0)</f>
        <v>#N/A</v>
      </c>
      <c r="V26" s="2008"/>
      <c r="W26" s="73"/>
      <c r="X26" s="2726" t="s">
        <v>1860</v>
      </c>
      <c r="Y26" s="2729"/>
      <c r="Z26" s="2730"/>
      <c r="AA26" s="2696"/>
      <c r="AB26" s="642" t="s">
        <v>1742</v>
      </c>
      <c r="AC26" s="650" t="s">
        <v>2725</v>
      </c>
      <c r="AD26" s="1572"/>
      <c r="AE26" s="1469"/>
      <c r="AF26" s="73"/>
      <c r="AG26" s="54">
        <f t="shared" si="0"/>
        <v>0</v>
      </c>
      <c r="AH26" s="54" t="e">
        <f t="shared" si="1"/>
        <v>#N/A</v>
      </c>
      <c r="AI26" s="2632"/>
      <c r="AJ26" s="53" t="e">
        <f t="shared" si="2"/>
        <v>#N/A</v>
      </c>
      <c r="AK26" s="2632"/>
      <c r="AL26" s="86" t="e">
        <f t="shared" si="3"/>
        <v>#N/A</v>
      </c>
      <c r="AM26" s="2643"/>
      <c r="AN26" s="2646"/>
      <c r="AO26" s="2646"/>
      <c r="AP26" s="2516"/>
      <c r="AQ26" s="2519"/>
      <c r="AR26" s="2519"/>
      <c r="AS26" s="2457"/>
      <c r="AT26" s="2457"/>
      <c r="AU26" s="2457"/>
      <c r="AV26" s="2642"/>
      <c r="AW26" s="2642"/>
      <c r="AX26" s="2457"/>
      <c r="AY26" s="2723"/>
      <c r="AZ26" s="2724"/>
      <c r="BA26" s="2725"/>
      <c r="BB26" s="2635"/>
    </row>
    <row r="27" spans="1:54" s="260" customFormat="1" ht="207" customHeight="1">
      <c r="A27" s="651" t="s">
        <v>7</v>
      </c>
      <c r="B27" s="652" t="s">
        <v>2024</v>
      </c>
      <c r="C27" s="2711" t="s">
        <v>478</v>
      </c>
      <c r="D27" s="2711"/>
      <c r="E27" s="2711"/>
      <c r="F27" s="641" t="s">
        <v>1742</v>
      </c>
      <c r="G27" s="2712" t="s">
        <v>1861</v>
      </c>
      <c r="H27" s="2713"/>
      <c r="I27" s="2714"/>
      <c r="J27" s="2710" t="s">
        <v>479</v>
      </c>
      <c r="K27" s="2710"/>
      <c r="L27" s="2710"/>
      <c r="M27" s="630"/>
      <c r="N27" s="630"/>
      <c r="O27" s="630"/>
      <c r="P27" s="630"/>
      <c r="Q27" s="631" t="s">
        <v>655</v>
      </c>
      <c r="R27" s="631" t="s">
        <v>643</v>
      </c>
      <c r="S27" s="73"/>
      <c r="T27" s="54">
        <f>VLOOKUP(Q27,[99]Listas!$D$6:$E$10,2,0)</f>
        <v>2</v>
      </c>
      <c r="U27" s="54">
        <f>HLOOKUP(R27,[99]Listas!$F$4:$J$5,2,0)</f>
        <v>2</v>
      </c>
      <c r="V27" s="627" t="str">
        <f>INDEX([99]Listas!$F$6:$J$10,MATCH(Q27,[99]Listas!$D$6:$D$10,0),MATCH(R27,[99]Listas!$F$4:$J$4,0))</f>
        <v>4
INFERIOR</v>
      </c>
      <c r="W27" s="73"/>
      <c r="X27" s="2709" t="s">
        <v>1862</v>
      </c>
      <c r="Y27" s="2709"/>
      <c r="Z27" s="2709"/>
      <c r="AA27" s="1128" t="s">
        <v>4013</v>
      </c>
      <c r="AB27" s="642" t="s">
        <v>1742</v>
      </c>
      <c r="AC27" s="650" t="s">
        <v>3608</v>
      </c>
      <c r="AD27" s="630">
        <v>67</v>
      </c>
      <c r="AE27" s="604" t="s">
        <v>153</v>
      </c>
      <c r="AF27" s="73"/>
      <c r="AG27" s="54">
        <f t="shared" si="0"/>
        <v>1</v>
      </c>
      <c r="AH27" s="54">
        <f t="shared" si="1"/>
        <v>1</v>
      </c>
      <c r="AI27" s="644" t="str">
        <f>IF(AH27&lt;=1,"Remota",VLOOKUP(AH27,[99]Listas!$C$6:$D$10,2,0))</f>
        <v>Remota</v>
      </c>
      <c r="AJ27" s="53">
        <f t="shared" si="2"/>
        <v>2</v>
      </c>
      <c r="AK27" s="644" t="str">
        <f>IF(AJ27&lt;=1,"Insignificante",HLOOKUP(AJ27,[99]Listas!$F$3:$J$4,2,0))</f>
        <v>Menor</v>
      </c>
      <c r="AL27" s="86">
        <f t="shared" si="3"/>
        <v>2</v>
      </c>
      <c r="AM27" s="649" t="str">
        <f>INDEX([99]Listas!$F$6:$J$10,MATCH(AI27,[99]Listas!$D$6:$D$10,0),MATCH(AK27,[99]Listas!$F$4:$J$4,0))</f>
        <v>2
INFERIOR</v>
      </c>
      <c r="AN27" s="357" t="s">
        <v>2726</v>
      </c>
      <c r="AO27" s="357" t="s">
        <v>2721</v>
      </c>
      <c r="AP27" s="575">
        <v>0</v>
      </c>
      <c r="AQ27" s="576" t="s">
        <v>3609</v>
      </c>
      <c r="AR27" s="576" t="s">
        <v>3715</v>
      </c>
      <c r="AS27" s="577" t="s">
        <v>36</v>
      </c>
      <c r="AT27" s="578" t="s">
        <v>2573</v>
      </c>
      <c r="AU27" s="578" t="s">
        <v>2573</v>
      </c>
      <c r="AV27" s="579" t="s">
        <v>2573</v>
      </c>
      <c r="AW27" s="579" t="s">
        <v>2573</v>
      </c>
      <c r="AX27" s="577" t="s">
        <v>2573</v>
      </c>
      <c r="AY27" s="2693" t="s">
        <v>3714</v>
      </c>
      <c r="AZ27" s="2693"/>
      <c r="BA27" s="2693"/>
      <c r="BB27" s="696"/>
    </row>
    <row r="28" spans="1:54" s="260" customFormat="1" ht="100.5" customHeight="1">
      <c r="A28" s="2715" t="s">
        <v>7</v>
      </c>
      <c r="B28" s="2716" t="s">
        <v>2026</v>
      </c>
      <c r="C28" s="2711" t="s">
        <v>480</v>
      </c>
      <c r="D28" s="2711"/>
      <c r="E28" s="2711"/>
      <c r="F28" s="2450" t="s">
        <v>1742</v>
      </c>
      <c r="G28" s="2710" t="s">
        <v>1863</v>
      </c>
      <c r="H28" s="2710"/>
      <c r="I28" s="2710"/>
      <c r="J28" s="2710" t="s">
        <v>1864</v>
      </c>
      <c r="K28" s="2710"/>
      <c r="L28" s="2710"/>
      <c r="M28" s="1570"/>
      <c r="N28" s="1570"/>
      <c r="O28" s="1570"/>
      <c r="P28" s="1570"/>
      <c r="Q28" s="1990" t="s">
        <v>655</v>
      </c>
      <c r="R28" s="1990" t="s">
        <v>643</v>
      </c>
      <c r="S28" s="73"/>
      <c r="T28" s="54">
        <f>VLOOKUP(Q28,[99]Listas!$D$6:$E$10,2,0)</f>
        <v>2</v>
      </c>
      <c r="U28" s="54">
        <f>HLOOKUP(R28,[99]Listas!$F$4:$J$5,2,0)</f>
        <v>2</v>
      </c>
      <c r="V28" s="2006" t="str">
        <f>INDEX([99]Listas!$F$6:$J$10,MATCH(Q28,[99]Listas!$D$6:$D$10,0),MATCH(R28,[99]Listas!$F$4:$J$4,0))</f>
        <v>4
INFERIOR</v>
      </c>
      <c r="W28" s="73"/>
      <c r="X28" s="2709" t="s">
        <v>1865</v>
      </c>
      <c r="Y28" s="2709"/>
      <c r="Z28" s="2709"/>
      <c r="AA28" s="2789" t="s">
        <v>4013</v>
      </c>
      <c r="AB28" s="642" t="s">
        <v>1742</v>
      </c>
      <c r="AC28" s="650" t="s">
        <v>2727</v>
      </c>
      <c r="AD28" s="1570">
        <v>51</v>
      </c>
      <c r="AE28" s="1298" t="s">
        <v>152</v>
      </c>
      <c r="AF28" s="73"/>
      <c r="AG28" s="54">
        <f t="shared" si="0"/>
        <v>1</v>
      </c>
      <c r="AH28" s="54">
        <f t="shared" si="1"/>
        <v>1</v>
      </c>
      <c r="AI28" s="2632" t="str">
        <f>IF(AH28&lt;=1,"Remota",VLOOKUP(AH28,[99]Listas!$C$6:$D$10,2,0))</f>
        <v>Remota</v>
      </c>
      <c r="AJ28" s="53">
        <f t="shared" si="2"/>
        <v>1</v>
      </c>
      <c r="AK28" s="2632" t="str">
        <f>IF(AJ28&lt;=1,"Insignificante",HLOOKUP(AJ28,[99]Listas!$F$3:$J$4,2,0))</f>
        <v>Insignificante</v>
      </c>
      <c r="AL28" s="86">
        <f t="shared" si="3"/>
        <v>1</v>
      </c>
      <c r="AM28" s="2643" t="str">
        <f>INDEX([99]Listas!$F$6:$J$10,MATCH(AI28,[99]Listas!$D$6:$D$10,0),MATCH(AK28,[99]Listas!$F$4:$J$4,0))</f>
        <v>1
INFERIOR</v>
      </c>
      <c r="AN28" s="2644" t="s">
        <v>2728</v>
      </c>
      <c r="AO28" s="2644" t="s">
        <v>2721</v>
      </c>
      <c r="AP28" s="2514">
        <v>0</v>
      </c>
      <c r="AQ28" s="2517" t="s">
        <v>3607</v>
      </c>
      <c r="AR28" s="2517" t="s">
        <v>3716</v>
      </c>
      <c r="AS28" s="2455" t="s">
        <v>36</v>
      </c>
      <c r="AT28" s="2455" t="s">
        <v>2573</v>
      </c>
      <c r="AU28" s="2455" t="s">
        <v>2573</v>
      </c>
      <c r="AV28" s="2640" t="s">
        <v>2573</v>
      </c>
      <c r="AW28" s="2640" t="s">
        <v>2573</v>
      </c>
      <c r="AX28" s="2455" t="s">
        <v>2573</v>
      </c>
      <c r="AY28" s="2693" t="s">
        <v>3714</v>
      </c>
      <c r="AZ28" s="2693"/>
      <c r="BA28" s="2693"/>
      <c r="BB28" s="2633"/>
    </row>
    <row r="29" spans="1:54" s="260" customFormat="1" ht="105" customHeight="1">
      <c r="A29" s="2715"/>
      <c r="B29" s="2716"/>
      <c r="C29" s="2711"/>
      <c r="D29" s="2711"/>
      <c r="E29" s="2711"/>
      <c r="F29" s="2451"/>
      <c r="G29" s="2712" t="s">
        <v>1866</v>
      </c>
      <c r="H29" s="2713"/>
      <c r="I29" s="2714"/>
      <c r="J29" s="2710"/>
      <c r="K29" s="2710"/>
      <c r="L29" s="2710"/>
      <c r="M29" s="1571"/>
      <c r="N29" s="1571"/>
      <c r="O29" s="1571"/>
      <c r="P29" s="1571"/>
      <c r="Q29" s="1991"/>
      <c r="R29" s="1991"/>
      <c r="S29" s="73"/>
      <c r="T29" s="54" t="e">
        <f>VLOOKUP(Q29,[99]Listas!$D$6:$E$10,2,0)</f>
        <v>#N/A</v>
      </c>
      <c r="U29" s="54" t="e">
        <f>HLOOKUP(R29,[99]Listas!$F$4:$J$5,2,0)</f>
        <v>#N/A</v>
      </c>
      <c r="V29" s="2007"/>
      <c r="W29" s="73"/>
      <c r="X29" s="2709" t="s">
        <v>1867</v>
      </c>
      <c r="Y29" s="2709"/>
      <c r="Z29" s="2709"/>
      <c r="AA29" s="2790"/>
      <c r="AB29" s="642" t="s">
        <v>1742</v>
      </c>
      <c r="AC29" s="650" t="s">
        <v>3610</v>
      </c>
      <c r="AD29" s="1571"/>
      <c r="AE29" s="1299"/>
      <c r="AF29" s="73"/>
      <c r="AG29" s="54">
        <f t="shared" si="0"/>
        <v>0</v>
      </c>
      <c r="AH29" s="54" t="e">
        <f t="shared" si="1"/>
        <v>#N/A</v>
      </c>
      <c r="AI29" s="2632"/>
      <c r="AJ29" s="53" t="e">
        <f t="shared" si="2"/>
        <v>#N/A</v>
      </c>
      <c r="AK29" s="2632"/>
      <c r="AL29" s="86" t="e">
        <f t="shared" si="3"/>
        <v>#N/A</v>
      </c>
      <c r="AM29" s="2643"/>
      <c r="AN29" s="2646"/>
      <c r="AO29" s="2646"/>
      <c r="AP29" s="2516"/>
      <c r="AQ29" s="2519"/>
      <c r="AR29" s="2519"/>
      <c r="AS29" s="2457"/>
      <c r="AT29" s="2457"/>
      <c r="AU29" s="2457"/>
      <c r="AV29" s="2642"/>
      <c r="AW29" s="2642"/>
      <c r="AX29" s="2457"/>
      <c r="AY29" s="2693"/>
      <c r="AZ29" s="2693"/>
      <c r="BA29" s="2693"/>
      <c r="BB29" s="2635"/>
    </row>
    <row r="30" spans="1:54" s="260" customFormat="1" ht="75.75" customHeight="1">
      <c r="A30" s="2694" t="s">
        <v>77</v>
      </c>
      <c r="B30" s="2697" t="s">
        <v>2025</v>
      </c>
      <c r="C30" s="2700" t="s">
        <v>668</v>
      </c>
      <c r="D30" s="2701"/>
      <c r="E30" s="2702"/>
      <c r="F30" s="2450" t="s">
        <v>1736</v>
      </c>
      <c r="G30" s="2673" t="s">
        <v>1842</v>
      </c>
      <c r="H30" s="2674"/>
      <c r="I30" s="2675"/>
      <c r="J30" s="2683" t="s">
        <v>2729</v>
      </c>
      <c r="K30" s="2683"/>
      <c r="L30" s="2683"/>
      <c r="M30" s="1570"/>
      <c r="N30" s="1570"/>
      <c r="O30" s="1570"/>
      <c r="P30" s="1570"/>
      <c r="Q30" s="1990" t="s">
        <v>64</v>
      </c>
      <c r="R30" s="1990" t="s">
        <v>643</v>
      </c>
      <c r="S30" s="73"/>
      <c r="T30" s="54">
        <f>VLOOKUP(Q30,[99]Listas!$D$6:$E$10,2,0)</f>
        <v>3</v>
      </c>
      <c r="U30" s="54">
        <f>HLOOKUP(R30,[99]Listas!$F$4:$J$5,2,0)</f>
        <v>2</v>
      </c>
      <c r="V30" s="2006" t="str">
        <f>INDEX([99]Listas!$F$6:$J$10,MATCH(Q30,[99]Listas!$D$6:$D$10,0),MATCH(R30,[99]Listas!$F$4:$J$4,0))</f>
        <v>6
MODERADO</v>
      </c>
      <c r="W30" s="73"/>
      <c r="X30" s="2682" t="s">
        <v>1868</v>
      </c>
      <c r="Y30" s="2682"/>
      <c r="Z30" s="2682"/>
      <c r="AA30" s="2766" t="s">
        <v>4013</v>
      </c>
      <c r="AB30" s="642" t="s">
        <v>1734</v>
      </c>
      <c r="AC30" s="648" t="s">
        <v>669</v>
      </c>
      <c r="AD30" s="1570">
        <v>64</v>
      </c>
      <c r="AE30" s="1298" t="s">
        <v>153</v>
      </c>
      <c r="AF30" s="73"/>
      <c r="AG30" s="54">
        <f t="shared" si="0"/>
        <v>1</v>
      </c>
      <c r="AH30" s="54">
        <f t="shared" si="1"/>
        <v>2</v>
      </c>
      <c r="AI30" s="2632" t="str">
        <f>IF(AH30&lt;=1,"Remota",VLOOKUP(AH30,[99]Listas!$C$6:$D$10,2,0))</f>
        <v>Baja</v>
      </c>
      <c r="AJ30" s="53">
        <f t="shared" si="2"/>
        <v>2</v>
      </c>
      <c r="AK30" s="2632" t="str">
        <f>IF(AJ30&lt;=1,"Insignificante",HLOOKUP(AJ30,[99]Listas!$F$3:$J$4,2,0))</f>
        <v>Menor</v>
      </c>
      <c r="AL30" s="86">
        <f t="shared" si="3"/>
        <v>4</v>
      </c>
      <c r="AM30" s="2643" t="str">
        <f>INDEX([99]Listas!$F$6:$J$10,MATCH(AI30,[99]Listas!$D$6:$D$10,0),MATCH(AK30,[99]Listas!$F$4:$J$4,0))</f>
        <v>4
INFERIOR</v>
      </c>
      <c r="AN30" s="2511" t="s">
        <v>2730</v>
      </c>
      <c r="AO30" s="2644" t="s">
        <v>2721</v>
      </c>
      <c r="AP30" s="2679">
        <v>0</v>
      </c>
      <c r="AQ30" s="2517" t="s">
        <v>3611</v>
      </c>
      <c r="AR30" s="2517" t="s">
        <v>3717</v>
      </c>
      <c r="AS30" s="2455" t="s">
        <v>36</v>
      </c>
      <c r="AT30" s="2455" t="s">
        <v>2573</v>
      </c>
      <c r="AU30" s="2455" t="s">
        <v>2573</v>
      </c>
      <c r="AV30" s="2640" t="s">
        <v>2573</v>
      </c>
      <c r="AW30" s="2640" t="s">
        <v>2573</v>
      </c>
      <c r="AX30" s="2455" t="s">
        <v>2573</v>
      </c>
      <c r="AY30" s="2684" t="s">
        <v>3718</v>
      </c>
      <c r="AZ30" s="2685"/>
      <c r="BA30" s="2686"/>
      <c r="BB30" s="2633"/>
    </row>
    <row r="31" spans="1:54" s="260" customFormat="1" ht="95.25" customHeight="1">
      <c r="A31" s="2695"/>
      <c r="B31" s="2698"/>
      <c r="C31" s="2703"/>
      <c r="D31" s="2704"/>
      <c r="E31" s="2705"/>
      <c r="F31" s="2451"/>
      <c r="G31" s="2673" t="s">
        <v>1843</v>
      </c>
      <c r="H31" s="2674"/>
      <c r="I31" s="2675"/>
      <c r="J31" s="2683"/>
      <c r="K31" s="2683"/>
      <c r="L31" s="2683"/>
      <c r="M31" s="1571"/>
      <c r="N31" s="1571"/>
      <c r="O31" s="1571"/>
      <c r="P31" s="1571"/>
      <c r="Q31" s="1991"/>
      <c r="R31" s="1991"/>
      <c r="S31" s="73"/>
      <c r="T31" s="54" t="e">
        <f>VLOOKUP(Q31,[99]Listas!$D$6:$E$10,2,0)</f>
        <v>#N/A</v>
      </c>
      <c r="U31" s="54" t="e">
        <f>HLOOKUP(R31,[99]Listas!$F$4:$J$5,2,0)</f>
        <v>#N/A</v>
      </c>
      <c r="V31" s="2007"/>
      <c r="W31" s="73"/>
      <c r="X31" s="2676" t="s">
        <v>1869</v>
      </c>
      <c r="Y31" s="2677"/>
      <c r="Z31" s="2678"/>
      <c r="AA31" s="2767"/>
      <c r="AB31" s="642" t="s">
        <v>1736</v>
      </c>
      <c r="AC31" s="648" t="s">
        <v>670</v>
      </c>
      <c r="AD31" s="1571"/>
      <c r="AE31" s="1299"/>
      <c r="AF31" s="73"/>
      <c r="AG31" s="54">
        <f t="shared" si="0"/>
        <v>0</v>
      </c>
      <c r="AH31" s="54" t="e">
        <f t="shared" si="1"/>
        <v>#N/A</v>
      </c>
      <c r="AI31" s="2632"/>
      <c r="AJ31" s="53" t="e">
        <f t="shared" si="2"/>
        <v>#N/A</v>
      </c>
      <c r="AK31" s="2632"/>
      <c r="AL31" s="86" t="e">
        <f t="shared" si="3"/>
        <v>#N/A</v>
      </c>
      <c r="AM31" s="2643"/>
      <c r="AN31" s="2512"/>
      <c r="AO31" s="2645"/>
      <c r="AP31" s="2680"/>
      <c r="AQ31" s="2518"/>
      <c r="AR31" s="2518"/>
      <c r="AS31" s="2456"/>
      <c r="AT31" s="2456"/>
      <c r="AU31" s="2456"/>
      <c r="AV31" s="2641"/>
      <c r="AW31" s="2641"/>
      <c r="AX31" s="2456"/>
      <c r="AY31" s="2687"/>
      <c r="AZ31" s="2688"/>
      <c r="BA31" s="2689"/>
      <c r="BB31" s="2634"/>
    </row>
    <row r="32" spans="1:54" s="260" customFormat="1" ht="115.5" customHeight="1">
      <c r="A32" s="2696"/>
      <c r="B32" s="2699"/>
      <c r="C32" s="2706"/>
      <c r="D32" s="2707"/>
      <c r="E32" s="2708"/>
      <c r="F32" s="2452"/>
      <c r="G32" s="2673" t="s">
        <v>1844</v>
      </c>
      <c r="H32" s="2674"/>
      <c r="I32" s="2675"/>
      <c r="J32" s="2683"/>
      <c r="K32" s="2683"/>
      <c r="L32" s="2683"/>
      <c r="M32" s="1572"/>
      <c r="N32" s="1572"/>
      <c r="O32" s="1572"/>
      <c r="P32" s="1572"/>
      <c r="Q32" s="1992"/>
      <c r="R32" s="1992"/>
      <c r="S32" s="73"/>
      <c r="T32" s="54" t="e">
        <f>VLOOKUP(Q32,[99]Listas!$D$6:$E$10,2,0)</f>
        <v>#N/A</v>
      </c>
      <c r="U32" s="54" t="e">
        <f>HLOOKUP(R32,[99]Listas!$F$4:$J$5,2,0)</f>
        <v>#N/A</v>
      </c>
      <c r="V32" s="2008"/>
      <c r="W32" s="73"/>
      <c r="X32" s="2676" t="s">
        <v>3719</v>
      </c>
      <c r="Y32" s="2677"/>
      <c r="Z32" s="2678"/>
      <c r="AA32" s="2768"/>
      <c r="AB32" s="642" t="s">
        <v>1736</v>
      </c>
      <c r="AC32" s="648" t="s">
        <v>1870</v>
      </c>
      <c r="AD32" s="1572"/>
      <c r="AE32" s="1469"/>
      <c r="AF32" s="73"/>
      <c r="AG32" s="54">
        <f t="shared" si="0"/>
        <v>0</v>
      </c>
      <c r="AH32" s="54" t="e">
        <f t="shared" si="1"/>
        <v>#N/A</v>
      </c>
      <c r="AI32" s="2632"/>
      <c r="AJ32" s="53" t="e">
        <f t="shared" si="2"/>
        <v>#N/A</v>
      </c>
      <c r="AK32" s="2632"/>
      <c r="AL32" s="86" t="e">
        <f t="shared" si="3"/>
        <v>#N/A</v>
      </c>
      <c r="AM32" s="2643"/>
      <c r="AN32" s="2513"/>
      <c r="AO32" s="2646"/>
      <c r="AP32" s="2681"/>
      <c r="AQ32" s="2519"/>
      <c r="AR32" s="2519"/>
      <c r="AS32" s="2457"/>
      <c r="AT32" s="2457"/>
      <c r="AU32" s="2457"/>
      <c r="AV32" s="2642"/>
      <c r="AW32" s="2642"/>
      <c r="AX32" s="2457"/>
      <c r="AY32" s="2690"/>
      <c r="AZ32" s="2691"/>
      <c r="BA32" s="2692"/>
      <c r="BB32" s="2635"/>
    </row>
    <row r="33" spans="1:54" s="260" customFormat="1" ht="78.75" customHeight="1">
      <c r="A33" s="2661" t="s">
        <v>1743</v>
      </c>
      <c r="B33" s="1576" t="s">
        <v>1744</v>
      </c>
      <c r="C33" s="2664" t="s">
        <v>729</v>
      </c>
      <c r="D33" s="2665"/>
      <c r="E33" s="2666"/>
      <c r="F33" s="2450" t="s">
        <v>1745</v>
      </c>
      <c r="G33" s="2636" t="s">
        <v>1746</v>
      </c>
      <c r="H33" s="2637"/>
      <c r="I33" s="2638"/>
      <c r="J33" s="2522" t="s">
        <v>1747</v>
      </c>
      <c r="K33" s="2537"/>
      <c r="L33" s="2538"/>
      <c r="M33" s="1570"/>
      <c r="N33" s="1570"/>
      <c r="O33" s="1570" t="s">
        <v>8</v>
      </c>
      <c r="P33" s="1570"/>
      <c r="Q33" s="1990" t="s">
        <v>654</v>
      </c>
      <c r="R33" s="1990" t="s">
        <v>661</v>
      </c>
      <c r="S33" s="73"/>
      <c r="T33" s="54">
        <f>VLOOKUP(Q33,[99]Listas!$D$6:$E$10,2,0)</f>
        <v>1</v>
      </c>
      <c r="U33" s="54">
        <f>HLOOKUP(R33,[99]Listas!$F$4:$J$5,2,0)</f>
        <v>1</v>
      </c>
      <c r="V33" s="2006" t="str">
        <f>INDEX([99]Listas!$F$6:$J$10,MATCH(Q33,[99]Listas!$D$6:$D$10,0),MATCH(R33,[99]Listas!$F$4:$J$4,0))</f>
        <v>1
INFERIOR</v>
      </c>
      <c r="W33" s="73"/>
      <c r="X33" s="2639" t="s">
        <v>1748</v>
      </c>
      <c r="Y33" s="2639"/>
      <c r="Z33" s="2639"/>
      <c r="AA33" s="2546" t="s">
        <v>4265</v>
      </c>
      <c r="AB33" s="642" t="s">
        <v>1749</v>
      </c>
      <c r="AC33" s="2657" t="s">
        <v>1750</v>
      </c>
      <c r="AD33" s="1570">
        <v>84</v>
      </c>
      <c r="AE33" s="1298" t="s">
        <v>153</v>
      </c>
      <c r="AF33" s="73"/>
      <c r="AG33" s="54">
        <f t="shared" si="0"/>
        <v>2</v>
      </c>
      <c r="AH33" s="54">
        <f t="shared" si="1"/>
        <v>-1</v>
      </c>
      <c r="AI33" s="2632" t="str">
        <f>IF(AH33&lt;=1,"Remota",VLOOKUP(AH33,[99]Listas!$C$6:$D$10,2,0))</f>
        <v>Remota</v>
      </c>
      <c r="AJ33" s="53">
        <f t="shared" si="2"/>
        <v>1</v>
      </c>
      <c r="AK33" s="2632" t="str">
        <f>IF(AJ33&lt;=1,"Insignificante",HLOOKUP(AJ33,[99]Listas!$F$3:$J$4,2,0))</f>
        <v>Insignificante</v>
      </c>
      <c r="AL33" s="86">
        <f t="shared" si="3"/>
        <v>-1</v>
      </c>
      <c r="AM33" s="2643" t="str">
        <f>INDEX([99]Listas!$F$6:$J$10,MATCH(AI33,[99]Listas!$D$6:$D$10,0),MATCH(AK33,[99]Listas!$F$4:$J$4,0))</f>
        <v>1
INFERIOR</v>
      </c>
      <c r="AN33" s="2644" t="s">
        <v>2731</v>
      </c>
      <c r="AO33" s="2644" t="s">
        <v>2721</v>
      </c>
      <c r="AP33" s="2514">
        <v>0</v>
      </c>
      <c r="AQ33" s="2517" t="s">
        <v>3612</v>
      </c>
      <c r="AR33" s="2517" t="s">
        <v>3613</v>
      </c>
      <c r="AS33" s="2455" t="s">
        <v>36</v>
      </c>
      <c r="AT33" s="2455" t="s">
        <v>2573</v>
      </c>
      <c r="AU33" s="2455" t="s">
        <v>2573</v>
      </c>
      <c r="AV33" s="2640" t="s">
        <v>2573</v>
      </c>
      <c r="AW33" s="2640" t="s">
        <v>2573</v>
      </c>
      <c r="AX33" s="2455" t="s">
        <v>2573</v>
      </c>
      <c r="AY33" s="2648" t="s">
        <v>3612</v>
      </c>
      <c r="AZ33" s="2649"/>
      <c r="BA33" s="2650"/>
      <c r="BB33" s="2633"/>
    </row>
    <row r="34" spans="1:54" s="260" customFormat="1" ht="73.5" customHeight="1">
      <c r="A34" s="2662"/>
      <c r="B34" s="1577"/>
      <c r="C34" s="2667"/>
      <c r="D34" s="2668"/>
      <c r="E34" s="2669"/>
      <c r="F34" s="2451"/>
      <c r="G34" s="2636" t="s">
        <v>1751</v>
      </c>
      <c r="H34" s="2637"/>
      <c r="I34" s="2638"/>
      <c r="J34" s="2523"/>
      <c r="K34" s="2539"/>
      <c r="L34" s="2540"/>
      <c r="M34" s="1571"/>
      <c r="N34" s="1571"/>
      <c r="O34" s="1571"/>
      <c r="P34" s="1571"/>
      <c r="Q34" s="1991"/>
      <c r="R34" s="1991"/>
      <c r="S34" s="73"/>
      <c r="T34" s="54" t="e">
        <f>VLOOKUP(Q34,[99]Listas!$D$6:$E$10,2,0)</f>
        <v>#N/A</v>
      </c>
      <c r="U34" s="54" t="e">
        <f>HLOOKUP(R34,[99]Listas!$F$4:$J$5,2,0)</f>
        <v>#N/A</v>
      </c>
      <c r="V34" s="2007"/>
      <c r="W34" s="73"/>
      <c r="X34" s="2639" t="s">
        <v>1748</v>
      </c>
      <c r="Y34" s="2639"/>
      <c r="Z34" s="2639"/>
      <c r="AA34" s="2547"/>
      <c r="AB34" s="642" t="s">
        <v>1749</v>
      </c>
      <c r="AC34" s="2658"/>
      <c r="AD34" s="1571"/>
      <c r="AE34" s="1299"/>
      <c r="AF34" s="73"/>
      <c r="AG34" s="54">
        <f t="shared" si="0"/>
        <v>0</v>
      </c>
      <c r="AH34" s="54" t="e">
        <f t="shared" si="1"/>
        <v>#N/A</v>
      </c>
      <c r="AI34" s="2632"/>
      <c r="AJ34" s="53" t="e">
        <f t="shared" si="2"/>
        <v>#N/A</v>
      </c>
      <c r="AK34" s="2632"/>
      <c r="AL34" s="86" t="e">
        <f t="shared" si="3"/>
        <v>#N/A</v>
      </c>
      <c r="AM34" s="2643"/>
      <c r="AN34" s="2645"/>
      <c r="AO34" s="2645"/>
      <c r="AP34" s="2515"/>
      <c r="AQ34" s="2518"/>
      <c r="AR34" s="2518"/>
      <c r="AS34" s="2456"/>
      <c r="AT34" s="2456"/>
      <c r="AU34" s="2456"/>
      <c r="AV34" s="2641"/>
      <c r="AW34" s="2641"/>
      <c r="AX34" s="2456"/>
      <c r="AY34" s="2651"/>
      <c r="AZ34" s="2652"/>
      <c r="BA34" s="2653"/>
      <c r="BB34" s="2634"/>
    </row>
    <row r="35" spans="1:54" s="260" customFormat="1" ht="84" customHeight="1">
      <c r="A35" s="2662"/>
      <c r="B35" s="1577"/>
      <c r="C35" s="2667"/>
      <c r="D35" s="2668"/>
      <c r="E35" s="2669"/>
      <c r="F35" s="2451"/>
      <c r="G35" s="2636" t="s">
        <v>1752</v>
      </c>
      <c r="H35" s="2637"/>
      <c r="I35" s="2638"/>
      <c r="J35" s="2523"/>
      <c r="K35" s="2539"/>
      <c r="L35" s="2540"/>
      <c r="M35" s="1571"/>
      <c r="N35" s="1571"/>
      <c r="O35" s="1571"/>
      <c r="P35" s="1571"/>
      <c r="Q35" s="1991"/>
      <c r="R35" s="1991"/>
      <c r="S35" s="73"/>
      <c r="T35" s="54" t="e">
        <f>VLOOKUP(Q35,[99]Listas!$D$6:$E$10,2,0)</f>
        <v>#N/A</v>
      </c>
      <c r="U35" s="54" t="e">
        <f>HLOOKUP(R35,[99]Listas!$F$4:$J$5,2,0)</f>
        <v>#N/A</v>
      </c>
      <c r="V35" s="2007"/>
      <c r="W35" s="73"/>
      <c r="X35" s="2639" t="s">
        <v>1753</v>
      </c>
      <c r="Y35" s="2639"/>
      <c r="Z35" s="2639"/>
      <c r="AA35" s="2547"/>
      <c r="AB35" s="642" t="s">
        <v>1754</v>
      </c>
      <c r="AC35" s="2658"/>
      <c r="AD35" s="1571"/>
      <c r="AE35" s="1299"/>
      <c r="AF35" s="73"/>
      <c r="AG35" s="54">
        <f t="shared" si="0"/>
        <v>0</v>
      </c>
      <c r="AH35" s="54" t="e">
        <f t="shared" si="1"/>
        <v>#N/A</v>
      </c>
      <c r="AI35" s="2632"/>
      <c r="AJ35" s="53" t="e">
        <f t="shared" si="2"/>
        <v>#N/A</v>
      </c>
      <c r="AK35" s="2632"/>
      <c r="AL35" s="86" t="e">
        <f t="shared" si="3"/>
        <v>#N/A</v>
      </c>
      <c r="AM35" s="2643"/>
      <c r="AN35" s="2645"/>
      <c r="AO35" s="2645"/>
      <c r="AP35" s="2515"/>
      <c r="AQ35" s="2518"/>
      <c r="AR35" s="2518"/>
      <c r="AS35" s="2456"/>
      <c r="AT35" s="2456"/>
      <c r="AU35" s="2456"/>
      <c r="AV35" s="2641"/>
      <c r="AW35" s="2641"/>
      <c r="AX35" s="2456"/>
      <c r="AY35" s="2651"/>
      <c r="AZ35" s="2652"/>
      <c r="BA35" s="2653"/>
      <c r="BB35" s="2634"/>
    </row>
    <row r="36" spans="1:54" s="260" customFormat="1" ht="103.5" customHeight="1">
      <c r="A36" s="2662"/>
      <c r="B36" s="1577"/>
      <c r="C36" s="2667"/>
      <c r="D36" s="2668"/>
      <c r="E36" s="2669"/>
      <c r="F36" s="2451"/>
      <c r="G36" s="2636" t="s">
        <v>1755</v>
      </c>
      <c r="H36" s="2637"/>
      <c r="I36" s="2638"/>
      <c r="J36" s="2523"/>
      <c r="K36" s="2539"/>
      <c r="L36" s="2540"/>
      <c r="M36" s="1571"/>
      <c r="N36" s="1571"/>
      <c r="O36" s="1571"/>
      <c r="P36" s="1571"/>
      <c r="Q36" s="1991"/>
      <c r="R36" s="1991"/>
      <c r="S36" s="73"/>
      <c r="T36" s="54" t="e">
        <f>VLOOKUP(Q36,[99]Listas!$D$6:$E$10,2,0)</f>
        <v>#N/A</v>
      </c>
      <c r="U36" s="54" t="e">
        <f>HLOOKUP(R36,[99]Listas!$F$4:$J$5,2,0)</f>
        <v>#N/A</v>
      </c>
      <c r="V36" s="2007"/>
      <c r="W36" s="73"/>
      <c r="X36" s="2639" t="s">
        <v>1748</v>
      </c>
      <c r="Y36" s="2639"/>
      <c r="Z36" s="2639"/>
      <c r="AA36" s="2547"/>
      <c r="AB36" s="642" t="s">
        <v>1749</v>
      </c>
      <c r="AC36" s="2658"/>
      <c r="AD36" s="1571"/>
      <c r="AE36" s="1299"/>
      <c r="AF36" s="73"/>
      <c r="AG36" s="54">
        <f t="shared" si="0"/>
        <v>0</v>
      </c>
      <c r="AH36" s="54" t="e">
        <f t="shared" si="1"/>
        <v>#N/A</v>
      </c>
      <c r="AI36" s="2632"/>
      <c r="AJ36" s="53" t="e">
        <f t="shared" si="2"/>
        <v>#N/A</v>
      </c>
      <c r="AK36" s="2632"/>
      <c r="AL36" s="86" t="e">
        <f t="shared" si="3"/>
        <v>#N/A</v>
      </c>
      <c r="AM36" s="2643"/>
      <c r="AN36" s="2645"/>
      <c r="AO36" s="2645"/>
      <c r="AP36" s="2515"/>
      <c r="AQ36" s="2518"/>
      <c r="AR36" s="2518"/>
      <c r="AS36" s="2456"/>
      <c r="AT36" s="2456"/>
      <c r="AU36" s="2456"/>
      <c r="AV36" s="2641"/>
      <c r="AW36" s="2641"/>
      <c r="AX36" s="2456"/>
      <c r="AY36" s="2651"/>
      <c r="AZ36" s="2652"/>
      <c r="BA36" s="2653"/>
      <c r="BB36" s="2634"/>
    </row>
    <row r="37" spans="1:54" s="260" customFormat="1" ht="96" customHeight="1">
      <c r="A37" s="2662"/>
      <c r="B37" s="1577"/>
      <c r="C37" s="2667"/>
      <c r="D37" s="2668"/>
      <c r="E37" s="2669"/>
      <c r="F37" s="2451"/>
      <c r="G37" s="2636" t="s">
        <v>1756</v>
      </c>
      <c r="H37" s="2637"/>
      <c r="I37" s="2638"/>
      <c r="J37" s="2523"/>
      <c r="K37" s="2539"/>
      <c r="L37" s="2540"/>
      <c r="M37" s="1571"/>
      <c r="N37" s="1571"/>
      <c r="O37" s="1571"/>
      <c r="P37" s="1571"/>
      <c r="Q37" s="1991"/>
      <c r="R37" s="1991"/>
      <c r="S37" s="73"/>
      <c r="T37" s="54" t="e">
        <f>VLOOKUP(Q37,[99]Listas!$D$6:$E$10,2,0)</f>
        <v>#N/A</v>
      </c>
      <c r="U37" s="54" t="e">
        <f>HLOOKUP(R37,[99]Listas!$F$4:$J$5,2,0)</f>
        <v>#N/A</v>
      </c>
      <c r="V37" s="2007"/>
      <c r="W37" s="73"/>
      <c r="X37" s="2639" t="s">
        <v>1757</v>
      </c>
      <c r="Y37" s="2639"/>
      <c r="Z37" s="2639"/>
      <c r="AA37" s="2547"/>
      <c r="AB37" s="642" t="s">
        <v>1749</v>
      </c>
      <c r="AC37" s="2658"/>
      <c r="AD37" s="1571"/>
      <c r="AE37" s="1299"/>
      <c r="AF37" s="73"/>
      <c r="AG37" s="54">
        <f t="shared" si="0"/>
        <v>0</v>
      </c>
      <c r="AH37" s="54" t="e">
        <f t="shared" si="1"/>
        <v>#N/A</v>
      </c>
      <c r="AI37" s="2632"/>
      <c r="AJ37" s="53" t="e">
        <f t="shared" si="2"/>
        <v>#N/A</v>
      </c>
      <c r="AK37" s="2632"/>
      <c r="AL37" s="86" t="e">
        <f t="shared" si="3"/>
        <v>#N/A</v>
      </c>
      <c r="AM37" s="2643"/>
      <c r="AN37" s="2645"/>
      <c r="AO37" s="2645"/>
      <c r="AP37" s="2515"/>
      <c r="AQ37" s="2518"/>
      <c r="AR37" s="2518"/>
      <c r="AS37" s="2456"/>
      <c r="AT37" s="2456"/>
      <c r="AU37" s="2456"/>
      <c r="AV37" s="2641"/>
      <c r="AW37" s="2641"/>
      <c r="AX37" s="2456"/>
      <c r="AY37" s="2651"/>
      <c r="AZ37" s="2652"/>
      <c r="BA37" s="2653"/>
      <c r="BB37" s="2634"/>
    </row>
    <row r="38" spans="1:54" s="260" customFormat="1" ht="114.75" customHeight="1">
      <c r="A38" s="2662"/>
      <c r="B38" s="1577"/>
      <c r="C38" s="2667"/>
      <c r="D38" s="2668"/>
      <c r="E38" s="2669"/>
      <c r="F38" s="2451"/>
      <c r="G38" s="2636" t="s">
        <v>1758</v>
      </c>
      <c r="H38" s="2637"/>
      <c r="I38" s="2638"/>
      <c r="J38" s="2523"/>
      <c r="K38" s="2539"/>
      <c r="L38" s="2540"/>
      <c r="M38" s="1571"/>
      <c r="N38" s="1571"/>
      <c r="O38" s="1571"/>
      <c r="P38" s="1571"/>
      <c r="Q38" s="1991"/>
      <c r="R38" s="1991"/>
      <c r="S38" s="73"/>
      <c r="T38" s="54" t="e">
        <f>VLOOKUP(Q38,[99]Listas!$D$6:$E$10,2,0)</f>
        <v>#N/A</v>
      </c>
      <c r="U38" s="54" t="e">
        <f>HLOOKUP(R38,[99]Listas!$F$4:$J$5,2,0)</f>
        <v>#N/A</v>
      </c>
      <c r="V38" s="2007"/>
      <c r="W38" s="73"/>
      <c r="X38" s="2639" t="s">
        <v>1759</v>
      </c>
      <c r="Y38" s="2639"/>
      <c r="Z38" s="2639"/>
      <c r="AA38" s="2547"/>
      <c r="AB38" s="642" t="s">
        <v>1760</v>
      </c>
      <c r="AC38" s="2658"/>
      <c r="AD38" s="1571"/>
      <c r="AE38" s="1299"/>
      <c r="AF38" s="73"/>
      <c r="AG38" s="54">
        <f t="shared" si="0"/>
        <v>0</v>
      </c>
      <c r="AH38" s="54" t="e">
        <f t="shared" si="1"/>
        <v>#N/A</v>
      </c>
      <c r="AI38" s="2632"/>
      <c r="AJ38" s="53" t="e">
        <f t="shared" si="2"/>
        <v>#N/A</v>
      </c>
      <c r="AK38" s="2632"/>
      <c r="AL38" s="86" t="e">
        <f t="shared" si="3"/>
        <v>#N/A</v>
      </c>
      <c r="AM38" s="2643"/>
      <c r="AN38" s="2645"/>
      <c r="AO38" s="2645"/>
      <c r="AP38" s="2515"/>
      <c r="AQ38" s="2518"/>
      <c r="AR38" s="2518"/>
      <c r="AS38" s="2456"/>
      <c r="AT38" s="2456"/>
      <c r="AU38" s="2456"/>
      <c r="AV38" s="2641"/>
      <c r="AW38" s="2641"/>
      <c r="AX38" s="2456"/>
      <c r="AY38" s="2651"/>
      <c r="AZ38" s="2652"/>
      <c r="BA38" s="2653"/>
      <c r="BB38" s="2634"/>
    </row>
    <row r="39" spans="1:54" s="260" customFormat="1" ht="87.75" customHeight="1">
      <c r="A39" s="2662"/>
      <c r="B39" s="1577"/>
      <c r="C39" s="2667"/>
      <c r="D39" s="2668"/>
      <c r="E39" s="2669"/>
      <c r="F39" s="2451"/>
      <c r="G39" s="2636" t="s">
        <v>1761</v>
      </c>
      <c r="H39" s="2637"/>
      <c r="I39" s="2638"/>
      <c r="J39" s="2523"/>
      <c r="K39" s="2539"/>
      <c r="L39" s="2540"/>
      <c r="M39" s="1571"/>
      <c r="N39" s="1571"/>
      <c r="O39" s="1571"/>
      <c r="P39" s="1571"/>
      <c r="Q39" s="1991"/>
      <c r="R39" s="1991"/>
      <c r="S39" s="73"/>
      <c r="T39" s="54" t="e">
        <f>VLOOKUP(Q39,[99]Listas!$D$6:$E$10,2,0)</f>
        <v>#N/A</v>
      </c>
      <c r="U39" s="54" t="e">
        <f>HLOOKUP(R39,[99]Listas!$F$4:$J$5,2,0)</f>
        <v>#N/A</v>
      </c>
      <c r="V39" s="2007"/>
      <c r="W39" s="73"/>
      <c r="X39" s="2639" t="s">
        <v>1762</v>
      </c>
      <c r="Y39" s="2639"/>
      <c r="Z39" s="2639"/>
      <c r="AA39" s="2547"/>
      <c r="AB39" s="642" t="s">
        <v>1749</v>
      </c>
      <c r="AC39" s="2658"/>
      <c r="AD39" s="1571"/>
      <c r="AE39" s="1299"/>
      <c r="AF39" s="73"/>
      <c r="AG39" s="54">
        <f t="shared" si="0"/>
        <v>0</v>
      </c>
      <c r="AH39" s="54" t="e">
        <f t="shared" si="1"/>
        <v>#N/A</v>
      </c>
      <c r="AI39" s="2632"/>
      <c r="AJ39" s="53" t="e">
        <f t="shared" si="2"/>
        <v>#N/A</v>
      </c>
      <c r="AK39" s="2632"/>
      <c r="AL39" s="86" t="e">
        <f t="shared" si="3"/>
        <v>#N/A</v>
      </c>
      <c r="AM39" s="2643"/>
      <c r="AN39" s="2645"/>
      <c r="AO39" s="2645"/>
      <c r="AP39" s="2515"/>
      <c r="AQ39" s="2518"/>
      <c r="AR39" s="2518"/>
      <c r="AS39" s="2456"/>
      <c r="AT39" s="2456"/>
      <c r="AU39" s="2456"/>
      <c r="AV39" s="2641"/>
      <c r="AW39" s="2641"/>
      <c r="AX39" s="2456"/>
      <c r="AY39" s="2651"/>
      <c r="AZ39" s="2652"/>
      <c r="BA39" s="2653"/>
      <c r="BB39" s="2634"/>
    </row>
    <row r="40" spans="1:54" s="260" customFormat="1" ht="81" customHeight="1">
      <c r="A40" s="2663"/>
      <c r="B40" s="1578"/>
      <c r="C40" s="2670"/>
      <c r="D40" s="2671"/>
      <c r="E40" s="2672"/>
      <c r="F40" s="2452"/>
      <c r="G40" s="2636" t="s">
        <v>1763</v>
      </c>
      <c r="H40" s="2637"/>
      <c r="I40" s="2638"/>
      <c r="J40" s="2524"/>
      <c r="K40" s="2541"/>
      <c r="L40" s="2542"/>
      <c r="M40" s="1572"/>
      <c r="N40" s="1572"/>
      <c r="O40" s="1572"/>
      <c r="P40" s="1572"/>
      <c r="Q40" s="1992"/>
      <c r="R40" s="1992"/>
      <c r="S40" s="73"/>
      <c r="T40" s="54" t="e">
        <f>VLOOKUP(Q40,[99]Listas!$D$6:$E$10,2,0)</f>
        <v>#N/A</v>
      </c>
      <c r="U40" s="54" t="e">
        <f>HLOOKUP(R40,[99]Listas!$F$4:$J$5,2,0)</f>
        <v>#N/A</v>
      </c>
      <c r="V40" s="2008"/>
      <c r="W40" s="73"/>
      <c r="X40" s="2639" t="s">
        <v>1762</v>
      </c>
      <c r="Y40" s="2639"/>
      <c r="Z40" s="2639"/>
      <c r="AA40" s="2548"/>
      <c r="AB40" s="642" t="s">
        <v>1764</v>
      </c>
      <c r="AC40" s="2659"/>
      <c r="AD40" s="1572"/>
      <c r="AE40" s="1469"/>
      <c r="AF40" s="73"/>
      <c r="AG40" s="54">
        <f t="shared" si="0"/>
        <v>0</v>
      </c>
      <c r="AH40" s="54" t="e">
        <f t="shared" si="1"/>
        <v>#N/A</v>
      </c>
      <c r="AI40" s="2632"/>
      <c r="AJ40" s="53" t="e">
        <f t="shared" si="2"/>
        <v>#N/A</v>
      </c>
      <c r="AK40" s="2632"/>
      <c r="AL40" s="86" t="e">
        <f t="shared" si="3"/>
        <v>#N/A</v>
      </c>
      <c r="AM40" s="2643"/>
      <c r="AN40" s="2646"/>
      <c r="AO40" s="2646"/>
      <c r="AP40" s="2516"/>
      <c r="AQ40" s="2519"/>
      <c r="AR40" s="2519"/>
      <c r="AS40" s="2457"/>
      <c r="AT40" s="2457"/>
      <c r="AU40" s="2457"/>
      <c r="AV40" s="2642"/>
      <c r="AW40" s="2642"/>
      <c r="AX40" s="2457"/>
      <c r="AY40" s="2654"/>
      <c r="AZ40" s="2655"/>
      <c r="BA40" s="2656"/>
      <c r="BB40" s="2635"/>
    </row>
    <row r="41" spans="1:54" s="260" customFormat="1" ht="66" customHeight="1">
      <c r="A41" s="1993" t="s">
        <v>1743</v>
      </c>
      <c r="B41" s="1576" t="s">
        <v>1765</v>
      </c>
      <c r="C41" s="2664" t="s">
        <v>988</v>
      </c>
      <c r="D41" s="2665"/>
      <c r="E41" s="2666"/>
      <c r="F41" s="2450" t="s">
        <v>1745</v>
      </c>
      <c r="G41" s="2636" t="s">
        <v>1766</v>
      </c>
      <c r="H41" s="2637"/>
      <c r="I41" s="2638"/>
      <c r="J41" s="2522" t="s">
        <v>1767</v>
      </c>
      <c r="K41" s="2537"/>
      <c r="L41" s="2538"/>
      <c r="M41" s="1570"/>
      <c r="N41" s="1570"/>
      <c r="O41" s="1570" t="s">
        <v>8</v>
      </c>
      <c r="P41" s="1570"/>
      <c r="Q41" s="1990" t="s">
        <v>64</v>
      </c>
      <c r="R41" s="1990" t="s">
        <v>643</v>
      </c>
      <c r="S41" s="73"/>
      <c r="T41" s="54">
        <f>VLOOKUP(Q41,[99]Listas!$D$6:$E$10,2,0)</f>
        <v>3</v>
      </c>
      <c r="U41" s="54">
        <f>HLOOKUP(R41,[99]Listas!$F$4:$J$5,2,0)</f>
        <v>2</v>
      </c>
      <c r="V41" s="2006" t="str">
        <f>INDEX([99]Listas!$F$6:$J$10,MATCH(Q41,[99]Listas!$D$6:$D$10,0),MATCH(R41,[99]Listas!$F$4:$J$4,0))</f>
        <v>6
MODERADO</v>
      </c>
      <c r="W41" s="73"/>
      <c r="X41" s="2639" t="s">
        <v>1768</v>
      </c>
      <c r="Y41" s="2639"/>
      <c r="Z41" s="2639"/>
      <c r="AA41" s="2546" t="s">
        <v>4266</v>
      </c>
      <c r="AB41" s="642" t="s">
        <v>1769</v>
      </c>
      <c r="AC41" s="2657" t="s">
        <v>1750</v>
      </c>
      <c r="AD41" s="1570">
        <v>62</v>
      </c>
      <c r="AE41" s="1298" t="s">
        <v>152</v>
      </c>
      <c r="AF41" s="73"/>
      <c r="AG41" s="54">
        <f t="shared" si="0"/>
        <v>1</v>
      </c>
      <c r="AH41" s="54">
        <f t="shared" si="1"/>
        <v>2</v>
      </c>
      <c r="AI41" s="2632" t="str">
        <f>IF(AH41&lt;=1,"Remota",VLOOKUP(AH41,[99]Listas!$C$6:$D$10,2,0))</f>
        <v>Baja</v>
      </c>
      <c r="AJ41" s="53">
        <f t="shared" si="2"/>
        <v>1</v>
      </c>
      <c r="AK41" s="2632" t="str">
        <f>IF(AJ41&lt;=1,"Insignificante",HLOOKUP(AJ41,[99]Listas!$F$3:$J$4,2,0))</f>
        <v>Insignificante</v>
      </c>
      <c r="AL41" s="86">
        <f t="shared" si="3"/>
        <v>2</v>
      </c>
      <c r="AM41" s="2643" t="str">
        <f>INDEX([99]Listas!$F$6:$J$10,MATCH(AI41,[99]Listas!$D$6:$D$10,0),MATCH(AK41,[99]Listas!$F$4:$J$4,0))</f>
        <v>2
INFERIOR</v>
      </c>
      <c r="AN41" s="2644" t="s">
        <v>2731</v>
      </c>
      <c r="AO41" s="2644" t="s">
        <v>2721</v>
      </c>
      <c r="AP41" s="2514">
        <v>0</v>
      </c>
      <c r="AQ41" s="2517" t="s">
        <v>3612</v>
      </c>
      <c r="AR41" s="2517" t="s">
        <v>3613</v>
      </c>
      <c r="AS41" s="2455" t="s">
        <v>36</v>
      </c>
      <c r="AT41" s="2455" t="s">
        <v>2573</v>
      </c>
      <c r="AU41" s="2455" t="s">
        <v>2573</v>
      </c>
      <c r="AV41" s="2640" t="s">
        <v>2573</v>
      </c>
      <c r="AW41" s="2640" t="s">
        <v>2573</v>
      </c>
      <c r="AX41" s="2455" t="s">
        <v>2573</v>
      </c>
      <c r="AY41" s="2648" t="s">
        <v>3612</v>
      </c>
      <c r="AZ41" s="2649"/>
      <c r="BA41" s="2650"/>
      <c r="BB41" s="2633"/>
    </row>
    <row r="42" spans="1:54" s="260" customFormat="1" ht="122.25" customHeight="1">
      <c r="A42" s="1994"/>
      <c r="B42" s="1577" t="s">
        <v>473</v>
      </c>
      <c r="C42" s="2667"/>
      <c r="D42" s="2668"/>
      <c r="E42" s="2669"/>
      <c r="F42" s="2451"/>
      <c r="G42" s="2636" t="s">
        <v>1770</v>
      </c>
      <c r="H42" s="2637"/>
      <c r="I42" s="2638"/>
      <c r="J42" s="2523"/>
      <c r="K42" s="2539"/>
      <c r="L42" s="2540"/>
      <c r="M42" s="1571"/>
      <c r="N42" s="1571"/>
      <c r="O42" s="1571"/>
      <c r="P42" s="1571"/>
      <c r="Q42" s="1991"/>
      <c r="R42" s="1991"/>
      <c r="S42" s="73"/>
      <c r="T42" s="54" t="e">
        <f>VLOOKUP(Q42,[99]Listas!$D$6:$E$10,2,0)</f>
        <v>#N/A</v>
      </c>
      <c r="U42" s="54" t="e">
        <f>HLOOKUP(R42,[99]Listas!$F$4:$J$5,2,0)</f>
        <v>#N/A</v>
      </c>
      <c r="V42" s="2007"/>
      <c r="W42" s="73"/>
      <c r="X42" s="2639" t="s">
        <v>1771</v>
      </c>
      <c r="Y42" s="2639"/>
      <c r="Z42" s="2639"/>
      <c r="AA42" s="2547"/>
      <c r="AB42" s="642" t="s">
        <v>1772</v>
      </c>
      <c r="AC42" s="2658"/>
      <c r="AD42" s="1571"/>
      <c r="AE42" s="1299"/>
      <c r="AF42" s="73"/>
      <c r="AG42" s="54">
        <f t="shared" si="0"/>
        <v>0</v>
      </c>
      <c r="AH42" s="54" t="e">
        <f t="shared" si="1"/>
        <v>#N/A</v>
      </c>
      <c r="AI42" s="2632"/>
      <c r="AJ42" s="53" t="e">
        <f t="shared" si="2"/>
        <v>#N/A</v>
      </c>
      <c r="AK42" s="2632"/>
      <c r="AL42" s="86" t="e">
        <f t="shared" si="3"/>
        <v>#N/A</v>
      </c>
      <c r="AM42" s="2643"/>
      <c r="AN42" s="2645"/>
      <c r="AO42" s="2645"/>
      <c r="AP42" s="2515"/>
      <c r="AQ42" s="2518"/>
      <c r="AR42" s="2518"/>
      <c r="AS42" s="2456"/>
      <c r="AT42" s="2456"/>
      <c r="AU42" s="2456"/>
      <c r="AV42" s="2641"/>
      <c r="AW42" s="2641"/>
      <c r="AX42" s="2456"/>
      <c r="AY42" s="2651"/>
      <c r="AZ42" s="2652"/>
      <c r="BA42" s="2653"/>
      <c r="BB42" s="2634"/>
    </row>
    <row r="43" spans="1:54" s="260" customFormat="1" ht="126.75" customHeight="1">
      <c r="A43" s="1994"/>
      <c r="B43" s="1577" t="s">
        <v>473</v>
      </c>
      <c r="C43" s="2667"/>
      <c r="D43" s="2668"/>
      <c r="E43" s="2669"/>
      <c r="F43" s="2451"/>
      <c r="G43" s="2636" t="s">
        <v>1773</v>
      </c>
      <c r="H43" s="2637"/>
      <c r="I43" s="2638"/>
      <c r="J43" s="2523"/>
      <c r="K43" s="2539"/>
      <c r="L43" s="2540"/>
      <c r="M43" s="1571"/>
      <c r="N43" s="1571"/>
      <c r="O43" s="1571"/>
      <c r="P43" s="1571"/>
      <c r="Q43" s="1991"/>
      <c r="R43" s="1991"/>
      <c r="S43" s="73"/>
      <c r="T43" s="54" t="e">
        <f>VLOOKUP(Q43,[99]Listas!$D$6:$E$10,2,0)</f>
        <v>#N/A</v>
      </c>
      <c r="U43" s="54" t="e">
        <f>HLOOKUP(R43,[99]Listas!$F$4:$J$5,2,0)</f>
        <v>#N/A</v>
      </c>
      <c r="V43" s="2007"/>
      <c r="W43" s="73"/>
      <c r="X43" s="2639" t="s">
        <v>1774</v>
      </c>
      <c r="Y43" s="2639"/>
      <c r="Z43" s="2639"/>
      <c r="AA43" s="2547"/>
      <c r="AB43" s="642" t="s">
        <v>1775</v>
      </c>
      <c r="AC43" s="2658"/>
      <c r="AD43" s="1571"/>
      <c r="AE43" s="1299"/>
      <c r="AF43" s="73"/>
      <c r="AG43" s="54">
        <f t="shared" si="0"/>
        <v>0</v>
      </c>
      <c r="AH43" s="54" t="e">
        <f t="shared" si="1"/>
        <v>#N/A</v>
      </c>
      <c r="AI43" s="2632"/>
      <c r="AJ43" s="53" t="e">
        <f t="shared" si="2"/>
        <v>#N/A</v>
      </c>
      <c r="AK43" s="2632"/>
      <c r="AL43" s="86" t="e">
        <f t="shared" si="3"/>
        <v>#N/A</v>
      </c>
      <c r="AM43" s="2643"/>
      <c r="AN43" s="2645"/>
      <c r="AO43" s="2645"/>
      <c r="AP43" s="2515"/>
      <c r="AQ43" s="2518"/>
      <c r="AR43" s="2518"/>
      <c r="AS43" s="2456"/>
      <c r="AT43" s="2456"/>
      <c r="AU43" s="2456"/>
      <c r="AV43" s="2641"/>
      <c r="AW43" s="2641"/>
      <c r="AX43" s="2456"/>
      <c r="AY43" s="2651"/>
      <c r="AZ43" s="2652"/>
      <c r="BA43" s="2653"/>
      <c r="BB43" s="2634"/>
    </row>
    <row r="44" spans="1:54" s="260" customFormat="1" ht="113.25" customHeight="1">
      <c r="A44" s="1995"/>
      <c r="B44" s="1578" t="s">
        <v>473</v>
      </c>
      <c r="C44" s="2670"/>
      <c r="D44" s="2671"/>
      <c r="E44" s="2672"/>
      <c r="F44" s="2452"/>
      <c r="G44" s="2636" t="s">
        <v>1776</v>
      </c>
      <c r="H44" s="2637"/>
      <c r="I44" s="2638"/>
      <c r="J44" s="2524"/>
      <c r="K44" s="2541"/>
      <c r="L44" s="2542"/>
      <c r="M44" s="1572"/>
      <c r="N44" s="1572"/>
      <c r="O44" s="1572"/>
      <c r="P44" s="1572"/>
      <c r="Q44" s="1992"/>
      <c r="R44" s="1992"/>
      <c r="S44" s="73"/>
      <c r="T44" s="54" t="e">
        <f>VLOOKUP(Q44,[99]Listas!$D$6:$E$10,2,0)</f>
        <v>#N/A</v>
      </c>
      <c r="U44" s="54" t="e">
        <f>HLOOKUP(R44,[99]Listas!$F$4:$J$5,2,0)</f>
        <v>#N/A</v>
      </c>
      <c r="V44" s="2008"/>
      <c r="W44" s="73"/>
      <c r="X44" s="2639" t="s">
        <v>1777</v>
      </c>
      <c r="Y44" s="2639"/>
      <c r="Z44" s="2639"/>
      <c r="AA44" s="2548"/>
      <c r="AB44" s="642" t="s">
        <v>1775</v>
      </c>
      <c r="AC44" s="2659"/>
      <c r="AD44" s="1572"/>
      <c r="AE44" s="1469"/>
      <c r="AF44" s="73"/>
      <c r="AG44" s="54">
        <f t="shared" si="0"/>
        <v>0</v>
      </c>
      <c r="AH44" s="54" t="e">
        <f t="shared" si="1"/>
        <v>#N/A</v>
      </c>
      <c r="AI44" s="2632"/>
      <c r="AJ44" s="53" t="e">
        <f t="shared" si="2"/>
        <v>#N/A</v>
      </c>
      <c r="AK44" s="2632"/>
      <c r="AL44" s="86" t="e">
        <f t="shared" si="3"/>
        <v>#N/A</v>
      </c>
      <c r="AM44" s="2643"/>
      <c r="AN44" s="2646"/>
      <c r="AO44" s="2646"/>
      <c r="AP44" s="2516"/>
      <c r="AQ44" s="2519"/>
      <c r="AR44" s="2519"/>
      <c r="AS44" s="2457"/>
      <c r="AT44" s="2457"/>
      <c r="AU44" s="2457"/>
      <c r="AV44" s="2642"/>
      <c r="AW44" s="2642"/>
      <c r="AX44" s="2457"/>
      <c r="AY44" s="2654"/>
      <c r="AZ44" s="2655"/>
      <c r="BA44" s="2656"/>
      <c r="BB44" s="2635"/>
    </row>
    <row r="45" spans="1:54" s="260" customFormat="1" ht="99" customHeight="1">
      <c r="A45" s="2661" t="s">
        <v>1743</v>
      </c>
      <c r="B45" s="1576" t="s">
        <v>1778</v>
      </c>
      <c r="C45" s="2664" t="s">
        <v>982</v>
      </c>
      <c r="D45" s="2665"/>
      <c r="E45" s="2666"/>
      <c r="F45" s="2450" t="s">
        <v>1745</v>
      </c>
      <c r="G45" s="2636" t="s">
        <v>1779</v>
      </c>
      <c r="H45" s="2637"/>
      <c r="I45" s="2638"/>
      <c r="J45" s="2522" t="s">
        <v>1780</v>
      </c>
      <c r="K45" s="2537"/>
      <c r="L45" s="2538"/>
      <c r="M45" s="1570"/>
      <c r="N45" s="1570"/>
      <c r="O45" s="1570" t="s">
        <v>8</v>
      </c>
      <c r="P45" s="1570"/>
      <c r="Q45" s="1990" t="s">
        <v>655</v>
      </c>
      <c r="R45" s="1990" t="s">
        <v>643</v>
      </c>
      <c r="S45" s="73"/>
      <c r="T45" s="54">
        <f>VLOOKUP(Q45,[99]Listas!$D$6:$E$10,2,0)</f>
        <v>2</v>
      </c>
      <c r="U45" s="54">
        <f>HLOOKUP(R45,[99]Listas!$F$4:$J$5,2,0)</f>
        <v>2</v>
      </c>
      <c r="V45" s="2006" t="str">
        <f>INDEX([99]Listas!$F$6:$J$10,MATCH(Q45,[99]Listas!$D$6:$D$10,0),MATCH(R45,[99]Listas!$F$4:$J$4,0))</f>
        <v>4
INFERIOR</v>
      </c>
      <c r="W45" s="73"/>
      <c r="X45" s="2639" t="s">
        <v>1781</v>
      </c>
      <c r="Y45" s="2639"/>
      <c r="Z45" s="2639"/>
      <c r="AA45" s="2791" t="s">
        <v>4267</v>
      </c>
      <c r="AB45" s="2450" t="s">
        <v>1782</v>
      </c>
      <c r="AC45" s="2657" t="s">
        <v>1783</v>
      </c>
      <c r="AD45" s="1570">
        <v>74</v>
      </c>
      <c r="AE45" s="1298" t="s">
        <v>153</v>
      </c>
      <c r="AF45" s="73"/>
      <c r="AG45" s="54">
        <f t="shared" si="0"/>
        <v>1</v>
      </c>
      <c r="AH45" s="54">
        <f t="shared" si="1"/>
        <v>1</v>
      </c>
      <c r="AI45" s="2632" t="str">
        <f>IF(AH45&lt;=1,"Remota",VLOOKUP(AH45,[99]Listas!$C$6:$D$10,2,0))</f>
        <v>Remota</v>
      </c>
      <c r="AJ45" s="53">
        <f t="shared" si="2"/>
        <v>2</v>
      </c>
      <c r="AK45" s="2632" t="str">
        <f>IF(AJ45&lt;=1,"Insignificante",HLOOKUP(AJ45,[99]Listas!$F$3:$J$4,2,0))</f>
        <v>Menor</v>
      </c>
      <c r="AL45" s="86">
        <f t="shared" si="3"/>
        <v>2</v>
      </c>
      <c r="AM45" s="2643" t="str">
        <f>INDEX([99]Listas!$F$6:$J$10,MATCH(AI45,[99]Listas!$D$6:$D$10,0),MATCH(AK45,[99]Listas!$F$4:$J$4,0))</f>
        <v>2
INFERIOR</v>
      </c>
      <c r="AN45" s="2644" t="s">
        <v>2731</v>
      </c>
      <c r="AO45" s="2644" t="s">
        <v>2721</v>
      </c>
      <c r="AP45" s="2514">
        <v>0</v>
      </c>
      <c r="AQ45" s="2517" t="s">
        <v>3612</v>
      </c>
      <c r="AR45" s="2517" t="s">
        <v>3613</v>
      </c>
      <c r="AS45" s="2455" t="s">
        <v>36</v>
      </c>
      <c r="AT45" s="2455" t="s">
        <v>2573</v>
      </c>
      <c r="AU45" s="2455" t="s">
        <v>2573</v>
      </c>
      <c r="AV45" s="2640" t="s">
        <v>2573</v>
      </c>
      <c r="AW45" s="2640" t="s">
        <v>2573</v>
      </c>
      <c r="AX45" s="2455" t="s">
        <v>2573</v>
      </c>
      <c r="AY45" s="2648" t="s">
        <v>3614</v>
      </c>
      <c r="AZ45" s="2649"/>
      <c r="BA45" s="2650"/>
      <c r="BB45" s="2633"/>
    </row>
    <row r="46" spans="1:54" s="260" customFormat="1" ht="82.5" customHeight="1">
      <c r="A46" s="2662"/>
      <c r="B46" s="1577" t="s">
        <v>473</v>
      </c>
      <c r="C46" s="2667"/>
      <c r="D46" s="2668"/>
      <c r="E46" s="2669"/>
      <c r="F46" s="2451"/>
      <c r="G46" s="2636" t="s">
        <v>1784</v>
      </c>
      <c r="H46" s="2637"/>
      <c r="I46" s="2638"/>
      <c r="J46" s="2523"/>
      <c r="K46" s="2539"/>
      <c r="L46" s="2540"/>
      <c r="M46" s="1571"/>
      <c r="N46" s="1571"/>
      <c r="O46" s="1571"/>
      <c r="P46" s="1571"/>
      <c r="Q46" s="1991"/>
      <c r="R46" s="1991"/>
      <c r="S46" s="73"/>
      <c r="T46" s="54" t="e">
        <f>VLOOKUP(Q46,[99]Listas!$D$6:$E$10,2,0)</f>
        <v>#N/A</v>
      </c>
      <c r="U46" s="54" t="e">
        <f>HLOOKUP(R46,[99]Listas!$F$4:$J$5,2,0)</f>
        <v>#N/A</v>
      </c>
      <c r="V46" s="2007"/>
      <c r="W46" s="73"/>
      <c r="X46" s="2639" t="s">
        <v>1768</v>
      </c>
      <c r="Y46" s="2639"/>
      <c r="Z46" s="2639"/>
      <c r="AA46" s="2792"/>
      <c r="AB46" s="2451"/>
      <c r="AC46" s="2658"/>
      <c r="AD46" s="1571"/>
      <c r="AE46" s="1299"/>
      <c r="AF46" s="73"/>
      <c r="AG46" s="54">
        <f t="shared" si="0"/>
        <v>0</v>
      </c>
      <c r="AH46" s="54" t="e">
        <f t="shared" si="1"/>
        <v>#N/A</v>
      </c>
      <c r="AI46" s="2632"/>
      <c r="AJ46" s="53" t="e">
        <f t="shared" si="2"/>
        <v>#N/A</v>
      </c>
      <c r="AK46" s="2632"/>
      <c r="AL46" s="86" t="e">
        <f t="shared" si="3"/>
        <v>#N/A</v>
      </c>
      <c r="AM46" s="2643"/>
      <c r="AN46" s="2645"/>
      <c r="AO46" s="2645"/>
      <c r="AP46" s="2515"/>
      <c r="AQ46" s="2518"/>
      <c r="AR46" s="2518"/>
      <c r="AS46" s="2456"/>
      <c r="AT46" s="2456"/>
      <c r="AU46" s="2456"/>
      <c r="AV46" s="2641"/>
      <c r="AW46" s="2641"/>
      <c r="AX46" s="2456"/>
      <c r="AY46" s="2651"/>
      <c r="AZ46" s="2652"/>
      <c r="BA46" s="2653"/>
      <c r="BB46" s="2634"/>
    </row>
    <row r="47" spans="1:54" s="260" customFormat="1" ht="216" customHeight="1">
      <c r="A47" s="2662"/>
      <c r="B47" s="1577" t="s">
        <v>473</v>
      </c>
      <c r="C47" s="2667"/>
      <c r="D47" s="2668"/>
      <c r="E47" s="2669"/>
      <c r="F47" s="2451"/>
      <c r="G47" s="2636" t="s">
        <v>1786</v>
      </c>
      <c r="H47" s="2637"/>
      <c r="I47" s="2638"/>
      <c r="J47" s="2523"/>
      <c r="K47" s="2539"/>
      <c r="L47" s="2540"/>
      <c r="M47" s="1571"/>
      <c r="N47" s="1571"/>
      <c r="O47" s="1571"/>
      <c r="P47" s="1571"/>
      <c r="Q47" s="1991"/>
      <c r="R47" s="1991"/>
      <c r="S47" s="73"/>
      <c r="T47" s="54" t="e">
        <f>VLOOKUP(Q47,[99]Listas!$D$6:$E$10,2,0)</f>
        <v>#N/A</v>
      </c>
      <c r="U47" s="54" t="e">
        <f>HLOOKUP(R47,[99]Listas!$F$4:$J$5,2,0)</f>
        <v>#N/A</v>
      </c>
      <c r="V47" s="2007"/>
      <c r="W47" s="73"/>
      <c r="X47" s="2639" t="s">
        <v>1787</v>
      </c>
      <c r="Y47" s="2639"/>
      <c r="Z47" s="2639"/>
      <c r="AA47" s="2792"/>
      <c r="AB47" s="2451"/>
      <c r="AC47" s="2658"/>
      <c r="AD47" s="1571"/>
      <c r="AE47" s="1299"/>
      <c r="AF47" s="73"/>
      <c r="AG47" s="54">
        <f t="shared" si="0"/>
        <v>0</v>
      </c>
      <c r="AH47" s="54" t="e">
        <f t="shared" si="1"/>
        <v>#N/A</v>
      </c>
      <c r="AI47" s="2632"/>
      <c r="AJ47" s="53" t="e">
        <f t="shared" si="2"/>
        <v>#N/A</v>
      </c>
      <c r="AK47" s="2632"/>
      <c r="AL47" s="86" t="e">
        <f t="shared" si="3"/>
        <v>#N/A</v>
      </c>
      <c r="AM47" s="2643"/>
      <c r="AN47" s="2645"/>
      <c r="AO47" s="2645"/>
      <c r="AP47" s="2515"/>
      <c r="AQ47" s="2518"/>
      <c r="AR47" s="2518"/>
      <c r="AS47" s="2456"/>
      <c r="AT47" s="2456"/>
      <c r="AU47" s="2456"/>
      <c r="AV47" s="2641"/>
      <c r="AW47" s="2641"/>
      <c r="AX47" s="2456"/>
      <c r="AY47" s="2651"/>
      <c r="AZ47" s="2652"/>
      <c r="BA47" s="2653"/>
      <c r="BB47" s="2634"/>
    </row>
    <row r="48" spans="1:54" s="260" customFormat="1" ht="162" customHeight="1">
      <c r="A48" s="2662"/>
      <c r="B48" s="1577"/>
      <c r="C48" s="2667"/>
      <c r="D48" s="2668"/>
      <c r="E48" s="2669"/>
      <c r="F48" s="2451"/>
      <c r="G48" s="2636" t="s">
        <v>1789</v>
      </c>
      <c r="H48" s="2637"/>
      <c r="I48" s="2638"/>
      <c r="J48" s="2523"/>
      <c r="K48" s="2539"/>
      <c r="L48" s="2540"/>
      <c r="M48" s="1571"/>
      <c r="N48" s="1571"/>
      <c r="O48" s="1571"/>
      <c r="P48" s="1571"/>
      <c r="Q48" s="1991"/>
      <c r="R48" s="1991"/>
      <c r="S48" s="73"/>
      <c r="T48" s="54" t="e">
        <f>VLOOKUP(Q48,[99]Listas!$D$6:$E$10,2,0)</f>
        <v>#N/A</v>
      </c>
      <c r="U48" s="54" t="e">
        <f>HLOOKUP(R48,[99]Listas!$F$4:$J$5,2,0)</f>
        <v>#N/A</v>
      </c>
      <c r="V48" s="2007"/>
      <c r="W48" s="73"/>
      <c r="X48" s="2639" t="s">
        <v>1790</v>
      </c>
      <c r="Y48" s="2639"/>
      <c r="Z48" s="2639"/>
      <c r="AA48" s="2792"/>
      <c r="AB48" s="2451"/>
      <c r="AC48" s="2658"/>
      <c r="AD48" s="1571"/>
      <c r="AE48" s="1299"/>
      <c r="AF48" s="73"/>
      <c r="AG48" s="54">
        <f t="shared" si="0"/>
        <v>0</v>
      </c>
      <c r="AH48" s="54" t="e">
        <f t="shared" si="1"/>
        <v>#N/A</v>
      </c>
      <c r="AI48" s="2632"/>
      <c r="AJ48" s="53" t="e">
        <f t="shared" si="2"/>
        <v>#N/A</v>
      </c>
      <c r="AK48" s="2632"/>
      <c r="AL48" s="86" t="e">
        <f t="shared" si="3"/>
        <v>#N/A</v>
      </c>
      <c r="AM48" s="2643"/>
      <c r="AN48" s="2645"/>
      <c r="AO48" s="2645"/>
      <c r="AP48" s="2515"/>
      <c r="AQ48" s="2518"/>
      <c r="AR48" s="2518"/>
      <c r="AS48" s="2456"/>
      <c r="AT48" s="2456"/>
      <c r="AU48" s="2456"/>
      <c r="AV48" s="2641"/>
      <c r="AW48" s="2641"/>
      <c r="AX48" s="2456"/>
      <c r="AY48" s="2651"/>
      <c r="AZ48" s="2652"/>
      <c r="BA48" s="2653"/>
      <c r="BB48" s="2634"/>
    </row>
    <row r="49" spans="1:54" s="260" customFormat="1" ht="115.5" customHeight="1">
      <c r="A49" s="2662"/>
      <c r="B49" s="1577"/>
      <c r="C49" s="2667"/>
      <c r="D49" s="2668"/>
      <c r="E49" s="2669"/>
      <c r="F49" s="2451"/>
      <c r="G49" s="2636" t="s">
        <v>1791</v>
      </c>
      <c r="H49" s="2637"/>
      <c r="I49" s="2638"/>
      <c r="J49" s="2523"/>
      <c r="K49" s="2539"/>
      <c r="L49" s="2540"/>
      <c r="M49" s="1571"/>
      <c r="N49" s="1571"/>
      <c r="O49" s="1571"/>
      <c r="P49" s="1571"/>
      <c r="Q49" s="1991"/>
      <c r="R49" s="1991"/>
      <c r="S49" s="73"/>
      <c r="T49" s="54" t="e">
        <f>VLOOKUP(Q49,[99]Listas!$D$6:$E$10,2,0)</f>
        <v>#N/A</v>
      </c>
      <c r="U49" s="54" t="e">
        <f>HLOOKUP(R49,[99]Listas!$F$4:$J$5,2,0)</f>
        <v>#N/A</v>
      </c>
      <c r="V49" s="2007"/>
      <c r="W49" s="73"/>
      <c r="X49" s="2639" t="s">
        <v>1792</v>
      </c>
      <c r="Y49" s="2639"/>
      <c r="Z49" s="2639"/>
      <c r="AA49" s="2792"/>
      <c r="AB49" s="2451"/>
      <c r="AC49" s="2658"/>
      <c r="AD49" s="1571"/>
      <c r="AE49" s="1299"/>
      <c r="AF49" s="73"/>
      <c r="AG49" s="54">
        <f t="shared" si="0"/>
        <v>0</v>
      </c>
      <c r="AH49" s="54" t="e">
        <f t="shared" si="1"/>
        <v>#N/A</v>
      </c>
      <c r="AI49" s="2632"/>
      <c r="AJ49" s="53" t="e">
        <f t="shared" si="2"/>
        <v>#N/A</v>
      </c>
      <c r="AK49" s="2632"/>
      <c r="AL49" s="86" t="e">
        <f t="shared" si="3"/>
        <v>#N/A</v>
      </c>
      <c r="AM49" s="2643"/>
      <c r="AN49" s="2645"/>
      <c r="AO49" s="2645"/>
      <c r="AP49" s="2515"/>
      <c r="AQ49" s="2518"/>
      <c r="AR49" s="2518"/>
      <c r="AS49" s="2456"/>
      <c r="AT49" s="2456"/>
      <c r="AU49" s="2456"/>
      <c r="AV49" s="2641"/>
      <c r="AW49" s="2641"/>
      <c r="AX49" s="2456"/>
      <c r="AY49" s="2651"/>
      <c r="AZ49" s="2652"/>
      <c r="BA49" s="2653"/>
      <c r="BB49" s="2634"/>
    </row>
    <row r="50" spans="1:54" s="260" customFormat="1" ht="141" customHeight="1">
      <c r="A50" s="2663"/>
      <c r="B50" s="1578" t="s">
        <v>473</v>
      </c>
      <c r="C50" s="2670"/>
      <c r="D50" s="2671"/>
      <c r="E50" s="2672"/>
      <c r="F50" s="2452"/>
      <c r="G50" s="2636" t="s">
        <v>1794</v>
      </c>
      <c r="H50" s="2637"/>
      <c r="I50" s="2638"/>
      <c r="J50" s="2524"/>
      <c r="K50" s="2541"/>
      <c r="L50" s="2542"/>
      <c r="M50" s="1572"/>
      <c r="N50" s="1572"/>
      <c r="O50" s="1572"/>
      <c r="P50" s="1572"/>
      <c r="Q50" s="1992"/>
      <c r="R50" s="1992"/>
      <c r="S50" s="73"/>
      <c r="T50" s="54" t="e">
        <f>VLOOKUP(Q50,[99]Listas!$D$6:$E$10,2,0)</f>
        <v>#N/A</v>
      </c>
      <c r="U50" s="54" t="e">
        <f>HLOOKUP(R50,[99]Listas!$F$4:$J$5,2,0)</f>
        <v>#N/A</v>
      </c>
      <c r="V50" s="2008"/>
      <c r="W50" s="73"/>
      <c r="X50" s="2639" t="s">
        <v>1795</v>
      </c>
      <c r="Y50" s="2639"/>
      <c r="Z50" s="2639"/>
      <c r="AA50" s="2793"/>
      <c r="AB50" s="2452"/>
      <c r="AC50" s="2659"/>
      <c r="AD50" s="1572"/>
      <c r="AE50" s="1469"/>
      <c r="AF50" s="73"/>
      <c r="AG50" s="54">
        <f t="shared" si="0"/>
        <v>0</v>
      </c>
      <c r="AH50" s="54" t="e">
        <f t="shared" si="1"/>
        <v>#N/A</v>
      </c>
      <c r="AI50" s="2632"/>
      <c r="AJ50" s="53" t="e">
        <f t="shared" si="2"/>
        <v>#N/A</v>
      </c>
      <c r="AK50" s="2632"/>
      <c r="AL50" s="86" t="e">
        <f t="shared" si="3"/>
        <v>#N/A</v>
      </c>
      <c r="AM50" s="2643"/>
      <c r="AN50" s="2646"/>
      <c r="AO50" s="2646"/>
      <c r="AP50" s="2516"/>
      <c r="AQ50" s="2519"/>
      <c r="AR50" s="2519"/>
      <c r="AS50" s="2457"/>
      <c r="AT50" s="2457"/>
      <c r="AU50" s="2457"/>
      <c r="AV50" s="2642"/>
      <c r="AW50" s="2642"/>
      <c r="AX50" s="2457"/>
      <c r="AY50" s="2654"/>
      <c r="AZ50" s="2655"/>
      <c r="BA50" s="2656"/>
      <c r="BB50" s="2635"/>
    </row>
    <row r="51" spans="1:54" s="260" customFormat="1" ht="114.75" customHeight="1">
      <c r="A51" s="2661" t="s">
        <v>1743</v>
      </c>
      <c r="B51" s="1576" t="s">
        <v>1796</v>
      </c>
      <c r="C51" s="2664" t="s">
        <v>1071</v>
      </c>
      <c r="D51" s="2665"/>
      <c r="E51" s="2666"/>
      <c r="F51" s="2450" t="s">
        <v>1745</v>
      </c>
      <c r="G51" s="2636" t="s">
        <v>1797</v>
      </c>
      <c r="H51" s="2637"/>
      <c r="I51" s="2638"/>
      <c r="J51" s="2522" t="s">
        <v>1798</v>
      </c>
      <c r="K51" s="2537"/>
      <c r="L51" s="2538"/>
      <c r="M51" s="1570"/>
      <c r="N51" s="1570"/>
      <c r="O51" s="1570" t="s">
        <v>8</v>
      </c>
      <c r="P51" s="1570"/>
      <c r="Q51" s="1990" t="s">
        <v>64</v>
      </c>
      <c r="R51" s="1990" t="s">
        <v>643</v>
      </c>
      <c r="S51" s="73"/>
      <c r="T51" s="54">
        <f>VLOOKUP(Q51,[99]Listas!$D$6:$E$10,2,0)</f>
        <v>3</v>
      </c>
      <c r="U51" s="54">
        <f>HLOOKUP(R51,[99]Listas!$F$4:$J$5,2,0)</f>
        <v>2</v>
      </c>
      <c r="V51" s="2006" t="str">
        <f>INDEX([99]Listas!$F$6:$J$10,MATCH(Q51,[99]Listas!$D$6:$D$10,0),MATCH(R51,[99]Listas!$F$4:$J$4,0))</f>
        <v>6
MODERADO</v>
      </c>
      <c r="W51" s="73"/>
      <c r="X51" s="2639" t="s">
        <v>1799</v>
      </c>
      <c r="Y51" s="2639"/>
      <c r="Z51" s="2639"/>
      <c r="AA51" s="2546" t="s">
        <v>4268</v>
      </c>
      <c r="AB51" s="642" t="s">
        <v>1800</v>
      </c>
      <c r="AC51" s="2657" t="s">
        <v>1801</v>
      </c>
      <c r="AD51" s="1570">
        <v>41</v>
      </c>
      <c r="AE51" s="1298" t="s">
        <v>153</v>
      </c>
      <c r="AF51" s="73"/>
      <c r="AG51" s="54">
        <f t="shared" si="0"/>
        <v>1</v>
      </c>
      <c r="AH51" s="54">
        <f t="shared" si="1"/>
        <v>2</v>
      </c>
      <c r="AI51" s="2632" t="str">
        <f>IF(AH51&lt;=1,"Remota",VLOOKUP(AH51,[99]Listas!$C$6:$D$10,2,0))</f>
        <v>Baja</v>
      </c>
      <c r="AJ51" s="53">
        <f t="shared" si="2"/>
        <v>2</v>
      </c>
      <c r="AK51" s="2632" t="str">
        <f>IF(AJ51&lt;=1,"Insignificante",HLOOKUP(AJ51,[99]Listas!$F$3:$J$4,2,0))</f>
        <v>Menor</v>
      </c>
      <c r="AL51" s="86">
        <f t="shared" si="3"/>
        <v>4</v>
      </c>
      <c r="AM51" s="2643" t="str">
        <f>INDEX([99]Listas!$F$6:$J$10,MATCH(AI51,[99]Listas!$D$6:$D$10,0),MATCH(AK51,[99]Listas!$F$4:$J$4,0))</f>
        <v>4
INFERIOR</v>
      </c>
      <c r="AN51" s="2644" t="s">
        <v>2731</v>
      </c>
      <c r="AO51" s="2644" t="s">
        <v>2721</v>
      </c>
      <c r="AP51" s="2514">
        <v>0</v>
      </c>
      <c r="AQ51" s="2517" t="s">
        <v>3612</v>
      </c>
      <c r="AR51" s="2517" t="s">
        <v>3613</v>
      </c>
      <c r="AS51" s="2455" t="s">
        <v>36</v>
      </c>
      <c r="AT51" s="2455" t="s">
        <v>2573</v>
      </c>
      <c r="AU51" s="2455" t="s">
        <v>2573</v>
      </c>
      <c r="AV51" s="2640" t="s">
        <v>2573</v>
      </c>
      <c r="AW51" s="2640" t="s">
        <v>2573</v>
      </c>
      <c r="AX51" s="2455" t="s">
        <v>2573</v>
      </c>
      <c r="AY51" s="2648" t="s">
        <v>3612</v>
      </c>
      <c r="AZ51" s="2649"/>
      <c r="BA51" s="2650"/>
      <c r="BB51" s="2633"/>
    </row>
    <row r="52" spans="1:54" s="260" customFormat="1" ht="145.5" customHeight="1">
      <c r="A52" s="2662"/>
      <c r="B52" s="1577" t="s">
        <v>473</v>
      </c>
      <c r="C52" s="2667"/>
      <c r="D52" s="2668"/>
      <c r="E52" s="2669"/>
      <c r="F52" s="2451"/>
      <c r="G52" s="2636" t="s">
        <v>1802</v>
      </c>
      <c r="H52" s="2637"/>
      <c r="I52" s="2638"/>
      <c r="J52" s="2523"/>
      <c r="K52" s="2539"/>
      <c r="L52" s="2540"/>
      <c r="M52" s="1571"/>
      <c r="N52" s="1571"/>
      <c r="O52" s="1571"/>
      <c r="P52" s="1571"/>
      <c r="Q52" s="1991"/>
      <c r="R52" s="1991"/>
      <c r="S52" s="73"/>
      <c r="T52" s="54" t="e">
        <f>VLOOKUP(Q52,[99]Listas!$D$6:$E$10,2,0)</f>
        <v>#N/A</v>
      </c>
      <c r="U52" s="54" t="e">
        <f>HLOOKUP(R52,[99]Listas!$F$4:$J$5,2,0)</f>
        <v>#N/A</v>
      </c>
      <c r="V52" s="2007"/>
      <c r="W52" s="73"/>
      <c r="X52" s="2639" t="s">
        <v>1803</v>
      </c>
      <c r="Y52" s="2639"/>
      <c r="Z52" s="2639"/>
      <c r="AA52" s="2547"/>
      <c r="AB52" s="642" t="s">
        <v>1804</v>
      </c>
      <c r="AC52" s="2658"/>
      <c r="AD52" s="1571"/>
      <c r="AE52" s="1299"/>
      <c r="AF52" s="73"/>
      <c r="AG52" s="54">
        <f t="shared" si="0"/>
        <v>0</v>
      </c>
      <c r="AH52" s="54" t="e">
        <f t="shared" si="1"/>
        <v>#N/A</v>
      </c>
      <c r="AI52" s="2632"/>
      <c r="AJ52" s="53" t="e">
        <f t="shared" si="2"/>
        <v>#N/A</v>
      </c>
      <c r="AK52" s="2632"/>
      <c r="AL52" s="86" t="e">
        <f t="shared" si="3"/>
        <v>#N/A</v>
      </c>
      <c r="AM52" s="2643"/>
      <c r="AN52" s="2645"/>
      <c r="AO52" s="2645"/>
      <c r="AP52" s="2515"/>
      <c r="AQ52" s="2518"/>
      <c r="AR52" s="2518"/>
      <c r="AS52" s="2456"/>
      <c r="AT52" s="2456"/>
      <c r="AU52" s="2456"/>
      <c r="AV52" s="2641"/>
      <c r="AW52" s="2641"/>
      <c r="AX52" s="2456"/>
      <c r="AY52" s="2651"/>
      <c r="AZ52" s="2652"/>
      <c r="BA52" s="2653"/>
      <c r="BB52" s="2634"/>
    </row>
    <row r="53" spans="1:54" s="260" customFormat="1" ht="110.25" customHeight="1">
      <c r="A53" s="2662"/>
      <c r="B53" s="1577"/>
      <c r="C53" s="2667"/>
      <c r="D53" s="2668"/>
      <c r="E53" s="2669"/>
      <c r="F53" s="2451"/>
      <c r="G53" s="2636" t="s">
        <v>1805</v>
      </c>
      <c r="H53" s="2637"/>
      <c r="I53" s="2638"/>
      <c r="J53" s="2523"/>
      <c r="K53" s="2539"/>
      <c r="L53" s="2540"/>
      <c r="M53" s="1571"/>
      <c r="N53" s="1571"/>
      <c r="O53" s="1571"/>
      <c r="P53" s="1571"/>
      <c r="Q53" s="1991"/>
      <c r="R53" s="1991"/>
      <c r="S53" s="73"/>
      <c r="T53" s="54" t="e">
        <f>VLOOKUP(Q53,[99]Listas!$D$6:$E$10,2,0)</f>
        <v>#N/A</v>
      </c>
      <c r="U53" s="54" t="e">
        <f>HLOOKUP(R53,[99]Listas!$F$4:$J$5,2,0)</f>
        <v>#N/A</v>
      </c>
      <c r="V53" s="2007"/>
      <c r="W53" s="73"/>
      <c r="X53" s="2639" t="s">
        <v>1806</v>
      </c>
      <c r="Y53" s="2639"/>
      <c r="Z53" s="2639"/>
      <c r="AA53" s="2547"/>
      <c r="AB53" s="642" t="s">
        <v>1807</v>
      </c>
      <c r="AC53" s="2658"/>
      <c r="AD53" s="1571"/>
      <c r="AE53" s="1299"/>
      <c r="AF53" s="73"/>
      <c r="AG53" s="54">
        <f t="shared" si="0"/>
        <v>0</v>
      </c>
      <c r="AH53" s="54" t="e">
        <f t="shared" si="1"/>
        <v>#N/A</v>
      </c>
      <c r="AI53" s="2632"/>
      <c r="AJ53" s="53" t="e">
        <f t="shared" si="2"/>
        <v>#N/A</v>
      </c>
      <c r="AK53" s="2632"/>
      <c r="AL53" s="86" t="e">
        <f t="shared" si="3"/>
        <v>#N/A</v>
      </c>
      <c r="AM53" s="2643"/>
      <c r="AN53" s="2645"/>
      <c r="AO53" s="2645"/>
      <c r="AP53" s="2515"/>
      <c r="AQ53" s="2518"/>
      <c r="AR53" s="2518"/>
      <c r="AS53" s="2456"/>
      <c r="AT53" s="2456"/>
      <c r="AU53" s="2456"/>
      <c r="AV53" s="2641"/>
      <c r="AW53" s="2641"/>
      <c r="AX53" s="2456"/>
      <c r="AY53" s="2651"/>
      <c r="AZ53" s="2652"/>
      <c r="BA53" s="2653"/>
      <c r="BB53" s="2634"/>
    </row>
    <row r="54" spans="1:54" s="260" customFormat="1" ht="80.25" customHeight="1">
      <c r="A54" s="2662"/>
      <c r="B54" s="1577"/>
      <c r="C54" s="2667"/>
      <c r="D54" s="2668"/>
      <c r="E54" s="2669"/>
      <c r="F54" s="2451"/>
      <c r="G54" s="2636" t="s">
        <v>1808</v>
      </c>
      <c r="H54" s="2637"/>
      <c r="I54" s="2638"/>
      <c r="J54" s="2523"/>
      <c r="K54" s="2539"/>
      <c r="L54" s="2540"/>
      <c r="M54" s="1571"/>
      <c r="N54" s="1571"/>
      <c r="O54" s="1571"/>
      <c r="P54" s="1571"/>
      <c r="Q54" s="1991"/>
      <c r="R54" s="1991"/>
      <c r="S54" s="73"/>
      <c r="T54" s="54" t="e">
        <f>VLOOKUP(Q54,[99]Listas!$D$6:$E$10,2,0)</f>
        <v>#N/A</v>
      </c>
      <c r="U54" s="54" t="e">
        <f>HLOOKUP(R54,[99]Listas!$F$4:$J$5,2,0)</f>
        <v>#N/A</v>
      </c>
      <c r="V54" s="2007"/>
      <c r="W54" s="73"/>
      <c r="X54" s="2639" t="s">
        <v>1809</v>
      </c>
      <c r="Y54" s="2639"/>
      <c r="Z54" s="2639"/>
      <c r="AA54" s="2547"/>
      <c r="AB54" s="642" t="s">
        <v>1810</v>
      </c>
      <c r="AC54" s="2658"/>
      <c r="AD54" s="1571"/>
      <c r="AE54" s="1299"/>
      <c r="AF54" s="73"/>
      <c r="AG54" s="54">
        <f t="shared" si="0"/>
        <v>0</v>
      </c>
      <c r="AH54" s="54" t="e">
        <f t="shared" si="1"/>
        <v>#N/A</v>
      </c>
      <c r="AI54" s="2632"/>
      <c r="AJ54" s="53" t="e">
        <f t="shared" si="2"/>
        <v>#N/A</v>
      </c>
      <c r="AK54" s="2632"/>
      <c r="AL54" s="86" t="e">
        <f t="shared" si="3"/>
        <v>#N/A</v>
      </c>
      <c r="AM54" s="2643"/>
      <c r="AN54" s="2645"/>
      <c r="AO54" s="2645"/>
      <c r="AP54" s="2515"/>
      <c r="AQ54" s="2518"/>
      <c r="AR54" s="2518"/>
      <c r="AS54" s="2456"/>
      <c r="AT54" s="2456"/>
      <c r="AU54" s="2456"/>
      <c r="AV54" s="2641"/>
      <c r="AW54" s="2641"/>
      <c r="AX54" s="2456"/>
      <c r="AY54" s="2651"/>
      <c r="AZ54" s="2652"/>
      <c r="BA54" s="2653"/>
      <c r="BB54" s="2634"/>
    </row>
    <row r="55" spans="1:54" s="260" customFormat="1" ht="86.25" customHeight="1">
      <c r="A55" s="2663"/>
      <c r="B55" s="1578" t="s">
        <v>473</v>
      </c>
      <c r="C55" s="2670"/>
      <c r="D55" s="2671"/>
      <c r="E55" s="2672"/>
      <c r="F55" s="2452"/>
      <c r="G55" s="2636" t="s">
        <v>1811</v>
      </c>
      <c r="H55" s="2637"/>
      <c r="I55" s="2638"/>
      <c r="J55" s="2524"/>
      <c r="K55" s="2541"/>
      <c r="L55" s="2542"/>
      <c r="M55" s="1572"/>
      <c r="N55" s="1572"/>
      <c r="O55" s="1572"/>
      <c r="P55" s="1572"/>
      <c r="Q55" s="1992"/>
      <c r="R55" s="1992"/>
      <c r="S55" s="73"/>
      <c r="T55" s="54" t="e">
        <f>VLOOKUP(Q55,[99]Listas!$D$6:$E$10,2,0)</f>
        <v>#N/A</v>
      </c>
      <c r="U55" s="54" t="e">
        <f>HLOOKUP(R55,[99]Listas!$F$4:$J$5,2,0)</f>
        <v>#N/A</v>
      </c>
      <c r="V55" s="2008"/>
      <c r="W55" s="73"/>
      <c r="X55" s="2660" t="s">
        <v>1812</v>
      </c>
      <c r="Y55" s="2660"/>
      <c r="Z55" s="2660"/>
      <c r="AA55" s="2548"/>
      <c r="AB55" s="642" t="s">
        <v>1813</v>
      </c>
      <c r="AC55" s="2659"/>
      <c r="AD55" s="1572"/>
      <c r="AE55" s="1469"/>
      <c r="AF55" s="73"/>
      <c r="AG55" s="54">
        <f t="shared" si="0"/>
        <v>0</v>
      </c>
      <c r="AH55" s="54" t="e">
        <f t="shared" si="1"/>
        <v>#N/A</v>
      </c>
      <c r="AI55" s="2632"/>
      <c r="AJ55" s="53" t="e">
        <f t="shared" si="2"/>
        <v>#N/A</v>
      </c>
      <c r="AK55" s="2632"/>
      <c r="AL55" s="86" t="e">
        <f t="shared" si="3"/>
        <v>#N/A</v>
      </c>
      <c r="AM55" s="2643"/>
      <c r="AN55" s="2646"/>
      <c r="AO55" s="2646"/>
      <c r="AP55" s="2516"/>
      <c r="AQ55" s="2519"/>
      <c r="AR55" s="2519"/>
      <c r="AS55" s="2457"/>
      <c r="AT55" s="2457"/>
      <c r="AU55" s="2457"/>
      <c r="AV55" s="2642"/>
      <c r="AW55" s="2642"/>
      <c r="AX55" s="2457"/>
      <c r="AY55" s="2654"/>
      <c r="AZ55" s="2655"/>
      <c r="BA55" s="2656"/>
      <c r="BB55" s="2635"/>
    </row>
    <row r="56" spans="1:54" s="260" customFormat="1" ht="161.25" customHeight="1">
      <c r="A56" s="2374" t="s">
        <v>1743</v>
      </c>
      <c r="B56" s="2375" t="s">
        <v>1814</v>
      </c>
      <c r="C56" s="2647" t="s">
        <v>1198</v>
      </c>
      <c r="D56" s="2647"/>
      <c r="E56" s="2647"/>
      <c r="F56" s="2450" t="s">
        <v>1745</v>
      </c>
      <c r="G56" s="2636" t="s">
        <v>1815</v>
      </c>
      <c r="H56" s="2637"/>
      <c r="I56" s="2638"/>
      <c r="J56" s="1999" t="s">
        <v>1816</v>
      </c>
      <c r="K56" s="1999"/>
      <c r="L56" s="1999"/>
      <c r="M56" s="1570"/>
      <c r="N56" s="1570"/>
      <c r="O56" s="1570" t="s">
        <v>8</v>
      </c>
      <c r="P56" s="1570"/>
      <c r="Q56" s="1990" t="s">
        <v>64</v>
      </c>
      <c r="R56" s="1990" t="s">
        <v>643</v>
      </c>
      <c r="S56" s="73"/>
      <c r="T56" s="54">
        <f>VLOOKUP(Q56,[99]Listas!$D$6:$E$10,2,0)</f>
        <v>3</v>
      </c>
      <c r="U56" s="54">
        <f>HLOOKUP(R56,[99]Listas!$F$4:$J$5,2,0)</f>
        <v>2</v>
      </c>
      <c r="V56" s="2006" t="str">
        <f>INDEX([99]Listas!$F$6:$J$10,MATCH(Q56,[99]Listas!$D$6:$D$10,0),MATCH(R56,[99]Listas!$F$4:$J$4,0))</f>
        <v>6
MODERADO</v>
      </c>
      <c r="W56" s="73"/>
      <c r="X56" s="2639" t="s">
        <v>1817</v>
      </c>
      <c r="Y56" s="2639"/>
      <c r="Z56" s="2639"/>
      <c r="AA56" s="2546" t="s">
        <v>4269</v>
      </c>
      <c r="AB56" s="642" t="s">
        <v>1818</v>
      </c>
      <c r="AC56" s="646" t="s">
        <v>1819</v>
      </c>
      <c r="AD56" s="1570">
        <v>62</v>
      </c>
      <c r="AE56" s="1298" t="s">
        <v>153</v>
      </c>
      <c r="AF56" s="73"/>
      <c r="AG56" s="54">
        <f t="shared" si="0"/>
        <v>1</v>
      </c>
      <c r="AH56" s="54">
        <f t="shared" si="1"/>
        <v>2</v>
      </c>
      <c r="AI56" s="2632" t="str">
        <f>IF(AH56&lt;=1,"Remota",VLOOKUP(AH56,[99]Listas!$C$6:$D$10,2,0))</f>
        <v>Baja</v>
      </c>
      <c r="AJ56" s="53">
        <f t="shared" si="2"/>
        <v>2</v>
      </c>
      <c r="AK56" s="2632" t="str">
        <f>IF(AJ56&lt;=1,"Insignificante",HLOOKUP(AJ56,[99]Listas!$F$3:$J$4,2,0))</f>
        <v>Menor</v>
      </c>
      <c r="AL56" s="86">
        <f t="shared" si="3"/>
        <v>4</v>
      </c>
      <c r="AM56" s="2643" t="str">
        <f>INDEX([99]Listas!$F$6:$J$10,MATCH(AI56,[99]Listas!$D$6:$D$10,0),MATCH(AK56,[99]Listas!$F$4:$J$4,0))</f>
        <v>4
INFERIOR</v>
      </c>
      <c r="AN56" s="2644" t="s">
        <v>2732</v>
      </c>
      <c r="AO56" s="2644" t="s">
        <v>2721</v>
      </c>
      <c r="AP56" s="2514">
        <v>0</v>
      </c>
      <c r="AQ56" s="2517" t="s">
        <v>3612</v>
      </c>
      <c r="AR56" s="2517" t="s">
        <v>3613</v>
      </c>
      <c r="AS56" s="2455" t="s">
        <v>36</v>
      </c>
      <c r="AT56" s="2455" t="s">
        <v>2573</v>
      </c>
      <c r="AU56" s="2455" t="s">
        <v>2573</v>
      </c>
      <c r="AV56" s="2640" t="s">
        <v>2573</v>
      </c>
      <c r="AW56" s="2640" t="s">
        <v>2573</v>
      </c>
      <c r="AX56" s="2455" t="s">
        <v>2573</v>
      </c>
      <c r="AY56" s="2631" t="s">
        <v>3614</v>
      </c>
      <c r="AZ56" s="2631"/>
      <c r="BA56" s="2631"/>
      <c r="BB56" s="2633"/>
    </row>
    <row r="57" spans="1:54" s="260" customFormat="1" ht="82.5" customHeight="1">
      <c r="A57" s="2374"/>
      <c r="B57" s="2375" t="s">
        <v>473</v>
      </c>
      <c r="C57" s="2647"/>
      <c r="D57" s="2647"/>
      <c r="E57" s="2647"/>
      <c r="F57" s="2451"/>
      <c r="G57" s="2636" t="s">
        <v>1820</v>
      </c>
      <c r="H57" s="2637"/>
      <c r="I57" s="2638"/>
      <c r="J57" s="1999"/>
      <c r="K57" s="1999"/>
      <c r="L57" s="1999"/>
      <c r="M57" s="1571"/>
      <c r="N57" s="1571"/>
      <c r="O57" s="1571"/>
      <c r="P57" s="1571"/>
      <c r="Q57" s="1991"/>
      <c r="R57" s="1991"/>
      <c r="S57" s="73"/>
      <c r="T57" s="54" t="e">
        <f>VLOOKUP(Q57,[99]Listas!$D$6:$E$10,2,0)</f>
        <v>#N/A</v>
      </c>
      <c r="U57" s="54" t="e">
        <f>HLOOKUP(R57,[99]Listas!$F$4:$J$5,2,0)</f>
        <v>#N/A</v>
      </c>
      <c r="V57" s="2007"/>
      <c r="W57" s="73"/>
      <c r="X57" s="2639" t="s">
        <v>1821</v>
      </c>
      <c r="Y57" s="2639"/>
      <c r="Z57" s="2639"/>
      <c r="AA57" s="2547"/>
      <c r="AB57" s="642" t="s">
        <v>1822</v>
      </c>
      <c r="AC57" s="646" t="s">
        <v>1823</v>
      </c>
      <c r="AD57" s="1571"/>
      <c r="AE57" s="1299"/>
      <c r="AF57" s="73"/>
      <c r="AG57" s="54">
        <f t="shared" si="0"/>
        <v>0</v>
      </c>
      <c r="AH57" s="54" t="e">
        <f t="shared" si="1"/>
        <v>#N/A</v>
      </c>
      <c r="AI57" s="2632"/>
      <c r="AJ57" s="53" t="e">
        <f t="shared" si="2"/>
        <v>#N/A</v>
      </c>
      <c r="AK57" s="2632"/>
      <c r="AL57" s="86" t="e">
        <f t="shared" si="3"/>
        <v>#N/A</v>
      </c>
      <c r="AM57" s="2643"/>
      <c r="AN57" s="2645"/>
      <c r="AO57" s="2645"/>
      <c r="AP57" s="2515"/>
      <c r="AQ57" s="2518"/>
      <c r="AR57" s="2518"/>
      <c r="AS57" s="2456"/>
      <c r="AT57" s="2456"/>
      <c r="AU57" s="2456"/>
      <c r="AV57" s="2641"/>
      <c r="AW57" s="2641"/>
      <c r="AX57" s="2456"/>
      <c r="AY57" s="2631"/>
      <c r="AZ57" s="2631"/>
      <c r="BA57" s="2631"/>
      <c r="BB57" s="2634"/>
    </row>
    <row r="58" spans="1:54" s="260" customFormat="1" ht="114" customHeight="1">
      <c r="A58" s="2374"/>
      <c r="B58" s="2375" t="s">
        <v>473</v>
      </c>
      <c r="C58" s="2647"/>
      <c r="D58" s="2647"/>
      <c r="E58" s="2647"/>
      <c r="F58" s="2451"/>
      <c r="G58" s="2636" t="s">
        <v>1824</v>
      </c>
      <c r="H58" s="2637"/>
      <c r="I58" s="2638"/>
      <c r="J58" s="1999"/>
      <c r="K58" s="1999"/>
      <c r="L58" s="1999"/>
      <c r="M58" s="1571"/>
      <c r="N58" s="1571"/>
      <c r="O58" s="1571"/>
      <c r="P58" s="1571"/>
      <c r="Q58" s="1991"/>
      <c r="R58" s="1991"/>
      <c r="S58" s="73"/>
      <c r="T58" s="54" t="e">
        <f>VLOOKUP(Q58,[99]Listas!$D$6:$E$10,2,0)</f>
        <v>#N/A</v>
      </c>
      <c r="U58" s="54" t="e">
        <f>HLOOKUP(R58,[99]Listas!$F$4:$J$5,2,0)</f>
        <v>#N/A</v>
      </c>
      <c r="V58" s="2007"/>
      <c r="W58" s="73"/>
      <c r="X58" s="2639" t="s">
        <v>1825</v>
      </c>
      <c r="Y58" s="2639"/>
      <c r="Z58" s="2639"/>
      <c r="AA58" s="2547"/>
      <c r="AB58" s="642" t="s">
        <v>1826</v>
      </c>
      <c r="AC58" s="646" t="s">
        <v>1827</v>
      </c>
      <c r="AD58" s="1571"/>
      <c r="AE58" s="1299"/>
      <c r="AF58" s="73"/>
      <c r="AG58" s="54">
        <f t="shared" si="0"/>
        <v>0</v>
      </c>
      <c r="AH58" s="54" t="e">
        <f t="shared" si="1"/>
        <v>#N/A</v>
      </c>
      <c r="AI58" s="2632"/>
      <c r="AJ58" s="53" t="e">
        <f t="shared" si="2"/>
        <v>#N/A</v>
      </c>
      <c r="AK58" s="2632"/>
      <c r="AL58" s="86" t="e">
        <f t="shared" si="3"/>
        <v>#N/A</v>
      </c>
      <c r="AM58" s="2643"/>
      <c r="AN58" s="2645"/>
      <c r="AO58" s="2645"/>
      <c r="AP58" s="2515"/>
      <c r="AQ58" s="2518"/>
      <c r="AR58" s="2518"/>
      <c r="AS58" s="2456"/>
      <c r="AT58" s="2456"/>
      <c r="AU58" s="2456"/>
      <c r="AV58" s="2641"/>
      <c r="AW58" s="2641"/>
      <c r="AX58" s="2456"/>
      <c r="AY58" s="2631"/>
      <c r="AZ58" s="2631"/>
      <c r="BA58" s="2631"/>
      <c r="BB58" s="2634"/>
    </row>
    <row r="59" spans="1:54" s="260" customFormat="1" ht="121.5" customHeight="1">
      <c r="A59" s="2374"/>
      <c r="B59" s="2375" t="s">
        <v>473</v>
      </c>
      <c r="C59" s="2647"/>
      <c r="D59" s="2647"/>
      <c r="E59" s="2647"/>
      <c r="F59" s="2451"/>
      <c r="G59" s="2636" t="s">
        <v>1828</v>
      </c>
      <c r="H59" s="2637"/>
      <c r="I59" s="2638"/>
      <c r="J59" s="1999"/>
      <c r="K59" s="1999"/>
      <c r="L59" s="1999"/>
      <c r="M59" s="1571"/>
      <c r="N59" s="1571"/>
      <c r="O59" s="1571"/>
      <c r="P59" s="1571"/>
      <c r="Q59" s="1991"/>
      <c r="R59" s="1991"/>
      <c r="S59" s="73"/>
      <c r="T59" s="54" t="e">
        <f>VLOOKUP(Q59,[99]Listas!$D$6:$E$10,2,0)</f>
        <v>#N/A</v>
      </c>
      <c r="U59" s="54" t="e">
        <f>HLOOKUP(R59,[99]Listas!$F$4:$J$5,2,0)</f>
        <v>#N/A</v>
      </c>
      <c r="V59" s="2007"/>
      <c r="W59" s="73"/>
      <c r="X59" s="2639" t="s">
        <v>1829</v>
      </c>
      <c r="Y59" s="2639"/>
      <c r="Z59" s="2639"/>
      <c r="AA59" s="2547"/>
      <c r="AB59" s="642" t="s">
        <v>1830</v>
      </c>
      <c r="AC59" s="646" t="s">
        <v>1831</v>
      </c>
      <c r="AD59" s="1571"/>
      <c r="AE59" s="1299"/>
      <c r="AF59" s="73"/>
      <c r="AG59" s="54">
        <f t="shared" si="0"/>
        <v>0</v>
      </c>
      <c r="AH59" s="54" t="e">
        <f t="shared" si="1"/>
        <v>#N/A</v>
      </c>
      <c r="AI59" s="2632"/>
      <c r="AJ59" s="53" t="e">
        <f t="shared" si="2"/>
        <v>#N/A</v>
      </c>
      <c r="AK59" s="2632"/>
      <c r="AL59" s="86" t="e">
        <f t="shared" si="3"/>
        <v>#N/A</v>
      </c>
      <c r="AM59" s="2643"/>
      <c r="AN59" s="2645"/>
      <c r="AO59" s="2645"/>
      <c r="AP59" s="2515"/>
      <c r="AQ59" s="2518"/>
      <c r="AR59" s="2518"/>
      <c r="AS59" s="2456"/>
      <c r="AT59" s="2456"/>
      <c r="AU59" s="2456"/>
      <c r="AV59" s="2641"/>
      <c r="AW59" s="2641"/>
      <c r="AX59" s="2456"/>
      <c r="AY59" s="2631"/>
      <c r="AZ59" s="2631"/>
      <c r="BA59" s="2631"/>
      <c r="BB59" s="2634"/>
    </row>
    <row r="60" spans="1:54" s="260" customFormat="1" ht="111.75" customHeight="1">
      <c r="A60" s="2374"/>
      <c r="B60" s="2375" t="s">
        <v>473</v>
      </c>
      <c r="C60" s="2647"/>
      <c r="D60" s="2647"/>
      <c r="E60" s="2647"/>
      <c r="F60" s="2452"/>
      <c r="G60" s="2636" t="s">
        <v>1832</v>
      </c>
      <c r="H60" s="2637"/>
      <c r="I60" s="2638"/>
      <c r="J60" s="1999"/>
      <c r="K60" s="1999"/>
      <c r="L60" s="1999"/>
      <c r="M60" s="1572"/>
      <c r="N60" s="1572"/>
      <c r="O60" s="1572"/>
      <c r="P60" s="1572"/>
      <c r="Q60" s="1992"/>
      <c r="R60" s="1992"/>
      <c r="S60" s="73"/>
      <c r="T60" s="54" t="e">
        <f>VLOOKUP(Q60,[99]Listas!$D$6:$E$10,2,0)</f>
        <v>#N/A</v>
      </c>
      <c r="U60" s="54" t="e">
        <f>HLOOKUP(R60,[99]Listas!$F$4:$J$5,2,0)</f>
        <v>#N/A</v>
      </c>
      <c r="V60" s="2008"/>
      <c r="W60" s="73"/>
      <c r="X60" s="2639" t="s">
        <v>1825</v>
      </c>
      <c r="Y60" s="2639"/>
      <c r="Z60" s="2639"/>
      <c r="AA60" s="2548"/>
      <c r="AB60" s="642" t="s">
        <v>1826</v>
      </c>
      <c r="AC60" s="646" t="s">
        <v>1827</v>
      </c>
      <c r="AD60" s="1572"/>
      <c r="AE60" s="1469"/>
      <c r="AF60" s="73"/>
      <c r="AG60" s="54">
        <f t="shared" si="0"/>
        <v>0</v>
      </c>
      <c r="AH60" s="54" t="e">
        <f t="shared" si="1"/>
        <v>#N/A</v>
      </c>
      <c r="AI60" s="2632"/>
      <c r="AJ60" s="53" t="e">
        <f t="shared" si="2"/>
        <v>#N/A</v>
      </c>
      <c r="AK60" s="2632"/>
      <c r="AL60" s="86" t="e">
        <f t="shared" si="3"/>
        <v>#N/A</v>
      </c>
      <c r="AM60" s="2643"/>
      <c r="AN60" s="2646"/>
      <c r="AO60" s="2646"/>
      <c r="AP60" s="2516"/>
      <c r="AQ60" s="2519"/>
      <c r="AR60" s="2519"/>
      <c r="AS60" s="2457"/>
      <c r="AT60" s="2457"/>
      <c r="AU60" s="2457"/>
      <c r="AV60" s="2642"/>
      <c r="AW60" s="2642"/>
      <c r="AX60" s="2457"/>
      <c r="AY60" s="2631"/>
      <c r="AZ60" s="2631"/>
      <c r="BA60" s="2631"/>
      <c r="BB60" s="2635"/>
    </row>
    <row r="61" spans="1:54" s="260" customFormat="1" ht="103.5" hidden="1" customHeight="1">
      <c r="A61" s="608"/>
      <c r="B61" s="266"/>
      <c r="C61" s="1399"/>
      <c r="D61" s="1408"/>
      <c r="E61" s="1400"/>
      <c r="F61" s="267"/>
      <c r="G61" s="1399"/>
      <c r="H61" s="1408"/>
      <c r="I61" s="1400"/>
      <c r="J61" s="1380"/>
      <c r="K61" s="1380"/>
      <c r="L61" s="1380"/>
      <c r="M61" s="608"/>
      <c r="N61" s="608"/>
      <c r="O61" s="608"/>
      <c r="P61" s="608"/>
      <c r="Q61" s="266"/>
      <c r="R61" s="266"/>
      <c r="S61" s="268"/>
      <c r="T61" s="269" t="e">
        <f>VLOOKUP(Q61,[71]Listas!$D$6:$E$10,2,0)</f>
        <v>#N/A</v>
      </c>
      <c r="U61" s="269" t="e">
        <f>HLOOKUP(R61,[71]Listas!$F$4:$J$5,2,0)</f>
        <v>#N/A</v>
      </c>
      <c r="V61" s="270" t="e">
        <f>INDEX([71]Listas!$F$6:$J$10,MATCH(Q61,[71]Listas!$D$6:$D$10,0),MATCH(R61,[71]Listas!$F$4:$J$4,0))</f>
        <v>#N/A</v>
      </c>
      <c r="W61" s="268"/>
      <c r="X61" s="1399"/>
      <c r="Y61" s="1408"/>
      <c r="Z61" s="1400"/>
      <c r="AA61" s="1063"/>
      <c r="AB61" s="267"/>
      <c r="AC61" s="259"/>
      <c r="AD61" s="608"/>
      <c r="AE61" s="267"/>
      <c r="AF61" s="268"/>
      <c r="AG61" s="269">
        <f t="shared" si="0"/>
        <v>0</v>
      </c>
      <c r="AH61" s="558" t="e">
        <f t="shared" si="1"/>
        <v>#N/A</v>
      </c>
      <c r="AI61" s="270" t="e">
        <f>IF(AH61&lt;=1,"Remota",VLOOKUP(AH61,[71]Listas!$C$6:$D$10,2,0))</f>
        <v>#N/A</v>
      </c>
      <c r="AJ61" s="558" t="e">
        <f t="shared" si="2"/>
        <v>#N/A</v>
      </c>
      <c r="AK61" s="270" t="e">
        <f>IF(AJ61&lt;=1,"Insignificante",HLOOKUP(AJ61,[71]Listas!$F$3:$J$4,2,0))</f>
        <v>#N/A</v>
      </c>
      <c r="AL61" s="273" t="e">
        <f t="shared" si="3"/>
        <v>#N/A</v>
      </c>
      <c r="AM61" s="270" t="e">
        <f>INDEX([71]Listas!$F$6:$J$10,MATCH(AI61,[71]Listas!$D$6:$D$10,0),MATCH(AK61,[71]Listas!$F$4:$J$4,0))</f>
        <v>#N/A</v>
      </c>
      <c r="AN61" s="259"/>
      <c r="AO61" s="259"/>
      <c r="AP61" s="610"/>
      <c r="AQ61" s="259"/>
      <c r="AR61" s="259" t="s">
        <v>2343</v>
      </c>
      <c r="AS61" s="608"/>
      <c r="AT61" s="259"/>
      <c r="AU61" s="259"/>
      <c r="AV61" s="308"/>
      <c r="AW61" s="308"/>
      <c r="AX61" s="608"/>
      <c r="AY61" s="309"/>
      <c r="AZ61" s="310"/>
      <c r="BA61" s="310"/>
      <c r="BB61" s="310"/>
    </row>
    <row r="62" spans="1:54" s="260" customFormat="1" ht="103.5" hidden="1" customHeight="1">
      <c r="A62" s="608"/>
      <c r="B62" s="266"/>
      <c r="C62" s="1399"/>
      <c r="D62" s="1408"/>
      <c r="E62" s="1400"/>
      <c r="F62" s="267"/>
      <c r="G62" s="1399"/>
      <c r="H62" s="1408"/>
      <c r="I62" s="1400"/>
      <c r="J62" s="1380"/>
      <c r="K62" s="1380"/>
      <c r="L62" s="1380"/>
      <c r="M62" s="608"/>
      <c r="N62" s="608"/>
      <c r="O62" s="608"/>
      <c r="P62" s="608"/>
      <c r="Q62" s="266"/>
      <c r="R62" s="266"/>
      <c r="S62" s="268"/>
      <c r="T62" s="269" t="e">
        <f>VLOOKUP(Q62,[71]Listas!$D$6:$E$10,2,0)</f>
        <v>#N/A</v>
      </c>
      <c r="U62" s="269" t="e">
        <f>HLOOKUP(R62,[71]Listas!$F$4:$J$5,2,0)</f>
        <v>#N/A</v>
      </c>
      <c r="V62" s="270" t="e">
        <f>INDEX([71]Listas!$F$6:$J$10,MATCH(Q62,[71]Listas!$D$6:$D$10,0),MATCH(R62,[71]Listas!$F$4:$J$4,0))</f>
        <v>#N/A</v>
      </c>
      <c r="W62" s="268"/>
      <c r="X62" s="1399"/>
      <c r="Y62" s="1408"/>
      <c r="Z62" s="1400"/>
      <c r="AA62" s="1063"/>
      <c r="AB62" s="267"/>
      <c r="AC62" s="259"/>
      <c r="AD62" s="608"/>
      <c r="AE62" s="267"/>
      <c r="AF62" s="268"/>
      <c r="AG62" s="269">
        <f t="shared" si="0"/>
        <v>0</v>
      </c>
      <c r="AH62" s="558" t="e">
        <f t="shared" si="1"/>
        <v>#N/A</v>
      </c>
      <c r="AI62" s="270" t="e">
        <f>IF(AH62&lt;=1,"Remota",VLOOKUP(AH62,[71]Listas!$C$6:$D$10,2,0))</f>
        <v>#N/A</v>
      </c>
      <c r="AJ62" s="558" t="e">
        <f t="shared" si="2"/>
        <v>#N/A</v>
      </c>
      <c r="AK62" s="270" t="e">
        <f>IF(AJ62&lt;=1,"Insignificante",HLOOKUP(AJ62,[71]Listas!$F$3:$J$4,2,0))</f>
        <v>#N/A</v>
      </c>
      <c r="AL62" s="273" t="e">
        <f t="shared" si="3"/>
        <v>#N/A</v>
      </c>
      <c r="AM62" s="270" t="e">
        <f>INDEX([71]Listas!$F$6:$J$10,MATCH(AI62,[71]Listas!$D$6:$D$10,0),MATCH(AK62,[71]Listas!$F$4:$J$4,0))</f>
        <v>#N/A</v>
      </c>
      <c r="AN62" s="259"/>
      <c r="AO62" s="259"/>
      <c r="AP62" s="610"/>
      <c r="AQ62" s="259"/>
      <c r="AR62" s="259" t="s">
        <v>2343</v>
      </c>
      <c r="AS62" s="608"/>
      <c r="AT62" s="259"/>
      <c r="AU62" s="259"/>
      <c r="AV62" s="308"/>
      <c r="AW62" s="308"/>
      <c r="AX62" s="608"/>
      <c r="AY62" s="309"/>
      <c r="AZ62" s="310"/>
      <c r="BA62" s="310"/>
      <c r="BB62" s="310"/>
    </row>
    <row r="63" spans="1:54" s="260" customFormat="1" ht="103.5" hidden="1" customHeight="1">
      <c r="A63" s="608"/>
      <c r="B63" s="266"/>
      <c r="C63" s="1399"/>
      <c r="D63" s="1408"/>
      <c r="E63" s="1400"/>
      <c r="F63" s="267"/>
      <c r="G63" s="1399"/>
      <c r="H63" s="1408"/>
      <c r="I63" s="1400"/>
      <c r="J63" s="1380"/>
      <c r="K63" s="1380"/>
      <c r="L63" s="1380"/>
      <c r="M63" s="608"/>
      <c r="N63" s="608"/>
      <c r="O63" s="608"/>
      <c r="P63" s="608"/>
      <c r="Q63" s="266"/>
      <c r="R63" s="266"/>
      <c r="S63" s="268"/>
      <c r="T63" s="269" t="e">
        <f>VLOOKUP(Q63,[71]Listas!$D$6:$E$10,2,0)</f>
        <v>#N/A</v>
      </c>
      <c r="U63" s="269" t="e">
        <f>HLOOKUP(R63,[71]Listas!$F$4:$J$5,2,0)</f>
        <v>#N/A</v>
      </c>
      <c r="V63" s="270" t="e">
        <f>INDEX([71]Listas!$F$6:$J$10,MATCH(Q63,[71]Listas!$D$6:$D$10,0),MATCH(R63,[71]Listas!$F$4:$J$4,0))</f>
        <v>#N/A</v>
      </c>
      <c r="W63" s="268"/>
      <c r="X63" s="1399"/>
      <c r="Y63" s="1408"/>
      <c r="Z63" s="1400"/>
      <c r="AA63" s="1063"/>
      <c r="AB63" s="267"/>
      <c r="AC63" s="259"/>
      <c r="AD63" s="608"/>
      <c r="AE63" s="267"/>
      <c r="AF63" s="268"/>
      <c r="AG63" s="269">
        <f t="shared" si="0"/>
        <v>0</v>
      </c>
      <c r="AH63" s="558" t="e">
        <f t="shared" si="1"/>
        <v>#N/A</v>
      </c>
      <c r="AI63" s="270" t="e">
        <f>IF(AH63&lt;=1,"Remota",VLOOKUP(AH63,[71]Listas!$C$6:$D$10,2,0))</f>
        <v>#N/A</v>
      </c>
      <c r="AJ63" s="558" t="e">
        <f t="shared" si="2"/>
        <v>#N/A</v>
      </c>
      <c r="AK63" s="270" t="e">
        <f>IF(AJ63&lt;=1,"Insignificante",HLOOKUP(AJ63,[71]Listas!$F$3:$J$4,2,0))</f>
        <v>#N/A</v>
      </c>
      <c r="AL63" s="273" t="e">
        <f t="shared" si="3"/>
        <v>#N/A</v>
      </c>
      <c r="AM63" s="270" t="e">
        <f>INDEX([71]Listas!$F$6:$J$10,MATCH(AI63,[71]Listas!$D$6:$D$10,0),MATCH(AK63,[71]Listas!$F$4:$J$4,0))</f>
        <v>#N/A</v>
      </c>
      <c r="AN63" s="259"/>
      <c r="AO63" s="259"/>
      <c r="AP63" s="610"/>
      <c r="AQ63" s="259"/>
      <c r="AR63" s="259" t="s">
        <v>2343</v>
      </c>
      <c r="AS63" s="608"/>
      <c r="AT63" s="259"/>
      <c r="AU63" s="259"/>
      <c r="AV63" s="308"/>
      <c r="AW63" s="308"/>
      <c r="AX63" s="608"/>
      <c r="AY63" s="309"/>
      <c r="AZ63" s="310"/>
      <c r="BA63" s="310"/>
      <c r="BB63" s="310"/>
    </row>
    <row r="64" spans="1:54" s="260" customFormat="1" ht="103.5" hidden="1" customHeight="1">
      <c r="A64" s="608"/>
      <c r="B64" s="266"/>
      <c r="C64" s="1399"/>
      <c r="D64" s="1408"/>
      <c r="E64" s="1400"/>
      <c r="F64" s="267"/>
      <c r="G64" s="1399"/>
      <c r="H64" s="1408"/>
      <c r="I64" s="1400"/>
      <c r="J64" s="1380"/>
      <c r="K64" s="1380"/>
      <c r="L64" s="1380"/>
      <c r="M64" s="608"/>
      <c r="N64" s="608"/>
      <c r="O64" s="608"/>
      <c r="P64" s="608"/>
      <c r="Q64" s="266"/>
      <c r="R64" s="266"/>
      <c r="S64" s="268"/>
      <c r="T64" s="269" t="e">
        <f>VLOOKUP(Q64,[71]Listas!$D$6:$E$10,2,0)</f>
        <v>#N/A</v>
      </c>
      <c r="U64" s="269" t="e">
        <f>HLOOKUP(R64,[71]Listas!$F$4:$J$5,2,0)</f>
        <v>#N/A</v>
      </c>
      <c r="V64" s="270" t="e">
        <f>INDEX([71]Listas!$F$6:$J$10,MATCH(Q64,[71]Listas!$D$6:$D$10,0),MATCH(R64,[71]Listas!$F$4:$J$4,0))</f>
        <v>#N/A</v>
      </c>
      <c r="W64" s="268"/>
      <c r="X64" s="1399"/>
      <c r="Y64" s="1408"/>
      <c r="Z64" s="1400"/>
      <c r="AA64" s="1063"/>
      <c r="AB64" s="267"/>
      <c r="AC64" s="259"/>
      <c r="AD64" s="608"/>
      <c r="AE64" s="267"/>
      <c r="AF64" s="268"/>
      <c r="AG64" s="269">
        <f t="shared" si="0"/>
        <v>0</v>
      </c>
      <c r="AH64" s="558" t="e">
        <f t="shared" si="1"/>
        <v>#N/A</v>
      </c>
      <c r="AI64" s="270" t="e">
        <f>IF(AH64&lt;=1,"Remota",VLOOKUP(AH64,[71]Listas!$C$6:$D$10,2,0))</f>
        <v>#N/A</v>
      </c>
      <c r="AJ64" s="558" t="e">
        <f t="shared" si="2"/>
        <v>#N/A</v>
      </c>
      <c r="AK64" s="270" t="e">
        <f>IF(AJ64&lt;=1,"Insignificante",HLOOKUP(AJ64,[71]Listas!$F$3:$J$4,2,0))</f>
        <v>#N/A</v>
      </c>
      <c r="AL64" s="273" t="e">
        <f t="shared" si="3"/>
        <v>#N/A</v>
      </c>
      <c r="AM64" s="270" t="e">
        <f>INDEX([71]Listas!$F$6:$J$10,MATCH(AI64,[71]Listas!$D$6:$D$10,0),MATCH(AK64,[71]Listas!$F$4:$J$4,0))</f>
        <v>#N/A</v>
      </c>
      <c r="AN64" s="259"/>
      <c r="AO64" s="259"/>
      <c r="AP64" s="610"/>
      <c r="AQ64" s="259"/>
      <c r="AR64" s="259" t="s">
        <v>2343</v>
      </c>
      <c r="AS64" s="608"/>
      <c r="AT64" s="259"/>
      <c r="AU64" s="259"/>
      <c r="AV64" s="308"/>
      <c r="AW64" s="308"/>
      <c r="AX64" s="608"/>
      <c r="AY64" s="309"/>
      <c r="AZ64" s="310"/>
      <c r="BA64" s="310"/>
      <c r="BB64" s="310"/>
    </row>
    <row r="65" spans="1:54" s="260" customFormat="1" ht="103.5" hidden="1" customHeight="1">
      <c r="A65" s="608"/>
      <c r="B65" s="266"/>
      <c r="C65" s="1399"/>
      <c r="D65" s="1408"/>
      <c r="E65" s="1400"/>
      <c r="F65" s="267"/>
      <c r="G65" s="1399"/>
      <c r="H65" s="1408"/>
      <c r="I65" s="1400"/>
      <c r="J65" s="1380"/>
      <c r="K65" s="1380"/>
      <c r="L65" s="1380"/>
      <c r="M65" s="608"/>
      <c r="N65" s="608"/>
      <c r="O65" s="608"/>
      <c r="P65" s="608"/>
      <c r="Q65" s="266"/>
      <c r="R65" s="266"/>
      <c r="S65" s="268"/>
      <c r="T65" s="269" t="e">
        <f>VLOOKUP(Q65,[71]Listas!$D$6:$E$10,2,0)</f>
        <v>#N/A</v>
      </c>
      <c r="U65" s="269" t="e">
        <f>HLOOKUP(R65,[71]Listas!$F$4:$J$5,2,0)</f>
        <v>#N/A</v>
      </c>
      <c r="V65" s="270" t="e">
        <f>INDEX([71]Listas!$F$6:$J$10,MATCH(Q65,[71]Listas!$D$6:$D$10,0),MATCH(R65,[71]Listas!$F$4:$J$4,0))</f>
        <v>#N/A</v>
      </c>
      <c r="W65" s="268"/>
      <c r="X65" s="1399"/>
      <c r="Y65" s="1408"/>
      <c r="Z65" s="1400"/>
      <c r="AA65" s="1063"/>
      <c r="AB65" s="267"/>
      <c r="AC65" s="259"/>
      <c r="AD65" s="608"/>
      <c r="AE65" s="267"/>
      <c r="AF65" s="268"/>
      <c r="AG65" s="269">
        <f t="shared" si="0"/>
        <v>0</v>
      </c>
      <c r="AH65" s="558" t="e">
        <f t="shared" si="1"/>
        <v>#N/A</v>
      </c>
      <c r="AI65" s="270" t="e">
        <f>IF(AH65&lt;=1,"Remota",VLOOKUP(AH65,[71]Listas!$C$6:$D$10,2,0))</f>
        <v>#N/A</v>
      </c>
      <c r="AJ65" s="558" t="e">
        <f t="shared" si="2"/>
        <v>#N/A</v>
      </c>
      <c r="AK65" s="270" t="e">
        <f>IF(AJ65&lt;=1,"Insignificante",HLOOKUP(AJ65,[71]Listas!$F$3:$J$4,2,0))</f>
        <v>#N/A</v>
      </c>
      <c r="AL65" s="273" t="e">
        <f t="shared" si="3"/>
        <v>#N/A</v>
      </c>
      <c r="AM65" s="270" t="e">
        <f>INDEX([71]Listas!$F$6:$J$10,MATCH(AI65,[71]Listas!$D$6:$D$10,0),MATCH(AK65,[71]Listas!$F$4:$J$4,0))</f>
        <v>#N/A</v>
      </c>
      <c r="AN65" s="259"/>
      <c r="AO65" s="259"/>
      <c r="AP65" s="610"/>
      <c r="AQ65" s="259"/>
      <c r="AR65" s="259" t="s">
        <v>2343</v>
      </c>
      <c r="AS65" s="608"/>
      <c r="AT65" s="259"/>
      <c r="AU65" s="259"/>
      <c r="AV65" s="308"/>
      <c r="AW65" s="308"/>
      <c r="AX65" s="608"/>
      <c r="AY65" s="309"/>
      <c r="AZ65" s="310"/>
      <c r="BA65" s="310"/>
      <c r="BB65" s="310"/>
    </row>
    <row r="66" spans="1:54" s="260" customFormat="1" ht="103.5" hidden="1" customHeight="1">
      <c r="A66" s="608"/>
      <c r="B66" s="266"/>
      <c r="C66" s="1399"/>
      <c r="D66" s="1408"/>
      <c r="E66" s="1400"/>
      <c r="F66" s="267"/>
      <c r="G66" s="1399"/>
      <c r="H66" s="1408"/>
      <c r="I66" s="1400"/>
      <c r="J66" s="1380"/>
      <c r="K66" s="1380"/>
      <c r="L66" s="1380"/>
      <c r="M66" s="608"/>
      <c r="N66" s="608"/>
      <c r="O66" s="608"/>
      <c r="P66" s="608"/>
      <c r="Q66" s="266"/>
      <c r="R66" s="266"/>
      <c r="S66" s="268"/>
      <c r="T66" s="269" t="e">
        <f>VLOOKUP(Q66,[71]Listas!$D$6:$E$10,2,0)</f>
        <v>#N/A</v>
      </c>
      <c r="U66" s="269" t="e">
        <f>HLOOKUP(R66,[71]Listas!$F$4:$J$5,2,0)</f>
        <v>#N/A</v>
      </c>
      <c r="V66" s="270" t="e">
        <f>INDEX([71]Listas!$F$6:$J$10,MATCH(Q66,[71]Listas!$D$6:$D$10,0),MATCH(R66,[71]Listas!$F$4:$J$4,0))</f>
        <v>#N/A</v>
      </c>
      <c r="W66" s="268"/>
      <c r="X66" s="1399"/>
      <c r="Y66" s="1408"/>
      <c r="Z66" s="1400"/>
      <c r="AA66" s="1063"/>
      <c r="AB66" s="267"/>
      <c r="AC66" s="259"/>
      <c r="AD66" s="608"/>
      <c r="AE66" s="267"/>
      <c r="AF66" s="268"/>
      <c r="AG66" s="269">
        <f t="shared" si="0"/>
        <v>0</v>
      </c>
      <c r="AH66" s="558" t="e">
        <f t="shared" si="1"/>
        <v>#N/A</v>
      </c>
      <c r="AI66" s="270" t="e">
        <f>IF(AH66&lt;=1,"Remota",VLOOKUP(AH66,[71]Listas!$C$6:$D$10,2,0))</f>
        <v>#N/A</v>
      </c>
      <c r="AJ66" s="558" t="e">
        <f t="shared" si="2"/>
        <v>#N/A</v>
      </c>
      <c r="AK66" s="270" t="e">
        <f>IF(AJ66&lt;=1,"Insignificante",HLOOKUP(AJ66,[71]Listas!$F$3:$J$4,2,0))</f>
        <v>#N/A</v>
      </c>
      <c r="AL66" s="273" t="e">
        <f t="shared" si="3"/>
        <v>#N/A</v>
      </c>
      <c r="AM66" s="270" t="e">
        <f>INDEX([71]Listas!$F$6:$J$10,MATCH(AI66,[71]Listas!$D$6:$D$10,0),MATCH(AK66,[71]Listas!$F$4:$J$4,0))</f>
        <v>#N/A</v>
      </c>
      <c r="AN66" s="259"/>
      <c r="AO66" s="259"/>
      <c r="AP66" s="610"/>
      <c r="AQ66" s="259"/>
      <c r="AR66" s="259" t="s">
        <v>2343</v>
      </c>
      <c r="AS66" s="608"/>
      <c r="AT66" s="259"/>
      <c r="AU66" s="259"/>
      <c r="AV66" s="308"/>
      <c r="AW66" s="308"/>
      <c r="AX66" s="608"/>
      <c r="AY66" s="309"/>
      <c r="AZ66" s="310"/>
      <c r="BA66" s="310"/>
      <c r="BB66" s="310"/>
    </row>
    <row r="67" spans="1:54" s="260" customFormat="1" ht="103.5" hidden="1" customHeight="1">
      <c r="A67" s="608"/>
      <c r="B67" s="266"/>
      <c r="C67" s="1399"/>
      <c r="D67" s="1408"/>
      <c r="E67" s="1400"/>
      <c r="F67" s="267"/>
      <c r="G67" s="1399"/>
      <c r="H67" s="1408"/>
      <c r="I67" s="1400"/>
      <c r="J67" s="1380"/>
      <c r="K67" s="1380"/>
      <c r="L67" s="1380"/>
      <c r="M67" s="608"/>
      <c r="N67" s="608"/>
      <c r="O67" s="608"/>
      <c r="P67" s="608"/>
      <c r="Q67" s="266"/>
      <c r="R67" s="266"/>
      <c r="S67" s="268"/>
      <c r="T67" s="269" t="e">
        <f>VLOOKUP(Q67,[71]Listas!$D$6:$E$10,2,0)</f>
        <v>#N/A</v>
      </c>
      <c r="U67" s="269" t="e">
        <f>HLOOKUP(R67,[71]Listas!$F$4:$J$5,2,0)</f>
        <v>#N/A</v>
      </c>
      <c r="V67" s="270" t="e">
        <f>INDEX([71]Listas!$F$6:$J$10,MATCH(Q67,[71]Listas!$D$6:$D$10,0),MATCH(R67,[71]Listas!$F$4:$J$4,0))</f>
        <v>#N/A</v>
      </c>
      <c r="W67" s="268"/>
      <c r="X67" s="1399"/>
      <c r="Y67" s="1408"/>
      <c r="Z67" s="1400"/>
      <c r="AA67" s="1063"/>
      <c r="AB67" s="267"/>
      <c r="AC67" s="259"/>
      <c r="AD67" s="608"/>
      <c r="AE67" s="267"/>
      <c r="AF67" s="268"/>
      <c r="AG67" s="269">
        <f t="shared" si="0"/>
        <v>0</v>
      </c>
      <c r="AH67" s="558" t="e">
        <f t="shared" si="1"/>
        <v>#N/A</v>
      </c>
      <c r="AI67" s="270" t="e">
        <f>IF(AH67&lt;=1,"Remota",VLOOKUP(AH67,[71]Listas!$C$6:$D$10,2,0))</f>
        <v>#N/A</v>
      </c>
      <c r="AJ67" s="558" t="e">
        <f t="shared" si="2"/>
        <v>#N/A</v>
      </c>
      <c r="AK67" s="270" t="e">
        <f>IF(AJ67&lt;=1,"Insignificante",HLOOKUP(AJ67,[71]Listas!$F$3:$J$4,2,0))</f>
        <v>#N/A</v>
      </c>
      <c r="AL67" s="273" t="e">
        <f t="shared" si="3"/>
        <v>#N/A</v>
      </c>
      <c r="AM67" s="270" t="e">
        <f>INDEX([71]Listas!$F$6:$J$10,MATCH(AI67,[71]Listas!$D$6:$D$10,0),MATCH(AK67,[71]Listas!$F$4:$J$4,0))</f>
        <v>#N/A</v>
      </c>
      <c r="AN67" s="259"/>
      <c r="AO67" s="259"/>
      <c r="AP67" s="610"/>
      <c r="AQ67" s="259"/>
      <c r="AR67" s="259" t="s">
        <v>2343</v>
      </c>
      <c r="AS67" s="608"/>
      <c r="AT67" s="259"/>
      <c r="AU67" s="259"/>
      <c r="AV67" s="308"/>
      <c r="AW67" s="308"/>
      <c r="AX67" s="608"/>
      <c r="AY67" s="309"/>
      <c r="AZ67" s="310"/>
      <c r="BA67" s="310"/>
      <c r="BB67" s="310"/>
    </row>
    <row r="68" spans="1:54" s="260" customFormat="1" ht="103.5" hidden="1" customHeight="1">
      <c r="A68" s="608"/>
      <c r="B68" s="266"/>
      <c r="C68" s="1399"/>
      <c r="D68" s="1408"/>
      <c r="E68" s="1400"/>
      <c r="F68" s="267"/>
      <c r="G68" s="1399"/>
      <c r="H68" s="1408"/>
      <c r="I68" s="1400"/>
      <c r="J68" s="1380"/>
      <c r="K68" s="1380"/>
      <c r="L68" s="1380"/>
      <c r="M68" s="608"/>
      <c r="N68" s="608"/>
      <c r="O68" s="608"/>
      <c r="P68" s="608"/>
      <c r="Q68" s="266"/>
      <c r="R68" s="266"/>
      <c r="S68" s="268"/>
      <c r="T68" s="269" t="e">
        <f>VLOOKUP(Q68,[71]Listas!$D$6:$E$10,2,0)</f>
        <v>#N/A</v>
      </c>
      <c r="U68" s="269" t="e">
        <f>HLOOKUP(R68,[71]Listas!$F$4:$J$5,2,0)</f>
        <v>#N/A</v>
      </c>
      <c r="V68" s="270" t="e">
        <f>INDEX([71]Listas!$F$6:$J$10,MATCH(Q68,[71]Listas!$D$6:$D$10,0),MATCH(R68,[71]Listas!$F$4:$J$4,0))</f>
        <v>#N/A</v>
      </c>
      <c r="W68" s="268"/>
      <c r="X68" s="1399"/>
      <c r="Y68" s="1408"/>
      <c r="Z68" s="1400"/>
      <c r="AA68" s="1063"/>
      <c r="AB68" s="267"/>
      <c r="AC68" s="259"/>
      <c r="AD68" s="608"/>
      <c r="AE68" s="267"/>
      <c r="AF68" s="268"/>
      <c r="AG68" s="269">
        <f t="shared" si="0"/>
        <v>0</v>
      </c>
      <c r="AH68" s="558" t="e">
        <f t="shared" si="1"/>
        <v>#N/A</v>
      </c>
      <c r="AI68" s="270" t="e">
        <f>IF(AH68&lt;=1,"Remota",VLOOKUP(AH68,[71]Listas!$C$6:$D$10,2,0))</f>
        <v>#N/A</v>
      </c>
      <c r="AJ68" s="558" t="e">
        <f t="shared" si="2"/>
        <v>#N/A</v>
      </c>
      <c r="AK68" s="270" t="e">
        <f>IF(AJ68&lt;=1,"Insignificante",HLOOKUP(AJ68,[71]Listas!$F$3:$J$4,2,0))</f>
        <v>#N/A</v>
      </c>
      <c r="AL68" s="273" t="e">
        <f t="shared" si="3"/>
        <v>#N/A</v>
      </c>
      <c r="AM68" s="270" t="e">
        <f>INDEX([71]Listas!$F$6:$J$10,MATCH(AI68,[71]Listas!$D$6:$D$10,0),MATCH(AK68,[71]Listas!$F$4:$J$4,0))</f>
        <v>#N/A</v>
      </c>
      <c r="AN68" s="259"/>
      <c r="AO68" s="259"/>
      <c r="AP68" s="610"/>
      <c r="AQ68" s="259"/>
      <c r="AR68" s="259" t="s">
        <v>2343</v>
      </c>
      <c r="AS68" s="608"/>
      <c r="AT68" s="259"/>
      <c r="AU68" s="259"/>
      <c r="AV68" s="308"/>
      <c r="AW68" s="308"/>
      <c r="AX68" s="608"/>
      <c r="AY68" s="309"/>
      <c r="AZ68" s="310"/>
      <c r="BA68" s="310"/>
      <c r="BB68" s="310"/>
    </row>
    <row r="69" spans="1:54" s="260" customFormat="1" ht="103.5" hidden="1" customHeight="1">
      <c r="A69" s="608"/>
      <c r="B69" s="266"/>
      <c r="C69" s="1399"/>
      <c r="D69" s="1408"/>
      <c r="E69" s="1400"/>
      <c r="F69" s="267"/>
      <c r="G69" s="1399"/>
      <c r="H69" s="1408"/>
      <c r="I69" s="1400"/>
      <c r="J69" s="1380"/>
      <c r="K69" s="1380"/>
      <c r="L69" s="1380"/>
      <c r="M69" s="608"/>
      <c r="N69" s="608"/>
      <c r="O69" s="608"/>
      <c r="P69" s="608"/>
      <c r="Q69" s="266"/>
      <c r="R69" s="266"/>
      <c r="S69" s="268"/>
      <c r="T69" s="269" t="e">
        <f>VLOOKUP(Q69,[71]Listas!$D$6:$E$10,2,0)</f>
        <v>#N/A</v>
      </c>
      <c r="U69" s="269" t="e">
        <f>HLOOKUP(R69,[71]Listas!$F$4:$J$5,2,0)</f>
        <v>#N/A</v>
      </c>
      <c r="V69" s="270" t="e">
        <f>INDEX([71]Listas!$F$6:$J$10,MATCH(Q69,[71]Listas!$D$6:$D$10,0),MATCH(R69,[71]Listas!$F$4:$J$4,0))</f>
        <v>#N/A</v>
      </c>
      <c r="W69" s="268"/>
      <c r="X69" s="1399"/>
      <c r="Y69" s="1408"/>
      <c r="Z69" s="1400"/>
      <c r="AA69" s="1063"/>
      <c r="AB69" s="267"/>
      <c r="AC69" s="259"/>
      <c r="AD69" s="608"/>
      <c r="AE69" s="267"/>
      <c r="AF69" s="268"/>
      <c r="AG69" s="269">
        <f t="shared" si="0"/>
        <v>0</v>
      </c>
      <c r="AH69" s="558" t="e">
        <f t="shared" si="1"/>
        <v>#N/A</v>
      </c>
      <c r="AI69" s="270" t="e">
        <f>IF(AH69&lt;=1,"Remota",VLOOKUP(AH69,[71]Listas!$C$6:$D$10,2,0))</f>
        <v>#N/A</v>
      </c>
      <c r="AJ69" s="558" t="e">
        <f t="shared" si="2"/>
        <v>#N/A</v>
      </c>
      <c r="AK69" s="270" t="e">
        <f>IF(AJ69&lt;=1,"Insignificante",HLOOKUP(AJ69,[71]Listas!$F$3:$J$4,2,0))</f>
        <v>#N/A</v>
      </c>
      <c r="AL69" s="273" t="e">
        <f t="shared" si="3"/>
        <v>#N/A</v>
      </c>
      <c r="AM69" s="270" t="e">
        <f>INDEX([71]Listas!$F$6:$J$10,MATCH(AI69,[71]Listas!$D$6:$D$10,0),MATCH(AK69,[71]Listas!$F$4:$J$4,0))</f>
        <v>#N/A</v>
      </c>
      <c r="AN69" s="259"/>
      <c r="AO69" s="259"/>
      <c r="AP69" s="610"/>
      <c r="AQ69" s="259"/>
      <c r="AR69" s="259" t="s">
        <v>2343</v>
      </c>
      <c r="AS69" s="608"/>
      <c r="AT69" s="259"/>
      <c r="AU69" s="259"/>
      <c r="AV69" s="308"/>
      <c r="AW69" s="308"/>
      <c r="AX69" s="608"/>
      <c r="AY69" s="309"/>
      <c r="AZ69" s="310"/>
      <c r="BA69" s="310"/>
      <c r="BB69" s="310"/>
    </row>
    <row r="70" spans="1:54" s="260" customFormat="1" ht="103.5" hidden="1" customHeight="1">
      <c r="A70" s="608"/>
      <c r="B70" s="266"/>
      <c r="C70" s="1399"/>
      <c r="D70" s="1408"/>
      <c r="E70" s="1400"/>
      <c r="F70" s="267"/>
      <c r="G70" s="1399"/>
      <c r="H70" s="1408"/>
      <c r="I70" s="1400"/>
      <c r="J70" s="1380"/>
      <c r="K70" s="1380"/>
      <c r="L70" s="1380"/>
      <c r="M70" s="608"/>
      <c r="N70" s="608"/>
      <c r="O70" s="608"/>
      <c r="P70" s="608"/>
      <c r="Q70" s="266"/>
      <c r="R70" s="266"/>
      <c r="S70" s="268"/>
      <c r="T70" s="269" t="e">
        <f>VLOOKUP(Q70,[71]Listas!$D$6:$E$10,2,0)</f>
        <v>#N/A</v>
      </c>
      <c r="U70" s="269" t="e">
        <f>HLOOKUP(R70,[71]Listas!$F$4:$J$5,2,0)</f>
        <v>#N/A</v>
      </c>
      <c r="V70" s="270" t="e">
        <f>INDEX([71]Listas!$F$6:$J$10,MATCH(Q70,[71]Listas!$D$6:$D$10,0),MATCH(R70,[71]Listas!$F$4:$J$4,0))</f>
        <v>#N/A</v>
      </c>
      <c r="W70" s="268"/>
      <c r="X70" s="1399"/>
      <c r="Y70" s="1408"/>
      <c r="Z70" s="1400"/>
      <c r="AA70" s="1063"/>
      <c r="AB70" s="267"/>
      <c r="AC70" s="259"/>
      <c r="AD70" s="608"/>
      <c r="AE70" s="267"/>
      <c r="AF70" s="268"/>
      <c r="AG70" s="269">
        <f t="shared" si="0"/>
        <v>0</v>
      </c>
      <c r="AH70" s="558" t="e">
        <f t="shared" si="1"/>
        <v>#N/A</v>
      </c>
      <c r="AI70" s="270" t="e">
        <f>IF(AH70&lt;=1,"Remota",VLOOKUP(AH70,[71]Listas!$C$6:$D$10,2,0))</f>
        <v>#N/A</v>
      </c>
      <c r="AJ70" s="558" t="e">
        <f t="shared" si="2"/>
        <v>#N/A</v>
      </c>
      <c r="AK70" s="270" t="e">
        <f>IF(AJ70&lt;=1,"Insignificante",HLOOKUP(AJ70,[71]Listas!$F$3:$J$4,2,0))</f>
        <v>#N/A</v>
      </c>
      <c r="AL70" s="273" t="e">
        <f t="shared" si="3"/>
        <v>#N/A</v>
      </c>
      <c r="AM70" s="270" t="e">
        <f>INDEX([71]Listas!$F$6:$J$10,MATCH(AI70,[71]Listas!$D$6:$D$10,0),MATCH(AK70,[71]Listas!$F$4:$J$4,0))</f>
        <v>#N/A</v>
      </c>
      <c r="AN70" s="259"/>
      <c r="AO70" s="259"/>
      <c r="AP70" s="610"/>
      <c r="AQ70" s="259"/>
      <c r="AR70" s="259" t="s">
        <v>2343</v>
      </c>
      <c r="AS70" s="608"/>
      <c r="AT70" s="259"/>
      <c r="AU70" s="259"/>
      <c r="AV70" s="308"/>
      <c r="AW70" s="308"/>
      <c r="AX70" s="608"/>
      <c r="AY70" s="309"/>
      <c r="AZ70" s="310"/>
      <c r="BA70" s="310"/>
      <c r="BB70" s="310"/>
    </row>
    <row r="71" spans="1:54" s="260" customFormat="1" ht="103.5" hidden="1" customHeight="1">
      <c r="A71" s="608"/>
      <c r="B71" s="266"/>
      <c r="C71" s="1399"/>
      <c r="D71" s="1408"/>
      <c r="E71" s="1400"/>
      <c r="F71" s="267"/>
      <c r="G71" s="1399"/>
      <c r="H71" s="1408"/>
      <c r="I71" s="1400"/>
      <c r="J71" s="1380"/>
      <c r="K71" s="1380"/>
      <c r="L71" s="1380"/>
      <c r="M71" s="608"/>
      <c r="N71" s="608"/>
      <c r="O71" s="608"/>
      <c r="P71" s="608"/>
      <c r="Q71" s="266"/>
      <c r="R71" s="266"/>
      <c r="S71" s="268"/>
      <c r="T71" s="269" t="e">
        <f>VLOOKUP(Q71,[71]Listas!$D$6:$E$10,2,0)</f>
        <v>#N/A</v>
      </c>
      <c r="U71" s="269" t="e">
        <f>HLOOKUP(R71,[71]Listas!$F$4:$J$5,2,0)</f>
        <v>#N/A</v>
      </c>
      <c r="V71" s="270" t="e">
        <f>INDEX([71]Listas!$F$6:$J$10,MATCH(Q71,[71]Listas!$D$6:$D$10,0),MATCH(R71,[71]Listas!$F$4:$J$4,0))</f>
        <v>#N/A</v>
      </c>
      <c r="W71" s="268"/>
      <c r="X71" s="1399"/>
      <c r="Y71" s="1408"/>
      <c r="Z71" s="1400"/>
      <c r="AA71" s="1063"/>
      <c r="AB71" s="267"/>
      <c r="AC71" s="259"/>
      <c r="AD71" s="608"/>
      <c r="AE71" s="267"/>
      <c r="AF71" s="268"/>
      <c r="AG71" s="269">
        <f t="shared" si="0"/>
        <v>0</v>
      </c>
      <c r="AH71" s="558" t="e">
        <f t="shared" si="1"/>
        <v>#N/A</v>
      </c>
      <c r="AI71" s="270" t="e">
        <f>IF(AH71&lt;=1,"Remota",VLOOKUP(AH71,[71]Listas!$C$6:$D$10,2,0))</f>
        <v>#N/A</v>
      </c>
      <c r="AJ71" s="558" t="e">
        <f t="shared" si="2"/>
        <v>#N/A</v>
      </c>
      <c r="AK71" s="270" t="e">
        <f>IF(AJ71&lt;=1,"Insignificante",HLOOKUP(AJ71,[71]Listas!$F$3:$J$4,2,0))</f>
        <v>#N/A</v>
      </c>
      <c r="AL71" s="273" t="e">
        <f t="shared" si="3"/>
        <v>#N/A</v>
      </c>
      <c r="AM71" s="270" t="e">
        <f>INDEX([71]Listas!$F$6:$J$10,MATCH(AI71,[71]Listas!$D$6:$D$10,0),MATCH(AK71,[71]Listas!$F$4:$J$4,0))</f>
        <v>#N/A</v>
      </c>
      <c r="AN71" s="259"/>
      <c r="AO71" s="259"/>
      <c r="AP71" s="610"/>
      <c r="AQ71" s="259"/>
      <c r="AR71" s="259" t="s">
        <v>2343</v>
      </c>
      <c r="AS71" s="608"/>
      <c r="AT71" s="259"/>
      <c r="AU71" s="259"/>
      <c r="AV71" s="308"/>
      <c r="AW71" s="308"/>
      <c r="AX71" s="608"/>
      <c r="AY71" s="309"/>
      <c r="AZ71" s="310"/>
      <c r="BA71" s="310"/>
      <c r="BB71" s="310"/>
    </row>
    <row r="72" spans="1:54" s="260" customFormat="1" ht="103.5" hidden="1" customHeight="1">
      <c r="A72" s="608"/>
      <c r="B72" s="266"/>
      <c r="C72" s="1399"/>
      <c r="D72" s="1408"/>
      <c r="E72" s="1400"/>
      <c r="F72" s="267"/>
      <c r="G72" s="1399"/>
      <c r="H72" s="1408"/>
      <c r="I72" s="1400"/>
      <c r="J72" s="1380"/>
      <c r="K72" s="1380"/>
      <c r="L72" s="1380"/>
      <c r="M72" s="608"/>
      <c r="N72" s="608"/>
      <c r="O72" s="608"/>
      <c r="P72" s="608"/>
      <c r="Q72" s="266"/>
      <c r="R72" s="266"/>
      <c r="S72" s="268"/>
      <c r="T72" s="269" t="e">
        <f>VLOOKUP(Q72,[71]Listas!$D$6:$E$10,2,0)</f>
        <v>#N/A</v>
      </c>
      <c r="U72" s="269" t="e">
        <f>HLOOKUP(R72,[71]Listas!$F$4:$J$5,2,0)</f>
        <v>#N/A</v>
      </c>
      <c r="V72" s="270" t="e">
        <f>INDEX([71]Listas!$F$6:$J$10,MATCH(Q72,[71]Listas!$D$6:$D$10,0),MATCH(R72,[71]Listas!$F$4:$J$4,0))</f>
        <v>#N/A</v>
      </c>
      <c r="W72" s="268"/>
      <c r="X72" s="1399"/>
      <c r="Y72" s="1408"/>
      <c r="Z72" s="1400"/>
      <c r="AA72" s="1063"/>
      <c r="AB72" s="267"/>
      <c r="AC72" s="259"/>
      <c r="AD72" s="608"/>
      <c r="AE72" s="267"/>
      <c r="AF72" s="268"/>
      <c r="AG72" s="269">
        <f t="shared" si="0"/>
        <v>0</v>
      </c>
      <c r="AH72" s="558" t="e">
        <f t="shared" si="1"/>
        <v>#N/A</v>
      </c>
      <c r="AI72" s="270" t="e">
        <f>IF(AH72&lt;=1,"Remota",VLOOKUP(AH72,[71]Listas!$C$6:$D$10,2,0))</f>
        <v>#N/A</v>
      </c>
      <c r="AJ72" s="558" t="e">
        <f t="shared" si="2"/>
        <v>#N/A</v>
      </c>
      <c r="AK72" s="270" t="e">
        <f>IF(AJ72&lt;=1,"Insignificante",HLOOKUP(AJ72,[71]Listas!$F$3:$J$4,2,0))</f>
        <v>#N/A</v>
      </c>
      <c r="AL72" s="273" t="e">
        <f t="shared" si="3"/>
        <v>#N/A</v>
      </c>
      <c r="AM72" s="270" t="e">
        <f>INDEX([71]Listas!$F$6:$J$10,MATCH(AI72,[71]Listas!$D$6:$D$10,0),MATCH(AK72,[71]Listas!$F$4:$J$4,0))</f>
        <v>#N/A</v>
      </c>
      <c r="AN72" s="259"/>
      <c r="AO72" s="259"/>
      <c r="AP72" s="610"/>
      <c r="AQ72" s="259"/>
      <c r="AR72" s="259" t="s">
        <v>2343</v>
      </c>
      <c r="AS72" s="608"/>
      <c r="AT72" s="259"/>
      <c r="AU72" s="259"/>
      <c r="AV72" s="308"/>
      <c r="AW72" s="308"/>
      <c r="AX72" s="608"/>
      <c r="AY72" s="309"/>
      <c r="AZ72" s="310"/>
      <c r="BA72" s="310"/>
      <c r="BB72" s="310"/>
    </row>
    <row r="73" spans="1:54" s="260" customFormat="1" ht="103.5" hidden="1" customHeight="1">
      <c r="A73" s="608"/>
      <c r="B73" s="266"/>
      <c r="C73" s="1399"/>
      <c r="D73" s="1408"/>
      <c r="E73" s="1400"/>
      <c r="F73" s="267"/>
      <c r="G73" s="1399"/>
      <c r="H73" s="1408"/>
      <c r="I73" s="1400"/>
      <c r="J73" s="1380"/>
      <c r="K73" s="1380"/>
      <c r="L73" s="1380"/>
      <c r="M73" s="608"/>
      <c r="N73" s="608"/>
      <c r="O73" s="608"/>
      <c r="P73" s="608"/>
      <c r="Q73" s="266"/>
      <c r="R73" s="266"/>
      <c r="S73" s="268"/>
      <c r="T73" s="269" t="e">
        <f>VLOOKUP(Q73,[71]Listas!$D$6:$E$10,2,0)</f>
        <v>#N/A</v>
      </c>
      <c r="U73" s="269" t="e">
        <f>HLOOKUP(R73,[71]Listas!$F$4:$J$5,2,0)</f>
        <v>#N/A</v>
      </c>
      <c r="V73" s="270" t="e">
        <f>INDEX([71]Listas!$F$6:$J$10,MATCH(Q73,[71]Listas!$D$6:$D$10,0),MATCH(R73,[71]Listas!$F$4:$J$4,0))</f>
        <v>#N/A</v>
      </c>
      <c r="W73" s="268"/>
      <c r="X73" s="1399"/>
      <c r="Y73" s="1408"/>
      <c r="Z73" s="1400"/>
      <c r="AA73" s="1063"/>
      <c r="AB73" s="267"/>
      <c r="AC73" s="259"/>
      <c r="AD73" s="608"/>
      <c r="AE73" s="267"/>
      <c r="AF73" s="268"/>
      <c r="AG73" s="269">
        <f t="shared" si="0"/>
        <v>0</v>
      </c>
      <c r="AH73" s="558" t="e">
        <f t="shared" si="1"/>
        <v>#N/A</v>
      </c>
      <c r="AI73" s="270" t="e">
        <f>IF(AH73&lt;=1,"Remota",VLOOKUP(AH73,[71]Listas!$C$6:$D$10,2,0))</f>
        <v>#N/A</v>
      </c>
      <c r="AJ73" s="558" t="e">
        <f t="shared" si="2"/>
        <v>#N/A</v>
      </c>
      <c r="AK73" s="270" t="e">
        <f>IF(AJ73&lt;=1,"Insignificante",HLOOKUP(AJ73,[71]Listas!$F$3:$J$4,2,0))</f>
        <v>#N/A</v>
      </c>
      <c r="AL73" s="273" t="e">
        <f t="shared" si="3"/>
        <v>#N/A</v>
      </c>
      <c r="AM73" s="270" t="e">
        <f>INDEX([71]Listas!$F$6:$J$10,MATCH(AI73,[71]Listas!$D$6:$D$10,0),MATCH(AK73,[71]Listas!$F$4:$J$4,0))</f>
        <v>#N/A</v>
      </c>
      <c r="AN73" s="259"/>
      <c r="AO73" s="259"/>
      <c r="AP73" s="610"/>
      <c r="AQ73" s="259"/>
      <c r="AR73" s="259" t="s">
        <v>2343</v>
      </c>
      <c r="AS73" s="608"/>
      <c r="AT73" s="259"/>
      <c r="AU73" s="259"/>
      <c r="AV73" s="308"/>
      <c r="AW73" s="308"/>
      <c r="AX73" s="608"/>
      <c r="AY73" s="309"/>
      <c r="AZ73" s="310"/>
      <c r="BA73" s="310"/>
      <c r="BB73" s="310"/>
    </row>
    <row r="74" spans="1:54" s="260" customFormat="1" ht="103.5" hidden="1" customHeight="1">
      <c r="A74" s="608"/>
      <c r="B74" s="266"/>
      <c r="C74" s="1399"/>
      <c r="D74" s="1408"/>
      <c r="E74" s="1400"/>
      <c r="F74" s="267"/>
      <c r="G74" s="1399"/>
      <c r="H74" s="1408"/>
      <c r="I74" s="1400"/>
      <c r="J74" s="1380"/>
      <c r="K74" s="1380"/>
      <c r="L74" s="1380"/>
      <c r="M74" s="608"/>
      <c r="N74" s="608"/>
      <c r="O74" s="608"/>
      <c r="P74" s="608"/>
      <c r="Q74" s="266"/>
      <c r="R74" s="266"/>
      <c r="S74" s="268"/>
      <c r="T74" s="269" t="e">
        <f>VLOOKUP(Q74,[71]Listas!$D$6:$E$10,2,0)</f>
        <v>#N/A</v>
      </c>
      <c r="U74" s="269" t="e">
        <f>HLOOKUP(R74,[71]Listas!$F$4:$J$5,2,0)</f>
        <v>#N/A</v>
      </c>
      <c r="V74" s="270" t="e">
        <f>INDEX([71]Listas!$F$6:$J$10,MATCH(Q74,[71]Listas!$D$6:$D$10,0),MATCH(R74,[71]Listas!$F$4:$J$4,0))</f>
        <v>#N/A</v>
      </c>
      <c r="W74" s="268"/>
      <c r="X74" s="1399"/>
      <c r="Y74" s="1408"/>
      <c r="Z74" s="1400"/>
      <c r="AA74" s="1063"/>
      <c r="AB74" s="267"/>
      <c r="AC74" s="259"/>
      <c r="AD74" s="608"/>
      <c r="AE74" s="267"/>
      <c r="AF74" s="268"/>
      <c r="AG74" s="269">
        <f t="shared" ref="AG74:AG79" si="4">IF(AD74&lt;=33,0,IF(AD74&gt;81,2,1))</f>
        <v>0</v>
      </c>
      <c r="AH74" s="558" t="e">
        <f t="shared" ref="AH74:AH79" si="5">IF(OR(AE74="Probabilidad",AE74="Ambos"),T74-AG74,T74)</f>
        <v>#N/A</v>
      </c>
      <c r="AI74" s="270" t="e">
        <f>IF(AH74&lt;=1,"Remota",VLOOKUP(AH74,[71]Listas!$C$6:$D$10,2,0))</f>
        <v>#N/A</v>
      </c>
      <c r="AJ74" s="558" t="e">
        <f t="shared" ref="AJ74:AJ79" si="6">IF(OR(AE74="Impacto",AE74="Ambos"),U74-AG74,U74)</f>
        <v>#N/A</v>
      </c>
      <c r="AK74" s="270" t="e">
        <f>IF(AJ74&lt;=1,"Insignificante",HLOOKUP(AJ74,[71]Listas!$F$3:$J$4,2,0))</f>
        <v>#N/A</v>
      </c>
      <c r="AL74" s="273" t="e">
        <f t="shared" ref="AL74:AL79" si="7">AH74*AJ74</f>
        <v>#N/A</v>
      </c>
      <c r="AM74" s="270" t="e">
        <f>INDEX([71]Listas!$F$6:$J$10,MATCH(AI74,[71]Listas!$D$6:$D$10,0),MATCH(AK74,[71]Listas!$F$4:$J$4,0))</f>
        <v>#N/A</v>
      </c>
      <c r="AN74" s="259"/>
      <c r="AO74" s="259"/>
      <c r="AP74" s="610"/>
      <c r="AQ74" s="259"/>
      <c r="AR74" s="259" t="s">
        <v>2343</v>
      </c>
      <c r="AS74" s="608"/>
      <c r="AT74" s="259"/>
      <c r="AU74" s="259"/>
      <c r="AV74" s="308"/>
      <c r="AW74" s="308"/>
      <c r="AX74" s="608"/>
      <c r="AY74" s="309"/>
      <c r="AZ74" s="310"/>
      <c r="BA74" s="310"/>
      <c r="BB74" s="310"/>
    </row>
    <row r="75" spans="1:54" s="260" customFormat="1" ht="103.5" hidden="1" customHeight="1">
      <c r="A75" s="608"/>
      <c r="B75" s="266"/>
      <c r="C75" s="1399"/>
      <c r="D75" s="1408"/>
      <c r="E75" s="1400"/>
      <c r="F75" s="267"/>
      <c r="G75" s="1399"/>
      <c r="H75" s="1408"/>
      <c r="I75" s="1400"/>
      <c r="J75" s="1380"/>
      <c r="K75" s="1380"/>
      <c r="L75" s="1380"/>
      <c r="M75" s="608"/>
      <c r="N75" s="608"/>
      <c r="O75" s="608"/>
      <c r="P75" s="608"/>
      <c r="Q75" s="266"/>
      <c r="R75" s="266"/>
      <c r="S75" s="268"/>
      <c r="T75" s="269" t="e">
        <f>VLOOKUP(Q75,[71]Listas!$D$6:$E$10,2,0)</f>
        <v>#N/A</v>
      </c>
      <c r="U75" s="269" t="e">
        <f>HLOOKUP(R75,[71]Listas!$F$4:$J$5,2,0)</f>
        <v>#N/A</v>
      </c>
      <c r="V75" s="270" t="e">
        <f>INDEX([71]Listas!$F$6:$J$10,MATCH(Q75,[71]Listas!$D$6:$D$10,0),MATCH(R75,[71]Listas!$F$4:$J$4,0))</f>
        <v>#N/A</v>
      </c>
      <c r="W75" s="268"/>
      <c r="X75" s="1399"/>
      <c r="Y75" s="1408"/>
      <c r="Z75" s="1400"/>
      <c r="AA75" s="1063"/>
      <c r="AB75" s="267"/>
      <c r="AC75" s="259"/>
      <c r="AD75" s="608"/>
      <c r="AE75" s="267"/>
      <c r="AF75" s="268"/>
      <c r="AG75" s="269">
        <f t="shared" si="4"/>
        <v>0</v>
      </c>
      <c r="AH75" s="558" t="e">
        <f t="shared" si="5"/>
        <v>#N/A</v>
      </c>
      <c r="AI75" s="270" t="e">
        <f>IF(AH75&lt;=1,"Remota",VLOOKUP(AH75,[71]Listas!$C$6:$D$10,2,0))</f>
        <v>#N/A</v>
      </c>
      <c r="AJ75" s="558" t="e">
        <f t="shared" si="6"/>
        <v>#N/A</v>
      </c>
      <c r="AK75" s="270" t="e">
        <f>IF(AJ75&lt;=1,"Insignificante",HLOOKUP(AJ75,[71]Listas!$F$3:$J$4,2,0))</f>
        <v>#N/A</v>
      </c>
      <c r="AL75" s="273" t="e">
        <f t="shared" si="7"/>
        <v>#N/A</v>
      </c>
      <c r="AM75" s="270" t="e">
        <f>INDEX([71]Listas!$F$6:$J$10,MATCH(AI75,[71]Listas!$D$6:$D$10,0),MATCH(AK75,[71]Listas!$F$4:$J$4,0))</f>
        <v>#N/A</v>
      </c>
      <c r="AN75" s="259"/>
      <c r="AO75" s="259"/>
      <c r="AP75" s="610"/>
      <c r="AQ75" s="259"/>
      <c r="AR75" s="259" t="s">
        <v>2343</v>
      </c>
      <c r="AS75" s="608"/>
      <c r="AT75" s="259"/>
      <c r="AU75" s="259"/>
      <c r="AV75" s="308"/>
      <c r="AW75" s="308"/>
      <c r="AX75" s="608"/>
      <c r="AY75" s="309"/>
      <c r="AZ75" s="310"/>
      <c r="BA75" s="310"/>
      <c r="BB75" s="310"/>
    </row>
    <row r="76" spans="1:54" s="260" customFormat="1" ht="103.5" hidden="1" customHeight="1">
      <c r="A76" s="608"/>
      <c r="B76" s="266"/>
      <c r="C76" s="1399"/>
      <c r="D76" s="1408"/>
      <c r="E76" s="1400"/>
      <c r="F76" s="267"/>
      <c r="G76" s="1399"/>
      <c r="H76" s="1408"/>
      <c r="I76" s="1400"/>
      <c r="J76" s="1380"/>
      <c r="K76" s="1380"/>
      <c r="L76" s="1380"/>
      <c r="M76" s="608"/>
      <c r="N76" s="608"/>
      <c r="O76" s="608"/>
      <c r="P76" s="608"/>
      <c r="Q76" s="266"/>
      <c r="R76" s="266"/>
      <c r="S76" s="268"/>
      <c r="T76" s="269" t="e">
        <f>VLOOKUP(Q76,[71]Listas!$D$6:$E$10,2,0)</f>
        <v>#N/A</v>
      </c>
      <c r="U76" s="269" t="e">
        <f>HLOOKUP(R76,[71]Listas!$F$4:$J$5,2,0)</f>
        <v>#N/A</v>
      </c>
      <c r="V76" s="270" t="e">
        <f>INDEX([71]Listas!$F$6:$J$10,MATCH(Q76,[71]Listas!$D$6:$D$10,0),MATCH(R76,[71]Listas!$F$4:$J$4,0))</f>
        <v>#N/A</v>
      </c>
      <c r="W76" s="268"/>
      <c r="X76" s="1399"/>
      <c r="Y76" s="1408"/>
      <c r="Z76" s="1400"/>
      <c r="AA76" s="1063"/>
      <c r="AB76" s="267"/>
      <c r="AC76" s="259"/>
      <c r="AD76" s="608"/>
      <c r="AE76" s="267"/>
      <c r="AF76" s="268"/>
      <c r="AG76" s="269">
        <f t="shared" si="4"/>
        <v>0</v>
      </c>
      <c r="AH76" s="558" t="e">
        <f t="shared" si="5"/>
        <v>#N/A</v>
      </c>
      <c r="AI76" s="270" t="e">
        <f>IF(AH76&lt;=1,"Remota",VLOOKUP(AH76,[71]Listas!$C$6:$D$10,2,0))</f>
        <v>#N/A</v>
      </c>
      <c r="AJ76" s="558" t="e">
        <f t="shared" si="6"/>
        <v>#N/A</v>
      </c>
      <c r="AK76" s="270" t="e">
        <f>IF(AJ76&lt;=1,"Insignificante",HLOOKUP(AJ76,[71]Listas!$F$3:$J$4,2,0))</f>
        <v>#N/A</v>
      </c>
      <c r="AL76" s="273" t="e">
        <f t="shared" si="7"/>
        <v>#N/A</v>
      </c>
      <c r="AM76" s="270" t="e">
        <f>INDEX([71]Listas!$F$6:$J$10,MATCH(AI76,[71]Listas!$D$6:$D$10,0),MATCH(AK76,[71]Listas!$F$4:$J$4,0))</f>
        <v>#N/A</v>
      </c>
      <c r="AN76" s="259"/>
      <c r="AO76" s="259"/>
      <c r="AP76" s="610"/>
      <c r="AQ76" s="259"/>
      <c r="AR76" s="259" t="s">
        <v>2343</v>
      </c>
      <c r="AS76" s="608"/>
      <c r="AT76" s="259"/>
      <c r="AU76" s="259"/>
      <c r="AV76" s="308"/>
      <c r="AW76" s="308"/>
      <c r="AX76" s="608"/>
      <c r="AY76" s="309"/>
      <c r="AZ76" s="310"/>
      <c r="BA76" s="310"/>
      <c r="BB76" s="310"/>
    </row>
    <row r="77" spans="1:54" s="260" customFormat="1" ht="103.5" hidden="1" customHeight="1">
      <c r="A77" s="608"/>
      <c r="B77" s="266"/>
      <c r="C77" s="1399"/>
      <c r="D77" s="1408"/>
      <c r="E77" s="1400"/>
      <c r="F77" s="267"/>
      <c r="G77" s="1399"/>
      <c r="H77" s="1408"/>
      <c r="I77" s="1400"/>
      <c r="J77" s="1380"/>
      <c r="K77" s="1380"/>
      <c r="L77" s="1380"/>
      <c r="M77" s="608"/>
      <c r="N77" s="608"/>
      <c r="O77" s="608"/>
      <c r="P77" s="608"/>
      <c r="Q77" s="266"/>
      <c r="R77" s="266"/>
      <c r="S77" s="268"/>
      <c r="T77" s="269" t="e">
        <f>VLOOKUP(Q77,[71]Listas!$D$6:$E$10,2,0)</f>
        <v>#N/A</v>
      </c>
      <c r="U77" s="269" t="e">
        <f>HLOOKUP(R77,[71]Listas!$F$4:$J$5,2,0)</f>
        <v>#N/A</v>
      </c>
      <c r="V77" s="270" t="e">
        <f>INDEX([71]Listas!$F$6:$J$10,MATCH(Q77,[71]Listas!$D$6:$D$10,0),MATCH(R77,[71]Listas!$F$4:$J$4,0))</f>
        <v>#N/A</v>
      </c>
      <c r="W77" s="268"/>
      <c r="X77" s="1399"/>
      <c r="Y77" s="1408"/>
      <c r="Z77" s="1400"/>
      <c r="AA77" s="1063"/>
      <c r="AB77" s="267"/>
      <c r="AC77" s="259"/>
      <c r="AD77" s="608"/>
      <c r="AE77" s="267"/>
      <c r="AF77" s="268"/>
      <c r="AG77" s="269">
        <f t="shared" si="4"/>
        <v>0</v>
      </c>
      <c r="AH77" s="558" t="e">
        <f t="shared" si="5"/>
        <v>#N/A</v>
      </c>
      <c r="AI77" s="270" t="e">
        <f>IF(AH77&lt;=1,"Remota",VLOOKUP(AH77,[71]Listas!$C$6:$D$10,2,0))</f>
        <v>#N/A</v>
      </c>
      <c r="AJ77" s="558" t="e">
        <f t="shared" si="6"/>
        <v>#N/A</v>
      </c>
      <c r="AK77" s="270" t="e">
        <f>IF(AJ77&lt;=1,"Insignificante",HLOOKUP(AJ77,[71]Listas!$F$3:$J$4,2,0))</f>
        <v>#N/A</v>
      </c>
      <c r="AL77" s="273" t="e">
        <f t="shared" si="7"/>
        <v>#N/A</v>
      </c>
      <c r="AM77" s="270" t="e">
        <f>INDEX([71]Listas!$F$6:$J$10,MATCH(AI77,[71]Listas!$D$6:$D$10,0),MATCH(AK77,[71]Listas!$F$4:$J$4,0))</f>
        <v>#N/A</v>
      </c>
      <c r="AN77" s="259"/>
      <c r="AO77" s="259"/>
      <c r="AP77" s="610"/>
      <c r="AQ77" s="259"/>
      <c r="AR77" s="259" t="s">
        <v>2343</v>
      </c>
      <c r="AS77" s="608"/>
      <c r="AT77" s="259"/>
      <c r="AU77" s="259"/>
      <c r="AV77" s="308"/>
      <c r="AW77" s="308"/>
      <c r="AX77" s="608"/>
      <c r="AY77" s="309"/>
      <c r="AZ77" s="310"/>
      <c r="BA77" s="310"/>
      <c r="BB77" s="310"/>
    </row>
    <row r="78" spans="1:54" s="260" customFormat="1" ht="103.5" hidden="1" customHeight="1">
      <c r="A78" s="608"/>
      <c r="B78" s="266"/>
      <c r="C78" s="1399"/>
      <c r="D78" s="1408"/>
      <c r="E78" s="1400"/>
      <c r="F78" s="267"/>
      <c r="G78" s="1399"/>
      <c r="H78" s="1408"/>
      <c r="I78" s="1400"/>
      <c r="J78" s="1380"/>
      <c r="K78" s="1380"/>
      <c r="L78" s="1380"/>
      <c r="M78" s="608"/>
      <c r="N78" s="608"/>
      <c r="O78" s="608"/>
      <c r="P78" s="608"/>
      <c r="Q78" s="266"/>
      <c r="R78" s="266"/>
      <c r="S78" s="268"/>
      <c r="T78" s="269" t="e">
        <f>VLOOKUP(Q78,[71]Listas!$D$6:$E$10,2,0)</f>
        <v>#N/A</v>
      </c>
      <c r="U78" s="269" t="e">
        <f>HLOOKUP(R78,[71]Listas!$F$4:$J$5,2,0)</f>
        <v>#N/A</v>
      </c>
      <c r="V78" s="270" t="e">
        <f>INDEX([71]Listas!$F$6:$J$10,MATCH(Q78,[71]Listas!$D$6:$D$10,0),MATCH(R78,[71]Listas!$F$4:$J$4,0))</f>
        <v>#N/A</v>
      </c>
      <c r="W78" s="268"/>
      <c r="X78" s="1399"/>
      <c r="Y78" s="1408"/>
      <c r="Z78" s="1400"/>
      <c r="AA78" s="1063"/>
      <c r="AB78" s="267"/>
      <c r="AC78" s="259"/>
      <c r="AD78" s="608"/>
      <c r="AE78" s="267"/>
      <c r="AF78" s="268"/>
      <c r="AG78" s="269">
        <f t="shared" si="4"/>
        <v>0</v>
      </c>
      <c r="AH78" s="558" t="e">
        <f t="shared" si="5"/>
        <v>#N/A</v>
      </c>
      <c r="AI78" s="270" t="e">
        <f>IF(AH78&lt;=1,"Remota",VLOOKUP(AH78,[71]Listas!$C$6:$D$10,2,0))</f>
        <v>#N/A</v>
      </c>
      <c r="AJ78" s="558" t="e">
        <f t="shared" si="6"/>
        <v>#N/A</v>
      </c>
      <c r="AK78" s="270" t="e">
        <f>IF(AJ78&lt;=1,"Insignificante",HLOOKUP(AJ78,[71]Listas!$F$3:$J$4,2,0))</f>
        <v>#N/A</v>
      </c>
      <c r="AL78" s="273" t="e">
        <f t="shared" si="7"/>
        <v>#N/A</v>
      </c>
      <c r="AM78" s="270" t="e">
        <f>INDEX([71]Listas!$F$6:$J$10,MATCH(AI78,[71]Listas!$D$6:$D$10,0),MATCH(AK78,[71]Listas!$F$4:$J$4,0))</f>
        <v>#N/A</v>
      </c>
      <c r="AN78" s="259"/>
      <c r="AO78" s="259"/>
      <c r="AP78" s="610"/>
      <c r="AQ78" s="259"/>
      <c r="AR78" s="259" t="s">
        <v>2343</v>
      </c>
      <c r="AS78" s="608"/>
      <c r="AT78" s="259"/>
      <c r="AU78" s="259"/>
      <c r="AV78" s="308"/>
      <c r="AW78" s="308"/>
      <c r="AX78" s="608"/>
      <c r="AY78" s="309"/>
      <c r="AZ78" s="310"/>
      <c r="BA78" s="310"/>
      <c r="BB78" s="310"/>
    </row>
    <row r="79" spans="1:54" s="260" customFormat="1" ht="103.5" hidden="1" customHeight="1">
      <c r="A79" s="608"/>
      <c r="B79" s="266"/>
      <c r="C79" s="1399"/>
      <c r="D79" s="1408"/>
      <c r="E79" s="1400"/>
      <c r="F79" s="267"/>
      <c r="G79" s="1399"/>
      <c r="H79" s="1408"/>
      <c r="I79" s="1400"/>
      <c r="J79" s="1380"/>
      <c r="K79" s="1380"/>
      <c r="L79" s="1380"/>
      <c r="M79" s="608"/>
      <c r="N79" s="608"/>
      <c r="O79" s="608"/>
      <c r="P79" s="608"/>
      <c r="Q79" s="266"/>
      <c r="R79" s="266"/>
      <c r="S79" s="268"/>
      <c r="T79" s="269" t="e">
        <f>VLOOKUP(Q79,[71]Listas!$D$6:$E$10,2,0)</f>
        <v>#N/A</v>
      </c>
      <c r="U79" s="269" t="e">
        <f>HLOOKUP(R79,[71]Listas!$F$4:$J$5,2,0)</f>
        <v>#N/A</v>
      </c>
      <c r="V79" s="270" t="e">
        <f>INDEX([71]Listas!$F$6:$J$10,MATCH(Q79,[71]Listas!$D$6:$D$10,0),MATCH(R79,[71]Listas!$F$4:$J$4,0))</f>
        <v>#N/A</v>
      </c>
      <c r="W79" s="268"/>
      <c r="X79" s="1399"/>
      <c r="Y79" s="1408"/>
      <c r="Z79" s="1400"/>
      <c r="AA79" s="1063"/>
      <c r="AB79" s="267"/>
      <c r="AC79" s="259"/>
      <c r="AD79" s="608"/>
      <c r="AE79" s="267"/>
      <c r="AF79" s="268"/>
      <c r="AG79" s="269">
        <f t="shared" si="4"/>
        <v>0</v>
      </c>
      <c r="AH79" s="558" t="e">
        <f t="shared" si="5"/>
        <v>#N/A</v>
      </c>
      <c r="AI79" s="270" t="e">
        <f>IF(AH79&lt;=1,"Remota",VLOOKUP(AH79,[71]Listas!$C$6:$D$10,2,0))</f>
        <v>#N/A</v>
      </c>
      <c r="AJ79" s="558" t="e">
        <f t="shared" si="6"/>
        <v>#N/A</v>
      </c>
      <c r="AK79" s="270" t="e">
        <f>IF(AJ79&lt;=1,"Insignificante",HLOOKUP(AJ79,[71]Listas!$F$3:$J$4,2,0))</f>
        <v>#N/A</v>
      </c>
      <c r="AL79" s="273" t="e">
        <f t="shared" si="7"/>
        <v>#N/A</v>
      </c>
      <c r="AM79" s="270" t="e">
        <f>INDEX([71]Listas!$F$6:$J$10,MATCH(AI79,[71]Listas!$D$6:$D$10,0),MATCH(AK79,[71]Listas!$F$4:$J$4,0))</f>
        <v>#N/A</v>
      </c>
      <c r="AN79" s="259"/>
      <c r="AO79" s="259"/>
      <c r="AP79" s="610"/>
      <c r="AQ79" s="259"/>
      <c r="AR79" s="259" t="s">
        <v>2343</v>
      </c>
      <c r="AS79" s="608"/>
      <c r="AT79" s="259"/>
      <c r="AU79" s="259"/>
      <c r="AV79" s="308"/>
      <c r="AW79" s="308"/>
      <c r="AX79" s="608"/>
      <c r="AY79" s="309"/>
      <c r="AZ79" s="310"/>
      <c r="BA79" s="310"/>
      <c r="BB79" s="310"/>
    </row>
    <row r="80" spans="1:54" s="260" customFormat="1" ht="103.5" hidden="1" customHeight="1">
      <c r="A80" s="608"/>
      <c r="B80" s="266"/>
      <c r="C80" s="1399"/>
      <c r="D80" s="1408"/>
      <c r="E80" s="1400"/>
      <c r="F80" s="266"/>
      <c r="G80" s="1399"/>
      <c r="H80" s="1408"/>
      <c r="I80" s="1400"/>
      <c r="J80" s="1380"/>
      <c r="K80" s="1380"/>
      <c r="L80" s="1380"/>
      <c r="M80" s="608"/>
      <c r="N80" s="608"/>
      <c r="O80" s="608"/>
      <c r="P80" s="608"/>
      <c r="Q80" s="266"/>
      <c r="R80" s="266"/>
      <c r="S80" s="268"/>
      <c r="T80" s="269" t="e">
        <f>VLOOKUP(Q80,[71]Listas!$D$6:$E$10,2,0)</f>
        <v>#N/A</v>
      </c>
      <c r="U80" s="269" t="e">
        <f>HLOOKUP(R80,[71]Listas!$F$4:$J$5,2,0)</f>
        <v>#N/A</v>
      </c>
      <c r="V80" s="270" t="e">
        <f>INDEX([71]Listas!$F$6:$J$10,MATCH(Q80,[71]Listas!$D$6:$D$10,0),MATCH(R80,[71]Listas!$F$4:$J$4,0))</f>
        <v>#N/A</v>
      </c>
      <c r="W80" s="268"/>
      <c r="X80" s="1399"/>
      <c r="Y80" s="1408"/>
      <c r="Z80" s="1400"/>
      <c r="AA80" s="1063"/>
      <c r="AB80" s="267"/>
      <c r="AC80" s="259"/>
      <c r="AD80" s="608"/>
      <c r="AE80" s="267"/>
      <c r="AF80" s="268"/>
      <c r="AG80" s="269">
        <f>IF(AD80&lt;=33,0,IF(AD80&gt;81,2,1))</f>
        <v>0</v>
      </c>
      <c r="AH80" s="558" t="e">
        <f>IF(OR(AE80="Probabilidad",AE80="Ambos"),T80-AG80,T80)</f>
        <v>#N/A</v>
      </c>
      <c r="AI80" s="270" t="e">
        <f>IF(AH80&lt;=1,"Remota",VLOOKUP(AH80,[71]Listas!$C$6:$D$10,2,0))</f>
        <v>#N/A</v>
      </c>
      <c r="AJ80" s="558" t="e">
        <f>IF(OR(AE80="Impacto",AE80="Ambos"),U80-AG80,U80)</f>
        <v>#N/A</v>
      </c>
      <c r="AK80" s="270" t="e">
        <f>IF(AJ80&lt;=1,"Insignificante",HLOOKUP(AJ80,[71]Listas!$F$3:$J$4,2,0))</f>
        <v>#N/A</v>
      </c>
      <c r="AL80" s="273" t="e">
        <f>AH80*AJ80</f>
        <v>#N/A</v>
      </c>
      <c r="AM80" s="270" t="e">
        <f>INDEX([71]Listas!$F$6:$J$10,MATCH(AI80,[71]Listas!$D$6:$D$10,0),MATCH(AK80,[71]Listas!$F$4:$J$4,0))</f>
        <v>#N/A</v>
      </c>
      <c r="AN80" s="259"/>
      <c r="AO80" s="259"/>
      <c r="AP80" s="610"/>
      <c r="AQ80" s="259"/>
      <c r="AR80" s="259" t="s">
        <v>2343</v>
      </c>
      <c r="AS80" s="608"/>
      <c r="AT80" s="310"/>
      <c r="AU80" s="259"/>
      <c r="AV80" s="308"/>
      <c r="AW80" s="308"/>
      <c r="AX80" s="608"/>
      <c r="AY80" s="309"/>
      <c r="AZ80" s="310"/>
      <c r="BA80" s="310"/>
      <c r="BB80" s="310"/>
    </row>
    <row r="81" spans="1:54" s="260" customFormat="1" ht="103.5" hidden="1" customHeight="1">
      <c r="A81" s="608"/>
      <c r="B81" s="266"/>
      <c r="C81" s="1399"/>
      <c r="D81" s="1408"/>
      <c r="E81" s="1400"/>
      <c r="F81" s="267"/>
      <c r="G81" s="1399"/>
      <c r="H81" s="1408"/>
      <c r="I81" s="1400"/>
      <c r="J81" s="1380"/>
      <c r="K81" s="1380"/>
      <c r="L81" s="1380"/>
      <c r="M81" s="608"/>
      <c r="N81" s="608"/>
      <c r="O81" s="608"/>
      <c r="P81" s="608"/>
      <c r="Q81" s="266"/>
      <c r="R81" s="266"/>
      <c r="S81" s="268"/>
      <c r="T81" s="269" t="e">
        <f>VLOOKUP(Q81,[71]Listas!$D$6:$E$10,2,0)</f>
        <v>#N/A</v>
      </c>
      <c r="U81" s="269" t="e">
        <f>HLOOKUP(R81,[71]Listas!$F$4:$J$5,2,0)</f>
        <v>#N/A</v>
      </c>
      <c r="V81" s="270" t="e">
        <f>INDEX([71]Listas!$F$6:$J$10,MATCH(Q81,[71]Listas!$D$6:$D$10,0),MATCH(R81,[71]Listas!$F$4:$J$4,0))</f>
        <v>#N/A</v>
      </c>
      <c r="W81" s="268"/>
      <c r="X81" s="1399"/>
      <c r="Y81" s="1408"/>
      <c r="Z81" s="1400"/>
      <c r="AA81" s="1063"/>
      <c r="AB81" s="267"/>
      <c r="AC81" s="259"/>
      <c r="AD81" s="608"/>
      <c r="AE81" s="267"/>
      <c r="AF81" s="268"/>
      <c r="AG81" s="269">
        <f t="shared" ref="AG81:AG144" si="8">IF(AD81&lt;=33,0,IF(AD81&gt;81,2,1))</f>
        <v>0</v>
      </c>
      <c r="AH81" s="558" t="e">
        <f t="shared" ref="AH81:AH144" si="9">IF(OR(AE81="Probabilidad",AE81="Ambos"),T81-AG81,T81)</f>
        <v>#N/A</v>
      </c>
      <c r="AI81" s="270" t="e">
        <f>IF(AH81&lt;=1,"Remota",VLOOKUP(AH81,[71]Listas!$C$6:$D$10,2,0))</f>
        <v>#N/A</v>
      </c>
      <c r="AJ81" s="558" t="e">
        <f t="shared" ref="AJ81:AJ144" si="10">IF(OR(AE81="Impacto",AE81="Ambos"),U81-AG81,U81)</f>
        <v>#N/A</v>
      </c>
      <c r="AK81" s="270" t="e">
        <f>IF(AJ81&lt;=1,"Insignificante",HLOOKUP(AJ81,[71]Listas!$F$3:$J$4,2,0))</f>
        <v>#N/A</v>
      </c>
      <c r="AL81" s="273" t="e">
        <f t="shared" ref="AL81:AL144" si="11">AH81*AJ81</f>
        <v>#N/A</v>
      </c>
      <c r="AM81" s="270" t="e">
        <f>INDEX([71]Listas!$F$6:$J$10,MATCH(AI81,[71]Listas!$D$6:$D$10,0),MATCH(AK81,[71]Listas!$F$4:$J$4,0))</f>
        <v>#N/A</v>
      </c>
      <c r="AN81" s="259"/>
      <c r="AO81" s="259"/>
      <c r="AP81" s="610"/>
      <c r="AQ81" s="259"/>
      <c r="AR81" s="259" t="s">
        <v>2343</v>
      </c>
      <c r="AS81" s="608"/>
      <c r="AT81" s="259"/>
      <c r="AU81" s="259"/>
      <c r="AV81" s="308"/>
      <c r="AW81" s="308"/>
      <c r="AX81" s="608"/>
      <c r="AY81" s="309"/>
      <c r="AZ81" s="310"/>
      <c r="BA81" s="310"/>
      <c r="BB81" s="310"/>
    </row>
    <row r="82" spans="1:54" s="260" customFormat="1" ht="103.5" hidden="1" customHeight="1">
      <c r="A82" s="608"/>
      <c r="B82" s="266"/>
      <c r="C82" s="1399"/>
      <c r="D82" s="1408"/>
      <c r="E82" s="1400"/>
      <c r="F82" s="267"/>
      <c r="G82" s="1399"/>
      <c r="H82" s="1408"/>
      <c r="I82" s="1400"/>
      <c r="J82" s="1380"/>
      <c r="K82" s="1380"/>
      <c r="L82" s="1380"/>
      <c r="M82" s="608"/>
      <c r="N82" s="608"/>
      <c r="O82" s="608"/>
      <c r="P82" s="608"/>
      <c r="Q82" s="266"/>
      <c r="R82" s="266"/>
      <c r="S82" s="268"/>
      <c r="T82" s="269" t="e">
        <f>VLOOKUP(Q82,[71]Listas!$D$6:$E$10,2,0)</f>
        <v>#N/A</v>
      </c>
      <c r="U82" s="269" t="e">
        <f>HLOOKUP(R82,[71]Listas!$F$4:$J$5,2,0)</f>
        <v>#N/A</v>
      </c>
      <c r="V82" s="270" t="e">
        <f>INDEX([71]Listas!$F$6:$J$10,MATCH(Q82,[71]Listas!$D$6:$D$10,0),MATCH(R82,[71]Listas!$F$4:$J$4,0))</f>
        <v>#N/A</v>
      </c>
      <c r="W82" s="268"/>
      <c r="X82" s="1399"/>
      <c r="Y82" s="1408"/>
      <c r="Z82" s="1400"/>
      <c r="AA82" s="1063"/>
      <c r="AB82" s="267"/>
      <c r="AC82" s="259"/>
      <c r="AD82" s="608"/>
      <c r="AE82" s="267"/>
      <c r="AF82" s="268"/>
      <c r="AG82" s="269">
        <f t="shared" si="8"/>
        <v>0</v>
      </c>
      <c r="AH82" s="558" t="e">
        <f t="shared" si="9"/>
        <v>#N/A</v>
      </c>
      <c r="AI82" s="270" t="e">
        <f>IF(AH82&lt;=1,"Remota",VLOOKUP(AH82,[71]Listas!$C$6:$D$10,2,0))</f>
        <v>#N/A</v>
      </c>
      <c r="AJ82" s="558" t="e">
        <f t="shared" si="10"/>
        <v>#N/A</v>
      </c>
      <c r="AK82" s="270" t="e">
        <f>IF(AJ82&lt;=1,"Insignificante",HLOOKUP(AJ82,[71]Listas!$F$3:$J$4,2,0))</f>
        <v>#N/A</v>
      </c>
      <c r="AL82" s="273" t="e">
        <f t="shared" si="11"/>
        <v>#N/A</v>
      </c>
      <c r="AM82" s="270" t="e">
        <f>INDEX([71]Listas!$F$6:$J$10,MATCH(AI82,[71]Listas!$D$6:$D$10,0),MATCH(AK82,[71]Listas!$F$4:$J$4,0))</f>
        <v>#N/A</v>
      </c>
      <c r="AN82" s="259"/>
      <c r="AO82" s="259"/>
      <c r="AP82" s="610"/>
      <c r="AQ82" s="259"/>
      <c r="AR82" s="259" t="s">
        <v>2343</v>
      </c>
      <c r="AS82" s="608"/>
      <c r="AT82" s="259"/>
      <c r="AU82" s="259"/>
      <c r="AV82" s="308"/>
      <c r="AW82" s="308"/>
      <c r="AX82" s="608"/>
      <c r="AY82" s="309"/>
      <c r="AZ82" s="310"/>
      <c r="BA82" s="310"/>
      <c r="BB82" s="310"/>
    </row>
    <row r="83" spans="1:54" s="260" customFormat="1" ht="103.5" hidden="1" customHeight="1">
      <c r="A83" s="608"/>
      <c r="B83" s="266"/>
      <c r="C83" s="1399"/>
      <c r="D83" s="1408"/>
      <c r="E83" s="1400"/>
      <c r="F83" s="267"/>
      <c r="G83" s="1399"/>
      <c r="H83" s="1408"/>
      <c r="I83" s="1400"/>
      <c r="J83" s="1380"/>
      <c r="K83" s="1380"/>
      <c r="L83" s="1380"/>
      <c r="M83" s="608"/>
      <c r="N83" s="608"/>
      <c r="O83" s="608"/>
      <c r="P83" s="608"/>
      <c r="Q83" s="266"/>
      <c r="R83" s="266"/>
      <c r="S83" s="268"/>
      <c r="T83" s="269" t="e">
        <f>VLOOKUP(Q83,[71]Listas!$D$6:$E$10,2,0)</f>
        <v>#N/A</v>
      </c>
      <c r="U83" s="269" t="e">
        <f>HLOOKUP(R83,[71]Listas!$F$4:$J$5,2,0)</f>
        <v>#N/A</v>
      </c>
      <c r="V83" s="270" t="e">
        <f>INDEX([71]Listas!$F$6:$J$10,MATCH(Q83,[71]Listas!$D$6:$D$10,0),MATCH(R83,[71]Listas!$F$4:$J$4,0))</f>
        <v>#N/A</v>
      </c>
      <c r="W83" s="268"/>
      <c r="X83" s="1399"/>
      <c r="Y83" s="1408"/>
      <c r="Z83" s="1400"/>
      <c r="AA83" s="1063"/>
      <c r="AB83" s="267"/>
      <c r="AC83" s="259"/>
      <c r="AD83" s="608"/>
      <c r="AE83" s="267"/>
      <c r="AF83" s="268"/>
      <c r="AG83" s="269">
        <f t="shared" si="8"/>
        <v>0</v>
      </c>
      <c r="AH83" s="558" t="e">
        <f t="shared" si="9"/>
        <v>#N/A</v>
      </c>
      <c r="AI83" s="270" t="e">
        <f>IF(AH83&lt;=1,"Remota",VLOOKUP(AH83,[71]Listas!$C$6:$D$10,2,0))</f>
        <v>#N/A</v>
      </c>
      <c r="AJ83" s="558" t="e">
        <f t="shared" si="10"/>
        <v>#N/A</v>
      </c>
      <c r="AK83" s="270" t="e">
        <f>IF(AJ83&lt;=1,"Insignificante",HLOOKUP(AJ83,[71]Listas!$F$3:$J$4,2,0))</f>
        <v>#N/A</v>
      </c>
      <c r="AL83" s="273" t="e">
        <f t="shared" si="11"/>
        <v>#N/A</v>
      </c>
      <c r="AM83" s="270" t="e">
        <f>INDEX([71]Listas!$F$6:$J$10,MATCH(AI83,[71]Listas!$D$6:$D$10,0),MATCH(AK83,[71]Listas!$F$4:$J$4,0))</f>
        <v>#N/A</v>
      </c>
      <c r="AN83" s="259"/>
      <c r="AO83" s="259"/>
      <c r="AP83" s="610"/>
      <c r="AQ83" s="259"/>
      <c r="AR83" s="259" t="s">
        <v>2343</v>
      </c>
      <c r="AS83" s="608"/>
      <c r="AT83" s="259"/>
      <c r="AU83" s="259"/>
      <c r="AV83" s="308"/>
      <c r="AW83" s="308"/>
      <c r="AX83" s="608"/>
      <c r="AY83" s="309"/>
      <c r="AZ83" s="310"/>
      <c r="BA83" s="310"/>
      <c r="BB83" s="310"/>
    </row>
    <row r="84" spans="1:54" s="260" customFormat="1" ht="103.5" hidden="1" customHeight="1">
      <c r="A84" s="608"/>
      <c r="B84" s="266"/>
      <c r="C84" s="1399"/>
      <c r="D84" s="1408"/>
      <c r="E84" s="1400"/>
      <c r="F84" s="267"/>
      <c r="G84" s="1399"/>
      <c r="H84" s="1408"/>
      <c r="I84" s="1400"/>
      <c r="J84" s="1380"/>
      <c r="K84" s="1380"/>
      <c r="L84" s="1380"/>
      <c r="M84" s="608"/>
      <c r="N84" s="608"/>
      <c r="O84" s="608"/>
      <c r="P84" s="608"/>
      <c r="Q84" s="266"/>
      <c r="R84" s="266"/>
      <c r="S84" s="268"/>
      <c r="T84" s="269" t="e">
        <f>VLOOKUP(Q84,[71]Listas!$D$6:$E$10,2,0)</f>
        <v>#N/A</v>
      </c>
      <c r="U84" s="269" t="e">
        <f>HLOOKUP(R84,[71]Listas!$F$4:$J$5,2,0)</f>
        <v>#N/A</v>
      </c>
      <c r="V84" s="270" t="e">
        <f>INDEX([71]Listas!$F$6:$J$10,MATCH(Q84,[71]Listas!$D$6:$D$10,0),MATCH(R84,[71]Listas!$F$4:$J$4,0))</f>
        <v>#N/A</v>
      </c>
      <c r="W84" s="268"/>
      <c r="X84" s="1399"/>
      <c r="Y84" s="1408"/>
      <c r="Z84" s="1400"/>
      <c r="AA84" s="1063"/>
      <c r="AB84" s="267"/>
      <c r="AC84" s="259"/>
      <c r="AD84" s="608"/>
      <c r="AE84" s="267"/>
      <c r="AF84" s="268"/>
      <c r="AG84" s="269">
        <f t="shared" si="8"/>
        <v>0</v>
      </c>
      <c r="AH84" s="558" t="e">
        <f t="shared" si="9"/>
        <v>#N/A</v>
      </c>
      <c r="AI84" s="270" t="e">
        <f>IF(AH84&lt;=1,"Remota",VLOOKUP(AH84,[71]Listas!$C$6:$D$10,2,0))</f>
        <v>#N/A</v>
      </c>
      <c r="AJ84" s="558" t="e">
        <f t="shared" si="10"/>
        <v>#N/A</v>
      </c>
      <c r="AK84" s="270" t="e">
        <f>IF(AJ84&lt;=1,"Insignificante",HLOOKUP(AJ84,[71]Listas!$F$3:$J$4,2,0))</f>
        <v>#N/A</v>
      </c>
      <c r="AL84" s="273" t="e">
        <f t="shared" si="11"/>
        <v>#N/A</v>
      </c>
      <c r="AM84" s="270" t="e">
        <f>INDEX([71]Listas!$F$6:$J$10,MATCH(AI84,[71]Listas!$D$6:$D$10,0),MATCH(AK84,[71]Listas!$F$4:$J$4,0))</f>
        <v>#N/A</v>
      </c>
      <c r="AN84" s="259"/>
      <c r="AO84" s="259"/>
      <c r="AP84" s="610"/>
      <c r="AQ84" s="259"/>
      <c r="AR84" s="259" t="s">
        <v>2343</v>
      </c>
      <c r="AS84" s="608"/>
      <c r="AT84" s="259"/>
      <c r="AU84" s="259"/>
      <c r="AV84" s="308"/>
      <c r="AW84" s="308"/>
      <c r="AX84" s="608"/>
      <c r="AY84" s="309"/>
      <c r="AZ84" s="310"/>
      <c r="BA84" s="310"/>
      <c r="BB84" s="310"/>
    </row>
    <row r="85" spans="1:54" s="260" customFormat="1" ht="103.5" hidden="1" customHeight="1">
      <c r="A85" s="608"/>
      <c r="B85" s="266"/>
      <c r="C85" s="1399"/>
      <c r="D85" s="1408"/>
      <c r="E85" s="1400"/>
      <c r="F85" s="267"/>
      <c r="G85" s="1399"/>
      <c r="H85" s="1408"/>
      <c r="I85" s="1400"/>
      <c r="J85" s="1380"/>
      <c r="K85" s="1380"/>
      <c r="L85" s="1380"/>
      <c r="M85" s="608"/>
      <c r="N85" s="608"/>
      <c r="O85" s="608"/>
      <c r="P85" s="608"/>
      <c r="Q85" s="266"/>
      <c r="R85" s="266"/>
      <c r="S85" s="268"/>
      <c r="T85" s="269" t="e">
        <f>VLOOKUP(Q85,[71]Listas!$D$6:$E$10,2,0)</f>
        <v>#N/A</v>
      </c>
      <c r="U85" s="269" t="e">
        <f>HLOOKUP(R85,[71]Listas!$F$4:$J$5,2,0)</f>
        <v>#N/A</v>
      </c>
      <c r="V85" s="270" t="e">
        <f>INDEX([71]Listas!$F$6:$J$10,MATCH(Q85,[71]Listas!$D$6:$D$10,0),MATCH(R85,[71]Listas!$F$4:$J$4,0))</f>
        <v>#N/A</v>
      </c>
      <c r="W85" s="268"/>
      <c r="X85" s="1399"/>
      <c r="Y85" s="1408"/>
      <c r="Z85" s="1400"/>
      <c r="AA85" s="1063"/>
      <c r="AB85" s="267"/>
      <c r="AC85" s="259"/>
      <c r="AD85" s="608"/>
      <c r="AE85" s="267"/>
      <c r="AF85" s="268"/>
      <c r="AG85" s="269">
        <f t="shared" si="8"/>
        <v>0</v>
      </c>
      <c r="AH85" s="558" t="e">
        <f t="shared" si="9"/>
        <v>#N/A</v>
      </c>
      <c r="AI85" s="270" t="e">
        <f>IF(AH85&lt;=1,"Remota",VLOOKUP(AH85,[71]Listas!$C$6:$D$10,2,0))</f>
        <v>#N/A</v>
      </c>
      <c r="AJ85" s="558" t="e">
        <f t="shared" si="10"/>
        <v>#N/A</v>
      </c>
      <c r="AK85" s="270" t="e">
        <f>IF(AJ85&lt;=1,"Insignificante",HLOOKUP(AJ85,[71]Listas!$F$3:$J$4,2,0))</f>
        <v>#N/A</v>
      </c>
      <c r="AL85" s="273" t="e">
        <f t="shared" si="11"/>
        <v>#N/A</v>
      </c>
      <c r="AM85" s="270" t="e">
        <f>INDEX([71]Listas!$F$6:$J$10,MATCH(AI85,[71]Listas!$D$6:$D$10,0),MATCH(AK85,[71]Listas!$F$4:$J$4,0))</f>
        <v>#N/A</v>
      </c>
      <c r="AN85" s="259"/>
      <c r="AO85" s="259"/>
      <c r="AP85" s="610"/>
      <c r="AQ85" s="259"/>
      <c r="AR85" s="259" t="s">
        <v>2343</v>
      </c>
      <c r="AS85" s="608"/>
      <c r="AT85" s="259"/>
      <c r="AU85" s="259"/>
      <c r="AV85" s="308"/>
      <c r="AW85" s="308"/>
      <c r="AX85" s="608"/>
      <c r="AY85" s="309"/>
      <c r="AZ85" s="310"/>
      <c r="BA85" s="310"/>
      <c r="BB85" s="310"/>
    </row>
    <row r="86" spans="1:54" s="260" customFormat="1" ht="103.5" hidden="1" customHeight="1">
      <c r="A86" s="608"/>
      <c r="B86" s="266"/>
      <c r="C86" s="1399"/>
      <c r="D86" s="1408"/>
      <c r="E86" s="1400"/>
      <c r="F86" s="267"/>
      <c r="G86" s="1399"/>
      <c r="H86" s="1408"/>
      <c r="I86" s="1400"/>
      <c r="J86" s="1380"/>
      <c r="K86" s="1380"/>
      <c r="L86" s="1380"/>
      <c r="M86" s="608"/>
      <c r="N86" s="608"/>
      <c r="O86" s="608"/>
      <c r="P86" s="608"/>
      <c r="Q86" s="266"/>
      <c r="R86" s="266"/>
      <c r="S86" s="268"/>
      <c r="T86" s="269" t="e">
        <f>VLOOKUP(Q86,[71]Listas!$D$6:$E$10,2,0)</f>
        <v>#N/A</v>
      </c>
      <c r="U86" s="269" t="e">
        <f>HLOOKUP(R86,[71]Listas!$F$4:$J$5,2,0)</f>
        <v>#N/A</v>
      </c>
      <c r="V86" s="270" t="e">
        <f>INDEX([71]Listas!$F$6:$J$10,MATCH(Q86,[71]Listas!$D$6:$D$10,0),MATCH(R86,[71]Listas!$F$4:$J$4,0))</f>
        <v>#N/A</v>
      </c>
      <c r="W86" s="268"/>
      <c r="X86" s="1399"/>
      <c r="Y86" s="1408"/>
      <c r="Z86" s="1400"/>
      <c r="AA86" s="1063"/>
      <c r="AB86" s="267"/>
      <c r="AC86" s="259"/>
      <c r="AD86" s="608"/>
      <c r="AE86" s="267"/>
      <c r="AF86" s="268"/>
      <c r="AG86" s="269">
        <f t="shared" si="8"/>
        <v>0</v>
      </c>
      <c r="AH86" s="558" t="e">
        <f t="shared" si="9"/>
        <v>#N/A</v>
      </c>
      <c r="AI86" s="270" t="e">
        <f>IF(AH86&lt;=1,"Remota",VLOOKUP(AH86,[71]Listas!$C$6:$D$10,2,0))</f>
        <v>#N/A</v>
      </c>
      <c r="AJ86" s="558" t="e">
        <f t="shared" si="10"/>
        <v>#N/A</v>
      </c>
      <c r="AK86" s="270" t="e">
        <f>IF(AJ86&lt;=1,"Insignificante",HLOOKUP(AJ86,[71]Listas!$F$3:$J$4,2,0))</f>
        <v>#N/A</v>
      </c>
      <c r="AL86" s="273" t="e">
        <f t="shared" si="11"/>
        <v>#N/A</v>
      </c>
      <c r="AM86" s="270" t="e">
        <f>INDEX([71]Listas!$F$6:$J$10,MATCH(AI86,[71]Listas!$D$6:$D$10,0),MATCH(AK86,[71]Listas!$F$4:$J$4,0))</f>
        <v>#N/A</v>
      </c>
      <c r="AN86" s="259"/>
      <c r="AO86" s="259"/>
      <c r="AP86" s="610"/>
      <c r="AQ86" s="259"/>
      <c r="AR86" s="259" t="s">
        <v>2343</v>
      </c>
      <c r="AS86" s="608"/>
      <c r="AT86" s="259"/>
      <c r="AU86" s="259"/>
      <c r="AV86" s="308"/>
      <c r="AW86" s="308"/>
      <c r="AX86" s="608"/>
      <c r="AY86" s="309"/>
      <c r="AZ86" s="310"/>
      <c r="BA86" s="310"/>
      <c r="BB86" s="310"/>
    </row>
    <row r="87" spans="1:54" s="260" customFormat="1" ht="103.5" hidden="1" customHeight="1">
      <c r="A87" s="608"/>
      <c r="B87" s="266"/>
      <c r="C87" s="1399"/>
      <c r="D87" s="1408"/>
      <c r="E87" s="1400"/>
      <c r="F87" s="267"/>
      <c r="G87" s="1399"/>
      <c r="H87" s="1408"/>
      <c r="I87" s="1400"/>
      <c r="J87" s="1380"/>
      <c r="K87" s="1380"/>
      <c r="L87" s="1380"/>
      <c r="M87" s="608"/>
      <c r="N87" s="608"/>
      <c r="O87" s="608"/>
      <c r="P87" s="608"/>
      <c r="Q87" s="266"/>
      <c r="R87" s="266"/>
      <c r="S87" s="268"/>
      <c r="T87" s="269" t="e">
        <f>VLOOKUP(Q87,[71]Listas!$D$6:$E$10,2,0)</f>
        <v>#N/A</v>
      </c>
      <c r="U87" s="269" t="e">
        <f>HLOOKUP(R87,[71]Listas!$F$4:$J$5,2,0)</f>
        <v>#N/A</v>
      </c>
      <c r="V87" s="270" t="e">
        <f>INDEX([71]Listas!$F$6:$J$10,MATCH(Q87,[71]Listas!$D$6:$D$10,0),MATCH(R87,[71]Listas!$F$4:$J$4,0))</f>
        <v>#N/A</v>
      </c>
      <c r="W87" s="268"/>
      <c r="X87" s="1399"/>
      <c r="Y87" s="1408"/>
      <c r="Z87" s="1400"/>
      <c r="AA87" s="1063"/>
      <c r="AB87" s="267"/>
      <c r="AC87" s="259"/>
      <c r="AD87" s="608"/>
      <c r="AE87" s="267"/>
      <c r="AF87" s="268"/>
      <c r="AG87" s="269">
        <f t="shared" si="8"/>
        <v>0</v>
      </c>
      <c r="AH87" s="558" t="e">
        <f t="shared" si="9"/>
        <v>#N/A</v>
      </c>
      <c r="AI87" s="270" t="e">
        <f>IF(AH87&lt;=1,"Remota",VLOOKUP(AH87,[71]Listas!$C$6:$D$10,2,0))</f>
        <v>#N/A</v>
      </c>
      <c r="AJ87" s="558" t="e">
        <f t="shared" si="10"/>
        <v>#N/A</v>
      </c>
      <c r="AK87" s="270" t="e">
        <f>IF(AJ87&lt;=1,"Insignificante",HLOOKUP(AJ87,[71]Listas!$F$3:$J$4,2,0))</f>
        <v>#N/A</v>
      </c>
      <c r="AL87" s="273" t="e">
        <f t="shared" si="11"/>
        <v>#N/A</v>
      </c>
      <c r="AM87" s="270" t="e">
        <f>INDEX([71]Listas!$F$6:$J$10,MATCH(AI87,[71]Listas!$D$6:$D$10,0),MATCH(AK87,[71]Listas!$F$4:$J$4,0))</f>
        <v>#N/A</v>
      </c>
      <c r="AN87" s="259"/>
      <c r="AO87" s="259"/>
      <c r="AP87" s="610"/>
      <c r="AQ87" s="259"/>
      <c r="AR87" s="259" t="s">
        <v>2343</v>
      </c>
      <c r="AS87" s="608"/>
      <c r="AT87" s="259"/>
      <c r="AU87" s="259"/>
      <c r="AV87" s="308"/>
      <c r="AW87" s="308"/>
      <c r="AX87" s="608"/>
      <c r="AY87" s="309"/>
      <c r="AZ87" s="310"/>
      <c r="BA87" s="310"/>
      <c r="BB87" s="310"/>
    </row>
    <row r="88" spans="1:54" s="260" customFormat="1" ht="103.5" hidden="1" customHeight="1">
      <c r="A88" s="608"/>
      <c r="B88" s="266"/>
      <c r="C88" s="1399"/>
      <c r="D88" s="1408"/>
      <c r="E88" s="1400"/>
      <c r="F88" s="267"/>
      <c r="G88" s="1399"/>
      <c r="H88" s="1408"/>
      <c r="I88" s="1400"/>
      <c r="J88" s="1380"/>
      <c r="K88" s="1380"/>
      <c r="L88" s="1380"/>
      <c r="M88" s="608"/>
      <c r="N88" s="608"/>
      <c r="O88" s="608"/>
      <c r="P88" s="608"/>
      <c r="Q88" s="266"/>
      <c r="R88" s="266"/>
      <c r="S88" s="268"/>
      <c r="T88" s="269" t="e">
        <f>VLOOKUP(Q88,[71]Listas!$D$6:$E$10,2,0)</f>
        <v>#N/A</v>
      </c>
      <c r="U88" s="269" t="e">
        <f>HLOOKUP(R88,[71]Listas!$F$4:$J$5,2,0)</f>
        <v>#N/A</v>
      </c>
      <c r="V88" s="270" t="e">
        <f>INDEX([71]Listas!$F$6:$J$10,MATCH(Q88,[71]Listas!$D$6:$D$10,0),MATCH(R88,[71]Listas!$F$4:$J$4,0))</f>
        <v>#N/A</v>
      </c>
      <c r="W88" s="268"/>
      <c r="X88" s="1399"/>
      <c r="Y88" s="1408"/>
      <c r="Z88" s="1400"/>
      <c r="AA88" s="1063"/>
      <c r="AB88" s="267"/>
      <c r="AC88" s="259"/>
      <c r="AD88" s="608"/>
      <c r="AE88" s="267"/>
      <c r="AF88" s="268"/>
      <c r="AG88" s="269">
        <f t="shared" si="8"/>
        <v>0</v>
      </c>
      <c r="AH88" s="558" t="e">
        <f t="shared" si="9"/>
        <v>#N/A</v>
      </c>
      <c r="AI88" s="270" t="e">
        <f>IF(AH88&lt;=1,"Remota",VLOOKUP(AH88,[71]Listas!$C$6:$D$10,2,0))</f>
        <v>#N/A</v>
      </c>
      <c r="AJ88" s="558" t="e">
        <f t="shared" si="10"/>
        <v>#N/A</v>
      </c>
      <c r="AK88" s="270" t="e">
        <f>IF(AJ88&lt;=1,"Insignificante",HLOOKUP(AJ88,[71]Listas!$F$3:$J$4,2,0))</f>
        <v>#N/A</v>
      </c>
      <c r="AL88" s="273" t="e">
        <f t="shared" si="11"/>
        <v>#N/A</v>
      </c>
      <c r="AM88" s="270" t="e">
        <f>INDEX([71]Listas!$F$6:$J$10,MATCH(AI88,[71]Listas!$D$6:$D$10,0),MATCH(AK88,[71]Listas!$F$4:$J$4,0))</f>
        <v>#N/A</v>
      </c>
      <c r="AN88" s="259"/>
      <c r="AO88" s="259"/>
      <c r="AP88" s="610"/>
      <c r="AQ88" s="259"/>
      <c r="AR88" s="259" t="s">
        <v>2343</v>
      </c>
      <c r="AS88" s="608"/>
      <c r="AT88" s="259"/>
      <c r="AU88" s="259"/>
      <c r="AV88" s="308"/>
      <c r="AW88" s="308"/>
      <c r="AX88" s="608"/>
      <c r="AY88" s="309"/>
      <c r="AZ88" s="310"/>
      <c r="BA88" s="310"/>
      <c r="BB88" s="310"/>
    </row>
    <row r="89" spans="1:54" s="260" customFormat="1" ht="103.5" hidden="1" customHeight="1">
      <c r="A89" s="608"/>
      <c r="B89" s="266"/>
      <c r="C89" s="1399"/>
      <c r="D89" s="1408"/>
      <c r="E89" s="1400"/>
      <c r="F89" s="267"/>
      <c r="G89" s="1399"/>
      <c r="H89" s="1408"/>
      <c r="I89" s="1400"/>
      <c r="J89" s="1380"/>
      <c r="K89" s="1380"/>
      <c r="L89" s="1380"/>
      <c r="M89" s="608"/>
      <c r="N89" s="608"/>
      <c r="O89" s="608"/>
      <c r="P89" s="608"/>
      <c r="Q89" s="266"/>
      <c r="R89" s="266"/>
      <c r="S89" s="268"/>
      <c r="T89" s="269" t="e">
        <f>VLOOKUP(Q89,[71]Listas!$D$6:$E$10,2,0)</f>
        <v>#N/A</v>
      </c>
      <c r="U89" s="269" t="e">
        <f>HLOOKUP(R89,[71]Listas!$F$4:$J$5,2,0)</f>
        <v>#N/A</v>
      </c>
      <c r="V89" s="270" t="e">
        <f>INDEX([71]Listas!$F$6:$J$10,MATCH(Q89,[71]Listas!$D$6:$D$10,0),MATCH(R89,[71]Listas!$F$4:$J$4,0))</f>
        <v>#N/A</v>
      </c>
      <c r="W89" s="268"/>
      <c r="X89" s="1399"/>
      <c r="Y89" s="1408"/>
      <c r="Z89" s="1400"/>
      <c r="AA89" s="1063"/>
      <c r="AB89" s="267"/>
      <c r="AC89" s="259"/>
      <c r="AD89" s="608"/>
      <c r="AE89" s="267"/>
      <c r="AF89" s="268"/>
      <c r="AG89" s="269">
        <f t="shared" si="8"/>
        <v>0</v>
      </c>
      <c r="AH89" s="558" t="e">
        <f t="shared" si="9"/>
        <v>#N/A</v>
      </c>
      <c r="AI89" s="270" t="e">
        <f>IF(AH89&lt;=1,"Remota",VLOOKUP(AH89,[71]Listas!$C$6:$D$10,2,0))</f>
        <v>#N/A</v>
      </c>
      <c r="AJ89" s="558" t="e">
        <f t="shared" si="10"/>
        <v>#N/A</v>
      </c>
      <c r="AK89" s="270" t="e">
        <f>IF(AJ89&lt;=1,"Insignificante",HLOOKUP(AJ89,[71]Listas!$F$3:$J$4,2,0))</f>
        <v>#N/A</v>
      </c>
      <c r="AL89" s="273" t="e">
        <f t="shared" si="11"/>
        <v>#N/A</v>
      </c>
      <c r="AM89" s="270" t="e">
        <f>INDEX([71]Listas!$F$6:$J$10,MATCH(AI89,[71]Listas!$D$6:$D$10,0),MATCH(AK89,[71]Listas!$F$4:$J$4,0))</f>
        <v>#N/A</v>
      </c>
      <c r="AN89" s="259"/>
      <c r="AO89" s="259"/>
      <c r="AP89" s="610"/>
      <c r="AQ89" s="259"/>
      <c r="AR89" s="259" t="s">
        <v>2343</v>
      </c>
      <c r="AS89" s="608"/>
      <c r="AT89" s="259"/>
      <c r="AU89" s="259"/>
      <c r="AV89" s="308"/>
      <c r="AW89" s="308"/>
      <c r="AX89" s="608"/>
      <c r="AY89" s="309"/>
      <c r="AZ89" s="310"/>
      <c r="BA89" s="310"/>
      <c r="BB89" s="310"/>
    </row>
    <row r="90" spans="1:54" s="260" customFormat="1" ht="103.5" hidden="1" customHeight="1">
      <c r="A90" s="608"/>
      <c r="B90" s="266"/>
      <c r="C90" s="1399"/>
      <c r="D90" s="1408"/>
      <c r="E90" s="1400"/>
      <c r="F90" s="267"/>
      <c r="G90" s="1399"/>
      <c r="H90" s="1408"/>
      <c r="I90" s="1400"/>
      <c r="J90" s="1380"/>
      <c r="K90" s="1380"/>
      <c r="L90" s="1380"/>
      <c r="M90" s="608"/>
      <c r="N90" s="608"/>
      <c r="O90" s="608"/>
      <c r="P90" s="608"/>
      <c r="Q90" s="266"/>
      <c r="R90" s="266"/>
      <c r="S90" s="268"/>
      <c r="T90" s="269" t="e">
        <f>VLOOKUP(Q90,[71]Listas!$D$6:$E$10,2,0)</f>
        <v>#N/A</v>
      </c>
      <c r="U90" s="269" t="e">
        <f>HLOOKUP(R90,[71]Listas!$F$4:$J$5,2,0)</f>
        <v>#N/A</v>
      </c>
      <c r="V90" s="270" t="e">
        <f>INDEX([71]Listas!$F$6:$J$10,MATCH(Q90,[71]Listas!$D$6:$D$10,0),MATCH(R90,[71]Listas!$F$4:$J$4,0))</f>
        <v>#N/A</v>
      </c>
      <c r="W90" s="268"/>
      <c r="X90" s="1399"/>
      <c r="Y90" s="1408"/>
      <c r="Z90" s="1400"/>
      <c r="AA90" s="1063"/>
      <c r="AB90" s="267"/>
      <c r="AC90" s="259"/>
      <c r="AD90" s="608"/>
      <c r="AE90" s="267"/>
      <c r="AF90" s="268"/>
      <c r="AG90" s="269">
        <f t="shared" si="8"/>
        <v>0</v>
      </c>
      <c r="AH90" s="558" t="e">
        <f t="shared" si="9"/>
        <v>#N/A</v>
      </c>
      <c r="AI90" s="270" t="e">
        <f>IF(AH90&lt;=1,"Remota",VLOOKUP(AH90,[71]Listas!$C$6:$D$10,2,0))</f>
        <v>#N/A</v>
      </c>
      <c r="AJ90" s="558" t="e">
        <f t="shared" si="10"/>
        <v>#N/A</v>
      </c>
      <c r="AK90" s="270" t="e">
        <f>IF(AJ90&lt;=1,"Insignificante",HLOOKUP(AJ90,[71]Listas!$F$3:$J$4,2,0))</f>
        <v>#N/A</v>
      </c>
      <c r="AL90" s="273" t="e">
        <f t="shared" si="11"/>
        <v>#N/A</v>
      </c>
      <c r="AM90" s="270" t="e">
        <f>INDEX([71]Listas!$F$6:$J$10,MATCH(AI90,[71]Listas!$D$6:$D$10,0),MATCH(AK90,[71]Listas!$F$4:$J$4,0))</f>
        <v>#N/A</v>
      </c>
      <c r="AN90" s="259"/>
      <c r="AO90" s="259"/>
      <c r="AP90" s="610"/>
      <c r="AQ90" s="259"/>
      <c r="AR90" s="259" t="s">
        <v>2343</v>
      </c>
      <c r="AS90" s="608"/>
      <c r="AT90" s="259"/>
      <c r="AU90" s="259"/>
      <c r="AV90" s="308"/>
      <c r="AW90" s="308"/>
      <c r="AX90" s="608"/>
      <c r="AY90" s="309"/>
      <c r="AZ90" s="310"/>
      <c r="BA90" s="310"/>
      <c r="BB90" s="310"/>
    </row>
    <row r="91" spans="1:54" s="260" customFormat="1" ht="103.5" hidden="1" customHeight="1">
      <c r="A91" s="608"/>
      <c r="B91" s="266"/>
      <c r="C91" s="1399"/>
      <c r="D91" s="1408"/>
      <c r="E91" s="1400"/>
      <c r="F91" s="267"/>
      <c r="G91" s="1399"/>
      <c r="H91" s="1408"/>
      <c r="I91" s="1400"/>
      <c r="J91" s="1380"/>
      <c r="K91" s="1380"/>
      <c r="L91" s="1380"/>
      <c r="M91" s="608"/>
      <c r="N91" s="608"/>
      <c r="O91" s="608"/>
      <c r="P91" s="608"/>
      <c r="Q91" s="266"/>
      <c r="R91" s="266"/>
      <c r="S91" s="268"/>
      <c r="T91" s="269" t="e">
        <f>VLOOKUP(Q91,[71]Listas!$D$6:$E$10,2,0)</f>
        <v>#N/A</v>
      </c>
      <c r="U91" s="269" t="e">
        <f>HLOOKUP(R91,[71]Listas!$F$4:$J$5,2,0)</f>
        <v>#N/A</v>
      </c>
      <c r="V91" s="270" t="e">
        <f>INDEX([71]Listas!$F$6:$J$10,MATCH(Q91,[71]Listas!$D$6:$D$10,0),MATCH(R91,[71]Listas!$F$4:$J$4,0))</f>
        <v>#N/A</v>
      </c>
      <c r="W91" s="268"/>
      <c r="X91" s="1399"/>
      <c r="Y91" s="1408"/>
      <c r="Z91" s="1400"/>
      <c r="AA91" s="1063"/>
      <c r="AB91" s="267"/>
      <c r="AC91" s="259"/>
      <c r="AD91" s="608"/>
      <c r="AE91" s="267"/>
      <c r="AF91" s="268"/>
      <c r="AG91" s="269">
        <f t="shared" si="8"/>
        <v>0</v>
      </c>
      <c r="AH91" s="558" t="e">
        <f t="shared" si="9"/>
        <v>#N/A</v>
      </c>
      <c r="AI91" s="270" t="e">
        <f>IF(AH91&lt;=1,"Remota",VLOOKUP(AH91,[71]Listas!$C$6:$D$10,2,0))</f>
        <v>#N/A</v>
      </c>
      <c r="AJ91" s="558" t="e">
        <f t="shared" si="10"/>
        <v>#N/A</v>
      </c>
      <c r="AK91" s="270" t="e">
        <f>IF(AJ91&lt;=1,"Insignificante",HLOOKUP(AJ91,[71]Listas!$F$3:$J$4,2,0))</f>
        <v>#N/A</v>
      </c>
      <c r="AL91" s="273" t="e">
        <f t="shared" si="11"/>
        <v>#N/A</v>
      </c>
      <c r="AM91" s="270" t="e">
        <f>INDEX([71]Listas!$F$6:$J$10,MATCH(AI91,[71]Listas!$D$6:$D$10,0),MATCH(AK91,[71]Listas!$F$4:$J$4,0))</f>
        <v>#N/A</v>
      </c>
      <c r="AN91" s="259"/>
      <c r="AO91" s="259"/>
      <c r="AP91" s="610"/>
      <c r="AQ91" s="259"/>
      <c r="AR91" s="259" t="s">
        <v>2343</v>
      </c>
      <c r="AS91" s="608"/>
      <c r="AT91" s="259"/>
      <c r="AU91" s="259"/>
      <c r="AV91" s="308"/>
      <c r="AW91" s="308"/>
      <c r="AX91" s="608"/>
      <c r="AY91" s="309"/>
      <c r="AZ91" s="310"/>
      <c r="BA91" s="310"/>
      <c r="BB91" s="310"/>
    </row>
    <row r="92" spans="1:54" s="260" customFormat="1" ht="103.5" hidden="1" customHeight="1">
      <c r="A92" s="608"/>
      <c r="B92" s="266"/>
      <c r="C92" s="1399"/>
      <c r="D92" s="1408"/>
      <c r="E92" s="1400"/>
      <c r="F92" s="267"/>
      <c r="G92" s="1399"/>
      <c r="H92" s="1408"/>
      <c r="I92" s="1400"/>
      <c r="J92" s="1380"/>
      <c r="K92" s="1380"/>
      <c r="L92" s="1380"/>
      <c r="M92" s="608"/>
      <c r="N92" s="608"/>
      <c r="O92" s="608"/>
      <c r="P92" s="608"/>
      <c r="Q92" s="266"/>
      <c r="R92" s="266"/>
      <c r="S92" s="268"/>
      <c r="T92" s="269" t="e">
        <f>VLOOKUP(Q92,[71]Listas!$D$6:$E$10,2,0)</f>
        <v>#N/A</v>
      </c>
      <c r="U92" s="269" t="e">
        <f>HLOOKUP(R92,[71]Listas!$F$4:$J$5,2,0)</f>
        <v>#N/A</v>
      </c>
      <c r="V92" s="270" t="e">
        <f>INDEX([71]Listas!$F$6:$J$10,MATCH(Q92,[71]Listas!$D$6:$D$10,0),MATCH(R92,[71]Listas!$F$4:$J$4,0))</f>
        <v>#N/A</v>
      </c>
      <c r="W92" s="268"/>
      <c r="X92" s="1399"/>
      <c r="Y92" s="1408"/>
      <c r="Z92" s="1400"/>
      <c r="AA92" s="1063"/>
      <c r="AB92" s="267"/>
      <c r="AC92" s="259"/>
      <c r="AD92" s="608"/>
      <c r="AE92" s="267"/>
      <c r="AF92" s="268"/>
      <c r="AG92" s="269">
        <f t="shared" si="8"/>
        <v>0</v>
      </c>
      <c r="AH92" s="558" t="e">
        <f t="shared" si="9"/>
        <v>#N/A</v>
      </c>
      <c r="AI92" s="270" t="e">
        <f>IF(AH92&lt;=1,"Remota",VLOOKUP(AH92,[71]Listas!$C$6:$D$10,2,0))</f>
        <v>#N/A</v>
      </c>
      <c r="AJ92" s="558" t="e">
        <f t="shared" si="10"/>
        <v>#N/A</v>
      </c>
      <c r="AK92" s="270" t="e">
        <f>IF(AJ92&lt;=1,"Insignificante",HLOOKUP(AJ92,[71]Listas!$F$3:$J$4,2,0))</f>
        <v>#N/A</v>
      </c>
      <c r="AL92" s="273" t="e">
        <f t="shared" si="11"/>
        <v>#N/A</v>
      </c>
      <c r="AM92" s="270" t="e">
        <f>INDEX([71]Listas!$F$6:$J$10,MATCH(AI92,[71]Listas!$D$6:$D$10,0),MATCH(AK92,[71]Listas!$F$4:$J$4,0))</f>
        <v>#N/A</v>
      </c>
      <c r="AN92" s="259"/>
      <c r="AO92" s="259"/>
      <c r="AP92" s="610"/>
      <c r="AQ92" s="259"/>
      <c r="AR92" s="259" t="s">
        <v>2343</v>
      </c>
      <c r="AS92" s="608"/>
      <c r="AT92" s="259"/>
      <c r="AU92" s="259"/>
      <c r="AV92" s="308"/>
      <c r="AW92" s="308"/>
      <c r="AX92" s="608"/>
      <c r="AY92" s="309"/>
      <c r="AZ92" s="310"/>
      <c r="BA92" s="310"/>
      <c r="BB92" s="310"/>
    </row>
    <row r="93" spans="1:54" s="260" customFormat="1" ht="103.5" hidden="1" customHeight="1">
      <c r="A93" s="608"/>
      <c r="B93" s="266"/>
      <c r="C93" s="1399"/>
      <c r="D93" s="1408"/>
      <c r="E93" s="1400"/>
      <c r="F93" s="267"/>
      <c r="G93" s="1399"/>
      <c r="H93" s="1408"/>
      <c r="I93" s="1400"/>
      <c r="J93" s="1380"/>
      <c r="K93" s="1380"/>
      <c r="L93" s="1380"/>
      <c r="M93" s="608"/>
      <c r="N93" s="608"/>
      <c r="O93" s="608"/>
      <c r="P93" s="608"/>
      <c r="Q93" s="266"/>
      <c r="R93" s="266"/>
      <c r="S93" s="268"/>
      <c r="T93" s="269" t="e">
        <f>VLOOKUP(Q93,[71]Listas!$D$6:$E$10,2,0)</f>
        <v>#N/A</v>
      </c>
      <c r="U93" s="269" t="e">
        <f>HLOOKUP(R93,[71]Listas!$F$4:$J$5,2,0)</f>
        <v>#N/A</v>
      </c>
      <c r="V93" s="270" t="e">
        <f>INDEX([71]Listas!$F$6:$J$10,MATCH(Q93,[71]Listas!$D$6:$D$10,0),MATCH(R93,[71]Listas!$F$4:$J$4,0))</f>
        <v>#N/A</v>
      </c>
      <c r="W93" s="268"/>
      <c r="X93" s="1399"/>
      <c r="Y93" s="1408"/>
      <c r="Z93" s="1400"/>
      <c r="AA93" s="1063"/>
      <c r="AB93" s="267"/>
      <c r="AC93" s="259"/>
      <c r="AD93" s="608"/>
      <c r="AE93" s="267"/>
      <c r="AF93" s="268"/>
      <c r="AG93" s="269">
        <f t="shared" si="8"/>
        <v>0</v>
      </c>
      <c r="AH93" s="558" t="e">
        <f t="shared" si="9"/>
        <v>#N/A</v>
      </c>
      <c r="AI93" s="270" t="e">
        <f>IF(AH93&lt;=1,"Remota",VLOOKUP(AH93,[71]Listas!$C$6:$D$10,2,0))</f>
        <v>#N/A</v>
      </c>
      <c r="AJ93" s="558" t="e">
        <f t="shared" si="10"/>
        <v>#N/A</v>
      </c>
      <c r="AK93" s="270" t="e">
        <f>IF(AJ93&lt;=1,"Insignificante",HLOOKUP(AJ93,[71]Listas!$F$3:$J$4,2,0))</f>
        <v>#N/A</v>
      </c>
      <c r="AL93" s="273" t="e">
        <f t="shared" si="11"/>
        <v>#N/A</v>
      </c>
      <c r="AM93" s="270" t="e">
        <f>INDEX([71]Listas!$F$6:$J$10,MATCH(AI93,[71]Listas!$D$6:$D$10,0),MATCH(AK93,[71]Listas!$F$4:$J$4,0))</f>
        <v>#N/A</v>
      </c>
      <c r="AN93" s="259"/>
      <c r="AO93" s="259"/>
      <c r="AP93" s="610"/>
      <c r="AQ93" s="259"/>
      <c r="AR93" s="259" t="s">
        <v>2343</v>
      </c>
      <c r="AS93" s="608"/>
      <c r="AT93" s="259"/>
      <c r="AU93" s="259"/>
      <c r="AV93" s="308"/>
      <c r="AW93" s="308"/>
      <c r="AX93" s="608"/>
      <c r="AY93" s="309"/>
      <c r="AZ93" s="310"/>
      <c r="BA93" s="310"/>
      <c r="BB93" s="310"/>
    </row>
    <row r="94" spans="1:54" s="260" customFormat="1" ht="103.5" hidden="1" customHeight="1">
      <c r="A94" s="620"/>
      <c r="B94" s="274"/>
      <c r="C94" s="1399"/>
      <c r="D94" s="1408"/>
      <c r="E94" s="1400"/>
      <c r="F94" s="267"/>
      <c r="G94" s="1399"/>
      <c r="H94" s="1408"/>
      <c r="I94" s="1400"/>
      <c r="J94" s="1380"/>
      <c r="K94" s="1380"/>
      <c r="L94" s="1380"/>
      <c r="M94" s="608"/>
      <c r="N94" s="608"/>
      <c r="O94" s="608"/>
      <c r="P94" s="608"/>
      <c r="Q94" s="266"/>
      <c r="R94" s="266"/>
      <c r="S94" s="268"/>
      <c r="T94" s="269" t="e">
        <f>VLOOKUP(Q94,[71]Listas!$D$6:$E$10,2,0)</f>
        <v>#N/A</v>
      </c>
      <c r="U94" s="269" t="e">
        <f>HLOOKUP(R94,[71]Listas!$F$4:$J$5,2,0)</f>
        <v>#N/A</v>
      </c>
      <c r="V94" s="270" t="e">
        <f>INDEX([71]Listas!$F$6:$J$10,MATCH(Q94,[71]Listas!$D$6:$D$10,0),MATCH(R94,[71]Listas!$F$4:$J$4,0))</f>
        <v>#N/A</v>
      </c>
      <c r="W94" s="268"/>
      <c r="X94" s="1399"/>
      <c r="Y94" s="1408"/>
      <c r="Z94" s="1400"/>
      <c r="AA94" s="1063"/>
      <c r="AB94" s="267"/>
      <c r="AC94" s="259"/>
      <c r="AD94" s="608"/>
      <c r="AE94" s="267"/>
      <c r="AF94" s="268"/>
      <c r="AG94" s="269">
        <f t="shared" si="8"/>
        <v>0</v>
      </c>
      <c r="AH94" s="558" t="e">
        <f t="shared" si="9"/>
        <v>#N/A</v>
      </c>
      <c r="AI94" s="270" t="e">
        <f>IF(AH94&lt;=1,"Remota",VLOOKUP(AH94,[71]Listas!$C$6:$D$10,2,0))</f>
        <v>#N/A</v>
      </c>
      <c r="AJ94" s="558" t="e">
        <f t="shared" si="10"/>
        <v>#N/A</v>
      </c>
      <c r="AK94" s="270" t="e">
        <f>IF(AJ94&lt;=1,"Insignificante",HLOOKUP(AJ94,[71]Listas!$F$3:$J$4,2,0))</f>
        <v>#N/A</v>
      </c>
      <c r="AL94" s="273" t="e">
        <f t="shared" si="11"/>
        <v>#N/A</v>
      </c>
      <c r="AM94" s="270" t="e">
        <f>INDEX([71]Listas!$F$6:$J$10,MATCH(AI94,[71]Listas!$D$6:$D$10,0),MATCH(AK94,[71]Listas!$F$4:$J$4,0))</f>
        <v>#N/A</v>
      </c>
      <c r="AN94" s="259"/>
      <c r="AO94" s="259"/>
      <c r="AP94" s="610"/>
      <c r="AQ94" s="259"/>
      <c r="AR94" s="259" t="s">
        <v>2343</v>
      </c>
      <c r="AS94" s="608"/>
      <c r="AT94" s="259"/>
      <c r="AU94" s="259"/>
      <c r="AV94" s="308"/>
      <c r="AW94" s="308"/>
      <c r="AX94" s="608"/>
      <c r="AY94" s="309"/>
      <c r="AZ94" s="310"/>
      <c r="BA94" s="310"/>
      <c r="BB94" s="310"/>
    </row>
    <row r="95" spans="1:54" s="260" customFormat="1" ht="103.5" hidden="1" customHeight="1">
      <c r="A95" s="608"/>
      <c r="B95" s="266"/>
      <c r="C95" s="1399"/>
      <c r="D95" s="1408"/>
      <c r="E95" s="1400"/>
      <c r="F95" s="267"/>
      <c r="G95" s="1399"/>
      <c r="H95" s="1408"/>
      <c r="I95" s="1400"/>
      <c r="J95" s="1380"/>
      <c r="K95" s="1380"/>
      <c r="L95" s="1380"/>
      <c r="M95" s="608"/>
      <c r="N95" s="608"/>
      <c r="O95" s="608"/>
      <c r="P95" s="608"/>
      <c r="Q95" s="266"/>
      <c r="R95" s="266"/>
      <c r="S95" s="268"/>
      <c r="T95" s="269" t="e">
        <f>VLOOKUP(Q95,[71]Listas!$D$6:$E$10,2,0)</f>
        <v>#N/A</v>
      </c>
      <c r="U95" s="269" t="e">
        <f>HLOOKUP(R95,[71]Listas!$F$4:$J$5,2,0)</f>
        <v>#N/A</v>
      </c>
      <c r="V95" s="270" t="e">
        <f>INDEX([71]Listas!$F$6:$J$10,MATCH(Q95,[71]Listas!$D$6:$D$10,0),MATCH(R95,[71]Listas!$F$4:$J$4,0))</f>
        <v>#N/A</v>
      </c>
      <c r="W95" s="268"/>
      <c r="X95" s="1399"/>
      <c r="Y95" s="1408"/>
      <c r="Z95" s="1400"/>
      <c r="AA95" s="1063"/>
      <c r="AB95" s="267"/>
      <c r="AC95" s="259"/>
      <c r="AD95" s="608"/>
      <c r="AE95" s="267"/>
      <c r="AF95" s="268"/>
      <c r="AG95" s="269">
        <f t="shared" si="8"/>
        <v>0</v>
      </c>
      <c r="AH95" s="558" t="e">
        <f t="shared" si="9"/>
        <v>#N/A</v>
      </c>
      <c r="AI95" s="270" t="e">
        <f>IF(AH95&lt;=1,"Remota",VLOOKUP(AH95,[71]Listas!$C$6:$D$10,2,0))</f>
        <v>#N/A</v>
      </c>
      <c r="AJ95" s="558" t="e">
        <f t="shared" si="10"/>
        <v>#N/A</v>
      </c>
      <c r="AK95" s="270" t="e">
        <f>IF(AJ95&lt;=1,"Insignificante",HLOOKUP(AJ95,[71]Listas!$F$3:$J$4,2,0))</f>
        <v>#N/A</v>
      </c>
      <c r="AL95" s="273" t="e">
        <f t="shared" si="11"/>
        <v>#N/A</v>
      </c>
      <c r="AM95" s="270" t="e">
        <f>INDEX([71]Listas!$F$6:$J$10,MATCH(AI95,[71]Listas!$D$6:$D$10,0),MATCH(AK95,[71]Listas!$F$4:$J$4,0))</f>
        <v>#N/A</v>
      </c>
      <c r="AN95" s="259"/>
      <c r="AO95" s="259"/>
      <c r="AP95" s="610"/>
      <c r="AQ95" s="259"/>
      <c r="AR95" s="259" t="s">
        <v>2343</v>
      </c>
      <c r="AS95" s="608"/>
      <c r="AT95" s="259"/>
      <c r="AU95" s="259"/>
      <c r="AV95" s="308"/>
      <c r="AW95" s="308"/>
      <c r="AX95" s="608"/>
      <c r="AY95" s="309"/>
      <c r="AZ95" s="310"/>
      <c r="BA95" s="310"/>
      <c r="BB95" s="310"/>
    </row>
    <row r="96" spans="1:54" s="260" customFormat="1" ht="103.5" hidden="1" customHeight="1">
      <c r="A96" s="608"/>
      <c r="B96" s="266"/>
      <c r="C96" s="1399"/>
      <c r="D96" s="1408"/>
      <c r="E96" s="1400"/>
      <c r="F96" s="267"/>
      <c r="G96" s="1399"/>
      <c r="H96" s="1408"/>
      <c r="I96" s="1400"/>
      <c r="J96" s="1380"/>
      <c r="K96" s="1380"/>
      <c r="L96" s="1380"/>
      <c r="M96" s="608"/>
      <c r="N96" s="608"/>
      <c r="O96" s="608"/>
      <c r="P96" s="608"/>
      <c r="Q96" s="266"/>
      <c r="R96" s="266"/>
      <c r="S96" s="268"/>
      <c r="T96" s="269" t="e">
        <f>VLOOKUP(Q96,[71]Listas!$D$6:$E$10,2,0)</f>
        <v>#N/A</v>
      </c>
      <c r="U96" s="269" t="e">
        <f>HLOOKUP(R96,[71]Listas!$F$4:$J$5,2,0)</f>
        <v>#N/A</v>
      </c>
      <c r="V96" s="270" t="e">
        <f>INDEX([71]Listas!$F$6:$J$10,MATCH(Q96,[71]Listas!$D$6:$D$10,0),MATCH(R96,[71]Listas!$F$4:$J$4,0))</f>
        <v>#N/A</v>
      </c>
      <c r="W96" s="268"/>
      <c r="X96" s="1399"/>
      <c r="Y96" s="1408"/>
      <c r="Z96" s="1400"/>
      <c r="AA96" s="1063"/>
      <c r="AB96" s="267"/>
      <c r="AC96" s="259"/>
      <c r="AD96" s="608"/>
      <c r="AE96" s="267"/>
      <c r="AF96" s="268"/>
      <c r="AG96" s="269">
        <f t="shared" si="8"/>
        <v>0</v>
      </c>
      <c r="AH96" s="558" t="e">
        <f t="shared" si="9"/>
        <v>#N/A</v>
      </c>
      <c r="AI96" s="270" t="e">
        <f>IF(AH96&lt;=1,"Remota",VLOOKUP(AH96,[71]Listas!$C$6:$D$10,2,0))</f>
        <v>#N/A</v>
      </c>
      <c r="AJ96" s="558" t="e">
        <f t="shared" si="10"/>
        <v>#N/A</v>
      </c>
      <c r="AK96" s="270" t="e">
        <f>IF(AJ96&lt;=1,"Insignificante",HLOOKUP(AJ96,[71]Listas!$F$3:$J$4,2,0))</f>
        <v>#N/A</v>
      </c>
      <c r="AL96" s="273" t="e">
        <f t="shared" si="11"/>
        <v>#N/A</v>
      </c>
      <c r="AM96" s="270" t="e">
        <f>INDEX([71]Listas!$F$6:$J$10,MATCH(AI96,[71]Listas!$D$6:$D$10,0),MATCH(AK96,[71]Listas!$F$4:$J$4,0))</f>
        <v>#N/A</v>
      </c>
      <c r="AN96" s="259"/>
      <c r="AO96" s="259"/>
      <c r="AP96" s="610"/>
      <c r="AQ96" s="259"/>
      <c r="AR96" s="259" t="s">
        <v>2343</v>
      </c>
      <c r="AS96" s="608"/>
      <c r="AT96" s="259"/>
      <c r="AU96" s="259"/>
      <c r="AV96" s="308"/>
      <c r="AW96" s="308"/>
      <c r="AX96" s="608"/>
      <c r="AY96" s="309"/>
      <c r="AZ96" s="310"/>
      <c r="BA96" s="310"/>
      <c r="BB96" s="310"/>
    </row>
    <row r="97" spans="1:54" s="260" customFormat="1" ht="103.5" hidden="1" customHeight="1">
      <c r="A97" s="608"/>
      <c r="B97" s="266"/>
      <c r="C97" s="1399"/>
      <c r="D97" s="1408"/>
      <c r="E97" s="1400"/>
      <c r="F97" s="267"/>
      <c r="G97" s="1399"/>
      <c r="H97" s="1408"/>
      <c r="I97" s="1400"/>
      <c r="J97" s="1380"/>
      <c r="K97" s="1380"/>
      <c r="L97" s="1380"/>
      <c r="M97" s="608"/>
      <c r="N97" s="608"/>
      <c r="O97" s="608"/>
      <c r="P97" s="608"/>
      <c r="Q97" s="266"/>
      <c r="R97" s="266"/>
      <c r="S97" s="268"/>
      <c r="T97" s="269" t="e">
        <f>VLOOKUP(Q97,[71]Listas!$D$6:$E$10,2,0)</f>
        <v>#N/A</v>
      </c>
      <c r="U97" s="269" t="e">
        <f>HLOOKUP(R97,[71]Listas!$F$4:$J$5,2,0)</f>
        <v>#N/A</v>
      </c>
      <c r="V97" s="270" t="e">
        <f>INDEX([71]Listas!$F$6:$J$10,MATCH(Q97,[71]Listas!$D$6:$D$10,0),MATCH(R97,[71]Listas!$F$4:$J$4,0))</f>
        <v>#N/A</v>
      </c>
      <c r="W97" s="268"/>
      <c r="X97" s="1399"/>
      <c r="Y97" s="1408"/>
      <c r="Z97" s="1400"/>
      <c r="AA97" s="1063"/>
      <c r="AB97" s="267"/>
      <c r="AC97" s="259"/>
      <c r="AD97" s="608"/>
      <c r="AE97" s="267"/>
      <c r="AF97" s="268"/>
      <c r="AG97" s="269">
        <f t="shared" si="8"/>
        <v>0</v>
      </c>
      <c r="AH97" s="558" t="e">
        <f t="shared" si="9"/>
        <v>#N/A</v>
      </c>
      <c r="AI97" s="270" t="e">
        <f>IF(AH97&lt;=1,"Remota",VLOOKUP(AH97,[71]Listas!$C$6:$D$10,2,0))</f>
        <v>#N/A</v>
      </c>
      <c r="AJ97" s="558" t="e">
        <f t="shared" si="10"/>
        <v>#N/A</v>
      </c>
      <c r="AK97" s="270" t="e">
        <f>IF(AJ97&lt;=1,"Insignificante",HLOOKUP(AJ97,[71]Listas!$F$3:$J$4,2,0))</f>
        <v>#N/A</v>
      </c>
      <c r="AL97" s="273" t="e">
        <f t="shared" si="11"/>
        <v>#N/A</v>
      </c>
      <c r="AM97" s="270" t="e">
        <f>INDEX([71]Listas!$F$6:$J$10,MATCH(AI97,[71]Listas!$D$6:$D$10,0),MATCH(AK97,[71]Listas!$F$4:$J$4,0))</f>
        <v>#N/A</v>
      </c>
      <c r="AN97" s="259"/>
      <c r="AO97" s="259"/>
      <c r="AP97" s="610"/>
      <c r="AQ97" s="259"/>
      <c r="AR97" s="259" t="s">
        <v>2343</v>
      </c>
      <c r="AS97" s="608"/>
      <c r="AT97" s="259"/>
      <c r="AU97" s="259"/>
      <c r="AV97" s="308"/>
      <c r="AW97" s="308"/>
      <c r="AX97" s="608"/>
      <c r="AY97" s="309"/>
      <c r="AZ97" s="310"/>
      <c r="BA97" s="310"/>
      <c r="BB97" s="310"/>
    </row>
    <row r="98" spans="1:54" s="260" customFormat="1" ht="103.5" hidden="1" customHeight="1">
      <c r="A98" s="608"/>
      <c r="B98" s="266"/>
      <c r="C98" s="1399"/>
      <c r="D98" s="1408"/>
      <c r="E98" s="1400"/>
      <c r="F98" s="267"/>
      <c r="G98" s="1399"/>
      <c r="H98" s="1408"/>
      <c r="I98" s="1400"/>
      <c r="J98" s="1380"/>
      <c r="K98" s="1380"/>
      <c r="L98" s="1380"/>
      <c r="M98" s="608"/>
      <c r="N98" s="608"/>
      <c r="O98" s="608"/>
      <c r="P98" s="608"/>
      <c r="Q98" s="266"/>
      <c r="R98" s="266"/>
      <c r="S98" s="268"/>
      <c r="T98" s="269" t="e">
        <f>VLOOKUP(Q98,[71]Listas!$D$6:$E$10,2,0)</f>
        <v>#N/A</v>
      </c>
      <c r="U98" s="269" t="e">
        <f>HLOOKUP(R98,[71]Listas!$F$4:$J$5,2,0)</f>
        <v>#N/A</v>
      </c>
      <c r="V98" s="270" t="e">
        <f>INDEX([71]Listas!$F$6:$J$10,MATCH(Q98,[71]Listas!$D$6:$D$10,0),MATCH(R98,[71]Listas!$F$4:$J$4,0))</f>
        <v>#N/A</v>
      </c>
      <c r="W98" s="268"/>
      <c r="X98" s="1399"/>
      <c r="Y98" s="1408"/>
      <c r="Z98" s="1400"/>
      <c r="AA98" s="1063"/>
      <c r="AB98" s="267"/>
      <c r="AC98" s="259"/>
      <c r="AD98" s="608"/>
      <c r="AE98" s="267"/>
      <c r="AF98" s="268"/>
      <c r="AG98" s="269">
        <f t="shared" si="8"/>
        <v>0</v>
      </c>
      <c r="AH98" s="558" t="e">
        <f t="shared" si="9"/>
        <v>#N/A</v>
      </c>
      <c r="AI98" s="270" t="e">
        <f>IF(AH98&lt;=1,"Remota",VLOOKUP(AH98,[71]Listas!$C$6:$D$10,2,0))</f>
        <v>#N/A</v>
      </c>
      <c r="AJ98" s="558" t="e">
        <f t="shared" si="10"/>
        <v>#N/A</v>
      </c>
      <c r="AK98" s="270" t="e">
        <f>IF(AJ98&lt;=1,"Insignificante",HLOOKUP(AJ98,[71]Listas!$F$3:$J$4,2,0))</f>
        <v>#N/A</v>
      </c>
      <c r="AL98" s="273" t="e">
        <f t="shared" si="11"/>
        <v>#N/A</v>
      </c>
      <c r="AM98" s="270" t="e">
        <f>INDEX([71]Listas!$F$6:$J$10,MATCH(AI98,[71]Listas!$D$6:$D$10,0),MATCH(AK98,[71]Listas!$F$4:$J$4,0))</f>
        <v>#N/A</v>
      </c>
      <c r="AN98" s="259"/>
      <c r="AO98" s="259"/>
      <c r="AP98" s="610"/>
      <c r="AQ98" s="259"/>
      <c r="AR98" s="259" t="s">
        <v>2343</v>
      </c>
      <c r="AS98" s="608"/>
      <c r="AT98" s="259"/>
      <c r="AU98" s="259"/>
      <c r="AV98" s="308"/>
      <c r="AW98" s="308"/>
      <c r="AX98" s="608"/>
      <c r="AY98" s="309"/>
      <c r="AZ98" s="310"/>
      <c r="BA98" s="310"/>
      <c r="BB98" s="310"/>
    </row>
    <row r="99" spans="1:54" s="260" customFormat="1" ht="103.5" hidden="1" customHeight="1">
      <c r="A99" s="608"/>
      <c r="B99" s="266"/>
      <c r="C99" s="1399"/>
      <c r="D99" s="1408"/>
      <c r="E99" s="1400"/>
      <c r="F99" s="267"/>
      <c r="G99" s="1399"/>
      <c r="H99" s="1408"/>
      <c r="I99" s="1400"/>
      <c r="J99" s="1380"/>
      <c r="K99" s="1380"/>
      <c r="L99" s="1380"/>
      <c r="M99" s="608"/>
      <c r="N99" s="608"/>
      <c r="O99" s="608"/>
      <c r="P99" s="608"/>
      <c r="Q99" s="266"/>
      <c r="R99" s="266"/>
      <c r="S99" s="268"/>
      <c r="T99" s="269" t="e">
        <f>VLOOKUP(Q99,[71]Listas!$D$6:$E$10,2,0)</f>
        <v>#N/A</v>
      </c>
      <c r="U99" s="269" t="e">
        <f>HLOOKUP(R99,[71]Listas!$F$4:$J$5,2,0)</f>
        <v>#N/A</v>
      </c>
      <c r="V99" s="270" t="e">
        <f>INDEX([71]Listas!$F$6:$J$10,MATCH(Q99,[71]Listas!$D$6:$D$10,0),MATCH(R99,[71]Listas!$F$4:$J$4,0))</f>
        <v>#N/A</v>
      </c>
      <c r="W99" s="268"/>
      <c r="X99" s="1399"/>
      <c r="Y99" s="1408"/>
      <c r="Z99" s="1400"/>
      <c r="AA99" s="1063"/>
      <c r="AB99" s="267"/>
      <c r="AC99" s="259"/>
      <c r="AD99" s="608"/>
      <c r="AE99" s="267"/>
      <c r="AF99" s="268"/>
      <c r="AG99" s="269">
        <f t="shared" si="8"/>
        <v>0</v>
      </c>
      <c r="AH99" s="558" t="e">
        <f t="shared" si="9"/>
        <v>#N/A</v>
      </c>
      <c r="AI99" s="270" t="e">
        <f>IF(AH99&lt;=1,"Remota",VLOOKUP(AH99,[71]Listas!$C$6:$D$10,2,0))</f>
        <v>#N/A</v>
      </c>
      <c r="AJ99" s="558" t="e">
        <f t="shared" si="10"/>
        <v>#N/A</v>
      </c>
      <c r="AK99" s="270" t="e">
        <f>IF(AJ99&lt;=1,"Insignificante",HLOOKUP(AJ99,[71]Listas!$F$3:$J$4,2,0))</f>
        <v>#N/A</v>
      </c>
      <c r="AL99" s="273" t="e">
        <f t="shared" si="11"/>
        <v>#N/A</v>
      </c>
      <c r="AM99" s="270" t="e">
        <f>INDEX([71]Listas!$F$6:$J$10,MATCH(AI99,[71]Listas!$D$6:$D$10,0),MATCH(AK99,[71]Listas!$F$4:$J$4,0))</f>
        <v>#N/A</v>
      </c>
      <c r="AN99" s="259"/>
      <c r="AO99" s="259"/>
      <c r="AP99" s="610"/>
      <c r="AQ99" s="259"/>
      <c r="AR99" s="259" t="s">
        <v>2343</v>
      </c>
      <c r="AS99" s="608"/>
      <c r="AT99" s="259"/>
      <c r="AU99" s="259"/>
      <c r="AV99" s="308"/>
      <c r="AW99" s="308"/>
      <c r="AX99" s="608"/>
      <c r="AY99" s="309"/>
      <c r="AZ99" s="310"/>
      <c r="BA99" s="310"/>
      <c r="BB99" s="310"/>
    </row>
    <row r="100" spans="1:54" s="260" customFormat="1" ht="103.5" hidden="1" customHeight="1">
      <c r="A100" s="608"/>
      <c r="B100" s="266"/>
      <c r="C100" s="1399"/>
      <c r="D100" s="1408"/>
      <c r="E100" s="1400"/>
      <c r="F100" s="267"/>
      <c r="G100" s="1399"/>
      <c r="H100" s="1408"/>
      <c r="I100" s="1400"/>
      <c r="J100" s="1380"/>
      <c r="K100" s="1380"/>
      <c r="L100" s="1380"/>
      <c r="M100" s="608"/>
      <c r="N100" s="608"/>
      <c r="O100" s="608"/>
      <c r="P100" s="608"/>
      <c r="Q100" s="266"/>
      <c r="R100" s="266"/>
      <c r="S100" s="268"/>
      <c r="T100" s="269" t="e">
        <f>VLOOKUP(Q100,[71]Listas!$D$6:$E$10,2,0)</f>
        <v>#N/A</v>
      </c>
      <c r="U100" s="269" t="e">
        <f>HLOOKUP(R100,[71]Listas!$F$4:$J$5,2,0)</f>
        <v>#N/A</v>
      </c>
      <c r="V100" s="270" t="e">
        <f>INDEX([71]Listas!$F$6:$J$10,MATCH(Q100,[71]Listas!$D$6:$D$10,0),MATCH(R100,[71]Listas!$F$4:$J$4,0))</f>
        <v>#N/A</v>
      </c>
      <c r="W100" s="268"/>
      <c r="X100" s="1399"/>
      <c r="Y100" s="1408"/>
      <c r="Z100" s="1400"/>
      <c r="AA100" s="1063"/>
      <c r="AB100" s="267"/>
      <c r="AC100" s="259"/>
      <c r="AD100" s="608"/>
      <c r="AE100" s="267"/>
      <c r="AF100" s="268"/>
      <c r="AG100" s="269">
        <f t="shared" si="8"/>
        <v>0</v>
      </c>
      <c r="AH100" s="558" t="e">
        <f t="shared" si="9"/>
        <v>#N/A</v>
      </c>
      <c r="AI100" s="270" t="e">
        <f>IF(AH100&lt;=1,"Remota",VLOOKUP(AH100,[71]Listas!$C$6:$D$10,2,0))</f>
        <v>#N/A</v>
      </c>
      <c r="AJ100" s="558" t="e">
        <f t="shared" si="10"/>
        <v>#N/A</v>
      </c>
      <c r="AK100" s="270" t="e">
        <f>IF(AJ100&lt;=1,"Insignificante",HLOOKUP(AJ100,[71]Listas!$F$3:$J$4,2,0))</f>
        <v>#N/A</v>
      </c>
      <c r="AL100" s="273" t="e">
        <f t="shared" si="11"/>
        <v>#N/A</v>
      </c>
      <c r="AM100" s="270" t="e">
        <f>INDEX([71]Listas!$F$6:$J$10,MATCH(AI100,[71]Listas!$D$6:$D$10,0),MATCH(AK100,[71]Listas!$F$4:$J$4,0))</f>
        <v>#N/A</v>
      </c>
      <c r="AN100" s="259"/>
      <c r="AO100" s="259"/>
      <c r="AP100" s="610"/>
      <c r="AQ100" s="259"/>
      <c r="AR100" s="259" t="s">
        <v>2343</v>
      </c>
      <c r="AS100" s="608"/>
      <c r="AT100" s="259"/>
      <c r="AU100" s="259"/>
      <c r="AV100" s="308"/>
      <c r="AW100" s="308"/>
      <c r="AX100" s="608"/>
      <c r="AY100" s="309"/>
      <c r="AZ100" s="310"/>
      <c r="BA100" s="310"/>
      <c r="BB100" s="310"/>
    </row>
    <row r="101" spans="1:54" s="260" customFormat="1" ht="103.5" hidden="1" customHeight="1">
      <c r="A101" s="608"/>
      <c r="B101" s="266"/>
      <c r="C101" s="1399"/>
      <c r="D101" s="1408"/>
      <c r="E101" s="1400"/>
      <c r="F101" s="267"/>
      <c r="G101" s="1399"/>
      <c r="H101" s="1408"/>
      <c r="I101" s="1400"/>
      <c r="J101" s="1380"/>
      <c r="K101" s="1380"/>
      <c r="L101" s="1380"/>
      <c r="M101" s="608"/>
      <c r="N101" s="608"/>
      <c r="O101" s="608"/>
      <c r="P101" s="608"/>
      <c r="Q101" s="266"/>
      <c r="R101" s="266"/>
      <c r="S101" s="268"/>
      <c r="T101" s="269" t="e">
        <f>VLOOKUP(Q101,[71]Listas!$D$6:$E$10,2,0)</f>
        <v>#N/A</v>
      </c>
      <c r="U101" s="269" t="e">
        <f>HLOOKUP(R101,[71]Listas!$F$4:$J$5,2,0)</f>
        <v>#N/A</v>
      </c>
      <c r="V101" s="270" t="e">
        <f>INDEX([71]Listas!$F$6:$J$10,MATCH(Q101,[71]Listas!$D$6:$D$10,0),MATCH(R101,[71]Listas!$F$4:$J$4,0))</f>
        <v>#N/A</v>
      </c>
      <c r="W101" s="268"/>
      <c r="X101" s="1399"/>
      <c r="Y101" s="1408"/>
      <c r="Z101" s="1400"/>
      <c r="AA101" s="1063"/>
      <c r="AB101" s="267"/>
      <c r="AC101" s="259"/>
      <c r="AD101" s="608"/>
      <c r="AE101" s="267"/>
      <c r="AF101" s="268"/>
      <c r="AG101" s="269">
        <f t="shared" si="8"/>
        <v>0</v>
      </c>
      <c r="AH101" s="558" t="e">
        <f t="shared" si="9"/>
        <v>#N/A</v>
      </c>
      <c r="AI101" s="270" t="e">
        <f>IF(AH101&lt;=1,"Remota",VLOOKUP(AH101,[71]Listas!$C$6:$D$10,2,0))</f>
        <v>#N/A</v>
      </c>
      <c r="AJ101" s="558" t="e">
        <f t="shared" si="10"/>
        <v>#N/A</v>
      </c>
      <c r="AK101" s="270" t="e">
        <f>IF(AJ101&lt;=1,"Insignificante",HLOOKUP(AJ101,[71]Listas!$F$3:$J$4,2,0))</f>
        <v>#N/A</v>
      </c>
      <c r="AL101" s="273" t="e">
        <f t="shared" si="11"/>
        <v>#N/A</v>
      </c>
      <c r="AM101" s="270" t="e">
        <f>INDEX([71]Listas!$F$6:$J$10,MATCH(AI101,[71]Listas!$D$6:$D$10,0),MATCH(AK101,[71]Listas!$F$4:$J$4,0))</f>
        <v>#N/A</v>
      </c>
      <c r="AN101" s="259"/>
      <c r="AO101" s="259"/>
      <c r="AP101" s="610"/>
      <c r="AQ101" s="259"/>
      <c r="AR101" s="259" t="s">
        <v>2343</v>
      </c>
      <c r="AS101" s="608"/>
      <c r="AT101" s="259"/>
      <c r="AU101" s="259"/>
      <c r="AV101" s="308"/>
      <c r="AW101" s="308"/>
      <c r="AX101" s="608"/>
      <c r="AY101" s="309"/>
      <c r="AZ101" s="310"/>
      <c r="BA101" s="310"/>
      <c r="BB101" s="310"/>
    </row>
    <row r="102" spans="1:54" s="260" customFormat="1" ht="103.5" hidden="1" customHeight="1">
      <c r="A102" s="608"/>
      <c r="B102" s="266"/>
      <c r="C102" s="1399"/>
      <c r="D102" s="1408"/>
      <c r="E102" s="1400"/>
      <c r="F102" s="267"/>
      <c r="G102" s="1399"/>
      <c r="H102" s="1408"/>
      <c r="I102" s="1400"/>
      <c r="J102" s="1380"/>
      <c r="K102" s="1380"/>
      <c r="L102" s="1380"/>
      <c r="M102" s="608"/>
      <c r="N102" s="608"/>
      <c r="O102" s="608"/>
      <c r="P102" s="608"/>
      <c r="Q102" s="266"/>
      <c r="R102" s="266"/>
      <c r="S102" s="268"/>
      <c r="T102" s="269" t="e">
        <f>VLOOKUP(Q102,[71]Listas!$D$6:$E$10,2,0)</f>
        <v>#N/A</v>
      </c>
      <c r="U102" s="269" t="e">
        <f>HLOOKUP(R102,[71]Listas!$F$4:$J$5,2,0)</f>
        <v>#N/A</v>
      </c>
      <c r="V102" s="270" t="e">
        <f>INDEX([71]Listas!$F$6:$J$10,MATCH(Q102,[71]Listas!$D$6:$D$10,0),MATCH(R102,[71]Listas!$F$4:$J$4,0))</f>
        <v>#N/A</v>
      </c>
      <c r="W102" s="268"/>
      <c r="X102" s="1399"/>
      <c r="Y102" s="1408"/>
      <c r="Z102" s="1400"/>
      <c r="AA102" s="1063"/>
      <c r="AB102" s="267"/>
      <c r="AC102" s="259"/>
      <c r="AD102" s="608"/>
      <c r="AE102" s="267"/>
      <c r="AF102" s="268"/>
      <c r="AG102" s="269">
        <f t="shared" si="8"/>
        <v>0</v>
      </c>
      <c r="AH102" s="558" t="e">
        <f t="shared" si="9"/>
        <v>#N/A</v>
      </c>
      <c r="AI102" s="270" t="e">
        <f>IF(AH102&lt;=1,"Remota",VLOOKUP(AH102,[71]Listas!$C$6:$D$10,2,0))</f>
        <v>#N/A</v>
      </c>
      <c r="AJ102" s="558" t="e">
        <f t="shared" si="10"/>
        <v>#N/A</v>
      </c>
      <c r="AK102" s="270" t="e">
        <f>IF(AJ102&lt;=1,"Insignificante",HLOOKUP(AJ102,[71]Listas!$F$3:$J$4,2,0))</f>
        <v>#N/A</v>
      </c>
      <c r="AL102" s="273" t="e">
        <f t="shared" si="11"/>
        <v>#N/A</v>
      </c>
      <c r="AM102" s="270" t="e">
        <f>INDEX([71]Listas!$F$6:$J$10,MATCH(AI102,[71]Listas!$D$6:$D$10,0),MATCH(AK102,[71]Listas!$F$4:$J$4,0))</f>
        <v>#N/A</v>
      </c>
      <c r="AN102" s="259"/>
      <c r="AO102" s="259"/>
      <c r="AP102" s="610"/>
      <c r="AQ102" s="259"/>
      <c r="AR102" s="259" t="s">
        <v>2343</v>
      </c>
      <c r="AS102" s="608"/>
      <c r="AT102" s="259"/>
      <c r="AU102" s="259"/>
      <c r="AV102" s="308"/>
      <c r="AW102" s="308"/>
      <c r="AX102" s="608"/>
      <c r="AY102" s="309"/>
      <c r="AZ102" s="310"/>
      <c r="BA102" s="310"/>
      <c r="BB102" s="310"/>
    </row>
    <row r="103" spans="1:54" s="260" customFormat="1" ht="103.5" hidden="1" customHeight="1">
      <c r="A103" s="608"/>
      <c r="B103" s="266"/>
      <c r="C103" s="1399"/>
      <c r="D103" s="1408"/>
      <c r="E103" s="1400"/>
      <c r="F103" s="267"/>
      <c r="G103" s="1399"/>
      <c r="H103" s="1408"/>
      <c r="I103" s="1400"/>
      <c r="J103" s="1380"/>
      <c r="K103" s="1380"/>
      <c r="L103" s="1380"/>
      <c r="M103" s="608"/>
      <c r="N103" s="608"/>
      <c r="O103" s="608"/>
      <c r="P103" s="608"/>
      <c r="Q103" s="266"/>
      <c r="R103" s="266"/>
      <c r="S103" s="268"/>
      <c r="T103" s="269" t="e">
        <f>VLOOKUP(Q103,[71]Listas!$D$6:$E$10,2,0)</f>
        <v>#N/A</v>
      </c>
      <c r="U103" s="269" t="e">
        <f>HLOOKUP(R103,[71]Listas!$F$4:$J$5,2,0)</f>
        <v>#N/A</v>
      </c>
      <c r="V103" s="270" t="e">
        <f>INDEX([71]Listas!$F$6:$J$10,MATCH(Q103,[71]Listas!$D$6:$D$10,0),MATCH(R103,[71]Listas!$F$4:$J$4,0))</f>
        <v>#N/A</v>
      </c>
      <c r="W103" s="268"/>
      <c r="X103" s="1399"/>
      <c r="Y103" s="1408"/>
      <c r="Z103" s="1400"/>
      <c r="AA103" s="1063"/>
      <c r="AB103" s="267"/>
      <c r="AC103" s="259"/>
      <c r="AD103" s="608"/>
      <c r="AE103" s="267"/>
      <c r="AF103" s="268"/>
      <c r="AG103" s="269">
        <f t="shared" si="8"/>
        <v>0</v>
      </c>
      <c r="AH103" s="558" t="e">
        <f t="shared" si="9"/>
        <v>#N/A</v>
      </c>
      <c r="AI103" s="270" t="e">
        <f>IF(AH103&lt;=1,"Remota",VLOOKUP(AH103,[71]Listas!$C$6:$D$10,2,0))</f>
        <v>#N/A</v>
      </c>
      <c r="AJ103" s="558" t="e">
        <f t="shared" si="10"/>
        <v>#N/A</v>
      </c>
      <c r="AK103" s="270" t="e">
        <f>IF(AJ103&lt;=1,"Insignificante",HLOOKUP(AJ103,[71]Listas!$F$3:$J$4,2,0))</f>
        <v>#N/A</v>
      </c>
      <c r="AL103" s="273" t="e">
        <f t="shared" si="11"/>
        <v>#N/A</v>
      </c>
      <c r="AM103" s="270" t="e">
        <f>INDEX([71]Listas!$F$6:$J$10,MATCH(AI103,[71]Listas!$D$6:$D$10,0),MATCH(AK103,[71]Listas!$F$4:$J$4,0))</f>
        <v>#N/A</v>
      </c>
      <c r="AN103" s="259"/>
      <c r="AO103" s="259"/>
      <c r="AP103" s="610"/>
      <c r="AQ103" s="259"/>
      <c r="AR103" s="259" t="s">
        <v>2343</v>
      </c>
      <c r="AS103" s="608"/>
      <c r="AT103" s="259"/>
      <c r="AU103" s="259"/>
      <c r="AV103" s="308"/>
      <c r="AW103" s="308"/>
      <c r="AX103" s="608"/>
      <c r="AY103" s="309"/>
      <c r="AZ103" s="310"/>
      <c r="BA103" s="310"/>
      <c r="BB103" s="310"/>
    </row>
    <row r="104" spans="1:54" s="260" customFormat="1" ht="103.5" hidden="1" customHeight="1">
      <c r="A104" s="608"/>
      <c r="B104" s="266"/>
      <c r="C104" s="1399"/>
      <c r="D104" s="1408"/>
      <c r="E104" s="1400"/>
      <c r="F104" s="267"/>
      <c r="G104" s="1399"/>
      <c r="H104" s="1408"/>
      <c r="I104" s="1400"/>
      <c r="J104" s="1380"/>
      <c r="K104" s="1380"/>
      <c r="L104" s="1380"/>
      <c r="M104" s="608"/>
      <c r="N104" s="608"/>
      <c r="O104" s="608"/>
      <c r="P104" s="608"/>
      <c r="Q104" s="266"/>
      <c r="R104" s="266"/>
      <c r="S104" s="268"/>
      <c r="T104" s="269" t="e">
        <f>VLOOKUP(Q104,[71]Listas!$D$6:$E$10,2,0)</f>
        <v>#N/A</v>
      </c>
      <c r="U104" s="269" t="e">
        <f>HLOOKUP(R104,[71]Listas!$F$4:$J$5,2,0)</f>
        <v>#N/A</v>
      </c>
      <c r="V104" s="270" t="e">
        <f>INDEX([71]Listas!$F$6:$J$10,MATCH(Q104,[71]Listas!$D$6:$D$10,0),MATCH(R104,[71]Listas!$F$4:$J$4,0))</f>
        <v>#N/A</v>
      </c>
      <c r="W104" s="268"/>
      <c r="X104" s="1399"/>
      <c r="Y104" s="1408"/>
      <c r="Z104" s="1400"/>
      <c r="AA104" s="1063"/>
      <c r="AB104" s="267"/>
      <c r="AC104" s="259"/>
      <c r="AD104" s="608"/>
      <c r="AE104" s="267"/>
      <c r="AF104" s="268"/>
      <c r="AG104" s="269">
        <f t="shared" si="8"/>
        <v>0</v>
      </c>
      <c r="AH104" s="558" t="e">
        <f t="shared" si="9"/>
        <v>#N/A</v>
      </c>
      <c r="AI104" s="270" t="e">
        <f>IF(AH104&lt;=1,"Remota",VLOOKUP(AH104,[71]Listas!$C$6:$D$10,2,0))</f>
        <v>#N/A</v>
      </c>
      <c r="AJ104" s="558" t="e">
        <f t="shared" si="10"/>
        <v>#N/A</v>
      </c>
      <c r="AK104" s="270" t="e">
        <f>IF(AJ104&lt;=1,"Insignificante",HLOOKUP(AJ104,[71]Listas!$F$3:$J$4,2,0))</f>
        <v>#N/A</v>
      </c>
      <c r="AL104" s="273" t="e">
        <f t="shared" si="11"/>
        <v>#N/A</v>
      </c>
      <c r="AM104" s="270" t="e">
        <f>INDEX([71]Listas!$F$6:$J$10,MATCH(AI104,[71]Listas!$D$6:$D$10,0),MATCH(AK104,[71]Listas!$F$4:$J$4,0))</f>
        <v>#N/A</v>
      </c>
      <c r="AN104" s="259"/>
      <c r="AO104" s="259"/>
      <c r="AP104" s="610"/>
      <c r="AQ104" s="259"/>
      <c r="AR104" s="259" t="s">
        <v>2343</v>
      </c>
      <c r="AS104" s="608"/>
      <c r="AT104" s="259"/>
      <c r="AU104" s="259"/>
      <c r="AV104" s="308"/>
      <c r="AW104" s="308"/>
      <c r="AX104" s="608"/>
      <c r="AY104" s="309"/>
      <c r="AZ104" s="310"/>
      <c r="BA104" s="310"/>
      <c r="BB104" s="310"/>
    </row>
    <row r="105" spans="1:54" s="260" customFormat="1" ht="103.5" hidden="1" customHeight="1">
      <c r="A105" s="608"/>
      <c r="B105" s="266"/>
      <c r="C105" s="1399"/>
      <c r="D105" s="1408"/>
      <c r="E105" s="1400"/>
      <c r="F105" s="267"/>
      <c r="G105" s="1399"/>
      <c r="H105" s="1408"/>
      <c r="I105" s="1400"/>
      <c r="J105" s="1380"/>
      <c r="K105" s="1380"/>
      <c r="L105" s="1380"/>
      <c r="M105" s="608"/>
      <c r="N105" s="608"/>
      <c r="O105" s="608"/>
      <c r="P105" s="608"/>
      <c r="Q105" s="266"/>
      <c r="R105" s="266"/>
      <c r="S105" s="268"/>
      <c r="T105" s="269" t="e">
        <f>VLOOKUP(Q105,[71]Listas!$D$6:$E$10,2,0)</f>
        <v>#N/A</v>
      </c>
      <c r="U105" s="269" t="e">
        <f>HLOOKUP(R105,[71]Listas!$F$4:$J$5,2,0)</f>
        <v>#N/A</v>
      </c>
      <c r="V105" s="270" t="e">
        <f>INDEX([71]Listas!$F$6:$J$10,MATCH(Q105,[71]Listas!$D$6:$D$10,0),MATCH(R105,[71]Listas!$F$4:$J$4,0))</f>
        <v>#N/A</v>
      </c>
      <c r="W105" s="268"/>
      <c r="X105" s="1399"/>
      <c r="Y105" s="1408"/>
      <c r="Z105" s="1400"/>
      <c r="AA105" s="1063"/>
      <c r="AB105" s="267"/>
      <c r="AC105" s="259"/>
      <c r="AD105" s="608"/>
      <c r="AE105" s="267"/>
      <c r="AF105" s="268"/>
      <c r="AG105" s="269">
        <f t="shared" si="8"/>
        <v>0</v>
      </c>
      <c r="AH105" s="558" t="e">
        <f t="shared" si="9"/>
        <v>#N/A</v>
      </c>
      <c r="AI105" s="270" t="e">
        <f>IF(AH105&lt;=1,"Remota",VLOOKUP(AH105,[71]Listas!$C$6:$D$10,2,0))</f>
        <v>#N/A</v>
      </c>
      <c r="AJ105" s="558" t="e">
        <f t="shared" si="10"/>
        <v>#N/A</v>
      </c>
      <c r="AK105" s="270" t="e">
        <f>IF(AJ105&lt;=1,"Insignificante",HLOOKUP(AJ105,[71]Listas!$F$3:$J$4,2,0))</f>
        <v>#N/A</v>
      </c>
      <c r="AL105" s="273" t="e">
        <f t="shared" si="11"/>
        <v>#N/A</v>
      </c>
      <c r="AM105" s="270" t="e">
        <f>INDEX([71]Listas!$F$6:$J$10,MATCH(AI105,[71]Listas!$D$6:$D$10,0),MATCH(AK105,[71]Listas!$F$4:$J$4,0))</f>
        <v>#N/A</v>
      </c>
      <c r="AN105" s="259"/>
      <c r="AO105" s="259"/>
      <c r="AP105" s="610"/>
      <c r="AQ105" s="259"/>
      <c r="AR105" s="259" t="s">
        <v>2343</v>
      </c>
      <c r="AS105" s="608"/>
      <c r="AT105" s="259"/>
      <c r="AU105" s="259"/>
      <c r="AV105" s="308"/>
      <c r="AW105" s="308"/>
      <c r="AX105" s="608"/>
      <c r="AY105" s="309"/>
      <c r="AZ105" s="310"/>
      <c r="BA105" s="310"/>
      <c r="BB105" s="310"/>
    </row>
    <row r="106" spans="1:54" s="260" customFormat="1" ht="103.5" hidden="1" customHeight="1">
      <c r="A106" s="608"/>
      <c r="B106" s="266"/>
      <c r="C106" s="1399"/>
      <c r="D106" s="1408"/>
      <c r="E106" s="1400"/>
      <c r="F106" s="267"/>
      <c r="G106" s="1399"/>
      <c r="H106" s="1408"/>
      <c r="I106" s="1400"/>
      <c r="J106" s="1380"/>
      <c r="K106" s="1380"/>
      <c r="L106" s="1380"/>
      <c r="M106" s="608"/>
      <c r="N106" s="608"/>
      <c r="O106" s="608"/>
      <c r="P106" s="608"/>
      <c r="Q106" s="266"/>
      <c r="R106" s="266"/>
      <c r="S106" s="268"/>
      <c r="T106" s="269" t="e">
        <f>VLOOKUP(Q106,[71]Listas!$D$6:$E$10,2,0)</f>
        <v>#N/A</v>
      </c>
      <c r="U106" s="269" t="e">
        <f>HLOOKUP(R106,[71]Listas!$F$4:$J$5,2,0)</f>
        <v>#N/A</v>
      </c>
      <c r="V106" s="270" t="e">
        <f>INDEX([71]Listas!$F$6:$J$10,MATCH(Q106,[71]Listas!$D$6:$D$10,0),MATCH(R106,[71]Listas!$F$4:$J$4,0))</f>
        <v>#N/A</v>
      </c>
      <c r="W106" s="268"/>
      <c r="X106" s="1399"/>
      <c r="Y106" s="1408"/>
      <c r="Z106" s="1400"/>
      <c r="AA106" s="1063"/>
      <c r="AB106" s="267"/>
      <c r="AC106" s="259"/>
      <c r="AD106" s="608"/>
      <c r="AE106" s="267"/>
      <c r="AF106" s="268"/>
      <c r="AG106" s="269">
        <f t="shared" si="8"/>
        <v>0</v>
      </c>
      <c r="AH106" s="558" t="e">
        <f t="shared" si="9"/>
        <v>#N/A</v>
      </c>
      <c r="AI106" s="270" t="e">
        <f>IF(AH106&lt;=1,"Remota",VLOOKUP(AH106,[71]Listas!$C$6:$D$10,2,0))</f>
        <v>#N/A</v>
      </c>
      <c r="AJ106" s="558" t="e">
        <f t="shared" si="10"/>
        <v>#N/A</v>
      </c>
      <c r="AK106" s="270" t="e">
        <f>IF(AJ106&lt;=1,"Insignificante",HLOOKUP(AJ106,[71]Listas!$F$3:$J$4,2,0))</f>
        <v>#N/A</v>
      </c>
      <c r="AL106" s="273" t="e">
        <f t="shared" si="11"/>
        <v>#N/A</v>
      </c>
      <c r="AM106" s="270" t="e">
        <f>INDEX([71]Listas!$F$6:$J$10,MATCH(AI106,[71]Listas!$D$6:$D$10,0),MATCH(AK106,[71]Listas!$F$4:$J$4,0))</f>
        <v>#N/A</v>
      </c>
      <c r="AN106" s="259"/>
      <c r="AO106" s="259"/>
      <c r="AP106" s="610"/>
      <c r="AQ106" s="259"/>
      <c r="AR106" s="259" t="s">
        <v>2343</v>
      </c>
      <c r="AS106" s="608"/>
      <c r="AT106" s="259"/>
      <c r="AU106" s="259"/>
      <c r="AV106" s="308"/>
      <c r="AW106" s="308"/>
      <c r="AX106" s="608"/>
      <c r="AY106" s="309"/>
      <c r="AZ106" s="310"/>
      <c r="BA106" s="310"/>
      <c r="BB106" s="310"/>
    </row>
    <row r="107" spans="1:54" s="260" customFormat="1" ht="103.5" hidden="1" customHeight="1">
      <c r="A107" s="608"/>
      <c r="B107" s="266"/>
      <c r="C107" s="1399"/>
      <c r="D107" s="1408"/>
      <c r="E107" s="1400"/>
      <c r="F107" s="267"/>
      <c r="G107" s="1399"/>
      <c r="H107" s="1408"/>
      <c r="I107" s="1400"/>
      <c r="J107" s="1380"/>
      <c r="K107" s="1380"/>
      <c r="L107" s="1380"/>
      <c r="M107" s="608"/>
      <c r="N107" s="608"/>
      <c r="O107" s="608"/>
      <c r="P107" s="608"/>
      <c r="Q107" s="266"/>
      <c r="R107" s="266"/>
      <c r="S107" s="268"/>
      <c r="T107" s="269" t="e">
        <f>VLOOKUP(Q107,[71]Listas!$D$6:$E$10,2,0)</f>
        <v>#N/A</v>
      </c>
      <c r="U107" s="269" t="e">
        <f>HLOOKUP(R107,[71]Listas!$F$4:$J$5,2,0)</f>
        <v>#N/A</v>
      </c>
      <c r="V107" s="270" t="e">
        <f>INDEX([71]Listas!$F$6:$J$10,MATCH(Q107,[71]Listas!$D$6:$D$10,0),MATCH(R107,[71]Listas!$F$4:$J$4,0))</f>
        <v>#N/A</v>
      </c>
      <c r="W107" s="268"/>
      <c r="X107" s="1399"/>
      <c r="Y107" s="1408"/>
      <c r="Z107" s="1400"/>
      <c r="AA107" s="1063"/>
      <c r="AB107" s="267"/>
      <c r="AC107" s="259"/>
      <c r="AD107" s="608"/>
      <c r="AE107" s="267"/>
      <c r="AF107" s="268"/>
      <c r="AG107" s="269">
        <f t="shared" si="8"/>
        <v>0</v>
      </c>
      <c r="AH107" s="558" t="e">
        <f t="shared" si="9"/>
        <v>#N/A</v>
      </c>
      <c r="AI107" s="270" t="e">
        <f>IF(AH107&lt;=1,"Remota",VLOOKUP(AH107,[71]Listas!$C$6:$D$10,2,0))</f>
        <v>#N/A</v>
      </c>
      <c r="AJ107" s="558" t="e">
        <f t="shared" si="10"/>
        <v>#N/A</v>
      </c>
      <c r="AK107" s="270" t="e">
        <f>IF(AJ107&lt;=1,"Insignificante",HLOOKUP(AJ107,[71]Listas!$F$3:$J$4,2,0))</f>
        <v>#N/A</v>
      </c>
      <c r="AL107" s="273" t="e">
        <f t="shared" si="11"/>
        <v>#N/A</v>
      </c>
      <c r="AM107" s="270" t="e">
        <f>INDEX([71]Listas!$F$6:$J$10,MATCH(AI107,[71]Listas!$D$6:$D$10,0),MATCH(AK107,[71]Listas!$F$4:$J$4,0))</f>
        <v>#N/A</v>
      </c>
      <c r="AN107" s="259"/>
      <c r="AO107" s="259"/>
      <c r="AP107" s="610"/>
      <c r="AQ107" s="259"/>
      <c r="AR107" s="259" t="s">
        <v>2343</v>
      </c>
      <c r="AS107" s="608"/>
      <c r="AT107" s="259"/>
      <c r="AU107" s="259"/>
      <c r="AV107" s="308"/>
      <c r="AW107" s="308"/>
      <c r="AX107" s="608"/>
      <c r="AY107" s="309"/>
      <c r="AZ107" s="310"/>
      <c r="BA107" s="310"/>
      <c r="BB107" s="310"/>
    </row>
    <row r="108" spans="1:54" s="260" customFormat="1" ht="103.5" hidden="1" customHeight="1">
      <c r="A108" s="608"/>
      <c r="B108" s="266"/>
      <c r="C108" s="1399"/>
      <c r="D108" s="1408"/>
      <c r="E108" s="1400"/>
      <c r="F108" s="267"/>
      <c r="G108" s="1399"/>
      <c r="H108" s="1408"/>
      <c r="I108" s="1400"/>
      <c r="J108" s="1380"/>
      <c r="K108" s="1380"/>
      <c r="L108" s="1380"/>
      <c r="M108" s="608"/>
      <c r="N108" s="608"/>
      <c r="O108" s="608"/>
      <c r="P108" s="608"/>
      <c r="Q108" s="266"/>
      <c r="R108" s="266"/>
      <c r="S108" s="268"/>
      <c r="T108" s="269" t="e">
        <f>VLOOKUP(Q108,[71]Listas!$D$6:$E$10,2,0)</f>
        <v>#N/A</v>
      </c>
      <c r="U108" s="269" t="e">
        <f>HLOOKUP(R108,[71]Listas!$F$4:$J$5,2,0)</f>
        <v>#N/A</v>
      </c>
      <c r="V108" s="270" t="e">
        <f>INDEX([71]Listas!$F$6:$J$10,MATCH(Q108,[71]Listas!$D$6:$D$10,0),MATCH(R108,[71]Listas!$F$4:$J$4,0))</f>
        <v>#N/A</v>
      </c>
      <c r="W108" s="268"/>
      <c r="X108" s="1399"/>
      <c r="Y108" s="1408"/>
      <c r="Z108" s="1400"/>
      <c r="AA108" s="1063"/>
      <c r="AB108" s="267"/>
      <c r="AC108" s="259"/>
      <c r="AD108" s="608"/>
      <c r="AE108" s="267"/>
      <c r="AF108" s="268"/>
      <c r="AG108" s="269">
        <f t="shared" si="8"/>
        <v>0</v>
      </c>
      <c r="AH108" s="558" t="e">
        <f t="shared" si="9"/>
        <v>#N/A</v>
      </c>
      <c r="AI108" s="270" t="e">
        <f>IF(AH108&lt;=1,"Remota",VLOOKUP(AH108,[71]Listas!$C$6:$D$10,2,0))</f>
        <v>#N/A</v>
      </c>
      <c r="AJ108" s="558" t="e">
        <f t="shared" si="10"/>
        <v>#N/A</v>
      </c>
      <c r="AK108" s="270" t="e">
        <f>IF(AJ108&lt;=1,"Insignificante",HLOOKUP(AJ108,[71]Listas!$F$3:$J$4,2,0))</f>
        <v>#N/A</v>
      </c>
      <c r="AL108" s="273" t="e">
        <f t="shared" si="11"/>
        <v>#N/A</v>
      </c>
      <c r="AM108" s="270" t="e">
        <f>INDEX([71]Listas!$F$6:$J$10,MATCH(AI108,[71]Listas!$D$6:$D$10,0),MATCH(AK108,[71]Listas!$F$4:$J$4,0))</f>
        <v>#N/A</v>
      </c>
      <c r="AN108" s="259"/>
      <c r="AO108" s="259"/>
      <c r="AP108" s="610"/>
      <c r="AQ108" s="259"/>
      <c r="AR108" s="259" t="s">
        <v>2343</v>
      </c>
      <c r="AS108" s="608"/>
      <c r="AT108" s="259"/>
      <c r="AU108" s="259"/>
      <c r="AV108" s="308"/>
      <c r="AW108" s="308"/>
      <c r="AX108" s="608"/>
      <c r="AY108" s="309"/>
      <c r="AZ108" s="310"/>
      <c r="BA108" s="310"/>
      <c r="BB108" s="310"/>
    </row>
    <row r="109" spans="1:54" s="260" customFormat="1" ht="103.5" hidden="1" customHeight="1">
      <c r="A109" s="608"/>
      <c r="B109" s="266"/>
      <c r="C109" s="1399"/>
      <c r="D109" s="1408"/>
      <c r="E109" s="1400"/>
      <c r="F109" s="267"/>
      <c r="G109" s="1399"/>
      <c r="H109" s="1408"/>
      <c r="I109" s="1400"/>
      <c r="J109" s="1380"/>
      <c r="K109" s="1380"/>
      <c r="L109" s="1380"/>
      <c r="M109" s="608"/>
      <c r="N109" s="608"/>
      <c r="O109" s="608"/>
      <c r="P109" s="608"/>
      <c r="Q109" s="266"/>
      <c r="R109" s="266"/>
      <c r="S109" s="268"/>
      <c r="T109" s="269" t="e">
        <f>VLOOKUP(Q109,[71]Listas!$D$6:$E$10,2,0)</f>
        <v>#N/A</v>
      </c>
      <c r="U109" s="269" t="e">
        <f>HLOOKUP(R109,[71]Listas!$F$4:$J$5,2,0)</f>
        <v>#N/A</v>
      </c>
      <c r="V109" s="270" t="e">
        <f>INDEX([71]Listas!$F$6:$J$10,MATCH(Q109,[71]Listas!$D$6:$D$10,0),MATCH(R109,[71]Listas!$F$4:$J$4,0))</f>
        <v>#N/A</v>
      </c>
      <c r="W109" s="268"/>
      <c r="X109" s="1399"/>
      <c r="Y109" s="1408"/>
      <c r="Z109" s="1400"/>
      <c r="AA109" s="1063"/>
      <c r="AB109" s="267"/>
      <c r="AC109" s="259"/>
      <c r="AD109" s="608"/>
      <c r="AE109" s="267"/>
      <c r="AF109" s="268"/>
      <c r="AG109" s="269">
        <f t="shared" si="8"/>
        <v>0</v>
      </c>
      <c r="AH109" s="558" t="e">
        <f t="shared" si="9"/>
        <v>#N/A</v>
      </c>
      <c r="AI109" s="270" t="e">
        <f>IF(AH109&lt;=1,"Remota",VLOOKUP(AH109,[71]Listas!$C$6:$D$10,2,0))</f>
        <v>#N/A</v>
      </c>
      <c r="AJ109" s="558" t="e">
        <f t="shared" si="10"/>
        <v>#N/A</v>
      </c>
      <c r="AK109" s="270" t="e">
        <f>IF(AJ109&lt;=1,"Insignificante",HLOOKUP(AJ109,[71]Listas!$F$3:$J$4,2,0))</f>
        <v>#N/A</v>
      </c>
      <c r="AL109" s="273" t="e">
        <f t="shared" si="11"/>
        <v>#N/A</v>
      </c>
      <c r="AM109" s="270" t="e">
        <f>INDEX([71]Listas!$F$6:$J$10,MATCH(AI109,[71]Listas!$D$6:$D$10,0),MATCH(AK109,[71]Listas!$F$4:$J$4,0))</f>
        <v>#N/A</v>
      </c>
      <c r="AN109" s="259"/>
      <c r="AO109" s="259"/>
      <c r="AP109" s="610"/>
      <c r="AQ109" s="259"/>
      <c r="AR109" s="259" t="s">
        <v>2343</v>
      </c>
      <c r="AS109" s="608"/>
      <c r="AT109" s="259"/>
      <c r="AU109" s="259"/>
      <c r="AV109" s="308"/>
      <c r="AW109" s="308"/>
      <c r="AX109" s="608"/>
      <c r="AY109" s="309"/>
      <c r="AZ109" s="310"/>
      <c r="BA109" s="310"/>
      <c r="BB109" s="310"/>
    </row>
    <row r="110" spans="1:54" s="260" customFormat="1" ht="103.5" hidden="1" customHeight="1">
      <c r="A110" s="608"/>
      <c r="B110" s="266"/>
      <c r="C110" s="1399"/>
      <c r="D110" s="1408"/>
      <c r="E110" s="1400"/>
      <c r="F110" s="267"/>
      <c r="G110" s="1399"/>
      <c r="H110" s="1408"/>
      <c r="I110" s="1400"/>
      <c r="J110" s="1380"/>
      <c r="K110" s="1380"/>
      <c r="L110" s="1380"/>
      <c r="M110" s="608"/>
      <c r="N110" s="608"/>
      <c r="O110" s="608"/>
      <c r="P110" s="608"/>
      <c r="Q110" s="266"/>
      <c r="R110" s="266"/>
      <c r="S110" s="268"/>
      <c r="T110" s="269" t="e">
        <f>VLOOKUP(Q110,[71]Listas!$D$6:$E$10,2,0)</f>
        <v>#N/A</v>
      </c>
      <c r="U110" s="269" t="e">
        <f>HLOOKUP(R110,[71]Listas!$F$4:$J$5,2,0)</f>
        <v>#N/A</v>
      </c>
      <c r="V110" s="270" t="e">
        <f>INDEX([71]Listas!$F$6:$J$10,MATCH(Q110,[71]Listas!$D$6:$D$10,0),MATCH(R110,[71]Listas!$F$4:$J$4,0))</f>
        <v>#N/A</v>
      </c>
      <c r="W110" s="268"/>
      <c r="X110" s="1399"/>
      <c r="Y110" s="1408"/>
      <c r="Z110" s="1400"/>
      <c r="AA110" s="1063"/>
      <c r="AB110" s="267"/>
      <c r="AC110" s="259"/>
      <c r="AD110" s="608"/>
      <c r="AE110" s="267"/>
      <c r="AF110" s="268"/>
      <c r="AG110" s="269">
        <f t="shared" si="8"/>
        <v>0</v>
      </c>
      <c r="AH110" s="558" t="e">
        <f t="shared" si="9"/>
        <v>#N/A</v>
      </c>
      <c r="AI110" s="270" t="e">
        <f>IF(AH110&lt;=1,"Remota",VLOOKUP(AH110,[71]Listas!$C$6:$D$10,2,0))</f>
        <v>#N/A</v>
      </c>
      <c r="AJ110" s="558" t="e">
        <f t="shared" si="10"/>
        <v>#N/A</v>
      </c>
      <c r="AK110" s="270" t="e">
        <f>IF(AJ110&lt;=1,"Insignificante",HLOOKUP(AJ110,[71]Listas!$F$3:$J$4,2,0))</f>
        <v>#N/A</v>
      </c>
      <c r="AL110" s="273" t="e">
        <f t="shared" si="11"/>
        <v>#N/A</v>
      </c>
      <c r="AM110" s="270" t="e">
        <f>INDEX([71]Listas!$F$6:$J$10,MATCH(AI110,[71]Listas!$D$6:$D$10,0),MATCH(AK110,[71]Listas!$F$4:$J$4,0))</f>
        <v>#N/A</v>
      </c>
      <c r="AN110" s="259"/>
      <c r="AO110" s="259"/>
      <c r="AP110" s="610"/>
      <c r="AQ110" s="259"/>
      <c r="AR110" s="259" t="s">
        <v>2343</v>
      </c>
      <c r="AS110" s="608"/>
      <c r="AT110" s="259"/>
      <c r="AU110" s="259"/>
      <c r="AV110" s="308"/>
      <c r="AW110" s="308"/>
      <c r="AX110" s="608"/>
      <c r="AY110" s="309"/>
      <c r="AZ110" s="310"/>
      <c r="BA110" s="310"/>
      <c r="BB110" s="310"/>
    </row>
    <row r="111" spans="1:54" s="260" customFormat="1" ht="103.5" hidden="1" customHeight="1">
      <c r="A111" s="608"/>
      <c r="B111" s="266"/>
      <c r="C111" s="1399"/>
      <c r="D111" s="1408"/>
      <c r="E111" s="1400"/>
      <c r="F111" s="267"/>
      <c r="G111" s="1399"/>
      <c r="H111" s="1408"/>
      <c r="I111" s="1400"/>
      <c r="J111" s="1380"/>
      <c r="K111" s="1380"/>
      <c r="L111" s="1380"/>
      <c r="M111" s="608"/>
      <c r="N111" s="608"/>
      <c r="O111" s="608"/>
      <c r="P111" s="608"/>
      <c r="Q111" s="266"/>
      <c r="R111" s="266"/>
      <c r="S111" s="268"/>
      <c r="T111" s="269" t="e">
        <f>VLOOKUP(Q111,[71]Listas!$D$6:$E$10,2,0)</f>
        <v>#N/A</v>
      </c>
      <c r="U111" s="269" t="e">
        <f>HLOOKUP(R111,[71]Listas!$F$4:$J$5,2,0)</f>
        <v>#N/A</v>
      </c>
      <c r="V111" s="270" t="e">
        <f>INDEX([71]Listas!$F$6:$J$10,MATCH(Q111,[71]Listas!$D$6:$D$10,0),MATCH(R111,[71]Listas!$F$4:$J$4,0))</f>
        <v>#N/A</v>
      </c>
      <c r="W111" s="268"/>
      <c r="X111" s="1399"/>
      <c r="Y111" s="1408"/>
      <c r="Z111" s="1400"/>
      <c r="AA111" s="1063"/>
      <c r="AB111" s="267"/>
      <c r="AC111" s="259"/>
      <c r="AD111" s="608"/>
      <c r="AE111" s="267"/>
      <c r="AF111" s="268"/>
      <c r="AG111" s="269">
        <f t="shared" si="8"/>
        <v>0</v>
      </c>
      <c r="AH111" s="558" t="e">
        <f t="shared" si="9"/>
        <v>#N/A</v>
      </c>
      <c r="AI111" s="270" t="e">
        <f>IF(AH111&lt;=1,"Remota",VLOOKUP(AH111,[71]Listas!$C$6:$D$10,2,0))</f>
        <v>#N/A</v>
      </c>
      <c r="AJ111" s="558" t="e">
        <f t="shared" si="10"/>
        <v>#N/A</v>
      </c>
      <c r="AK111" s="270" t="e">
        <f>IF(AJ111&lt;=1,"Insignificante",HLOOKUP(AJ111,[71]Listas!$F$3:$J$4,2,0))</f>
        <v>#N/A</v>
      </c>
      <c r="AL111" s="273" t="e">
        <f t="shared" si="11"/>
        <v>#N/A</v>
      </c>
      <c r="AM111" s="270" t="e">
        <f>INDEX([71]Listas!$F$6:$J$10,MATCH(AI111,[71]Listas!$D$6:$D$10,0),MATCH(AK111,[71]Listas!$F$4:$J$4,0))</f>
        <v>#N/A</v>
      </c>
      <c r="AN111" s="259"/>
      <c r="AO111" s="259"/>
      <c r="AP111" s="610"/>
      <c r="AQ111" s="259"/>
      <c r="AR111" s="259" t="s">
        <v>2343</v>
      </c>
      <c r="AS111" s="608"/>
      <c r="AT111" s="259"/>
      <c r="AU111" s="259"/>
      <c r="AV111" s="308"/>
      <c r="AW111" s="308"/>
      <c r="AX111" s="608"/>
      <c r="AY111" s="309"/>
      <c r="AZ111" s="310"/>
      <c r="BA111" s="310"/>
      <c r="BB111" s="310"/>
    </row>
    <row r="112" spans="1:54" s="260" customFormat="1" ht="103.5" hidden="1" customHeight="1">
      <c r="A112" s="608"/>
      <c r="B112" s="266"/>
      <c r="C112" s="1399"/>
      <c r="D112" s="1408"/>
      <c r="E112" s="1400"/>
      <c r="F112" s="267"/>
      <c r="G112" s="1399"/>
      <c r="H112" s="1408"/>
      <c r="I112" s="1400"/>
      <c r="J112" s="1380"/>
      <c r="K112" s="1380"/>
      <c r="L112" s="1380"/>
      <c r="M112" s="608"/>
      <c r="N112" s="608"/>
      <c r="O112" s="608"/>
      <c r="P112" s="608"/>
      <c r="Q112" s="266"/>
      <c r="R112" s="266"/>
      <c r="S112" s="268"/>
      <c r="T112" s="269" t="e">
        <f>VLOOKUP(Q112,[71]Listas!$D$6:$E$10,2,0)</f>
        <v>#N/A</v>
      </c>
      <c r="U112" s="269" t="e">
        <f>HLOOKUP(R112,[71]Listas!$F$4:$J$5,2,0)</f>
        <v>#N/A</v>
      </c>
      <c r="V112" s="270" t="e">
        <f>INDEX([71]Listas!$F$6:$J$10,MATCH(Q112,[71]Listas!$D$6:$D$10,0),MATCH(R112,[71]Listas!$F$4:$J$4,0))</f>
        <v>#N/A</v>
      </c>
      <c r="W112" s="268"/>
      <c r="X112" s="1399"/>
      <c r="Y112" s="1408"/>
      <c r="Z112" s="1400"/>
      <c r="AA112" s="1063"/>
      <c r="AB112" s="267"/>
      <c r="AC112" s="259"/>
      <c r="AD112" s="608"/>
      <c r="AE112" s="267"/>
      <c r="AF112" s="268"/>
      <c r="AG112" s="269">
        <f t="shared" si="8"/>
        <v>0</v>
      </c>
      <c r="AH112" s="558" t="e">
        <f t="shared" si="9"/>
        <v>#N/A</v>
      </c>
      <c r="AI112" s="270" t="e">
        <f>IF(AH112&lt;=1,"Remota",VLOOKUP(AH112,[71]Listas!$C$6:$D$10,2,0))</f>
        <v>#N/A</v>
      </c>
      <c r="AJ112" s="558" t="e">
        <f t="shared" si="10"/>
        <v>#N/A</v>
      </c>
      <c r="AK112" s="270" t="e">
        <f>IF(AJ112&lt;=1,"Insignificante",HLOOKUP(AJ112,[71]Listas!$F$3:$J$4,2,0))</f>
        <v>#N/A</v>
      </c>
      <c r="AL112" s="273" t="e">
        <f t="shared" si="11"/>
        <v>#N/A</v>
      </c>
      <c r="AM112" s="270" t="e">
        <f>INDEX([71]Listas!$F$6:$J$10,MATCH(AI112,[71]Listas!$D$6:$D$10,0),MATCH(AK112,[71]Listas!$F$4:$J$4,0))</f>
        <v>#N/A</v>
      </c>
      <c r="AN112" s="259"/>
      <c r="AO112" s="259"/>
      <c r="AP112" s="610"/>
      <c r="AQ112" s="259"/>
      <c r="AR112" s="259" t="s">
        <v>2343</v>
      </c>
      <c r="AS112" s="608"/>
      <c r="AT112" s="259"/>
      <c r="AU112" s="259"/>
      <c r="AV112" s="308"/>
      <c r="AW112" s="308"/>
      <c r="AX112" s="608"/>
      <c r="AY112" s="309"/>
      <c r="AZ112" s="310"/>
      <c r="BA112" s="310"/>
      <c r="BB112" s="310"/>
    </row>
    <row r="113" spans="1:54" s="260" customFormat="1" ht="103.5" hidden="1" customHeight="1">
      <c r="A113" s="608"/>
      <c r="B113" s="266"/>
      <c r="C113" s="1399"/>
      <c r="D113" s="1408"/>
      <c r="E113" s="1400"/>
      <c r="F113" s="267"/>
      <c r="G113" s="1399"/>
      <c r="H113" s="1408"/>
      <c r="I113" s="1400"/>
      <c r="J113" s="1380"/>
      <c r="K113" s="1380"/>
      <c r="L113" s="1380"/>
      <c r="M113" s="608"/>
      <c r="N113" s="608"/>
      <c r="O113" s="608"/>
      <c r="P113" s="608"/>
      <c r="Q113" s="266"/>
      <c r="R113" s="266"/>
      <c r="S113" s="268"/>
      <c r="T113" s="269" t="e">
        <f>VLOOKUP(Q113,[71]Listas!$D$6:$E$10,2,0)</f>
        <v>#N/A</v>
      </c>
      <c r="U113" s="269" t="e">
        <f>HLOOKUP(R113,[71]Listas!$F$4:$J$5,2,0)</f>
        <v>#N/A</v>
      </c>
      <c r="V113" s="270" t="e">
        <f>INDEX([71]Listas!$F$6:$J$10,MATCH(Q113,[71]Listas!$D$6:$D$10,0),MATCH(R113,[71]Listas!$F$4:$J$4,0))</f>
        <v>#N/A</v>
      </c>
      <c r="W113" s="268"/>
      <c r="X113" s="1399"/>
      <c r="Y113" s="1408"/>
      <c r="Z113" s="1400"/>
      <c r="AA113" s="1063"/>
      <c r="AB113" s="267"/>
      <c r="AC113" s="259"/>
      <c r="AD113" s="608"/>
      <c r="AE113" s="267"/>
      <c r="AF113" s="268"/>
      <c r="AG113" s="269">
        <f t="shared" si="8"/>
        <v>0</v>
      </c>
      <c r="AH113" s="558" t="e">
        <f t="shared" si="9"/>
        <v>#N/A</v>
      </c>
      <c r="AI113" s="270" t="e">
        <f>IF(AH113&lt;=1,"Remota",VLOOKUP(AH113,[71]Listas!$C$6:$D$10,2,0))</f>
        <v>#N/A</v>
      </c>
      <c r="AJ113" s="558" t="e">
        <f t="shared" si="10"/>
        <v>#N/A</v>
      </c>
      <c r="AK113" s="270" t="e">
        <f>IF(AJ113&lt;=1,"Insignificante",HLOOKUP(AJ113,[71]Listas!$F$3:$J$4,2,0))</f>
        <v>#N/A</v>
      </c>
      <c r="AL113" s="273" t="e">
        <f t="shared" si="11"/>
        <v>#N/A</v>
      </c>
      <c r="AM113" s="270" t="e">
        <f>INDEX([71]Listas!$F$6:$J$10,MATCH(AI113,[71]Listas!$D$6:$D$10,0),MATCH(AK113,[71]Listas!$F$4:$J$4,0))</f>
        <v>#N/A</v>
      </c>
      <c r="AN113" s="259"/>
      <c r="AO113" s="259"/>
      <c r="AP113" s="610"/>
      <c r="AQ113" s="259"/>
      <c r="AR113" s="259" t="s">
        <v>2343</v>
      </c>
      <c r="AS113" s="608"/>
      <c r="AT113" s="259"/>
      <c r="AU113" s="259"/>
      <c r="AV113" s="308"/>
      <c r="AW113" s="308"/>
      <c r="AX113" s="608"/>
      <c r="AY113" s="309"/>
      <c r="AZ113" s="310"/>
      <c r="BA113" s="310"/>
      <c r="BB113" s="310"/>
    </row>
    <row r="114" spans="1:54" s="260" customFormat="1" ht="103.5" hidden="1" customHeight="1">
      <c r="A114" s="608"/>
      <c r="B114" s="266"/>
      <c r="C114" s="1399"/>
      <c r="D114" s="1408"/>
      <c r="E114" s="1400"/>
      <c r="F114" s="267"/>
      <c r="G114" s="1399"/>
      <c r="H114" s="1408"/>
      <c r="I114" s="1400"/>
      <c r="J114" s="1380"/>
      <c r="K114" s="1380"/>
      <c r="L114" s="1380"/>
      <c r="M114" s="608"/>
      <c r="N114" s="608"/>
      <c r="O114" s="608"/>
      <c r="P114" s="608"/>
      <c r="Q114" s="266"/>
      <c r="R114" s="266"/>
      <c r="S114" s="268"/>
      <c r="T114" s="269" t="e">
        <f>VLOOKUP(Q114,[71]Listas!$D$6:$E$10,2,0)</f>
        <v>#N/A</v>
      </c>
      <c r="U114" s="269" t="e">
        <f>HLOOKUP(R114,[71]Listas!$F$4:$J$5,2,0)</f>
        <v>#N/A</v>
      </c>
      <c r="V114" s="270" t="e">
        <f>INDEX([71]Listas!$F$6:$J$10,MATCH(Q114,[71]Listas!$D$6:$D$10,0),MATCH(R114,[71]Listas!$F$4:$J$4,0))</f>
        <v>#N/A</v>
      </c>
      <c r="W114" s="268"/>
      <c r="X114" s="1399"/>
      <c r="Y114" s="1408"/>
      <c r="Z114" s="1400"/>
      <c r="AA114" s="1063"/>
      <c r="AB114" s="267"/>
      <c r="AC114" s="259"/>
      <c r="AD114" s="608"/>
      <c r="AE114" s="267"/>
      <c r="AF114" s="268"/>
      <c r="AG114" s="269">
        <f t="shared" si="8"/>
        <v>0</v>
      </c>
      <c r="AH114" s="558" t="e">
        <f t="shared" si="9"/>
        <v>#N/A</v>
      </c>
      <c r="AI114" s="270" t="e">
        <f>IF(AH114&lt;=1,"Remota",VLOOKUP(AH114,[71]Listas!$C$6:$D$10,2,0))</f>
        <v>#N/A</v>
      </c>
      <c r="AJ114" s="558" t="e">
        <f t="shared" si="10"/>
        <v>#N/A</v>
      </c>
      <c r="AK114" s="270" t="e">
        <f>IF(AJ114&lt;=1,"Insignificante",HLOOKUP(AJ114,[71]Listas!$F$3:$J$4,2,0))</f>
        <v>#N/A</v>
      </c>
      <c r="AL114" s="273" t="e">
        <f t="shared" si="11"/>
        <v>#N/A</v>
      </c>
      <c r="AM114" s="270" t="e">
        <f>INDEX([71]Listas!$F$6:$J$10,MATCH(AI114,[71]Listas!$D$6:$D$10,0),MATCH(AK114,[71]Listas!$F$4:$J$4,0))</f>
        <v>#N/A</v>
      </c>
      <c r="AN114" s="259"/>
      <c r="AO114" s="259"/>
      <c r="AP114" s="610"/>
      <c r="AQ114" s="259"/>
      <c r="AR114" s="259" t="s">
        <v>2343</v>
      </c>
      <c r="AS114" s="608"/>
      <c r="AT114" s="259"/>
      <c r="AU114" s="259"/>
      <c r="AV114" s="308"/>
      <c r="AW114" s="308"/>
      <c r="AX114" s="608"/>
      <c r="AY114" s="309"/>
      <c r="AZ114" s="310"/>
      <c r="BA114" s="310"/>
      <c r="BB114" s="310"/>
    </row>
    <row r="115" spans="1:54" s="260" customFormat="1" ht="103.5" hidden="1" customHeight="1">
      <c r="A115" s="608"/>
      <c r="B115" s="266"/>
      <c r="C115" s="1399"/>
      <c r="D115" s="1408"/>
      <c r="E115" s="1400"/>
      <c r="F115" s="267"/>
      <c r="G115" s="1399"/>
      <c r="H115" s="1408"/>
      <c r="I115" s="1400"/>
      <c r="J115" s="1380"/>
      <c r="K115" s="1380"/>
      <c r="L115" s="1380"/>
      <c r="M115" s="608"/>
      <c r="N115" s="608"/>
      <c r="O115" s="608"/>
      <c r="P115" s="608"/>
      <c r="Q115" s="266"/>
      <c r="R115" s="266"/>
      <c r="S115" s="268"/>
      <c r="T115" s="269" t="e">
        <f>VLOOKUP(Q115,[71]Listas!$D$6:$E$10,2,0)</f>
        <v>#N/A</v>
      </c>
      <c r="U115" s="269" t="e">
        <f>HLOOKUP(R115,[71]Listas!$F$4:$J$5,2,0)</f>
        <v>#N/A</v>
      </c>
      <c r="V115" s="270" t="e">
        <f>INDEX([71]Listas!$F$6:$J$10,MATCH(Q115,[71]Listas!$D$6:$D$10,0),MATCH(R115,[71]Listas!$F$4:$J$4,0))</f>
        <v>#N/A</v>
      </c>
      <c r="W115" s="268"/>
      <c r="X115" s="1399"/>
      <c r="Y115" s="1408"/>
      <c r="Z115" s="1400"/>
      <c r="AA115" s="1063"/>
      <c r="AB115" s="267"/>
      <c r="AC115" s="259"/>
      <c r="AD115" s="608"/>
      <c r="AE115" s="267"/>
      <c r="AF115" s="268"/>
      <c r="AG115" s="269">
        <f t="shared" si="8"/>
        <v>0</v>
      </c>
      <c r="AH115" s="558" t="e">
        <f t="shared" si="9"/>
        <v>#N/A</v>
      </c>
      <c r="AI115" s="270" t="e">
        <f>IF(AH115&lt;=1,"Remota",VLOOKUP(AH115,[71]Listas!$C$6:$D$10,2,0))</f>
        <v>#N/A</v>
      </c>
      <c r="AJ115" s="558" t="e">
        <f t="shared" si="10"/>
        <v>#N/A</v>
      </c>
      <c r="AK115" s="270" t="e">
        <f>IF(AJ115&lt;=1,"Insignificante",HLOOKUP(AJ115,[71]Listas!$F$3:$J$4,2,0))</f>
        <v>#N/A</v>
      </c>
      <c r="AL115" s="273" t="e">
        <f t="shared" si="11"/>
        <v>#N/A</v>
      </c>
      <c r="AM115" s="270" t="e">
        <f>INDEX([71]Listas!$F$6:$J$10,MATCH(AI115,[71]Listas!$D$6:$D$10,0),MATCH(AK115,[71]Listas!$F$4:$J$4,0))</f>
        <v>#N/A</v>
      </c>
      <c r="AN115" s="259"/>
      <c r="AO115" s="259"/>
      <c r="AP115" s="610"/>
      <c r="AQ115" s="259"/>
      <c r="AR115" s="259" t="s">
        <v>2343</v>
      </c>
      <c r="AS115" s="608"/>
      <c r="AT115" s="259"/>
      <c r="AU115" s="259"/>
      <c r="AV115" s="308"/>
      <c r="AW115" s="308"/>
      <c r="AX115" s="608"/>
      <c r="AY115" s="309"/>
      <c r="AZ115" s="310"/>
      <c r="BA115" s="310"/>
      <c r="BB115" s="310"/>
    </row>
    <row r="116" spans="1:54" s="260" customFormat="1" ht="103.5" hidden="1" customHeight="1">
      <c r="A116" s="608"/>
      <c r="B116" s="266"/>
      <c r="C116" s="1399"/>
      <c r="D116" s="1408"/>
      <c r="E116" s="1400"/>
      <c r="F116" s="267"/>
      <c r="G116" s="1399"/>
      <c r="H116" s="1408"/>
      <c r="I116" s="1400"/>
      <c r="J116" s="1380"/>
      <c r="K116" s="1380"/>
      <c r="L116" s="1380"/>
      <c r="M116" s="608"/>
      <c r="N116" s="608"/>
      <c r="O116" s="608"/>
      <c r="P116" s="608"/>
      <c r="Q116" s="266"/>
      <c r="R116" s="266"/>
      <c r="S116" s="268"/>
      <c r="T116" s="269" t="e">
        <f>VLOOKUP(Q116,[71]Listas!$D$6:$E$10,2,0)</f>
        <v>#N/A</v>
      </c>
      <c r="U116" s="269" t="e">
        <f>HLOOKUP(R116,[71]Listas!$F$4:$J$5,2,0)</f>
        <v>#N/A</v>
      </c>
      <c r="V116" s="270" t="e">
        <f>INDEX([71]Listas!$F$6:$J$10,MATCH(Q116,[71]Listas!$D$6:$D$10,0),MATCH(R116,[71]Listas!$F$4:$J$4,0))</f>
        <v>#N/A</v>
      </c>
      <c r="W116" s="268"/>
      <c r="X116" s="1399"/>
      <c r="Y116" s="1408"/>
      <c r="Z116" s="1400"/>
      <c r="AA116" s="1063"/>
      <c r="AB116" s="267"/>
      <c r="AC116" s="259"/>
      <c r="AD116" s="608"/>
      <c r="AE116" s="267"/>
      <c r="AF116" s="268"/>
      <c r="AG116" s="269">
        <f t="shared" si="8"/>
        <v>0</v>
      </c>
      <c r="AH116" s="558" t="e">
        <f t="shared" si="9"/>
        <v>#N/A</v>
      </c>
      <c r="AI116" s="270" t="e">
        <f>IF(AH116&lt;=1,"Remota",VLOOKUP(AH116,[71]Listas!$C$6:$D$10,2,0))</f>
        <v>#N/A</v>
      </c>
      <c r="AJ116" s="558" t="e">
        <f t="shared" si="10"/>
        <v>#N/A</v>
      </c>
      <c r="AK116" s="270" t="e">
        <f>IF(AJ116&lt;=1,"Insignificante",HLOOKUP(AJ116,[71]Listas!$F$3:$J$4,2,0))</f>
        <v>#N/A</v>
      </c>
      <c r="AL116" s="273" t="e">
        <f t="shared" si="11"/>
        <v>#N/A</v>
      </c>
      <c r="AM116" s="270" t="e">
        <f>INDEX([71]Listas!$F$6:$J$10,MATCH(AI116,[71]Listas!$D$6:$D$10,0),MATCH(AK116,[71]Listas!$F$4:$J$4,0))</f>
        <v>#N/A</v>
      </c>
      <c r="AN116" s="259"/>
      <c r="AO116" s="259"/>
      <c r="AP116" s="610"/>
      <c r="AQ116" s="259"/>
      <c r="AR116" s="259" t="s">
        <v>2343</v>
      </c>
      <c r="AS116" s="608"/>
      <c r="AT116" s="259"/>
      <c r="AU116" s="259"/>
      <c r="AV116" s="308"/>
      <c r="AW116" s="308"/>
      <c r="AX116" s="608"/>
      <c r="AY116" s="309"/>
      <c r="AZ116" s="310"/>
      <c r="BA116" s="310"/>
      <c r="BB116" s="310"/>
    </row>
    <row r="117" spans="1:54" s="260" customFormat="1" ht="103.5" hidden="1" customHeight="1">
      <c r="A117" s="608"/>
      <c r="B117" s="266"/>
      <c r="C117" s="1399"/>
      <c r="D117" s="1408"/>
      <c r="E117" s="1400"/>
      <c r="F117" s="267"/>
      <c r="G117" s="1399"/>
      <c r="H117" s="1408"/>
      <c r="I117" s="1400"/>
      <c r="J117" s="1380"/>
      <c r="K117" s="1380"/>
      <c r="L117" s="1380"/>
      <c r="M117" s="608"/>
      <c r="N117" s="608"/>
      <c r="O117" s="608"/>
      <c r="P117" s="608"/>
      <c r="Q117" s="266"/>
      <c r="R117" s="266"/>
      <c r="S117" s="268"/>
      <c r="T117" s="269" t="e">
        <f>VLOOKUP(Q117,[71]Listas!$D$6:$E$10,2,0)</f>
        <v>#N/A</v>
      </c>
      <c r="U117" s="269" t="e">
        <f>HLOOKUP(R117,[71]Listas!$F$4:$J$5,2,0)</f>
        <v>#N/A</v>
      </c>
      <c r="V117" s="270" t="e">
        <f>INDEX([71]Listas!$F$6:$J$10,MATCH(Q117,[71]Listas!$D$6:$D$10,0),MATCH(R117,[71]Listas!$F$4:$J$4,0))</f>
        <v>#N/A</v>
      </c>
      <c r="W117" s="268"/>
      <c r="X117" s="1399"/>
      <c r="Y117" s="1408"/>
      <c r="Z117" s="1400"/>
      <c r="AA117" s="1063"/>
      <c r="AB117" s="267"/>
      <c r="AC117" s="259"/>
      <c r="AD117" s="608"/>
      <c r="AE117" s="267"/>
      <c r="AF117" s="268"/>
      <c r="AG117" s="269">
        <f t="shared" si="8"/>
        <v>0</v>
      </c>
      <c r="AH117" s="558" t="e">
        <f t="shared" si="9"/>
        <v>#N/A</v>
      </c>
      <c r="AI117" s="270" t="e">
        <f>IF(AH117&lt;=1,"Remota",VLOOKUP(AH117,[71]Listas!$C$6:$D$10,2,0))</f>
        <v>#N/A</v>
      </c>
      <c r="AJ117" s="558" t="e">
        <f t="shared" si="10"/>
        <v>#N/A</v>
      </c>
      <c r="AK117" s="270" t="e">
        <f>IF(AJ117&lt;=1,"Insignificante",HLOOKUP(AJ117,[71]Listas!$F$3:$J$4,2,0))</f>
        <v>#N/A</v>
      </c>
      <c r="AL117" s="273" t="e">
        <f t="shared" si="11"/>
        <v>#N/A</v>
      </c>
      <c r="AM117" s="270" t="e">
        <f>INDEX([71]Listas!$F$6:$J$10,MATCH(AI117,[71]Listas!$D$6:$D$10,0),MATCH(AK117,[71]Listas!$F$4:$J$4,0))</f>
        <v>#N/A</v>
      </c>
      <c r="AN117" s="259"/>
      <c r="AO117" s="259"/>
      <c r="AP117" s="610"/>
      <c r="AQ117" s="259"/>
      <c r="AR117" s="259" t="s">
        <v>2343</v>
      </c>
      <c r="AS117" s="608"/>
      <c r="AT117" s="259"/>
      <c r="AU117" s="259"/>
      <c r="AV117" s="308"/>
      <c r="AW117" s="308"/>
      <c r="AX117" s="608"/>
      <c r="AY117" s="309"/>
      <c r="AZ117" s="310"/>
      <c r="BA117" s="310"/>
      <c r="BB117" s="310"/>
    </row>
    <row r="118" spans="1:54" s="260" customFormat="1" ht="103.5" hidden="1" customHeight="1">
      <c r="A118" s="608"/>
      <c r="B118" s="266"/>
      <c r="C118" s="1399"/>
      <c r="D118" s="1408"/>
      <c r="E118" s="1400"/>
      <c r="F118" s="267"/>
      <c r="G118" s="1399"/>
      <c r="H118" s="1408"/>
      <c r="I118" s="1400"/>
      <c r="J118" s="1380"/>
      <c r="K118" s="1380"/>
      <c r="L118" s="1380"/>
      <c r="M118" s="608"/>
      <c r="N118" s="608"/>
      <c r="O118" s="608"/>
      <c r="P118" s="608"/>
      <c r="Q118" s="266"/>
      <c r="R118" s="266"/>
      <c r="S118" s="268"/>
      <c r="T118" s="269" t="e">
        <f>VLOOKUP(Q118,[71]Listas!$D$6:$E$10,2,0)</f>
        <v>#N/A</v>
      </c>
      <c r="U118" s="269" t="e">
        <f>HLOOKUP(R118,[71]Listas!$F$4:$J$5,2,0)</f>
        <v>#N/A</v>
      </c>
      <c r="V118" s="270" t="e">
        <f>INDEX([71]Listas!$F$6:$J$10,MATCH(Q118,[71]Listas!$D$6:$D$10,0),MATCH(R118,[71]Listas!$F$4:$J$4,0))</f>
        <v>#N/A</v>
      </c>
      <c r="W118" s="268"/>
      <c r="X118" s="1399"/>
      <c r="Y118" s="1408"/>
      <c r="Z118" s="1400"/>
      <c r="AA118" s="1063"/>
      <c r="AB118" s="267"/>
      <c r="AC118" s="259"/>
      <c r="AD118" s="608"/>
      <c r="AE118" s="267"/>
      <c r="AF118" s="268"/>
      <c r="AG118" s="269">
        <f t="shared" si="8"/>
        <v>0</v>
      </c>
      <c r="AH118" s="558" t="e">
        <f t="shared" si="9"/>
        <v>#N/A</v>
      </c>
      <c r="AI118" s="270" t="e">
        <f>IF(AH118&lt;=1,"Remota",VLOOKUP(AH118,[71]Listas!$C$6:$D$10,2,0))</f>
        <v>#N/A</v>
      </c>
      <c r="AJ118" s="558" t="e">
        <f t="shared" si="10"/>
        <v>#N/A</v>
      </c>
      <c r="AK118" s="270" t="e">
        <f>IF(AJ118&lt;=1,"Insignificante",HLOOKUP(AJ118,[71]Listas!$F$3:$J$4,2,0))</f>
        <v>#N/A</v>
      </c>
      <c r="AL118" s="273" t="e">
        <f t="shared" si="11"/>
        <v>#N/A</v>
      </c>
      <c r="AM118" s="270" t="e">
        <f>INDEX([71]Listas!$F$6:$J$10,MATCH(AI118,[71]Listas!$D$6:$D$10,0),MATCH(AK118,[71]Listas!$F$4:$J$4,0))</f>
        <v>#N/A</v>
      </c>
      <c r="AN118" s="259"/>
      <c r="AO118" s="259"/>
      <c r="AP118" s="610"/>
      <c r="AQ118" s="259"/>
      <c r="AR118" s="259" t="s">
        <v>2343</v>
      </c>
      <c r="AS118" s="608"/>
      <c r="AT118" s="259"/>
      <c r="AU118" s="259"/>
      <c r="AV118" s="308"/>
      <c r="AW118" s="308"/>
      <c r="AX118" s="608"/>
      <c r="AY118" s="309"/>
      <c r="AZ118" s="310"/>
      <c r="BA118" s="310"/>
      <c r="BB118" s="310"/>
    </row>
    <row r="119" spans="1:54" s="260" customFormat="1" ht="103.5" hidden="1" customHeight="1">
      <c r="A119" s="608"/>
      <c r="B119" s="266"/>
      <c r="C119" s="1399"/>
      <c r="D119" s="1408"/>
      <c r="E119" s="1400"/>
      <c r="F119" s="267"/>
      <c r="G119" s="1399"/>
      <c r="H119" s="1408"/>
      <c r="I119" s="1400"/>
      <c r="J119" s="1380"/>
      <c r="K119" s="1380"/>
      <c r="L119" s="1380"/>
      <c r="M119" s="608"/>
      <c r="N119" s="608"/>
      <c r="O119" s="608"/>
      <c r="P119" s="608"/>
      <c r="Q119" s="266"/>
      <c r="R119" s="266"/>
      <c r="S119" s="268"/>
      <c r="T119" s="269" t="e">
        <f>VLOOKUP(Q119,[71]Listas!$D$6:$E$10,2,0)</f>
        <v>#N/A</v>
      </c>
      <c r="U119" s="269" t="e">
        <f>HLOOKUP(R119,[71]Listas!$F$4:$J$5,2,0)</f>
        <v>#N/A</v>
      </c>
      <c r="V119" s="270" t="e">
        <f>INDEX([71]Listas!$F$6:$J$10,MATCH(Q119,[71]Listas!$D$6:$D$10,0),MATCH(R119,[71]Listas!$F$4:$J$4,0))</f>
        <v>#N/A</v>
      </c>
      <c r="W119" s="268"/>
      <c r="X119" s="1399"/>
      <c r="Y119" s="1408"/>
      <c r="Z119" s="1400"/>
      <c r="AA119" s="1063"/>
      <c r="AB119" s="267"/>
      <c r="AC119" s="259"/>
      <c r="AD119" s="608"/>
      <c r="AE119" s="267"/>
      <c r="AF119" s="268"/>
      <c r="AG119" s="269">
        <f t="shared" si="8"/>
        <v>0</v>
      </c>
      <c r="AH119" s="558" t="e">
        <f t="shared" si="9"/>
        <v>#N/A</v>
      </c>
      <c r="AI119" s="270" t="e">
        <f>IF(AH119&lt;=1,"Remota",VLOOKUP(AH119,[71]Listas!$C$6:$D$10,2,0))</f>
        <v>#N/A</v>
      </c>
      <c r="AJ119" s="558" t="e">
        <f t="shared" si="10"/>
        <v>#N/A</v>
      </c>
      <c r="AK119" s="270" t="e">
        <f>IF(AJ119&lt;=1,"Insignificante",HLOOKUP(AJ119,[71]Listas!$F$3:$J$4,2,0))</f>
        <v>#N/A</v>
      </c>
      <c r="AL119" s="273" t="e">
        <f t="shared" si="11"/>
        <v>#N/A</v>
      </c>
      <c r="AM119" s="270" t="e">
        <f>INDEX([71]Listas!$F$6:$J$10,MATCH(AI119,[71]Listas!$D$6:$D$10,0),MATCH(AK119,[71]Listas!$F$4:$J$4,0))</f>
        <v>#N/A</v>
      </c>
      <c r="AN119" s="259"/>
      <c r="AO119" s="259"/>
      <c r="AP119" s="610"/>
      <c r="AQ119" s="259"/>
      <c r="AR119" s="259" t="s">
        <v>2343</v>
      </c>
      <c r="AS119" s="608"/>
      <c r="AT119" s="259"/>
      <c r="AU119" s="259"/>
      <c r="AV119" s="308"/>
      <c r="AW119" s="308"/>
      <c r="AX119" s="608"/>
      <c r="AY119" s="309"/>
      <c r="AZ119" s="310"/>
      <c r="BA119" s="310"/>
      <c r="BB119" s="310"/>
    </row>
    <row r="120" spans="1:54" s="260" customFormat="1" ht="103.5" hidden="1" customHeight="1">
      <c r="A120" s="608"/>
      <c r="B120" s="266"/>
      <c r="C120" s="1399"/>
      <c r="D120" s="1408"/>
      <c r="E120" s="1400"/>
      <c r="F120" s="267"/>
      <c r="G120" s="1399"/>
      <c r="H120" s="1408"/>
      <c r="I120" s="1400"/>
      <c r="J120" s="1380"/>
      <c r="K120" s="1380"/>
      <c r="L120" s="1380"/>
      <c r="M120" s="608"/>
      <c r="N120" s="608"/>
      <c r="O120" s="608"/>
      <c r="P120" s="608"/>
      <c r="Q120" s="266"/>
      <c r="R120" s="266"/>
      <c r="S120" s="268"/>
      <c r="T120" s="269" t="e">
        <f>VLOOKUP(Q120,[71]Listas!$D$6:$E$10,2,0)</f>
        <v>#N/A</v>
      </c>
      <c r="U120" s="269" t="e">
        <f>HLOOKUP(R120,[71]Listas!$F$4:$J$5,2,0)</f>
        <v>#N/A</v>
      </c>
      <c r="V120" s="270" t="e">
        <f>INDEX([71]Listas!$F$6:$J$10,MATCH(Q120,[71]Listas!$D$6:$D$10,0),MATCH(R120,[71]Listas!$F$4:$J$4,0))</f>
        <v>#N/A</v>
      </c>
      <c r="W120" s="268"/>
      <c r="X120" s="1399"/>
      <c r="Y120" s="1408"/>
      <c r="Z120" s="1400"/>
      <c r="AA120" s="1063"/>
      <c r="AB120" s="267"/>
      <c r="AC120" s="259"/>
      <c r="AD120" s="608"/>
      <c r="AE120" s="267"/>
      <c r="AF120" s="268"/>
      <c r="AG120" s="269">
        <f t="shared" si="8"/>
        <v>0</v>
      </c>
      <c r="AH120" s="558" t="e">
        <f t="shared" si="9"/>
        <v>#N/A</v>
      </c>
      <c r="AI120" s="270" t="e">
        <f>IF(AH120&lt;=1,"Remota",VLOOKUP(AH120,[71]Listas!$C$6:$D$10,2,0))</f>
        <v>#N/A</v>
      </c>
      <c r="AJ120" s="558" t="e">
        <f t="shared" si="10"/>
        <v>#N/A</v>
      </c>
      <c r="AK120" s="270" t="e">
        <f>IF(AJ120&lt;=1,"Insignificante",HLOOKUP(AJ120,[71]Listas!$F$3:$J$4,2,0))</f>
        <v>#N/A</v>
      </c>
      <c r="AL120" s="273" t="e">
        <f t="shared" si="11"/>
        <v>#N/A</v>
      </c>
      <c r="AM120" s="270" t="e">
        <f>INDEX([71]Listas!$F$6:$J$10,MATCH(AI120,[71]Listas!$D$6:$D$10,0),MATCH(AK120,[71]Listas!$F$4:$J$4,0))</f>
        <v>#N/A</v>
      </c>
      <c r="AN120" s="259"/>
      <c r="AO120" s="259"/>
      <c r="AP120" s="610"/>
      <c r="AQ120" s="259"/>
      <c r="AR120" s="259" t="s">
        <v>2343</v>
      </c>
      <c r="AS120" s="608"/>
      <c r="AT120" s="259"/>
      <c r="AU120" s="259"/>
      <c r="AV120" s="308"/>
      <c r="AW120" s="308"/>
      <c r="AX120" s="608"/>
      <c r="AY120" s="309"/>
      <c r="AZ120" s="310"/>
      <c r="BA120" s="310"/>
      <c r="BB120" s="310"/>
    </row>
    <row r="121" spans="1:54" s="260" customFormat="1" ht="103.5" hidden="1" customHeight="1">
      <c r="A121" s="608"/>
      <c r="B121" s="266"/>
      <c r="C121" s="1399"/>
      <c r="D121" s="1408"/>
      <c r="E121" s="1400"/>
      <c r="F121" s="267"/>
      <c r="G121" s="1399"/>
      <c r="H121" s="1408"/>
      <c r="I121" s="1400"/>
      <c r="J121" s="1380"/>
      <c r="K121" s="1380"/>
      <c r="L121" s="1380"/>
      <c r="M121" s="608"/>
      <c r="N121" s="608"/>
      <c r="O121" s="608"/>
      <c r="P121" s="608"/>
      <c r="Q121" s="266"/>
      <c r="R121" s="266"/>
      <c r="S121" s="268"/>
      <c r="T121" s="269" t="e">
        <f>VLOOKUP(Q121,[71]Listas!$D$6:$E$10,2,0)</f>
        <v>#N/A</v>
      </c>
      <c r="U121" s="269" t="e">
        <f>HLOOKUP(R121,[71]Listas!$F$4:$J$5,2,0)</f>
        <v>#N/A</v>
      </c>
      <c r="V121" s="270" t="e">
        <f>INDEX([71]Listas!$F$6:$J$10,MATCH(Q121,[71]Listas!$D$6:$D$10,0),MATCH(R121,[71]Listas!$F$4:$J$4,0))</f>
        <v>#N/A</v>
      </c>
      <c r="W121" s="268"/>
      <c r="X121" s="1399"/>
      <c r="Y121" s="1408"/>
      <c r="Z121" s="1400"/>
      <c r="AA121" s="1063"/>
      <c r="AB121" s="267"/>
      <c r="AC121" s="259"/>
      <c r="AD121" s="608"/>
      <c r="AE121" s="267"/>
      <c r="AF121" s="268"/>
      <c r="AG121" s="269">
        <f t="shared" si="8"/>
        <v>0</v>
      </c>
      <c r="AH121" s="558" t="e">
        <f t="shared" si="9"/>
        <v>#N/A</v>
      </c>
      <c r="AI121" s="270" t="e">
        <f>IF(AH121&lt;=1,"Remota",VLOOKUP(AH121,[71]Listas!$C$6:$D$10,2,0))</f>
        <v>#N/A</v>
      </c>
      <c r="AJ121" s="558" t="e">
        <f t="shared" si="10"/>
        <v>#N/A</v>
      </c>
      <c r="AK121" s="270" t="e">
        <f>IF(AJ121&lt;=1,"Insignificante",HLOOKUP(AJ121,[71]Listas!$F$3:$J$4,2,0))</f>
        <v>#N/A</v>
      </c>
      <c r="AL121" s="273" t="e">
        <f t="shared" si="11"/>
        <v>#N/A</v>
      </c>
      <c r="AM121" s="270" t="e">
        <f>INDEX([71]Listas!$F$6:$J$10,MATCH(AI121,[71]Listas!$D$6:$D$10,0),MATCH(AK121,[71]Listas!$F$4:$J$4,0))</f>
        <v>#N/A</v>
      </c>
      <c r="AN121" s="259"/>
      <c r="AO121" s="259"/>
      <c r="AP121" s="610"/>
      <c r="AQ121" s="259"/>
      <c r="AR121" s="259" t="s">
        <v>2343</v>
      </c>
      <c r="AS121" s="608"/>
      <c r="AT121" s="259"/>
      <c r="AU121" s="259"/>
      <c r="AV121" s="308"/>
      <c r="AW121" s="308"/>
      <c r="AX121" s="608"/>
      <c r="AY121" s="309"/>
      <c r="AZ121" s="310"/>
      <c r="BA121" s="310"/>
      <c r="BB121" s="310"/>
    </row>
    <row r="122" spans="1:54" s="260" customFormat="1" ht="103.5" hidden="1" customHeight="1">
      <c r="A122" s="608"/>
      <c r="B122" s="266"/>
      <c r="C122" s="1399"/>
      <c r="D122" s="1408"/>
      <c r="E122" s="1400"/>
      <c r="F122" s="267"/>
      <c r="G122" s="1399"/>
      <c r="H122" s="1408"/>
      <c r="I122" s="1400"/>
      <c r="J122" s="1380"/>
      <c r="K122" s="1380"/>
      <c r="L122" s="1380"/>
      <c r="M122" s="608"/>
      <c r="N122" s="608"/>
      <c r="O122" s="608"/>
      <c r="P122" s="608"/>
      <c r="Q122" s="266"/>
      <c r="R122" s="266"/>
      <c r="S122" s="268"/>
      <c r="T122" s="269" t="e">
        <f>VLOOKUP(Q122,[71]Listas!$D$6:$E$10,2,0)</f>
        <v>#N/A</v>
      </c>
      <c r="U122" s="269" t="e">
        <f>HLOOKUP(R122,[71]Listas!$F$4:$J$5,2,0)</f>
        <v>#N/A</v>
      </c>
      <c r="V122" s="270" t="e">
        <f>INDEX([71]Listas!$F$6:$J$10,MATCH(Q122,[71]Listas!$D$6:$D$10,0),MATCH(R122,[71]Listas!$F$4:$J$4,0))</f>
        <v>#N/A</v>
      </c>
      <c r="W122" s="268"/>
      <c r="X122" s="1399"/>
      <c r="Y122" s="1408"/>
      <c r="Z122" s="1400"/>
      <c r="AA122" s="1063"/>
      <c r="AB122" s="267"/>
      <c r="AC122" s="259"/>
      <c r="AD122" s="608"/>
      <c r="AE122" s="267"/>
      <c r="AF122" s="268"/>
      <c r="AG122" s="269">
        <f t="shared" si="8"/>
        <v>0</v>
      </c>
      <c r="AH122" s="558" t="e">
        <f t="shared" si="9"/>
        <v>#N/A</v>
      </c>
      <c r="AI122" s="270" t="e">
        <f>IF(AH122&lt;=1,"Remota",VLOOKUP(AH122,[71]Listas!$C$6:$D$10,2,0))</f>
        <v>#N/A</v>
      </c>
      <c r="AJ122" s="558" t="e">
        <f t="shared" si="10"/>
        <v>#N/A</v>
      </c>
      <c r="AK122" s="270" t="e">
        <f>IF(AJ122&lt;=1,"Insignificante",HLOOKUP(AJ122,[71]Listas!$F$3:$J$4,2,0))</f>
        <v>#N/A</v>
      </c>
      <c r="AL122" s="273" t="e">
        <f t="shared" si="11"/>
        <v>#N/A</v>
      </c>
      <c r="AM122" s="270" t="e">
        <f>INDEX([71]Listas!$F$6:$J$10,MATCH(AI122,[71]Listas!$D$6:$D$10,0),MATCH(AK122,[71]Listas!$F$4:$J$4,0))</f>
        <v>#N/A</v>
      </c>
      <c r="AN122" s="259"/>
      <c r="AO122" s="259"/>
      <c r="AP122" s="610"/>
      <c r="AQ122" s="259"/>
      <c r="AR122" s="259" t="s">
        <v>2343</v>
      </c>
      <c r="AS122" s="608"/>
      <c r="AT122" s="259"/>
      <c r="AU122" s="259"/>
      <c r="AV122" s="308"/>
      <c r="AW122" s="308"/>
      <c r="AX122" s="608"/>
      <c r="AY122" s="309"/>
      <c r="AZ122" s="310"/>
      <c r="BA122" s="310"/>
      <c r="BB122" s="310"/>
    </row>
    <row r="123" spans="1:54" s="260" customFormat="1" ht="103.5" hidden="1" customHeight="1">
      <c r="A123" s="608"/>
      <c r="B123" s="266"/>
      <c r="C123" s="1399"/>
      <c r="D123" s="1408"/>
      <c r="E123" s="1400"/>
      <c r="F123" s="267"/>
      <c r="G123" s="1399"/>
      <c r="H123" s="1408"/>
      <c r="I123" s="1400"/>
      <c r="J123" s="1380"/>
      <c r="K123" s="1380"/>
      <c r="L123" s="1380"/>
      <c r="M123" s="608"/>
      <c r="N123" s="608"/>
      <c r="O123" s="608"/>
      <c r="P123" s="608"/>
      <c r="Q123" s="266"/>
      <c r="R123" s="266"/>
      <c r="S123" s="268"/>
      <c r="T123" s="269" t="e">
        <f>VLOOKUP(Q123,[71]Listas!$D$6:$E$10,2,0)</f>
        <v>#N/A</v>
      </c>
      <c r="U123" s="269" t="e">
        <f>HLOOKUP(R123,[71]Listas!$F$4:$J$5,2,0)</f>
        <v>#N/A</v>
      </c>
      <c r="V123" s="270" t="e">
        <f>INDEX([71]Listas!$F$6:$J$10,MATCH(Q123,[71]Listas!$D$6:$D$10,0),MATCH(R123,[71]Listas!$F$4:$J$4,0))</f>
        <v>#N/A</v>
      </c>
      <c r="W123" s="268"/>
      <c r="X123" s="1399"/>
      <c r="Y123" s="1408"/>
      <c r="Z123" s="1400"/>
      <c r="AA123" s="1063"/>
      <c r="AB123" s="267"/>
      <c r="AC123" s="259"/>
      <c r="AD123" s="608"/>
      <c r="AE123" s="267"/>
      <c r="AF123" s="268"/>
      <c r="AG123" s="269">
        <f t="shared" si="8"/>
        <v>0</v>
      </c>
      <c r="AH123" s="558" t="e">
        <f t="shared" si="9"/>
        <v>#N/A</v>
      </c>
      <c r="AI123" s="270" t="e">
        <f>IF(AH123&lt;=1,"Remota",VLOOKUP(AH123,[71]Listas!$C$6:$D$10,2,0))</f>
        <v>#N/A</v>
      </c>
      <c r="AJ123" s="558" t="e">
        <f t="shared" si="10"/>
        <v>#N/A</v>
      </c>
      <c r="AK123" s="270" t="e">
        <f>IF(AJ123&lt;=1,"Insignificante",HLOOKUP(AJ123,[71]Listas!$F$3:$J$4,2,0))</f>
        <v>#N/A</v>
      </c>
      <c r="AL123" s="273" t="e">
        <f t="shared" si="11"/>
        <v>#N/A</v>
      </c>
      <c r="AM123" s="270" t="e">
        <f>INDEX([71]Listas!$F$6:$J$10,MATCH(AI123,[71]Listas!$D$6:$D$10,0),MATCH(AK123,[71]Listas!$F$4:$J$4,0))</f>
        <v>#N/A</v>
      </c>
      <c r="AN123" s="259"/>
      <c r="AO123" s="259"/>
      <c r="AP123" s="610"/>
      <c r="AQ123" s="259"/>
      <c r="AR123" s="259" t="s">
        <v>2343</v>
      </c>
      <c r="AS123" s="608"/>
      <c r="AT123" s="259"/>
      <c r="AU123" s="259"/>
      <c r="AV123" s="308"/>
      <c r="AW123" s="308"/>
      <c r="AX123" s="608"/>
      <c r="AY123" s="309"/>
      <c r="AZ123" s="310"/>
      <c r="BA123" s="310"/>
      <c r="BB123" s="310"/>
    </row>
    <row r="124" spans="1:54" s="260" customFormat="1" ht="103.5" hidden="1" customHeight="1">
      <c r="A124" s="608"/>
      <c r="B124" s="266"/>
      <c r="C124" s="1399"/>
      <c r="D124" s="1408"/>
      <c r="E124" s="1400"/>
      <c r="F124" s="267"/>
      <c r="G124" s="1399"/>
      <c r="H124" s="1408"/>
      <c r="I124" s="1400"/>
      <c r="J124" s="1380"/>
      <c r="K124" s="1380"/>
      <c r="L124" s="1380"/>
      <c r="M124" s="608"/>
      <c r="N124" s="608"/>
      <c r="O124" s="608"/>
      <c r="P124" s="608"/>
      <c r="Q124" s="266"/>
      <c r="R124" s="266"/>
      <c r="S124" s="268"/>
      <c r="T124" s="269" t="e">
        <f>VLOOKUP(Q124,[71]Listas!$D$6:$E$10,2,0)</f>
        <v>#N/A</v>
      </c>
      <c r="U124" s="269" t="e">
        <f>HLOOKUP(R124,[71]Listas!$F$4:$J$5,2,0)</f>
        <v>#N/A</v>
      </c>
      <c r="V124" s="270" t="e">
        <f>INDEX([71]Listas!$F$6:$J$10,MATCH(Q124,[71]Listas!$D$6:$D$10,0),MATCH(R124,[71]Listas!$F$4:$J$4,0))</f>
        <v>#N/A</v>
      </c>
      <c r="W124" s="268"/>
      <c r="X124" s="1399"/>
      <c r="Y124" s="1408"/>
      <c r="Z124" s="1400"/>
      <c r="AA124" s="1063"/>
      <c r="AB124" s="267"/>
      <c r="AC124" s="259"/>
      <c r="AD124" s="608"/>
      <c r="AE124" s="267"/>
      <c r="AF124" s="268"/>
      <c r="AG124" s="269">
        <f t="shared" si="8"/>
        <v>0</v>
      </c>
      <c r="AH124" s="558" t="e">
        <f t="shared" si="9"/>
        <v>#N/A</v>
      </c>
      <c r="AI124" s="270" t="e">
        <f>IF(AH124&lt;=1,"Remota",VLOOKUP(AH124,[71]Listas!$C$6:$D$10,2,0))</f>
        <v>#N/A</v>
      </c>
      <c r="AJ124" s="558" t="e">
        <f t="shared" si="10"/>
        <v>#N/A</v>
      </c>
      <c r="AK124" s="270" t="e">
        <f>IF(AJ124&lt;=1,"Insignificante",HLOOKUP(AJ124,[71]Listas!$F$3:$J$4,2,0))</f>
        <v>#N/A</v>
      </c>
      <c r="AL124" s="273" t="e">
        <f t="shared" si="11"/>
        <v>#N/A</v>
      </c>
      <c r="AM124" s="270" t="e">
        <f>INDEX([71]Listas!$F$6:$J$10,MATCH(AI124,[71]Listas!$D$6:$D$10,0),MATCH(AK124,[71]Listas!$F$4:$J$4,0))</f>
        <v>#N/A</v>
      </c>
      <c r="AN124" s="259"/>
      <c r="AO124" s="259"/>
      <c r="AP124" s="610"/>
      <c r="AQ124" s="259"/>
      <c r="AR124" s="259" t="s">
        <v>2343</v>
      </c>
      <c r="AS124" s="608"/>
      <c r="AT124" s="259"/>
      <c r="AU124" s="259"/>
      <c r="AV124" s="308"/>
      <c r="AW124" s="308"/>
      <c r="AX124" s="608"/>
      <c r="AY124" s="309"/>
      <c r="AZ124" s="310"/>
      <c r="BA124" s="310"/>
      <c r="BB124" s="310"/>
    </row>
    <row r="125" spans="1:54" s="260" customFormat="1" ht="103.5" hidden="1" customHeight="1">
      <c r="A125" s="608"/>
      <c r="B125" s="266"/>
      <c r="C125" s="1399"/>
      <c r="D125" s="1408"/>
      <c r="E125" s="1400"/>
      <c r="F125" s="267"/>
      <c r="G125" s="1399"/>
      <c r="H125" s="1408"/>
      <c r="I125" s="1400"/>
      <c r="J125" s="1380"/>
      <c r="K125" s="1380"/>
      <c r="L125" s="1380"/>
      <c r="M125" s="608"/>
      <c r="N125" s="608"/>
      <c r="O125" s="608"/>
      <c r="P125" s="608"/>
      <c r="Q125" s="266"/>
      <c r="R125" s="266"/>
      <c r="S125" s="268"/>
      <c r="T125" s="269" t="e">
        <f>VLOOKUP(Q125,[71]Listas!$D$6:$E$10,2,0)</f>
        <v>#N/A</v>
      </c>
      <c r="U125" s="269" t="e">
        <f>HLOOKUP(R125,[71]Listas!$F$4:$J$5,2,0)</f>
        <v>#N/A</v>
      </c>
      <c r="V125" s="270" t="e">
        <f>INDEX([71]Listas!$F$6:$J$10,MATCH(Q125,[71]Listas!$D$6:$D$10,0),MATCH(R125,[71]Listas!$F$4:$J$4,0))</f>
        <v>#N/A</v>
      </c>
      <c r="W125" s="268"/>
      <c r="X125" s="1399"/>
      <c r="Y125" s="1408"/>
      <c r="Z125" s="1400"/>
      <c r="AA125" s="1063"/>
      <c r="AB125" s="267"/>
      <c r="AC125" s="259"/>
      <c r="AD125" s="608"/>
      <c r="AE125" s="267"/>
      <c r="AF125" s="268"/>
      <c r="AG125" s="269">
        <f t="shared" si="8"/>
        <v>0</v>
      </c>
      <c r="AH125" s="558" t="e">
        <f t="shared" si="9"/>
        <v>#N/A</v>
      </c>
      <c r="AI125" s="270" t="e">
        <f>IF(AH125&lt;=1,"Remota",VLOOKUP(AH125,[71]Listas!$C$6:$D$10,2,0))</f>
        <v>#N/A</v>
      </c>
      <c r="AJ125" s="558" t="e">
        <f t="shared" si="10"/>
        <v>#N/A</v>
      </c>
      <c r="AK125" s="270" t="e">
        <f>IF(AJ125&lt;=1,"Insignificante",HLOOKUP(AJ125,[71]Listas!$F$3:$J$4,2,0))</f>
        <v>#N/A</v>
      </c>
      <c r="AL125" s="273" t="e">
        <f t="shared" si="11"/>
        <v>#N/A</v>
      </c>
      <c r="AM125" s="270" t="e">
        <f>INDEX([71]Listas!$F$6:$J$10,MATCH(AI125,[71]Listas!$D$6:$D$10,0),MATCH(AK125,[71]Listas!$F$4:$J$4,0))</f>
        <v>#N/A</v>
      </c>
      <c r="AN125" s="259"/>
      <c r="AO125" s="259"/>
      <c r="AP125" s="610"/>
      <c r="AQ125" s="259"/>
      <c r="AR125" s="259" t="s">
        <v>2343</v>
      </c>
      <c r="AS125" s="608"/>
      <c r="AT125" s="259"/>
      <c r="AU125" s="259"/>
      <c r="AV125" s="308"/>
      <c r="AW125" s="308"/>
      <c r="AX125" s="608"/>
      <c r="AY125" s="309"/>
      <c r="AZ125" s="310"/>
      <c r="BA125" s="310"/>
      <c r="BB125" s="310"/>
    </row>
    <row r="126" spans="1:54" s="260" customFormat="1" ht="103.5" hidden="1" customHeight="1">
      <c r="A126" s="608"/>
      <c r="B126" s="266"/>
      <c r="C126" s="1399"/>
      <c r="D126" s="1408"/>
      <c r="E126" s="1400"/>
      <c r="F126" s="267"/>
      <c r="G126" s="1399"/>
      <c r="H126" s="1408"/>
      <c r="I126" s="1400"/>
      <c r="J126" s="1380"/>
      <c r="K126" s="1380"/>
      <c r="L126" s="1380"/>
      <c r="M126" s="608"/>
      <c r="N126" s="608"/>
      <c r="O126" s="608"/>
      <c r="P126" s="608"/>
      <c r="Q126" s="266"/>
      <c r="R126" s="266"/>
      <c r="S126" s="268"/>
      <c r="T126" s="269" t="e">
        <f>VLOOKUP(Q126,[71]Listas!$D$6:$E$10,2,0)</f>
        <v>#N/A</v>
      </c>
      <c r="U126" s="269" t="e">
        <f>HLOOKUP(R126,[71]Listas!$F$4:$J$5,2,0)</f>
        <v>#N/A</v>
      </c>
      <c r="V126" s="270" t="e">
        <f>INDEX([71]Listas!$F$6:$J$10,MATCH(Q126,[71]Listas!$D$6:$D$10,0),MATCH(R126,[71]Listas!$F$4:$J$4,0))</f>
        <v>#N/A</v>
      </c>
      <c r="W126" s="268"/>
      <c r="X126" s="1399"/>
      <c r="Y126" s="1408"/>
      <c r="Z126" s="1400"/>
      <c r="AA126" s="1063"/>
      <c r="AB126" s="267"/>
      <c r="AC126" s="259"/>
      <c r="AD126" s="608"/>
      <c r="AE126" s="267"/>
      <c r="AF126" s="268"/>
      <c r="AG126" s="269">
        <f t="shared" si="8"/>
        <v>0</v>
      </c>
      <c r="AH126" s="558" t="e">
        <f t="shared" si="9"/>
        <v>#N/A</v>
      </c>
      <c r="AI126" s="270" t="e">
        <f>IF(AH126&lt;=1,"Remota",VLOOKUP(AH126,[71]Listas!$C$6:$D$10,2,0))</f>
        <v>#N/A</v>
      </c>
      <c r="AJ126" s="558" t="e">
        <f t="shared" si="10"/>
        <v>#N/A</v>
      </c>
      <c r="AK126" s="270" t="e">
        <f>IF(AJ126&lt;=1,"Insignificante",HLOOKUP(AJ126,[71]Listas!$F$3:$J$4,2,0))</f>
        <v>#N/A</v>
      </c>
      <c r="AL126" s="273" t="e">
        <f t="shared" si="11"/>
        <v>#N/A</v>
      </c>
      <c r="AM126" s="270" t="e">
        <f>INDEX([71]Listas!$F$6:$J$10,MATCH(AI126,[71]Listas!$D$6:$D$10,0),MATCH(AK126,[71]Listas!$F$4:$J$4,0))</f>
        <v>#N/A</v>
      </c>
      <c r="AN126" s="259"/>
      <c r="AO126" s="259"/>
      <c r="AP126" s="610"/>
      <c r="AQ126" s="259"/>
      <c r="AR126" s="259" t="s">
        <v>2343</v>
      </c>
      <c r="AS126" s="608"/>
      <c r="AT126" s="259"/>
      <c r="AU126" s="259"/>
      <c r="AV126" s="308"/>
      <c r="AW126" s="308"/>
      <c r="AX126" s="608"/>
      <c r="AY126" s="309"/>
      <c r="AZ126" s="310"/>
      <c r="BA126" s="310"/>
      <c r="BB126" s="310"/>
    </row>
    <row r="127" spans="1:54" s="260" customFormat="1" ht="103.5" hidden="1" customHeight="1">
      <c r="A127" s="608"/>
      <c r="B127" s="266"/>
      <c r="C127" s="1399"/>
      <c r="D127" s="1408"/>
      <c r="E127" s="1400"/>
      <c r="F127" s="267"/>
      <c r="G127" s="1399"/>
      <c r="H127" s="1408"/>
      <c r="I127" s="1400"/>
      <c r="J127" s="1380"/>
      <c r="K127" s="1380"/>
      <c r="L127" s="1380"/>
      <c r="M127" s="608"/>
      <c r="N127" s="608"/>
      <c r="O127" s="608"/>
      <c r="P127" s="608"/>
      <c r="Q127" s="266"/>
      <c r="R127" s="266"/>
      <c r="S127" s="268"/>
      <c r="T127" s="269" t="e">
        <f>VLOOKUP(Q127,[71]Listas!$D$6:$E$10,2,0)</f>
        <v>#N/A</v>
      </c>
      <c r="U127" s="269" t="e">
        <f>HLOOKUP(R127,[71]Listas!$F$4:$J$5,2,0)</f>
        <v>#N/A</v>
      </c>
      <c r="V127" s="270" t="e">
        <f>INDEX([71]Listas!$F$6:$J$10,MATCH(Q127,[71]Listas!$D$6:$D$10,0),MATCH(R127,[71]Listas!$F$4:$J$4,0))</f>
        <v>#N/A</v>
      </c>
      <c r="W127" s="268"/>
      <c r="X127" s="1399"/>
      <c r="Y127" s="1408"/>
      <c r="Z127" s="1400"/>
      <c r="AA127" s="1063"/>
      <c r="AB127" s="267"/>
      <c r="AC127" s="259"/>
      <c r="AD127" s="608"/>
      <c r="AE127" s="267"/>
      <c r="AF127" s="268"/>
      <c r="AG127" s="269">
        <f t="shared" si="8"/>
        <v>0</v>
      </c>
      <c r="AH127" s="558" t="e">
        <f t="shared" si="9"/>
        <v>#N/A</v>
      </c>
      <c r="AI127" s="270" t="e">
        <f>IF(AH127&lt;=1,"Remota",VLOOKUP(AH127,[71]Listas!$C$6:$D$10,2,0))</f>
        <v>#N/A</v>
      </c>
      <c r="AJ127" s="558" t="e">
        <f t="shared" si="10"/>
        <v>#N/A</v>
      </c>
      <c r="AK127" s="270" t="e">
        <f>IF(AJ127&lt;=1,"Insignificante",HLOOKUP(AJ127,[71]Listas!$F$3:$J$4,2,0))</f>
        <v>#N/A</v>
      </c>
      <c r="AL127" s="273" t="e">
        <f t="shared" si="11"/>
        <v>#N/A</v>
      </c>
      <c r="AM127" s="270" t="e">
        <f>INDEX([71]Listas!$F$6:$J$10,MATCH(AI127,[71]Listas!$D$6:$D$10,0),MATCH(AK127,[71]Listas!$F$4:$J$4,0))</f>
        <v>#N/A</v>
      </c>
      <c r="AN127" s="259"/>
      <c r="AO127" s="259"/>
      <c r="AP127" s="610"/>
      <c r="AQ127" s="259"/>
      <c r="AR127" s="259" t="s">
        <v>2343</v>
      </c>
      <c r="AS127" s="608"/>
      <c r="AT127" s="259"/>
      <c r="AU127" s="259"/>
      <c r="AV127" s="308"/>
      <c r="AW127" s="308"/>
      <c r="AX127" s="608"/>
      <c r="AY127" s="309"/>
      <c r="AZ127" s="310"/>
      <c r="BA127" s="310"/>
      <c r="BB127" s="310"/>
    </row>
    <row r="128" spans="1:54" s="260" customFormat="1" ht="103.5" hidden="1" customHeight="1">
      <c r="A128" s="608"/>
      <c r="B128" s="266"/>
      <c r="C128" s="1399"/>
      <c r="D128" s="1408"/>
      <c r="E128" s="1400"/>
      <c r="F128" s="267"/>
      <c r="G128" s="1399"/>
      <c r="H128" s="1408"/>
      <c r="I128" s="1400"/>
      <c r="J128" s="1380"/>
      <c r="K128" s="1380"/>
      <c r="L128" s="1380"/>
      <c r="M128" s="608"/>
      <c r="N128" s="608"/>
      <c r="O128" s="608"/>
      <c r="P128" s="608"/>
      <c r="Q128" s="266"/>
      <c r="R128" s="266"/>
      <c r="S128" s="268"/>
      <c r="T128" s="269" t="e">
        <f>VLOOKUP(Q128,[71]Listas!$D$6:$E$10,2,0)</f>
        <v>#N/A</v>
      </c>
      <c r="U128" s="269" t="e">
        <f>HLOOKUP(R128,[71]Listas!$F$4:$J$5,2,0)</f>
        <v>#N/A</v>
      </c>
      <c r="V128" s="270" t="e">
        <f>INDEX([71]Listas!$F$6:$J$10,MATCH(Q128,[71]Listas!$D$6:$D$10,0),MATCH(R128,[71]Listas!$F$4:$J$4,0))</f>
        <v>#N/A</v>
      </c>
      <c r="W128" s="268"/>
      <c r="X128" s="1399"/>
      <c r="Y128" s="1408"/>
      <c r="Z128" s="1400"/>
      <c r="AA128" s="1063"/>
      <c r="AB128" s="267"/>
      <c r="AC128" s="259"/>
      <c r="AD128" s="608"/>
      <c r="AE128" s="267"/>
      <c r="AF128" s="268"/>
      <c r="AG128" s="269">
        <f t="shared" si="8"/>
        <v>0</v>
      </c>
      <c r="AH128" s="558" t="e">
        <f t="shared" si="9"/>
        <v>#N/A</v>
      </c>
      <c r="AI128" s="270" t="e">
        <f>IF(AH128&lt;=1,"Remota",VLOOKUP(AH128,[71]Listas!$C$6:$D$10,2,0))</f>
        <v>#N/A</v>
      </c>
      <c r="AJ128" s="558" t="e">
        <f t="shared" si="10"/>
        <v>#N/A</v>
      </c>
      <c r="AK128" s="270" t="e">
        <f>IF(AJ128&lt;=1,"Insignificante",HLOOKUP(AJ128,[71]Listas!$F$3:$J$4,2,0))</f>
        <v>#N/A</v>
      </c>
      <c r="AL128" s="273" t="e">
        <f t="shared" si="11"/>
        <v>#N/A</v>
      </c>
      <c r="AM128" s="270" t="e">
        <f>INDEX([71]Listas!$F$6:$J$10,MATCH(AI128,[71]Listas!$D$6:$D$10,0),MATCH(AK128,[71]Listas!$F$4:$J$4,0))</f>
        <v>#N/A</v>
      </c>
      <c r="AN128" s="259"/>
      <c r="AO128" s="259"/>
      <c r="AP128" s="610"/>
      <c r="AQ128" s="259"/>
      <c r="AR128" s="259" t="s">
        <v>2343</v>
      </c>
      <c r="AS128" s="608"/>
      <c r="AT128" s="259"/>
      <c r="AU128" s="259"/>
      <c r="AV128" s="308"/>
      <c r="AW128" s="308"/>
      <c r="AX128" s="608"/>
      <c r="AY128" s="309"/>
      <c r="AZ128" s="310"/>
      <c r="BA128" s="310"/>
      <c r="BB128" s="310"/>
    </row>
    <row r="129" spans="1:54" s="260" customFormat="1" ht="103.5" hidden="1" customHeight="1">
      <c r="A129" s="608"/>
      <c r="B129" s="266"/>
      <c r="C129" s="1399"/>
      <c r="D129" s="1408"/>
      <c r="E129" s="1400"/>
      <c r="F129" s="267"/>
      <c r="G129" s="1399"/>
      <c r="H129" s="1408"/>
      <c r="I129" s="1400"/>
      <c r="J129" s="1380"/>
      <c r="K129" s="1380"/>
      <c r="L129" s="1380"/>
      <c r="M129" s="608"/>
      <c r="N129" s="608"/>
      <c r="O129" s="608"/>
      <c r="P129" s="608"/>
      <c r="Q129" s="266"/>
      <c r="R129" s="266"/>
      <c r="S129" s="268"/>
      <c r="T129" s="269" t="e">
        <f>VLOOKUP(Q129,[71]Listas!$D$6:$E$10,2,0)</f>
        <v>#N/A</v>
      </c>
      <c r="U129" s="269" t="e">
        <f>HLOOKUP(R129,[71]Listas!$F$4:$J$5,2,0)</f>
        <v>#N/A</v>
      </c>
      <c r="V129" s="270" t="e">
        <f>INDEX([71]Listas!$F$6:$J$10,MATCH(Q129,[71]Listas!$D$6:$D$10,0),MATCH(R129,[71]Listas!$F$4:$J$4,0))</f>
        <v>#N/A</v>
      </c>
      <c r="W129" s="268"/>
      <c r="X129" s="1399"/>
      <c r="Y129" s="1408"/>
      <c r="Z129" s="1400"/>
      <c r="AA129" s="1063"/>
      <c r="AB129" s="267"/>
      <c r="AC129" s="259"/>
      <c r="AD129" s="608"/>
      <c r="AE129" s="267"/>
      <c r="AF129" s="268"/>
      <c r="AG129" s="269">
        <f t="shared" si="8"/>
        <v>0</v>
      </c>
      <c r="AH129" s="558" t="e">
        <f t="shared" si="9"/>
        <v>#N/A</v>
      </c>
      <c r="AI129" s="270" t="e">
        <f>IF(AH129&lt;=1,"Remota",VLOOKUP(AH129,[71]Listas!$C$6:$D$10,2,0))</f>
        <v>#N/A</v>
      </c>
      <c r="AJ129" s="558" t="e">
        <f t="shared" si="10"/>
        <v>#N/A</v>
      </c>
      <c r="AK129" s="270" t="e">
        <f>IF(AJ129&lt;=1,"Insignificante",HLOOKUP(AJ129,[71]Listas!$F$3:$J$4,2,0))</f>
        <v>#N/A</v>
      </c>
      <c r="AL129" s="273" t="e">
        <f t="shared" si="11"/>
        <v>#N/A</v>
      </c>
      <c r="AM129" s="270" t="e">
        <f>INDEX([71]Listas!$F$6:$J$10,MATCH(AI129,[71]Listas!$D$6:$D$10,0),MATCH(AK129,[71]Listas!$F$4:$J$4,0))</f>
        <v>#N/A</v>
      </c>
      <c r="AN129" s="259"/>
      <c r="AO129" s="259"/>
      <c r="AP129" s="610"/>
      <c r="AQ129" s="259"/>
      <c r="AR129" s="259" t="s">
        <v>2343</v>
      </c>
      <c r="AS129" s="608"/>
      <c r="AT129" s="259"/>
      <c r="AU129" s="259"/>
      <c r="AV129" s="308"/>
      <c r="AW129" s="308"/>
      <c r="AX129" s="608"/>
      <c r="AY129" s="309"/>
      <c r="AZ129" s="310"/>
      <c r="BA129" s="310"/>
      <c r="BB129" s="310"/>
    </row>
    <row r="130" spans="1:54" s="260" customFormat="1" ht="103.5" hidden="1" customHeight="1">
      <c r="A130" s="608"/>
      <c r="B130" s="266"/>
      <c r="C130" s="1399"/>
      <c r="D130" s="1408"/>
      <c r="E130" s="1400"/>
      <c r="F130" s="267"/>
      <c r="G130" s="1399"/>
      <c r="H130" s="1408"/>
      <c r="I130" s="1400"/>
      <c r="J130" s="1380"/>
      <c r="K130" s="1380"/>
      <c r="L130" s="1380"/>
      <c r="M130" s="608"/>
      <c r="N130" s="608"/>
      <c r="O130" s="608"/>
      <c r="P130" s="608"/>
      <c r="Q130" s="266"/>
      <c r="R130" s="266"/>
      <c r="S130" s="268"/>
      <c r="T130" s="269" t="e">
        <f>VLOOKUP(Q130,[71]Listas!$D$6:$E$10,2,0)</f>
        <v>#N/A</v>
      </c>
      <c r="U130" s="269" t="e">
        <f>HLOOKUP(R130,[71]Listas!$F$4:$J$5,2,0)</f>
        <v>#N/A</v>
      </c>
      <c r="V130" s="270" t="e">
        <f>INDEX([71]Listas!$F$6:$J$10,MATCH(Q130,[71]Listas!$D$6:$D$10,0),MATCH(R130,[71]Listas!$F$4:$J$4,0))</f>
        <v>#N/A</v>
      </c>
      <c r="W130" s="268"/>
      <c r="X130" s="1399"/>
      <c r="Y130" s="1408"/>
      <c r="Z130" s="1400"/>
      <c r="AA130" s="1063"/>
      <c r="AB130" s="267"/>
      <c r="AC130" s="259"/>
      <c r="AD130" s="608"/>
      <c r="AE130" s="267"/>
      <c r="AF130" s="268"/>
      <c r="AG130" s="269">
        <f t="shared" si="8"/>
        <v>0</v>
      </c>
      <c r="AH130" s="558" t="e">
        <f t="shared" si="9"/>
        <v>#N/A</v>
      </c>
      <c r="AI130" s="270" t="e">
        <f>IF(AH130&lt;=1,"Remota",VLOOKUP(AH130,[71]Listas!$C$6:$D$10,2,0))</f>
        <v>#N/A</v>
      </c>
      <c r="AJ130" s="558" t="e">
        <f t="shared" si="10"/>
        <v>#N/A</v>
      </c>
      <c r="AK130" s="270" t="e">
        <f>IF(AJ130&lt;=1,"Insignificante",HLOOKUP(AJ130,[71]Listas!$F$3:$J$4,2,0))</f>
        <v>#N/A</v>
      </c>
      <c r="AL130" s="273" t="e">
        <f t="shared" si="11"/>
        <v>#N/A</v>
      </c>
      <c r="AM130" s="270" t="e">
        <f>INDEX([71]Listas!$F$6:$J$10,MATCH(AI130,[71]Listas!$D$6:$D$10,0),MATCH(AK130,[71]Listas!$F$4:$J$4,0))</f>
        <v>#N/A</v>
      </c>
      <c r="AN130" s="259"/>
      <c r="AO130" s="259"/>
      <c r="AP130" s="610"/>
      <c r="AQ130" s="259"/>
      <c r="AR130" s="259" t="s">
        <v>2343</v>
      </c>
      <c r="AS130" s="608"/>
      <c r="AT130" s="259"/>
      <c r="AU130" s="259"/>
      <c r="AV130" s="308"/>
      <c r="AW130" s="308"/>
      <c r="AX130" s="608"/>
      <c r="AY130" s="309"/>
      <c r="AZ130" s="310"/>
      <c r="BA130" s="310"/>
      <c r="BB130" s="310"/>
    </row>
    <row r="131" spans="1:54" s="260" customFormat="1" ht="103.5" hidden="1" customHeight="1">
      <c r="A131" s="608"/>
      <c r="B131" s="266"/>
      <c r="C131" s="1399"/>
      <c r="D131" s="1408"/>
      <c r="E131" s="1400"/>
      <c r="F131" s="267"/>
      <c r="G131" s="1399"/>
      <c r="H131" s="1408"/>
      <c r="I131" s="1400"/>
      <c r="J131" s="1380"/>
      <c r="K131" s="1380"/>
      <c r="L131" s="1380"/>
      <c r="M131" s="608"/>
      <c r="N131" s="608"/>
      <c r="O131" s="608"/>
      <c r="P131" s="608"/>
      <c r="Q131" s="266"/>
      <c r="R131" s="266"/>
      <c r="S131" s="268"/>
      <c r="T131" s="269" t="e">
        <f>VLOOKUP(Q131,[71]Listas!$D$6:$E$10,2,0)</f>
        <v>#N/A</v>
      </c>
      <c r="U131" s="269" t="e">
        <f>HLOOKUP(R131,[71]Listas!$F$4:$J$5,2,0)</f>
        <v>#N/A</v>
      </c>
      <c r="V131" s="270" t="e">
        <f>INDEX([71]Listas!$F$6:$J$10,MATCH(Q131,[71]Listas!$D$6:$D$10,0),MATCH(R131,[71]Listas!$F$4:$J$4,0))</f>
        <v>#N/A</v>
      </c>
      <c r="W131" s="268"/>
      <c r="X131" s="1399"/>
      <c r="Y131" s="1408"/>
      <c r="Z131" s="1400"/>
      <c r="AA131" s="1063"/>
      <c r="AB131" s="267"/>
      <c r="AC131" s="259"/>
      <c r="AD131" s="608"/>
      <c r="AE131" s="267"/>
      <c r="AF131" s="268"/>
      <c r="AG131" s="269">
        <f t="shared" si="8"/>
        <v>0</v>
      </c>
      <c r="AH131" s="558" t="e">
        <f t="shared" si="9"/>
        <v>#N/A</v>
      </c>
      <c r="AI131" s="270" t="e">
        <f>IF(AH131&lt;=1,"Remota",VLOOKUP(AH131,[71]Listas!$C$6:$D$10,2,0))</f>
        <v>#N/A</v>
      </c>
      <c r="AJ131" s="558" t="e">
        <f t="shared" si="10"/>
        <v>#N/A</v>
      </c>
      <c r="AK131" s="270" t="e">
        <f>IF(AJ131&lt;=1,"Insignificante",HLOOKUP(AJ131,[71]Listas!$F$3:$J$4,2,0))</f>
        <v>#N/A</v>
      </c>
      <c r="AL131" s="273" t="e">
        <f t="shared" si="11"/>
        <v>#N/A</v>
      </c>
      <c r="AM131" s="270" t="e">
        <f>INDEX([71]Listas!$F$6:$J$10,MATCH(AI131,[71]Listas!$D$6:$D$10,0),MATCH(AK131,[71]Listas!$F$4:$J$4,0))</f>
        <v>#N/A</v>
      </c>
      <c r="AN131" s="259"/>
      <c r="AO131" s="259"/>
      <c r="AP131" s="610"/>
      <c r="AQ131" s="259"/>
      <c r="AR131" s="259" t="s">
        <v>2343</v>
      </c>
      <c r="AS131" s="608"/>
      <c r="AT131" s="259"/>
      <c r="AU131" s="259"/>
      <c r="AV131" s="308"/>
      <c r="AW131" s="308"/>
      <c r="AX131" s="608"/>
      <c r="AY131" s="309"/>
      <c r="AZ131" s="310"/>
      <c r="BA131" s="310"/>
      <c r="BB131" s="310"/>
    </row>
    <row r="132" spans="1:54" s="260" customFormat="1" ht="103.5" hidden="1" customHeight="1">
      <c r="A132" s="608"/>
      <c r="B132" s="266"/>
      <c r="C132" s="1399"/>
      <c r="D132" s="1408"/>
      <c r="E132" s="1400"/>
      <c r="F132" s="267"/>
      <c r="G132" s="1399"/>
      <c r="H132" s="1408"/>
      <c r="I132" s="1400"/>
      <c r="J132" s="1380"/>
      <c r="K132" s="1380"/>
      <c r="L132" s="1380"/>
      <c r="M132" s="608"/>
      <c r="N132" s="608"/>
      <c r="O132" s="608"/>
      <c r="P132" s="608"/>
      <c r="Q132" s="266"/>
      <c r="R132" s="266"/>
      <c r="S132" s="268"/>
      <c r="T132" s="269" t="e">
        <f>VLOOKUP(Q132,[71]Listas!$D$6:$E$10,2,0)</f>
        <v>#N/A</v>
      </c>
      <c r="U132" s="269" t="e">
        <f>HLOOKUP(R132,[71]Listas!$F$4:$J$5,2,0)</f>
        <v>#N/A</v>
      </c>
      <c r="V132" s="270" t="e">
        <f>INDEX([71]Listas!$F$6:$J$10,MATCH(Q132,[71]Listas!$D$6:$D$10,0),MATCH(R132,[71]Listas!$F$4:$J$4,0))</f>
        <v>#N/A</v>
      </c>
      <c r="W132" s="268"/>
      <c r="X132" s="1399"/>
      <c r="Y132" s="1408"/>
      <c r="Z132" s="1400"/>
      <c r="AA132" s="1063"/>
      <c r="AB132" s="267"/>
      <c r="AC132" s="259"/>
      <c r="AD132" s="608"/>
      <c r="AE132" s="267"/>
      <c r="AF132" s="268"/>
      <c r="AG132" s="269">
        <f t="shared" si="8"/>
        <v>0</v>
      </c>
      <c r="AH132" s="558" t="e">
        <f t="shared" si="9"/>
        <v>#N/A</v>
      </c>
      <c r="AI132" s="270" t="e">
        <f>IF(AH132&lt;=1,"Remota",VLOOKUP(AH132,[71]Listas!$C$6:$D$10,2,0))</f>
        <v>#N/A</v>
      </c>
      <c r="AJ132" s="558" t="e">
        <f t="shared" si="10"/>
        <v>#N/A</v>
      </c>
      <c r="AK132" s="270" t="e">
        <f>IF(AJ132&lt;=1,"Insignificante",HLOOKUP(AJ132,[71]Listas!$F$3:$J$4,2,0))</f>
        <v>#N/A</v>
      </c>
      <c r="AL132" s="273" t="e">
        <f t="shared" si="11"/>
        <v>#N/A</v>
      </c>
      <c r="AM132" s="270" t="e">
        <f>INDEX([71]Listas!$F$6:$J$10,MATCH(AI132,[71]Listas!$D$6:$D$10,0),MATCH(AK132,[71]Listas!$F$4:$J$4,0))</f>
        <v>#N/A</v>
      </c>
      <c r="AN132" s="259"/>
      <c r="AO132" s="259"/>
      <c r="AP132" s="610"/>
      <c r="AQ132" s="259"/>
      <c r="AR132" s="259" t="s">
        <v>2343</v>
      </c>
      <c r="AS132" s="608"/>
      <c r="AT132" s="259"/>
      <c r="AU132" s="259"/>
      <c r="AV132" s="308"/>
      <c r="AW132" s="308"/>
      <c r="AX132" s="608"/>
      <c r="AY132" s="309"/>
      <c r="AZ132" s="310"/>
      <c r="BA132" s="310"/>
      <c r="BB132" s="310"/>
    </row>
    <row r="133" spans="1:54" s="260" customFormat="1" ht="103.5" hidden="1" customHeight="1">
      <c r="A133" s="608"/>
      <c r="B133" s="266"/>
      <c r="C133" s="1399"/>
      <c r="D133" s="1408"/>
      <c r="E133" s="1400"/>
      <c r="F133" s="267"/>
      <c r="G133" s="1399"/>
      <c r="H133" s="1408"/>
      <c r="I133" s="1400"/>
      <c r="J133" s="1380"/>
      <c r="K133" s="1380"/>
      <c r="L133" s="1380"/>
      <c r="M133" s="608"/>
      <c r="N133" s="608"/>
      <c r="O133" s="608"/>
      <c r="P133" s="608"/>
      <c r="Q133" s="266"/>
      <c r="R133" s="266"/>
      <c r="S133" s="268"/>
      <c r="T133" s="269" t="e">
        <f>VLOOKUP(Q133,[71]Listas!$D$6:$E$10,2,0)</f>
        <v>#N/A</v>
      </c>
      <c r="U133" s="269" t="e">
        <f>HLOOKUP(R133,[71]Listas!$F$4:$J$5,2,0)</f>
        <v>#N/A</v>
      </c>
      <c r="V133" s="270" t="e">
        <f>INDEX([71]Listas!$F$6:$J$10,MATCH(Q133,[71]Listas!$D$6:$D$10,0),MATCH(R133,[71]Listas!$F$4:$J$4,0))</f>
        <v>#N/A</v>
      </c>
      <c r="W133" s="268"/>
      <c r="X133" s="1399"/>
      <c r="Y133" s="1408"/>
      <c r="Z133" s="1400"/>
      <c r="AA133" s="1063"/>
      <c r="AB133" s="267"/>
      <c r="AC133" s="259"/>
      <c r="AD133" s="608"/>
      <c r="AE133" s="267"/>
      <c r="AF133" s="268"/>
      <c r="AG133" s="269">
        <f t="shared" si="8"/>
        <v>0</v>
      </c>
      <c r="AH133" s="558" t="e">
        <f t="shared" si="9"/>
        <v>#N/A</v>
      </c>
      <c r="AI133" s="270" t="e">
        <f>IF(AH133&lt;=1,"Remota",VLOOKUP(AH133,[71]Listas!$C$6:$D$10,2,0))</f>
        <v>#N/A</v>
      </c>
      <c r="AJ133" s="558" t="e">
        <f t="shared" si="10"/>
        <v>#N/A</v>
      </c>
      <c r="AK133" s="270" t="e">
        <f>IF(AJ133&lt;=1,"Insignificante",HLOOKUP(AJ133,[71]Listas!$F$3:$J$4,2,0))</f>
        <v>#N/A</v>
      </c>
      <c r="AL133" s="273" t="e">
        <f t="shared" si="11"/>
        <v>#N/A</v>
      </c>
      <c r="AM133" s="270" t="e">
        <f>INDEX([71]Listas!$F$6:$J$10,MATCH(AI133,[71]Listas!$D$6:$D$10,0),MATCH(AK133,[71]Listas!$F$4:$J$4,0))</f>
        <v>#N/A</v>
      </c>
      <c r="AN133" s="259"/>
      <c r="AO133" s="259"/>
      <c r="AP133" s="610"/>
      <c r="AQ133" s="259"/>
      <c r="AR133" s="259" t="s">
        <v>2343</v>
      </c>
      <c r="AS133" s="608"/>
      <c r="AT133" s="259"/>
      <c r="AU133" s="259"/>
      <c r="AV133" s="308"/>
      <c r="AW133" s="308"/>
      <c r="AX133" s="608"/>
      <c r="AY133" s="309"/>
      <c r="AZ133" s="310"/>
      <c r="BA133" s="310"/>
      <c r="BB133" s="310"/>
    </row>
    <row r="134" spans="1:54" s="260" customFormat="1" ht="103.5" hidden="1" customHeight="1">
      <c r="A134" s="608"/>
      <c r="B134" s="266"/>
      <c r="C134" s="1399"/>
      <c r="D134" s="1408"/>
      <c r="E134" s="1400"/>
      <c r="F134" s="267"/>
      <c r="G134" s="1399"/>
      <c r="H134" s="1408"/>
      <c r="I134" s="1400"/>
      <c r="J134" s="1380"/>
      <c r="K134" s="1380"/>
      <c r="L134" s="1380"/>
      <c r="M134" s="608"/>
      <c r="N134" s="608"/>
      <c r="O134" s="608"/>
      <c r="P134" s="608"/>
      <c r="Q134" s="266"/>
      <c r="R134" s="266"/>
      <c r="S134" s="268"/>
      <c r="T134" s="269" t="e">
        <f>VLOOKUP(Q134,[71]Listas!$D$6:$E$10,2,0)</f>
        <v>#N/A</v>
      </c>
      <c r="U134" s="269" t="e">
        <f>HLOOKUP(R134,[71]Listas!$F$4:$J$5,2,0)</f>
        <v>#N/A</v>
      </c>
      <c r="V134" s="270" t="e">
        <f>INDEX([71]Listas!$F$6:$J$10,MATCH(Q134,[71]Listas!$D$6:$D$10,0),MATCH(R134,[71]Listas!$F$4:$J$4,0))</f>
        <v>#N/A</v>
      </c>
      <c r="W134" s="268"/>
      <c r="X134" s="1399"/>
      <c r="Y134" s="1408"/>
      <c r="Z134" s="1400"/>
      <c r="AA134" s="1063"/>
      <c r="AB134" s="267"/>
      <c r="AC134" s="259"/>
      <c r="AD134" s="608"/>
      <c r="AE134" s="267"/>
      <c r="AF134" s="268"/>
      <c r="AG134" s="269">
        <f t="shared" si="8"/>
        <v>0</v>
      </c>
      <c r="AH134" s="558" t="e">
        <f t="shared" si="9"/>
        <v>#N/A</v>
      </c>
      <c r="AI134" s="270" t="e">
        <f>IF(AH134&lt;=1,"Remota",VLOOKUP(AH134,[71]Listas!$C$6:$D$10,2,0))</f>
        <v>#N/A</v>
      </c>
      <c r="AJ134" s="558" t="e">
        <f t="shared" si="10"/>
        <v>#N/A</v>
      </c>
      <c r="AK134" s="270" t="e">
        <f>IF(AJ134&lt;=1,"Insignificante",HLOOKUP(AJ134,[71]Listas!$F$3:$J$4,2,0))</f>
        <v>#N/A</v>
      </c>
      <c r="AL134" s="273" t="e">
        <f t="shared" si="11"/>
        <v>#N/A</v>
      </c>
      <c r="AM134" s="270" t="e">
        <f>INDEX([71]Listas!$F$6:$J$10,MATCH(AI134,[71]Listas!$D$6:$D$10,0),MATCH(AK134,[71]Listas!$F$4:$J$4,0))</f>
        <v>#N/A</v>
      </c>
      <c r="AN134" s="259"/>
      <c r="AO134" s="259"/>
      <c r="AP134" s="610"/>
      <c r="AQ134" s="259"/>
      <c r="AR134" s="259" t="s">
        <v>2343</v>
      </c>
      <c r="AS134" s="608"/>
      <c r="AT134" s="259"/>
      <c r="AU134" s="259"/>
      <c r="AV134" s="308"/>
      <c r="AW134" s="308"/>
      <c r="AX134" s="608"/>
      <c r="AY134" s="309"/>
      <c r="AZ134" s="310"/>
      <c r="BA134" s="310"/>
      <c r="BB134" s="310"/>
    </row>
    <row r="135" spans="1:54" s="260" customFormat="1" ht="103.5" hidden="1" customHeight="1">
      <c r="A135" s="608"/>
      <c r="B135" s="266"/>
      <c r="C135" s="1399"/>
      <c r="D135" s="1408"/>
      <c r="E135" s="1400"/>
      <c r="F135" s="267"/>
      <c r="G135" s="1399"/>
      <c r="H135" s="1408"/>
      <c r="I135" s="1400"/>
      <c r="J135" s="1380"/>
      <c r="K135" s="1380"/>
      <c r="L135" s="1380"/>
      <c r="M135" s="608"/>
      <c r="N135" s="608"/>
      <c r="O135" s="608"/>
      <c r="P135" s="608"/>
      <c r="Q135" s="266"/>
      <c r="R135" s="266"/>
      <c r="S135" s="268"/>
      <c r="T135" s="269" t="e">
        <f>VLOOKUP(Q135,[71]Listas!$D$6:$E$10,2,0)</f>
        <v>#N/A</v>
      </c>
      <c r="U135" s="269" t="e">
        <f>HLOOKUP(R135,[71]Listas!$F$4:$J$5,2,0)</f>
        <v>#N/A</v>
      </c>
      <c r="V135" s="270" t="e">
        <f>INDEX([71]Listas!$F$6:$J$10,MATCH(Q135,[71]Listas!$D$6:$D$10,0),MATCH(R135,[71]Listas!$F$4:$J$4,0))</f>
        <v>#N/A</v>
      </c>
      <c r="W135" s="268"/>
      <c r="X135" s="1399"/>
      <c r="Y135" s="1408"/>
      <c r="Z135" s="1400"/>
      <c r="AA135" s="1063"/>
      <c r="AB135" s="267"/>
      <c r="AC135" s="259"/>
      <c r="AD135" s="608"/>
      <c r="AE135" s="267"/>
      <c r="AF135" s="268"/>
      <c r="AG135" s="269">
        <f t="shared" si="8"/>
        <v>0</v>
      </c>
      <c r="AH135" s="558" t="e">
        <f t="shared" si="9"/>
        <v>#N/A</v>
      </c>
      <c r="AI135" s="270" t="e">
        <f>IF(AH135&lt;=1,"Remota",VLOOKUP(AH135,[71]Listas!$C$6:$D$10,2,0))</f>
        <v>#N/A</v>
      </c>
      <c r="AJ135" s="558" t="e">
        <f t="shared" si="10"/>
        <v>#N/A</v>
      </c>
      <c r="AK135" s="270" t="e">
        <f>IF(AJ135&lt;=1,"Insignificante",HLOOKUP(AJ135,[71]Listas!$F$3:$J$4,2,0))</f>
        <v>#N/A</v>
      </c>
      <c r="AL135" s="273" t="e">
        <f t="shared" si="11"/>
        <v>#N/A</v>
      </c>
      <c r="AM135" s="270" t="e">
        <f>INDEX([71]Listas!$F$6:$J$10,MATCH(AI135,[71]Listas!$D$6:$D$10,0),MATCH(AK135,[71]Listas!$F$4:$J$4,0))</f>
        <v>#N/A</v>
      </c>
      <c r="AN135" s="259"/>
      <c r="AO135" s="259"/>
      <c r="AP135" s="610"/>
      <c r="AQ135" s="259"/>
      <c r="AR135" s="259" t="s">
        <v>2343</v>
      </c>
      <c r="AS135" s="608"/>
      <c r="AT135" s="259"/>
      <c r="AU135" s="259"/>
      <c r="AV135" s="308"/>
      <c r="AW135" s="308"/>
      <c r="AX135" s="608"/>
      <c r="AY135" s="309"/>
      <c r="AZ135" s="310"/>
      <c r="BA135" s="310"/>
      <c r="BB135" s="310"/>
    </row>
    <row r="136" spans="1:54" s="260" customFormat="1" ht="103.5" hidden="1" customHeight="1">
      <c r="A136" s="608"/>
      <c r="B136" s="266"/>
      <c r="C136" s="1399"/>
      <c r="D136" s="1408"/>
      <c r="E136" s="1400"/>
      <c r="F136" s="267"/>
      <c r="G136" s="1399"/>
      <c r="H136" s="1408"/>
      <c r="I136" s="1400"/>
      <c r="J136" s="1380"/>
      <c r="K136" s="1380"/>
      <c r="L136" s="1380"/>
      <c r="M136" s="608"/>
      <c r="N136" s="608"/>
      <c r="O136" s="608"/>
      <c r="P136" s="608"/>
      <c r="Q136" s="266"/>
      <c r="R136" s="266"/>
      <c r="S136" s="268"/>
      <c r="T136" s="269" t="e">
        <f>VLOOKUP(Q136,[71]Listas!$D$6:$E$10,2,0)</f>
        <v>#N/A</v>
      </c>
      <c r="U136" s="269" t="e">
        <f>HLOOKUP(R136,[71]Listas!$F$4:$J$5,2,0)</f>
        <v>#N/A</v>
      </c>
      <c r="V136" s="270" t="e">
        <f>INDEX([71]Listas!$F$6:$J$10,MATCH(Q136,[71]Listas!$D$6:$D$10,0),MATCH(R136,[71]Listas!$F$4:$J$4,0))</f>
        <v>#N/A</v>
      </c>
      <c r="W136" s="268"/>
      <c r="X136" s="1399"/>
      <c r="Y136" s="1408"/>
      <c r="Z136" s="1400"/>
      <c r="AA136" s="1063"/>
      <c r="AB136" s="267"/>
      <c r="AC136" s="259"/>
      <c r="AD136" s="608"/>
      <c r="AE136" s="267"/>
      <c r="AF136" s="268"/>
      <c r="AG136" s="269">
        <f t="shared" si="8"/>
        <v>0</v>
      </c>
      <c r="AH136" s="558" t="e">
        <f t="shared" si="9"/>
        <v>#N/A</v>
      </c>
      <c r="AI136" s="270" t="e">
        <f>IF(AH136&lt;=1,"Remota",VLOOKUP(AH136,[71]Listas!$C$6:$D$10,2,0))</f>
        <v>#N/A</v>
      </c>
      <c r="AJ136" s="558" t="e">
        <f t="shared" si="10"/>
        <v>#N/A</v>
      </c>
      <c r="AK136" s="270" t="e">
        <f>IF(AJ136&lt;=1,"Insignificante",HLOOKUP(AJ136,[71]Listas!$F$3:$J$4,2,0))</f>
        <v>#N/A</v>
      </c>
      <c r="AL136" s="273" t="e">
        <f t="shared" si="11"/>
        <v>#N/A</v>
      </c>
      <c r="AM136" s="270" t="e">
        <f>INDEX([71]Listas!$F$6:$J$10,MATCH(AI136,[71]Listas!$D$6:$D$10,0),MATCH(AK136,[71]Listas!$F$4:$J$4,0))</f>
        <v>#N/A</v>
      </c>
      <c r="AN136" s="259"/>
      <c r="AO136" s="259"/>
      <c r="AP136" s="610"/>
      <c r="AQ136" s="259"/>
      <c r="AR136" s="259" t="s">
        <v>2343</v>
      </c>
      <c r="AS136" s="608"/>
      <c r="AT136" s="259"/>
      <c r="AU136" s="259"/>
      <c r="AV136" s="308"/>
      <c r="AW136" s="308"/>
      <c r="AX136" s="608"/>
      <c r="AY136" s="309"/>
      <c r="AZ136" s="310"/>
      <c r="BA136" s="310"/>
      <c r="BB136" s="310"/>
    </row>
    <row r="137" spans="1:54" s="260" customFormat="1" ht="103.5" hidden="1" customHeight="1">
      <c r="A137" s="608"/>
      <c r="B137" s="266"/>
      <c r="C137" s="1399"/>
      <c r="D137" s="1408"/>
      <c r="E137" s="1400"/>
      <c r="F137" s="267"/>
      <c r="G137" s="1399"/>
      <c r="H137" s="1408"/>
      <c r="I137" s="1400"/>
      <c r="J137" s="1380"/>
      <c r="K137" s="1380"/>
      <c r="L137" s="1380"/>
      <c r="M137" s="608"/>
      <c r="N137" s="608"/>
      <c r="O137" s="608"/>
      <c r="P137" s="608"/>
      <c r="Q137" s="266"/>
      <c r="R137" s="266"/>
      <c r="S137" s="268"/>
      <c r="T137" s="269" t="e">
        <f>VLOOKUP(Q137,[71]Listas!$D$6:$E$10,2,0)</f>
        <v>#N/A</v>
      </c>
      <c r="U137" s="269" t="e">
        <f>HLOOKUP(R137,[71]Listas!$F$4:$J$5,2,0)</f>
        <v>#N/A</v>
      </c>
      <c r="V137" s="270" t="e">
        <f>INDEX([71]Listas!$F$6:$J$10,MATCH(Q137,[71]Listas!$D$6:$D$10,0),MATCH(R137,[71]Listas!$F$4:$J$4,0))</f>
        <v>#N/A</v>
      </c>
      <c r="W137" s="268"/>
      <c r="X137" s="1399"/>
      <c r="Y137" s="1408"/>
      <c r="Z137" s="1400"/>
      <c r="AA137" s="1063"/>
      <c r="AB137" s="267"/>
      <c r="AC137" s="259"/>
      <c r="AD137" s="608"/>
      <c r="AE137" s="267"/>
      <c r="AF137" s="268"/>
      <c r="AG137" s="269">
        <f t="shared" si="8"/>
        <v>0</v>
      </c>
      <c r="AH137" s="558" t="e">
        <f t="shared" si="9"/>
        <v>#N/A</v>
      </c>
      <c r="AI137" s="270" t="e">
        <f>IF(AH137&lt;=1,"Remota",VLOOKUP(AH137,[71]Listas!$C$6:$D$10,2,0))</f>
        <v>#N/A</v>
      </c>
      <c r="AJ137" s="558" t="e">
        <f t="shared" si="10"/>
        <v>#N/A</v>
      </c>
      <c r="AK137" s="270" t="e">
        <f>IF(AJ137&lt;=1,"Insignificante",HLOOKUP(AJ137,[71]Listas!$F$3:$J$4,2,0))</f>
        <v>#N/A</v>
      </c>
      <c r="AL137" s="273" t="e">
        <f t="shared" si="11"/>
        <v>#N/A</v>
      </c>
      <c r="AM137" s="270" t="e">
        <f>INDEX([71]Listas!$F$6:$J$10,MATCH(AI137,[71]Listas!$D$6:$D$10,0),MATCH(AK137,[71]Listas!$F$4:$J$4,0))</f>
        <v>#N/A</v>
      </c>
      <c r="AN137" s="259"/>
      <c r="AO137" s="259"/>
      <c r="AP137" s="610"/>
      <c r="AQ137" s="259"/>
      <c r="AR137" s="259" t="s">
        <v>2343</v>
      </c>
      <c r="AS137" s="608"/>
      <c r="AT137" s="259"/>
      <c r="AU137" s="259"/>
      <c r="AV137" s="308"/>
      <c r="AW137" s="308"/>
      <c r="AX137" s="608"/>
      <c r="AY137" s="309"/>
      <c r="AZ137" s="310"/>
      <c r="BA137" s="310"/>
      <c r="BB137" s="310"/>
    </row>
    <row r="138" spans="1:54" s="260" customFormat="1" ht="103.5" hidden="1" customHeight="1">
      <c r="A138" s="608"/>
      <c r="B138" s="266"/>
      <c r="C138" s="1399"/>
      <c r="D138" s="1408"/>
      <c r="E138" s="1400"/>
      <c r="F138" s="267"/>
      <c r="G138" s="1399"/>
      <c r="H138" s="1408"/>
      <c r="I138" s="1400"/>
      <c r="J138" s="1380"/>
      <c r="K138" s="1380"/>
      <c r="L138" s="1380"/>
      <c r="M138" s="608"/>
      <c r="N138" s="608"/>
      <c r="O138" s="608"/>
      <c r="P138" s="608"/>
      <c r="Q138" s="266"/>
      <c r="R138" s="266"/>
      <c r="S138" s="268"/>
      <c r="T138" s="269" t="e">
        <f>VLOOKUP(Q138,[71]Listas!$D$6:$E$10,2,0)</f>
        <v>#N/A</v>
      </c>
      <c r="U138" s="269" t="e">
        <f>HLOOKUP(R138,[71]Listas!$F$4:$J$5,2,0)</f>
        <v>#N/A</v>
      </c>
      <c r="V138" s="270" t="e">
        <f>INDEX([71]Listas!$F$6:$J$10,MATCH(Q138,[71]Listas!$D$6:$D$10,0),MATCH(R138,[71]Listas!$F$4:$J$4,0))</f>
        <v>#N/A</v>
      </c>
      <c r="W138" s="268"/>
      <c r="X138" s="1399"/>
      <c r="Y138" s="1408"/>
      <c r="Z138" s="1400"/>
      <c r="AA138" s="1063"/>
      <c r="AB138" s="267"/>
      <c r="AC138" s="259"/>
      <c r="AD138" s="608"/>
      <c r="AE138" s="267"/>
      <c r="AF138" s="268"/>
      <c r="AG138" s="269">
        <f t="shared" si="8"/>
        <v>0</v>
      </c>
      <c r="AH138" s="558" t="e">
        <f t="shared" si="9"/>
        <v>#N/A</v>
      </c>
      <c r="AI138" s="270" t="e">
        <f>IF(AH138&lt;=1,"Remota",VLOOKUP(AH138,[71]Listas!$C$6:$D$10,2,0))</f>
        <v>#N/A</v>
      </c>
      <c r="AJ138" s="558" t="e">
        <f t="shared" si="10"/>
        <v>#N/A</v>
      </c>
      <c r="AK138" s="270" t="e">
        <f>IF(AJ138&lt;=1,"Insignificante",HLOOKUP(AJ138,[71]Listas!$F$3:$J$4,2,0))</f>
        <v>#N/A</v>
      </c>
      <c r="AL138" s="273" t="e">
        <f t="shared" si="11"/>
        <v>#N/A</v>
      </c>
      <c r="AM138" s="270" t="e">
        <f>INDEX([71]Listas!$F$6:$J$10,MATCH(AI138,[71]Listas!$D$6:$D$10,0),MATCH(AK138,[71]Listas!$F$4:$J$4,0))</f>
        <v>#N/A</v>
      </c>
      <c r="AN138" s="259"/>
      <c r="AO138" s="259"/>
      <c r="AP138" s="610"/>
      <c r="AQ138" s="259"/>
      <c r="AR138" s="259" t="s">
        <v>2343</v>
      </c>
      <c r="AS138" s="608"/>
      <c r="AT138" s="259"/>
      <c r="AU138" s="259"/>
      <c r="AV138" s="308"/>
      <c r="AW138" s="308"/>
      <c r="AX138" s="608"/>
      <c r="AY138" s="309"/>
      <c r="AZ138" s="310"/>
      <c r="BA138" s="310"/>
      <c r="BB138" s="310"/>
    </row>
    <row r="139" spans="1:54" s="260" customFormat="1" ht="103.5" hidden="1" customHeight="1">
      <c r="A139" s="608"/>
      <c r="B139" s="266"/>
      <c r="C139" s="1399"/>
      <c r="D139" s="1408"/>
      <c r="E139" s="1400"/>
      <c r="F139" s="267"/>
      <c r="G139" s="1399"/>
      <c r="H139" s="1408"/>
      <c r="I139" s="1400"/>
      <c r="J139" s="1380"/>
      <c r="K139" s="1380"/>
      <c r="L139" s="1380"/>
      <c r="M139" s="608"/>
      <c r="N139" s="608"/>
      <c r="O139" s="608"/>
      <c r="P139" s="608"/>
      <c r="Q139" s="266"/>
      <c r="R139" s="266"/>
      <c r="S139" s="268"/>
      <c r="T139" s="269" t="e">
        <f>VLOOKUP(Q139,[71]Listas!$D$6:$E$10,2,0)</f>
        <v>#N/A</v>
      </c>
      <c r="U139" s="269" t="e">
        <f>HLOOKUP(R139,[71]Listas!$F$4:$J$5,2,0)</f>
        <v>#N/A</v>
      </c>
      <c r="V139" s="270" t="e">
        <f>INDEX([71]Listas!$F$6:$J$10,MATCH(Q139,[71]Listas!$D$6:$D$10,0),MATCH(R139,[71]Listas!$F$4:$J$4,0))</f>
        <v>#N/A</v>
      </c>
      <c r="W139" s="268"/>
      <c r="X139" s="1399"/>
      <c r="Y139" s="1408"/>
      <c r="Z139" s="1400"/>
      <c r="AA139" s="1063"/>
      <c r="AB139" s="267"/>
      <c r="AC139" s="259"/>
      <c r="AD139" s="608"/>
      <c r="AE139" s="267"/>
      <c r="AF139" s="268"/>
      <c r="AG139" s="269">
        <f t="shared" si="8"/>
        <v>0</v>
      </c>
      <c r="AH139" s="558" t="e">
        <f t="shared" si="9"/>
        <v>#N/A</v>
      </c>
      <c r="AI139" s="270" t="e">
        <f>IF(AH139&lt;=1,"Remota",VLOOKUP(AH139,[71]Listas!$C$6:$D$10,2,0))</f>
        <v>#N/A</v>
      </c>
      <c r="AJ139" s="558" t="e">
        <f t="shared" si="10"/>
        <v>#N/A</v>
      </c>
      <c r="AK139" s="270" t="e">
        <f>IF(AJ139&lt;=1,"Insignificante",HLOOKUP(AJ139,[71]Listas!$F$3:$J$4,2,0))</f>
        <v>#N/A</v>
      </c>
      <c r="AL139" s="273" t="e">
        <f t="shared" si="11"/>
        <v>#N/A</v>
      </c>
      <c r="AM139" s="270" t="e">
        <f>INDEX([71]Listas!$F$6:$J$10,MATCH(AI139,[71]Listas!$D$6:$D$10,0),MATCH(AK139,[71]Listas!$F$4:$J$4,0))</f>
        <v>#N/A</v>
      </c>
      <c r="AN139" s="259"/>
      <c r="AO139" s="259"/>
      <c r="AP139" s="610"/>
      <c r="AQ139" s="259"/>
      <c r="AR139" s="259" t="s">
        <v>2343</v>
      </c>
      <c r="AS139" s="608"/>
      <c r="AT139" s="259"/>
      <c r="AU139" s="259"/>
      <c r="AV139" s="308"/>
      <c r="AW139" s="308"/>
      <c r="AX139" s="608"/>
      <c r="AY139" s="309"/>
      <c r="AZ139" s="310"/>
      <c r="BA139" s="310"/>
      <c r="BB139" s="310"/>
    </row>
    <row r="140" spans="1:54" s="260" customFormat="1" ht="103.5" hidden="1" customHeight="1">
      <c r="A140" s="608"/>
      <c r="B140" s="266"/>
      <c r="C140" s="1399"/>
      <c r="D140" s="1408"/>
      <c r="E140" s="1400"/>
      <c r="F140" s="267"/>
      <c r="G140" s="1399"/>
      <c r="H140" s="1408"/>
      <c r="I140" s="1400"/>
      <c r="J140" s="1380"/>
      <c r="K140" s="1380"/>
      <c r="L140" s="1380"/>
      <c r="M140" s="608"/>
      <c r="N140" s="608"/>
      <c r="O140" s="608"/>
      <c r="P140" s="608"/>
      <c r="Q140" s="266"/>
      <c r="R140" s="266"/>
      <c r="S140" s="268"/>
      <c r="T140" s="269" t="e">
        <f>VLOOKUP(Q140,[71]Listas!$D$6:$E$10,2,0)</f>
        <v>#N/A</v>
      </c>
      <c r="U140" s="269" t="e">
        <f>HLOOKUP(R140,[71]Listas!$F$4:$J$5,2,0)</f>
        <v>#N/A</v>
      </c>
      <c r="V140" s="270" t="e">
        <f>INDEX([71]Listas!$F$6:$J$10,MATCH(Q140,[71]Listas!$D$6:$D$10,0),MATCH(R140,[71]Listas!$F$4:$J$4,0))</f>
        <v>#N/A</v>
      </c>
      <c r="W140" s="268"/>
      <c r="X140" s="1399"/>
      <c r="Y140" s="1408"/>
      <c r="Z140" s="1400"/>
      <c r="AA140" s="1063"/>
      <c r="AB140" s="267"/>
      <c r="AC140" s="259"/>
      <c r="AD140" s="608"/>
      <c r="AE140" s="267"/>
      <c r="AF140" s="268"/>
      <c r="AG140" s="269">
        <f t="shared" si="8"/>
        <v>0</v>
      </c>
      <c r="AH140" s="558" t="e">
        <f t="shared" si="9"/>
        <v>#N/A</v>
      </c>
      <c r="AI140" s="270" t="e">
        <f>IF(AH140&lt;=1,"Remota",VLOOKUP(AH140,[71]Listas!$C$6:$D$10,2,0))</f>
        <v>#N/A</v>
      </c>
      <c r="AJ140" s="558" t="e">
        <f t="shared" si="10"/>
        <v>#N/A</v>
      </c>
      <c r="AK140" s="270" t="e">
        <f>IF(AJ140&lt;=1,"Insignificante",HLOOKUP(AJ140,[71]Listas!$F$3:$J$4,2,0))</f>
        <v>#N/A</v>
      </c>
      <c r="AL140" s="273" t="e">
        <f t="shared" si="11"/>
        <v>#N/A</v>
      </c>
      <c r="AM140" s="270" t="e">
        <f>INDEX([71]Listas!$F$6:$J$10,MATCH(AI140,[71]Listas!$D$6:$D$10,0),MATCH(AK140,[71]Listas!$F$4:$J$4,0))</f>
        <v>#N/A</v>
      </c>
      <c r="AN140" s="259"/>
      <c r="AO140" s="259"/>
      <c r="AP140" s="610"/>
      <c r="AQ140" s="259"/>
      <c r="AR140" s="259" t="s">
        <v>2343</v>
      </c>
      <c r="AS140" s="608"/>
      <c r="AT140" s="259"/>
      <c r="AU140" s="259"/>
      <c r="AV140" s="308"/>
      <c r="AW140" s="308"/>
      <c r="AX140" s="608"/>
      <c r="AY140" s="309"/>
      <c r="AZ140" s="310"/>
      <c r="BA140" s="310"/>
      <c r="BB140" s="310"/>
    </row>
    <row r="141" spans="1:54" s="260" customFormat="1" ht="103.5" hidden="1" customHeight="1">
      <c r="A141" s="608"/>
      <c r="B141" s="266"/>
      <c r="C141" s="1399"/>
      <c r="D141" s="1408"/>
      <c r="E141" s="1400"/>
      <c r="F141" s="267"/>
      <c r="G141" s="1399"/>
      <c r="H141" s="1408"/>
      <c r="I141" s="1400"/>
      <c r="J141" s="1380"/>
      <c r="K141" s="1380"/>
      <c r="L141" s="1380"/>
      <c r="M141" s="608"/>
      <c r="N141" s="608"/>
      <c r="O141" s="608"/>
      <c r="P141" s="608"/>
      <c r="Q141" s="266"/>
      <c r="R141" s="266"/>
      <c r="S141" s="268"/>
      <c r="T141" s="269" t="e">
        <f>VLOOKUP(Q141,[71]Listas!$D$6:$E$10,2,0)</f>
        <v>#N/A</v>
      </c>
      <c r="U141" s="269" t="e">
        <f>HLOOKUP(R141,[71]Listas!$F$4:$J$5,2,0)</f>
        <v>#N/A</v>
      </c>
      <c r="V141" s="270" t="e">
        <f>INDEX([71]Listas!$F$6:$J$10,MATCH(Q141,[71]Listas!$D$6:$D$10,0),MATCH(R141,[71]Listas!$F$4:$J$4,0))</f>
        <v>#N/A</v>
      </c>
      <c r="W141" s="268"/>
      <c r="X141" s="1399"/>
      <c r="Y141" s="1408"/>
      <c r="Z141" s="1400"/>
      <c r="AA141" s="1063"/>
      <c r="AB141" s="267"/>
      <c r="AC141" s="259"/>
      <c r="AD141" s="608"/>
      <c r="AE141" s="267"/>
      <c r="AF141" s="268"/>
      <c r="AG141" s="269">
        <f t="shared" si="8"/>
        <v>0</v>
      </c>
      <c r="AH141" s="558" t="e">
        <f t="shared" si="9"/>
        <v>#N/A</v>
      </c>
      <c r="AI141" s="270" t="e">
        <f>IF(AH141&lt;=1,"Remota",VLOOKUP(AH141,[71]Listas!$C$6:$D$10,2,0))</f>
        <v>#N/A</v>
      </c>
      <c r="AJ141" s="558" t="e">
        <f t="shared" si="10"/>
        <v>#N/A</v>
      </c>
      <c r="AK141" s="270" t="e">
        <f>IF(AJ141&lt;=1,"Insignificante",HLOOKUP(AJ141,[71]Listas!$F$3:$J$4,2,0))</f>
        <v>#N/A</v>
      </c>
      <c r="AL141" s="273" t="e">
        <f t="shared" si="11"/>
        <v>#N/A</v>
      </c>
      <c r="AM141" s="270" t="e">
        <f>INDEX([71]Listas!$F$6:$J$10,MATCH(AI141,[71]Listas!$D$6:$D$10,0),MATCH(AK141,[71]Listas!$F$4:$J$4,0))</f>
        <v>#N/A</v>
      </c>
      <c r="AN141" s="259"/>
      <c r="AO141" s="259"/>
      <c r="AP141" s="610"/>
      <c r="AQ141" s="259"/>
      <c r="AR141" s="259" t="s">
        <v>2343</v>
      </c>
      <c r="AS141" s="608"/>
      <c r="AT141" s="259"/>
      <c r="AU141" s="259"/>
      <c r="AV141" s="308"/>
      <c r="AW141" s="308"/>
      <c r="AX141" s="608"/>
      <c r="AY141" s="309"/>
      <c r="AZ141" s="310"/>
      <c r="BA141" s="310"/>
      <c r="BB141" s="310"/>
    </row>
    <row r="142" spans="1:54" s="260" customFormat="1" ht="103.5" hidden="1" customHeight="1">
      <c r="A142" s="608"/>
      <c r="B142" s="266"/>
      <c r="C142" s="1399"/>
      <c r="D142" s="1408"/>
      <c r="E142" s="1400"/>
      <c r="F142" s="267"/>
      <c r="G142" s="1399"/>
      <c r="H142" s="1408"/>
      <c r="I142" s="1400"/>
      <c r="J142" s="1380"/>
      <c r="K142" s="1380"/>
      <c r="L142" s="1380"/>
      <c r="M142" s="608"/>
      <c r="N142" s="608"/>
      <c r="O142" s="608"/>
      <c r="P142" s="608"/>
      <c r="Q142" s="266"/>
      <c r="R142" s="266"/>
      <c r="S142" s="268"/>
      <c r="T142" s="269" t="e">
        <f>VLOOKUP(Q142,[71]Listas!$D$6:$E$10,2,0)</f>
        <v>#N/A</v>
      </c>
      <c r="U142" s="269" t="e">
        <f>HLOOKUP(R142,[71]Listas!$F$4:$J$5,2,0)</f>
        <v>#N/A</v>
      </c>
      <c r="V142" s="270" t="e">
        <f>INDEX([71]Listas!$F$6:$J$10,MATCH(Q142,[71]Listas!$D$6:$D$10,0),MATCH(R142,[71]Listas!$F$4:$J$4,0))</f>
        <v>#N/A</v>
      </c>
      <c r="W142" s="268"/>
      <c r="X142" s="1399"/>
      <c r="Y142" s="1408"/>
      <c r="Z142" s="1400"/>
      <c r="AA142" s="1063"/>
      <c r="AB142" s="267"/>
      <c r="AC142" s="259"/>
      <c r="AD142" s="608"/>
      <c r="AE142" s="267"/>
      <c r="AF142" s="268"/>
      <c r="AG142" s="269">
        <f t="shared" si="8"/>
        <v>0</v>
      </c>
      <c r="AH142" s="558" t="e">
        <f t="shared" si="9"/>
        <v>#N/A</v>
      </c>
      <c r="AI142" s="270" t="e">
        <f>IF(AH142&lt;=1,"Remota",VLOOKUP(AH142,[71]Listas!$C$6:$D$10,2,0))</f>
        <v>#N/A</v>
      </c>
      <c r="AJ142" s="558" t="e">
        <f t="shared" si="10"/>
        <v>#N/A</v>
      </c>
      <c r="AK142" s="270" t="e">
        <f>IF(AJ142&lt;=1,"Insignificante",HLOOKUP(AJ142,[71]Listas!$F$3:$J$4,2,0))</f>
        <v>#N/A</v>
      </c>
      <c r="AL142" s="273" t="e">
        <f t="shared" si="11"/>
        <v>#N/A</v>
      </c>
      <c r="AM142" s="270" t="e">
        <f>INDEX([71]Listas!$F$6:$J$10,MATCH(AI142,[71]Listas!$D$6:$D$10,0),MATCH(AK142,[71]Listas!$F$4:$J$4,0))</f>
        <v>#N/A</v>
      </c>
      <c r="AN142" s="259"/>
      <c r="AO142" s="259"/>
      <c r="AP142" s="610"/>
      <c r="AQ142" s="259"/>
      <c r="AR142" s="259" t="s">
        <v>2343</v>
      </c>
      <c r="AS142" s="608"/>
      <c r="AT142" s="259"/>
      <c r="AU142" s="259"/>
      <c r="AV142" s="308"/>
      <c r="AW142" s="308"/>
      <c r="AX142" s="608"/>
      <c r="AY142" s="309"/>
      <c r="AZ142" s="310"/>
      <c r="BA142" s="310"/>
      <c r="BB142" s="310"/>
    </row>
    <row r="143" spans="1:54" s="260" customFormat="1" ht="103.5" hidden="1" customHeight="1">
      <c r="A143" s="608"/>
      <c r="B143" s="266"/>
      <c r="C143" s="1399"/>
      <c r="D143" s="1408"/>
      <c r="E143" s="1400"/>
      <c r="F143" s="267"/>
      <c r="G143" s="1399"/>
      <c r="H143" s="1408"/>
      <c r="I143" s="1400"/>
      <c r="J143" s="1380"/>
      <c r="K143" s="1380"/>
      <c r="L143" s="1380"/>
      <c r="M143" s="608"/>
      <c r="N143" s="608"/>
      <c r="O143" s="608"/>
      <c r="P143" s="608"/>
      <c r="Q143" s="266"/>
      <c r="R143" s="266"/>
      <c r="S143" s="268"/>
      <c r="T143" s="269" t="e">
        <f>VLOOKUP(Q143,[71]Listas!$D$6:$E$10,2,0)</f>
        <v>#N/A</v>
      </c>
      <c r="U143" s="269" t="e">
        <f>HLOOKUP(R143,[71]Listas!$F$4:$J$5,2,0)</f>
        <v>#N/A</v>
      </c>
      <c r="V143" s="270" t="e">
        <f>INDEX([71]Listas!$F$6:$J$10,MATCH(Q143,[71]Listas!$D$6:$D$10,0),MATCH(R143,[71]Listas!$F$4:$J$4,0))</f>
        <v>#N/A</v>
      </c>
      <c r="W143" s="268"/>
      <c r="X143" s="1399"/>
      <c r="Y143" s="1408"/>
      <c r="Z143" s="1400"/>
      <c r="AA143" s="1063"/>
      <c r="AB143" s="267"/>
      <c r="AC143" s="259"/>
      <c r="AD143" s="608"/>
      <c r="AE143" s="267"/>
      <c r="AF143" s="268"/>
      <c r="AG143" s="269">
        <f t="shared" si="8"/>
        <v>0</v>
      </c>
      <c r="AH143" s="558" t="e">
        <f t="shared" si="9"/>
        <v>#N/A</v>
      </c>
      <c r="AI143" s="270" t="e">
        <f>IF(AH143&lt;=1,"Remota",VLOOKUP(AH143,[71]Listas!$C$6:$D$10,2,0))</f>
        <v>#N/A</v>
      </c>
      <c r="AJ143" s="558" t="e">
        <f t="shared" si="10"/>
        <v>#N/A</v>
      </c>
      <c r="AK143" s="270" t="e">
        <f>IF(AJ143&lt;=1,"Insignificante",HLOOKUP(AJ143,[71]Listas!$F$3:$J$4,2,0))</f>
        <v>#N/A</v>
      </c>
      <c r="AL143" s="273" t="e">
        <f t="shared" si="11"/>
        <v>#N/A</v>
      </c>
      <c r="AM143" s="270" t="e">
        <f>INDEX([71]Listas!$F$6:$J$10,MATCH(AI143,[71]Listas!$D$6:$D$10,0),MATCH(AK143,[71]Listas!$F$4:$J$4,0))</f>
        <v>#N/A</v>
      </c>
      <c r="AN143" s="259"/>
      <c r="AO143" s="259"/>
      <c r="AP143" s="610"/>
      <c r="AQ143" s="259"/>
      <c r="AR143" s="259" t="s">
        <v>2343</v>
      </c>
      <c r="AS143" s="608"/>
      <c r="AT143" s="259"/>
      <c r="AU143" s="259"/>
      <c r="AV143" s="308"/>
      <c r="AW143" s="308"/>
      <c r="AX143" s="608"/>
      <c r="AY143" s="309"/>
      <c r="AZ143" s="310"/>
      <c r="BA143" s="310"/>
      <c r="BB143" s="310"/>
    </row>
    <row r="144" spans="1:54" s="260" customFormat="1" ht="103.5" hidden="1" customHeight="1">
      <c r="A144" s="608"/>
      <c r="B144" s="266"/>
      <c r="C144" s="1399"/>
      <c r="D144" s="1408"/>
      <c r="E144" s="1400"/>
      <c r="F144" s="267"/>
      <c r="G144" s="1399"/>
      <c r="H144" s="1408"/>
      <c r="I144" s="1400"/>
      <c r="J144" s="1380"/>
      <c r="K144" s="1380"/>
      <c r="L144" s="1380"/>
      <c r="M144" s="608"/>
      <c r="N144" s="608"/>
      <c r="O144" s="608"/>
      <c r="P144" s="608"/>
      <c r="Q144" s="266"/>
      <c r="R144" s="266"/>
      <c r="S144" s="268"/>
      <c r="T144" s="269" t="e">
        <f>VLOOKUP(Q144,[71]Listas!$D$6:$E$10,2,0)</f>
        <v>#N/A</v>
      </c>
      <c r="U144" s="269" t="e">
        <f>HLOOKUP(R144,[71]Listas!$F$4:$J$5,2,0)</f>
        <v>#N/A</v>
      </c>
      <c r="V144" s="270" t="e">
        <f>INDEX([71]Listas!$F$6:$J$10,MATCH(Q144,[71]Listas!$D$6:$D$10,0),MATCH(R144,[71]Listas!$F$4:$J$4,0))</f>
        <v>#N/A</v>
      </c>
      <c r="W144" s="268"/>
      <c r="X144" s="1399"/>
      <c r="Y144" s="1408"/>
      <c r="Z144" s="1400"/>
      <c r="AA144" s="1063"/>
      <c r="AB144" s="267"/>
      <c r="AC144" s="259"/>
      <c r="AD144" s="608"/>
      <c r="AE144" s="267"/>
      <c r="AF144" s="268"/>
      <c r="AG144" s="269">
        <f t="shared" si="8"/>
        <v>0</v>
      </c>
      <c r="AH144" s="558" t="e">
        <f t="shared" si="9"/>
        <v>#N/A</v>
      </c>
      <c r="AI144" s="270" t="e">
        <f>IF(AH144&lt;=1,"Remota",VLOOKUP(AH144,[71]Listas!$C$6:$D$10,2,0))</f>
        <v>#N/A</v>
      </c>
      <c r="AJ144" s="558" t="e">
        <f t="shared" si="10"/>
        <v>#N/A</v>
      </c>
      <c r="AK144" s="270" t="e">
        <f>IF(AJ144&lt;=1,"Insignificante",HLOOKUP(AJ144,[71]Listas!$F$3:$J$4,2,0))</f>
        <v>#N/A</v>
      </c>
      <c r="AL144" s="273" t="e">
        <f t="shared" si="11"/>
        <v>#N/A</v>
      </c>
      <c r="AM144" s="270" t="e">
        <f>INDEX([71]Listas!$F$6:$J$10,MATCH(AI144,[71]Listas!$D$6:$D$10,0),MATCH(AK144,[71]Listas!$F$4:$J$4,0))</f>
        <v>#N/A</v>
      </c>
      <c r="AN144" s="259"/>
      <c r="AO144" s="259"/>
      <c r="AP144" s="610"/>
      <c r="AQ144" s="259"/>
      <c r="AR144" s="259" t="s">
        <v>2343</v>
      </c>
      <c r="AS144" s="608"/>
      <c r="AT144" s="259"/>
      <c r="AU144" s="259"/>
      <c r="AV144" s="308"/>
      <c r="AW144" s="308"/>
      <c r="AX144" s="608"/>
      <c r="AY144" s="309"/>
      <c r="AZ144" s="310"/>
      <c r="BA144" s="310"/>
      <c r="BB144" s="310"/>
    </row>
    <row r="145" spans="1:54" s="260" customFormat="1" ht="103.5" hidden="1" customHeight="1">
      <c r="A145" s="608"/>
      <c r="B145" s="266"/>
      <c r="C145" s="1399"/>
      <c r="D145" s="1408"/>
      <c r="E145" s="1400"/>
      <c r="F145" s="267"/>
      <c r="G145" s="1399"/>
      <c r="H145" s="1408"/>
      <c r="I145" s="1400"/>
      <c r="J145" s="1380"/>
      <c r="K145" s="1380"/>
      <c r="L145" s="1380"/>
      <c r="M145" s="608"/>
      <c r="N145" s="608"/>
      <c r="O145" s="608"/>
      <c r="P145" s="608"/>
      <c r="Q145" s="266"/>
      <c r="R145" s="266"/>
      <c r="S145" s="268"/>
      <c r="T145" s="269" t="e">
        <f>VLOOKUP(Q145,[71]Listas!$D$6:$E$10,2,0)</f>
        <v>#N/A</v>
      </c>
      <c r="U145" s="269" t="e">
        <f>HLOOKUP(R145,[71]Listas!$F$4:$J$5,2,0)</f>
        <v>#N/A</v>
      </c>
      <c r="V145" s="270" t="e">
        <f>INDEX([71]Listas!$F$6:$J$10,MATCH(Q145,[71]Listas!$D$6:$D$10,0),MATCH(R145,[71]Listas!$F$4:$J$4,0))</f>
        <v>#N/A</v>
      </c>
      <c r="W145" s="268"/>
      <c r="X145" s="1399"/>
      <c r="Y145" s="1408"/>
      <c r="Z145" s="1400"/>
      <c r="AA145" s="1063"/>
      <c r="AB145" s="267"/>
      <c r="AC145" s="259"/>
      <c r="AD145" s="608"/>
      <c r="AE145" s="267"/>
      <c r="AF145" s="268"/>
      <c r="AG145" s="269">
        <f t="shared" ref="AG145:AG162" si="12">IF(AD145&lt;=33,0,IF(AD145&gt;81,2,1))</f>
        <v>0</v>
      </c>
      <c r="AH145" s="558" t="e">
        <f t="shared" ref="AH145:AH162" si="13">IF(OR(AE145="Probabilidad",AE145="Ambos"),T145-AG145,T145)</f>
        <v>#N/A</v>
      </c>
      <c r="AI145" s="270" t="e">
        <f>IF(AH145&lt;=1,"Remota",VLOOKUP(AH145,[71]Listas!$C$6:$D$10,2,0))</f>
        <v>#N/A</v>
      </c>
      <c r="AJ145" s="558" t="e">
        <f t="shared" ref="AJ145:AJ162" si="14">IF(OR(AE145="Impacto",AE145="Ambos"),U145-AG145,U145)</f>
        <v>#N/A</v>
      </c>
      <c r="AK145" s="270" t="e">
        <f>IF(AJ145&lt;=1,"Insignificante",HLOOKUP(AJ145,[71]Listas!$F$3:$J$4,2,0))</f>
        <v>#N/A</v>
      </c>
      <c r="AL145" s="273" t="e">
        <f t="shared" ref="AL145:AL162" si="15">AH145*AJ145</f>
        <v>#N/A</v>
      </c>
      <c r="AM145" s="270" t="e">
        <f>INDEX([71]Listas!$F$6:$J$10,MATCH(AI145,[71]Listas!$D$6:$D$10,0),MATCH(AK145,[71]Listas!$F$4:$J$4,0))</f>
        <v>#N/A</v>
      </c>
      <c r="AN145" s="259"/>
      <c r="AO145" s="259"/>
      <c r="AP145" s="610"/>
      <c r="AQ145" s="259"/>
      <c r="AR145" s="259" t="s">
        <v>2343</v>
      </c>
      <c r="AS145" s="608"/>
      <c r="AT145" s="259"/>
      <c r="AU145" s="259"/>
      <c r="AV145" s="308"/>
      <c r="AW145" s="308"/>
      <c r="AX145" s="608"/>
      <c r="AY145" s="309"/>
      <c r="AZ145" s="310"/>
      <c r="BA145" s="310"/>
      <c r="BB145" s="310"/>
    </row>
    <row r="146" spans="1:54" s="260" customFormat="1" ht="103.5" hidden="1" customHeight="1">
      <c r="A146" s="608"/>
      <c r="B146" s="266"/>
      <c r="C146" s="1399"/>
      <c r="D146" s="1408"/>
      <c r="E146" s="1400"/>
      <c r="F146" s="267"/>
      <c r="G146" s="1399"/>
      <c r="H146" s="1408"/>
      <c r="I146" s="1400"/>
      <c r="J146" s="1380"/>
      <c r="K146" s="1380"/>
      <c r="L146" s="1380"/>
      <c r="M146" s="608"/>
      <c r="N146" s="608"/>
      <c r="O146" s="608"/>
      <c r="P146" s="608"/>
      <c r="Q146" s="266"/>
      <c r="R146" s="266"/>
      <c r="S146" s="268"/>
      <c r="T146" s="269" t="e">
        <f>VLOOKUP(Q146,[71]Listas!$D$6:$E$10,2,0)</f>
        <v>#N/A</v>
      </c>
      <c r="U146" s="269" t="e">
        <f>HLOOKUP(R146,[71]Listas!$F$4:$J$5,2,0)</f>
        <v>#N/A</v>
      </c>
      <c r="V146" s="270" t="e">
        <f>INDEX([71]Listas!$F$6:$J$10,MATCH(Q146,[71]Listas!$D$6:$D$10,0),MATCH(R146,[71]Listas!$F$4:$J$4,0))</f>
        <v>#N/A</v>
      </c>
      <c r="W146" s="268"/>
      <c r="X146" s="1399"/>
      <c r="Y146" s="1408"/>
      <c r="Z146" s="1400"/>
      <c r="AA146" s="1063"/>
      <c r="AB146" s="267"/>
      <c r="AC146" s="259"/>
      <c r="AD146" s="608"/>
      <c r="AE146" s="267"/>
      <c r="AF146" s="268"/>
      <c r="AG146" s="269">
        <f t="shared" si="12"/>
        <v>0</v>
      </c>
      <c r="AH146" s="558" t="e">
        <f t="shared" si="13"/>
        <v>#N/A</v>
      </c>
      <c r="AI146" s="270" t="e">
        <f>IF(AH146&lt;=1,"Remota",VLOOKUP(AH146,[71]Listas!$C$6:$D$10,2,0))</f>
        <v>#N/A</v>
      </c>
      <c r="AJ146" s="558" t="e">
        <f t="shared" si="14"/>
        <v>#N/A</v>
      </c>
      <c r="AK146" s="270" t="e">
        <f>IF(AJ146&lt;=1,"Insignificante",HLOOKUP(AJ146,[71]Listas!$F$3:$J$4,2,0))</f>
        <v>#N/A</v>
      </c>
      <c r="AL146" s="273" t="e">
        <f t="shared" si="15"/>
        <v>#N/A</v>
      </c>
      <c r="AM146" s="270" t="e">
        <f>INDEX([71]Listas!$F$6:$J$10,MATCH(AI146,[71]Listas!$D$6:$D$10,0),MATCH(AK146,[71]Listas!$F$4:$J$4,0))</f>
        <v>#N/A</v>
      </c>
      <c r="AN146" s="259"/>
      <c r="AO146" s="259"/>
      <c r="AP146" s="610"/>
      <c r="AQ146" s="259"/>
      <c r="AR146" s="259" t="s">
        <v>2343</v>
      </c>
      <c r="AS146" s="608"/>
      <c r="AT146" s="259"/>
      <c r="AU146" s="259"/>
      <c r="AV146" s="308"/>
      <c r="AW146" s="308"/>
      <c r="AX146" s="608"/>
      <c r="AY146" s="309"/>
      <c r="AZ146" s="310"/>
      <c r="BA146" s="310"/>
      <c r="BB146" s="310"/>
    </row>
    <row r="147" spans="1:54" s="260" customFormat="1" ht="103.5" hidden="1" customHeight="1">
      <c r="A147" s="608"/>
      <c r="B147" s="266"/>
      <c r="C147" s="1399"/>
      <c r="D147" s="1408"/>
      <c r="E147" s="1400"/>
      <c r="F147" s="267"/>
      <c r="G147" s="1399"/>
      <c r="H147" s="1408"/>
      <c r="I147" s="1400"/>
      <c r="J147" s="1380"/>
      <c r="K147" s="1380"/>
      <c r="L147" s="1380"/>
      <c r="M147" s="608"/>
      <c r="N147" s="608"/>
      <c r="O147" s="608"/>
      <c r="P147" s="608"/>
      <c r="Q147" s="266"/>
      <c r="R147" s="266"/>
      <c r="S147" s="268"/>
      <c r="T147" s="269" t="e">
        <f>VLOOKUP(Q147,[71]Listas!$D$6:$E$10,2,0)</f>
        <v>#N/A</v>
      </c>
      <c r="U147" s="269" t="e">
        <f>HLOOKUP(R147,[71]Listas!$F$4:$J$5,2,0)</f>
        <v>#N/A</v>
      </c>
      <c r="V147" s="270" t="e">
        <f>INDEX([71]Listas!$F$6:$J$10,MATCH(Q147,[71]Listas!$D$6:$D$10,0),MATCH(R147,[71]Listas!$F$4:$J$4,0))</f>
        <v>#N/A</v>
      </c>
      <c r="W147" s="268"/>
      <c r="X147" s="1399"/>
      <c r="Y147" s="1408"/>
      <c r="Z147" s="1400"/>
      <c r="AA147" s="1063"/>
      <c r="AB147" s="267"/>
      <c r="AC147" s="259"/>
      <c r="AD147" s="608"/>
      <c r="AE147" s="267"/>
      <c r="AF147" s="268"/>
      <c r="AG147" s="269">
        <f t="shared" si="12"/>
        <v>0</v>
      </c>
      <c r="AH147" s="558" t="e">
        <f t="shared" si="13"/>
        <v>#N/A</v>
      </c>
      <c r="AI147" s="270" t="e">
        <f>IF(AH147&lt;=1,"Remota",VLOOKUP(AH147,[71]Listas!$C$6:$D$10,2,0))</f>
        <v>#N/A</v>
      </c>
      <c r="AJ147" s="558" t="e">
        <f t="shared" si="14"/>
        <v>#N/A</v>
      </c>
      <c r="AK147" s="270" t="e">
        <f>IF(AJ147&lt;=1,"Insignificante",HLOOKUP(AJ147,[71]Listas!$F$3:$J$4,2,0))</f>
        <v>#N/A</v>
      </c>
      <c r="AL147" s="273" t="e">
        <f t="shared" si="15"/>
        <v>#N/A</v>
      </c>
      <c r="AM147" s="270" t="e">
        <f>INDEX([71]Listas!$F$6:$J$10,MATCH(AI147,[71]Listas!$D$6:$D$10,0),MATCH(AK147,[71]Listas!$F$4:$J$4,0))</f>
        <v>#N/A</v>
      </c>
      <c r="AN147" s="259"/>
      <c r="AO147" s="259"/>
      <c r="AP147" s="610"/>
      <c r="AQ147" s="259"/>
      <c r="AR147" s="259" t="s">
        <v>2343</v>
      </c>
      <c r="AS147" s="608"/>
      <c r="AT147" s="259"/>
      <c r="AU147" s="259"/>
      <c r="AV147" s="308"/>
      <c r="AW147" s="308"/>
      <c r="AX147" s="608"/>
      <c r="AY147" s="309"/>
      <c r="AZ147" s="310"/>
      <c r="BA147" s="310"/>
      <c r="BB147" s="310"/>
    </row>
    <row r="148" spans="1:54" s="260" customFormat="1" ht="103.5" hidden="1" customHeight="1">
      <c r="A148" s="608"/>
      <c r="B148" s="266"/>
      <c r="C148" s="1399"/>
      <c r="D148" s="1408"/>
      <c r="E148" s="1400"/>
      <c r="F148" s="267"/>
      <c r="G148" s="1399"/>
      <c r="H148" s="1408"/>
      <c r="I148" s="1400"/>
      <c r="J148" s="1380"/>
      <c r="K148" s="1380"/>
      <c r="L148" s="1380"/>
      <c r="M148" s="608"/>
      <c r="N148" s="608"/>
      <c r="O148" s="608"/>
      <c r="P148" s="608"/>
      <c r="Q148" s="266"/>
      <c r="R148" s="266"/>
      <c r="S148" s="268"/>
      <c r="T148" s="269" t="e">
        <f>VLOOKUP(Q148,[71]Listas!$D$6:$E$10,2,0)</f>
        <v>#N/A</v>
      </c>
      <c r="U148" s="269" t="e">
        <f>HLOOKUP(R148,[71]Listas!$F$4:$J$5,2,0)</f>
        <v>#N/A</v>
      </c>
      <c r="V148" s="270" t="e">
        <f>INDEX([71]Listas!$F$6:$J$10,MATCH(Q148,[71]Listas!$D$6:$D$10,0),MATCH(R148,[71]Listas!$F$4:$J$4,0))</f>
        <v>#N/A</v>
      </c>
      <c r="W148" s="268"/>
      <c r="X148" s="1399"/>
      <c r="Y148" s="1408"/>
      <c r="Z148" s="1400"/>
      <c r="AA148" s="1063"/>
      <c r="AB148" s="267"/>
      <c r="AC148" s="259"/>
      <c r="AD148" s="608"/>
      <c r="AE148" s="267"/>
      <c r="AF148" s="268"/>
      <c r="AG148" s="269">
        <f t="shared" si="12"/>
        <v>0</v>
      </c>
      <c r="AH148" s="558" t="e">
        <f t="shared" si="13"/>
        <v>#N/A</v>
      </c>
      <c r="AI148" s="270" t="e">
        <f>IF(AH148&lt;=1,"Remota",VLOOKUP(AH148,[71]Listas!$C$6:$D$10,2,0))</f>
        <v>#N/A</v>
      </c>
      <c r="AJ148" s="558" t="e">
        <f t="shared" si="14"/>
        <v>#N/A</v>
      </c>
      <c r="AK148" s="270" t="e">
        <f>IF(AJ148&lt;=1,"Insignificante",HLOOKUP(AJ148,[71]Listas!$F$3:$J$4,2,0))</f>
        <v>#N/A</v>
      </c>
      <c r="AL148" s="273" t="e">
        <f t="shared" si="15"/>
        <v>#N/A</v>
      </c>
      <c r="AM148" s="270" t="e">
        <f>INDEX([71]Listas!$F$6:$J$10,MATCH(AI148,[71]Listas!$D$6:$D$10,0),MATCH(AK148,[71]Listas!$F$4:$J$4,0))</f>
        <v>#N/A</v>
      </c>
      <c r="AN148" s="259"/>
      <c r="AO148" s="259"/>
      <c r="AP148" s="610"/>
      <c r="AQ148" s="259"/>
      <c r="AR148" s="259" t="s">
        <v>2343</v>
      </c>
      <c r="AS148" s="608"/>
      <c r="AT148" s="259"/>
      <c r="AU148" s="259"/>
      <c r="AV148" s="308"/>
      <c r="AW148" s="308"/>
      <c r="AX148" s="608"/>
      <c r="AY148" s="309"/>
      <c r="AZ148" s="310"/>
      <c r="BA148" s="310"/>
      <c r="BB148" s="310"/>
    </row>
    <row r="149" spans="1:54" s="260" customFormat="1" ht="103.5" hidden="1" customHeight="1">
      <c r="A149" s="608"/>
      <c r="B149" s="266"/>
      <c r="C149" s="1399"/>
      <c r="D149" s="1408"/>
      <c r="E149" s="1400"/>
      <c r="F149" s="267"/>
      <c r="G149" s="1399"/>
      <c r="H149" s="1408"/>
      <c r="I149" s="1400"/>
      <c r="J149" s="1380"/>
      <c r="K149" s="1380"/>
      <c r="L149" s="1380"/>
      <c r="M149" s="608"/>
      <c r="N149" s="608"/>
      <c r="O149" s="608"/>
      <c r="P149" s="608"/>
      <c r="Q149" s="266"/>
      <c r="R149" s="266"/>
      <c r="S149" s="268"/>
      <c r="T149" s="269" t="e">
        <f>VLOOKUP(Q149,[71]Listas!$D$6:$E$10,2,0)</f>
        <v>#N/A</v>
      </c>
      <c r="U149" s="269" t="e">
        <f>HLOOKUP(R149,[71]Listas!$F$4:$J$5,2,0)</f>
        <v>#N/A</v>
      </c>
      <c r="V149" s="270" t="e">
        <f>INDEX([71]Listas!$F$6:$J$10,MATCH(Q149,[71]Listas!$D$6:$D$10,0),MATCH(R149,[71]Listas!$F$4:$J$4,0))</f>
        <v>#N/A</v>
      </c>
      <c r="W149" s="268"/>
      <c r="X149" s="1399"/>
      <c r="Y149" s="1408"/>
      <c r="Z149" s="1400"/>
      <c r="AA149" s="1063"/>
      <c r="AB149" s="267"/>
      <c r="AC149" s="259"/>
      <c r="AD149" s="608"/>
      <c r="AE149" s="267"/>
      <c r="AF149" s="268"/>
      <c r="AG149" s="269">
        <f t="shared" si="12"/>
        <v>0</v>
      </c>
      <c r="AH149" s="558" t="e">
        <f t="shared" si="13"/>
        <v>#N/A</v>
      </c>
      <c r="AI149" s="270" t="e">
        <f>IF(AH149&lt;=1,"Remota",VLOOKUP(AH149,[71]Listas!$C$6:$D$10,2,0))</f>
        <v>#N/A</v>
      </c>
      <c r="AJ149" s="558" t="e">
        <f t="shared" si="14"/>
        <v>#N/A</v>
      </c>
      <c r="AK149" s="270" t="e">
        <f>IF(AJ149&lt;=1,"Insignificante",HLOOKUP(AJ149,[71]Listas!$F$3:$J$4,2,0))</f>
        <v>#N/A</v>
      </c>
      <c r="AL149" s="273" t="e">
        <f t="shared" si="15"/>
        <v>#N/A</v>
      </c>
      <c r="AM149" s="270" t="e">
        <f>INDEX([71]Listas!$F$6:$J$10,MATCH(AI149,[71]Listas!$D$6:$D$10,0),MATCH(AK149,[71]Listas!$F$4:$J$4,0))</f>
        <v>#N/A</v>
      </c>
      <c r="AN149" s="259"/>
      <c r="AO149" s="259"/>
      <c r="AP149" s="610"/>
      <c r="AQ149" s="259"/>
      <c r="AR149" s="259" t="s">
        <v>2343</v>
      </c>
      <c r="AS149" s="608"/>
      <c r="AT149" s="259"/>
      <c r="AU149" s="259"/>
      <c r="AV149" s="308"/>
      <c r="AW149" s="308"/>
      <c r="AX149" s="608"/>
      <c r="AY149" s="309"/>
      <c r="AZ149" s="310"/>
      <c r="BA149" s="310"/>
      <c r="BB149" s="310"/>
    </row>
    <row r="150" spans="1:54" s="260" customFormat="1" ht="103.5" hidden="1" customHeight="1">
      <c r="A150" s="608"/>
      <c r="B150" s="266"/>
      <c r="C150" s="1399"/>
      <c r="D150" s="1408"/>
      <c r="E150" s="1400"/>
      <c r="F150" s="267"/>
      <c r="G150" s="1399"/>
      <c r="H150" s="1408"/>
      <c r="I150" s="1400"/>
      <c r="J150" s="1380"/>
      <c r="K150" s="1380"/>
      <c r="L150" s="1380"/>
      <c r="M150" s="608"/>
      <c r="N150" s="608"/>
      <c r="O150" s="608"/>
      <c r="P150" s="608"/>
      <c r="Q150" s="266"/>
      <c r="R150" s="266"/>
      <c r="S150" s="268"/>
      <c r="T150" s="269" t="e">
        <f>VLOOKUP(Q150,[71]Listas!$D$6:$E$10,2,0)</f>
        <v>#N/A</v>
      </c>
      <c r="U150" s="269" t="e">
        <f>HLOOKUP(R150,[71]Listas!$F$4:$J$5,2,0)</f>
        <v>#N/A</v>
      </c>
      <c r="V150" s="270" t="e">
        <f>INDEX([71]Listas!$F$6:$J$10,MATCH(Q150,[71]Listas!$D$6:$D$10,0),MATCH(R150,[71]Listas!$F$4:$J$4,0))</f>
        <v>#N/A</v>
      </c>
      <c r="W150" s="268"/>
      <c r="X150" s="1399"/>
      <c r="Y150" s="1408"/>
      <c r="Z150" s="1400"/>
      <c r="AA150" s="1063"/>
      <c r="AB150" s="267"/>
      <c r="AC150" s="259"/>
      <c r="AD150" s="608"/>
      <c r="AE150" s="267"/>
      <c r="AF150" s="268"/>
      <c r="AG150" s="269">
        <f t="shared" si="12"/>
        <v>0</v>
      </c>
      <c r="AH150" s="558" t="e">
        <f t="shared" si="13"/>
        <v>#N/A</v>
      </c>
      <c r="AI150" s="270" t="e">
        <f>IF(AH150&lt;=1,"Remota",VLOOKUP(AH150,[71]Listas!$C$6:$D$10,2,0))</f>
        <v>#N/A</v>
      </c>
      <c r="AJ150" s="558" t="e">
        <f t="shared" si="14"/>
        <v>#N/A</v>
      </c>
      <c r="AK150" s="270" t="e">
        <f>IF(AJ150&lt;=1,"Insignificante",HLOOKUP(AJ150,[71]Listas!$F$3:$J$4,2,0))</f>
        <v>#N/A</v>
      </c>
      <c r="AL150" s="273" t="e">
        <f t="shared" si="15"/>
        <v>#N/A</v>
      </c>
      <c r="AM150" s="270" t="e">
        <f>INDEX([71]Listas!$F$6:$J$10,MATCH(AI150,[71]Listas!$D$6:$D$10,0),MATCH(AK150,[71]Listas!$F$4:$J$4,0))</f>
        <v>#N/A</v>
      </c>
      <c r="AN150" s="259"/>
      <c r="AO150" s="259"/>
      <c r="AP150" s="610"/>
      <c r="AQ150" s="259"/>
      <c r="AR150" s="259" t="s">
        <v>2343</v>
      </c>
      <c r="AS150" s="608"/>
      <c r="AT150" s="259"/>
      <c r="AU150" s="259"/>
      <c r="AV150" s="308"/>
      <c r="AW150" s="308"/>
      <c r="AX150" s="608"/>
      <c r="AY150" s="309"/>
      <c r="AZ150" s="310"/>
      <c r="BA150" s="310"/>
      <c r="BB150" s="310"/>
    </row>
    <row r="151" spans="1:54" s="260" customFormat="1" ht="103.5" hidden="1" customHeight="1">
      <c r="A151" s="608"/>
      <c r="B151" s="266"/>
      <c r="C151" s="1399"/>
      <c r="D151" s="1408"/>
      <c r="E151" s="1400"/>
      <c r="F151" s="267"/>
      <c r="G151" s="1399"/>
      <c r="H151" s="1408"/>
      <c r="I151" s="1400"/>
      <c r="J151" s="1380"/>
      <c r="K151" s="1380"/>
      <c r="L151" s="1380"/>
      <c r="M151" s="608"/>
      <c r="N151" s="608"/>
      <c r="O151" s="608"/>
      <c r="P151" s="608"/>
      <c r="Q151" s="266"/>
      <c r="R151" s="266"/>
      <c r="S151" s="268"/>
      <c r="T151" s="269" t="e">
        <f>VLOOKUP(Q151,[71]Listas!$D$6:$E$10,2,0)</f>
        <v>#N/A</v>
      </c>
      <c r="U151" s="269" t="e">
        <f>HLOOKUP(R151,[71]Listas!$F$4:$J$5,2,0)</f>
        <v>#N/A</v>
      </c>
      <c r="V151" s="270" t="e">
        <f>INDEX([71]Listas!$F$6:$J$10,MATCH(Q151,[71]Listas!$D$6:$D$10,0),MATCH(R151,[71]Listas!$F$4:$J$4,0))</f>
        <v>#N/A</v>
      </c>
      <c r="W151" s="268"/>
      <c r="X151" s="1399"/>
      <c r="Y151" s="1408"/>
      <c r="Z151" s="1400"/>
      <c r="AA151" s="1063"/>
      <c r="AB151" s="267"/>
      <c r="AC151" s="259"/>
      <c r="AD151" s="608"/>
      <c r="AE151" s="267"/>
      <c r="AF151" s="268"/>
      <c r="AG151" s="269">
        <f t="shared" si="12"/>
        <v>0</v>
      </c>
      <c r="AH151" s="558" t="e">
        <f t="shared" si="13"/>
        <v>#N/A</v>
      </c>
      <c r="AI151" s="270" t="e">
        <f>IF(AH151&lt;=1,"Remota",VLOOKUP(AH151,[71]Listas!$C$6:$D$10,2,0))</f>
        <v>#N/A</v>
      </c>
      <c r="AJ151" s="558" t="e">
        <f t="shared" si="14"/>
        <v>#N/A</v>
      </c>
      <c r="AK151" s="270" t="e">
        <f>IF(AJ151&lt;=1,"Insignificante",HLOOKUP(AJ151,[71]Listas!$F$3:$J$4,2,0))</f>
        <v>#N/A</v>
      </c>
      <c r="AL151" s="273" t="e">
        <f t="shared" si="15"/>
        <v>#N/A</v>
      </c>
      <c r="AM151" s="270" t="e">
        <f>INDEX([71]Listas!$F$6:$J$10,MATCH(AI151,[71]Listas!$D$6:$D$10,0),MATCH(AK151,[71]Listas!$F$4:$J$4,0))</f>
        <v>#N/A</v>
      </c>
      <c r="AN151" s="259"/>
      <c r="AO151" s="259"/>
      <c r="AP151" s="610"/>
      <c r="AQ151" s="259"/>
      <c r="AR151" s="259" t="s">
        <v>2343</v>
      </c>
      <c r="AS151" s="608"/>
      <c r="AT151" s="259"/>
      <c r="AU151" s="259"/>
      <c r="AV151" s="308"/>
      <c r="AW151" s="308"/>
      <c r="AX151" s="608"/>
      <c r="AY151" s="309"/>
      <c r="AZ151" s="310"/>
      <c r="BA151" s="310"/>
      <c r="BB151" s="310"/>
    </row>
    <row r="152" spans="1:54" s="260" customFormat="1" ht="103.5" hidden="1" customHeight="1">
      <c r="A152" s="608"/>
      <c r="B152" s="266"/>
      <c r="C152" s="1399"/>
      <c r="D152" s="1408"/>
      <c r="E152" s="1400"/>
      <c r="F152" s="267"/>
      <c r="G152" s="1399"/>
      <c r="H152" s="1408"/>
      <c r="I152" s="1400"/>
      <c r="J152" s="1380"/>
      <c r="K152" s="1380"/>
      <c r="L152" s="1380"/>
      <c r="M152" s="608"/>
      <c r="N152" s="608"/>
      <c r="O152" s="608"/>
      <c r="P152" s="608"/>
      <c r="Q152" s="266"/>
      <c r="R152" s="266"/>
      <c r="S152" s="268"/>
      <c r="T152" s="269" t="e">
        <f>VLOOKUP(Q152,[71]Listas!$D$6:$E$10,2,0)</f>
        <v>#N/A</v>
      </c>
      <c r="U152" s="269" t="e">
        <f>HLOOKUP(R152,[71]Listas!$F$4:$J$5,2,0)</f>
        <v>#N/A</v>
      </c>
      <c r="V152" s="270" t="e">
        <f>INDEX([71]Listas!$F$6:$J$10,MATCH(Q152,[71]Listas!$D$6:$D$10,0),MATCH(R152,[71]Listas!$F$4:$J$4,0))</f>
        <v>#N/A</v>
      </c>
      <c r="W152" s="268"/>
      <c r="X152" s="1399"/>
      <c r="Y152" s="1408"/>
      <c r="Z152" s="1400"/>
      <c r="AA152" s="1063"/>
      <c r="AB152" s="267"/>
      <c r="AC152" s="259"/>
      <c r="AD152" s="608"/>
      <c r="AE152" s="267"/>
      <c r="AF152" s="268"/>
      <c r="AG152" s="269">
        <f t="shared" si="12"/>
        <v>0</v>
      </c>
      <c r="AH152" s="558" t="e">
        <f t="shared" si="13"/>
        <v>#N/A</v>
      </c>
      <c r="AI152" s="270" t="e">
        <f>IF(AH152&lt;=1,"Remota",VLOOKUP(AH152,[71]Listas!$C$6:$D$10,2,0))</f>
        <v>#N/A</v>
      </c>
      <c r="AJ152" s="558" t="e">
        <f t="shared" si="14"/>
        <v>#N/A</v>
      </c>
      <c r="AK152" s="270" t="e">
        <f>IF(AJ152&lt;=1,"Insignificante",HLOOKUP(AJ152,[71]Listas!$F$3:$J$4,2,0))</f>
        <v>#N/A</v>
      </c>
      <c r="AL152" s="273" t="e">
        <f t="shared" si="15"/>
        <v>#N/A</v>
      </c>
      <c r="AM152" s="270" t="e">
        <f>INDEX([71]Listas!$F$6:$J$10,MATCH(AI152,[71]Listas!$D$6:$D$10,0),MATCH(AK152,[71]Listas!$F$4:$J$4,0))</f>
        <v>#N/A</v>
      </c>
      <c r="AN152" s="259"/>
      <c r="AO152" s="259"/>
      <c r="AP152" s="610"/>
      <c r="AQ152" s="259"/>
      <c r="AR152" s="259" t="s">
        <v>2343</v>
      </c>
      <c r="AS152" s="608"/>
      <c r="AT152" s="259"/>
      <c r="AU152" s="259"/>
      <c r="AV152" s="308"/>
      <c r="AW152" s="308"/>
      <c r="AX152" s="608"/>
      <c r="AY152" s="309"/>
      <c r="AZ152" s="310"/>
      <c r="BA152" s="310"/>
      <c r="BB152" s="310"/>
    </row>
    <row r="153" spans="1:54" s="260" customFormat="1" ht="103.5" hidden="1" customHeight="1">
      <c r="A153" s="608"/>
      <c r="B153" s="266"/>
      <c r="C153" s="1399"/>
      <c r="D153" s="1408"/>
      <c r="E153" s="1400"/>
      <c r="F153" s="267"/>
      <c r="G153" s="1399"/>
      <c r="H153" s="1408"/>
      <c r="I153" s="1400"/>
      <c r="J153" s="1380"/>
      <c r="K153" s="1380"/>
      <c r="L153" s="1380"/>
      <c r="M153" s="608"/>
      <c r="N153" s="608"/>
      <c r="O153" s="608"/>
      <c r="P153" s="608"/>
      <c r="Q153" s="266"/>
      <c r="R153" s="266"/>
      <c r="S153" s="268"/>
      <c r="T153" s="269" t="e">
        <f>VLOOKUP(Q153,[71]Listas!$D$6:$E$10,2,0)</f>
        <v>#N/A</v>
      </c>
      <c r="U153" s="269" t="e">
        <f>HLOOKUP(R153,[71]Listas!$F$4:$J$5,2,0)</f>
        <v>#N/A</v>
      </c>
      <c r="V153" s="270" t="e">
        <f>INDEX([71]Listas!$F$6:$J$10,MATCH(Q153,[71]Listas!$D$6:$D$10,0),MATCH(R153,[71]Listas!$F$4:$J$4,0))</f>
        <v>#N/A</v>
      </c>
      <c r="W153" s="268"/>
      <c r="X153" s="1399"/>
      <c r="Y153" s="1408"/>
      <c r="Z153" s="1400"/>
      <c r="AA153" s="1063"/>
      <c r="AB153" s="267"/>
      <c r="AC153" s="259"/>
      <c r="AD153" s="608"/>
      <c r="AE153" s="267"/>
      <c r="AF153" s="268"/>
      <c r="AG153" s="269">
        <f t="shared" si="12"/>
        <v>0</v>
      </c>
      <c r="AH153" s="558" t="e">
        <f t="shared" si="13"/>
        <v>#N/A</v>
      </c>
      <c r="AI153" s="270" t="e">
        <f>IF(AH153&lt;=1,"Remota",VLOOKUP(AH153,[71]Listas!$C$6:$D$10,2,0))</f>
        <v>#N/A</v>
      </c>
      <c r="AJ153" s="558" t="e">
        <f t="shared" si="14"/>
        <v>#N/A</v>
      </c>
      <c r="AK153" s="270" t="e">
        <f>IF(AJ153&lt;=1,"Insignificante",HLOOKUP(AJ153,[71]Listas!$F$3:$J$4,2,0))</f>
        <v>#N/A</v>
      </c>
      <c r="AL153" s="273" t="e">
        <f t="shared" si="15"/>
        <v>#N/A</v>
      </c>
      <c r="AM153" s="270" t="e">
        <f>INDEX([71]Listas!$F$6:$J$10,MATCH(AI153,[71]Listas!$D$6:$D$10,0),MATCH(AK153,[71]Listas!$F$4:$J$4,0))</f>
        <v>#N/A</v>
      </c>
      <c r="AN153" s="259"/>
      <c r="AO153" s="259"/>
      <c r="AP153" s="610"/>
      <c r="AQ153" s="259"/>
      <c r="AR153" s="259" t="s">
        <v>2343</v>
      </c>
      <c r="AS153" s="608"/>
      <c r="AT153" s="259"/>
      <c r="AU153" s="259"/>
      <c r="AV153" s="308"/>
      <c r="AW153" s="308"/>
      <c r="AX153" s="608"/>
      <c r="AY153" s="309"/>
      <c r="AZ153" s="310"/>
      <c r="BA153" s="310"/>
      <c r="BB153" s="310"/>
    </row>
    <row r="154" spans="1:54" s="260" customFormat="1" ht="103.5" hidden="1" customHeight="1">
      <c r="A154" s="608"/>
      <c r="B154" s="266"/>
      <c r="C154" s="1399"/>
      <c r="D154" s="1408"/>
      <c r="E154" s="1400"/>
      <c r="F154" s="267"/>
      <c r="G154" s="1399"/>
      <c r="H154" s="1408"/>
      <c r="I154" s="1400"/>
      <c r="J154" s="1380"/>
      <c r="K154" s="1380"/>
      <c r="L154" s="1380"/>
      <c r="M154" s="608"/>
      <c r="N154" s="608"/>
      <c r="O154" s="608"/>
      <c r="P154" s="608"/>
      <c r="Q154" s="266"/>
      <c r="R154" s="266"/>
      <c r="S154" s="268"/>
      <c r="T154" s="269" t="e">
        <f>VLOOKUP(Q154,[71]Listas!$D$6:$E$10,2,0)</f>
        <v>#N/A</v>
      </c>
      <c r="U154" s="269" t="e">
        <f>HLOOKUP(R154,[71]Listas!$F$4:$J$5,2,0)</f>
        <v>#N/A</v>
      </c>
      <c r="V154" s="270" t="e">
        <f>INDEX([71]Listas!$F$6:$J$10,MATCH(Q154,[71]Listas!$D$6:$D$10,0),MATCH(R154,[71]Listas!$F$4:$J$4,0))</f>
        <v>#N/A</v>
      </c>
      <c r="W154" s="268"/>
      <c r="X154" s="1399"/>
      <c r="Y154" s="1408"/>
      <c r="Z154" s="1400"/>
      <c r="AA154" s="1063"/>
      <c r="AB154" s="267"/>
      <c r="AC154" s="259"/>
      <c r="AD154" s="608"/>
      <c r="AE154" s="267"/>
      <c r="AF154" s="268"/>
      <c r="AG154" s="269">
        <f t="shared" si="12"/>
        <v>0</v>
      </c>
      <c r="AH154" s="558" t="e">
        <f t="shared" si="13"/>
        <v>#N/A</v>
      </c>
      <c r="AI154" s="270" t="e">
        <f>IF(AH154&lt;=1,"Remota",VLOOKUP(AH154,[71]Listas!$C$6:$D$10,2,0))</f>
        <v>#N/A</v>
      </c>
      <c r="AJ154" s="558" t="e">
        <f t="shared" si="14"/>
        <v>#N/A</v>
      </c>
      <c r="AK154" s="270" t="e">
        <f>IF(AJ154&lt;=1,"Insignificante",HLOOKUP(AJ154,[71]Listas!$F$3:$J$4,2,0))</f>
        <v>#N/A</v>
      </c>
      <c r="AL154" s="273" t="e">
        <f t="shared" si="15"/>
        <v>#N/A</v>
      </c>
      <c r="AM154" s="270" t="e">
        <f>INDEX([71]Listas!$F$6:$J$10,MATCH(AI154,[71]Listas!$D$6:$D$10,0),MATCH(AK154,[71]Listas!$F$4:$J$4,0))</f>
        <v>#N/A</v>
      </c>
      <c r="AN154" s="259"/>
      <c r="AO154" s="259"/>
      <c r="AP154" s="610"/>
      <c r="AQ154" s="259"/>
      <c r="AR154" s="259" t="s">
        <v>2343</v>
      </c>
      <c r="AS154" s="608"/>
      <c r="AT154" s="259"/>
      <c r="AU154" s="259"/>
      <c r="AV154" s="308"/>
      <c r="AW154" s="308"/>
      <c r="AX154" s="608"/>
      <c r="AY154" s="309"/>
      <c r="AZ154" s="310"/>
      <c r="BA154" s="310"/>
      <c r="BB154" s="310"/>
    </row>
    <row r="155" spans="1:54" s="260" customFormat="1" ht="103.5" hidden="1" customHeight="1">
      <c r="A155" s="608"/>
      <c r="B155" s="266"/>
      <c r="C155" s="1399"/>
      <c r="D155" s="1408"/>
      <c r="E155" s="1400"/>
      <c r="F155" s="267"/>
      <c r="G155" s="1399"/>
      <c r="H155" s="1408"/>
      <c r="I155" s="1400"/>
      <c r="J155" s="1380"/>
      <c r="K155" s="1380"/>
      <c r="L155" s="1380"/>
      <c r="M155" s="608"/>
      <c r="N155" s="608"/>
      <c r="O155" s="608"/>
      <c r="P155" s="608"/>
      <c r="Q155" s="266"/>
      <c r="R155" s="266"/>
      <c r="S155" s="268"/>
      <c r="T155" s="269" t="e">
        <f>VLOOKUP(Q155,[71]Listas!$D$6:$E$10,2,0)</f>
        <v>#N/A</v>
      </c>
      <c r="U155" s="269" t="e">
        <f>HLOOKUP(R155,[71]Listas!$F$4:$J$5,2,0)</f>
        <v>#N/A</v>
      </c>
      <c r="V155" s="270" t="e">
        <f>INDEX([71]Listas!$F$6:$J$10,MATCH(Q155,[71]Listas!$D$6:$D$10,0),MATCH(R155,[71]Listas!$F$4:$J$4,0))</f>
        <v>#N/A</v>
      </c>
      <c r="W155" s="268"/>
      <c r="X155" s="1399"/>
      <c r="Y155" s="1408"/>
      <c r="Z155" s="1400"/>
      <c r="AA155" s="1063"/>
      <c r="AB155" s="267"/>
      <c r="AC155" s="259"/>
      <c r="AD155" s="608"/>
      <c r="AE155" s="267"/>
      <c r="AF155" s="268"/>
      <c r="AG155" s="269">
        <f t="shared" si="12"/>
        <v>0</v>
      </c>
      <c r="AH155" s="558" t="e">
        <f t="shared" si="13"/>
        <v>#N/A</v>
      </c>
      <c r="AI155" s="270" t="e">
        <f>IF(AH155&lt;=1,"Remota",VLOOKUP(AH155,[71]Listas!$C$6:$D$10,2,0))</f>
        <v>#N/A</v>
      </c>
      <c r="AJ155" s="558" t="e">
        <f t="shared" si="14"/>
        <v>#N/A</v>
      </c>
      <c r="AK155" s="270" t="e">
        <f>IF(AJ155&lt;=1,"Insignificante",HLOOKUP(AJ155,[71]Listas!$F$3:$J$4,2,0))</f>
        <v>#N/A</v>
      </c>
      <c r="AL155" s="273" t="e">
        <f t="shared" si="15"/>
        <v>#N/A</v>
      </c>
      <c r="AM155" s="270" t="e">
        <f>INDEX([71]Listas!$F$6:$J$10,MATCH(AI155,[71]Listas!$D$6:$D$10,0),MATCH(AK155,[71]Listas!$F$4:$J$4,0))</f>
        <v>#N/A</v>
      </c>
      <c r="AN155" s="259"/>
      <c r="AO155" s="259"/>
      <c r="AP155" s="610"/>
      <c r="AQ155" s="259"/>
      <c r="AR155" s="259" t="s">
        <v>2343</v>
      </c>
      <c r="AS155" s="608"/>
      <c r="AT155" s="259"/>
      <c r="AU155" s="259"/>
      <c r="AV155" s="308"/>
      <c r="AW155" s="308"/>
      <c r="AX155" s="608"/>
      <c r="AY155" s="309"/>
      <c r="AZ155" s="310"/>
      <c r="BA155" s="310"/>
      <c r="BB155" s="310"/>
    </row>
    <row r="156" spans="1:54" s="260" customFormat="1" ht="103.5" hidden="1" customHeight="1">
      <c r="A156" s="608"/>
      <c r="B156" s="266"/>
      <c r="C156" s="1399"/>
      <c r="D156" s="1408"/>
      <c r="E156" s="1400"/>
      <c r="F156" s="267"/>
      <c r="G156" s="1399"/>
      <c r="H156" s="1408"/>
      <c r="I156" s="1400"/>
      <c r="J156" s="1380"/>
      <c r="K156" s="1380"/>
      <c r="L156" s="1380"/>
      <c r="M156" s="608"/>
      <c r="N156" s="608"/>
      <c r="O156" s="608"/>
      <c r="P156" s="608"/>
      <c r="Q156" s="266"/>
      <c r="R156" s="266"/>
      <c r="S156" s="268"/>
      <c r="T156" s="269" t="e">
        <f>VLOOKUP(Q156,[71]Listas!$D$6:$E$10,2,0)</f>
        <v>#N/A</v>
      </c>
      <c r="U156" s="269" t="e">
        <f>HLOOKUP(R156,[71]Listas!$F$4:$J$5,2,0)</f>
        <v>#N/A</v>
      </c>
      <c r="V156" s="270" t="e">
        <f>INDEX([71]Listas!$F$6:$J$10,MATCH(Q156,[71]Listas!$D$6:$D$10,0),MATCH(R156,[71]Listas!$F$4:$J$4,0))</f>
        <v>#N/A</v>
      </c>
      <c r="W156" s="268"/>
      <c r="X156" s="1399"/>
      <c r="Y156" s="1408"/>
      <c r="Z156" s="1400"/>
      <c r="AA156" s="1063"/>
      <c r="AB156" s="267"/>
      <c r="AC156" s="259"/>
      <c r="AD156" s="608"/>
      <c r="AE156" s="267"/>
      <c r="AF156" s="268"/>
      <c r="AG156" s="269">
        <f t="shared" si="12"/>
        <v>0</v>
      </c>
      <c r="AH156" s="558" t="e">
        <f t="shared" si="13"/>
        <v>#N/A</v>
      </c>
      <c r="AI156" s="270" t="e">
        <f>IF(AH156&lt;=1,"Remota",VLOOKUP(AH156,[71]Listas!$C$6:$D$10,2,0))</f>
        <v>#N/A</v>
      </c>
      <c r="AJ156" s="558" t="e">
        <f t="shared" si="14"/>
        <v>#N/A</v>
      </c>
      <c r="AK156" s="270" t="e">
        <f>IF(AJ156&lt;=1,"Insignificante",HLOOKUP(AJ156,[71]Listas!$F$3:$J$4,2,0))</f>
        <v>#N/A</v>
      </c>
      <c r="AL156" s="273" t="e">
        <f t="shared" si="15"/>
        <v>#N/A</v>
      </c>
      <c r="AM156" s="270" t="e">
        <f>INDEX([71]Listas!$F$6:$J$10,MATCH(AI156,[71]Listas!$D$6:$D$10,0),MATCH(AK156,[71]Listas!$F$4:$J$4,0))</f>
        <v>#N/A</v>
      </c>
      <c r="AN156" s="259"/>
      <c r="AO156" s="259"/>
      <c r="AP156" s="610"/>
      <c r="AQ156" s="259"/>
      <c r="AR156" s="259" t="s">
        <v>2343</v>
      </c>
      <c r="AS156" s="608"/>
      <c r="AT156" s="259"/>
      <c r="AU156" s="259"/>
      <c r="AV156" s="308"/>
      <c r="AW156" s="308"/>
      <c r="AX156" s="608"/>
      <c r="AY156" s="309"/>
      <c r="AZ156" s="310"/>
      <c r="BA156" s="310"/>
      <c r="BB156" s="310"/>
    </row>
    <row r="157" spans="1:54" s="260" customFormat="1" ht="103.5" hidden="1" customHeight="1">
      <c r="A157" s="608"/>
      <c r="B157" s="266"/>
      <c r="C157" s="1399"/>
      <c r="D157" s="1408"/>
      <c r="E157" s="1400"/>
      <c r="F157" s="267"/>
      <c r="G157" s="1399"/>
      <c r="H157" s="1408"/>
      <c r="I157" s="1400"/>
      <c r="J157" s="1380"/>
      <c r="K157" s="1380"/>
      <c r="L157" s="1380"/>
      <c r="M157" s="608"/>
      <c r="N157" s="608"/>
      <c r="O157" s="608"/>
      <c r="P157" s="608"/>
      <c r="Q157" s="266"/>
      <c r="R157" s="266"/>
      <c r="S157" s="268"/>
      <c r="T157" s="269" t="e">
        <f>VLOOKUP(Q157,[71]Listas!$D$6:$E$10,2,0)</f>
        <v>#N/A</v>
      </c>
      <c r="U157" s="269" t="e">
        <f>HLOOKUP(R157,[71]Listas!$F$4:$J$5,2,0)</f>
        <v>#N/A</v>
      </c>
      <c r="V157" s="270" t="e">
        <f>INDEX([71]Listas!$F$6:$J$10,MATCH(Q157,[71]Listas!$D$6:$D$10,0),MATCH(R157,[71]Listas!$F$4:$J$4,0))</f>
        <v>#N/A</v>
      </c>
      <c r="W157" s="268"/>
      <c r="X157" s="1399"/>
      <c r="Y157" s="1408"/>
      <c r="Z157" s="1400"/>
      <c r="AA157" s="1063"/>
      <c r="AB157" s="267"/>
      <c r="AC157" s="259"/>
      <c r="AD157" s="608"/>
      <c r="AE157" s="267"/>
      <c r="AF157" s="268"/>
      <c r="AG157" s="269">
        <f t="shared" si="12"/>
        <v>0</v>
      </c>
      <c r="AH157" s="558" t="e">
        <f t="shared" si="13"/>
        <v>#N/A</v>
      </c>
      <c r="AI157" s="270" t="e">
        <f>IF(AH157&lt;=1,"Remota",VLOOKUP(AH157,[71]Listas!$C$6:$D$10,2,0))</f>
        <v>#N/A</v>
      </c>
      <c r="AJ157" s="558" t="e">
        <f t="shared" si="14"/>
        <v>#N/A</v>
      </c>
      <c r="AK157" s="270" t="e">
        <f>IF(AJ157&lt;=1,"Insignificante",HLOOKUP(AJ157,[71]Listas!$F$3:$J$4,2,0))</f>
        <v>#N/A</v>
      </c>
      <c r="AL157" s="273" t="e">
        <f t="shared" si="15"/>
        <v>#N/A</v>
      </c>
      <c r="AM157" s="270" t="e">
        <f>INDEX([71]Listas!$F$6:$J$10,MATCH(AI157,[71]Listas!$D$6:$D$10,0),MATCH(AK157,[71]Listas!$F$4:$J$4,0))</f>
        <v>#N/A</v>
      </c>
      <c r="AN157" s="259"/>
      <c r="AO157" s="259"/>
      <c r="AP157" s="610"/>
      <c r="AQ157" s="259"/>
      <c r="AR157" s="259" t="s">
        <v>2343</v>
      </c>
      <c r="AS157" s="608"/>
      <c r="AT157" s="259"/>
      <c r="AU157" s="259"/>
      <c r="AV157" s="308"/>
      <c r="AW157" s="308"/>
      <c r="AX157" s="608"/>
      <c r="AY157" s="309"/>
      <c r="AZ157" s="310"/>
      <c r="BA157" s="310"/>
      <c r="BB157" s="310"/>
    </row>
    <row r="158" spans="1:54" s="260" customFormat="1" ht="103.5" hidden="1" customHeight="1">
      <c r="A158" s="608"/>
      <c r="B158" s="266"/>
      <c r="C158" s="1399"/>
      <c r="D158" s="1408"/>
      <c r="E158" s="1400"/>
      <c r="F158" s="267"/>
      <c r="G158" s="1399"/>
      <c r="H158" s="1408"/>
      <c r="I158" s="1400"/>
      <c r="J158" s="1380"/>
      <c r="K158" s="1380"/>
      <c r="L158" s="1380"/>
      <c r="M158" s="608"/>
      <c r="N158" s="608"/>
      <c r="O158" s="608"/>
      <c r="P158" s="608"/>
      <c r="Q158" s="266"/>
      <c r="R158" s="266"/>
      <c r="S158" s="268"/>
      <c r="T158" s="269" t="e">
        <f>VLOOKUP(Q158,[71]Listas!$D$6:$E$10,2,0)</f>
        <v>#N/A</v>
      </c>
      <c r="U158" s="269" t="e">
        <f>HLOOKUP(R158,[71]Listas!$F$4:$J$5,2,0)</f>
        <v>#N/A</v>
      </c>
      <c r="V158" s="270" t="e">
        <f>INDEX([71]Listas!$F$6:$J$10,MATCH(Q158,[71]Listas!$D$6:$D$10,0),MATCH(R158,[71]Listas!$F$4:$J$4,0))</f>
        <v>#N/A</v>
      </c>
      <c r="W158" s="268"/>
      <c r="X158" s="1399"/>
      <c r="Y158" s="1408"/>
      <c r="Z158" s="1400"/>
      <c r="AA158" s="1063"/>
      <c r="AB158" s="267"/>
      <c r="AC158" s="259"/>
      <c r="AD158" s="608"/>
      <c r="AE158" s="267"/>
      <c r="AF158" s="268"/>
      <c r="AG158" s="269">
        <f t="shared" si="12"/>
        <v>0</v>
      </c>
      <c r="AH158" s="558" t="e">
        <f t="shared" si="13"/>
        <v>#N/A</v>
      </c>
      <c r="AI158" s="270" t="e">
        <f>IF(AH158&lt;=1,"Remota",VLOOKUP(AH158,[71]Listas!$C$6:$D$10,2,0))</f>
        <v>#N/A</v>
      </c>
      <c r="AJ158" s="558" t="e">
        <f t="shared" si="14"/>
        <v>#N/A</v>
      </c>
      <c r="AK158" s="270" t="e">
        <f>IF(AJ158&lt;=1,"Insignificante",HLOOKUP(AJ158,[71]Listas!$F$3:$J$4,2,0))</f>
        <v>#N/A</v>
      </c>
      <c r="AL158" s="273" t="e">
        <f t="shared" si="15"/>
        <v>#N/A</v>
      </c>
      <c r="AM158" s="270" t="e">
        <f>INDEX([71]Listas!$F$6:$J$10,MATCH(AI158,[71]Listas!$D$6:$D$10,0),MATCH(AK158,[71]Listas!$F$4:$J$4,0))</f>
        <v>#N/A</v>
      </c>
      <c r="AN158" s="259"/>
      <c r="AO158" s="259"/>
      <c r="AP158" s="610"/>
      <c r="AQ158" s="259"/>
      <c r="AR158" s="259" t="s">
        <v>2343</v>
      </c>
      <c r="AS158" s="608"/>
      <c r="AT158" s="259"/>
      <c r="AU158" s="259"/>
      <c r="AV158" s="308"/>
      <c r="AW158" s="308"/>
      <c r="AX158" s="608"/>
      <c r="AY158" s="309"/>
      <c r="AZ158" s="310"/>
      <c r="BA158" s="310"/>
      <c r="BB158" s="310"/>
    </row>
    <row r="159" spans="1:54" s="260" customFormat="1" ht="103.5" hidden="1" customHeight="1">
      <c r="A159" s="608"/>
      <c r="B159" s="266"/>
      <c r="C159" s="1399"/>
      <c r="D159" s="1408"/>
      <c r="E159" s="1400"/>
      <c r="F159" s="267"/>
      <c r="G159" s="1399"/>
      <c r="H159" s="1408"/>
      <c r="I159" s="1400"/>
      <c r="J159" s="1380"/>
      <c r="K159" s="1380"/>
      <c r="L159" s="1380"/>
      <c r="M159" s="608"/>
      <c r="N159" s="608"/>
      <c r="O159" s="608"/>
      <c r="P159" s="608"/>
      <c r="Q159" s="266"/>
      <c r="R159" s="266"/>
      <c r="S159" s="268"/>
      <c r="T159" s="269" t="e">
        <f>VLOOKUP(Q159,[71]Listas!$D$6:$E$10,2,0)</f>
        <v>#N/A</v>
      </c>
      <c r="U159" s="269" t="e">
        <f>HLOOKUP(R159,[71]Listas!$F$4:$J$5,2,0)</f>
        <v>#N/A</v>
      </c>
      <c r="V159" s="270" t="e">
        <f>INDEX([71]Listas!$F$6:$J$10,MATCH(Q159,[71]Listas!$D$6:$D$10,0),MATCH(R159,[71]Listas!$F$4:$J$4,0))</f>
        <v>#N/A</v>
      </c>
      <c r="W159" s="268"/>
      <c r="X159" s="1399"/>
      <c r="Y159" s="1408"/>
      <c r="Z159" s="1400"/>
      <c r="AA159" s="1063"/>
      <c r="AB159" s="267"/>
      <c r="AC159" s="259"/>
      <c r="AD159" s="608"/>
      <c r="AE159" s="267"/>
      <c r="AF159" s="268"/>
      <c r="AG159" s="269">
        <f t="shared" si="12"/>
        <v>0</v>
      </c>
      <c r="AH159" s="558" t="e">
        <f t="shared" si="13"/>
        <v>#N/A</v>
      </c>
      <c r="AI159" s="270" t="e">
        <f>IF(AH159&lt;=1,"Remota",VLOOKUP(AH159,[71]Listas!$C$6:$D$10,2,0))</f>
        <v>#N/A</v>
      </c>
      <c r="AJ159" s="558" t="e">
        <f t="shared" si="14"/>
        <v>#N/A</v>
      </c>
      <c r="AK159" s="270" t="e">
        <f>IF(AJ159&lt;=1,"Insignificante",HLOOKUP(AJ159,[71]Listas!$F$3:$J$4,2,0))</f>
        <v>#N/A</v>
      </c>
      <c r="AL159" s="273" t="e">
        <f t="shared" si="15"/>
        <v>#N/A</v>
      </c>
      <c r="AM159" s="270" t="e">
        <f>INDEX([71]Listas!$F$6:$J$10,MATCH(AI159,[71]Listas!$D$6:$D$10,0),MATCH(AK159,[71]Listas!$F$4:$J$4,0))</f>
        <v>#N/A</v>
      </c>
      <c r="AN159" s="259"/>
      <c r="AO159" s="259"/>
      <c r="AP159" s="610"/>
      <c r="AQ159" s="259"/>
      <c r="AR159" s="259" t="s">
        <v>2343</v>
      </c>
      <c r="AS159" s="608"/>
      <c r="AT159" s="259"/>
      <c r="AU159" s="259"/>
      <c r="AV159" s="308"/>
      <c r="AW159" s="308"/>
      <c r="AX159" s="608"/>
      <c r="AY159" s="309"/>
      <c r="AZ159" s="310"/>
      <c r="BA159" s="310"/>
      <c r="BB159" s="310"/>
    </row>
    <row r="160" spans="1:54" s="260" customFormat="1" ht="103.5" hidden="1" customHeight="1">
      <c r="A160" s="608"/>
      <c r="B160" s="266"/>
      <c r="C160" s="1399"/>
      <c r="D160" s="1408"/>
      <c r="E160" s="1400"/>
      <c r="F160" s="267"/>
      <c r="G160" s="1399"/>
      <c r="H160" s="1408"/>
      <c r="I160" s="1400"/>
      <c r="J160" s="1380"/>
      <c r="K160" s="1380"/>
      <c r="L160" s="1380"/>
      <c r="M160" s="608"/>
      <c r="N160" s="608"/>
      <c r="O160" s="608"/>
      <c r="P160" s="608"/>
      <c r="Q160" s="266"/>
      <c r="R160" s="266"/>
      <c r="S160" s="268"/>
      <c r="T160" s="269" t="e">
        <f>VLOOKUP(Q160,[71]Listas!$D$6:$E$10,2,0)</f>
        <v>#N/A</v>
      </c>
      <c r="U160" s="269" t="e">
        <f>HLOOKUP(R160,[71]Listas!$F$4:$J$5,2,0)</f>
        <v>#N/A</v>
      </c>
      <c r="V160" s="270" t="e">
        <f>INDEX([71]Listas!$F$6:$J$10,MATCH(Q160,[71]Listas!$D$6:$D$10,0),MATCH(R160,[71]Listas!$F$4:$J$4,0))</f>
        <v>#N/A</v>
      </c>
      <c r="W160" s="268"/>
      <c r="X160" s="1399"/>
      <c r="Y160" s="1408"/>
      <c r="Z160" s="1400"/>
      <c r="AA160" s="1063"/>
      <c r="AB160" s="267"/>
      <c r="AC160" s="259"/>
      <c r="AD160" s="608"/>
      <c r="AE160" s="267"/>
      <c r="AF160" s="268"/>
      <c r="AG160" s="269">
        <f t="shared" si="12"/>
        <v>0</v>
      </c>
      <c r="AH160" s="558" t="e">
        <f t="shared" si="13"/>
        <v>#N/A</v>
      </c>
      <c r="AI160" s="270" t="e">
        <f>IF(AH160&lt;=1,"Remota",VLOOKUP(AH160,[71]Listas!$C$6:$D$10,2,0))</f>
        <v>#N/A</v>
      </c>
      <c r="AJ160" s="558" t="e">
        <f t="shared" si="14"/>
        <v>#N/A</v>
      </c>
      <c r="AK160" s="270" t="e">
        <f>IF(AJ160&lt;=1,"Insignificante",HLOOKUP(AJ160,[71]Listas!$F$3:$J$4,2,0))</f>
        <v>#N/A</v>
      </c>
      <c r="AL160" s="273" t="e">
        <f t="shared" si="15"/>
        <v>#N/A</v>
      </c>
      <c r="AM160" s="270" t="e">
        <f>INDEX([71]Listas!$F$6:$J$10,MATCH(AI160,[71]Listas!$D$6:$D$10,0),MATCH(AK160,[71]Listas!$F$4:$J$4,0))</f>
        <v>#N/A</v>
      </c>
      <c r="AN160" s="259"/>
      <c r="AO160" s="259"/>
      <c r="AP160" s="610"/>
      <c r="AQ160" s="259"/>
      <c r="AR160" s="259" t="s">
        <v>2343</v>
      </c>
      <c r="AS160" s="608"/>
      <c r="AT160" s="259"/>
      <c r="AU160" s="259"/>
      <c r="AV160" s="308"/>
      <c r="AW160" s="308"/>
      <c r="AX160" s="608"/>
      <c r="AY160" s="309"/>
      <c r="AZ160" s="310"/>
      <c r="BA160" s="310"/>
      <c r="BB160" s="310"/>
    </row>
    <row r="161" spans="1:1027" s="260" customFormat="1" ht="103.5" hidden="1" customHeight="1">
      <c r="A161" s="608"/>
      <c r="B161" s="266"/>
      <c r="C161" s="1399"/>
      <c r="D161" s="1408"/>
      <c r="E161" s="1400"/>
      <c r="F161" s="267"/>
      <c r="G161" s="1399"/>
      <c r="H161" s="1408"/>
      <c r="I161" s="1400"/>
      <c r="J161" s="1380"/>
      <c r="K161" s="1380"/>
      <c r="L161" s="1380"/>
      <c r="M161" s="608"/>
      <c r="N161" s="608"/>
      <c r="O161" s="608"/>
      <c r="P161" s="608"/>
      <c r="Q161" s="266"/>
      <c r="R161" s="266"/>
      <c r="S161" s="268"/>
      <c r="T161" s="269" t="e">
        <f>VLOOKUP(Q161,[71]Listas!$D$6:$E$10,2,0)</f>
        <v>#N/A</v>
      </c>
      <c r="U161" s="269" t="e">
        <f>HLOOKUP(R161,[71]Listas!$F$4:$J$5,2,0)</f>
        <v>#N/A</v>
      </c>
      <c r="V161" s="270" t="e">
        <f>INDEX([71]Listas!$F$6:$J$10,MATCH(Q161,[71]Listas!$D$6:$D$10,0),MATCH(R161,[71]Listas!$F$4:$J$4,0))</f>
        <v>#N/A</v>
      </c>
      <c r="W161" s="268"/>
      <c r="X161" s="1399"/>
      <c r="Y161" s="1408"/>
      <c r="Z161" s="1400"/>
      <c r="AA161" s="1063"/>
      <c r="AB161" s="267"/>
      <c r="AC161" s="259"/>
      <c r="AD161" s="608"/>
      <c r="AE161" s="267"/>
      <c r="AF161" s="268"/>
      <c r="AG161" s="269">
        <f t="shared" si="12"/>
        <v>0</v>
      </c>
      <c r="AH161" s="558" t="e">
        <f t="shared" si="13"/>
        <v>#N/A</v>
      </c>
      <c r="AI161" s="270" t="e">
        <f>IF(AH161&lt;=1,"Remota",VLOOKUP(AH161,[71]Listas!$C$6:$D$10,2,0))</f>
        <v>#N/A</v>
      </c>
      <c r="AJ161" s="558" t="e">
        <f t="shared" si="14"/>
        <v>#N/A</v>
      </c>
      <c r="AK161" s="270" t="e">
        <f>IF(AJ161&lt;=1,"Insignificante",HLOOKUP(AJ161,[71]Listas!$F$3:$J$4,2,0))</f>
        <v>#N/A</v>
      </c>
      <c r="AL161" s="273" t="e">
        <f t="shared" si="15"/>
        <v>#N/A</v>
      </c>
      <c r="AM161" s="270" t="e">
        <f>INDEX([71]Listas!$F$6:$J$10,MATCH(AI161,[71]Listas!$D$6:$D$10,0),MATCH(AK161,[71]Listas!$F$4:$J$4,0))</f>
        <v>#N/A</v>
      </c>
      <c r="AN161" s="259"/>
      <c r="AO161" s="259"/>
      <c r="AP161" s="610"/>
      <c r="AQ161" s="259"/>
      <c r="AR161" s="259" t="s">
        <v>2343</v>
      </c>
      <c r="AS161" s="608"/>
      <c r="AT161" s="259"/>
      <c r="AU161" s="259"/>
      <c r="AV161" s="308"/>
      <c r="AW161" s="308"/>
      <c r="AX161" s="608"/>
      <c r="AY161" s="309"/>
      <c r="AZ161" s="310"/>
      <c r="BA161" s="310"/>
      <c r="BB161" s="310"/>
    </row>
    <row r="162" spans="1:1027" s="260" customFormat="1" ht="103.5" hidden="1" customHeight="1">
      <c r="A162" s="608"/>
      <c r="B162" s="266"/>
      <c r="C162" s="1399"/>
      <c r="D162" s="1408"/>
      <c r="E162" s="1400"/>
      <c r="F162" s="267"/>
      <c r="G162" s="1399"/>
      <c r="H162" s="1408"/>
      <c r="I162" s="1400"/>
      <c r="J162" s="1380"/>
      <c r="K162" s="1380"/>
      <c r="L162" s="1380"/>
      <c r="M162" s="608"/>
      <c r="N162" s="608"/>
      <c r="O162" s="608"/>
      <c r="P162" s="608"/>
      <c r="Q162" s="266"/>
      <c r="R162" s="266"/>
      <c r="S162" s="268"/>
      <c r="T162" s="269" t="e">
        <f>VLOOKUP(Q162,[71]Listas!$D$6:$E$10,2,0)</f>
        <v>#N/A</v>
      </c>
      <c r="U162" s="269" t="e">
        <f>HLOOKUP(R162,[71]Listas!$F$4:$J$5,2,0)</f>
        <v>#N/A</v>
      </c>
      <c r="V162" s="270" t="e">
        <f>INDEX([71]Listas!$F$6:$J$10,MATCH(Q162,[71]Listas!$D$6:$D$10,0),MATCH(R162,[71]Listas!$F$4:$J$4,0))</f>
        <v>#N/A</v>
      </c>
      <c r="W162" s="268"/>
      <c r="X162" s="1399"/>
      <c r="Y162" s="1408"/>
      <c r="Z162" s="1400"/>
      <c r="AA162" s="1063"/>
      <c r="AB162" s="267"/>
      <c r="AC162" s="259"/>
      <c r="AD162" s="608"/>
      <c r="AE162" s="267"/>
      <c r="AF162" s="268"/>
      <c r="AG162" s="269">
        <f t="shared" si="12"/>
        <v>0</v>
      </c>
      <c r="AH162" s="558" t="e">
        <f t="shared" si="13"/>
        <v>#N/A</v>
      </c>
      <c r="AI162" s="270" t="e">
        <f>IF(AH162&lt;=1,"Remota",VLOOKUP(AH162,[71]Listas!$C$6:$D$10,2,0))</f>
        <v>#N/A</v>
      </c>
      <c r="AJ162" s="558" t="e">
        <f t="shared" si="14"/>
        <v>#N/A</v>
      </c>
      <c r="AK162" s="270" t="e">
        <f>IF(AJ162&lt;=1,"Insignificante",HLOOKUP(AJ162,[71]Listas!$F$3:$J$4,2,0))</f>
        <v>#N/A</v>
      </c>
      <c r="AL162" s="273" t="e">
        <f t="shared" si="15"/>
        <v>#N/A</v>
      </c>
      <c r="AM162" s="270" t="e">
        <f>INDEX([71]Listas!$F$6:$J$10,MATCH(AI162,[71]Listas!$D$6:$D$10,0),MATCH(AK162,[71]Listas!$F$4:$J$4,0))</f>
        <v>#N/A</v>
      </c>
      <c r="AN162" s="259"/>
      <c r="AO162" s="259"/>
      <c r="AP162" s="610"/>
      <c r="AQ162" s="259"/>
      <c r="AR162" s="259" t="s">
        <v>2343</v>
      </c>
      <c r="AS162" s="608"/>
      <c r="AT162" s="259"/>
      <c r="AU162" s="259"/>
      <c r="AV162" s="308"/>
      <c r="AW162" s="308"/>
      <c r="AX162" s="608"/>
      <c r="AY162" s="309"/>
      <c r="AZ162" s="310"/>
      <c r="BA162" s="310"/>
      <c r="BB162" s="310"/>
    </row>
    <row r="163" spans="1:1027" ht="5.25" customHeight="1">
      <c r="A163" s="275"/>
      <c r="B163" s="276"/>
      <c r="C163" s="276"/>
      <c r="D163" s="276"/>
      <c r="E163" s="275"/>
      <c r="F163" s="275"/>
      <c r="G163" s="277"/>
      <c r="H163" s="277"/>
      <c r="I163" s="277"/>
      <c r="J163" s="275"/>
      <c r="K163" s="275"/>
      <c r="L163" s="278"/>
      <c r="M163" s="278"/>
      <c r="N163" s="278"/>
      <c r="O163" s="278"/>
      <c r="P163" s="278"/>
      <c r="Q163" s="278"/>
      <c r="R163" s="278"/>
      <c r="S163" s="278"/>
      <c r="T163" s="278"/>
      <c r="U163" s="278"/>
      <c r="V163" s="275"/>
      <c r="W163" s="275"/>
      <c r="X163" s="277"/>
      <c r="Y163" s="277"/>
      <c r="Z163" s="277"/>
      <c r="AA163" s="277"/>
      <c r="AB163" s="277"/>
      <c r="AC163" s="277"/>
      <c r="AD163" s="275"/>
      <c r="AE163" s="275"/>
      <c r="AF163" s="275"/>
      <c r="AG163" s="275"/>
      <c r="AH163" s="275"/>
      <c r="AI163" s="275"/>
      <c r="AJ163" s="275"/>
      <c r="AK163" s="275"/>
      <c r="AL163" s="275"/>
      <c r="AM163" s="279"/>
      <c r="AN163" s="262"/>
      <c r="AO163" s="262"/>
      <c r="AP163" s="262"/>
      <c r="AQ163" s="262"/>
      <c r="AR163" s="262"/>
      <c r="AS163" s="262"/>
      <c r="AT163" s="262"/>
      <c r="AU163" s="262"/>
      <c r="AV163" s="262"/>
      <c r="AW163" s="262"/>
      <c r="AX163" s="262"/>
      <c r="AY163" s="262"/>
      <c r="AZ163" s="236"/>
      <c r="BA163" s="236"/>
      <c r="BB163" s="236"/>
      <c r="BC163" s="236"/>
      <c r="BD163" s="236"/>
      <c r="BE163" s="236"/>
      <c r="BF163" s="236"/>
      <c r="BG163" s="236"/>
      <c r="BH163" s="236"/>
      <c r="BI163" s="236"/>
      <c r="BJ163" s="236"/>
      <c r="BK163" s="236"/>
      <c r="BL163" s="236"/>
      <c r="BM163" s="236"/>
      <c r="BN163" s="236"/>
      <c r="BO163" s="236"/>
      <c r="BP163" s="236"/>
      <c r="BQ163" s="236"/>
      <c r="BR163" s="236"/>
      <c r="BS163" s="236"/>
      <c r="BT163" s="236"/>
      <c r="BU163" s="236"/>
      <c r="BV163" s="236"/>
      <c r="BW163" s="236"/>
      <c r="BX163" s="236"/>
      <c r="BY163" s="236"/>
      <c r="BZ163" s="236"/>
      <c r="CA163" s="236"/>
      <c r="CB163" s="236"/>
      <c r="CC163" s="236"/>
      <c r="CD163" s="236"/>
      <c r="CE163" s="236"/>
      <c r="CF163" s="236"/>
      <c r="CG163" s="236"/>
      <c r="CH163" s="236"/>
      <c r="CI163" s="236"/>
      <c r="CJ163" s="236"/>
      <c r="CK163" s="236"/>
      <c r="CL163" s="236"/>
      <c r="CM163" s="236"/>
      <c r="CN163" s="236"/>
      <c r="CO163" s="236"/>
      <c r="CP163" s="236"/>
      <c r="CQ163" s="236"/>
      <c r="CR163" s="236"/>
      <c r="CS163" s="236"/>
      <c r="CT163" s="236"/>
      <c r="CU163" s="236"/>
      <c r="CV163" s="236"/>
      <c r="CW163" s="236"/>
      <c r="CX163" s="236"/>
      <c r="CY163" s="236"/>
      <c r="CZ163" s="236"/>
      <c r="DA163" s="236"/>
      <c r="DB163" s="236"/>
      <c r="DC163" s="236"/>
      <c r="DD163" s="236"/>
      <c r="DE163" s="236"/>
      <c r="DF163" s="236"/>
      <c r="DG163" s="236"/>
      <c r="DH163" s="236"/>
      <c r="DI163" s="236"/>
      <c r="DJ163" s="236"/>
      <c r="DK163" s="236"/>
      <c r="DL163" s="236"/>
      <c r="DM163" s="236"/>
      <c r="DN163" s="236"/>
      <c r="DO163" s="236"/>
      <c r="DP163" s="236"/>
      <c r="DQ163" s="236"/>
      <c r="DR163" s="236"/>
      <c r="DS163" s="236"/>
      <c r="DT163" s="236"/>
      <c r="DU163" s="236"/>
      <c r="DV163" s="236"/>
      <c r="DW163" s="236"/>
      <c r="DX163" s="236"/>
      <c r="DY163" s="236"/>
      <c r="DZ163" s="236"/>
      <c r="EA163" s="236"/>
      <c r="EB163" s="236"/>
      <c r="EC163" s="236"/>
      <c r="ED163" s="236"/>
      <c r="EE163" s="236"/>
      <c r="EF163" s="236"/>
      <c r="EG163" s="236"/>
      <c r="EH163" s="236"/>
      <c r="EI163" s="236"/>
      <c r="EJ163" s="236"/>
      <c r="EK163" s="236"/>
      <c r="EL163" s="236"/>
      <c r="EM163" s="236"/>
      <c r="EN163" s="236"/>
      <c r="EO163" s="236"/>
      <c r="EP163" s="236"/>
      <c r="EQ163" s="236"/>
      <c r="ER163" s="236"/>
      <c r="ES163" s="236"/>
      <c r="ET163" s="236"/>
      <c r="EU163" s="236"/>
      <c r="EV163" s="236"/>
      <c r="EW163" s="236"/>
      <c r="EX163" s="236"/>
      <c r="EY163" s="236"/>
      <c r="EZ163" s="236"/>
      <c r="FA163" s="236"/>
      <c r="FB163" s="236"/>
      <c r="FC163" s="236"/>
      <c r="FD163" s="236"/>
      <c r="FE163" s="236"/>
      <c r="FF163" s="236"/>
      <c r="FG163" s="236"/>
      <c r="FH163" s="236"/>
      <c r="FI163" s="236"/>
      <c r="FJ163" s="236"/>
      <c r="FK163" s="236"/>
      <c r="FL163" s="236"/>
      <c r="FM163" s="236"/>
      <c r="FN163" s="236"/>
      <c r="FO163" s="236"/>
      <c r="FP163" s="236"/>
      <c r="FQ163" s="236"/>
      <c r="FR163" s="236"/>
      <c r="FS163" s="236"/>
      <c r="FT163" s="236"/>
      <c r="FU163" s="236"/>
      <c r="FV163" s="236"/>
      <c r="FW163" s="236"/>
      <c r="FX163" s="236"/>
      <c r="FY163" s="236"/>
      <c r="FZ163" s="236"/>
      <c r="GA163" s="236"/>
      <c r="GB163" s="236"/>
      <c r="GC163" s="236"/>
      <c r="GD163" s="236"/>
      <c r="GE163" s="236"/>
      <c r="GF163" s="236"/>
      <c r="GG163" s="236"/>
      <c r="GH163" s="236"/>
      <c r="GI163" s="236"/>
      <c r="GJ163" s="236"/>
      <c r="GK163" s="236"/>
      <c r="GL163" s="236"/>
      <c r="GM163" s="236"/>
      <c r="GN163" s="236"/>
      <c r="GO163" s="236"/>
      <c r="GP163" s="236"/>
      <c r="GQ163" s="236"/>
      <c r="GR163" s="236"/>
      <c r="GS163" s="236"/>
      <c r="GT163" s="236"/>
      <c r="GU163" s="236"/>
      <c r="GV163" s="236"/>
      <c r="GW163" s="236"/>
      <c r="GX163" s="236"/>
      <c r="GY163" s="236"/>
      <c r="GZ163" s="236"/>
      <c r="HA163" s="236"/>
      <c r="HB163" s="236"/>
      <c r="HC163" s="236"/>
      <c r="HD163" s="236"/>
      <c r="HE163" s="236"/>
      <c r="HF163" s="236"/>
      <c r="HG163" s="236"/>
      <c r="HH163" s="236"/>
      <c r="HI163" s="236"/>
      <c r="HJ163" s="236"/>
      <c r="HK163" s="236"/>
      <c r="HL163" s="236"/>
      <c r="HM163" s="236"/>
      <c r="HN163" s="236"/>
      <c r="HO163" s="236"/>
      <c r="HP163" s="236"/>
      <c r="HQ163" s="236"/>
      <c r="HR163" s="236"/>
      <c r="HS163" s="236"/>
      <c r="HT163" s="236"/>
      <c r="HU163" s="236"/>
      <c r="HV163" s="236"/>
      <c r="HW163" s="236"/>
      <c r="HX163" s="236"/>
      <c r="HY163" s="236"/>
      <c r="HZ163" s="236"/>
      <c r="IA163" s="236"/>
      <c r="IB163" s="236"/>
      <c r="IC163" s="236"/>
      <c r="ID163" s="236"/>
      <c r="IE163" s="236"/>
      <c r="IF163" s="236"/>
      <c r="IG163" s="236"/>
      <c r="IH163" s="236"/>
      <c r="II163" s="236"/>
      <c r="IJ163" s="236"/>
      <c r="IK163" s="236"/>
      <c r="IL163" s="236"/>
      <c r="IM163" s="236"/>
      <c r="IN163" s="236"/>
      <c r="IO163" s="236"/>
      <c r="IP163" s="236"/>
      <c r="IQ163" s="236"/>
      <c r="IR163" s="236"/>
      <c r="IS163" s="236"/>
      <c r="IT163" s="236"/>
      <c r="IU163" s="236"/>
      <c r="IV163" s="236"/>
      <c r="IW163" s="236"/>
      <c r="IX163" s="236"/>
      <c r="IY163" s="236"/>
      <c r="IZ163" s="236"/>
      <c r="JA163" s="236"/>
      <c r="JB163" s="236"/>
      <c r="JC163" s="236"/>
      <c r="JD163" s="236"/>
      <c r="JE163" s="236"/>
      <c r="JF163" s="236"/>
      <c r="JG163" s="236"/>
      <c r="JH163" s="236"/>
      <c r="JI163" s="236"/>
      <c r="JJ163" s="236"/>
      <c r="JK163" s="236"/>
      <c r="JL163" s="236"/>
      <c r="JM163" s="236"/>
      <c r="JN163" s="236"/>
      <c r="JO163" s="236"/>
      <c r="JP163" s="236"/>
      <c r="JQ163" s="236"/>
      <c r="JR163" s="236"/>
      <c r="JS163" s="236"/>
      <c r="JT163" s="236"/>
      <c r="JU163" s="236"/>
      <c r="JV163" s="236"/>
      <c r="JW163" s="236"/>
      <c r="JX163" s="236"/>
      <c r="JY163" s="236"/>
      <c r="JZ163" s="236"/>
      <c r="KA163" s="236"/>
      <c r="KB163" s="236"/>
      <c r="KC163" s="236"/>
      <c r="KD163" s="236"/>
      <c r="KE163" s="236"/>
      <c r="KF163" s="236"/>
      <c r="KG163" s="236"/>
      <c r="KH163" s="236"/>
      <c r="KI163" s="236"/>
      <c r="KJ163" s="236"/>
      <c r="KK163" s="236"/>
      <c r="KL163" s="236"/>
      <c r="KM163" s="236"/>
      <c r="KN163" s="236"/>
      <c r="KO163" s="236"/>
      <c r="KP163" s="236"/>
      <c r="KQ163" s="236"/>
      <c r="KR163" s="236"/>
      <c r="KS163" s="236"/>
      <c r="KT163" s="236"/>
      <c r="KU163" s="236"/>
      <c r="KV163" s="236"/>
      <c r="KW163" s="236"/>
      <c r="KX163" s="236"/>
      <c r="KY163" s="236"/>
      <c r="KZ163" s="236"/>
      <c r="LA163" s="236"/>
      <c r="LB163" s="236"/>
      <c r="LC163" s="236"/>
      <c r="LD163" s="236"/>
      <c r="LE163" s="236"/>
      <c r="LF163" s="236"/>
      <c r="LG163" s="236"/>
      <c r="LH163" s="236"/>
      <c r="LI163" s="236"/>
      <c r="LJ163" s="236"/>
      <c r="LK163" s="236"/>
      <c r="LL163" s="236"/>
      <c r="LM163" s="236"/>
      <c r="LN163" s="236"/>
      <c r="LO163" s="236"/>
      <c r="LP163" s="236"/>
      <c r="LQ163" s="236"/>
      <c r="LR163" s="236"/>
      <c r="LS163" s="236"/>
      <c r="LT163" s="236"/>
      <c r="LU163" s="236"/>
      <c r="LV163" s="236"/>
      <c r="LW163" s="236"/>
      <c r="LX163" s="236"/>
      <c r="LY163" s="236"/>
      <c r="LZ163" s="236"/>
      <c r="MA163" s="236"/>
      <c r="MB163" s="236"/>
      <c r="MC163" s="236"/>
      <c r="MD163" s="236"/>
      <c r="ME163" s="236"/>
      <c r="MF163" s="236"/>
      <c r="MG163" s="236"/>
      <c r="MH163" s="236"/>
      <c r="MI163" s="236"/>
      <c r="MJ163" s="236"/>
      <c r="MK163" s="236"/>
      <c r="ML163" s="236"/>
      <c r="MM163" s="236"/>
      <c r="MN163" s="236"/>
      <c r="MO163" s="236"/>
      <c r="MP163" s="236"/>
      <c r="MQ163" s="236"/>
      <c r="MR163" s="236"/>
      <c r="MS163" s="236"/>
      <c r="MT163" s="236"/>
      <c r="MU163" s="236"/>
      <c r="MV163" s="236"/>
      <c r="MW163" s="236"/>
      <c r="MX163" s="236"/>
      <c r="MY163" s="236"/>
      <c r="MZ163" s="236"/>
      <c r="NA163" s="236"/>
      <c r="NB163" s="236"/>
      <c r="NC163" s="236"/>
      <c r="ND163" s="236"/>
      <c r="NE163" s="236"/>
      <c r="NF163" s="236"/>
      <c r="NG163" s="236"/>
      <c r="NH163" s="236"/>
      <c r="NI163" s="236"/>
      <c r="NJ163" s="236"/>
      <c r="NK163" s="236"/>
      <c r="NL163" s="236"/>
      <c r="NM163" s="236"/>
      <c r="NN163" s="236"/>
      <c r="NO163" s="236"/>
      <c r="NP163" s="236"/>
      <c r="NQ163" s="236"/>
      <c r="NR163" s="236"/>
      <c r="NS163" s="236"/>
      <c r="NT163" s="236"/>
      <c r="NU163" s="236"/>
      <c r="NV163" s="236"/>
      <c r="NW163" s="236"/>
      <c r="NX163" s="236"/>
      <c r="NY163" s="236"/>
      <c r="NZ163" s="236"/>
      <c r="OA163" s="236"/>
      <c r="OB163" s="236"/>
      <c r="OC163" s="236"/>
      <c r="OD163" s="236"/>
      <c r="OE163" s="236"/>
      <c r="OF163" s="236"/>
      <c r="OG163" s="236"/>
      <c r="OH163" s="236"/>
      <c r="OI163" s="236"/>
      <c r="OJ163" s="236"/>
      <c r="OK163" s="236"/>
      <c r="OL163" s="236"/>
      <c r="OM163" s="236"/>
      <c r="ON163" s="236"/>
      <c r="OO163" s="236"/>
      <c r="OP163" s="236"/>
      <c r="OQ163" s="236"/>
      <c r="OR163" s="236"/>
      <c r="OS163" s="236"/>
      <c r="OT163" s="236"/>
      <c r="OU163" s="236"/>
      <c r="OV163" s="236"/>
      <c r="OW163" s="236"/>
      <c r="OX163" s="236"/>
      <c r="OY163" s="236"/>
      <c r="OZ163" s="236"/>
      <c r="PA163" s="236"/>
      <c r="PB163" s="236"/>
      <c r="PC163" s="236"/>
      <c r="PD163" s="236"/>
      <c r="PE163" s="236"/>
      <c r="PF163" s="236"/>
      <c r="PG163" s="236"/>
      <c r="PH163" s="236"/>
      <c r="PI163" s="236"/>
      <c r="PJ163" s="236"/>
      <c r="PK163" s="236"/>
      <c r="PL163" s="236"/>
      <c r="PM163" s="236"/>
      <c r="PN163" s="236"/>
      <c r="PO163" s="236"/>
      <c r="PP163" s="236"/>
      <c r="PQ163" s="236"/>
      <c r="PR163" s="236"/>
      <c r="PS163" s="236"/>
      <c r="PT163" s="236"/>
      <c r="PU163" s="236"/>
      <c r="PV163" s="236"/>
      <c r="PW163" s="236"/>
      <c r="PX163" s="236"/>
      <c r="PY163" s="236"/>
      <c r="PZ163" s="236"/>
      <c r="QA163" s="236"/>
      <c r="QB163" s="236"/>
      <c r="QC163" s="236"/>
      <c r="QD163" s="236"/>
      <c r="QE163" s="236"/>
      <c r="QF163" s="236"/>
      <c r="QG163" s="236"/>
      <c r="QH163" s="236"/>
      <c r="QI163" s="236"/>
      <c r="QJ163" s="236"/>
      <c r="QK163" s="236"/>
      <c r="QL163" s="236"/>
      <c r="QM163" s="236"/>
      <c r="QN163" s="236"/>
      <c r="QO163" s="236"/>
      <c r="QP163" s="236"/>
      <c r="QQ163" s="236"/>
      <c r="QR163" s="236"/>
      <c r="QS163" s="236"/>
      <c r="QT163" s="236"/>
      <c r="QU163" s="236"/>
      <c r="QV163" s="236"/>
      <c r="QW163" s="236"/>
      <c r="QX163" s="236"/>
      <c r="QY163" s="236"/>
      <c r="QZ163" s="236"/>
      <c r="RA163" s="236"/>
      <c r="RB163" s="236"/>
      <c r="RC163" s="236"/>
      <c r="RD163" s="236"/>
      <c r="RE163" s="236"/>
      <c r="RF163" s="236"/>
      <c r="RG163" s="236"/>
      <c r="RH163" s="236"/>
      <c r="RI163" s="236"/>
      <c r="RJ163" s="236"/>
      <c r="RK163" s="236"/>
      <c r="RL163" s="236"/>
      <c r="RM163" s="236"/>
      <c r="RN163" s="236"/>
      <c r="RO163" s="236"/>
      <c r="RP163" s="236"/>
      <c r="RQ163" s="236"/>
      <c r="RR163" s="236"/>
      <c r="RS163" s="236"/>
      <c r="RT163" s="236"/>
      <c r="RU163" s="236"/>
      <c r="RV163" s="236"/>
      <c r="RW163" s="236"/>
      <c r="RX163" s="236"/>
      <c r="RY163" s="236"/>
      <c r="RZ163" s="236"/>
      <c r="SA163" s="236"/>
      <c r="SB163" s="236"/>
      <c r="SC163" s="236"/>
      <c r="SD163" s="236"/>
      <c r="SE163" s="236"/>
      <c r="SF163" s="236"/>
      <c r="SG163" s="236"/>
      <c r="SH163" s="236"/>
      <c r="SI163" s="236"/>
      <c r="SJ163" s="236"/>
      <c r="SK163" s="236"/>
      <c r="SL163" s="236"/>
      <c r="SM163" s="236"/>
      <c r="SN163" s="236"/>
      <c r="SO163" s="236"/>
      <c r="SP163" s="236"/>
      <c r="SQ163" s="236"/>
      <c r="SR163" s="236"/>
      <c r="SS163" s="236"/>
      <c r="ST163" s="236"/>
      <c r="SU163" s="236"/>
      <c r="SV163" s="236"/>
      <c r="SW163" s="236"/>
      <c r="SX163" s="236"/>
      <c r="SY163" s="236"/>
      <c r="SZ163" s="236"/>
      <c r="TA163" s="236"/>
      <c r="TB163" s="236"/>
      <c r="TC163" s="236"/>
      <c r="TD163" s="236"/>
      <c r="TE163" s="236"/>
      <c r="TF163" s="236"/>
      <c r="TG163" s="236"/>
      <c r="TH163" s="236"/>
      <c r="TI163" s="236"/>
      <c r="TJ163" s="236"/>
      <c r="TK163" s="236"/>
      <c r="TL163" s="236"/>
      <c r="TM163" s="236"/>
      <c r="TN163" s="236"/>
      <c r="TO163" s="236"/>
      <c r="TP163" s="236"/>
      <c r="TQ163" s="236"/>
      <c r="TR163" s="236"/>
      <c r="TS163" s="236"/>
      <c r="TT163" s="236"/>
      <c r="TU163" s="236"/>
      <c r="TV163" s="236"/>
      <c r="TW163" s="236"/>
      <c r="TX163" s="236"/>
      <c r="TY163" s="236"/>
      <c r="TZ163" s="236"/>
      <c r="UA163" s="236"/>
      <c r="UB163" s="236"/>
      <c r="UC163" s="236"/>
      <c r="UD163" s="236"/>
      <c r="UE163" s="236"/>
      <c r="UF163" s="236"/>
      <c r="UG163" s="236"/>
      <c r="UH163" s="236"/>
      <c r="UI163" s="236"/>
      <c r="UJ163" s="236"/>
      <c r="UK163" s="236"/>
      <c r="UL163" s="236"/>
      <c r="UM163" s="236"/>
      <c r="UN163" s="236"/>
      <c r="UO163" s="236"/>
      <c r="UP163" s="236"/>
      <c r="UQ163" s="236"/>
      <c r="UR163" s="236"/>
      <c r="US163" s="236"/>
      <c r="UT163" s="236"/>
      <c r="UU163" s="236"/>
      <c r="UV163" s="236"/>
      <c r="UW163" s="236"/>
      <c r="UX163" s="236"/>
      <c r="UY163" s="236"/>
      <c r="UZ163" s="236"/>
      <c r="VA163" s="236"/>
      <c r="VB163" s="236"/>
      <c r="VC163" s="236"/>
      <c r="VD163" s="236"/>
      <c r="VE163" s="236"/>
      <c r="VF163" s="236"/>
      <c r="VG163" s="236"/>
      <c r="VH163" s="236"/>
      <c r="VI163" s="236"/>
      <c r="VJ163" s="236"/>
      <c r="VK163" s="236"/>
      <c r="VL163" s="236"/>
      <c r="VM163" s="236"/>
      <c r="VN163" s="236"/>
      <c r="VO163" s="236"/>
      <c r="VP163" s="236"/>
      <c r="VQ163" s="236"/>
      <c r="VR163" s="236"/>
      <c r="VS163" s="236"/>
      <c r="VT163" s="236"/>
      <c r="VU163" s="236"/>
      <c r="VV163" s="236"/>
      <c r="VW163" s="236"/>
      <c r="VX163" s="236"/>
      <c r="VY163" s="236"/>
      <c r="VZ163" s="236"/>
      <c r="WA163" s="236"/>
      <c r="WB163" s="236"/>
      <c r="WC163" s="236"/>
      <c r="WD163" s="236"/>
      <c r="WE163" s="236"/>
      <c r="WF163" s="236"/>
      <c r="WG163" s="236"/>
      <c r="WH163" s="236"/>
      <c r="WI163" s="236"/>
      <c r="WJ163" s="236"/>
      <c r="WK163" s="236"/>
      <c r="WL163" s="236"/>
      <c r="WM163" s="236"/>
      <c r="WN163" s="236"/>
      <c r="WO163" s="236"/>
      <c r="WP163" s="236"/>
      <c r="WQ163" s="236"/>
      <c r="WR163" s="236"/>
      <c r="WS163" s="236"/>
      <c r="WT163" s="236"/>
      <c r="WU163" s="236"/>
      <c r="WV163" s="236"/>
      <c r="WW163" s="236"/>
      <c r="WX163" s="236"/>
      <c r="WY163" s="236"/>
      <c r="WZ163" s="236"/>
      <c r="XA163" s="236"/>
      <c r="XB163" s="236"/>
      <c r="XC163" s="236"/>
      <c r="XD163" s="236"/>
      <c r="XE163" s="236"/>
      <c r="XF163" s="236"/>
      <c r="XG163" s="236"/>
      <c r="XH163" s="236"/>
      <c r="XI163" s="236"/>
      <c r="XJ163" s="236"/>
      <c r="XK163" s="236"/>
      <c r="XL163" s="236"/>
      <c r="XM163" s="236"/>
      <c r="XN163" s="236"/>
      <c r="XO163" s="236"/>
      <c r="XP163" s="236"/>
      <c r="XQ163" s="236"/>
      <c r="XR163" s="236"/>
      <c r="XS163" s="236"/>
      <c r="XT163" s="236"/>
      <c r="XU163" s="236"/>
      <c r="XV163" s="236"/>
      <c r="XW163" s="236"/>
      <c r="XX163" s="236"/>
      <c r="XY163" s="236"/>
      <c r="XZ163" s="236"/>
      <c r="YA163" s="236"/>
      <c r="YB163" s="236"/>
      <c r="YC163" s="236"/>
      <c r="YD163" s="236"/>
      <c r="YE163" s="236"/>
      <c r="YF163" s="236"/>
      <c r="YG163" s="236"/>
      <c r="YH163" s="236"/>
      <c r="YI163" s="236"/>
      <c r="YJ163" s="236"/>
      <c r="YK163" s="236"/>
      <c r="YL163" s="236"/>
      <c r="YM163" s="236"/>
      <c r="YN163" s="236"/>
      <c r="YO163" s="236"/>
      <c r="YP163" s="236"/>
      <c r="YQ163" s="236"/>
      <c r="YR163" s="236"/>
      <c r="YS163" s="236"/>
      <c r="YT163" s="236"/>
      <c r="YU163" s="236"/>
      <c r="YV163" s="236"/>
      <c r="YW163" s="236"/>
      <c r="YX163" s="236"/>
      <c r="YY163" s="236"/>
      <c r="YZ163" s="236"/>
      <c r="ZA163" s="236"/>
      <c r="ZB163" s="236"/>
      <c r="ZC163" s="236"/>
      <c r="ZD163" s="236"/>
      <c r="ZE163" s="236"/>
      <c r="ZF163" s="236"/>
      <c r="ZG163" s="236"/>
      <c r="ZH163" s="236"/>
      <c r="ZI163" s="236"/>
      <c r="ZJ163" s="236"/>
      <c r="ZK163" s="236"/>
      <c r="ZL163" s="236"/>
      <c r="ZM163" s="236"/>
      <c r="ZN163" s="236"/>
      <c r="ZO163" s="236"/>
      <c r="ZP163" s="236"/>
      <c r="ZQ163" s="236"/>
      <c r="ZR163" s="236"/>
      <c r="ZS163" s="236"/>
      <c r="ZT163" s="236"/>
      <c r="ZU163" s="236"/>
      <c r="ZV163" s="236"/>
      <c r="ZW163" s="236"/>
      <c r="ZX163" s="236"/>
      <c r="ZY163" s="236"/>
      <c r="ZZ163" s="236"/>
      <c r="AAA163" s="236"/>
      <c r="AAB163" s="236"/>
      <c r="AAC163" s="236"/>
      <c r="AAD163" s="236"/>
      <c r="AAE163" s="236"/>
      <c r="AAF163" s="236"/>
      <c r="AAG163" s="236"/>
      <c r="AAH163" s="236"/>
      <c r="AAI163" s="236"/>
      <c r="AAJ163" s="236"/>
      <c r="AAK163" s="236"/>
      <c r="AAL163" s="236"/>
      <c r="AAM163" s="236"/>
      <c r="AAN163" s="236"/>
      <c r="AAO163" s="236"/>
      <c r="AAP163" s="236"/>
      <c r="AAQ163" s="236"/>
      <c r="AAR163" s="236"/>
      <c r="AAS163" s="236"/>
      <c r="AAT163" s="236"/>
      <c r="AAU163" s="236"/>
      <c r="AAV163" s="236"/>
      <c r="AAW163" s="236"/>
      <c r="AAX163" s="236"/>
      <c r="AAY163" s="236"/>
      <c r="AAZ163" s="236"/>
      <c r="ABA163" s="236"/>
      <c r="ABB163" s="236"/>
      <c r="ABC163" s="236"/>
      <c r="ABD163" s="236"/>
      <c r="ABE163" s="236"/>
      <c r="ABF163" s="236"/>
      <c r="ABG163" s="236"/>
      <c r="ABH163" s="236"/>
      <c r="ABI163" s="236"/>
      <c r="ABJ163" s="236"/>
      <c r="ABK163" s="236"/>
      <c r="ABL163" s="236"/>
      <c r="ABM163" s="236"/>
      <c r="ABN163" s="236"/>
      <c r="ABO163" s="236"/>
      <c r="ABP163" s="236"/>
      <c r="ABQ163" s="236"/>
      <c r="ABR163" s="236"/>
      <c r="ABS163" s="236"/>
      <c r="ABT163" s="236"/>
      <c r="ABU163" s="236"/>
      <c r="ABV163" s="236"/>
      <c r="ABW163" s="236"/>
      <c r="ABX163" s="236"/>
      <c r="ABY163" s="236"/>
      <c r="ABZ163" s="236"/>
      <c r="ACA163" s="236"/>
      <c r="ACB163" s="236"/>
      <c r="ACC163" s="236"/>
      <c r="ACD163" s="236"/>
      <c r="ACE163" s="236"/>
      <c r="ACF163" s="236"/>
      <c r="ACG163" s="236"/>
      <c r="ACH163" s="236"/>
      <c r="ACI163" s="236"/>
      <c r="ACJ163" s="236"/>
      <c r="ACK163" s="236"/>
      <c r="ACL163" s="236"/>
      <c r="ACM163" s="236"/>
      <c r="ACN163" s="236"/>
      <c r="ACO163" s="236"/>
      <c r="ACP163" s="236"/>
      <c r="ACQ163" s="236"/>
      <c r="ACR163" s="236"/>
      <c r="ACS163" s="236"/>
      <c r="ACT163" s="236"/>
      <c r="ACU163" s="236"/>
      <c r="ACV163" s="236"/>
      <c r="ACW163" s="236"/>
      <c r="ACX163" s="236"/>
      <c r="ACY163" s="236"/>
      <c r="ACZ163" s="236"/>
      <c r="ADA163" s="236"/>
      <c r="ADB163" s="236"/>
      <c r="ADC163" s="236"/>
      <c r="ADD163" s="236"/>
      <c r="ADE163" s="236"/>
      <c r="ADF163" s="236"/>
      <c r="ADG163" s="236"/>
      <c r="ADH163" s="236"/>
      <c r="ADI163" s="236"/>
      <c r="ADJ163" s="236"/>
      <c r="ADK163" s="236"/>
      <c r="ADL163" s="236"/>
      <c r="ADM163" s="236"/>
      <c r="ADN163" s="236"/>
      <c r="ADO163" s="236"/>
      <c r="ADP163" s="236"/>
      <c r="ADQ163" s="236"/>
      <c r="ADR163" s="236"/>
      <c r="ADS163" s="236"/>
      <c r="ADT163" s="236"/>
      <c r="ADU163" s="236"/>
      <c r="ADV163" s="236"/>
      <c r="ADW163" s="236"/>
      <c r="ADX163" s="236"/>
      <c r="ADY163" s="236"/>
      <c r="ADZ163" s="236"/>
      <c r="AEA163" s="236"/>
      <c r="AEB163" s="236"/>
      <c r="AEC163" s="236"/>
      <c r="AED163" s="236"/>
      <c r="AEE163" s="236"/>
      <c r="AEF163" s="236"/>
      <c r="AEG163" s="236"/>
      <c r="AEH163" s="236"/>
      <c r="AEI163" s="236"/>
      <c r="AEJ163" s="236"/>
      <c r="AEK163" s="236"/>
      <c r="AEL163" s="236"/>
      <c r="AEM163" s="236"/>
      <c r="AEN163" s="236"/>
      <c r="AEO163" s="236"/>
      <c r="AEP163" s="236"/>
      <c r="AEQ163" s="236"/>
      <c r="AER163" s="236"/>
      <c r="AES163" s="236"/>
      <c r="AET163" s="236"/>
      <c r="AEU163" s="236"/>
      <c r="AEV163" s="236"/>
      <c r="AEW163" s="236"/>
      <c r="AEX163" s="236"/>
      <c r="AEY163" s="236"/>
      <c r="AEZ163" s="236"/>
      <c r="AFA163" s="236"/>
      <c r="AFB163" s="236"/>
      <c r="AFC163" s="236"/>
      <c r="AFD163" s="236"/>
      <c r="AFE163" s="236"/>
      <c r="AFF163" s="236"/>
      <c r="AFG163" s="236"/>
      <c r="AFH163" s="236"/>
      <c r="AFI163" s="236"/>
      <c r="AFJ163" s="236"/>
      <c r="AFK163" s="236"/>
      <c r="AFL163" s="236"/>
      <c r="AFM163" s="236"/>
      <c r="AFN163" s="236"/>
      <c r="AFO163" s="236"/>
      <c r="AFP163" s="236"/>
      <c r="AFQ163" s="236"/>
      <c r="AFR163" s="236"/>
      <c r="AFS163" s="236"/>
      <c r="AFT163" s="236"/>
      <c r="AFU163" s="236"/>
      <c r="AFV163" s="236"/>
      <c r="AFW163" s="236"/>
      <c r="AFX163" s="236"/>
      <c r="AFY163" s="236"/>
      <c r="AFZ163" s="236"/>
      <c r="AGA163" s="236"/>
      <c r="AGB163" s="236"/>
      <c r="AGC163" s="236"/>
      <c r="AGD163" s="236"/>
      <c r="AGE163" s="236"/>
      <c r="AGF163" s="236"/>
      <c r="AGG163" s="236"/>
      <c r="AGH163" s="236"/>
      <c r="AGI163" s="236"/>
      <c r="AGJ163" s="236"/>
      <c r="AGK163" s="236"/>
      <c r="AGL163" s="236"/>
      <c r="AGM163" s="236"/>
      <c r="AGN163" s="236"/>
      <c r="AGO163" s="236"/>
      <c r="AGP163" s="236"/>
      <c r="AGQ163" s="236"/>
      <c r="AGR163" s="236"/>
      <c r="AGS163" s="236"/>
      <c r="AGT163" s="236"/>
      <c r="AGU163" s="236"/>
      <c r="AGV163" s="236"/>
      <c r="AGW163" s="236"/>
      <c r="AGX163" s="236"/>
      <c r="AGY163" s="236"/>
      <c r="AGZ163" s="236"/>
      <c r="AHA163" s="236"/>
      <c r="AHB163" s="236"/>
      <c r="AHC163" s="236"/>
      <c r="AHD163" s="236"/>
      <c r="AHE163" s="236"/>
      <c r="AHF163" s="236"/>
      <c r="AHG163" s="236"/>
      <c r="AHH163" s="236"/>
      <c r="AHI163" s="236"/>
      <c r="AHJ163" s="236"/>
      <c r="AHK163" s="236"/>
      <c r="AHL163" s="236"/>
      <c r="AHM163" s="236"/>
      <c r="AHN163" s="236"/>
      <c r="AHO163" s="236"/>
      <c r="AHP163" s="236"/>
      <c r="AHQ163" s="236"/>
      <c r="AHR163" s="236"/>
      <c r="AHS163" s="236"/>
      <c r="AHT163" s="236"/>
      <c r="AHU163" s="236"/>
      <c r="AHV163" s="236"/>
      <c r="AHW163" s="236"/>
      <c r="AHX163" s="236"/>
      <c r="AHY163" s="236"/>
      <c r="AHZ163" s="236"/>
      <c r="AIA163" s="236"/>
      <c r="AIB163" s="236"/>
      <c r="AIC163" s="236"/>
      <c r="AID163" s="236"/>
      <c r="AIE163" s="236"/>
      <c r="AIF163" s="236"/>
      <c r="AIG163" s="236"/>
      <c r="AIH163" s="236"/>
      <c r="AII163" s="236"/>
      <c r="AIJ163" s="236"/>
      <c r="AIK163" s="236"/>
      <c r="AIL163" s="236"/>
      <c r="AIM163" s="236"/>
      <c r="AIN163" s="236"/>
      <c r="AIO163" s="236"/>
      <c r="AIP163" s="236"/>
      <c r="AIQ163" s="236"/>
      <c r="AIR163" s="236"/>
      <c r="AIS163" s="236"/>
      <c r="AIT163" s="236"/>
      <c r="AIU163" s="236"/>
      <c r="AIV163" s="236"/>
      <c r="AIW163" s="236"/>
      <c r="AIX163" s="236"/>
      <c r="AIY163" s="236"/>
      <c r="AIZ163" s="236"/>
      <c r="AJA163" s="236"/>
      <c r="AJB163" s="236"/>
      <c r="AJC163" s="236"/>
      <c r="AJD163" s="236"/>
      <c r="AJE163" s="236"/>
      <c r="AJF163" s="236"/>
      <c r="AJG163" s="236"/>
      <c r="AJH163" s="236"/>
      <c r="AJI163" s="236"/>
      <c r="AJJ163" s="236"/>
      <c r="AJK163" s="236"/>
      <c r="AJL163" s="236"/>
      <c r="AJM163" s="236"/>
      <c r="AJN163" s="236"/>
      <c r="AJO163" s="236"/>
      <c r="AJP163" s="236"/>
      <c r="AJQ163" s="236"/>
      <c r="AJR163" s="236"/>
      <c r="AJS163" s="236"/>
      <c r="AJT163" s="236"/>
      <c r="AJU163" s="236"/>
      <c r="AJV163" s="236"/>
      <c r="AJW163" s="236"/>
      <c r="AJX163" s="236"/>
      <c r="AJY163" s="236"/>
      <c r="AJZ163" s="236"/>
      <c r="AKA163" s="236"/>
      <c r="AKB163" s="236"/>
      <c r="AKC163" s="236"/>
      <c r="AKD163" s="236"/>
      <c r="AKE163" s="236"/>
      <c r="AKF163" s="236"/>
      <c r="AKG163" s="236"/>
      <c r="AKH163" s="236"/>
      <c r="AKI163" s="236"/>
      <c r="AKJ163" s="236"/>
      <c r="AKK163" s="236"/>
      <c r="AKL163" s="236"/>
      <c r="AKM163" s="236"/>
      <c r="AKN163" s="236"/>
      <c r="AKO163" s="236"/>
      <c r="AKP163" s="236"/>
      <c r="AKQ163" s="236"/>
      <c r="AKR163" s="236"/>
      <c r="AKS163" s="236"/>
      <c r="AKT163" s="236"/>
      <c r="AKU163" s="236"/>
      <c r="AKV163" s="236"/>
      <c r="AKW163" s="236"/>
      <c r="AKX163" s="236"/>
      <c r="AKY163" s="236"/>
      <c r="AKZ163" s="236"/>
      <c r="ALA163" s="236"/>
      <c r="ALB163" s="236"/>
      <c r="ALC163" s="236"/>
      <c r="ALD163" s="236"/>
      <c r="ALE163" s="236"/>
      <c r="ALF163" s="236"/>
      <c r="ALG163" s="236"/>
      <c r="ALH163" s="236"/>
      <c r="ALI163" s="236"/>
      <c r="ALJ163" s="236"/>
      <c r="ALK163" s="236"/>
      <c r="ALL163" s="236"/>
      <c r="ALM163" s="236"/>
      <c r="ALN163" s="236"/>
      <c r="ALO163" s="236"/>
      <c r="ALP163" s="236"/>
      <c r="ALQ163" s="236"/>
      <c r="ALR163" s="236"/>
      <c r="ALS163" s="236"/>
      <c r="ALT163" s="236"/>
      <c r="ALU163" s="236"/>
      <c r="ALV163" s="236"/>
      <c r="ALW163" s="236"/>
      <c r="ALX163" s="236"/>
      <c r="ALY163" s="236"/>
      <c r="ALZ163" s="236"/>
      <c r="AMA163" s="236"/>
      <c r="AMB163" s="236"/>
      <c r="AMC163" s="236"/>
      <c r="AMD163" s="236"/>
      <c r="AME163" s="236"/>
      <c r="AMF163" s="236"/>
      <c r="AMG163" s="236"/>
      <c r="AMH163" s="236"/>
      <c r="AMI163" s="236"/>
      <c r="AMJ163" s="236"/>
      <c r="AMK163" s="236"/>
      <c r="AML163" s="236"/>
      <c r="AMM163" s="236"/>
    </row>
    <row r="164" spans="1:1027" ht="20.25" customHeight="1">
      <c r="A164" s="1386" t="s">
        <v>649</v>
      </c>
      <c r="B164" s="1387"/>
      <c r="C164" s="1387"/>
      <c r="D164" s="1387"/>
      <c r="E164" s="1387"/>
      <c r="F164" s="1387"/>
      <c r="G164" s="1387"/>
      <c r="H164" s="1387"/>
      <c r="I164" s="1387"/>
      <c r="J164" s="1387"/>
      <c r="K164" s="1387"/>
      <c r="L164" s="1388"/>
      <c r="M164" s="275"/>
      <c r="N164" s="280" t="s">
        <v>650</v>
      </c>
      <c r="O164" s="280"/>
      <c r="P164" s="281"/>
      <c r="Q164" s="281"/>
      <c r="R164" s="281"/>
      <c r="S164" s="281"/>
      <c r="T164" s="281"/>
      <c r="U164" s="281"/>
      <c r="V164" s="281"/>
      <c r="W164" s="281"/>
      <c r="X164" s="282"/>
      <c r="Y164" s="282"/>
      <c r="Z164" s="282"/>
      <c r="AA164" s="282"/>
      <c r="AB164" s="282"/>
      <c r="AC164" s="282"/>
      <c r="AD164" s="281"/>
      <c r="AE164" s="281"/>
      <c r="AF164" s="281"/>
      <c r="AG164" s="281"/>
      <c r="AH164" s="281"/>
      <c r="AI164" s="281"/>
      <c r="AJ164" s="275"/>
      <c r="AK164" s="275"/>
      <c r="AL164" s="275"/>
      <c r="AM164" s="279"/>
      <c r="AN164" s="262"/>
      <c r="AO164" s="262"/>
      <c r="AP164" s="262"/>
      <c r="AQ164" s="262"/>
      <c r="AR164" s="262"/>
      <c r="AS164" s="262"/>
      <c r="AT164" s="262"/>
      <c r="AU164" s="262"/>
      <c r="AV164" s="262"/>
      <c r="AW164" s="262"/>
      <c r="AX164" s="262"/>
      <c r="AY164" s="236"/>
      <c r="AZ164" s="236"/>
      <c r="BA164" s="236"/>
      <c r="BB164" s="236"/>
      <c r="BC164" s="236"/>
      <c r="BD164" s="236"/>
      <c r="BE164" s="236"/>
      <c r="BF164" s="236"/>
      <c r="BG164" s="236"/>
      <c r="BH164" s="236"/>
      <c r="BI164" s="236"/>
      <c r="BJ164" s="236"/>
      <c r="BK164" s="236"/>
      <c r="BL164" s="236"/>
      <c r="BM164" s="236"/>
      <c r="BN164" s="236"/>
      <c r="BO164" s="236"/>
      <c r="BP164" s="236"/>
      <c r="BQ164" s="236"/>
      <c r="BR164" s="236"/>
      <c r="BS164" s="236"/>
      <c r="BT164" s="236"/>
      <c r="BU164" s="236"/>
      <c r="BV164" s="236"/>
      <c r="BW164" s="236"/>
      <c r="BX164" s="236"/>
      <c r="BY164" s="236"/>
      <c r="BZ164" s="236"/>
      <c r="CA164" s="236"/>
      <c r="CB164" s="236"/>
      <c r="CC164" s="236"/>
      <c r="CD164" s="236"/>
      <c r="CE164" s="236"/>
      <c r="CF164" s="236"/>
      <c r="CG164" s="236"/>
      <c r="CH164" s="236"/>
      <c r="CI164" s="236"/>
      <c r="CJ164" s="236"/>
      <c r="CK164" s="236"/>
      <c r="CL164" s="236"/>
      <c r="CM164" s="236"/>
      <c r="CN164" s="236"/>
      <c r="CO164" s="236"/>
      <c r="CP164" s="236"/>
      <c r="CQ164" s="236"/>
      <c r="CR164" s="236"/>
      <c r="CS164" s="236"/>
      <c r="CT164" s="236"/>
      <c r="CU164" s="236"/>
      <c r="CV164" s="236"/>
      <c r="CW164" s="236"/>
      <c r="CX164" s="236"/>
      <c r="CY164" s="236"/>
      <c r="CZ164" s="236"/>
      <c r="DA164" s="236"/>
      <c r="DB164" s="236"/>
      <c r="DC164" s="236"/>
      <c r="DD164" s="236"/>
      <c r="DE164" s="236"/>
      <c r="DF164" s="236"/>
      <c r="DG164" s="236"/>
      <c r="DH164" s="236"/>
      <c r="DI164" s="236"/>
      <c r="DJ164" s="236"/>
      <c r="DK164" s="236"/>
      <c r="DL164" s="236"/>
      <c r="DM164" s="236"/>
      <c r="DN164" s="236"/>
      <c r="DO164" s="236"/>
      <c r="DP164" s="236"/>
      <c r="DQ164" s="236"/>
      <c r="DR164" s="236"/>
      <c r="DS164" s="236"/>
      <c r="DT164" s="236"/>
      <c r="DU164" s="236"/>
      <c r="DV164" s="236"/>
      <c r="DW164" s="236"/>
      <c r="DX164" s="236"/>
      <c r="DY164" s="236"/>
      <c r="DZ164" s="236"/>
      <c r="EA164" s="236"/>
      <c r="EB164" s="236"/>
      <c r="EC164" s="236"/>
      <c r="ED164" s="236"/>
      <c r="EE164" s="236"/>
      <c r="EF164" s="236"/>
      <c r="EG164" s="236"/>
      <c r="EH164" s="236"/>
      <c r="EI164" s="236"/>
      <c r="EJ164" s="236"/>
      <c r="EK164" s="236"/>
      <c r="EL164" s="236"/>
      <c r="EM164" s="236"/>
      <c r="EN164" s="236"/>
      <c r="EO164" s="236"/>
      <c r="EP164" s="236"/>
      <c r="EQ164" s="236"/>
      <c r="ER164" s="236"/>
      <c r="ES164" s="236"/>
      <c r="ET164" s="236"/>
      <c r="EU164" s="236"/>
      <c r="EV164" s="236"/>
      <c r="EW164" s="236"/>
      <c r="EX164" s="236"/>
      <c r="EY164" s="236"/>
      <c r="EZ164" s="236"/>
      <c r="FA164" s="236"/>
      <c r="FB164" s="236"/>
      <c r="FC164" s="236"/>
      <c r="FD164" s="236"/>
      <c r="FE164" s="236"/>
      <c r="FF164" s="236"/>
      <c r="FG164" s="236"/>
      <c r="FH164" s="236"/>
      <c r="FI164" s="236"/>
      <c r="FJ164" s="236"/>
      <c r="FK164" s="236"/>
      <c r="FL164" s="236"/>
      <c r="FM164" s="236"/>
      <c r="FN164" s="236"/>
      <c r="FO164" s="236"/>
      <c r="FP164" s="236"/>
      <c r="FQ164" s="236"/>
      <c r="FR164" s="236"/>
      <c r="FS164" s="236"/>
      <c r="FT164" s="236"/>
      <c r="FU164" s="236"/>
      <c r="FV164" s="236"/>
      <c r="FW164" s="236"/>
      <c r="FX164" s="236"/>
      <c r="FY164" s="236"/>
      <c r="FZ164" s="236"/>
      <c r="GA164" s="236"/>
      <c r="GB164" s="236"/>
      <c r="GC164" s="236"/>
      <c r="GD164" s="236"/>
      <c r="GE164" s="236"/>
      <c r="GF164" s="236"/>
      <c r="GG164" s="236"/>
      <c r="GH164" s="236"/>
      <c r="GI164" s="236"/>
      <c r="GJ164" s="236"/>
      <c r="GK164" s="236"/>
      <c r="GL164" s="236"/>
      <c r="GM164" s="236"/>
      <c r="GN164" s="236"/>
      <c r="GO164" s="236"/>
      <c r="GP164" s="236"/>
      <c r="GQ164" s="236"/>
      <c r="GR164" s="236"/>
      <c r="GS164" s="236"/>
      <c r="GT164" s="236"/>
      <c r="GU164" s="236"/>
      <c r="GV164" s="236"/>
      <c r="GW164" s="236"/>
      <c r="GX164" s="236"/>
      <c r="GY164" s="236"/>
      <c r="GZ164" s="236"/>
      <c r="HA164" s="236"/>
      <c r="HB164" s="236"/>
      <c r="HC164" s="236"/>
      <c r="HD164" s="236"/>
      <c r="HE164" s="236"/>
      <c r="HF164" s="236"/>
      <c r="HG164" s="236"/>
      <c r="HH164" s="236"/>
      <c r="HI164" s="236"/>
      <c r="HJ164" s="236"/>
      <c r="HK164" s="236"/>
      <c r="HL164" s="236"/>
      <c r="HM164" s="236"/>
      <c r="HN164" s="236"/>
      <c r="HO164" s="236"/>
      <c r="HP164" s="236"/>
      <c r="HQ164" s="236"/>
      <c r="HR164" s="236"/>
      <c r="HS164" s="236"/>
      <c r="HT164" s="236"/>
      <c r="HU164" s="236"/>
      <c r="HV164" s="236"/>
      <c r="HW164" s="236"/>
      <c r="HX164" s="236"/>
      <c r="HY164" s="236"/>
      <c r="HZ164" s="236"/>
      <c r="IA164" s="236"/>
      <c r="IB164" s="236"/>
      <c r="IC164" s="236"/>
      <c r="ID164" s="236"/>
      <c r="IE164" s="236"/>
      <c r="IF164" s="236"/>
      <c r="IG164" s="236"/>
      <c r="IH164" s="236"/>
      <c r="II164" s="236"/>
      <c r="IJ164" s="236"/>
      <c r="IK164" s="236"/>
      <c r="IL164" s="236"/>
      <c r="IM164" s="236"/>
      <c r="IN164" s="236"/>
      <c r="IO164" s="236"/>
      <c r="IP164" s="236"/>
      <c r="IQ164" s="236"/>
      <c r="IR164" s="236"/>
      <c r="IS164" s="236"/>
      <c r="IT164" s="236"/>
      <c r="IU164" s="236"/>
      <c r="IV164" s="236"/>
      <c r="IW164" s="236"/>
      <c r="IX164" s="236"/>
      <c r="IY164" s="236"/>
      <c r="IZ164" s="236"/>
      <c r="JA164" s="236"/>
      <c r="JB164" s="236"/>
      <c r="JC164" s="236"/>
      <c r="JD164" s="236"/>
      <c r="JE164" s="236"/>
      <c r="JF164" s="236"/>
      <c r="JG164" s="236"/>
      <c r="JH164" s="236"/>
      <c r="JI164" s="236"/>
      <c r="JJ164" s="236"/>
      <c r="JK164" s="236"/>
      <c r="JL164" s="236"/>
      <c r="JM164" s="236"/>
      <c r="JN164" s="236"/>
      <c r="JO164" s="236"/>
      <c r="JP164" s="236"/>
      <c r="JQ164" s="236"/>
      <c r="JR164" s="236"/>
      <c r="JS164" s="236"/>
      <c r="JT164" s="236"/>
      <c r="JU164" s="236"/>
      <c r="JV164" s="236"/>
      <c r="JW164" s="236"/>
      <c r="JX164" s="236"/>
      <c r="JY164" s="236"/>
      <c r="JZ164" s="236"/>
      <c r="KA164" s="236"/>
      <c r="KB164" s="236"/>
      <c r="KC164" s="236"/>
      <c r="KD164" s="236"/>
      <c r="KE164" s="236"/>
      <c r="KF164" s="236"/>
      <c r="KG164" s="236"/>
      <c r="KH164" s="236"/>
      <c r="KI164" s="236"/>
      <c r="KJ164" s="236"/>
      <c r="KK164" s="236"/>
      <c r="KL164" s="236"/>
      <c r="KM164" s="236"/>
      <c r="KN164" s="236"/>
      <c r="KO164" s="236"/>
      <c r="KP164" s="236"/>
      <c r="KQ164" s="236"/>
      <c r="KR164" s="236"/>
      <c r="KS164" s="236"/>
      <c r="KT164" s="236"/>
      <c r="KU164" s="236"/>
      <c r="KV164" s="236"/>
      <c r="KW164" s="236"/>
      <c r="KX164" s="236"/>
      <c r="KY164" s="236"/>
      <c r="KZ164" s="236"/>
      <c r="LA164" s="236"/>
      <c r="LB164" s="236"/>
      <c r="LC164" s="236"/>
      <c r="LD164" s="236"/>
      <c r="LE164" s="236"/>
      <c r="LF164" s="236"/>
      <c r="LG164" s="236"/>
      <c r="LH164" s="236"/>
      <c r="LI164" s="236"/>
      <c r="LJ164" s="236"/>
      <c r="LK164" s="236"/>
      <c r="LL164" s="236"/>
      <c r="LM164" s="236"/>
      <c r="LN164" s="236"/>
      <c r="LO164" s="236"/>
      <c r="LP164" s="236"/>
      <c r="LQ164" s="236"/>
      <c r="LR164" s="236"/>
      <c r="LS164" s="236"/>
      <c r="LT164" s="236"/>
      <c r="LU164" s="236"/>
      <c r="LV164" s="236"/>
      <c r="LW164" s="236"/>
      <c r="LX164" s="236"/>
      <c r="LY164" s="236"/>
      <c r="LZ164" s="236"/>
      <c r="MA164" s="236"/>
      <c r="MB164" s="236"/>
      <c r="MC164" s="236"/>
      <c r="MD164" s="236"/>
      <c r="ME164" s="236"/>
      <c r="MF164" s="236"/>
      <c r="MG164" s="236"/>
      <c r="MH164" s="236"/>
      <c r="MI164" s="236"/>
      <c r="MJ164" s="236"/>
      <c r="MK164" s="236"/>
      <c r="ML164" s="236"/>
      <c r="MM164" s="236"/>
      <c r="MN164" s="236"/>
      <c r="MO164" s="236"/>
      <c r="MP164" s="236"/>
      <c r="MQ164" s="236"/>
      <c r="MR164" s="236"/>
      <c r="MS164" s="236"/>
      <c r="MT164" s="236"/>
      <c r="MU164" s="236"/>
      <c r="MV164" s="236"/>
      <c r="MW164" s="236"/>
      <c r="MX164" s="236"/>
      <c r="MY164" s="236"/>
      <c r="MZ164" s="236"/>
      <c r="NA164" s="236"/>
      <c r="NB164" s="236"/>
      <c r="NC164" s="236"/>
      <c r="ND164" s="236"/>
      <c r="NE164" s="236"/>
      <c r="NF164" s="236"/>
      <c r="NG164" s="236"/>
      <c r="NH164" s="236"/>
      <c r="NI164" s="236"/>
      <c r="NJ164" s="236"/>
      <c r="NK164" s="236"/>
      <c r="NL164" s="236"/>
      <c r="NM164" s="236"/>
      <c r="NN164" s="236"/>
      <c r="NO164" s="236"/>
      <c r="NP164" s="236"/>
      <c r="NQ164" s="236"/>
      <c r="NR164" s="236"/>
      <c r="NS164" s="236"/>
      <c r="NT164" s="236"/>
      <c r="NU164" s="236"/>
      <c r="NV164" s="236"/>
      <c r="NW164" s="236"/>
      <c r="NX164" s="236"/>
      <c r="NY164" s="236"/>
      <c r="NZ164" s="236"/>
      <c r="OA164" s="236"/>
      <c r="OB164" s="236"/>
      <c r="OC164" s="236"/>
      <c r="OD164" s="236"/>
      <c r="OE164" s="236"/>
      <c r="OF164" s="236"/>
      <c r="OG164" s="236"/>
      <c r="OH164" s="236"/>
      <c r="OI164" s="236"/>
      <c r="OJ164" s="236"/>
      <c r="OK164" s="236"/>
      <c r="OL164" s="236"/>
      <c r="OM164" s="236"/>
      <c r="ON164" s="236"/>
      <c r="OO164" s="236"/>
      <c r="OP164" s="236"/>
      <c r="OQ164" s="236"/>
      <c r="OR164" s="236"/>
      <c r="OS164" s="236"/>
      <c r="OT164" s="236"/>
      <c r="OU164" s="236"/>
      <c r="OV164" s="236"/>
      <c r="OW164" s="236"/>
      <c r="OX164" s="236"/>
      <c r="OY164" s="236"/>
      <c r="OZ164" s="236"/>
      <c r="PA164" s="236"/>
      <c r="PB164" s="236"/>
      <c r="PC164" s="236"/>
      <c r="PD164" s="236"/>
      <c r="PE164" s="236"/>
      <c r="PF164" s="236"/>
      <c r="PG164" s="236"/>
      <c r="PH164" s="236"/>
      <c r="PI164" s="236"/>
      <c r="PJ164" s="236"/>
      <c r="PK164" s="236"/>
      <c r="PL164" s="236"/>
      <c r="PM164" s="236"/>
      <c r="PN164" s="236"/>
      <c r="PO164" s="236"/>
      <c r="PP164" s="236"/>
      <c r="PQ164" s="236"/>
      <c r="PR164" s="236"/>
      <c r="PS164" s="236"/>
      <c r="PT164" s="236"/>
      <c r="PU164" s="236"/>
      <c r="PV164" s="236"/>
      <c r="PW164" s="236"/>
      <c r="PX164" s="236"/>
      <c r="PY164" s="236"/>
      <c r="PZ164" s="236"/>
      <c r="QA164" s="236"/>
      <c r="QB164" s="236"/>
      <c r="QC164" s="236"/>
      <c r="QD164" s="236"/>
      <c r="QE164" s="236"/>
      <c r="QF164" s="236"/>
      <c r="QG164" s="236"/>
      <c r="QH164" s="236"/>
      <c r="QI164" s="236"/>
      <c r="QJ164" s="236"/>
      <c r="QK164" s="236"/>
      <c r="QL164" s="236"/>
      <c r="QM164" s="236"/>
      <c r="QN164" s="236"/>
      <c r="QO164" s="236"/>
      <c r="QP164" s="236"/>
      <c r="QQ164" s="236"/>
      <c r="QR164" s="236"/>
      <c r="QS164" s="236"/>
      <c r="QT164" s="236"/>
      <c r="QU164" s="236"/>
      <c r="QV164" s="236"/>
      <c r="QW164" s="236"/>
      <c r="QX164" s="236"/>
      <c r="QY164" s="236"/>
      <c r="QZ164" s="236"/>
      <c r="RA164" s="236"/>
      <c r="RB164" s="236"/>
      <c r="RC164" s="236"/>
      <c r="RD164" s="236"/>
      <c r="RE164" s="236"/>
      <c r="RF164" s="236"/>
      <c r="RG164" s="236"/>
      <c r="RH164" s="236"/>
      <c r="RI164" s="236"/>
      <c r="RJ164" s="236"/>
      <c r="RK164" s="236"/>
      <c r="RL164" s="236"/>
      <c r="RM164" s="236"/>
      <c r="RN164" s="236"/>
      <c r="RO164" s="236"/>
      <c r="RP164" s="236"/>
      <c r="RQ164" s="236"/>
      <c r="RR164" s="236"/>
      <c r="RS164" s="236"/>
      <c r="RT164" s="236"/>
      <c r="RU164" s="236"/>
      <c r="RV164" s="236"/>
      <c r="RW164" s="236"/>
      <c r="RX164" s="236"/>
      <c r="RY164" s="236"/>
      <c r="RZ164" s="236"/>
      <c r="SA164" s="236"/>
      <c r="SB164" s="236"/>
      <c r="SC164" s="236"/>
      <c r="SD164" s="236"/>
      <c r="SE164" s="236"/>
      <c r="SF164" s="236"/>
      <c r="SG164" s="236"/>
      <c r="SH164" s="236"/>
      <c r="SI164" s="236"/>
      <c r="SJ164" s="236"/>
      <c r="SK164" s="236"/>
      <c r="SL164" s="236"/>
      <c r="SM164" s="236"/>
      <c r="SN164" s="236"/>
      <c r="SO164" s="236"/>
      <c r="SP164" s="236"/>
      <c r="SQ164" s="236"/>
      <c r="SR164" s="236"/>
      <c r="SS164" s="236"/>
      <c r="ST164" s="236"/>
      <c r="SU164" s="236"/>
      <c r="SV164" s="236"/>
      <c r="SW164" s="236"/>
      <c r="SX164" s="236"/>
      <c r="SY164" s="236"/>
      <c r="SZ164" s="236"/>
      <c r="TA164" s="236"/>
      <c r="TB164" s="236"/>
      <c r="TC164" s="236"/>
      <c r="TD164" s="236"/>
      <c r="TE164" s="236"/>
      <c r="TF164" s="236"/>
      <c r="TG164" s="236"/>
      <c r="TH164" s="236"/>
      <c r="TI164" s="236"/>
      <c r="TJ164" s="236"/>
      <c r="TK164" s="236"/>
      <c r="TL164" s="236"/>
      <c r="TM164" s="236"/>
      <c r="TN164" s="236"/>
      <c r="TO164" s="236"/>
      <c r="TP164" s="236"/>
      <c r="TQ164" s="236"/>
      <c r="TR164" s="236"/>
      <c r="TS164" s="236"/>
      <c r="TT164" s="236"/>
      <c r="TU164" s="236"/>
      <c r="TV164" s="236"/>
      <c r="TW164" s="236"/>
      <c r="TX164" s="236"/>
      <c r="TY164" s="236"/>
      <c r="TZ164" s="236"/>
      <c r="UA164" s="236"/>
      <c r="UB164" s="236"/>
      <c r="UC164" s="236"/>
      <c r="UD164" s="236"/>
      <c r="UE164" s="236"/>
      <c r="UF164" s="236"/>
      <c r="UG164" s="236"/>
      <c r="UH164" s="236"/>
      <c r="UI164" s="236"/>
      <c r="UJ164" s="236"/>
      <c r="UK164" s="236"/>
      <c r="UL164" s="236"/>
      <c r="UM164" s="236"/>
      <c r="UN164" s="236"/>
      <c r="UO164" s="236"/>
      <c r="UP164" s="236"/>
      <c r="UQ164" s="236"/>
      <c r="UR164" s="236"/>
      <c r="US164" s="236"/>
      <c r="UT164" s="236"/>
      <c r="UU164" s="236"/>
      <c r="UV164" s="236"/>
      <c r="UW164" s="236"/>
      <c r="UX164" s="236"/>
      <c r="UY164" s="236"/>
      <c r="UZ164" s="236"/>
      <c r="VA164" s="236"/>
      <c r="VB164" s="236"/>
      <c r="VC164" s="236"/>
      <c r="VD164" s="236"/>
      <c r="VE164" s="236"/>
      <c r="VF164" s="236"/>
      <c r="VG164" s="236"/>
      <c r="VH164" s="236"/>
      <c r="VI164" s="236"/>
      <c r="VJ164" s="236"/>
      <c r="VK164" s="236"/>
      <c r="VL164" s="236"/>
      <c r="VM164" s="236"/>
      <c r="VN164" s="236"/>
      <c r="VO164" s="236"/>
      <c r="VP164" s="236"/>
      <c r="VQ164" s="236"/>
      <c r="VR164" s="236"/>
      <c r="VS164" s="236"/>
      <c r="VT164" s="236"/>
      <c r="VU164" s="236"/>
      <c r="VV164" s="236"/>
      <c r="VW164" s="236"/>
      <c r="VX164" s="236"/>
      <c r="VY164" s="236"/>
      <c r="VZ164" s="236"/>
      <c r="WA164" s="236"/>
      <c r="WB164" s="236"/>
      <c r="WC164" s="236"/>
      <c r="WD164" s="236"/>
      <c r="WE164" s="236"/>
      <c r="WF164" s="236"/>
      <c r="WG164" s="236"/>
      <c r="WH164" s="236"/>
      <c r="WI164" s="236"/>
      <c r="WJ164" s="236"/>
      <c r="WK164" s="236"/>
      <c r="WL164" s="236"/>
      <c r="WM164" s="236"/>
      <c r="WN164" s="236"/>
      <c r="WO164" s="236"/>
      <c r="WP164" s="236"/>
      <c r="WQ164" s="236"/>
      <c r="WR164" s="236"/>
      <c r="WS164" s="236"/>
      <c r="WT164" s="236"/>
      <c r="WU164" s="236"/>
      <c r="WV164" s="236"/>
      <c r="WW164" s="236"/>
      <c r="WX164" s="236"/>
      <c r="WY164" s="236"/>
      <c r="WZ164" s="236"/>
      <c r="XA164" s="236"/>
      <c r="XB164" s="236"/>
      <c r="XC164" s="236"/>
      <c r="XD164" s="236"/>
      <c r="XE164" s="236"/>
      <c r="XF164" s="236"/>
      <c r="XG164" s="236"/>
      <c r="XH164" s="236"/>
      <c r="XI164" s="236"/>
      <c r="XJ164" s="236"/>
      <c r="XK164" s="236"/>
      <c r="XL164" s="236"/>
      <c r="XM164" s="236"/>
      <c r="XN164" s="236"/>
      <c r="XO164" s="236"/>
      <c r="XP164" s="236"/>
      <c r="XQ164" s="236"/>
      <c r="XR164" s="236"/>
      <c r="XS164" s="236"/>
      <c r="XT164" s="236"/>
      <c r="XU164" s="236"/>
      <c r="XV164" s="236"/>
      <c r="XW164" s="236"/>
      <c r="XX164" s="236"/>
      <c r="XY164" s="236"/>
      <c r="XZ164" s="236"/>
      <c r="YA164" s="236"/>
      <c r="YB164" s="236"/>
      <c r="YC164" s="236"/>
      <c r="YD164" s="236"/>
      <c r="YE164" s="236"/>
      <c r="YF164" s="236"/>
      <c r="YG164" s="236"/>
      <c r="YH164" s="236"/>
      <c r="YI164" s="236"/>
      <c r="YJ164" s="236"/>
      <c r="YK164" s="236"/>
      <c r="YL164" s="236"/>
      <c r="YM164" s="236"/>
      <c r="YN164" s="236"/>
      <c r="YO164" s="236"/>
      <c r="YP164" s="236"/>
      <c r="YQ164" s="236"/>
      <c r="YR164" s="236"/>
      <c r="YS164" s="236"/>
      <c r="YT164" s="236"/>
      <c r="YU164" s="236"/>
      <c r="YV164" s="236"/>
      <c r="YW164" s="236"/>
      <c r="YX164" s="236"/>
      <c r="YY164" s="236"/>
      <c r="YZ164" s="236"/>
      <c r="ZA164" s="236"/>
      <c r="ZB164" s="236"/>
      <c r="ZC164" s="236"/>
      <c r="ZD164" s="236"/>
      <c r="ZE164" s="236"/>
      <c r="ZF164" s="236"/>
      <c r="ZG164" s="236"/>
      <c r="ZH164" s="236"/>
      <c r="ZI164" s="236"/>
      <c r="ZJ164" s="236"/>
      <c r="ZK164" s="236"/>
      <c r="ZL164" s="236"/>
      <c r="ZM164" s="236"/>
      <c r="ZN164" s="236"/>
      <c r="ZO164" s="236"/>
      <c r="ZP164" s="236"/>
      <c r="ZQ164" s="236"/>
      <c r="ZR164" s="236"/>
      <c r="ZS164" s="236"/>
      <c r="ZT164" s="236"/>
      <c r="ZU164" s="236"/>
      <c r="ZV164" s="236"/>
      <c r="ZW164" s="236"/>
      <c r="ZX164" s="236"/>
      <c r="ZY164" s="236"/>
      <c r="ZZ164" s="236"/>
      <c r="AAA164" s="236"/>
      <c r="AAB164" s="236"/>
      <c r="AAC164" s="236"/>
      <c r="AAD164" s="236"/>
      <c r="AAE164" s="236"/>
      <c r="AAF164" s="236"/>
      <c r="AAG164" s="236"/>
      <c r="AAH164" s="236"/>
      <c r="AAI164" s="236"/>
      <c r="AAJ164" s="236"/>
      <c r="AAK164" s="236"/>
      <c r="AAL164" s="236"/>
      <c r="AAM164" s="236"/>
      <c r="AAN164" s="236"/>
      <c r="AAO164" s="236"/>
      <c r="AAP164" s="236"/>
      <c r="AAQ164" s="236"/>
      <c r="AAR164" s="236"/>
      <c r="AAS164" s="236"/>
      <c r="AAT164" s="236"/>
      <c r="AAU164" s="236"/>
      <c r="AAV164" s="236"/>
      <c r="AAW164" s="236"/>
      <c r="AAX164" s="236"/>
      <c r="AAY164" s="236"/>
      <c r="AAZ164" s="236"/>
      <c r="ABA164" s="236"/>
      <c r="ABB164" s="236"/>
      <c r="ABC164" s="236"/>
      <c r="ABD164" s="236"/>
      <c r="ABE164" s="236"/>
      <c r="ABF164" s="236"/>
      <c r="ABG164" s="236"/>
      <c r="ABH164" s="236"/>
      <c r="ABI164" s="236"/>
      <c r="ABJ164" s="236"/>
      <c r="ABK164" s="236"/>
      <c r="ABL164" s="236"/>
      <c r="ABM164" s="236"/>
      <c r="ABN164" s="236"/>
      <c r="ABO164" s="236"/>
      <c r="ABP164" s="236"/>
      <c r="ABQ164" s="236"/>
      <c r="ABR164" s="236"/>
      <c r="ABS164" s="236"/>
      <c r="ABT164" s="236"/>
      <c r="ABU164" s="236"/>
      <c r="ABV164" s="236"/>
      <c r="ABW164" s="236"/>
      <c r="ABX164" s="236"/>
      <c r="ABY164" s="236"/>
      <c r="ABZ164" s="236"/>
      <c r="ACA164" s="236"/>
      <c r="ACB164" s="236"/>
      <c r="ACC164" s="236"/>
      <c r="ACD164" s="236"/>
      <c r="ACE164" s="236"/>
      <c r="ACF164" s="236"/>
      <c r="ACG164" s="236"/>
      <c r="ACH164" s="236"/>
      <c r="ACI164" s="236"/>
      <c r="ACJ164" s="236"/>
      <c r="ACK164" s="236"/>
      <c r="ACL164" s="236"/>
      <c r="ACM164" s="236"/>
      <c r="ACN164" s="236"/>
      <c r="ACO164" s="236"/>
      <c r="ACP164" s="236"/>
      <c r="ACQ164" s="236"/>
      <c r="ACR164" s="236"/>
      <c r="ACS164" s="236"/>
      <c r="ACT164" s="236"/>
      <c r="ACU164" s="236"/>
      <c r="ACV164" s="236"/>
      <c r="ACW164" s="236"/>
      <c r="ACX164" s="236"/>
      <c r="ACY164" s="236"/>
      <c r="ACZ164" s="236"/>
      <c r="ADA164" s="236"/>
      <c r="ADB164" s="236"/>
      <c r="ADC164" s="236"/>
      <c r="ADD164" s="236"/>
      <c r="ADE164" s="236"/>
      <c r="ADF164" s="236"/>
      <c r="ADG164" s="236"/>
      <c r="ADH164" s="236"/>
      <c r="ADI164" s="236"/>
      <c r="ADJ164" s="236"/>
      <c r="ADK164" s="236"/>
      <c r="ADL164" s="236"/>
      <c r="ADM164" s="236"/>
      <c r="ADN164" s="236"/>
      <c r="ADO164" s="236"/>
      <c r="ADP164" s="236"/>
      <c r="ADQ164" s="236"/>
      <c r="ADR164" s="236"/>
      <c r="ADS164" s="236"/>
      <c r="ADT164" s="236"/>
      <c r="ADU164" s="236"/>
      <c r="ADV164" s="236"/>
      <c r="ADW164" s="236"/>
      <c r="ADX164" s="236"/>
      <c r="ADY164" s="236"/>
      <c r="ADZ164" s="236"/>
      <c r="AEA164" s="236"/>
      <c r="AEB164" s="236"/>
      <c r="AEC164" s="236"/>
      <c r="AED164" s="236"/>
      <c r="AEE164" s="236"/>
      <c r="AEF164" s="236"/>
      <c r="AEG164" s="236"/>
      <c r="AEH164" s="236"/>
      <c r="AEI164" s="236"/>
      <c r="AEJ164" s="236"/>
      <c r="AEK164" s="236"/>
      <c r="AEL164" s="236"/>
      <c r="AEM164" s="236"/>
      <c r="AEN164" s="236"/>
      <c r="AEO164" s="236"/>
      <c r="AEP164" s="236"/>
      <c r="AEQ164" s="236"/>
      <c r="AER164" s="236"/>
      <c r="AES164" s="236"/>
      <c r="AET164" s="236"/>
      <c r="AEU164" s="236"/>
      <c r="AEV164" s="236"/>
      <c r="AEW164" s="236"/>
      <c r="AEX164" s="236"/>
      <c r="AEY164" s="236"/>
      <c r="AEZ164" s="236"/>
      <c r="AFA164" s="236"/>
      <c r="AFB164" s="236"/>
      <c r="AFC164" s="236"/>
      <c r="AFD164" s="236"/>
      <c r="AFE164" s="236"/>
      <c r="AFF164" s="236"/>
      <c r="AFG164" s="236"/>
      <c r="AFH164" s="236"/>
      <c r="AFI164" s="236"/>
      <c r="AFJ164" s="236"/>
      <c r="AFK164" s="236"/>
      <c r="AFL164" s="236"/>
      <c r="AFM164" s="236"/>
      <c r="AFN164" s="236"/>
      <c r="AFO164" s="236"/>
      <c r="AFP164" s="236"/>
      <c r="AFQ164" s="236"/>
      <c r="AFR164" s="236"/>
      <c r="AFS164" s="236"/>
      <c r="AFT164" s="236"/>
      <c r="AFU164" s="236"/>
      <c r="AFV164" s="236"/>
      <c r="AFW164" s="236"/>
      <c r="AFX164" s="236"/>
      <c r="AFY164" s="236"/>
      <c r="AFZ164" s="236"/>
      <c r="AGA164" s="236"/>
      <c r="AGB164" s="236"/>
      <c r="AGC164" s="236"/>
      <c r="AGD164" s="236"/>
      <c r="AGE164" s="236"/>
      <c r="AGF164" s="236"/>
      <c r="AGG164" s="236"/>
      <c r="AGH164" s="236"/>
      <c r="AGI164" s="236"/>
      <c r="AGJ164" s="236"/>
      <c r="AGK164" s="236"/>
      <c r="AGL164" s="236"/>
      <c r="AGM164" s="236"/>
      <c r="AGN164" s="236"/>
      <c r="AGO164" s="236"/>
      <c r="AGP164" s="236"/>
      <c r="AGQ164" s="236"/>
      <c r="AGR164" s="236"/>
      <c r="AGS164" s="236"/>
      <c r="AGT164" s="236"/>
      <c r="AGU164" s="236"/>
      <c r="AGV164" s="236"/>
      <c r="AGW164" s="236"/>
      <c r="AGX164" s="236"/>
      <c r="AGY164" s="236"/>
      <c r="AGZ164" s="236"/>
      <c r="AHA164" s="236"/>
      <c r="AHB164" s="236"/>
      <c r="AHC164" s="236"/>
      <c r="AHD164" s="236"/>
      <c r="AHE164" s="236"/>
      <c r="AHF164" s="236"/>
      <c r="AHG164" s="236"/>
      <c r="AHH164" s="236"/>
      <c r="AHI164" s="236"/>
      <c r="AHJ164" s="236"/>
      <c r="AHK164" s="236"/>
      <c r="AHL164" s="236"/>
      <c r="AHM164" s="236"/>
      <c r="AHN164" s="236"/>
      <c r="AHO164" s="236"/>
      <c r="AHP164" s="236"/>
      <c r="AHQ164" s="236"/>
      <c r="AHR164" s="236"/>
      <c r="AHS164" s="236"/>
      <c r="AHT164" s="236"/>
      <c r="AHU164" s="236"/>
      <c r="AHV164" s="236"/>
      <c r="AHW164" s="236"/>
      <c r="AHX164" s="236"/>
      <c r="AHY164" s="236"/>
      <c r="AHZ164" s="236"/>
      <c r="AIA164" s="236"/>
      <c r="AIB164" s="236"/>
      <c r="AIC164" s="236"/>
      <c r="AID164" s="236"/>
      <c r="AIE164" s="236"/>
      <c r="AIF164" s="236"/>
      <c r="AIG164" s="236"/>
      <c r="AIH164" s="236"/>
      <c r="AII164" s="236"/>
      <c r="AIJ164" s="236"/>
      <c r="AIK164" s="236"/>
      <c r="AIL164" s="236"/>
      <c r="AIM164" s="236"/>
      <c r="AIN164" s="236"/>
      <c r="AIO164" s="236"/>
      <c r="AIP164" s="236"/>
      <c r="AIQ164" s="236"/>
      <c r="AIR164" s="236"/>
      <c r="AIS164" s="236"/>
      <c r="AIT164" s="236"/>
      <c r="AIU164" s="236"/>
      <c r="AIV164" s="236"/>
      <c r="AIW164" s="236"/>
      <c r="AIX164" s="236"/>
      <c r="AIY164" s="236"/>
      <c r="AIZ164" s="236"/>
      <c r="AJA164" s="236"/>
      <c r="AJB164" s="236"/>
      <c r="AJC164" s="236"/>
      <c r="AJD164" s="236"/>
      <c r="AJE164" s="236"/>
      <c r="AJF164" s="236"/>
      <c r="AJG164" s="236"/>
      <c r="AJH164" s="236"/>
      <c r="AJI164" s="236"/>
      <c r="AJJ164" s="236"/>
      <c r="AJK164" s="236"/>
      <c r="AJL164" s="236"/>
      <c r="AJM164" s="236"/>
      <c r="AJN164" s="236"/>
      <c r="AJO164" s="236"/>
      <c r="AJP164" s="236"/>
      <c r="AJQ164" s="236"/>
      <c r="AJR164" s="236"/>
      <c r="AJS164" s="236"/>
      <c r="AJT164" s="236"/>
      <c r="AJU164" s="236"/>
      <c r="AJV164" s="236"/>
      <c r="AJW164" s="236"/>
      <c r="AJX164" s="236"/>
      <c r="AJY164" s="236"/>
      <c r="AJZ164" s="236"/>
      <c r="AKA164" s="236"/>
      <c r="AKB164" s="236"/>
      <c r="AKC164" s="236"/>
      <c r="AKD164" s="236"/>
      <c r="AKE164" s="236"/>
      <c r="AKF164" s="236"/>
      <c r="AKG164" s="236"/>
      <c r="AKH164" s="236"/>
      <c r="AKI164" s="236"/>
      <c r="AKJ164" s="236"/>
      <c r="AKK164" s="236"/>
      <c r="AKL164" s="236"/>
      <c r="AKM164" s="236"/>
      <c r="AKN164" s="236"/>
      <c r="AKO164" s="236"/>
      <c r="AKP164" s="236"/>
      <c r="AKQ164" s="236"/>
      <c r="AKR164" s="236"/>
      <c r="AKS164" s="236"/>
      <c r="AKT164" s="236"/>
      <c r="AKU164" s="236"/>
      <c r="AKV164" s="236"/>
      <c r="AKW164" s="236"/>
      <c r="AKX164" s="236"/>
      <c r="AKY164" s="236"/>
      <c r="AKZ164" s="236"/>
      <c r="ALA164" s="236"/>
      <c r="ALB164" s="236"/>
      <c r="ALC164" s="236"/>
      <c r="ALD164" s="236"/>
      <c r="ALE164" s="236"/>
      <c r="ALF164" s="236"/>
      <c r="ALG164" s="236"/>
      <c r="ALH164" s="236"/>
      <c r="ALI164" s="236"/>
      <c r="ALJ164" s="236"/>
      <c r="ALK164" s="236"/>
      <c r="ALL164" s="236"/>
      <c r="ALM164" s="236"/>
      <c r="ALN164" s="236"/>
      <c r="ALO164" s="236"/>
      <c r="ALP164" s="236"/>
      <c r="ALQ164" s="236"/>
      <c r="ALR164" s="236"/>
      <c r="ALS164" s="236"/>
      <c r="ALT164" s="236"/>
      <c r="ALU164" s="236"/>
      <c r="ALV164" s="236"/>
      <c r="ALW164" s="236"/>
      <c r="ALX164" s="236"/>
      <c r="ALY164" s="236"/>
      <c r="ALZ164" s="236"/>
      <c r="AMA164" s="236"/>
      <c r="AMB164" s="236"/>
      <c r="AMC164" s="236"/>
      <c r="AMD164" s="236"/>
      <c r="AME164" s="236"/>
      <c r="AMF164" s="236"/>
      <c r="AMG164" s="236"/>
      <c r="AMH164" s="236"/>
      <c r="AMI164" s="236"/>
      <c r="AMJ164" s="236"/>
      <c r="AMK164" s="236"/>
      <c r="AML164" s="236"/>
      <c r="AMM164" s="236"/>
    </row>
    <row r="165" spans="1:1027" ht="15" customHeight="1">
      <c r="A165" s="1418"/>
      <c r="B165" s="1419"/>
      <c r="C165" s="1419"/>
      <c r="D165" s="1419"/>
      <c r="E165" s="1419"/>
      <c r="F165" s="1419"/>
      <c r="G165" s="1419"/>
      <c r="H165" s="1419"/>
      <c r="I165" s="1419"/>
      <c r="J165" s="1419"/>
      <c r="K165" s="1419"/>
      <c r="L165" s="1420"/>
      <c r="M165" s="283"/>
      <c r="N165" s="1392" t="s">
        <v>278</v>
      </c>
      <c r="O165" s="1393"/>
      <c r="P165" s="1393"/>
      <c r="Q165" s="1393"/>
      <c r="R165" s="1394"/>
      <c r="S165" s="284"/>
      <c r="T165" s="284"/>
      <c r="U165" s="284"/>
      <c r="V165" s="1392" t="s">
        <v>170</v>
      </c>
      <c r="W165" s="1393"/>
      <c r="X165" s="1393"/>
      <c r="Y165" s="1393"/>
      <c r="Z165" s="1394"/>
      <c r="AA165" s="1065"/>
      <c r="AB165" s="1392" t="s">
        <v>171</v>
      </c>
      <c r="AC165" s="1394"/>
      <c r="AD165" s="1392" t="s">
        <v>172</v>
      </c>
      <c r="AE165" s="1393"/>
      <c r="AF165" s="1393"/>
      <c r="AG165" s="1393"/>
      <c r="AH165" s="1393"/>
      <c r="AI165" s="1393"/>
      <c r="AJ165" s="1393"/>
      <c r="AK165" s="1393"/>
      <c r="AL165" s="1393"/>
      <c r="AM165" s="1394"/>
      <c r="AN165" s="262"/>
      <c r="AO165" s="262"/>
      <c r="AP165" s="262"/>
      <c r="AQ165" s="262"/>
      <c r="AR165" s="262"/>
      <c r="AS165" s="262"/>
      <c r="AT165" s="262"/>
      <c r="AU165" s="262"/>
      <c r="AV165" s="262"/>
      <c r="AW165" s="262"/>
      <c r="AX165" s="262"/>
      <c r="AY165" s="236"/>
      <c r="AZ165" s="236"/>
      <c r="BA165" s="236"/>
      <c r="BB165" s="236"/>
      <c r="BC165" s="236"/>
      <c r="BD165" s="236"/>
      <c r="BE165" s="236"/>
      <c r="BF165" s="236"/>
      <c r="BG165" s="236"/>
      <c r="BH165" s="236"/>
      <c r="BI165" s="236"/>
      <c r="BJ165" s="236"/>
      <c r="BK165" s="236"/>
      <c r="BL165" s="236"/>
      <c r="BM165" s="236"/>
      <c r="BN165" s="236"/>
      <c r="BO165" s="236"/>
      <c r="BP165" s="236"/>
      <c r="BQ165" s="236"/>
      <c r="BR165" s="236"/>
      <c r="BS165" s="236"/>
      <c r="BT165" s="236"/>
      <c r="BU165" s="236"/>
      <c r="BV165" s="236"/>
      <c r="BW165" s="236"/>
      <c r="BX165" s="236"/>
      <c r="BY165" s="236"/>
      <c r="BZ165" s="236"/>
      <c r="CA165" s="236"/>
      <c r="CB165" s="236"/>
      <c r="CC165" s="236"/>
      <c r="CD165" s="236"/>
      <c r="CE165" s="236"/>
      <c r="CF165" s="236"/>
      <c r="CG165" s="236"/>
      <c r="CH165" s="236"/>
      <c r="CI165" s="236"/>
      <c r="CJ165" s="236"/>
      <c r="CK165" s="236"/>
      <c r="CL165" s="236"/>
      <c r="CM165" s="236"/>
      <c r="CN165" s="236"/>
      <c r="CO165" s="236"/>
      <c r="CP165" s="236"/>
      <c r="CQ165" s="236"/>
      <c r="CR165" s="236"/>
      <c r="CS165" s="236"/>
      <c r="CT165" s="236"/>
      <c r="CU165" s="236"/>
      <c r="CV165" s="236"/>
      <c r="CW165" s="236"/>
      <c r="CX165" s="236"/>
      <c r="CY165" s="236"/>
      <c r="CZ165" s="236"/>
      <c r="DA165" s="236"/>
      <c r="DB165" s="236"/>
      <c r="DC165" s="236"/>
      <c r="DD165" s="236"/>
      <c r="DE165" s="236"/>
      <c r="DF165" s="236"/>
      <c r="DG165" s="236"/>
      <c r="DH165" s="236"/>
      <c r="DI165" s="236"/>
      <c r="DJ165" s="236"/>
      <c r="DK165" s="236"/>
      <c r="DL165" s="236"/>
      <c r="DM165" s="236"/>
      <c r="DN165" s="236"/>
      <c r="DO165" s="236"/>
      <c r="DP165" s="236"/>
      <c r="DQ165" s="236"/>
      <c r="DR165" s="236"/>
      <c r="DS165" s="236"/>
      <c r="DT165" s="236"/>
      <c r="DU165" s="236"/>
      <c r="DV165" s="236"/>
      <c r="DW165" s="236"/>
      <c r="DX165" s="236"/>
      <c r="DY165" s="236"/>
      <c r="DZ165" s="236"/>
      <c r="EA165" s="236"/>
      <c r="EB165" s="236"/>
      <c r="EC165" s="236"/>
      <c r="ED165" s="236"/>
      <c r="EE165" s="236"/>
      <c r="EF165" s="236"/>
      <c r="EG165" s="236"/>
      <c r="EH165" s="236"/>
      <c r="EI165" s="236"/>
      <c r="EJ165" s="236"/>
      <c r="EK165" s="236"/>
      <c r="EL165" s="236"/>
      <c r="EM165" s="236"/>
      <c r="EN165" s="236"/>
      <c r="EO165" s="236"/>
      <c r="EP165" s="236"/>
      <c r="EQ165" s="236"/>
      <c r="ER165" s="236"/>
      <c r="ES165" s="236"/>
      <c r="ET165" s="236"/>
      <c r="EU165" s="236"/>
      <c r="EV165" s="236"/>
      <c r="EW165" s="236"/>
      <c r="EX165" s="236"/>
      <c r="EY165" s="236"/>
      <c r="EZ165" s="236"/>
      <c r="FA165" s="236"/>
      <c r="FB165" s="236"/>
      <c r="FC165" s="236"/>
      <c r="FD165" s="236"/>
      <c r="FE165" s="236"/>
      <c r="FF165" s="236"/>
      <c r="FG165" s="236"/>
      <c r="FH165" s="236"/>
      <c r="FI165" s="236"/>
      <c r="FJ165" s="236"/>
      <c r="FK165" s="236"/>
      <c r="FL165" s="236"/>
      <c r="FM165" s="236"/>
      <c r="FN165" s="236"/>
      <c r="FO165" s="236"/>
      <c r="FP165" s="236"/>
      <c r="FQ165" s="236"/>
      <c r="FR165" s="236"/>
      <c r="FS165" s="236"/>
      <c r="FT165" s="236"/>
      <c r="FU165" s="236"/>
      <c r="FV165" s="236"/>
      <c r="FW165" s="236"/>
      <c r="FX165" s="236"/>
      <c r="FY165" s="236"/>
      <c r="FZ165" s="236"/>
      <c r="GA165" s="236"/>
      <c r="GB165" s="236"/>
      <c r="GC165" s="236"/>
      <c r="GD165" s="236"/>
      <c r="GE165" s="236"/>
      <c r="GF165" s="236"/>
      <c r="GG165" s="236"/>
      <c r="GH165" s="236"/>
      <c r="GI165" s="236"/>
      <c r="GJ165" s="236"/>
      <c r="GK165" s="236"/>
      <c r="GL165" s="236"/>
      <c r="GM165" s="236"/>
      <c r="GN165" s="236"/>
      <c r="GO165" s="236"/>
      <c r="GP165" s="236"/>
      <c r="GQ165" s="236"/>
      <c r="GR165" s="236"/>
      <c r="GS165" s="236"/>
      <c r="GT165" s="236"/>
      <c r="GU165" s="236"/>
      <c r="GV165" s="236"/>
      <c r="GW165" s="236"/>
      <c r="GX165" s="236"/>
      <c r="GY165" s="236"/>
      <c r="GZ165" s="236"/>
      <c r="HA165" s="236"/>
      <c r="HB165" s="236"/>
      <c r="HC165" s="236"/>
      <c r="HD165" s="236"/>
      <c r="HE165" s="236"/>
      <c r="HF165" s="236"/>
      <c r="HG165" s="236"/>
      <c r="HH165" s="236"/>
      <c r="HI165" s="236"/>
      <c r="HJ165" s="236"/>
      <c r="HK165" s="236"/>
      <c r="HL165" s="236"/>
      <c r="HM165" s="236"/>
      <c r="HN165" s="236"/>
      <c r="HO165" s="236"/>
      <c r="HP165" s="236"/>
      <c r="HQ165" s="236"/>
      <c r="HR165" s="236"/>
      <c r="HS165" s="236"/>
      <c r="HT165" s="236"/>
      <c r="HU165" s="236"/>
      <c r="HV165" s="236"/>
      <c r="HW165" s="236"/>
      <c r="HX165" s="236"/>
      <c r="HY165" s="236"/>
      <c r="HZ165" s="236"/>
      <c r="IA165" s="236"/>
      <c r="IB165" s="236"/>
      <c r="IC165" s="236"/>
      <c r="ID165" s="236"/>
      <c r="IE165" s="236"/>
      <c r="IF165" s="236"/>
      <c r="IG165" s="236"/>
      <c r="IH165" s="236"/>
      <c r="II165" s="236"/>
      <c r="IJ165" s="236"/>
      <c r="IK165" s="236"/>
      <c r="IL165" s="236"/>
      <c r="IM165" s="236"/>
      <c r="IN165" s="236"/>
      <c r="IO165" s="236"/>
      <c r="IP165" s="236"/>
      <c r="IQ165" s="236"/>
      <c r="IR165" s="236"/>
      <c r="IS165" s="236"/>
      <c r="IT165" s="236"/>
      <c r="IU165" s="236"/>
      <c r="IV165" s="236"/>
      <c r="IW165" s="236"/>
      <c r="IX165" s="236"/>
      <c r="IY165" s="236"/>
      <c r="IZ165" s="236"/>
      <c r="JA165" s="236"/>
      <c r="JB165" s="236"/>
      <c r="JC165" s="236"/>
      <c r="JD165" s="236"/>
      <c r="JE165" s="236"/>
      <c r="JF165" s="236"/>
      <c r="JG165" s="236"/>
      <c r="JH165" s="236"/>
      <c r="JI165" s="236"/>
      <c r="JJ165" s="236"/>
      <c r="JK165" s="236"/>
      <c r="JL165" s="236"/>
      <c r="JM165" s="236"/>
      <c r="JN165" s="236"/>
      <c r="JO165" s="236"/>
      <c r="JP165" s="236"/>
      <c r="JQ165" s="236"/>
      <c r="JR165" s="236"/>
      <c r="JS165" s="236"/>
      <c r="JT165" s="236"/>
      <c r="JU165" s="236"/>
      <c r="JV165" s="236"/>
      <c r="JW165" s="236"/>
      <c r="JX165" s="236"/>
      <c r="JY165" s="236"/>
      <c r="JZ165" s="236"/>
      <c r="KA165" s="236"/>
      <c r="KB165" s="236"/>
      <c r="KC165" s="236"/>
      <c r="KD165" s="236"/>
      <c r="KE165" s="236"/>
      <c r="KF165" s="236"/>
      <c r="KG165" s="236"/>
      <c r="KH165" s="236"/>
      <c r="KI165" s="236"/>
      <c r="KJ165" s="236"/>
      <c r="KK165" s="236"/>
      <c r="KL165" s="236"/>
      <c r="KM165" s="236"/>
      <c r="KN165" s="236"/>
      <c r="KO165" s="236"/>
      <c r="KP165" s="236"/>
      <c r="KQ165" s="236"/>
      <c r="KR165" s="236"/>
      <c r="KS165" s="236"/>
      <c r="KT165" s="236"/>
      <c r="KU165" s="236"/>
      <c r="KV165" s="236"/>
      <c r="KW165" s="236"/>
      <c r="KX165" s="236"/>
      <c r="KY165" s="236"/>
      <c r="KZ165" s="236"/>
      <c r="LA165" s="236"/>
      <c r="LB165" s="236"/>
      <c r="LC165" s="236"/>
      <c r="LD165" s="236"/>
      <c r="LE165" s="236"/>
      <c r="LF165" s="236"/>
      <c r="LG165" s="236"/>
      <c r="LH165" s="236"/>
      <c r="LI165" s="236"/>
      <c r="LJ165" s="236"/>
      <c r="LK165" s="236"/>
      <c r="LL165" s="236"/>
      <c r="LM165" s="236"/>
      <c r="LN165" s="236"/>
      <c r="LO165" s="236"/>
      <c r="LP165" s="236"/>
      <c r="LQ165" s="236"/>
      <c r="LR165" s="236"/>
      <c r="LS165" s="236"/>
      <c r="LT165" s="236"/>
      <c r="LU165" s="236"/>
      <c r="LV165" s="236"/>
      <c r="LW165" s="236"/>
      <c r="LX165" s="236"/>
      <c r="LY165" s="236"/>
      <c r="LZ165" s="236"/>
      <c r="MA165" s="236"/>
      <c r="MB165" s="236"/>
      <c r="MC165" s="236"/>
      <c r="MD165" s="236"/>
      <c r="ME165" s="236"/>
      <c r="MF165" s="236"/>
      <c r="MG165" s="236"/>
      <c r="MH165" s="236"/>
      <c r="MI165" s="236"/>
      <c r="MJ165" s="236"/>
      <c r="MK165" s="236"/>
      <c r="ML165" s="236"/>
      <c r="MM165" s="236"/>
      <c r="MN165" s="236"/>
      <c r="MO165" s="236"/>
      <c r="MP165" s="236"/>
      <c r="MQ165" s="236"/>
      <c r="MR165" s="236"/>
      <c r="MS165" s="236"/>
      <c r="MT165" s="236"/>
      <c r="MU165" s="236"/>
      <c r="MV165" s="236"/>
      <c r="MW165" s="236"/>
      <c r="MX165" s="236"/>
      <c r="MY165" s="236"/>
      <c r="MZ165" s="236"/>
      <c r="NA165" s="236"/>
      <c r="NB165" s="236"/>
      <c r="NC165" s="236"/>
      <c r="ND165" s="236"/>
      <c r="NE165" s="236"/>
      <c r="NF165" s="236"/>
      <c r="NG165" s="236"/>
      <c r="NH165" s="236"/>
      <c r="NI165" s="236"/>
      <c r="NJ165" s="236"/>
      <c r="NK165" s="236"/>
      <c r="NL165" s="236"/>
      <c r="NM165" s="236"/>
      <c r="NN165" s="236"/>
      <c r="NO165" s="236"/>
      <c r="NP165" s="236"/>
      <c r="NQ165" s="236"/>
      <c r="NR165" s="236"/>
      <c r="NS165" s="236"/>
      <c r="NT165" s="236"/>
      <c r="NU165" s="236"/>
      <c r="NV165" s="236"/>
      <c r="NW165" s="236"/>
      <c r="NX165" s="236"/>
      <c r="NY165" s="236"/>
      <c r="NZ165" s="236"/>
      <c r="OA165" s="236"/>
      <c r="OB165" s="236"/>
      <c r="OC165" s="236"/>
      <c r="OD165" s="236"/>
      <c r="OE165" s="236"/>
      <c r="OF165" s="236"/>
      <c r="OG165" s="236"/>
      <c r="OH165" s="236"/>
      <c r="OI165" s="236"/>
      <c r="OJ165" s="236"/>
      <c r="OK165" s="236"/>
      <c r="OL165" s="236"/>
      <c r="OM165" s="236"/>
      <c r="ON165" s="236"/>
      <c r="OO165" s="236"/>
      <c r="OP165" s="236"/>
      <c r="OQ165" s="236"/>
      <c r="OR165" s="236"/>
      <c r="OS165" s="236"/>
      <c r="OT165" s="236"/>
      <c r="OU165" s="236"/>
      <c r="OV165" s="236"/>
      <c r="OW165" s="236"/>
      <c r="OX165" s="236"/>
      <c r="OY165" s="236"/>
      <c r="OZ165" s="236"/>
      <c r="PA165" s="236"/>
      <c r="PB165" s="236"/>
      <c r="PC165" s="236"/>
      <c r="PD165" s="236"/>
      <c r="PE165" s="236"/>
      <c r="PF165" s="236"/>
      <c r="PG165" s="236"/>
      <c r="PH165" s="236"/>
      <c r="PI165" s="236"/>
      <c r="PJ165" s="236"/>
      <c r="PK165" s="236"/>
      <c r="PL165" s="236"/>
      <c r="PM165" s="236"/>
      <c r="PN165" s="236"/>
      <c r="PO165" s="236"/>
      <c r="PP165" s="236"/>
      <c r="PQ165" s="236"/>
      <c r="PR165" s="236"/>
      <c r="PS165" s="236"/>
      <c r="PT165" s="236"/>
      <c r="PU165" s="236"/>
      <c r="PV165" s="236"/>
      <c r="PW165" s="236"/>
      <c r="PX165" s="236"/>
      <c r="PY165" s="236"/>
      <c r="PZ165" s="236"/>
      <c r="QA165" s="236"/>
      <c r="QB165" s="236"/>
      <c r="QC165" s="236"/>
      <c r="QD165" s="236"/>
      <c r="QE165" s="236"/>
      <c r="QF165" s="236"/>
      <c r="QG165" s="236"/>
      <c r="QH165" s="236"/>
      <c r="QI165" s="236"/>
      <c r="QJ165" s="236"/>
      <c r="QK165" s="236"/>
      <c r="QL165" s="236"/>
      <c r="QM165" s="236"/>
      <c r="QN165" s="236"/>
      <c r="QO165" s="236"/>
      <c r="QP165" s="236"/>
      <c r="QQ165" s="236"/>
      <c r="QR165" s="236"/>
      <c r="QS165" s="236"/>
      <c r="QT165" s="236"/>
      <c r="QU165" s="236"/>
      <c r="QV165" s="236"/>
      <c r="QW165" s="236"/>
      <c r="QX165" s="236"/>
      <c r="QY165" s="236"/>
      <c r="QZ165" s="236"/>
      <c r="RA165" s="236"/>
      <c r="RB165" s="236"/>
      <c r="RC165" s="236"/>
      <c r="RD165" s="236"/>
      <c r="RE165" s="236"/>
      <c r="RF165" s="236"/>
      <c r="RG165" s="236"/>
      <c r="RH165" s="236"/>
      <c r="RI165" s="236"/>
      <c r="RJ165" s="236"/>
      <c r="RK165" s="236"/>
      <c r="RL165" s="236"/>
      <c r="RM165" s="236"/>
      <c r="RN165" s="236"/>
      <c r="RO165" s="236"/>
      <c r="RP165" s="236"/>
      <c r="RQ165" s="236"/>
      <c r="RR165" s="236"/>
      <c r="RS165" s="236"/>
      <c r="RT165" s="236"/>
      <c r="RU165" s="236"/>
      <c r="RV165" s="236"/>
      <c r="RW165" s="236"/>
      <c r="RX165" s="236"/>
      <c r="RY165" s="236"/>
      <c r="RZ165" s="236"/>
      <c r="SA165" s="236"/>
      <c r="SB165" s="236"/>
      <c r="SC165" s="236"/>
      <c r="SD165" s="236"/>
      <c r="SE165" s="236"/>
      <c r="SF165" s="236"/>
      <c r="SG165" s="236"/>
      <c r="SH165" s="236"/>
      <c r="SI165" s="236"/>
      <c r="SJ165" s="236"/>
      <c r="SK165" s="236"/>
      <c r="SL165" s="236"/>
      <c r="SM165" s="236"/>
      <c r="SN165" s="236"/>
      <c r="SO165" s="236"/>
      <c r="SP165" s="236"/>
      <c r="SQ165" s="236"/>
      <c r="SR165" s="236"/>
      <c r="SS165" s="236"/>
      <c r="ST165" s="236"/>
      <c r="SU165" s="236"/>
      <c r="SV165" s="236"/>
      <c r="SW165" s="236"/>
      <c r="SX165" s="236"/>
      <c r="SY165" s="236"/>
      <c r="SZ165" s="236"/>
      <c r="TA165" s="236"/>
      <c r="TB165" s="236"/>
      <c r="TC165" s="236"/>
      <c r="TD165" s="236"/>
      <c r="TE165" s="236"/>
      <c r="TF165" s="236"/>
      <c r="TG165" s="236"/>
      <c r="TH165" s="236"/>
      <c r="TI165" s="236"/>
      <c r="TJ165" s="236"/>
      <c r="TK165" s="236"/>
      <c r="TL165" s="236"/>
      <c r="TM165" s="236"/>
      <c r="TN165" s="236"/>
      <c r="TO165" s="236"/>
      <c r="TP165" s="236"/>
      <c r="TQ165" s="236"/>
      <c r="TR165" s="236"/>
      <c r="TS165" s="236"/>
      <c r="TT165" s="236"/>
      <c r="TU165" s="236"/>
      <c r="TV165" s="236"/>
      <c r="TW165" s="236"/>
      <c r="TX165" s="236"/>
      <c r="TY165" s="236"/>
      <c r="TZ165" s="236"/>
      <c r="UA165" s="236"/>
      <c r="UB165" s="236"/>
      <c r="UC165" s="236"/>
      <c r="UD165" s="236"/>
      <c r="UE165" s="236"/>
      <c r="UF165" s="236"/>
      <c r="UG165" s="236"/>
      <c r="UH165" s="236"/>
      <c r="UI165" s="236"/>
      <c r="UJ165" s="236"/>
      <c r="UK165" s="236"/>
      <c r="UL165" s="236"/>
      <c r="UM165" s="236"/>
      <c r="UN165" s="236"/>
      <c r="UO165" s="236"/>
      <c r="UP165" s="236"/>
      <c r="UQ165" s="236"/>
      <c r="UR165" s="236"/>
      <c r="US165" s="236"/>
      <c r="UT165" s="236"/>
      <c r="UU165" s="236"/>
      <c r="UV165" s="236"/>
      <c r="UW165" s="236"/>
      <c r="UX165" s="236"/>
      <c r="UY165" s="236"/>
      <c r="UZ165" s="236"/>
      <c r="VA165" s="236"/>
      <c r="VB165" s="236"/>
      <c r="VC165" s="236"/>
      <c r="VD165" s="236"/>
      <c r="VE165" s="236"/>
      <c r="VF165" s="236"/>
      <c r="VG165" s="236"/>
      <c r="VH165" s="236"/>
      <c r="VI165" s="236"/>
      <c r="VJ165" s="236"/>
      <c r="VK165" s="236"/>
      <c r="VL165" s="236"/>
      <c r="VM165" s="236"/>
      <c r="VN165" s="236"/>
      <c r="VO165" s="236"/>
      <c r="VP165" s="236"/>
      <c r="VQ165" s="236"/>
      <c r="VR165" s="236"/>
      <c r="VS165" s="236"/>
      <c r="VT165" s="236"/>
      <c r="VU165" s="236"/>
      <c r="VV165" s="236"/>
      <c r="VW165" s="236"/>
      <c r="VX165" s="236"/>
      <c r="VY165" s="236"/>
      <c r="VZ165" s="236"/>
      <c r="WA165" s="236"/>
      <c r="WB165" s="236"/>
      <c r="WC165" s="236"/>
      <c r="WD165" s="236"/>
      <c r="WE165" s="236"/>
      <c r="WF165" s="236"/>
      <c r="WG165" s="236"/>
      <c r="WH165" s="236"/>
      <c r="WI165" s="236"/>
      <c r="WJ165" s="236"/>
      <c r="WK165" s="236"/>
      <c r="WL165" s="236"/>
      <c r="WM165" s="236"/>
      <c r="WN165" s="236"/>
      <c r="WO165" s="236"/>
      <c r="WP165" s="236"/>
      <c r="WQ165" s="236"/>
      <c r="WR165" s="236"/>
      <c r="WS165" s="236"/>
      <c r="WT165" s="236"/>
      <c r="WU165" s="236"/>
      <c r="WV165" s="236"/>
      <c r="WW165" s="236"/>
      <c r="WX165" s="236"/>
      <c r="WY165" s="236"/>
      <c r="WZ165" s="236"/>
      <c r="XA165" s="236"/>
      <c r="XB165" s="236"/>
      <c r="XC165" s="236"/>
      <c r="XD165" s="236"/>
      <c r="XE165" s="236"/>
      <c r="XF165" s="236"/>
      <c r="XG165" s="236"/>
      <c r="XH165" s="236"/>
      <c r="XI165" s="236"/>
      <c r="XJ165" s="236"/>
      <c r="XK165" s="236"/>
      <c r="XL165" s="236"/>
      <c r="XM165" s="236"/>
      <c r="XN165" s="236"/>
      <c r="XO165" s="236"/>
      <c r="XP165" s="236"/>
      <c r="XQ165" s="236"/>
      <c r="XR165" s="236"/>
      <c r="XS165" s="236"/>
      <c r="XT165" s="236"/>
      <c r="XU165" s="236"/>
      <c r="XV165" s="236"/>
      <c r="XW165" s="236"/>
      <c r="XX165" s="236"/>
      <c r="XY165" s="236"/>
      <c r="XZ165" s="236"/>
      <c r="YA165" s="236"/>
      <c r="YB165" s="236"/>
      <c r="YC165" s="236"/>
      <c r="YD165" s="236"/>
      <c r="YE165" s="236"/>
      <c r="YF165" s="236"/>
      <c r="YG165" s="236"/>
      <c r="YH165" s="236"/>
      <c r="YI165" s="236"/>
      <c r="YJ165" s="236"/>
      <c r="YK165" s="236"/>
      <c r="YL165" s="236"/>
      <c r="YM165" s="236"/>
      <c r="YN165" s="236"/>
      <c r="YO165" s="236"/>
      <c r="YP165" s="236"/>
      <c r="YQ165" s="236"/>
      <c r="YR165" s="236"/>
      <c r="YS165" s="236"/>
      <c r="YT165" s="236"/>
      <c r="YU165" s="236"/>
      <c r="YV165" s="236"/>
      <c r="YW165" s="236"/>
      <c r="YX165" s="236"/>
      <c r="YY165" s="236"/>
      <c r="YZ165" s="236"/>
      <c r="ZA165" s="236"/>
      <c r="ZB165" s="236"/>
      <c r="ZC165" s="236"/>
      <c r="ZD165" s="236"/>
      <c r="ZE165" s="236"/>
      <c r="ZF165" s="236"/>
      <c r="ZG165" s="236"/>
      <c r="ZH165" s="236"/>
      <c r="ZI165" s="236"/>
      <c r="ZJ165" s="236"/>
      <c r="ZK165" s="236"/>
      <c r="ZL165" s="236"/>
      <c r="ZM165" s="236"/>
      <c r="ZN165" s="236"/>
      <c r="ZO165" s="236"/>
      <c r="ZP165" s="236"/>
      <c r="ZQ165" s="236"/>
      <c r="ZR165" s="236"/>
      <c r="ZS165" s="236"/>
      <c r="ZT165" s="236"/>
      <c r="ZU165" s="236"/>
      <c r="ZV165" s="236"/>
      <c r="ZW165" s="236"/>
      <c r="ZX165" s="236"/>
      <c r="ZY165" s="236"/>
      <c r="ZZ165" s="236"/>
      <c r="AAA165" s="236"/>
      <c r="AAB165" s="236"/>
      <c r="AAC165" s="236"/>
      <c r="AAD165" s="236"/>
      <c r="AAE165" s="236"/>
      <c r="AAF165" s="236"/>
      <c r="AAG165" s="236"/>
      <c r="AAH165" s="236"/>
      <c r="AAI165" s="236"/>
      <c r="AAJ165" s="236"/>
      <c r="AAK165" s="236"/>
      <c r="AAL165" s="236"/>
      <c r="AAM165" s="236"/>
      <c r="AAN165" s="236"/>
      <c r="AAO165" s="236"/>
      <c r="AAP165" s="236"/>
      <c r="AAQ165" s="236"/>
      <c r="AAR165" s="236"/>
      <c r="AAS165" s="236"/>
      <c r="AAT165" s="236"/>
      <c r="AAU165" s="236"/>
      <c r="AAV165" s="236"/>
      <c r="AAW165" s="236"/>
      <c r="AAX165" s="236"/>
      <c r="AAY165" s="236"/>
      <c r="AAZ165" s="236"/>
      <c r="ABA165" s="236"/>
      <c r="ABB165" s="236"/>
      <c r="ABC165" s="236"/>
      <c r="ABD165" s="236"/>
      <c r="ABE165" s="236"/>
      <c r="ABF165" s="236"/>
      <c r="ABG165" s="236"/>
      <c r="ABH165" s="236"/>
      <c r="ABI165" s="236"/>
      <c r="ABJ165" s="236"/>
      <c r="ABK165" s="236"/>
      <c r="ABL165" s="236"/>
      <c r="ABM165" s="236"/>
      <c r="ABN165" s="236"/>
      <c r="ABO165" s="236"/>
      <c r="ABP165" s="236"/>
      <c r="ABQ165" s="236"/>
      <c r="ABR165" s="236"/>
      <c r="ABS165" s="236"/>
      <c r="ABT165" s="236"/>
      <c r="ABU165" s="236"/>
      <c r="ABV165" s="236"/>
      <c r="ABW165" s="236"/>
      <c r="ABX165" s="236"/>
      <c r="ABY165" s="236"/>
      <c r="ABZ165" s="236"/>
      <c r="ACA165" s="236"/>
      <c r="ACB165" s="236"/>
      <c r="ACC165" s="236"/>
      <c r="ACD165" s="236"/>
      <c r="ACE165" s="236"/>
      <c r="ACF165" s="236"/>
      <c r="ACG165" s="236"/>
      <c r="ACH165" s="236"/>
      <c r="ACI165" s="236"/>
      <c r="ACJ165" s="236"/>
      <c r="ACK165" s="236"/>
      <c r="ACL165" s="236"/>
      <c r="ACM165" s="236"/>
      <c r="ACN165" s="236"/>
      <c r="ACO165" s="236"/>
      <c r="ACP165" s="236"/>
      <c r="ACQ165" s="236"/>
      <c r="ACR165" s="236"/>
      <c r="ACS165" s="236"/>
      <c r="ACT165" s="236"/>
      <c r="ACU165" s="236"/>
      <c r="ACV165" s="236"/>
      <c r="ACW165" s="236"/>
      <c r="ACX165" s="236"/>
      <c r="ACY165" s="236"/>
      <c r="ACZ165" s="236"/>
      <c r="ADA165" s="236"/>
      <c r="ADB165" s="236"/>
      <c r="ADC165" s="236"/>
      <c r="ADD165" s="236"/>
      <c r="ADE165" s="236"/>
      <c r="ADF165" s="236"/>
      <c r="ADG165" s="236"/>
      <c r="ADH165" s="236"/>
      <c r="ADI165" s="236"/>
      <c r="ADJ165" s="236"/>
      <c r="ADK165" s="236"/>
      <c r="ADL165" s="236"/>
      <c r="ADM165" s="236"/>
      <c r="ADN165" s="236"/>
      <c r="ADO165" s="236"/>
      <c r="ADP165" s="236"/>
      <c r="ADQ165" s="236"/>
      <c r="ADR165" s="236"/>
      <c r="ADS165" s="236"/>
      <c r="ADT165" s="236"/>
      <c r="ADU165" s="236"/>
      <c r="ADV165" s="236"/>
      <c r="ADW165" s="236"/>
      <c r="ADX165" s="236"/>
      <c r="ADY165" s="236"/>
      <c r="ADZ165" s="236"/>
      <c r="AEA165" s="236"/>
      <c r="AEB165" s="236"/>
      <c r="AEC165" s="236"/>
      <c r="AED165" s="236"/>
      <c r="AEE165" s="236"/>
      <c r="AEF165" s="236"/>
      <c r="AEG165" s="236"/>
      <c r="AEH165" s="236"/>
      <c r="AEI165" s="236"/>
      <c r="AEJ165" s="236"/>
      <c r="AEK165" s="236"/>
      <c r="AEL165" s="236"/>
      <c r="AEM165" s="236"/>
      <c r="AEN165" s="236"/>
      <c r="AEO165" s="236"/>
      <c r="AEP165" s="236"/>
      <c r="AEQ165" s="236"/>
      <c r="AER165" s="236"/>
      <c r="AES165" s="236"/>
      <c r="AET165" s="236"/>
      <c r="AEU165" s="236"/>
      <c r="AEV165" s="236"/>
      <c r="AEW165" s="236"/>
      <c r="AEX165" s="236"/>
      <c r="AEY165" s="236"/>
      <c r="AEZ165" s="236"/>
      <c r="AFA165" s="236"/>
      <c r="AFB165" s="236"/>
      <c r="AFC165" s="236"/>
      <c r="AFD165" s="236"/>
      <c r="AFE165" s="236"/>
      <c r="AFF165" s="236"/>
      <c r="AFG165" s="236"/>
      <c r="AFH165" s="236"/>
      <c r="AFI165" s="236"/>
      <c r="AFJ165" s="236"/>
      <c r="AFK165" s="236"/>
      <c r="AFL165" s="236"/>
      <c r="AFM165" s="236"/>
      <c r="AFN165" s="236"/>
      <c r="AFO165" s="236"/>
      <c r="AFP165" s="236"/>
      <c r="AFQ165" s="236"/>
      <c r="AFR165" s="236"/>
      <c r="AFS165" s="236"/>
      <c r="AFT165" s="236"/>
      <c r="AFU165" s="236"/>
      <c r="AFV165" s="236"/>
      <c r="AFW165" s="236"/>
      <c r="AFX165" s="236"/>
      <c r="AFY165" s="236"/>
      <c r="AFZ165" s="236"/>
      <c r="AGA165" s="236"/>
      <c r="AGB165" s="236"/>
      <c r="AGC165" s="236"/>
      <c r="AGD165" s="236"/>
      <c r="AGE165" s="236"/>
      <c r="AGF165" s="236"/>
      <c r="AGG165" s="236"/>
      <c r="AGH165" s="236"/>
      <c r="AGI165" s="236"/>
      <c r="AGJ165" s="236"/>
      <c r="AGK165" s="236"/>
      <c r="AGL165" s="236"/>
      <c r="AGM165" s="236"/>
      <c r="AGN165" s="236"/>
      <c r="AGO165" s="236"/>
      <c r="AGP165" s="236"/>
      <c r="AGQ165" s="236"/>
      <c r="AGR165" s="236"/>
      <c r="AGS165" s="236"/>
      <c r="AGT165" s="236"/>
      <c r="AGU165" s="236"/>
      <c r="AGV165" s="236"/>
      <c r="AGW165" s="236"/>
      <c r="AGX165" s="236"/>
      <c r="AGY165" s="236"/>
      <c r="AGZ165" s="236"/>
      <c r="AHA165" s="236"/>
      <c r="AHB165" s="236"/>
      <c r="AHC165" s="236"/>
      <c r="AHD165" s="236"/>
      <c r="AHE165" s="236"/>
      <c r="AHF165" s="236"/>
      <c r="AHG165" s="236"/>
      <c r="AHH165" s="236"/>
      <c r="AHI165" s="236"/>
      <c r="AHJ165" s="236"/>
      <c r="AHK165" s="236"/>
      <c r="AHL165" s="236"/>
      <c r="AHM165" s="236"/>
      <c r="AHN165" s="236"/>
      <c r="AHO165" s="236"/>
      <c r="AHP165" s="236"/>
      <c r="AHQ165" s="236"/>
      <c r="AHR165" s="236"/>
      <c r="AHS165" s="236"/>
      <c r="AHT165" s="236"/>
      <c r="AHU165" s="236"/>
      <c r="AHV165" s="236"/>
      <c r="AHW165" s="236"/>
      <c r="AHX165" s="236"/>
      <c r="AHY165" s="236"/>
      <c r="AHZ165" s="236"/>
      <c r="AIA165" s="236"/>
      <c r="AIB165" s="236"/>
      <c r="AIC165" s="236"/>
      <c r="AID165" s="236"/>
      <c r="AIE165" s="236"/>
      <c r="AIF165" s="236"/>
      <c r="AIG165" s="236"/>
      <c r="AIH165" s="236"/>
      <c r="AII165" s="236"/>
      <c r="AIJ165" s="236"/>
      <c r="AIK165" s="236"/>
      <c r="AIL165" s="236"/>
      <c r="AIM165" s="236"/>
      <c r="AIN165" s="236"/>
      <c r="AIO165" s="236"/>
      <c r="AIP165" s="236"/>
      <c r="AIQ165" s="236"/>
      <c r="AIR165" s="236"/>
      <c r="AIS165" s="236"/>
      <c r="AIT165" s="236"/>
      <c r="AIU165" s="236"/>
      <c r="AIV165" s="236"/>
      <c r="AIW165" s="236"/>
      <c r="AIX165" s="236"/>
      <c r="AIY165" s="236"/>
      <c r="AIZ165" s="236"/>
      <c r="AJA165" s="236"/>
      <c r="AJB165" s="236"/>
      <c r="AJC165" s="236"/>
      <c r="AJD165" s="236"/>
      <c r="AJE165" s="236"/>
      <c r="AJF165" s="236"/>
      <c r="AJG165" s="236"/>
      <c r="AJH165" s="236"/>
      <c r="AJI165" s="236"/>
      <c r="AJJ165" s="236"/>
      <c r="AJK165" s="236"/>
      <c r="AJL165" s="236"/>
      <c r="AJM165" s="236"/>
      <c r="AJN165" s="236"/>
      <c r="AJO165" s="236"/>
      <c r="AJP165" s="236"/>
      <c r="AJQ165" s="236"/>
      <c r="AJR165" s="236"/>
      <c r="AJS165" s="236"/>
      <c r="AJT165" s="236"/>
      <c r="AJU165" s="236"/>
      <c r="AJV165" s="236"/>
      <c r="AJW165" s="236"/>
      <c r="AJX165" s="236"/>
      <c r="AJY165" s="236"/>
      <c r="AJZ165" s="236"/>
      <c r="AKA165" s="236"/>
      <c r="AKB165" s="236"/>
      <c r="AKC165" s="236"/>
      <c r="AKD165" s="236"/>
      <c r="AKE165" s="236"/>
      <c r="AKF165" s="236"/>
      <c r="AKG165" s="236"/>
      <c r="AKH165" s="236"/>
      <c r="AKI165" s="236"/>
      <c r="AKJ165" s="236"/>
      <c r="AKK165" s="236"/>
      <c r="AKL165" s="236"/>
      <c r="AKM165" s="236"/>
      <c r="AKN165" s="236"/>
      <c r="AKO165" s="236"/>
      <c r="AKP165" s="236"/>
      <c r="AKQ165" s="236"/>
      <c r="AKR165" s="236"/>
      <c r="AKS165" s="236"/>
      <c r="AKT165" s="236"/>
      <c r="AKU165" s="236"/>
      <c r="AKV165" s="236"/>
      <c r="AKW165" s="236"/>
      <c r="AKX165" s="236"/>
      <c r="AKY165" s="236"/>
      <c r="AKZ165" s="236"/>
      <c r="ALA165" s="236"/>
      <c r="ALB165" s="236"/>
      <c r="ALC165" s="236"/>
      <c r="ALD165" s="236"/>
      <c r="ALE165" s="236"/>
      <c r="ALF165" s="236"/>
      <c r="ALG165" s="236"/>
      <c r="ALH165" s="236"/>
      <c r="ALI165" s="236"/>
      <c r="ALJ165" s="236"/>
      <c r="ALK165" s="236"/>
      <c r="ALL165" s="236"/>
      <c r="ALM165" s="236"/>
      <c r="ALN165" s="236"/>
      <c r="ALO165" s="236"/>
      <c r="ALP165" s="236"/>
      <c r="ALQ165" s="236"/>
      <c r="ALR165" s="236"/>
      <c r="ALS165" s="236"/>
      <c r="ALT165" s="236"/>
      <c r="ALU165" s="236"/>
      <c r="ALV165" s="236"/>
      <c r="ALW165" s="236"/>
      <c r="ALX165" s="236"/>
      <c r="ALY165" s="236"/>
      <c r="ALZ165" s="236"/>
      <c r="AMA165" s="236"/>
      <c r="AMB165" s="236"/>
      <c r="AMC165" s="236"/>
      <c r="AMD165" s="236"/>
      <c r="AME165" s="236"/>
      <c r="AMF165" s="236"/>
      <c r="AMG165" s="236"/>
      <c r="AMH165" s="236"/>
      <c r="AMI165" s="236"/>
      <c r="AMJ165" s="236"/>
      <c r="AMK165" s="236"/>
      <c r="AML165" s="236"/>
      <c r="AMM165" s="236"/>
    </row>
    <row r="166" spans="1:1027" s="243" customFormat="1" ht="30" customHeight="1">
      <c r="A166" s="2622" t="s">
        <v>2733</v>
      </c>
      <c r="B166" s="2623"/>
      <c r="C166" s="2623"/>
      <c r="D166" s="2623"/>
      <c r="E166" s="2623"/>
      <c r="F166" s="2623"/>
      <c r="G166" s="2623"/>
      <c r="H166" s="2623"/>
      <c r="I166" s="2623"/>
      <c r="J166" s="2623"/>
      <c r="K166" s="2623"/>
      <c r="L166" s="2624"/>
      <c r="M166" s="285"/>
      <c r="N166" s="2488" t="s">
        <v>19</v>
      </c>
      <c r="O166" s="2489"/>
      <c r="P166" s="2489"/>
      <c r="Q166" s="2489"/>
      <c r="R166" s="2490"/>
      <c r="S166" s="57"/>
      <c r="T166" s="57"/>
      <c r="U166" s="57"/>
      <c r="V166" s="2488" t="s">
        <v>968</v>
      </c>
      <c r="W166" s="2489"/>
      <c r="X166" s="2489"/>
      <c r="Y166" s="2489"/>
      <c r="Z166" s="2490"/>
      <c r="AA166" s="1103"/>
      <c r="AB166" s="2491" t="s">
        <v>1833</v>
      </c>
      <c r="AC166" s="2492"/>
      <c r="AD166" s="1396"/>
      <c r="AE166" s="1397"/>
      <c r="AF166" s="1397"/>
      <c r="AG166" s="1397"/>
      <c r="AH166" s="1397"/>
      <c r="AI166" s="1397"/>
      <c r="AJ166" s="1397"/>
      <c r="AK166" s="1397"/>
      <c r="AL166" s="1397"/>
      <c r="AM166" s="1398"/>
      <c r="AN166" s="245"/>
      <c r="AO166" s="245"/>
      <c r="AP166" s="245"/>
      <c r="AQ166" s="245"/>
      <c r="AR166" s="245"/>
      <c r="AS166" s="245"/>
      <c r="AT166" s="245"/>
      <c r="AU166" s="245"/>
      <c r="AV166" s="245"/>
      <c r="AW166" s="245"/>
      <c r="AX166" s="245"/>
    </row>
    <row r="167" spans="1:1027" s="243" customFormat="1" ht="30" customHeight="1">
      <c r="A167" s="2625"/>
      <c r="B167" s="2626"/>
      <c r="C167" s="2626"/>
      <c r="D167" s="2626"/>
      <c r="E167" s="2626"/>
      <c r="F167" s="2626"/>
      <c r="G167" s="2626"/>
      <c r="H167" s="2626"/>
      <c r="I167" s="2626"/>
      <c r="J167" s="2626"/>
      <c r="K167" s="2626"/>
      <c r="L167" s="2627"/>
      <c r="M167" s="285"/>
      <c r="N167" s="2488" t="s">
        <v>15</v>
      </c>
      <c r="O167" s="2489"/>
      <c r="P167" s="2489"/>
      <c r="Q167" s="2489"/>
      <c r="R167" s="2490"/>
      <c r="S167" s="57"/>
      <c r="T167" s="57"/>
      <c r="U167" s="57"/>
      <c r="V167" s="2488" t="s">
        <v>847</v>
      </c>
      <c r="W167" s="2489"/>
      <c r="X167" s="2489"/>
      <c r="Y167" s="2489"/>
      <c r="Z167" s="2490"/>
      <c r="AA167" s="1103"/>
      <c r="AB167" s="2491" t="s">
        <v>220</v>
      </c>
      <c r="AC167" s="2492"/>
      <c r="AD167" s="1396"/>
      <c r="AE167" s="1397"/>
      <c r="AF167" s="1397"/>
      <c r="AG167" s="1397"/>
      <c r="AH167" s="1397"/>
      <c r="AI167" s="1397"/>
      <c r="AJ167" s="1397"/>
      <c r="AK167" s="1397"/>
      <c r="AL167" s="1397"/>
      <c r="AM167" s="1398"/>
      <c r="AN167" s="245"/>
      <c r="AO167" s="245"/>
      <c r="AP167" s="245"/>
      <c r="AQ167" s="245"/>
      <c r="AR167" s="245"/>
      <c r="AS167" s="245"/>
      <c r="AT167" s="245"/>
      <c r="AU167" s="245"/>
      <c r="AV167" s="245"/>
      <c r="AW167" s="245"/>
      <c r="AX167" s="245"/>
    </row>
    <row r="168" spans="1:1027" s="243" customFormat="1" ht="20.25" customHeight="1">
      <c r="A168" s="2628"/>
      <c r="B168" s="2629"/>
      <c r="C168" s="2629"/>
      <c r="D168" s="2629"/>
      <c r="E168" s="2629"/>
      <c r="F168" s="2629"/>
      <c r="G168" s="2629"/>
      <c r="H168" s="2629"/>
      <c r="I168" s="2629"/>
      <c r="J168" s="2629"/>
      <c r="K168" s="2629"/>
      <c r="L168" s="2630"/>
      <c r="M168" s="285"/>
      <c r="N168" s="2488" t="s">
        <v>99</v>
      </c>
      <c r="O168" s="2489"/>
      <c r="P168" s="2489"/>
      <c r="Q168" s="2489"/>
      <c r="R168" s="2490"/>
      <c r="S168" s="57"/>
      <c r="T168" s="57"/>
      <c r="U168" s="57"/>
      <c r="V168" s="2488" t="s">
        <v>281</v>
      </c>
      <c r="W168" s="2489"/>
      <c r="X168" s="2489"/>
      <c r="Y168" s="2489"/>
      <c r="Z168" s="2490"/>
      <c r="AA168" s="1103"/>
      <c r="AB168" s="2491" t="s">
        <v>154</v>
      </c>
      <c r="AC168" s="2492"/>
      <c r="AD168" s="1396"/>
      <c r="AE168" s="1397"/>
      <c r="AF168" s="1397"/>
      <c r="AG168" s="1397"/>
      <c r="AH168" s="1397"/>
      <c r="AI168" s="1397"/>
      <c r="AJ168" s="1397"/>
      <c r="AK168" s="1397"/>
      <c r="AL168" s="1397"/>
      <c r="AM168" s="1398"/>
      <c r="AN168" s="245"/>
      <c r="AO168" s="245"/>
      <c r="AP168" s="245"/>
      <c r="AQ168" s="245"/>
      <c r="AR168" s="245"/>
      <c r="AS168" s="245"/>
      <c r="AT168" s="245"/>
      <c r="AU168" s="245"/>
      <c r="AV168" s="245"/>
      <c r="AW168" s="245"/>
      <c r="AX168" s="245"/>
    </row>
    <row r="169" spans="1:1027" s="243" customFormat="1" ht="107.25" customHeight="1">
      <c r="A169" s="2619" t="s">
        <v>2734</v>
      </c>
      <c r="B169" s="2620"/>
      <c r="C169" s="2620"/>
      <c r="D169" s="2620"/>
      <c r="E169" s="2620"/>
      <c r="F169" s="2620"/>
      <c r="G169" s="2620"/>
      <c r="H169" s="2620"/>
      <c r="I169" s="2620"/>
      <c r="J169" s="2620"/>
      <c r="K169" s="2620"/>
      <c r="L169" s="2621"/>
      <c r="M169" s="285"/>
      <c r="N169" s="1403"/>
      <c r="O169" s="1403"/>
      <c r="P169" s="1403"/>
      <c r="Q169" s="1403"/>
      <c r="R169" s="1403"/>
      <c r="S169" s="288"/>
      <c r="T169" s="288"/>
      <c r="U169" s="288"/>
      <c r="V169" s="1403"/>
      <c r="W169" s="1403"/>
      <c r="X169" s="1403"/>
      <c r="Y169" s="1403"/>
      <c r="Z169" s="1403"/>
      <c r="AA169" s="1064"/>
      <c r="AB169" s="611"/>
      <c r="AC169" s="611"/>
      <c r="AD169" s="288"/>
      <c r="AE169" s="288"/>
      <c r="AF169" s="288"/>
      <c r="AG169" s="288"/>
      <c r="AH169" s="288"/>
      <c r="AI169" s="288"/>
      <c r="AJ169" s="288"/>
      <c r="AK169" s="288"/>
      <c r="AL169" s="288"/>
      <c r="AM169" s="288"/>
      <c r="AN169" s="245"/>
      <c r="AO169" s="245"/>
      <c r="AP169" s="245"/>
      <c r="AQ169" s="245"/>
      <c r="AR169" s="245"/>
      <c r="AS169" s="245"/>
      <c r="AT169" s="245"/>
      <c r="AU169" s="245"/>
      <c r="AV169" s="245"/>
      <c r="AW169" s="245"/>
      <c r="AX169" s="245"/>
    </row>
    <row r="170" spans="1:1027">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row>
    <row r="171" spans="1:1027">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c r="AL171" s="233"/>
      <c r="AM171" s="233"/>
    </row>
  </sheetData>
  <sheetProtection formatCells="0" formatColumns="0" formatRows="0" insertRows="0" deleteColumns="0" sort="0" autoFilter="0"/>
  <mergeCells count="969">
    <mergeCell ref="AA13:AA15"/>
    <mergeCell ref="AA16:AA19"/>
    <mergeCell ref="AA20:AA23"/>
    <mergeCell ref="AA24:AA26"/>
    <mergeCell ref="AA28:AA29"/>
    <mergeCell ref="AA30:AA32"/>
    <mergeCell ref="AA33:AA40"/>
    <mergeCell ref="AA41:AA44"/>
    <mergeCell ref="AA56:AA60"/>
    <mergeCell ref="AA51:AA55"/>
    <mergeCell ref="AA45:AA50"/>
    <mergeCell ref="AW1:AX4"/>
    <mergeCell ref="G2:V2"/>
    <mergeCell ref="AP2:AQ2"/>
    <mergeCell ref="AR2:AS2"/>
    <mergeCell ref="A3:A4"/>
    <mergeCell ref="G3:H3"/>
    <mergeCell ref="I3:N3"/>
    <mergeCell ref="O3:V3"/>
    <mergeCell ref="Z3:AB4"/>
    <mergeCell ref="AC3:AC4"/>
    <mergeCell ref="G1:V1"/>
    <mergeCell ref="X1:Y4"/>
    <mergeCell ref="Z1:AB2"/>
    <mergeCell ref="AC1:AC2"/>
    <mergeCell ref="AD1:AN2"/>
    <mergeCell ref="AP1:AS1"/>
    <mergeCell ref="AD3:AN4"/>
    <mergeCell ref="AP3:AQ3"/>
    <mergeCell ref="AR3:AS3"/>
    <mergeCell ref="G4:H4"/>
    <mergeCell ref="I4:N4"/>
    <mergeCell ref="O4:V4"/>
    <mergeCell ref="AP4:AQ4"/>
    <mergeCell ref="AR4:AS4"/>
    <mergeCell ref="AT6:AX6"/>
    <mergeCell ref="A7:A8"/>
    <mergeCell ref="B7:B8"/>
    <mergeCell ref="C7:E8"/>
    <mergeCell ref="F7:F8"/>
    <mergeCell ref="G7:I8"/>
    <mergeCell ref="J7:L8"/>
    <mergeCell ref="M7:P7"/>
    <mergeCell ref="Q7:V7"/>
    <mergeCell ref="X7:Z8"/>
    <mergeCell ref="AU7:AU8"/>
    <mergeCell ref="AV7:AV8"/>
    <mergeCell ref="AW7:AW8"/>
    <mergeCell ref="AX7:AX8"/>
    <mergeCell ref="A6:P6"/>
    <mergeCell ref="Q6:V6"/>
    <mergeCell ref="X6:AM6"/>
    <mergeCell ref="AA7:AA8"/>
    <mergeCell ref="BB7:BB8"/>
    <mergeCell ref="AO7:AO8"/>
    <mergeCell ref="AP7:AP8"/>
    <mergeCell ref="AQ7:AQ8"/>
    <mergeCell ref="AR7:AR8"/>
    <mergeCell ref="AS7:AS8"/>
    <mergeCell ref="AT7:AT8"/>
    <mergeCell ref="AI9:AI12"/>
    <mergeCell ref="AK9:AK12"/>
    <mergeCell ref="AY9:BA12"/>
    <mergeCell ref="BB9:BB12"/>
    <mergeCell ref="AW9:AW12"/>
    <mergeCell ref="AX9:AX12"/>
    <mergeCell ref="AI7:AM7"/>
    <mergeCell ref="AN7:AN8"/>
    <mergeCell ref="AO9:AO12"/>
    <mergeCell ref="AP9:AP12"/>
    <mergeCell ref="AQ9:AQ12"/>
    <mergeCell ref="AR9:AR12"/>
    <mergeCell ref="A9:A12"/>
    <mergeCell ref="B9:B12"/>
    <mergeCell ref="C9:E12"/>
    <mergeCell ref="F9:F12"/>
    <mergeCell ref="G9:I9"/>
    <mergeCell ref="J9:L12"/>
    <mergeCell ref="G10:I10"/>
    <mergeCell ref="AY7:BA8"/>
    <mergeCell ref="AB7:AB8"/>
    <mergeCell ref="AC7:AC8"/>
    <mergeCell ref="AD7:AD8"/>
    <mergeCell ref="AE7:AE8"/>
    <mergeCell ref="X10:Z10"/>
    <mergeCell ref="G11:I11"/>
    <mergeCell ref="X11:Z11"/>
    <mergeCell ref="G12:I12"/>
    <mergeCell ref="X12:Z12"/>
    <mergeCell ref="AS9:AS12"/>
    <mergeCell ref="AT9:AT12"/>
    <mergeCell ref="AU9:AU12"/>
    <mergeCell ref="AV9:AV12"/>
    <mergeCell ref="AM9:AM12"/>
    <mergeCell ref="AN9:AN12"/>
    <mergeCell ref="V9:V12"/>
    <mergeCell ref="X9:Z9"/>
    <mergeCell ref="AD9:AD12"/>
    <mergeCell ref="AE9:AE12"/>
    <mergeCell ref="M9:M12"/>
    <mergeCell ref="N9:N12"/>
    <mergeCell ref="O9:O12"/>
    <mergeCell ref="P9:P12"/>
    <mergeCell ref="Q9:Q12"/>
    <mergeCell ref="R9:R12"/>
    <mergeCell ref="AA9:AA12"/>
    <mergeCell ref="M13:M15"/>
    <mergeCell ref="N13:N15"/>
    <mergeCell ref="O13:O15"/>
    <mergeCell ref="P13:P15"/>
    <mergeCell ref="Q13:Q15"/>
    <mergeCell ref="R13:R15"/>
    <mergeCell ref="A13:A15"/>
    <mergeCell ref="B13:B15"/>
    <mergeCell ref="C13:E15"/>
    <mergeCell ref="F13:F15"/>
    <mergeCell ref="G13:I13"/>
    <mergeCell ref="J13:L15"/>
    <mergeCell ref="AY13:BA15"/>
    <mergeCell ref="BB13:BB15"/>
    <mergeCell ref="G14:I14"/>
    <mergeCell ref="X14:Z14"/>
    <mergeCell ref="G15:I15"/>
    <mergeCell ref="X15:Z15"/>
    <mergeCell ref="AS13:AS15"/>
    <mergeCell ref="AT13:AT15"/>
    <mergeCell ref="AU13:AU15"/>
    <mergeCell ref="AV13:AV15"/>
    <mergeCell ref="AW13:AW15"/>
    <mergeCell ref="AX13:AX15"/>
    <mergeCell ref="AM13:AM15"/>
    <mergeCell ref="AN13:AN15"/>
    <mergeCell ref="AO13:AO15"/>
    <mergeCell ref="AP13:AP15"/>
    <mergeCell ref="AQ13:AQ15"/>
    <mergeCell ref="AR13:AR15"/>
    <mergeCell ref="V13:V15"/>
    <mergeCell ref="X13:Z13"/>
    <mergeCell ref="AD13:AD15"/>
    <mergeCell ref="AE13:AE15"/>
    <mergeCell ref="AI13:AI15"/>
    <mergeCell ref="AK13:AK15"/>
    <mergeCell ref="AI16:AI19"/>
    <mergeCell ref="AK16:AK19"/>
    <mergeCell ref="M16:M19"/>
    <mergeCell ref="N16:N19"/>
    <mergeCell ref="O16:O19"/>
    <mergeCell ref="P16:P19"/>
    <mergeCell ref="Q16:Q19"/>
    <mergeCell ref="R16:R19"/>
    <mergeCell ref="A16:A19"/>
    <mergeCell ref="B16:B19"/>
    <mergeCell ref="C16:E19"/>
    <mergeCell ref="F16:F19"/>
    <mergeCell ref="G16:I16"/>
    <mergeCell ref="J16:L19"/>
    <mergeCell ref="AY16:BA19"/>
    <mergeCell ref="BB16:BB19"/>
    <mergeCell ref="G17:I17"/>
    <mergeCell ref="X17:Z17"/>
    <mergeCell ref="G18:I18"/>
    <mergeCell ref="X18:Z18"/>
    <mergeCell ref="G19:I19"/>
    <mergeCell ref="X19:Z19"/>
    <mergeCell ref="AS16:AS19"/>
    <mergeCell ref="AT16:AT19"/>
    <mergeCell ref="AU16:AU19"/>
    <mergeCell ref="AV16:AV19"/>
    <mergeCell ref="AW16:AW19"/>
    <mergeCell ref="AX16:AX19"/>
    <mergeCell ref="AM16:AM19"/>
    <mergeCell ref="AN16:AN19"/>
    <mergeCell ref="AO16:AO19"/>
    <mergeCell ref="AP16:AP19"/>
    <mergeCell ref="AQ16:AQ19"/>
    <mergeCell ref="AR16:AR19"/>
    <mergeCell ref="V16:V19"/>
    <mergeCell ref="X16:Z16"/>
    <mergeCell ref="AD16:AD19"/>
    <mergeCell ref="AE16:AE19"/>
    <mergeCell ref="AI20:AI23"/>
    <mergeCell ref="AK20:AK23"/>
    <mergeCell ref="M20:M23"/>
    <mergeCell ref="N20:N23"/>
    <mergeCell ref="O20:O23"/>
    <mergeCell ref="P20:P23"/>
    <mergeCell ref="Q20:Q23"/>
    <mergeCell ref="R20:R23"/>
    <mergeCell ref="A20:A23"/>
    <mergeCell ref="B20:B23"/>
    <mergeCell ref="C20:E23"/>
    <mergeCell ref="F20:F23"/>
    <mergeCell ref="G20:I20"/>
    <mergeCell ref="J20:L23"/>
    <mergeCell ref="AY20:BA23"/>
    <mergeCell ref="BB20:BB23"/>
    <mergeCell ref="G21:I21"/>
    <mergeCell ref="X21:Z21"/>
    <mergeCell ref="G22:I22"/>
    <mergeCell ref="X22:Z22"/>
    <mergeCell ref="G23:I23"/>
    <mergeCell ref="X23:Z23"/>
    <mergeCell ref="AS20:AS23"/>
    <mergeCell ref="AT20:AT23"/>
    <mergeCell ref="AU20:AU23"/>
    <mergeCell ref="AV20:AV23"/>
    <mergeCell ref="AW20:AW23"/>
    <mergeCell ref="AX20:AX23"/>
    <mergeCell ref="AM20:AM23"/>
    <mergeCell ref="AN20:AN23"/>
    <mergeCell ref="AO20:AO23"/>
    <mergeCell ref="AP20:AP23"/>
    <mergeCell ref="AQ20:AQ23"/>
    <mergeCell ref="AR20:AR23"/>
    <mergeCell ref="V20:V23"/>
    <mergeCell ref="X20:Z20"/>
    <mergeCell ref="AD20:AD23"/>
    <mergeCell ref="AE20:AE23"/>
    <mergeCell ref="M24:M26"/>
    <mergeCell ref="N24:N26"/>
    <mergeCell ref="O24:O26"/>
    <mergeCell ref="P24:P26"/>
    <mergeCell ref="Q24:Q26"/>
    <mergeCell ref="R24:R26"/>
    <mergeCell ref="A24:A26"/>
    <mergeCell ref="B24:B26"/>
    <mergeCell ref="C24:E26"/>
    <mergeCell ref="F24:F26"/>
    <mergeCell ref="G24:I24"/>
    <mergeCell ref="J24:L26"/>
    <mergeCell ref="AY24:BA26"/>
    <mergeCell ref="BB24:BB26"/>
    <mergeCell ref="G25:I25"/>
    <mergeCell ref="X25:Z25"/>
    <mergeCell ref="G26:I26"/>
    <mergeCell ref="X26:Z26"/>
    <mergeCell ref="AS24:AS26"/>
    <mergeCell ref="AT24:AT26"/>
    <mergeCell ref="AU24:AU26"/>
    <mergeCell ref="AV24:AV26"/>
    <mergeCell ref="AW24:AW26"/>
    <mergeCell ref="AX24:AX26"/>
    <mergeCell ref="AM24:AM26"/>
    <mergeCell ref="AN24:AN26"/>
    <mergeCell ref="AO24:AO26"/>
    <mergeCell ref="AP24:AP26"/>
    <mergeCell ref="AQ24:AQ26"/>
    <mergeCell ref="AR24:AR26"/>
    <mergeCell ref="V24:V26"/>
    <mergeCell ref="X24:Z24"/>
    <mergeCell ref="AD24:AD26"/>
    <mergeCell ref="AE24:AE26"/>
    <mergeCell ref="AI24:AI26"/>
    <mergeCell ref="AK24:AK26"/>
    <mergeCell ref="C27:E27"/>
    <mergeCell ref="G27:I27"/>
    <mergeCell ref="J27:L27"/>
    <mergeCell ref="X27:Z27"/>
    <mergeCell ref="AY27:BA27"/>
    <mergeCell ref="A28:A29"/>
    <mergeCell ref="B28:B29"/>
    <mergeCell ref="C28:E29"/>
    <mergeCell ref="F28:F29"/>
    <mergeCell ref="G28:I28"/>
    <mergeCell ref="G29:I29"/>
    <mergeCell ref="X29:Z29"/>
    <mergeCell ref="A30:A32"/>
    <mergeCell ref="B30:B32"/>
    <mergeCell ref="C30:E32"/>
    <mergeCell ref="F30:F32"/>
    <mergeCell ref="G30:I30"/>
    <mergeCell ref="AR28:AR29"/>
    <mergeCell ref="AS28:AS29"/>
    <mergeCell ref="AK28:AK29"/>
    <mergeCell ref="AM28:AM29"/>
    <mergeCell ref="AN28:AN29"/>
    <mergeCell ref="AO28:AO29"/>
    <mergeCell ref="AP28:AP29"/>
    <mergeCell ref="AQ28:AQ29"/>
    <mergeCell ref="R28:R29"/>
    <mergeCell ref="V28:V29"/>
    <mergeCell ref="X28:Z28"/>
    <mergeCell ref="AD28:AD29"/>
    <mergeCell ref="J28:L29"/>
    <mergeCell ref="M28:M29"/>
    <mergeCell ref="N28:N29"/>
    <mergeCell ref="O28:O29"/>
    <mergeCell ref="P28:P29"/>
    <mergeCell ref="Q28:Q29"/>
    <mergeCell ref="G31:I31"/>
    <mergeCell ref="AX30:AX32"/>
    <mergeCell ref="AY30:BA32"/>
    <mergeCell ref="BB28:BB29"/>
    <mergeCell ref="AT28:AT29"/>
    <mergeCell ref="AU28:AU29"/>
    <mergeCell ref="AV28:AV29"/>
    <mergeCell ref="AW28:AW29"/>
    <mergeCell ref="M30:M32"/>
    <mergeCell ref="N30:N32"/>
    <mergeCell ref="O30:O32"/>
    <mergeCell ref="P30:P32"/>
    <mergeCell ref="Q30:Q32"/>
    <mergeCell ref="AX28:AX29"/>
    <mergeCell ref="AY28:BA29"/>
    <mergeCell ref="AE28:AE29"/>
    <mergeCell ref="AI28:AI29"/>
    <mergeCell ref="BB30:BB32"/>
    <mergeCell ref="X31:Z31"/>
    <mergeCell ref="G32:I32"/>
    <mergeCell ref="X32:Z32"/>
    <mergeCell ref="AR30:AR32"/>
    <mergeCell ref="AS30:AS32"/>
    <mergeCell ref="AT30:AT32"/>
    <mergeCell ref="AU30:AU32"/>
    <mergeCell ref="AV30:AV32"/>
    <mergeCell ref="AW30:AW32"/>
    <mergeCell ref="AK30:AK32"/>
    <mergeCell ref="AM30:AM32"/>
    <mergeCell ref="AN30:AN32"/>
    <mergeCell ref="AO30:AO32"/>
    <mergeCell ref="AP30:AP32"/>
    <mergeCell ref="AQ30:AQ32"/>
    <mergeCell ref="R30:R32"/>
    <mergeCell ref="V30:V32"/>
    <mergeCell ref="X30:Z30"/>
    <mergeCell ref="AD30:AD32"/>
    <mergeCell ref="AE30:AE32"/>
    <mergeCell ref="AI30:AI32"/>
    <mergeCell ref="J30:L32"/>
    <mergeCell ref="A33:A40"/>
    <mergeCell ref="B33:B40"/>
    <mergeCell ref="C33:E40"/>
    <mergeCell ref="F33:F40"/>
    <mergeCell ref="G33:I33"/>
    <mergeCell ref="J33:L40"/>
    <mergeCell ref="G38:I38"/>
    <mergeCell ref="G39:I39"/>
    <mergeCell ref="G40:I40"/>
    <mergeCell ref="AC33:AC40"/>
    <mergeCell ref="AD33:AD40"/>
    <mergeCell ref="AE33:AE40"/>
    <mergeCell ref="AI33:AI40"/>
    <mergeCell ref="X37:Z37"/>
    <mergeCell ref="X38:Z38"/>
    <mergeCell ref="X39:Z39"/>
    <mergeCell ref="X40:Z40"/>
    <mergeCell ref="M33:M40"/>
    <mergeCell ref="N33:N40"/>
    <mergeCell ref="O33:O40"/>
    <mergeCell ref="P33:P40"/>
    <mergeCell ref="Q33:Q40"/>
    <mergeCell ref="R33:R40"/>
    <mergeCell ref="AX33:AX40"/>
    <mergeCell ref="AY33:BA40"/>
    <mergeCell ref="BB33:BB40"/>
    <mergeCell ref="G34:I34"/>
    <mergeCell ref="X34:Z34"/>
    <mergeCell ref="G35:I35"/>
    <mergeCell ref="X35:Z35"/>
    <mergeCell ref="G36:I36"/>
    <mergeCell ref="X36:Z36"/>
    <mergeCell ref="G37:I37"/>
    <mergeCell ref="AR33:AR40"/>
    <mergeCell ref="AS33:AS40"/>
    <mergeCell ref="AT33:AT40"/>
    <mergeCell ref="AU33:AU40"/>
    <mergeCell ref="AV33:AV40"/>
    <mergeCell ref="AW33:AW40"/>
    <mergeCell ref="AK33:AK40"/>
    <mergeCell ref="AM33:AM40"/>
    <mergeCell ref="AN33:AN40"/>
    <mergeCell ref="AO33:AO40"/>
    <mergeCell ref="AP33:AP40"/>
    <mergeCell ref="AQ33:AQ40"/>
    <mergeCell ref="V33:V40"/>
    <mergeCell ref="X33:Z33"/>
    <mergeCell ref="AY41:BA44"/>
    <mergeCell ref="BB41:BB44"/>
    <mergeCell ref="G42:I42"/>
    <mergeCell ref="X42:Z42"/>
    <mergeCell ref="G43:I43"/>
    <mergeCell ref="X43:Z43"/>
    <mergeCell ref="G44:I44"/>
    <mergeCell ref="X44:Z44"/>
    <mergeCell ref="AR41:AR44"/>
    <mergeCell ref="AS41:AS44"/>
    <mergeCell ref="AT41:AT44"/>
    <mergeCell ref="AU41:AU44"/>
    <mergeCell ref="AV41:AV44"/>
    <mergeCell ref="AW41:AW44"/>
    <mergeCell ref="AK41:AK44"/>
    <mergeCell ref="AM41:AM44"/>
    <mergeCell ref="AN41:AN44"/>
    <mergeCell ref="AO41:AO44"/>
    <mergeCell ref="AP41:AP44"/>
    <mergeCell ref="AQ41:AQ44"/>
    <mergeCell ref="V41:V44"/>
    <mergeCell ref="X41:Z41"/>
    <mergeCell ref="AC41:AC44"/>
    <mergeCell ref="AD41:AD44"/>
    <mergeCell ref="A45:A50"/>
    <mergeCell ref="B45:B50"/>
    <mergeCell ref="C45:E50"/>
    <mergeCell ref="F45:F50"/>
    <mergeCell ref="G45:I45"/>
    <mergeCell ref="J45:L50"/>
    <mergeCell ref="G49:I49"/>
    <mergeCell ref="G50:I50"/>
    <mergeCell ref="AX41:AX44"/>
    <mergeCell ref="AE41:AE44"/>
    <mergeCell ref="AI41:AI44"/>
    <mergeCell ref="M41:M44"/>
    <mergeCell ref="N41:N44"/>
    <mergeCell ref="O41:O44"/>
    <mergeCell ref="P41:P44"/>
    <mergeCell ref="Q41:Q44"/>
    <mergeCell ref="R41:R44"/>
    <mergeCell ref="A41:A44"/>
    <mergeCell ref="B41:B44"/>
    <mergeCell ref="C41:E44"/>
    <mergeCell ref="F41:F44"/>
    <mergeCell ref="G41:I41"/>
    <mergeCell ref="J41:L44"/>
    <mergeCell ref="AB45:AB50"/>
    <mergeCell ref="AC45:AC50"/>
    <mergeCell ref="AD45:AD50"/>
    <mergeCell ref="AE45:AE50"/>
    <mergeCell ref="X49:Z49"/>
    <mergeCell ref="X50:Z50"/>
    <mergeCell ref="M45:M50"/>
    <mergeCell ref="N45:N50"/>
    <mergeCell ref="O45:O50"/>
    <mergeCell ref="P45:P50"/>
    <mergeCell ref="Q45:Q50"/>
    <mergeCell ref="R45:R50"/>
    <mergeCell ref="AW45:AW50"/>
    <mergeCell ref="AX45:AX50"/>
    <mergeCell ref="AY45:BA50"/>
    <mergeCell ref="BB45:BB50"/>
    <mergeCell ref="G46:I46"/>
    <mergeCell ref="X46:Z46"/>
    <mergeCell ref="G47:I47"/>
    <mergeCell ref="X47:Z47"/>
    <mergeCell ref="G48:I48"/>
    <mergeCell ref="X48:Z48"/>
    <mergeCell ref="AQ45:AQ50"/>
    <mergeCell ref="AR45:AR50"/>
    <mergeCell ref="AS45:AS50"/>
    <mergeCell ref="AT45:AT50"/>
    <mergeCell ref="AU45:AU50"/>
    <mergeCell ref="AV45:AV50"/>
    <mergeCell ref="AI45:AI50"/>
    <mergeCell ref="AK45:AK50"/>
    <mergeCell ref="AM45:AM50"/>
    <mergeCell ref="AN45:AN50"/>
    <mergeCell ref="AO45:AO50"/>
    <mergeCell ref="AP45:AP50"/>
    <mergeCell ref="V45:V50"/>
    <mergeCell ref="X45:Z45"/>
    <mergeCell ref="M51:M55"/>
    <mergeCell ref="N51:N55"/>
    <mergeCell ref="O51:O55"/>
    <mergeCell ref="P51:P55"/>
    <mergeCell ref="Q51:Q55"/>
    <mergeCell ref="R51:R55"/>
    <mergeCell ref="A51:A55"/>
    <mergeCell ref="B51:B55"/>
    <mergeCell ref="C51:E55"/>
    <mergeCell ref="F51:F55"/>
    <mergeCell ref="G51:I51"/>
    <mergeCell ref="J51:L55"/>
    <mergeCell ref="AN51:AN55"/>
    <mergeCell ref="AO51:AO55"/>
    <mergeCell ref="AP51:AP55"/>
    <mergeCell ref="AQ51:AQ55"/>
    <mergeCell ref="V51:V55"/>
    <mergeCell ref="X51:Z51"/>
    <mergeCell ref="AC51:AC55"/>
    <mergeCell ref="AD51:AD55"/>
    <mergeCell ref="AE51:AE55"/>
    <mergeCell ref="AI51:AI55"/>
    <mergeCell ref="X55:Z55"/>
    <mergeCell ref="A56:A60"/>
    <mergeCell ref="B56:B60"/>
    <mergeCell ref="C56:E60"/>
    <mergeCell ref="F56:F60"/>
    <mergeCell ref="G56:I56"/>
    <mergeCell ref="J56:L60"/>
    <mergeCell ref="AX51:AX55"/>
    <mergeCell ref="AY51:BA55"/>
    <mergeCell ref="BB51:BB55"/>
    <mergeCell ref="G52:I52"/>
    <mergeCell ref="X52:Z52"/>
    <mergeCell ref="G53:I53"/>
    <mergeCell ref="X53:Z53"/>
    <mergeCell ref="G54:I54"/>
    <mergeCell ref="X54:Z54"/>
    <mergeCell ref="G55:I55"/>
    <mergeCell ref="AR51:AR55"/>
    <mergeCell ref="AS51:AS55"/>
    <mergeCell ref="AT51:AT55"/>
    <mergeCell ref="AU51:AU55"/>
    <mergeCell ref="AV51:AV55"/>
    <mergeCell ref="AW51:AW55"/>
    <mergeCell ref="AK51:AK55"/>
    <mergeCell ref="AM51:AM55"/>
    <mergeCell ref="BB56:BB60"/>
    <mergeCell ref="G57:I57"/>
    <mergeCell ref="X57:Z57"/>
    <mergeCell ref="G58:I58"/>
    <mergeCell ref="X58:Z58"/>
    <mergeCell ref="G59:I59"/>
    <mergeCell ref="X59:Z59"/>
    <mergeCell ref="G60:I60"/>
    <mergeCell ref="X60:Z60"/>
    <mergeCell ref="AS56:AS60"/>
    <mergeCell ref="AT56:AT60"/>
    <mergeCell ref="AU56:AU60"/>
    <mergeCell ref="AV56:AV60"/>
    <mergeCell ref="AW56:AW60"/>
    <mergeCell ref="AX56:AX60"/>
    <mergeCell ref="AM56:AM60"/>
    <mergeCell ref="AN56:AN60"/>
    <mergeCell ref="AO56:AO60"/>
    <mergeCell ref="AP56:AP60"/>
    <mergeCell ref="AQ56:AQ60"/>
    <mergeCell ref="AR56:AR60"/>
    <mergeCell ref="V56:V60"/>
    <mergeCell ref="X56:Z56"/>
    <mergeCell ref="AD56:AD60"/>
    <mergeCell ref="C61:E61"/>
    <mergeCell ref="G61:I61"/>
    <mergeCell ref="J61:L61"/>
    <mergeCell ref="X61:Z61"/>
    <mergeCell ref="C62:E62"/>
    <mergeCell ref="G62:I62"/>
    <mergeCell ref="J62:L62"/>
    <mergeCell ref="X62:Z62"/>
    <mergeCell ref="AY56:BA60"/>
    <mergeCell ref="AE56:AE60"/>
    <mergeCell ref="AI56:AI60"/>
    <mergeCell ref="AK56:AK60"/>
    <mergeCell ref="M56:M60"/>
    <mergeCell ref="N56:N60"/>
    <mergeCell ref="O56:O60"/>
    <mergeCell ref="P56:P60"/>
    <mergeCell ref="Q56:Q60"/>
    <mergeCell ref="R56:R60"/>
    <mergeCell ref="C65:E65"/>
    <mergeCell ref="G65:I65"/>
    <mergeCell ref="J65:L65"/>
    <mergeCell ref="X65:Z65"/>
    <mergeCell ref="C66:E66"/>
    <mergeCell ref="G66:I66"/>
    <mergeCell ref="J66:L66"/>
    <mergeCell ref="X66:Z66"/>
    <mergeCell ref="C63:E63"/>
    <mergeCell ref="G63:I63"/>
    <mergeCell ref="J63:L63"/>
    <mergeCell ref="X63:Z63"/>
    <mergeCell ref="C64:E64"/>
    <mergeCell ref="G64:I64"/>
    <mergeCell ref="J64:L64"/>
    <mergeCell ref="X64:Z64"/>
    <mergeCell ref="C69:E69"/>
    <mergeCell ref="G69:I69"/>
    <mergeCell ref="J69:L69"/>
    <mergeCell ref="X69:Z69"/>
    <mergeCell ref="C70:E70"/>
    <mergeCell ref="G70:I70"/>
    <mergeCell ref="J70:L70"/>
    <mergeCell ref="X70:Z70"/>
    <mergeCell ref="C67:E67"/>
    <mergeCell ref="G67:I67"/>
    <mergeCell ref="J67:L67"/>
    <mergeCell ref="X67:Z67"/>
    <mergeCell ref="C68:E68"/>
    <mergeCell ref="G68:I68"/>
    <mergeCell ref="J68:L68"/>
    <mergeCell ref="X68:Z68"/>
    <mergeCell ref="C73:E73"/>
    <mergeCell ref="G73:I73"/>
    <mergeCell ref="J73:L73"/>
    <mergeCell ref="X73:Z73"/>
    <mergeCell ref="C74:E74"/>
    <mergeCell ref="G74:I74"/>
    <mergeCell ref="J74:L74"/>
    <mergeCell ref="X74:Z74"/>
    <mergeCell ref="C71:E71"/>
    <mergeCell ref="G71:I71"/>
    <mergeCell ref="J71:L71"/>
    <mergeCell ref="X71:Z71"/>
    <mergeCell ref="C72:E72"/>
    <mergeCell ref="G72:I72"/>
    <mergeCell ref="J72:L72"/>
    <mergeCell ref="X72:Z72"/>
    <mergeCell ref="C77:E77"/>
    <mergeCell ref="G77:I77"/>
    <mergeCell ref="J77:L77"/>
    <mergeCell ref="X77:Z77"/>
    <mergeCell ref="C78:E78"/>
    <mergeCell ref="G78:I78"/>
    <mergeCell ref="J78:L78"/>
    <mergeCell ref="X78:Z78"/>
    <mergeCell ref="C75:E75"/>
    <mergeCell ref="G75:I75"/>
    <mergeCell ref="J75:L75"/>
    <mergeCell ref="X75:Z75"/>
    <mergeCell ref="C76:E76"/>
    <mergeCell ref="G76:I76"/>
    <mergeCell ref="J76:L76"/>
    <mergeCell ref="X76:Z76"/>
    <mergeCell ref="C81:E81"/>
    <mergeCell ref="G81:I81"/>
    <mergeCell ref="J81:L81"/>
    <mergeCell ref="X81:Z81"/>
    <mergeCell ref="C82:E82"/>
    <mergeCell ref="G82:I82"/>
    <mergeCell ref="J82:L82"/>
    <mergeCell ref="X82:Z82"/>
    <mergeCell ref="C79:E79"/>
    <mergeCell ref="G79:I79"/>
    <mergeCell ref="J79:L79"/>
    <mergeCell ref="X79:Z79"/>
    <mergeCell ref="C80:E80"/>
    <mergeCell ref="G80:I80"/>
    <mergeCell ref="J80:L80"/>
    <mergeCell ref="X80:Z80"/>
    <mergeCell ref="C85:E85"/>
    <mergeCell ref="G85:I85"/>
    <mergeCell ref="J85:L85"/>
    <mergeCell ref="X85:Z85"/>
    <mergeCell ref="C86:E86"/>
    <mergeCell ref="G86:I86"/>
    <mergeCell ref="J86:L86"/>
    <mergeCell ref="X86:Z86"/>
    <mergeCell ref="C83:E83"/>
    <mergeCell ref="G83:I83"/>
    <mergeCell ref="J83:L83"/>
    <mergeCell ref="X83:Z83"/>
    <mergeCell ref="C84:E84"/>
    <mergeCell ref="G84:I84"/>
    <mergeCell ref="J84:L84"/>
    <mergeCell ref="X84:Z84"/>
    <mergeCell ref="C89:E89"/>
    <mergeCell ref="G89:I89"/>
    <mergeCell ref="J89:L89"/>
    <mergeCell ref="X89:Z89"/>
    <mergeCell ref="C90:E90"/>
    <mergeCell ref="G90:I90"/>
    <mergeCell ref="J90:L90"/>
    <mergeCell ref="X90:Z90"/>
    <mergeCell ref="C87:E87"/>
    <mergeCell ref="G87:I87"/>
    <mergeCell ref="J87:L87"/>
    <mergeCell ref="X87:Z87"/>
    <mergeCell ref="C88:E88"/>
    <mergeCell ref="G88:I88"/>
    <mergeCell ref="J88:L88"/>
    <mergeCell ref="X88:Z88"/>
    <mergeCell ref="C93:E93"/>
    <mergeCell ref="G93:I93"/>
    <mergeCell ref="J93:L93"/>
    <mergeCell ref="X93:Z93"/>
    <mergeCell ref="C94:E94"/>
    <mergeCell ref="G94:I94"/>
    <mergeCell ref="J94:L94"/>
    <mergeCell ref="X94:Z94"/>
    <mergeCell ref="C91:E91"/>
    <mergeCell ref="G91:I91"/>
    <mergeCell ref="J91:L91"/>
    <mergeCell ref="X91:Z91"/>
    <mergeCell ref="C92:E92"/>
    <mergeCell ref="G92:I92"/>
    <mergeCell ref="J92:L92"/>
    <mergeCell ref="X92:Z92"/>
    <mergeCell ref="C97:E97"/>
    <mergeCell ref="G97:I97"/>
    <mergeCell ref="J97:L97"/>
    <mergeCell ref="X97:Z97"/>
    <mergeCell ref="C98:E98"/>
    <mergeCell ref="G98:I98"/>
    <mergeCell ref="J98:L98"/>
    <mergeCell ref="X98:Z98"/>
    <mergeCell ref="C95:E95"/>
    <mergeCell ref="G95:I95"/>
    <mergeCell ref="J95:L95"/>
    <mergeCell ref="X95:Z95"/>
    <mergeCell ref="C96:E96"/>
    <mergeCell ref="G96:I96"/>
    <mergeCell ref="J96:L96"/>
    <mergeCell ref="X96:Z96"/>
    <mergeCell ref="C101:E101"/>
    <mergeCell ref="G101:I101"/>
    <mergeCell ref="J101:L101"/>
    <mergeCell ref="X101:Z101"/>
    <mergeCell ref="C102:E102"/>
    <mergeCell ref="G102:I102"/>
    <mergeCell ref="J102:L102"/>
    <mergeCell ref="X102:Z102"/>
    <mergeCell ref="C99:E99"/>
    <mergeCell ref="G99:I99"/>
    <mergeCell ref="J99:L99"/>
    <mergeCell ref="X99:Z99"/>
    <mergeCell ref="C100:E100"/>
    <mergeCell ref="G100:I100"/>
    <mergeCell ref="J100:L100"/>
    <mergeCell ref="X100:Z100"/>
    <mergeCell ref="C105:E105"/>
    <mergeCell ref="G105:I105"/>
    <mergeCell ref="J105:L105"/>
    <mergeCell ref="X105:Z105"/>
    <mergeCell ref="C106:E106"/>
    <mergeCell ref="G106:I106"/>
    <mergeCell ref="J106:L106"/>
    <mergeCell ref="X106:Z106"/>
    <mergeCell ref="C103:E103"/>
    <mergeCell ref="G103:I103"/>
    <mergeCell ref="J103:L103"/>
    <mergeCell ref="X103:Z103"/>
    <mergeCell ref="C104:E104"/>
    <mergeCell ref="G104:I104"/>
    <mergeCell ref="J104:L104"/>
    <mergeCell ref="X104:Z104"/>
    <mergeCell ref="C109:E109"/>
    <mergeCell ref="G109:I109"/>
    <mergeCell ref="J109:L109"/>
    <mergeCell ref="X109:Z109"/>
    <mergeCell ref="C110:E110"/>
    <mergeCell ref="G110:I110"/>
    <mergeCell ref="J110:L110"/>
    <mergeCell ref="X110:Z110"/>
    <mergeCell ref="C107:E107"/>
    <mergeCell ref="G107:I107"/>
    <mergeCell ref="J107:L107"/>
    <mergeCell ref="X107:Z107"/>
    <mergeCell ref="C108:E108"/>
    <mergeCell ref="G108:I108"/>
    <mergeCell ref="J108:L108"/>
    <mergeCell ref="X108:Z108"/>
    <mergeCell ref="C113:E113"/>
    <mergeCell ref="G113:I113"/>
    <mergeCell ref="J113:L113"/>
    <mergeCell ref="X113:Z113"/>
    <mergeCell ref="C114:E114"/>
    <mergeCell ref="G114:I114"/>
    <mergeCell ref="J114:L114"/>
    <mergeCell ref="X114:Z114"/>
    <mergeCell ref="C111:E111"/>
    <mergeCell ref="G111:I111"/>
    <mergeCell ref="J111:L111"/>
    <mergeCell ref="X111:Z111"/>
    <mergeCell ref="C112:E112"/>
    <mergeCell ref="G112:I112"/>
    <mergeCell ref="J112:L112"/>
    <mergeCell ref="X112:Z112"/>
    <mergeCell ref="C117:E117"/>
    <mergeCell ref="G117:I117"/>
    <mergeCell ref="J117:L117"/>
    <mergeCell ref="X117:Z117"/>
    <mergeCell ref="C118:E118"/>
    <mergeCell ref="G118:I118"/>
    <mergeCell ref="J118:L118"/>
    <mergeCell ref="X118:Z118"/>
    <mergeCell ref="C115:E115"/>
    <mergeCell ref="G115:I115"/>
    <mergeCell ref="J115:L115"/>
    <mergeCell ref="X115:Z115"/>
    <mergeCell ref="C116:E116"/>
    <mergeCell ref="G116:I116"/>
    <mergeCell ref="J116:L116"/>
    <mergeCell ref="X116:Z116"/>
    <mergeCell ref="C121:E121"/>
    <mergeCell ref="G121:I121"/>
    <mergeCell ref="J121:L121"/>
    <mergeCell ref="X121:Z121"/>
    <mergeCell ref="C122:E122"/>
    <mergeCell ref="G122:I122"/>
    <mergeCell ref="J122:L122"/>
    <mergeCell ref="X122:Z122"/>
    <mergeCell ref="C119:E119"/>
    <mergeCell ref="G119:I119"/>
    <mergeCell ref="J119:L119"/>
    <mergeCell ref="X119:Z119"/>
    <mergeCell ref="C120:E120"/>
    <mergeCell ref="G120:I120"/>
    <mergeCell ref="J120:L120"/>
    <mergeCell ref="X120:Z120"/>
    <mergeCell ref="C125:E125"/>
    <mergeCell ref="G125:I125"/>
    <mergeCell ref="J125:L125"/>
    <mergeCell ref="X125:Z125"/>
    <mergeCell ref="C126:E126"/>
    <mergeCell ref="G126:I126"/>
    <mergeCell ref="J126:L126"/>
    <mergeCell ref="X126:Z126"/>
    <mergeCell ref="C123:E123"/>
    <mergeCell ref="G123:I123"/>
    <mergeCell ref="J123:L123"/>
    <mergeCell ref="X123:Z123"/>
    <mergeCell ref="C124:E124"/>
    <mergeCell ref="G124:I124"/>
    <mergeCell ref="J124:L124"/>
    <mergeCell ref="X124:Z124"/>
    <mergeCell ref="C129:E129"/>
    <mergeCell ref="G129:I129"/>
    <mergeCell ref="J129:L129"/>
    <mergeCell ref="X129:Z129"/>
    <mergeCell ref="C130:E130"/>
    <mergeCell ref="G130:I130"/>
    <mergeCell ref="J130:L130"/>
    <mergeCell ref="X130:Z130"/>
    <mergeCell ref="C127:E127"/>
    <mergeCell ref="G127:I127"/>
    <mergeCell ref="J127:L127"/>
    <mergeCell ref="X127:Z127"/>
    <mergeCell ref="C128:E128"/>
    <mergeCell ref="G128:I128"/>
    <mergeCell ref="J128:L128"/>
    <mergeCell ref="X128:Z128"/>
    <mergeCell ref="C133:E133"/>
    <mergeCell ref="G133:I133"/>
    <mergeCell ref="J133:L133"/>
    <mergeCell ref="X133:Z133"/>
    <mergeCell ref="C134:E134"/>
    <mergeCell ref="G134:I134"/>
    <mergeCell ref="J134:L134"/>
    <mergeCell ref="X134:Z134"/>
    <mergeCell ref="C131:E131"/>
    <mergeCell ref="G131:I131"/>
    <mergeCell ref="J131:L131"/>
    <mergeCell ref="X131:Z131"/>
    <mergeCell ref="C132:E132"/>
    <mergeCell ref="G132:I132"/>
    <mergeCell ref="J132:L132"/>
    <mergeCell ref="X132:Z132"/>
    <mergeCell ref="C137:E137"/>
    <mergeCell ref="G137:I137"/>
    <mergeCell ref="J137:L137"/>
    <mergeCell ref="X137:Z137"/>
    <mergeCell ref="C138:E138"/>
    <mergeCell ref="G138:I138"/>
    <mergeCell ref="J138:L138"/>
    <mergeCell ref="X138:Z138"/>
    <mergeCell ref="C135:E135"/>
    <mergeCell ref="G135:I135"/>
    <mergeCell ref="J135:L135"/>
    <mergeCell ref="X135:Z135"/>
    <mergeCell ref="C136:E136"/>
    <mergeCell ref="G136:I136"/>
    <mergeCell ref="J136:L136"/>
    <mergeCell ref="X136:Z136"/>
    <mergeCell ref="C141:E141"/>
    <mergeCell ref="G141:I141"/>
    <mergeCell ref="J141:L141"/>
    <mergeCell ref="X141:Z141"/>
    <mergeCell ref="C142:E142"/>
    <mergeCell ref="G142:I142"/>
    <mergeCell ref="J142:L142"/>
    <mergeCell ref="X142:Z142"/>
    <mergeCell ref="C139:E139"/>
    <mergeCell ref="G139:I139"/>
    <mergeCell ref="J139:L139"/>
    <mergeCell ref="X139:Z139"/>
    <mergeCell ref="C140:E140"/>
    <mergeCell ref="G140:I140"/>
    <mergeCell ref="J140:L140"/>
    <mergeCell ref="X140:Z140"/>
    <mergeCell ref="C145:E145"/>
    <mergeCell ref="G145:I145"/>
    <mergeCell ref="J145:L145"/>
    <mergeCell ref="X145:Z145"/>
    <mergeCell ref="C146:E146"/>
    <mergeCell ref="G146:I146"/>
    <mergeCell ref="J146:L146"/>
    <mergeCell ref="X146:Z146"/>
    <mergeCell ref="C143:E143"/>
    <mergeCell ref="G143:I143"/>
    <mergeCell ref="J143:L143"/>
    <mergeCell ref="X143:Z143"/>
    <mergeCell ref="C144:E144"/>
    <mergeCell ref="G144:I144"/>
    <mergeCell ref="J144:L144"/>
    <mergeCell ref="X144:Z144"/>
    <mergeCell ref="C149:E149"/>
    <mergeCell ref="G149:I149"/>
    <mergeCell ref="J149:L149"/>
    <mergeCell ref="X149:Z149"/>
    <mergeCell ref="C150:E150"/>
    <mergeCell ref="G150:I150"/>
    <mergeCell ref="J150:L150"/>
    <mergeCell ref="X150:Z150"/>
    <mergeCell ref="C147:E147"/>
    <mergeCell ref="G147:I147"/>
    <mergeCell ref="J147:L147"/>
    <mergeCell ref="X147:Z147"/>
    <mergeCell ref="C148:E148"/>
    <mergeCell ref="G148:I148"/>
    <mergeCell ref="J148:L148"/>
    <mergeCell ref="X148:Z148"/>
    <mergeCell ref="C153:E153"/>
    <mergeCell ref="G153:I153"/>
    <mergeCell ref="J153:L153"/>
    <mergeCell ref="X153:Z153"/>
    <mergeCell ref="C154:E154"/>
    <mergeCell ref="G154:I154"/>
    <mergeCell ref="J154:L154"/>
    <mergeCell ref="X154:Z154"/>
    <mergeCell ref="C151:E151"/>
    <mergeCell ref="G151:I151"/>
    <mergeCell ref="J151:L151"/>
    <mergeCell ref="X151:Z151"/>
    <mergeCell ref="C152:E152"/>
    <mergeCell ref="G152:I152"/>
    <mergeCell ref="J152:L152"/>
    <mergeCell ref="X152:Z152"/>
    <mergeCell ref="C157:E157"/>
    <mergeCell ref="G157:I157"/>
    <mergeCell ref="J157:L157"/>
    <mergeCell ref="X157:Z157"/>
    <mergeCell ref="C158:E158"/>
    <mergeCell ref="G158:I158"/>
    <mergeCell ref="J158:L158"/>
    <mergeCell ref="X158:Z158"/>
    <mergeCell ref="C155:E155"/>
    <mergeCell ref="G155:I155"/>
    <mergeCell ref="J155:L155"/>
    <mergeCell ref="X155:Z155"/>
    <mergeCell ref="C156:E156"/>
    <mergeCell ref="G156:I156"/>
    <mergeCell ref="J156:L156"/>
    <mergeCell ref="X156:Z156"/>
    <mergeCell ref="C161:E161"/>
    <mergeCell ref="G161:I161"/>
    <mergeCell ref="J161:L161"/>
    <mergeCell ref="X161:Z161"/>
    <mergeCell ref="C162:E162"/>
    <mergeCell ref="G162:I162"/>
    <mergeCell ref="J162:L162"/>
    <mergeCell ref="X162:Z162"/>
    <mergeCell ref="C159:E159"/>
    <mergeCell ref="G159:I159"/>
    <mergeCell ref="J159:L159"/>
    <mergeCell ref="X159:Z159"/>
    <mergeCell ref="C160:E160"/>
    <mergeCell ref="G160:I160"/>
    <mergeCell ref="J160:L160"/>
    <mergeCell ref="X160:Z160"/>
    <mergeCell ref="A164:L165"/>
    <mergeCell ref="N165:R165"/>
    <mergeCell ref="V165:Z165"/>
    <mergeCell ref="AB165:AC165"/>
    <mergeCell ref="AD165:AM165"/>
    <mergeCell ref="A166:L168"/>
    <mergeCell ref="N166:R166"/>
    <mergeCell ref="V166:Z166"/>
    <mergeCell ref="AB166:AC166"/>
    <mergeCell ref="AD166:AM166"/>
    <mergeCell ref="A169:L169"/>
    <mergeCell ref="N169:R169"/>
    <mergeCell ref="V169:Z169"/>
    <mergeCell ref="N167:R167"/>
    <mergeCell ref="V167:Z167"/>
    <mergeCell ref="AB167:AC167"/>
    <mergeCell ref="AD167:AM167"/>
    <mergeCell ref="N168:R168"/>
    <mergeCell ref="V168:Z168"/>
    <mergeCell ref="AB168:AC168"/>
    <mergeCell ref="AD168:AM168"/>
  </mergeCells>
  <dataValidations count="6">
    <dataValidation type="list" allowBlank="1" showInputMessage="1" showErrorMessage="1" sqref="WNE9:WNE162 WXA9:WXA162 KO9:KO162 UK9:UK162 AEG9:AEG162 AOC9:AOC162 AXY9:AXY162 BHU9:BHU162 BRQ9:BRQ162 CBM9:CBM162 CLI9:CLI162 CVE9:CVE162 DFA9:DFA162 DOW9:DOW162 DYS9:DYS162 EIO9:EIO162 ESK9:ESK162 FCG9:FCG162 FMC9:FMC162 FVY9:FVY162 GFU9:GFU162 GPQ9:GPQ162 GZM9:GZM162 HJI9:HJI162 HTE9:HTE162 IDA9:IDA162 IMW9:IMW162 IWS9:IWS162 JGO9:JGO162 JQK9:JQK162 KAG9:KAG162 KKC9:KKC162 KTY9:KTY162 LDU9:LDU162 LNQ9:LNQ162 LXM9:LXM162 MHI9:MHI162 MRE9:MRE162 NBA9:NBA162 NKW9:NKW162 NUS9:NUS162 OEO9:OEO162 OOK9:OOK162 OYG9:OYG162 PIC9:PIC162 PRY9:PRY162 QBU9:QBU162 QLQ9:QLQ162 QVM9:QVM162 RFI9:RFI162 RPE9:RPE162 RZA9:RZA162 SIW9:SIW162 SSS9:SSS162 TCO9:TCO162 TMK9:TMK162 TWG9:TWG162 UGC9:UGC162 UPY9:UPY162 UZU9:UZU162 VJQ9:VJQ162 VTM9:VTM162 WDI9:WDI162 AS9:AS24 AS27:AS162">
      <formula1>SINO</formula1>
    </dataValidation>
    <dataValidation type="list" allowBlank="1" showInputMessage="1" showErrorMessage="1" sqref="Q61:Q162 Q30 Q33 Q41 Q45 Q51 Q56 Q9 Q13 Q16 Q20:Q21 Q24 Q27:Q28 WVZ9:WVZ162 WMD9:WMD162 JN9:JN162 TJ9:TJ162 ADF9:ADF162 ANB9:ANB162 AWX9:AWX162 BGT9:BGT162 BQP9:BQP162 CAL9:CAL162 CKH9:CKH162 CUD9:CUD162 DDZ9:DDZ162 DNV9:DNV162 DXR9:DXR162 EHN9:EHN162 ERJ9:ERJ162 FBF9:FBF162 FLB9:FLB162 FUX9:FUX162 GET9:GET162 GOP9:GOP162 GYL9:GYL162 HIH9:HIH162 HSD9:HSD162 IBZ9:IBZ162 ILV9:ILV162 IVR9:IVR162 JFN9:JFN162 JPJ9:JPJ162 JZF9:JZF162 KJB9:KJB162 KSX9:KSX162 LCT9:LCT162 LMP9:LMP162 LWL9:LWL162 MGH9:MGH162 MQD9:MQD162 MZZ9:MZZ162 NJV9:NJV162 NTR9:NTR162 ODN9:ODN162 ONJ9:ONJ162 OXF9:OXF162 PHB9:PHB162 PQX9:PQX162 QAT9:QAT162 QKP9:QKP162 QUL9:QUL162 REH9:REH162 ROD9:ROD162 RXZ9:RXZ162 SHV9:SHV162 SRR9:SRR162 TBN9:TBN162 TLJ9:TLJ162 TVF9:TVF162 UFB9:UFB162 UOX9:UOX162 UYT9:UYT162 VIP9:VIP162 VSL9:VSL162 WCH9:WCH162">
      <formula1>PROBAB</formula1>
    </dataValidation>
    <dataValidation type="list" allowBlank="1" showInputMessage="1" showErrorMessage="1" sqref="R61:R162 R30 R33 R41 R45 R51 R56 R9 R13 R16 R20:R21 R24 R27:R28 WWA9:WWA162 WME9:WME162 JO9:JO162 TK9:TK162 ADG9:ADG162 ANC9:ANC162 AWY9:AWY162 BGU9:BGU162 BQQ9:BQQ162 CAM9:CAM162 CKI9:CKI162 CUE9:CUE162 DEA9:DEA162 DNW9:DNW162 DXS9:DXS162 EHO9:EHO162 ERK9:ERK162 FBG9:FBG162 FLC9:FLC162 FUY9:FUY162 GEU9:GEU162 GOQ9:GOQ162 GYM9:GYM162 HII9:HII162 HSE9:HSE162 ICA9:ICA162 ILW9:ILW162 IVS9:IVS162 JFO9:JFO162 JPK9:JPK162 JZG9:JZG162 KJC9:KJC162 KSY9:KSY162 LCU9:LCU162 LMQ9:LMQ162 LWM9:LWM162 MGI9:MGI162 MQE9:MQE162 NAA9:NAA162 NJW9:NJW162 NTS9:NTS162 ODO9:ODO162 ONK9:ONK162 OXG9:OXG162 PHC9:PHC162 PQY9:PQY162 QAU9:QAU162 QKQ9:QKQ162 QUM9:QUM162 REI9:REI162 ROE9:ROE162 RYA9:RYA162 SHW9:SHW162 SRS9:SRS162 TBO9:TBO162 TLK9:TLK162 TVG9:TVG162 UFC9:UFC162 UOY9:UOY162 UYU9:UYU162 VIQ9:VIQ162 VSM9:VSM162 WCI9:WCI162">
      <formula1>IMPACTO</formula1>
    </dataValidation>
    <dataValidation type="list" showInputMessage="1" showErrorMessage="1" errorTitle="Rechazado" error="Solo son validadas las opciones de la lista" sqref="AE61:AE162 AE30 AE33 AE41 AE45 AE51 AE56 AE9 AE13 AE16 AE20:AE21 AE24 AE27:AE28 WWM9:WWM162 WMQ9:WMQ162 KA9:KA162 TW9:TW162 ADS9:ADS162 ANO9:ANO162 AXK9:AXK162 BHG9:BHG162 BRC9:BRC162 CAY9:CAY162 CKU9:CKU162 CUQ9:CUQ162 DEM9:DEM162 DOI9:DOI162 DYE9:DYE162 EIA9:EIA162 ERW9:ERW162 FBS9:FBS162 FLO9:FLO162 FVK9:FVK162 GFG9:GFG162 GPC9:GPC162 GYY9:GYY162 HIU9:HIU162 HSQ9:HSQ162 ICM9:ICM162 IMI9:IMI162 IWE9:IWE162 JGA9:JGA162 JPW9:JPW162 JZS9:JZS162 KJO9:KJO162 KTK9:KTK162 LDG9:LDG162 LNC9:LNC162 LWY9:LWY162 MGU9:MGU162 MQQ9:MQQ162 NAM9:NAM162 NKI9:NKI162 NUE9:NUE162 OEA9:OEA162 ONW9:ONW162 OXS9:OXS162 PHO9:PHO162 PRK9:PRK162 QBG9:QBG162 QLC9:QLC162 QUY9:QUY162 REU9:REU162 ROQ9:ROQ162 RYM9:RYM162 SII9:SII162 SSE9:SSE162 TCA9:TCA162 TLW9:TLW162 TVS9:TVS162 UFO9:UFO162 UPK9:UPK162 UZG9:UZG162 VJC9:VJC162 VSY9:VSY162 WCU9:WCU162">
      <formula1>Efecto</formula1>
    </dataValidation>
    <dataValidation showInputMessage="1" showErrorMessage="1" sqref="AG61:AK162 AI30 AK30 AI33 AK33 AI41 AK41 AI45 AK45 AI51 AK51 AI56 AK56 AI9 AK9 AI13 AK13 AI16 AK16 AI20:AI21 AK20:AK21 AI24 AK24 AI27:AI28 AK27:AK28 WWO9:WWS162 WMS9:WMW162 KC9:KG162 TY9:UC162 ADU9:ADY162 ANQ9:ANU162 AXM9:AXQ162 BHI9:BHM162 BRE9:BRI162 CBA9:CBE162 CKW9:CLA162 CUS9:CUW162 DEO9:DES162 DOK9:DOO162 DYG9:DYK162 EIC9:EIG162 ERY9:ESC162 FBU9:FBY162 FLQ9:FLU162 FVM9:FVQ162 GFI9:GFM162 GPE9:GPI162 GZA9:GZE162 HIW9:HJA162 HSS9:HSW162 ICO9:ICS162 IMK9:IMO162 IWG9:IWK162 JGC9:JGG162 JPY9:JQC162 JZU9:JZY162 KJQ9:KJU162 KTM9:KTQ162 LDI9:LDM162 LNE9:LNI162 LXA9:LXE162 MGW9:MHA162 MQS9:MQW162 NAO9:NAS162 NKK9:NKO162 NUG9:NUK162 OEC9:OEG162 ONY9:OOC162 OXU9:OXY162 PHQ9:PHU162 PRM9:PRQ162 QBI9:QBM162 QLE9:QLI162 QVA9:QVE162 REW9:RFA162 ROS9:ROW162 RYO9:RYS162 SIK9:SIO162 SSG9:SSK162 TCC9:TCG162 TLY9:TMC162 TVU9:TVY162 UFQ9:UFU162 UPM9:UPQ162 UZI9:UZM162 VJE9:VJI162 VTA9:VTE162 WCW9:WDA162 AG9:AH60 AJ9:AJ60"/>
    <dataValidation type="whole" allowBlank="1" showInputMessage="1" showErrorMessage="1" sqref="AD61:AD162 AD30 AD33 AD41 AD45 AD51 AD56 AD9 AD13 AD16 AD20:AD21 AD24 AD27:AD28 WWL9:WWL162 WMP9:WMP162 JZ9:JZ162 TV9:TV162 ADR9:ADR162 ANN9:ANN162 AXJ9:AXJ162 BHF9:BHF162 BRB9:BRB162 CAX9:CAX162 CKT9:CKT162 CUP9:CUP162 DEL9:DEL162 DOH9:DOH162 DYD9:DYD162 EHZ9:EHZ162 ERV9:ERV162 FBR9:FBR162 FLN9:FLN162 FVJ9:FVJ162 GFF9:GFF162 GPB9:GPB162 GYX9:GYX162 HIT9:HIT162 HSP9:HSP162 ICL9:ICL162 IMH9:IMH162 IWD9:IWD162 JFZ9:JFZ162 JPV9:JPV162 JZR9:JZR162 KJN9:KJN162 KTJ9:KTJ162 LDF9:LDF162 LNB9:LNB162 LWX9:LWX162 MGT9:MGT162 MQP9:MQP162 NAL9:NAL162 NKH9:NKH162 NUD9:NUD162 ODZ9:ODZ162 ONV9:ONV162 OXR9:OXR162 PHN9:PHN162 PRJ9:PRJ162 QBF9:QBF162 QLB9:QLB162 QUX9:QUX162 RET9:RET162 ROP9:ROP162 RYL9:RYL162 SIH9:SIH162 SSD9:SSD162 TBZ9:TBZ162 TLV9:TLV162 TVR9:TVR162 UFN9:UFN162 UPJ9:UPJ162 UZF9:UZF162 VJB9:VJB162 VSX9:VSX162 WCT9:WCT162">
      <formula1>0</formula1>
      <formula2>100</formula2>
    </dataValidation>
  </dataValidations>
  <printOptions horizontalCentered="1"/>
  <pageMargins left="0.39370078740157483" right="0.39370078740157483" top="0.59055118110236227" bottom="0.59055118110236227" header="0.51181102362204722" footer="0.27559055118110237"/>
  <pageSetup paperSize="14" scale="26" firstPageNumber="0" fitToHeight="7" orientation="landscape" r:id="rId1"/>
  <headerFooter>
    <oddFooter>&amp;L&amp;9Formato: FO-AC-07 Versión: 3&amp;C&amp;9Página &amp;P</oddFooter>
  </headerFooter>
  <rowBreaks count="3" manualBreakCount="3">
    <brk id="23" max="53" man="1"/>
    <brk id="40" max="53" man="1"/>
    <brk id="55" max="53" man="1"/>
  </rowBreaks>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19"/>
  <sheetViews>
    <sheetView showGridLines="0" zoomScaleNormal="100" zoomScaleSheetLayoutView="100" workbookViewId="0">
      <pane xSplit="8" ySplit="9" topLeftCell="I10" activePane="bottomRight" state="frozen"/>
      <selection pane="topRight" activeCell="I1" sqref="I1"/>
      <selection pane="bottomLeft" activeCell="A10" sqref="A10"/>
      <selection pane="bottomRight" activeCell="BD2" sqref="BD2:BE2"/>
    </sheetView>
  </sheetViews>
  <sheetFormatPr baseColWidth="10" defaultRowHeight="15"/>
  <cols>
    <col min="1" max="1" width="11" style="16" hidden="1" customWidth="1"/>
    <col min="2" max="4" width="5.42578125" style="16" customWidth="1"/>
    <col min="5" max="5" width="7.28515625" style="17" customWidth="1"/>
    <col min="6" max="11" width="4.570312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1" width="7.14062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12.85546875" style="18" customWidth="1"/>
    <col min="50" max="50" width="14.5703125" style="21" customWidth="1"/>
    <col min="51" max="51" width="3.85546875" style="21" customWidth="1"/>
    <col min="52" max="52" width="19.140625" style="210" customWidth="1"/>
    <col min="53" max="53" width="17.28515625" style="210" customWidth="1"/>
    <col min="54" max="54" width="6.140625" style="210" customWidth="1"/>
    <col min="55" max="55" width="19.5703125" style="210" customWidth="1"/>
    <col min="56" max="56" width="42.7109375" style="210" customWidth="1"/>
    <col min="57" max="57" width="5.85546875" style="210" customWidth="1"/>
    <col min="58" max="58" width="31.5703125" style="210" customWidth="1"/>
    <col min="59" max="59" width="16.140625" style="210" customWidth="1"/>
    <col min="60" max="61" width="9.28515625" style="210" customWidth="1"/>
    <col min="62" max="62" width="11.140625" style="210" customWidth="1"/>
    <col min="63" max="63" width="2.140625" style="210" customWidth="1"/>
    <col min="64" max="64" width="11.42578125" style="210"/>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858" t="str">
        <f>UPPER([26]Control!A2)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493">
        <v>2019</v>
      </c>
      <c r="BA2" s="208"/>
      <c r="BB2" s="2830" t="s">
        <v>138</v>
      </c>
      <c r="BC2" s="2831"/>
      <c r="BD2" s="2861" t="str">
        <f>L6</f>
        <v>PLANEACIÓN ESTRATÉGICA</v>
      </c>
      <c r="BE2" s="2862"/>
      <c r="BF2" s="586"/>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11" t="s">
        <v>2321</v>
      </c>
      <c r="BA3" s="208"/>
      <c r="BB3" s="2830" t="s">
        <v>2322</v>
      </c>
      <c r="BC3" s="2831"/>
      <c r="BD3" s="2830" t="s">
        <v>2323</v>
      </c>
      <c r="BE3" s="2831"/>
      <c r="BF3" s="208"/>
      <c r="BG3" s="208"/>
    </row>
    <row r="4" spans="1:64" ht="15.75" customHeight="1" thickBot="1">
      <c r="A4" s="2832" t="str">
        <f>[26]Control!A4</f>
        <v>FO-PE-05</v>
      </c>
      <c r="B4" s="2833"/>
      <c r="C4" s="2833"/>
      <c r="D4" s="2834"/>
      <c r="E4" s="2835" t="str">
        <f>[26]Control!C4</f>
        <v>Planeación Estratégica</v>
      </c>
      <c r="F4" s="2833"/>
      <c r="G4" s="2833"/>
      <c r="H4" s="2833"/>
      <c r="I4" s="2833"/>
      <c r="J4" s="2833"/>
      <c r="K4" s="2833"/>
      <c r="L4" s="2833"/>
      <c r="M4" s="2833"/>
      <c r="N4" s="2833"/>
      <c r="O4" s="2833"/>
      <c r="P4" s="2833"/>
      <c r="Q4" s="2833"/>
      <c r="R4" s="2833"/>
      <c r="S4" s="2833"/>
      <c r="T4" s="2833"/>
      <c r="U4" s="2834"/>
      <c r="V4" s="2835">
        <f>[26]Control!H4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232">
        <v>43448</v>
      </c>
      <c r="BA4" s="208"/>
      <c r="BB4" s="2836">
        <v>43708</v>
      </c>
      <c r="BC4" s="2837"/>
      <c r="BD4" s="2838" t="s">
        <v>3818</v>
      </c>
      <c r="BE4" s="2838"/>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842" t="s">
        <v>142</v>
      </c>
      <c r="M6" s="2843"/>
      <c r="N6" s="2843"/>
      <c r="O6" s="2843"/>
      <c r="P6" s="2843"/>
      <c r="Q6" s="2843"/>
      <c r="R6" s="2843"/>
      <c r="S6" s="2843"/>
      <c r="T6" s="2843"/>
      <c r="U6" s="2844"/>
      <c r="V6" s="2845" t="s">
        <v>59</v>
      </c>
      <c r="W6" s="2845"/>
      <c r="X6" s="2845"/>
      <c r="Y6" s="2845"/>
      <c r="Z6" s="2845"/>
      <c r="AA6" s="2827" t="s">
        <v>60</v>
      </c>
      <c r="AB6" s="2828"/>
      <c r="AC6" s="2828"/>
      <c r="AD6" s="2828"/>
      <c r="AE6" s="2828"/>
      <c r="AF6" s="2828"/>
      <c r="AG6" s="2828"/>
      <c r="AH6" s="2828"/>
      <c r="AI6" s="2828"/>
      <c r="AJ6" s="2828"/>
      <c r="AK6" s="2828"/>
      <c r="AL6" s="2828"/>
      <c r="AM6" s="2828"/>
      <c r="AN6" s="2828"/>
      <c r="AO6" s="2828"/>
      <c r="AP6" s="2828"/>
      <c r="AQ6" s="2828"/>
      <c r="AR6" s="2828"/>
      <c r="AS6" s="2828"/>
      <c r="AT6" s="2828"/>
      <c r="AU6" s="2828"/>
      <c r="AV6" s="2828"/>
      <c r="AW6" s="2828"/>
      <c r="AX6" s="2828"/>
      <c r="AY6" s="2828"/>
      <c r="AZ6" s="2828"/>
      <c r="BA6" s="2829"/>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1:64" s="3" customFormat="1" ht="174.75" customHeight="1">
      <c r="A10" s="494" t="s">
        <v>3208</v>
      </c>
      <c r="B10" s="2805" t="s">
        <v>3209</v>
      </c>
      <c r="C10" s="2806"/>
      <c r="D10" s="2807"/>
      <c r="E10" s="843" t="s">
        <v>1897</v>
      </c>
      <c r="F10" s="2808" t="s">
        <v>2338</v>
      </c>
      <c r="G10" s="2809"/>
      <c r="H10" s="2810"/>
      <c r="I10" s="2805" t="s">
        <v>1898</v>
      </c>
      <c r="J10" s="2806"/>
      <c r="K10" s="2807"/>
      <c r="L10" s="330" t="s">
        <v>64</v>
      </c>
      <c r="M10" s="50" t="s">
        <v>270</v>
      </c>
      <c r="N10" s="32"/>
      <c r="O10" s="6">
        <f>VLOOKUP(L10,[26]Listas!$M$69:$N$73,2,0)</f>
        <v>3</v>
      </c>
      <c r="P10" s="6"/>
      <c r="Q10" s="6">
        <f>HLOOKUP(M10,[26]Listas!$O$67:$Q$68,2,0)</f>
        <v>10</v>
      </c>
      <c r="R10" s="331" t="str">
        <f>INDEX([26]Listas!$O$69:$Q$73,MATCH(L10,[26]Listas!$M$69:$M$73,0),MATCH(M10,[26]Listas!$O$67:$Q$67,0))</f>
        <v>30
ALTA</v>
      </c>
      <c r="S10" s="2805" t="s">
        <v>2339</v>
      </c>
      <c r="T10" s="2806"/>
      <c r="U10" s="2807"/>
      <c r="V10" s="329" t="s">
        <v>65</v>
      </c>
      <c r="W10" s="329" t="s">
        <v>36</v>
      </c>
      <c r="X10" s="329" t="s">
        <v>36</v>
      </c>
      <c r="Y10" s="329" t="s">
        <v>65</v>
      </c>
      <c r="Z10" s="329" t="s">
        <v>65</v>
      </c>
      <c r="AA10" s="329" t="s">
        <v>36</v>
      </c>
      <c r="AB10" s="329" t="s">
        <v>65</v>
      </c>
      <c r="AC10" s="329" t="s">
        <v>65</v>
      </c>
      <c r="AD10" s="329" t="s">
        <v>65</v>
      </c>
      <c r="AE10" s="329" t="s">
        <v>65</v>
      </c>
      <c r="AF10" s="33"/>
      <c r="AG10" s="6">
        <f t="shared" ref="AG10:AG21" si="0">IF(Y10="SI",15,0)</f>
        <v>15</v>
      </c>
      <c r="AH10" s="6">
        <f t="shared" ref="AH10:AH21" si="1">IF(Z10="SI",5,0)</f>
        <v>5</v>
      </c>
      <c r="AI10" s="6">
        <f t="shared" ref="AI10:AI21" si="2">IF(AA10="SI",15,0)</f>
        <v>0</v>
      </c>
      <c r="AJ10" s="6">
        <f t="shared" ref="AJ10:AJ21" si="3">IF(AB10="SI",10,0)</f>
        <v>10</v>
      </c>
      <c r="AK10" s="6">
        <f t="shared" ref="AK10:AK21" si="4">IF(AC10="SI",15,0)</f>
        <v>15</v>
      </c>
      <c r="AL10" s="6">
        <f t="shared" ref="AL10:AL21" si="5">IF(AD10="SI",10,0)</f>
        <v>10</v>
      </c>
      <c r="AM10" s="6">
        <f t="shared" ref="AM10:AM21" si="6">IF(AE10="SI",30,0)</f>
        <v>30</v>
      </c>
      <c r="AN10" s="6">
        <f t="shared" ref="AN10:AN21" si="7">SUM(AG10+AH10+AI10+AJ10+AK10+AL10+AM10)</f>
        <v>85</v>
      </c>
      <c r="AO10" s="6">
        <f t="shared" ref="AO10:AO21" si="8">IF(AN10&lt;=50,0,IF(AN10&gt;=76,2,1))</f>
        <v>2</v>
      </c>
      <c r="AP10" s="331" t="str">
        <f t="shared" ref="AP10:AP21" si="9">CONCATENATE(AN10,"- disminuye ",AO10)</f>
        <v>85- disminuye 2</v>
      </c>
      <c r="AQ10" s="6">
        <f t="shared" ref="AQ10:AQ21" si="10">IF(V10="SI",O10-AO10,O10)</f>
        <v>1</v>
      </c>
      <c r="AR10" s="331" t="str">
        <f>IF(AQ10&lt;=1,"Rara vez",VLOOKUP(AQ10,[26]Listas!$L$69:$M$73,2,0))</f>
        <v>Rara vez</v>
      </c>
      <c r="AS10" s="6">
        <f t="shared" ref="AS10:AS21" si="11">IF(W10="SI",Q10-AO10,Q10)</f>
        <v>10</v>
      </c>
      <c r="AT10" s="331" t="str">
        <f t="shared" ref="AT10:AT21" si="12">IF(AS10&lt;=9,"Moderado",IF(AS10=20,"Catastrófico",IF(AS10=18,"Moderado","Mayor")))</f>
        <v>Mayor</v>
      </c>
      <c r="AU10" s="331" t="str">
        <f>INDEX([26]Listas!$O$69:$Q$73,MATCH(AR10,[26]Listas!$M$69:$M$73,0),MATCH(AT10,[26]Listas!$O$67:$Q$67,0))</f>
        <v>10
BAJA</v>
      </c>
      <c r="AV10" s="330" t="s">
        <v>271</v>
      </c>
      <c r="AW10" s="826" t="s">
        <v>2340</v>
      </c>
      <c r="AX10" s="843" t="s">
        <v>1899</v>
      </c>
      <c r="AY10" s="330" t="s">
        <v>2341</v>
      </c>
      <c r="AZ10" s="12" t="s">
        <v>2342</v>
      </c>
      <c r="BA10" s="12" t="s">
        <v>4036</v>
      </c>
      <c r="BB10" s="226">
        <f>194/194</f>
        <v>1</v>
      </c>
      <c r="BC10" s="12" t="s">
        <v>4037</v>
      </c>
      <c r="BD10" s="12" t="s">
        <v>4038</v>
      </c>
      <c r="BE10" s="839" t="s">
        <v>36</v>
      </c>
      <c r="BF10" s="12"/>
      <c r="BG10" s="12"/>
      <c r="BH10" s="227"/>
      <c r="BI10" s="227"/>
      <c r="BJ10" s="839"/>
      <c r="BK10" s="228"/>
      <c r="BL10" s="228"/>
    </row>
    <row r="11" spans="1:64" s="3" customFormat="1" ht="252.75" customHeight="1">
      <c r="A11" s="495" t="s">
        <v>3210</v>
      </c>
      <c r="B11" s="2805" t="s">
        <v>538</v>
      </c>
      <c r="C11" s="2806"/>
      <c r="D11" s="2807"/>
      <c r="E11" s="843" t="s">
        <v>1900</v>
      </c>
      <c r="F11" s="2808" t="s">
        <v>272</v>
      </c>
      <c r="G11" s="2809"/>
      <c r="H11" s="2810"/>
      <c r="I11" s="2805" t="s">
        <v>273</v>
      </c>
      <c r="J11" s="2806"/>
      <c r="K11" s="2807"/>
      <c r="L11" s="330" t="s">
        <v>64</v>
      </c>
      <c r="M11" s="50" t="s">
        <v>274</v>
      </c>
      <c r="N11" s="32"/>
      <c r="O11" s="6">
        <f>VLOOKUP(L11,[26]Listas!$M$69:$N$73,2,0)</f>
        <v>3</v>
      </c>
      <c r="P11" s="6"/>
      <c r="Q11" s="6">
        <f>HLOOKUP(M11,[26]Listas!$O$67:$Q$68,2,0)</f>
        <v>5</v>
      </c>
      <c r="R11" s="331" t="str">
        <f>INDEX([26]Listas!$O$69:$Q$73,MATCH(L11,[26]Listas!$M$69:$M$73,0),MATCH(M11,[26]Listas!$O$67:$Q$67,0))</f>
        <v>15
MDOERADA</v>
      </c>
      <c r="S11" s="2805" t="s">
        <v>2344</v>
      </c>
      <c r="T11" s="2806"/>
      <c r="U11" s="2807"/>
      <c r="V11" s="329" t="s">
        <v>65</v>
      </c>
      <c r="W11" s="329" t="s">
        <v>36</v>
      </c>
      <c r="X11" s="329" t="s">
        <v>36</v>
      </c>
      <c r="Y11" s="329" t="s">
        <v>65</v>
      </c>
      <c r="Z11" s="329" t="s">
        <v>65</v>
      </c>
      <c r="AA11" s="329" t="s">
        <v>65</v>
      </c>
      <c r="AB11" s="329" t="s">
        <v>65</v>
      </c>
      <c r="AC11" s="329" t="s">
        <v>65</v>
      </c>
      <c r="AD11" s="329" t="s">
        <v>65</v>
      </c>
      <c r="AE11" s="329" t="s">
        <v>65</v>
      </c>
      <c r="AF11" s="33"/>
      <c r="AG11" s="6">
        <f t="shared" si="0"/>
        <v>15</v>
      </c>
      <c r="AH11" s="6">
        <f t="shared" si="1"/>
        <v>5</v>
      </c>
      <c r="AI11" s="6">
        <f t="shared" si="2"/>
        <v>15</v>
      </c>
      <c r="AJ11" s="6">
        <f t="shared" si="3"/>
        <v>10</v>
      </c>
      <c r="AK11" s="6">
        <f t="shared" si="4"/>
        <v>15</v>
      </c>
      <c r="AL11" s="6">
        <f t="shared" si="5"/>
        <v>10</v>
      </c>
      <c r="AM11" s="6">
        <f t="shared" si="6"/>
        <v>30</v>
      </c>
      <c r="AN11" s="6">
        <f t="shared" si="7"/>
        <v>100</v>
      </c>
      <c r="AO11" s="6">
        <f t="shared" si="8"/>
        <v>2</v>
      </c>
      <c r="AP11" s="331" t="str">
        <f t="shared" si="9"/>
        <v>100- disminuye 2</v>
      </c>
      <c r="AQ11" s="6">
        <f t="shared" si="10"/>
        <v>1</v>
      </c>
      <c r="AR11" s="331" t="str">
        <f>IF(AQ11&lt;=1,"Rara vez",VLOOKUP(AQ11,[26]Listas!$L$69:$M$73,2,0))</f>
        <v>Rara vez</v>
      </c>
      <c r="AS11" s="6">
        <f t="shared" si="11"/>
        <v>5</v>
      </c>
      <c r="AT11" s="331" t="str">
        <f t="shared" si="12"/>
        <v>Moderado</v>
      </c>
      <c r="AU11" s="331" t="str">
        <f>INDEX([26]Listas!$O$69:$Q$73,MATCH(AR11,[26]Listas!$M$69:$M$73,0),MATCH(AT11,[26]Listas!$O$67:$Q$67,0))</f>
        <v>5
BAJA</v>
      </c>
      <c r="AV11" s="330" t="s">
        <v>271</v>
      </c>
      <c r="AW11" s="826" t="s">
        <v>1901</v>
      </c>
      <c r="AX11" s="843" t="s">
        <v>388</v>
      </c>
      <c r="AY11" s="330" t="s">
        <v>2345</v>
      </c>
      <c r="AZ11" s="12" t="s">
        <v>2346</v>
      </c>
      <c r="BA11" s="12" t="s">
        <v>4039</v>
      </c>
      <c r="BB11" s="491">
        <v>1</v>
      </c>
      <c r="BC11" s="259" t="s">
        <v>4040</v>
      </c>
      <c r="BD11" s="12" t="s">
        <v>4041</v>
      </c>
      <c r="BE11" s="839" t="s">
        <v>36</v>
      </c>
      <c r="BF11" s="12"/>
      <c r="BG11" s="12"/>
      <c r="BH11" s="227"/>
      <c r="BI11" s="227"/>
      <c r="BJ11" s="839"/>
      <c r="BK11" s="228"/>
      <c r="BL11" s="228"/>
    </row>
    <row r="12" spans="1:64" s="3" customFormat="1" ht="108" hidden="1" customHeight="1">
      <c r="A12" s="332"/>
      <c r="B12" s="2805"/>
      <c r="C12" s="2806"/>
      <c r="D12" s="2807"/>
      <c r="E12" s="843"/>
      <c r="F12" s="2808"/>
      <c r="G12" s="2809"/>
      <c r="H12" s="2810"/>
      <c r="I12" s="2805"/>
      <c r="J12" s="2806"/>
      <c r="K12" s="2807"/>
      <c r="L12" s="330"/>
      <c r="M12" s="50"/>
      <c r="N12" s="32"/>
      <c r="O12" s="6" t="e">
        <f>VLOOKUP(L12,[26]Listas!$M$69:$N$73,2,0)</f>
        <v>#N/A</v>
      </c>
      <c r="P12" s="6"/>
      <c r="Q12" s="6" t="e">
        <f>HLOOKUP(M12,[26]Listas!$O$67:$Q$68,2,0)</f>
        <v>#N/A</v>
      </c>
      <c r="R12" s="331" t="e">
        <f>INDEX([26]Listas!$O$69:$Q$73,MATCH(L12,[26]Listas!$M$69:$M$73,0),MATCH(M12,[26]Listas!$O$67:$Q$67,0))</f>
        <v>#N/A</v>
      </c>
      <c r="S12" s="2805"/>
      <c r="T12" s="2806"/>
      <c r="U12" s="2807"/>
      <c r="V12" s="329"/>
      <c r="W12" s="329"/>
      <c r="X12" s="329"/>
      <c r="Y12" s="329"/>
      <c r="Z12" s="329"/>
      <c r="AA12" s="329"/>
      <c r="AB12" s="329"/>
      <c r="AC12" s="329"/>
      <c r="AD12" s="329"/>
      <c r="AE12" s="329"/>
      <c r="AF12" s="33"/>
      <c r="AG12" s="6">
        <f>IF(Y12="SI",15,0)</f>
        <v>0</v>
      </c>
      <c r="AH12" s="6">
        <f>IF(Z12="SI",5,0)</f>
        <v>0</v>
      </c>
      <c r="AI12" s="6">
        <f>IF(AA12="SI",15,0)</f>
        <v>0</v>
      </c>
      <c r="AJ12" s="6">
        <f>IF(AB12="SI",10,0)</f>
        <v>0</v>
      </c>
      <c r="AK12" s="6">
        <f>IF(AC12="SI",15,0)</f>
        <v>0</v>
      </c>
      <c r="AL12" s="6">
        <f>IF(AD12="SI",10,0)</f>
        <v>0</v>
      </c>
      <c r="AM12" s="6">
        <f>IF(AE12="SI",30,0)</f>
        <v>0</v>
      </c>
      <c r="AN12" s="6">
        <f>SUM(AG12+AH12+AI12+AJ12+AK12+AL12+AM12)</f>
        <v>0</v>
      </c>
      <c r="AO12" s="6">
        <f>IF(AN12&lt;=50,0,IF(AN12&gt;=76,2,1))</f>
        <v>0</v>
      </c>
      <c r="AP12" s="331" t="str">
        <f>CONCATENATE(AN12,"- disminuye ",AO12)</f>
        <v>0- disminuye 0</v>
      </c>
      <c r="AQ12" s="6" t="e">
        <f>IF(V12="SI",O12-AO12,O12)</f>
        <v>#N/A</v>
      </c>
      <c r="AR12" s="331" t="e">
        <f>IF(AQ12&lt;=1,"Rara vez",VLOOKUP(AQ12,[26]Listas!$L$69:$M$73,2,0))</f>
        <v>#N/A</v>
      </c>
      <c r="AS12" s="6" t="e">
        <f>IF(W12="SI",Q12-AO12,Q12)</f>
        <v>#N/A</v>
      </c>
      <c r="AT12" s="331" t="e">
        <f>IF(AS12&lt;=9,"Moderado",IF(AS12=20,"Catastrófico",IF(AS12=18,"Moderado","Mayor")))</f>
        <v>#N/A</v>
      </c>
      <c r="AU12" s="331" t="e">
        <f>INDEX([26]Listas!$O$69:$Q$73,MATCH(AR12,[26]Listas!$M$69:$M$73,0),MATCH(AT12,[26]Listas!$O$67:$Q$67,0))</f>
        <v>#N/A</v>
      </c>
      <c r="AV12" s="330"/>
      <c r="AW12" s="826"/>
      <c r="AX12" s="843"/>
      <c r="AY12" s="843"/>
      <c r="AZ12" s="12"/>
      <c r="BA12" s="12"/>
      <c r="BB12" s="839"/>
      <c r="BC12" s="12"/>
      <c r="BD12" s="12" t="s">
        <v>2343</v>
      </c>
      <c r="BE12" s="839"/>
      <c r="BF12" s="12"/>
      <c r="BG12" s="12"/>
      <c r="BH12" s="227"/>
      <c r="BI12" s="227"/>
      <c r="BJ12" s="839"/>
      <c r="BK12" s="228"/>
      <c r="BL12" s="228"/>
    </row>
    <row r="13" spans="1:64" s="3" customFormat="1" ht="108" hidden="1" customHeight="1">
      <c r="A13" s="332"/>
      <c r="B13" s="2805"/>
      <c r="C13" s="2806"/>
      <c r="D13" s="2807"/>
      <c r="E13" s="843"/>
      <c r="F13" s="2808"/>
      <c r="G13" s="2809"/>
      <c r="H13" s="2810"/>
      <c r="I13" s="2805"/>
      <c r="J13" s="2806"/>
      <c r="K13" s="2807"/>
      <c r="L13" s="330"/>
      <c r="M13" s="50"/>
      <c r="N13" s="32"/>
      <c r="O13" s="6" t="e">
        <f>VLOOKUP(L13,[26]Listas!$M$69:$N$73,2,0)</f>
        <v>#N/A</v>
      </c>
      <c r="P13" s="6"/>
      <c r="Q13" s="6" t="e">
        <f>HLOOKUP(M13,[26]Listas!$O$67:$Q$68,2,0)</f>
        <v>#N/A</v>
      </c>
      <c r="R13" s="331" t="e">
        <f>INDEX([26]Listas!$O$69:$Q$73,MATCH(L13,[26]Listas!$M$69:$M$73,0),MATCH(M13,[26]Listas!$O$67:$Q$67,0))</f>
        <v>#N/A</v>
      </c>
      <c r="S13" s="2805"/>
      <c r="T13" s="2806"/>
      <c r="U13" s="2807"/>
      <c r="V13" s="329"/>
      <c r="W13" s="329"/>
      <c r="X13" s="329"/>
      <c r="Y13" s="329"/>
      <c r="Z13" s="329"/>
      <c r="AA13" s="329"/>
      <c r="AB13" s="329"/>
      <c r="AC13" s="329"/>
      <c r="AD13" s="329"/>
      <c r="AE13" s="329"/>
      <c r="AF13" s="33"/>
      <c r="AG13" s="6">
        <f>IF(Y13="SI",15,0)</f>
        <v>0</v>
      </c>
      <c r="AH13" s="6">
        <f>IF(Z13="SI",5,0)</f>
        <v>0</v>
      </c>
      <c r="AI13" s="6">
        <f>IF(AA13="SI",15,0)</f>
        <v>0</v>
      </c>
      <c r="AJ13" s="6">
        <f>IF(AB13="SI",10,0)</f>
        <v>0</v>
      </c>
      <c r="AK13" s="6">
        <f>IF(AC13="SI",15,0)</f>
        <v>0</v>
      </c>
      <c r="AL13" s="6">
        <f>IF(AD13="SI",10,0)</f>
        <v>0</v>
      </c>
      <c r="AM13" s="6">
        <f>IF(AE13="SI",30,0)</f>
        <v>0</v>
      </c>
      <c r="AN13" s="6">
        <f>SUM(AG13+AH13+AI13+AJ13+AK13+AL13+AM13)</f>
        <v>0</v>
      </c>
      <c r="AO13" s="6">
        <f>IF(AN13&lt;=50,0,IF(AN13&gt;=76,2,1))</f>
        <v>0</v>
      </c>
      <c r="AP13" s="331" t="str">
        <f>CONCATENATE(AN13,"- disminuye ",AO13)</f>
        <v>0- disminuye 0</v>
      </c>
      <c r="AQ13" s="6" t="e">
        <f>IF(V13="SI",O13-AO13,O13)</f>
        <v>#N/A</v>
      </c>
      <c r="AR13" s="331" t="e">
        <f>IF(AQ13&lt;=1,"Rara vez",VLOOKUP(AQ13,[26]Listas!$L$69:$M$73,2,0))</f>
        <v>#N/A</v>
      </c>
      <c r="AS13" s="6" t="e">
        <f>IF(W13="SI",Q13-AO13,Q13)</f>
        <v>#N/A</v>
      </c>
      <c r="AT13" s="331" t="e">
        <f>IF(AS13&lt;=9,"Moderado",IF(AS13=20,"Catastrófico",IF(AS13=18,"Moderado","Mayor")))</f>
        <v>#N/A</v>
      </c>
      <c r="AU13" s="331" t="e">
        <f>INDEX([26]Listas!$O$69:$Q$73,MATCH(AR13,[26]Listas!$M$69:$M$73,0),MATCH(AT13,[26]Listas!$O$67:$Q$67,0))</f>
        <v>#N/A</v>
      </c>
      <c r="AV13" s="330"/>
      <c r="AW13" s="826"/>
      <c r="AX13" s="843"/>
      <c r="AY13" s="843"/>
      <c r="AZ13" s="12"/>
      <c r="BA13" s="12"/>
      <c r="BB13" s="839"/>
      <c r="BC13" s="12"/>
      <c r="BD13" s="12" t="s">
        <v>2343</v>
      </c>
      <c r="BE13" s="839"/>
      <c r="BF13" s="12"/>
      <c r="BG13" s="12"/>
      <c r="BH13" s="227"/>
      <c r="BI13" s="227"/>
      <c r="BJ13" s="839"/>
      <c r="BK13" s="228"/>
      <c r="BL13" s="228"/>
    </row>
    <row r="14" spans="1:64" s="3" customFormat="1" ht="108" hidden="1" customHeight="1">
      <c r="A14" s="332"/>
      <c r="B14" s="2805"/>
      <c r="C14" s="2806"/>
      <c r="D14" s="2807"/>
      <c r="E14" s="843"/>
      <c r="F14" s="2808"/>
      <c r="G14" s="2809"/>
      <c r="H14" s="2810"/>
      <c r="I14" s="2805"/>
      <c r="J14" s="2806"/>
      <c r="K14" s="2807"/>
      <c r="L14" s="330"/>
      <c r="M14" s="50"/>
      <c r="N14" s="32"/>
      <c r="O14" s="6" t="e">
        <f>VLOOKUP(L14,[26]Listas!$M$69:$N$73,2,0)</f>
        <v>#N/A</v>
      </c>
      <c r="P14" s="6"/>
      <c r="Q14" s="6" t="e">
        <f>HLOOKUP(M14,[26]Listas!$O$67:$Q$68,2,0)</f>
        <v>#N/A</v>
      </c>
      <c r="R14" s="331" t="e">
        <f>INDEX([26]Listas!$O$69:$Q$73,MATCH(L14,[26]Listas!$M$69:$M$73,0),MATCH(M14,[26]Listas!$O$67:$Q$67,0))</f>
        <v>#N/A</v>
      </c>
      <c r="S14" s="2805"/>
      <c r="T14" s="2806"/>
      <c r="U14" s="2807"/>
      <c r="V14" s="329"/>
      <c r="W14" s="329"/>
      <c r="X14" s="329"/>
      <c r="Y14" s="329"/>
      <c r="Z14" s="329"/>
      <c r="AA14" s="329"/>
      <c r="AB14" s="329"/>
      <c r="AC14" s="329"/>
      <c r="AD14" s="329"/>
      <c r="AE14" s="329"/>
      <c r="AF14" s="33"/>
      <c r="AG14" s="6">
        <f>IF(Y14="SI",15,0)</f>
        <v>0</v>
      </c>
      <c r="AH14" s="6">
        <f>IF(Z14="SI",5,0)</f>
        <v>0</v>
      </c>
      <c r="AI14" s="6">
        <f>IF(AA14="SI",15,0)</f>
        <v>0</v>
      </c>
      <c r="AJ14" s="6">
        <f>IF(AB14="SI",10,0)</f>
        <v>0</v>
      </c>
      <c r="AK14" s="6">
        <f>IF(AC14="SI",15,0)</f>
        <v>0</v>
      </c>
      <c r="AL14" s="6">
        <f>IF(AD14="SI",10,0)</f>
        <v>0</v>
      </c>
      <c r="AM14" s="6">
        <f>IF(AE14="SI",30,0)</f>
        <v>0</v>
      </c>
      <c r="AN14" s="6">
        <f>SUM(AG14+AH14+AI14+AJ14+AK14+AL14+AM14)</f>
        <v>0</v>
      </c>
      <c r="AO14" s="6">
        <f>IF(AN14&lt;=50,0,IF(AN14&gt;=76,2,1))</f>
        <v>0</v>
      </c>
      <c r="AP14" s="331" t="str">
        <f>CONCATENATE(AN14,"- disminuye ",AO14)</f>
        <v>0- disminuye 0</v>
      </c>
      <c r="AQ14" s="6" t="e">
        <f>IF(V14="SI",O14-AO14,O14)</f>
        <v>#N/A</v>
      </c>
      <c r="AR14" s="331" t="e">
        <f>IF(AQ14&lt;=1,"Rara vez",VLOOKUP(AQ14,[26]Listas!$L$69:$M$73,2,0))</f>
        <v>#N/A</v>
      </c>
      <c r="AS14" s="6" t="e">
        <f>IF(W14="SI",Q14-AO14,Q14)</f>
        <v>#N/A</v>
      </c>
      <c r="AT14" s="331" t="e">
        <f>IF(AS14&lt;=9,"Moderado",IF(AS14=20,"Catastrófico",IF(AS14=18,"Moderado","Mayor")))</f>
        <v>#N/A</v>
      </c>
      <c r="AU14" s="331" t="e">
        <f>INDEX([26]Listas!$O$69:$Q$73,MATCH(AR14,[26]Listas!$M$69:$M$73,0),MATCH(AT14,[26]Listas!$O$67:$Q$67,0))</f>
        <v>#N/A</v>
      </c>
      <c r="AV14" s="330"/>
      <c r="AW14" s="826"/>
      <c r="AX14" s="843"/>
      <c r="AY14" s="843"/>
      <c r="AZ14" s="12"/>
      <c r="BA14" s="12"/>
      <c r="BB14" s="839"/>
      <c r="BC14" s="12"/>
      <c r="BD14" s="12" t="s">
        <v>2343</v>
      </c>
      <c r="BE14" s="839"/>
      <c r="BF14" s="12"/>
      <c r="BG14" s="12"/>
      <c r="BH14" s="227"/>
      <c r="BI14" s="227"/>
      <c r="BJ14" s="839"/>
      <c r="BK14" s="228"/>
      <c r="BL14" s="228"/>
    </row>
    <row r="15" spans="1:64" s="3" customFormat="1" ht="108" hidden="1" customHeight="1">
      <c r="A15" s="332"/>
      <c r="B15" s="2805"/>
      <c r="C15" s="2806"/>
      <c r="D15" s="2807"/>
      <c r="E15" s="843"/>
      <c r="F15" s="2808"/>
      <c r="G15" s="2809"/>
      <c r="H15" s="2810"/>
      <c r="I15" s="2805"/>
      <c r="J15" s="2806"/>
      <c r="K15" s="2807"/>
      <c r="L15" s="330"/>
      <c r="M15" s="50"/>
      <c r="N15" s="32"/>
      <c r="O15" s="6" t="e">
        <f>VLOOKUP(L15,[26]Listas!$M$69:$N$73,2,0)</f>
        <v>#N/A</v>
      </c>
      <c r="P15" s="6"/>
      <c r="Q15" s="6" t="e">
        <f>HLOOKUP(M15,[26]Listas!$O$67:$Q$68,2,0)</f>
        <v>#N/A</v>
      </c>
      <c r="R15" s="331" t="e">
        <f>INDEX([26]Listas!$O$69:$Q$73,MATCH(L15,[26]Listas!$M$69:$M$73,0),MATCH(M15,[26]Listas!$O$67:$Q$67,0))</f>
        <v>#N/A</v>
      </c>
      <c r="S15" s="2805"/>
      <c r="T15" s="2806"/>
      <c r="U15" s="2807"/>
      <c r="V15" s="329"/>
      <c r="W15" s="329"/>
      <c r="X15" s="329"/>
      <c r="Y15" s="329"/>
      <c r="Z15" s="329"/>
      <c r="AA15" s="329"/>
      <c r="AB15" s="329"/>
      <c r="AC15" s="329"/>
      <c r="AD15" s="329"/>
      <c r="AE15" s="329"/>
      <c r="AF15" s="33"/>
      <c r="AG15" s="6">
        <f t="shared" si="0"/>
        <v>0</v>
      </c>
      <c r="AH15" s="6">
        <f t="shared" si="1"/>
        <v>0</v>
      </c>
      <c r="AI15" s="6">
        <f t="shared" si="2"/>
        <v>0</v>
      </c>
      <c r="AJ15" s="6">
        <f t="shared" si="3"/>
        <v>0</v>
      </c>
      <c r="AK15" s="6">
        <f t="shared" si="4"/>
        <v>0</v>
      </c>
      <c r="AL15" s="6">
        <f t="shared" si="5"/>
        <v>0</v>
      </c>
      <c r="AM15" s="6">
        <f t="shared" si="6"/>
        <v>0</v>
      </c>
      <c r="AN15" s="6">
        <f t="shared" si="7"/>
        <v>0</v>
      </c>
      <c r="AO15" s="6">
        <f t="shared" si="8"/>
        <v>0</v>
      </c>
      <c r="AP15" s="331" t="str">
        <f t="shared" si="9"/>
        <v>0- disminuye 0</v>
      </c>
      <c r="AQ15" s="6" t="e">
        <f t="shared" si="10"/>
        <v>#N/A</v>
      </c>
      <c r="AR15" s="331" t="e">
        <f>IF(AQ15&lt;=1,"Rara vez",VLOOKUP(AQ15,[26]Listas!$L$69:$M$73,2,0))</f>
        <v>#N/A</v>
      </c>
      <c r="AS15" s="6" t="e">
        <f t="shared" si="11"/>
        <v>#N/A</v>
      </c>
      <c r="AT15" s="331" t="e">
        <f t="shared" si="12"/>
        <v>#N/A</v>
      </c>
      <c r="AU15" s="331" t="e">
        <f>INDEX([26]Listas!$O$69:$Q$73,MATCH(AR15,[26]Listas!$M$69:$M$73,0),MATCH(AT15,[26]Listas!$O$67:$Q$67,0))</f>
        <v>#N/A</v>
      </c>
      <c r="AV15" s="330"/>
      <c r="AW15" s="826"/>
      <c r="AX15" s="843"/>
      <c r="AY15" s="843"/>
      <c r="AZ15" s="12"/>
      <c r="BA15" s="12"/>
      <c r="BB15" s="839"/>
      <c r="BC15" s="12"/>
      <c r="BD15" s="12" t="s">
        <v>2343</v>
      </c>
      <c r="BE15" s="839"/>
      <c r="BF15" s="12"/>
      <c r="BG15" s="12"/>
      <c r="BH15" s="227"/>
      <c r="BI15" s="227"/>
      <c r="BJ15" s="839"/>
      <c r="BK15" s="228"/>
      <c r="BL15" s="228"/>
    </row>
    <row r="16" spans="1:64" s="3" customFormat="1" ht="108" hidden="1" customHeight="1">
      <c r="A16" s="332"/>
      <c r="B16" s="2805"/>
      <c r="C16" s="2806"/>
      <c r="D16" s="2807"/>
      <c r="E16" s="843"/>
      <c r="F16" s="2808"/>
      <c r="G16" s="2809"/>
      <c r="H16" s="2810"/>
      <c r="I16" s="2805"/>
      <c r="J16" s="2806"/>
      <c r="K16" s="2807"/>
      <c r="L16" s="330"/>
      <c r="M16" s="50"/>
      <c r="N16" s="32"/>
      <c r="O16" s="6" t="e">
        <f>VLOOKUP(L16,[26]Listas!$M$69:$N$73,2,0)</f>
        <v>#N/A</v>
      </c>
      <c r="P16" s="6"/>
      <c r="Q16" s="6" t="e">
        <f>HLOOKUP(M16,[26]Listas!$O$67:$Q$68,2,0)</f>
        <v>#N/A</v>
      </c>
      <c r="R16" s="331" t="e">
        <f>INDEX([26]Listas!$O$69:$Q$73,MATCH(L16,[26]Listas!$M$69:$M$73,0),MATCH(M16,[26]Listas!$O$67:$Q$67,0))</f>
        <v>#N/A</v>
      </c>
      <c r="S16" s="826"/>
      <c r="T16" s="827"/>
      <c r="U16" s="828"/>
      <c r="V16" s="329"/>
      <c r="W16" s="329"/>
      <c r="X16" s="329"/>
      <c r="Y16" s="329"/>
      <c r="Z16" s="329"/>
      <c r="AA16" s="329"/>
      <c r="AB16" s="329"/>
      <c r="AC16" s="329"/>
      <c r="AD16" s="329"/>
      <c r="AE16" s="329"/>
      <c r="AF16" s="33"/>
      <c r="AG16" s="6">
        <f t="shared" si="0"/>
        <v>0</v>
      </c>
      <c r="AH16" s="6">
        <f t="shared" si="1"/>
        <v>0</v>
      </c>
      <c r="AI16" s="6">
        <f t="shared" si="2"/>
        <v>0</v>
      </c>
      <c r="AJ16" s="6">
        <f t="shared" si="3"/>
        <v>0</v>
      </c>
      <c r="AK16" s="6">
        <f t="shared" si="4"/>
        <v>0</v>
      </c>
      <c r="AL16" s="6">
        <f t="shared" si="5"/>
        <v>0</v>
      </c>
      <c r="AM16" s="6">
        <f t="shared" si="6"/>
        <v>0</v>
      </c>
      <c r="AN16" s="6">
        <f t="shared" si="7"/>
        <v>0</v>
      </c>
      <c r="AO16" s="6">
        <f t="shared" si="8"/>
        <v>0</v>
      </c>
      <c r="AP16" s="331" t="str">
        <f t="shared" si="9"/>
        <v>0- disminuye 0</v>
      </c>
      <c r="AQ16" s="6" t="e">
        <f t="shared" si="10"/>
        <v>#N/A</v>
      </c>
      <c r="AR16" s="331" t="e">
        <f>IF(AQ16&lt;=1,"Rara vez",VLOOKUP(AQ16,[26]Listas!$L$69:$M$73,2,0))</f>
        <v>#N/A</v>
      </c>
      <c r="AS16" s="6" t="e">
        <f t="shared" si="11"/>
        <v>#N/A</v>
      </c>
      <c r="AT16" s="331" t="e">
        <f t="shared" si="12"/>
        <v>#N/A</v>
      </c>
      <c r="AU16" s="331" t="e">
        <f>INDEX([26]Listas!$O$69:$Q$73,MATCH(AR16,[26]Listas!$M$69:$M$73,0),MATCH(AT16,[26]Listas!$O$67:$Q$67,0))</f>
        <v>#N/A</v>
      </c>
      <c r="AV16" s="330"/>
      <c r="AW16" s="826"/>
      <c r="AX16" s="843"/>
      <c r="AY16" s="843"/>
      <c r="AZ16" s="12"/>
      <c r="BA16" s="12"/>
      <c r="BB16" s="839"/>
      <c r="BC16" s="12"/>
      <c r="BD16" s="12" t="s">
        <v>2343</v>
      </c>
      <c r="BE16" s="839"/>
      <c r="BF16" s="12"/>
      <c r="BG16" s="12"/>
      <c r="BH16" s="227"/>
      <c r="BI16" s="227"/>
      <c r="BJ16" s="839"/>
      <c r="BK16" s="228"/>
      <c r="BL16" s="228"/>
    </row>
    <row r="17" spans="1:64" s="3" customFormat="1" ht="108" hidden="1" customHeight="1">
      <c r="A17" s="332"/>
      <c r="B17" s="2805"/>
      <c r="C17" s="2806"/>
      <c r="D17" s="2807"/>
      <c r="E17" s="843"/>
      <c r="F17" s="2808"/>
      <c r="G17" s="2809"/>
      <c r="H17" s="2810"/>
      <c r="I17" s="2805"/>
      <c r="J17" s="2806"/>
      <c r="K17" s="2807"/>
      <c r="L17" s="330"/>
      <c r="M17" s="50"/>
      <c r="N17" s="32"/>
      <c r="O17" s="6" t="e">
        <f>VLOOKUP(L17,[26]Listas!$M$69:$N$73,2,0)</f>
        <v>#N/A</v>
      </c>
      <c r="P17" s="6"/>
      <c r="Q17" s="6" t="e">
        <f>HLOOKUP(M17,[26]Listas!$O$67:$Q$68,2,0)</f>
        <v>#N/A</v>
      </c>
      <c r="R17" s="331" t="e">
        <f>INDEX([26]Listas!$O$69:$Q$73,MATCH(L17,[26]Listas!$M$69:$M$73,0),MATCH(M17,[26]Listas!$O$67:$Q$67,0))</f>
        <v>#N/A</v>
      </c>
      <c r="S17" s="2805"/>
      <c r="T17" s="2806"/>
      <c r="U17" s="2807"/>
      <c r="V17" s="329"/>
      <c r="W17" s="329"/>
      <c r="X17" s="329"/>
      <c r="Y17" s="329"/>
      <c r="Z17" s="329"/>
      <c r="AA17" s="329"/>
      <c r="AB17" s="329"/>
      <c r="AC17" s="329"/>
      <c r="AD17" s="329"/>
      <c r="AE17" s="329"/>
      <c r="AF17" s="33"/>
      <c r="AG17" s="6">
        <f>IF(Y17="SI",15,0)</f>
        <v>0</v>
      </c>
      <c r="AH17" s="6">
        <f>IF(Z17="SI",5,0)</f>
        <v>0</v>
      </c>
      <c r="AI17" s="6">
        <f>IF(AA17="SI",15,0)</f>
        <v>0</v>
      </c>
      <c r="AJ17" s="6">
        <f>IF(AB17="SI",10,0)</f>
        <v>0</v>
      </c>
      <c r="AK17" s="6">
        <f>IF(AC17="SI",15,0)</f>
        <v>0</v>
      </c>
      <c r="AL17" s="6">
        <f>IF(AD17="SI",10,0)</f>
        <v>0</v>
      </c>
      <c r="AM17" s="6">
        <f>IF(AE17="SI",30,0)</f>
        <v>0</v>
      </c>
      <c r="AN17" s="6">
        <f>SUM(AG17+AH17+AI17+AJ17+AK17+AL17+AM17)</f>
        <v>0</v>
      </c>
      <c r="AO17" s="6">
        <f>IF(AN17&lt;=50,0,IF(AN17&gt;=76,2,1))</f>
        <v>0</v>
      </c>
      <c r="AP17" s="331" t="str">
        <f>CONCATENATE(AN17,"- disminuye ",AO17)</f>
        <v>0- disminuye 0</v>
      </c>
      <c r="AQ17" s="6" t="e">
        <f>IF(V17="SI",O17-AO17,O17)</f>
        <v>#N/A</v>
      </c>
      <c r="AR17" s="331" t="e">
        <f>IF(AQ17&lt;=1,"Rara vez",VLOOKUP(AQ17,[26]Listas!$L$69:$M$73,2,0))</f>
        <v>#N/A</v>
      </c>
      <c r="AS17" s="6" t="e">
        <f>IF(W17="SI",Q17-AO17,Q17)</f>
        <v>#N/A</v>
      </c>
      <c r="AT17" s="331" t="e">
        <f>IF(AS17&lt;=9,"Moderado",IF(AS17=20,"Catastrófico",IF(AS17=18,"Moderado","Mayor")))</f>
        <v>#N/A</v>
      </c>
      <c r="AU17" s="331" t="e">
        <f>INDEX([26]Listas!$O$69:$Q$73,MATCH(AR17,[26]Listas!$M$69:$M$73,0),MATCH(AT17,[26]Listas!$O$67:$Q$67,0))</f>
        <v>#N/A</v>
      </c>
      <c r="AV17" s="330"/>
      <c r="AW17" s="826"/>
      <c r="AX17" s="843"/>
      <c r="AY17" s="843"/>
      <c r="AZ17" s="12"/>
      <c r="BA17" s="12"/>
      <c r="BB17" s="839"/>
      <c r="BC17" s="12"/>
      <c r="BD17" s="12" t="s">
        <v>2343</v>
      </c>
      <c r="BE17" s="839"/>
      <c r="BF17" s="12"/>
      <c r="BG17" s="12"/>
      <c r="BH17" s="227"/>
      <c r="BI17" s="227"/>
      <c r="BJ17" s="839"/>
      <c r="BK17" s="228"/>
      <c r="BL17" s="228"/>
    </row>
    <row r="18" spans="1:64" s="3" customFormat="1" ht="108" hidden="1" customHeight="1">
      <c r="A18" s="332"/>
      <c r="B18" s="2805"/>
      <c r="C18" s="2806"/>
      <c r="D18" s="2807"/>
      <c r="E18" s="843"/>
      <c r="F18" s="2808"/>
      <c r="G18" s="2809"/>
      <c r="H18" s="2810"/>
      <c r="I18" s="2805"/>
      <c r="J18" s="2806"/>
      <c r="K18" s="2807"/>
      <c r="L18" s="330"/>
      <c r="M18" s="50"/>
      <c r="N18" s="32"/>
      <c r="O18" s="6" t="e">
        <f>VLOOKUP(L18,[26]Listas!$M$69:$N$73,2,0)</f>
        <v>#N/A</v>
      </c>
      <c r="P18" s="6"/>
      <c r="Q18" s="6" t="e">
        <f>HLOOKUP(M18,[26]Listas!$O$67:$Q$68,2,0)</f>
        <v>#N/A</v>
      </c>
      <c r="R18" s="331" t="e">
        <f>INDEX([26]Listas!$O$69:$Q$73,MATCH(L18,[26]Listas!$M$69:$M$73,0),MATCH(M18,[26]Listas!$O$67:$Q$67,0))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vez",VLOOKUP(AQ18,[26]Listas!$L$69:$M$73,2,0))</f>
        <v>#N/A</v>
      </c>
      <c r="AS18" s="6" t="e">
        <f t="shared" si="11"/>
        <v>#N/A</v>
      </c>
      <c r="AT18" s="331" t="e">
        <f t="shared" si="12"/>
        <v>#N/A</v>
      </c>
      <c r="AU18" s="331" t="e">
        <f>INDEX([26]Listas!$O$69:$Q$73,MATCH(AR18,[26]Listas!$M$69:$M$73,0),MATCH(AT18,[26]Listas!$O$67:$Q$67,0))</f>
        <v>#N/A</v>
      </c>
      <c r="AV18" s="330"/>
      <c r="AW18" s="826"/>
      <c r="AX18" s="843"/>
      <c r="AY18" s="843"/>
      <c r="AZ18" s="12"/>
      <c r="BA18" s="12"/>
      <c r="BB18" s="839"/>
      <c r="BC18" s="12"/>
      <c r="BD18" s="12" t="s">
        <v>2343</v>
      </c>
      <c r="BE18" s="839"/>
      <c r="BF18" s="12"/>
      <c r="BG18" s="12"/>
      <c r="BH18" s="227"/>
      <c r="BI18" s="227"/>
      <c r="BJ18" s="839"/>
      <c r="BK18" s="228"/>
      <c r="BL18" s="228"/>
    </row>
    <row r="19" spans="1:64" s="3" customFormat="1" ht="108" hidden="1" customHeight="1">
      <c r="A19" s="332"/>
      <c r="B19" s="2805"/>
      <c r="C19" s="2806"/>
      <c r="D19" s="2807"/>
      <c r="E19" s="843"/>
      <c r="F19" s="2808"/>
      <c r="G19" s="2809"/>
      <c r="H19" s="2810"/>
      <c r="I19" s="2805"/>
      <c r="J19" s="2806"/>
      <c r="K19" s="2807"/>
      <c r="L19" s="330"/>
      <c r="M19" s="50"/>
      <c r="N19" s="32"/>
      <c r="O19" s="6" t="e">
        <f>VLOOKUP(L19,[26]Listas!$M$69:$N$73,2,0)</f>
        <v>#N/A</v>
      </c>
      <c r="P19" s="6"/>
      <c r="Q19" s="6" t="e">
        <f>HLOOKUP(M19,[26]Listas!$O$67:$Q$68,2,0)</f>
        <v>#N/A</v>
      </c>
      <c r="R19" s="331" t="e">
        <f>INDEX([26]Listas!$O$69:$Q$73,MATCH(L19,[26]Listas!$M$69:$M$73,0),MATCH(M19,[26]Listas!$O$67:$Q$67,0))</f>
        <v>#N/A</v>
      </c>
      <c r="S19" s="2805"/>
      <c r="T19" s="2806"/>
      <c r="U19" s="2807"/>
      <c r="V19" s="329"/>
      <c r="W19" s="329"/>
      <c r="X19" s="329"/>
      <c r="Y19" s="329"/>
      <c r="Z19" s="329"/>
      <c r="AA19" s="329"/>
      <c r="AB19" s="329"/>
      <c r="AC19" s="329"/>
      <c r="AD19" s="329"/>
      <c r="AE19" s="329"/>
      <c r="AF19" s="33"/>
      <c r="AG19" s="6">
        <f t="shared" si="0"/>
        <v>0</v>
      </c>
      <c r="AH19" s="6">
        <f t="shared" si="1"/>
        <v>0</v>
      </c>
      <c r="AI19" s="6">
        <f t="shared" si="2"/>
        <v>0</v>
      </c>
      <c r="AJ19" s="6">
        <f t="shared" si="3"/>
        <v>0</v>
      </c>
      <c r="AK19" s="6">
        <f t="shared" si="4"/>
        <v>0</v>
      </c>
      <c r="AL19" s="6">
        <f t="shared" si="5"/>
        <v>0</v>
      </c>
      <c r="AM19" s="6">
        <f t="shared" si="6"/>
        <v>0</v>
      </c>
      <c r="AN19" s="6">
        <f t="shared" si="7"/>
        <v>0</v>
      </c>
      <c r="AO19" s="6">
        <f t="shared" si="8"/>
        <v>0</v>
      </c>
      <c r="AP19" s="331" t="str">
        <f t="shared" si="9"/>
        <v>0- disminuye 0</v>
      </c>
      <c r="AQ19" s="6" t="e">
        <f t="shared" si="10"/>
        <v>#N/A</v>
      </c>
      <c r="AR19" s="331" t="e">
        <f>IF(AQ19&lt;=1,"Rara vez",VLOOKUP(AQ19,[26]Listas!$L$69:$M$73,2,0))</f>
        <v>#N/A</v>
      </c>
      <c r="AS19" s="6" t="e">
        <f t="shared" si="11"/>
        <v>#N/A</v>
      </c>
      <c r="AT19" s="331" t="e">
        <f t="shared" si="12"/>
        <v>#N/A</v>
      </c>
      <c r="AU19" s="331" t="e">
        <f>INDEX([26]Listas!$O$69:$Q$73,MATCH(AR19,[26]Listas!$M$69:$M$73,0),MATCH(AT19,[26]Listas!$O$67:$Q$67,0))</f>
        <v>#N/A</v>
      </c>
      <c r="AV19" s="330"/>
      <c r="AW19" s="826"/>
      <c r="AX19" s="843"/>
      <c r="AY19" s="843"/>
      <c r="AZ19" s="12"/>
      <c r="BA19" s="12"/>
      <c r="BB19" s="839"/>
      <c r="BC19" s="12"/>
      <c r="BD19" s="12" t="s">
        <v>2343</v>
      </c>
      <c r="BE19" s="839"/>
      <c r="BF19" s="12"/>
      <c r="BG19" s="12"/>
      <c r="BH19" s="227"/>
      <c r="BI19" s="227"/>
      <c r="BJ19" s="839"/>
      <c r="BK19" s="228"/>
      <c r="BL19" s="228"/>
    </row>
    <row r="20" spans="1:64" s="3" customFormat="1" ht="108" hidden="1" customHeight="1">
      <c r="A20" s="332"/>
      <c r="B20" s="2805"/>
      <c r="C20" s="2806"/>
      <c r="D20" s="2807"/>
      <c r="E20" s="843"/>
      <c r="F20" s="2808"/>
      <c r="G20" s="2809"/>
      <c r="H20" s="2810"/>
      <c r="I20" s="2805"/>
      <c r="J20" s="2806"/>
      <c r="K20" s="2807"/>
      <c r="L20" s="330"/>
      <c r="M20" s="50"/>
      <c r="N20" s="32"/>
      <c r="O20" s="6" t="e">
        <f>VLOOKUP(L20,[26]Listas!$M$69:$N$73,2,0)</f>
        <v>#N/A</v>
      </c>
      <c r="P20" s="6"/>
      <c r="Q20" s="6" t="e">
        <f>HLOOKUP(M20,[26]Listas!$O$67:$Q$68,2,0)</f>
        <v>#N/A</v>
      </c>
      <c r="R20" s="331" t="e">
        <f>INDEX([26]Listas!$O$69:$Q$73,MATCH(L20,[26]Listas!$M$69:$M$73,0),MATCH(M20,[26]Listas!$O$67:$Q$67,0))</f>
        <v>#N/A</v>
      </c>
      <c r="S20" s="2805"/>
      <c r="T20" s="2806"/>
      <c r="U20" s="2807"/>
      <c r="V20" s="329"/>
      <c r="W20" s="329"/>
      <c r="X20" s="329"/>
      <c r="Y20" s="329"/>
      <c r="Z20" s="329"/>
      <c r="AA20" s="329"/>
      <c r="AB20" s="329"/>
      <c r="AC20" s="329"/>
      <c r="AD20" s="329"/>
      <c r="AE20" s="329"/>
      <c r="AF20" s="33"/>
      <c r="AG20" s="6">
        <f>IF(Y20="SI",15,0)</f>
        <v>0</v>
      </c>
      <c r="AH20" s="6">
        <f>IF(Z20="SI",5,0)</f>
        <v>0</v>
      </c>
      <c r="AI20" s="6">
        <f>IF(AA20="SI",15,0)</f>
        <v>0</v>
      </c>
      <c r="AJ20" s="6">
        <f>IF(AB20="SI",10,0)</f>
        <v>0</v>
      </c>
      <c r="AK20" s="6">
        <f>IF(AC20="SI",15,0)</f>
        <v>0</v>
      </c>
      <c r="AL20" s="6">
        <f>IF(AD20="SI",10,0)</f>
        <v>0</v>
      </c>
      <c r="AM20" s="6">
        <f>IF(AE20="SI",30,0)</f>
        <v>0</v>
      </c>
      <c r="AN20" s="6">
        <f>SUM(AG20+AH20+AI20+AJ20+AK20+AL20+AM20)</f>
        <v>0</v>
      </c>
      <c r="AO20" s="6">
        <f>IF(AN20&lt;=50,0,IF(AN20&gt;=76,2,1))</f>
        <v>0</v>
      </c>
      <c r="AP20" s="331" t="str">
        <f>CONCATENATE(AN20,"- disminuye ",AO20)</f>
        <v>0- disminuye 0</v>
      </c>
      <c r="AQ20" s="6" t="e">
        <f>IF(V20="SI",O20-AO20,O20)</f>
        <v>#N/A</v>
      </c>
      <c r="AR20" s="331" t="e">
        <f>IF(AQ20&lt;=1,"Rara vez",VLOOKUP(AQ20,[26]Listas!$L$69:$M$73,2,0))</f>
        <v>#N/A</v>
      </c>
      <c r="AS20" s="6" t="e">
        <f>IF(W20="SI",Q20-AO20,Q20)</f>
        <v>#N/A</v>
      </c>
      <c r="AT20" s="331" t="e">
        <f>IF(AS20&lt;=9,"Moderado",IF(AS20=20,"Catastrófico",IF(AS20=18,"Moderado","Mayor")))</f>
        <v>#N/A</v>
      </c>
      <c r="AU20" s="331" t="e">
        <f>INDEX([26]Listas!$O$69:$Q$73,MATCH(AR20,[26]Listas!$M$69:$M$73,0),MATCH(AT20,[26]Listas!$O$67:$Q$67,0))</f>
        <v>#N/A</v>
      </c>
      <c r="AV20" s="330"/>
      <c r="AW20" s="826"/>
      <c r="AX20" s="843"/>
      <c r="AY20" s="843"/>
      <c r="AZ20" s="12"/>
      <c r="BA20" s="12"/>
      <c r="BB20" s="839"/>
      <c r="BC20" s="12"/>
      <c r="BD20" s="12" t="s">
        <v>2343</v>
      </c>
      <c r="BE20" s="839"/>
      <c r="BF20" s="12"/>
      <c r="BG20" s="12"/>
      <c r="BH20" s="227"/>
      <c r="BI20" s="227"/>
      <c r="BJ20" s="839"/>
      <c r="BK20" s="228"/>
      <c r="BL20" s="228"/>
    </row>
    <row r="21" spans="1:64" s="3" customFormat="1" ht="108" hidden="1" customHeight="1">
      <c r="A21" s="332"/>
      <c r="B21" s="2805"/>
      <c r="C21" s="2806"/>
      <c r="D21" s="2807"/>
      <c r="E21" s="843"/>
      <c r="F21" s="2808"/>
      <c r="G21" s="2809"/>
      <c r="H21" s="2810"/>
      <c r="I21" s="2805"/>
      <c r="J21" s="2806"/>
      <c r="K21" s="2807"/>
      <c r="L21" s="330"/>
      <c r="M21" s="50"/>
      <c r="N21" s="32"/>
      <c r="O21" s="6" t="e">
        <f>VLOOKUP(L21,[26]Listas!$M$69:$N$73,2,0)</f>
        <v>#N/A</v>
      </c>
      <c r="P21" s="6"/>
      <c r="Q21" s="6" t="e">
        <f>HLOOKUP(M21,[26]Listas!$O$67:$Q$68,2,0)</f>
        <v>#N/A</v>
      </c>
      <c r="R21" s="331" t="e">
        <f>INDEX([26]Listas!$O$69:$Q$73,MATCH(L21,[26]Listas!$M$69:$M$73,0),MATCH(M21,[26]Listas!$O$67:$Q$67,0))</f>
        <v>#N/A</v>
      </c>
      <c r="S21" s="2805"/>
      <c r="T21" s="2806"/>
      <c r="U21" s="2807"/>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vez",VLOOKUP(AQ21,[26]Listas!$L$69:$M$73,2,0))</f>
        <v>#N/A</v>
      </c>
      <c r="AS21" s="6" t="e">
        <f t="shared" si="11"/>
        <v>#N/A</v>
      </c>
      <c r="AT21" s="331" t="e">
        <f t="shared" si="12"/>
        <v>#N/A</v>
      </c>
      <c r="AU21" s="331" t="e">
        <f>INDEX([26]Listas!$O$69:$Q$73,MATCH(AR21,[26]Listas!$M$69:$M$73,0),MATCH(AT21,[26]Listas!$O$67:$Q$67,0))</f>
        <v>#N/A</v>
      </c>
      <c r="AV21" s="330"/>
      <c r="AW21" s="826"/>
      <c r="AX21" s="843"/>
      <c r="AY21" s="843"/>
      <c r="AZ21" s="12"/>
      <c r="BA21" s="12"/>
      <c r="BB21" s="839"/>
      <c r="BC21" s="12"/>
      <c r="BD21" s="12" t="s">
        <v>2343</v>
      </c>
      <c r="BE21" s="839"/>
      <c r="BF21" s="12"/>
      <c r="BG21" s="12"/>
      <c r="BH21" s="227"/>
      <c r="BI21" s="227"/>
      <c r="BJ21" s="839"/>
      <c r="BK21" s="228"/>
      <c r="BL21" s="228"/>
    </row>
    <row r="22" spans="1:64" ht="6.75" customHeight="1">
      <c r="A22" s="2"/>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1:64" ht="15" customHeight="1">
      <c r="A23" s="317"/>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1:64" s="22" customFormat="1" ht="19.5" customHeight="1">
      <c r="A24" s="10"/>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4" t="s">
        <v>172</v>
      </c>
      <c r="AS24" s="2804"/>
      <c r="AT24" s="2804"/>
      <c r="AU24" s="2804"/>
      <c r="AV24" s="2804"/>
      <c r="AW24" s="2804"/>
      <c r="AX24" s="65"/>
      <c r="AY24" s="65"/>
      <c r="AZ24" s="68"/>
      <c r="BA24" s="68"/>
      <c r="BB24" s="92"/>
      <c r="BC24" s="68"/>
      <c r="BD24" s="68"/>
      <c r="BE24" s="92"/>
      <c r="BF24" s="68"/>
      <c r="BG24" s="68"/>
      <c r="BH24" s="230"/>
      <c r="BI24" s="230"/>
      <c r="BJ24" s="92"/>
      <c r="BK24" s="210"/>
      <c r="BL24" s="210"/>
    </row>
    <row r="25" spans="1:64" s="22" customFormat="1" ht="36" customHeight="1">
      <c r="A25" s="11"/>
      <c r="B25" s="2794" t="s">
        <v>280</v>
      </c>
      <c r="C25" s="2795"/>
      <c r="D25" s="2795"/>
      <c r="E25" s="2795"/>
      <c r="F25" s="2795"/>
      <c r="G25" s="2795"/>
      <c r="H25" s="2796"/>
      <c r="I25" s="2797" t="s">
        <v>281</v>
      </c>
      <c r="J25" s="2798"/>
      <c r="K25" s="2798"/>
      <c r="L25" s="2798"/>
      <c r="M25" s="2798"/>
      <c r="N25" s="2798"/>
      <c r="O25" s="2798"/>
      <c r="P25" s="2798"/>
      <c r="Q25" s="2798"/>
      <c r="R25" s="2798"/>
      <c r="S25" s="2798"/>
      <c r="T25" s="2798"/>
      <c r="U25" s="2799"/>
      <c r="V25" s="2794" t="s">
        <v>282</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68"/>
      <c r="BA25" s="68"/>
      <c r="BB25" s="92"/>
      <c r="BC25" s="68"/>
      <c r="BD25" s="68"/>
      <c r="BE25" s="92"/>
      <c r="BF25" s="68"/>
      <c r="BG25" s="68"/>
      <c r="BH25" s="230"/>
      <c r="BI25" s="230"/>
      <c r="BJ25" s="92"/>
      <c r="BK25" s="210"/>
      <c r="BL25" s="210"/>
    </row>
    <row r="26" spans="1:64" s="22" customFormat="1" ht="25.5" hidden="1" customHeight="1">
      <c r="A26" s="11"/>
      <c r="B26" s="2794"/>
      <c r="C26" s="2795"/>
      <c r="D26" s="2795"/>
      <c r="E26" s="2795"/>
      <c r="F26" s="2795"/>
      <c r="G26" s="2795"/>
      <c r="H26" s="2796"/>
      <c r="I26" s="2797"/>
      <c r="J26" s="2798"/>
      <c r="K26" s="2798"/>
      <c r="L26" s="2798"/>
      <c r="M26" s="2798"/>
      <c r="N26" s="2798"/>
      <c r="O26" s="2798"/>
      <c r="P26" s="2798"/>
      <c r="Q26" s="2798"/>
      <c r="R26" s="2798"/>
      <c r="S26" s="2798"/>
      <c r="T26" s="2798"/>
      <c r="U26" s="2799"/>
      <c r="V26" s="2794"/>
      <c r="W26" s="2795"/>
      <c r="X26" s="2795"/>
      <c r="Y26" s="2795"/>
      <c r="Z26" s="2795"/>
      <c r="AA26" s="2795"/>
      <c r="AB26" s="2795"/>
      <c r="AC26" s="2795"/>
      <c r="AD26" s="2795"/>
      <c r="AE26" s="2795"/>
      <c r="AF26" s="2795"/>
      <c r="AG26" s="2795"/>
      <c r="AH26" s="2795"/>
      <c r="AI26" s="2795"/>
      <c r="AJ26" s="2795"/>
      <c r="AK26" s="2795"/>
      <c r="AL26" s="2795"/>
      <c r="AM26" s="2795"/>
      <c r="AN26" s="2795"/>
      <c r="AO26" s="2795"/>
      <c r="AP26" s="2796"/>
      <c r="AQ26" s="12"/>
      <c r="AR26" s="2800"/>
      <c r="AS26" s="2800"/>
      <c r="AT26" s="2800"/>
      <c r="AU26" s="2800"/>
      <c r="AV26" s="2800"/>
      <c r="AW26" s="2800"/>
      <c r="AX26" s="65"/>
      <c r="AY26" s="65"/>
      <c r="AZ26" s="68"/>
      <c r="BA26" s="68"/>
      <c r="BB26" s="92"/>
      <c r="BC26" s="68"/>
      <c r="BD26" s="68"/>
      <c r="BE26" s="92"/>
      <c r="BF26" s="68"/>
      <c r="BG26" s="68"/>
      <c r="BH26" s="230"/>
      <c r="BI26" s="230"/>
      <c r="BJ26" s="92"/>
      <c r="BK26" s="210"/>
      <c r="BL26" s="210"/>
    </row>
    <row r="27" spans="1:64">
      <c r="A27" s="13"/>
      <c r="B27" s="13"/>
      <c r="C27" s="13"/>
      <c r="D27" s="13"/>
      <c r="E27" s="14"/>
      <c r="F27" s="13"/>
      <c r="G27" s="13"/>
      <c r="H27" s="13"/>
      <c r="I27" s="13"/>
      <c r="J27" s="13"/>
      <c r="K27" s="13"/>
      <c r="L27" s="15"/>
      <c r="M27" s="15"/>
      <c r="N27" s="15"/>
      <c r="O27" s="15"/>
      <c r="P27" s="15"/>
      <c r="Q27" s="15"/>
      <c r="R27" s="15"/>
      <c r="S27" s="15"/>
      <c r="T27" s="15"/>
      <c r="U27" s="15"/>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5"/>
      <c r="AW27" s="15"/>
      <c r="AZ27" s="68"/>
      <c r="BA27" s="68"/>
      <c r="BB27" s="92"/>
      <c r="BC27" s="68"/>
      <c r="BD27" s="68"/>
      <c r="BE27" s="92"/>
      <c r="BF27" s="68"/>
      <c r="BG27" s="68"/>
      <c r="BH27" s="230"/>
      <c r="BI27" s="230"/>
      <c r="BJ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2">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2">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2">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2">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2">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2">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2">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2">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2">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2">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2">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2">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2">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1:62">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row>
    <row r="95" spans="1:62">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2">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1:64" ht="11.25">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c r="AZ97" s="231"/>
      <c r="BA97" s="231"/>
      <c r="BB97" s="231"/>
      <c r="BC97" s="231"/>
      <c r="BD97" s="231"/>
      <c r="BE97" s="231"/>
      <c r="BF97" s="231"/>
      <c r="BG97" s="231"/>
      <c r="BH97" s="231"/>
      <c r="BI97" s="231"/>
      <c r="BJ97" s="231"/>
      <c r="BK97" s="231"/>
      <c r="BL97" s="231"/>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ht="11.25">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1:64">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1:49">
      <c r="A119" s="13"/>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sheetData>
  <sheetProtection formatCells="0" formatColumns="0" formatRows="0" insertRows="0" deleteRows="0" sort="0" autoFilter="0" pivotTables="0"/>
  <mergeCells count="92">
    <mergeCell ref="A1:AB1"/>
    <mergeCell ref="AC1:AU4"/>
    <mergeCell ref="BB1:BE1"/>
    <mergeCell ref="A2:AB2"/>
    <mergeCell ref="BB2:BC2"/>
    <mergeCell ref="BD2:BE2"/>
    <mergeCell ref="A3:D3"/>
    <mergeCell ref="E3:U3"/>
    <mergeCell ref="V3:AB3"/>
    <mergeCell ref="BB3:BC3"/>
    <mergeCell ref="AA6:BA6"/>
    <mergeCell ref="BD3:BE3"/>
    <mergeCell ref="A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B13:D13"/>
    <mergeCell ref="F13:H13"/>
    <mergeCell ref="I13:K13"/>
    <mergeCell ref="S13:U13"/>
    <mergeCell ref="B14:D14"/>
    <mergeCell ref="F14:H14"/>
    <mergeCell ref="I14:K14"/>
    <mergeCell ref="S14:U14"/>
    <mergeCell ref="B15:D15"/>
    <mergeCell ref="F15:H15"/>
    <mergeCell ref="I15:K15"/>
    <mergeCell ref="S15:U15"/>
    <mergeCell ref="B16:D16"/>
    <mergeCell ref="F16:H16"/>
    <mergeCell ref="I16:K16"/>
    <mergeCell ref="B17:D17"/>
    <mergeCell ref="F17:H17"/>
    <mergeCell ref="I17:K17"/>
    <mergeCell ref="S17:U17"/>
    <mergeCell ref="B18:D18"/>
    <mergeCell ref="F18:H18"/>
    <mergeCell ref="I18:K18"/>
    <mergeCell ref="S18:U18"/>
    <mergeCell ref="B19:D19"/>
    <mergeCell ref="F19:H19"/>
    <mergeCell ref="I19:K19"/>
    <mergeCell ref="S19:U19"/>
    <mergeCell ref="B20:D20"/>
    <mergeCell ref="F20:H20"/>
    <mergeCell ref="I20:K20"/>
    <mergeCell ref="S20:U20"/>
    <mergeCell ref="B21:D21"/>
    <mergeCell ref="F21:H21"/>
    <mergeCell ref="I21:K21"/>
    <mergeCell ref="S21:U21"/>
    <mergeCell ref="B23:U23"/>
    <mergeCell ref="B26:H26"/>
    <mergeCell ref="I26:U26"/>
    <mergeCell ref="V26:AP26"/>
    <mergeCell ref="AR26:AW26"/>
    <mergeCell ref="V24:AP24"/>
    <mergeCell ref="AR24:AW24"/>
    <mergeCell ref="B25:H25"/>
    <mergeCell ref="I25:U25"/>
    <mergeCell ref="V25:AP25"/>
    <mergeCell ref="AR25:AW25"/>
    <mergeCell ref="B24:H24"/>
    <mergeCell ref="I24:U24"/>
  </mergeCells>
  <dataValidations count="8">
    <dataValidation type="list" allowBlank="1" showInputMessage="1" showErrorMessage="1" sqref="BE10:BE21">
      <formula1>Efectividad</formula1>
    </dataValidation>
    <dataValidation type="list" allowBlank="1" showInputMessage="1" sqref="AV10:AV21">
      <formula1>Periodo</formula1>
    </dataValidation>
    <dataValidation type="list" showInputMessage="1" showErrorMessage="1" sqref="V10:AF21">
      <formula1>Efectividad</formula1>
    </dataValidation>
    <dataValidation showInputMessage="1" showErrorMessage="1" sqref="AG10:AT21"/>
    <dataValidation type="list" allowBlank="1" showInputMessage="1" showErrorMessage="1" sqref="M10:N21">
      <formula1>Impacto</formula1>
    </dataValidation>
    <dataValidation type="list" showInputMessage="1" showErrorMessage="1" sqref="L10:L21">
      <formula1>Probabilidad</formula1>
    </dataValidation>
    <dataValidation type="list" sqref="BD4:BE4">
      <formula1>Monitoreo</formula1>
    </dataValidation>
    <dataValidation type="list" allowBlank="1" showInputMessage="1" showErrorMessage="1" sqref="L6">
      <formula1>Proceso</formula1>
    </dataValidation>
  </dataValidations>
  <printOptions horizontalCentered="1" verticalCentered="1"/>
  <pageMargins left="0.23622047244094491" right="0.23622047244094491" top="0.74803149606299213" bottom="0.35433070866141736" header="0.31496062992125984" footer="0.31496062992125984"/>
  <pageSetup scale="68" orientation="landscape" r:id="rId1"/>
  <headerFooter>
    <oddFooter>&amp;L&amp;"Segoe UI,Normal"&amp;9Formato: FO-AC-07 Versión: 3&amp;C&amp;"Segoe UI,Normal"&amp;9Página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19"/>
  <sheetViews>
    <sheetView showGridLines="0" view="pageBreakPreview" zoomScaleNormal="100" zoomScaleSheetLayoutView="100" workbookViewId="0">
      <selection sqref="A1:AB1"/>
    </sheetView>
  </sheetViews>
  <sheetFormatPr baseColWidth="10" defaultRowHeight="15"/>
  <cols>
    <col min="1" max="1" width="1.140625" style="16" customWidth="1"/>
    <col min="2" max="3" width="5.42578125" style="16" customWidth="1"/>
    <col min="4" max="4" width="2.42578125" style="16" customWidth="1"/>
    <col min="5" max="5" width="7.28515625" style="17" customWidth="1"/>
    <col min="6" max="7" width="4.5703125" style="16" customWidth="1"/>
    <col min="8" max="8" width="4.85546875" style="16" customWidth="1"/>
    <col min="9" max="9" width="4.5703125" style="16" customWidth="1"/>
    <col min="10" max="10" width="3.7109375" style="16" customWidth="1"/>
    <col min="11" max="11" width="7.85546875" style="16" customWidth="1"/>
    <col min="12" max="12" width="4.42578125" style="18" customWidth="1"/>
    <col min="13"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5.85546875" style="18" customWidth="1"/>
    <col min="19" max="19" width="7.140625" style="18" customWidth="1"/>
    <col min="20" max="20" width="10" style="18" customWidth="1"/>
    <col min="21" max="21" width="0.4257812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customWidth="1"/>
    <col min="45" max="45" width="5.140625" style="17" hidden="1" customWidth="1"/>
    <col min="46" max="46" width="3.28515625" style="17" customWidth="1"/>
    <col min="47" max="47" width="4.28515625" style="17" customWidth="1"/>
    <col min="48" max="48" width="4.28515625" style="18" customWidth="1"/>
    <col min="49" max="49" width="12.85546875" style="18" customWidth="1"/>
    <col min="50" max="50" width="25.140625" style="21" customWidth="1"/>
    <col min="51" max="51" width="3.85546875" style="21" customWidth="1"/>
    <col min="52" max="52" width="32" style="503" customWidth="1"/>
    <col min="53" max="53" width="20.85546875" style="210" customWidth="1"/>
    <col min="54" max="54" width="12.85546875" style="210" customWidth="1"/>
    <col min="55" max="55" width="56.5703125" style="210" customWidth="1"/>
    <col min="56" max="56" width="28.5703125" style="210" customWidth="1"/>
    <col min="57" max="57" width="5.85546875" style="210" customWidth="1"/>
    <col min="58" max="58" width="31.5703125" style="210" hidden="1" customWidth="1"/>
    <col min="59" max="59" width="16.140625" style="210" hidden="1" customWidth="1"/>
    <col min="60" max="61" width="9.28515625" style="210" hidden="1" customWidth="1"/>
    <col min="62" max="62" width="11.140625" style="210" hidden="1" customWidth="1"/>
    <col min="63" max="63" width="2.140625" style="210" customWidth="1"/>
    <col min="64" max="64" width="11.42578125" style="210" customWidth="1"/>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514" t="s">
        <v>2319</v>
      </c>
      <c r="BA1" s="208"/>
      <c r="BB1" s="2855" t="s">
        <v>2320</v>
      </c>
      <c r="BC1" s="2856"/>
      <c r="BD1" s="2856"/>
      <c r="BE1" s="2857"/>
      <c r="BF1" s="208"/>
      <c r="BG1" s="208"/>
    </row>
    <row r="2" spans="1:64" ht="22.5" customHeight="1">
      <c r="A2" s="2858" t="str">
        <f>UPPER([21]Control!A2)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513">
        <v>2019</v>
      </c>
      <c r="BA2" s="208"/>
      <c r="BB2" s="2830" t="s">
        <v>138</v>
      </c>
      <c r="BC2" s="2831"/>
      <c r="BD2" s="2878" t="str">
        <f>L6</f>
        <v xml:space="preserve">INNOVACIÓN Y GESTIÓN DEL CONOCIMIENTO </v>
      </c>
      <c r="BE2" s="2879"/>
      <c r="BF2" s="208"/>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990" t="s">
        <v>2321</v>
      </c>
      <c r="BA3" s="208"/>
      <c r="BB3" s="2830" t="s">
        <v>2322</v>
      </c>
      <c r="BC3" s="2831"/>
      <c r="BD3" s="2830" t="s">
        <v>2323</v>
      </c>
      <c r="BE3" s="2831"/>
      <c r="BF3" s="208"/>
      <c r="BG3" s="208"/>
    </row>
    <row r="4" spans="1:64" ht="30.75" customHeight="1" thickBot="1">
      <c r="A4" s="2832" t="str">
        <f>[21]Control!A4</f>
        <v>FO-PE-05</v>
      </c>
      <c r="B4" s="2833"/>
      <c r="C4" s="2833"/>
      <c r="D4" s="2834"/>
      <c r="E4" s="2835" t="str">
        <f>[21]Control!C4</f>
        <v>Planeación Estratégica</v>
      </c>
      <c r="F4" s="2833"/>
      <c r="G4" s="2833"/>
      <c r="H4" s="2833"/>
      <c r="I4" s="2833"/>
      <c r="J4" s="2833"/>
      <c r="K4" s="2833"/>
      <c r="L4" s="2833"/>
      <c r="M4" s="2833"/>
      <c r="N4" s="2833"/>
      <c r="O4" s="2833"/>
      <c r="P4" s="2833"/>
      <c r="Q4" s="2833"/>
      <c r="R4" s="2833"/>
      <c r="S4" s="2833"/>
      <c r="T4" s="2833"/>
      <c r="U4" s="2834"/>
      <c r="V4" s="2835">
        <f>[21]Control!H4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991">
        <v>43710</v>
      </c>
      <c r="BA4" s="208"/>
      <c r="BB4" s="2877">
        <v>43710</v>
      </c>
      <c r="BC4" s="2838"/>
      <c r="BD4" s="2838" t="s">
        <v>500</v>
      </c>
      <c r="BE4" s="2838"/>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45.75" customHeight="1">
      <c r="A6" s="2"/>
      <c r="B6" s="2839" t="s">
        <v>57</v>
      </c>
      <c r="C6" s="2840"/>
      <c r="D6" s="2805" t="s">
        <v>58</v>
      </c>
      <c r="E6" s="2806"/>
      <c r="F6" s="2806"/>
      <c r="G6" s="2806"/>
      <c r="H6" s="2807"/>
      <c r="I6" s="2839" t="s">
        <v>138</v>
      </c>
      <c r="J6" s="2841"/>
      <c r="K6" s="2840"/>
      <c r="L6" s="2842" t="s">
        <v>66</v>
      </c>
      <c r="M6" s="2843"/>
      <c r="N6" s="2843"/>
      <c r="O6" s="2843"/>
      <c r="P6" s="2843"/>
      <c r="Q6" s="2843"/>
      <c r="R6" s="2843"/>
      <c r="S6" s="2843"/>
      <c r="T6" s="2843"/>
      <c r="U6" s="2844"/>
      <c r="V6" s="2845" t="s">
        <v>59</v>
      </c>
      <c r="W6" s="2845"/>
      <c r="X6" s="2845"/>
      <c r="Y6" s="2845"/>
      <c r="Z6" s="2845"/>
      <c r="AA6" s="2874" t="s">
        <v>3215</v>
      </c>
      <c r="AB6" s="2875"/>
      <c r="AC6" s="2875"/>
      <c r="AD6" s="2875"/>
      <c r="AE6" s="2875"/>
      <c r="AF6" s="2875"/>
      <c r="AG6" s="2875"/>
      <c r="AH6" s="2875"/>
      <c r="AI6" s="2875"/>
      <c r="AJ6" s="2875"/>
      <c r="AK6" s="2875"/>
      <c r="AL6" s="2875"/>
      <c r="AM6" s="2875"/>
      <c r="AN6" s="2875"/>
      <c r="AO6" s="2875"/>
      <c r="AP6" s="2875"/>
      <c r="AQ6" s="2875"/>
      <c r="AR6" s="2875"/>
      <c r="AS6" s="2875"/>
      <c r="AT6" s="2875"/>
      <c r="AU6" s="2875"/>
      <c r="AV6" s="2875"/>
      <c r="AW6" s="2875"/>
      <c r="AX6" s="2875"/>
      <c r="AY6" s="2875"/>
      <c r="AZ6" s="2875"/>
      <c r="BA6" s="2876"/>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1:64" s="22" customFormat="1" ht="369" customHeight="1">
      <c r="A10" s="92"/>
      <c r="B10" s="2868" t="s">
        <v>2486</v>
      </c>
      <c r="C10" s="2869"/>
      <c r="D10" s="2870"/>
      <c r="E10" s="51" t="s">
        <v>2029</v>
      </c>
      <c r="F10" s="2871" t="s">
        <v>4015</v>
      </c>
      <c r="G10" s="2872"/>
      <c r="H10" s="2873"/>
      <c r="I10" s="2868" t="s">
        <v>891</v>
      </c>
      <c r="J10" s="2869"/>
      <c r="K10" s="2870"/>
      <c r="L10" s="325" t="s">
        <v>283</v>
      </c>
      <c r="M10" s="325" t="s">
        <v>270</v>
      </c>
      <c r="N10" s="325"/>
      <c r="O10" s="508">
        <f>VLOOKUP(L10,[21]Listas!$M$69:$N$73,2,0)</f>
        <v>1</v>
      </c>
      <c r="P10" s="508"/>
      <c r="Q10" s="508">
        <f>HLOOKUP(M10,[21]Listas!$O$67:$Q$68,2,0)</f>
        <v>10</v>
      </c>
      <c r="R10" s="507" t="str">
        <f>INDEX([21]Listas!$O$69:$Q$73,MATCH(L10,[21]Listas!$M$69:$M$73,0),MATCH(M10,[21]Listas!$O$67:$Q$67,0))</f>
        <v>10
BAJA</v>
      </c>
      <c r="S10" s="2868" t="s">
        <v>4016</v>
      </c>
      <c r="T10" s="2869"/>
      <c r="U10" s="2870"/>
      <c r="V10" s="839" t="s">
        <v>65</v>
      </c>
      <c r="W10" s="839" t="s">
        <v>36</v>
      </c>
      <c r="X10" s="839" t="s">
        <v>36</v>
      </c>
      <c r="Y10" s="839" t="s">
        <v>65</v>
      </c>
      <c r="Z10" s="839" t="s">
        <v>65</v>
      </c>
      <c r="AA10" s="839" t="s">
        <v>36</v>
      </c>
      <c r="AB10" s="839" t="s">
        <v>65</v>
      </c>
      <c r="AC10" s="839" t="s">
        <v>65</v>
      </c>
      <c r="AD10" s="839" t="s">
        <v>65</v>
      </c>
      <c r="AE10" s="839" t="s">
        <v>65</v>
      </c>
      <c r="AF10" s="839"/>
      <c r="AG10" s="512">
        <f t="shared" ref="AG10:AG21" si="0">IF(Y10="SI",15,0)</f>
        <v>15</v>
      </c>
      <c r="AH10" s="512">
        <f t="shared" ref="AH10:AH21" si="1">IF(Z10="SI",5,0)</f>
        <v>5</v>
      </c>
      <c r="AI10" s="512">
        <f t="shared" ref="AI10:AI21" si="2">IF(AA10="SI",15,0)</f>
        <v>0</v>
      </c>
      <c r="AJ10" s="512">
        <f t="shared" ref="AJ10:AJ21" si="3">IF(AB10="SI",10,0)</f>
        <v>10</v>
      </c>
      <c r="AK10" s="512">
        <f t="shared" ref="AK10:AK21" si="4">IF(AC10="SI",15,0)</f>
        <v>15</v>
      </c>
      <c r="AL10" s="512">
        <f t="shared" ref="AL10:AL21" si="5">IF(AD10="SI",10,0)</f>
        <v>10</v>
      </c>
      <c r="AM10" s="512">
        <f t="shared" ref="AM10:AM21" si="6">IF(AE10="SI",30,0)</f>
        <v>30</v>
      </c>
      <c r="AN10" s="512">
        <f t="shared" ref="AN10:AN21" si="7">SUM(AG10+AH10+AI10+AJ10+AK10+AL10+AM10)</f>
        <v>85</v>
      </c>
      <c r="AO10" s="512">
        <f t="shared" ref="AO10:AO21" si="8">IF(AN10&lt;=50,0,IF(AN10&gt;=76,2,1))</f>
        <v>2</v>
      </c>
      <c r="AP10" s="511" t="str">
        <f t="shared" ref="AP10:AP21" si="9">CONCATENATE(AN10,"- disminuye ",AO10)</f>
        <v>85- disminuye 2</v>
      </c>
      <c r="AQ10" s="512">
        <f t="shared" ref="AQ10:AQ21" si="10">IF(V10="SI",O10-AO10,O10)</f>
        <v>-1</v>
      </c>
      <c r="AR10" s="511" t="str">
        <f>IF(AQ10&lt;=1,"Rara vez",VLOOKUP(AQ10,[21]Listas!$L$69:$M$73,2,0))</f>
        <v>Rara vez</v>
      </c>
      <c r="AS10" s="512">
        <f t="shared" ref="AS10:AS21" si="11">IF(W10="SI",Q10-AO10,Q10)</f>
        <v>10</v>
      </c>
      <c r="AT10" s="511" t="str">
        <f t="shared" ref="AT10:AT21" si="12">IF(AS10&lt;=9,"Moderado",IF(AS10=20,"Catastrófico",IF(AS10=18,"Moderado","Mayor")))</f>
        <v>Mayor</v>
      </c>
      <c r="AU10" s="511" t="str">
        <f>INDEX([21]Listas!$O$69:$Q$73,MATCH(AR10,[21]Listas!$M$69:$M$73,0),MATCH(AT10,[21]Listas!$O$67:$Q$67,0))</f>
        <v>10
BAJA</v>
      </c>
      <c r="AV10" s="51" t="s">
        <v>271</v>
      </c>
      <c r="AW10" s="833" t="s">
        <v>892</v>
      </c>
      <c r="AX10" s="69" t="s">
        <v>4017</v>
      </c>
      <c r="AY10" s="69" t="s">
        <v>67</v>
      </c>
      <c r="AZ10" s="69" t="s">
        <v>2487</v>
      </c>
      <c r="BA10" s="69" t="s">
        <v>2488</v>
      </c>
      <c r="BB10" s="510" t="s">
        <v>4018</v>
      </c>
      <c r="BC10" s="509" t="s">
        <v>4019</v>
      </c>
      <c r="BD10" s="12" t="s">
        <v>4020</v>
      </c>
      <c r="BE10" s="839" t="s">
        <v>36</v>
      </c>
      <c r="BF10" s="12"/>
      <c r="BG10" s="12"/>
      <c r="BH10" s="505"/>
      <c r="BI10" s="505"/>
      <c r="BJ10" s="839"/>
      <c r="BK10" s="504"/>
      <c r="BL10" s="504"/>
    </row>
    <row r="11" spans="1:64" s="22" customFormat="1" ht="282.75" customHeight="1">
      <c r="A11" s="92"/>
      <c r="B11" s="2868" t="s">
        <v>893</v>
      </c>
      <c r="C11" s="2869"/>
      <c r="D11" s="2870"/>
      <c r="E11" s="51" t="s">
        <v>2030</v>
      </c>
      <c r="F11" s="2871" t="s">
        <v>4021</v>
      </c>
      <c r="G11" s="2872"/>
      <c r="H11" s="2873"/>
      <c r="I11" s="2868" t="s">
        <v>894</v>
      </c>
      <c r="J11" s="2869"/>
      <c r="K11" s="2870"/>
      <c r="L11" s="325" t="s">
        <v>283</v>
      </c>
      <c r="M11" s="325" t="s">
        <v>270</v>
      </c>
      <c r="N11" s="325"/>
      <c r="O11" s="508">
        <f>VLOOKUP(L11,[21]Listas!$M$69:$N$73,2,0)</f>
        <v>1</v>
      </c>
      <c r="P11" s="508"/>
      <c r="Q11" s="508">
        <f>HLOOKUP(M11,[21]Listas!$O$67:$Q$68,2,0)</f>
        <v>10</v>
      </c>
      <c r="R11" s="507" t="str">
        <f>INDEX([21]Listas!$O$69:$Q$73,MATCH(L11,[21]Listas!$M$69:$M$73,0),MATCH(M11,[21]Listas!$O$67:$Q$67,0))</f>
        <v>10
BAJA</v>
      </c>
      <c r="S11" s="2868" t="s">
        <v>4022</v>
      </c>
      <c r="T11" s="2869"/>
      <c r="U11" s="2870"/>
      <c r="V11" s="69" t="s">
        <v>65</v>
      </c>
      <c r="W11" s="69" t="s">
        <v>36</v>
      </c>
      <c r="X11" s="69" t="s">
        <v>36</v>
      </c>
      <c r="Y11" s="69" t="s">
        <v>65</v>
      </c>
      <c r="Z11" s="69" t="s">
        <v>65</v>
      </c>
      <c r="AA11" s="69" t="s">
        <v>36</v>
      </c>
      <c r="AB11" s="69" t="s">
        <v>65</v>
      </c>
      <c r="AC11" s="69" t="s">
        <v>65</v>
      </c>
      <c r="AD11" s="69" t="s">
        <v>65</v>
      </c>
      <c r="AE11" s="69" t="s">
        <v>65</v>
      </c>
      <c r="AF11" s="69"/>
      <c r="AG11" s="508">
        <f t="shared" si="0"/>
        <v>15</v>
      </c>
      <c r="AH11" s="508">
        <f t="shared" si="1"/>
        <v>5</v>
      </c>
      <c r="AI11" s="508">
        <f t="shared" si="2"/>
        <v>0</v>
      </c>
      <c r="AJ11" s="508">
        <f t="shared" si="3"/>
        <v>10</v>
      </c>
      <c r="AK11" s="508">
        <f t="shared" si="4"/>
        <v>15</v>
      </c>
      <c r="AL11" s="508">
        <f t="shared" si="5"/>
        <v>10</v>
      </c>
      <c r="AM11" s="508">
        <f t="shared" si="6"/>
        <v>30</v>
      </c>
      <c r="AN11" s="508">
        <f t="shared" si="7"/>
        <v>85</v>
      </c>
      <c r="AO11" s="508">
        <f t="shared" si="8"/>
        <v>2</v>
      </c>
      <c r="AP11" s="507" t="str">
        <f t="shared" si="9"/>
        <v>85- disminuye 2</v>
      </c>
      <c r="AQ11" s="508">
        <f t="shared" si="10"/>
        <v>-1</v>
      </c>
      <c r="AR11" s="507" t="str">
        <f>IF(AQ11&lt;=1,"Rara vez",VLOOKUP(AQ11,[21]Listas!$L$69:$M$73,2,0))</f>
        <v>Rara vez</v>
      </c>
      <c r="AS11" s="508">
        <f t="shared" si="11"/>
        <v>10</v>
      </c>
      <c r="AT11" s="507" t="str">
        <f t="shared" si="12"/>
        <v>Mayor</v>
      </c>
      <c r="AU11" s="507" t="str">
        <f>INDEX([21]Listas!$O$69:$Q$73,MATCH(AR11,[21]Listas!$M$69:$M$73,0),MATCH(AT11,[21]Listas!$O$67:$Q$67,0))</f>
        <v>10
BAJA</v>
      </c>
      <c r="AV11" s="325" t="s">
        <v>271</v>
      </c>
      <c r="AW11" s="840" t="s">
        <v>895</v>
      </c>
      <c r="AX11" s="69" t="s">
        <v>2489</v>
      </c>
      <c r="AY11" s="69" t="s">
        <v>67</v>
      </c>
      <c r="AZ11" s="69" t="s">
        <v>4023</v>
      </c>
      <c r="BA11" s="69" t="s">
        <v>2490</v>
      </c>
      <c r="BB11" s="207" t="s">
        <v>4024</v>
      </c>
      <c r="BC11" s="506" t="s">
        <v>4025</v>
      </c>
      <c r="BD11" s="69" t="s">
        <v>4026</v>
      </c>
      <c r="BE11" s="839" t="s">
        <v>36</v>
      </c>
      <c r="BF11" s="12"/>
      <c r="BG11" s="12"/>
      <c r="BH11" s="505"/>
      <c r="BI11" s="505"/>
      <c r="BJ11" s="839"/>
      <c r="BK11" s="504"/>
      <c r="BL11" s="504"/>
    </row>
    <row r="12" spans="1:64" s="3" customFormat="1" ht="108" hidden="1" customHeight="1">
      <c r="A12" s="332"/>
      <c r="B12" s="826"/>
      <c r="C12" s="827"/>
      <c r="D12" s="828"/>
      <c r="E12" s="843"/>
      <c r="F12" s="830"/>
      <c r="G12" s="831"/>
      <c r="H12" s="832"/>
      <c r="I12" s="826"/>
      <c r="J12" s="827"/>
      <c r="K12" s="828"/>
      <c r="L12" s="330"/>
      <c r="M12" s="50"/>
      <c r="N12" s="32"/>
      <c r="O12" s="6" t="e">
        <f>VLOOKUP(L12,[21]Listas!$M$69:$N$73,2,0)</f>
        <v>#N/A</v>
      </c>
      <c r="P12" s="6"/>
      <c r="Q12" s="6" t="e">
        <f>HLOOKUP(M12,[21]Listas!$O$67:$Q$68,2,0)</f>
        <v>#N/A</v>
      </c>
      <c r="R12" s="331" t="e">
        <f>INDEX([21]Listas!$O$69:$Q$73,MATCH(L12,[21]Listas!$M$69:$M$73,0),MATCH(M12,[21]Listas!$O$67:$Q$67,0))</f>
        <v>#N/A</v>
      </c>
      <c r="S12" s="826"/>
      <c r="T12" s="827"/>
      <c r="U12" s="828"/>
      <c r="V12" s="329"/>
      <c r="W12" s="329"/>
      <c r="X12" s="329"/>
      <c r="Y12" s="329"/>
      <c r="Z12" s="329"/>
      <c r="AA12" s="329"/>
      <c r="AB12" s="329"/>
      <c r="AC12" s="329"/>
      <c r="AD12" s="329"/>
      <c r="AE12" s="329"/>
      <c r="AF12" s="33"/>
      <c r="AG12" s="6">
        <f>IF(Y12="SI",15,0)</f>
        <v>0</v>
      </c>
      <c r="AH12" s="6">
        <f>IF(Z12="SI",5,0)</f>
        <v>0</v>
      </c>
      <c r="AI12" s="6">
        <f>IF(AA12="SI",15,0)</f>
        <v>0</v>
      </c>
      <c r="AJ12" s="6">
        <f>IF(AB12="SI",10,0)</f>
        <v>0</v>
      </c>
      <c r="AK12" s="6">
        <f>IF(AC12="SI",15,0)</f>
        <v>0</v>
      </c>
      <c r="AL12" s="6">
        <f>IF(AD12="SI",10,0)</f>
        <v>0</v>
      </c>
      <c r="AM12" s="6">
        <f>IF(AE12="SI",30,0)</f>
        <v>0</v>
      </c>
      <c r="AN12" s="6">
        <f>SUM(AG12+AH12+AI12+AJ12+AK12+AL12+AM12)</f>
        <v>0</v>
      </c>
      <c r="AO12" s="6">
        <f>IF(AN12&lt;=50,0,IF(AN12&gt;=76,2,1))</f>
        <v>0</v>
      </c>
      <c r="AP12" s="331" t="str">
        <f>CONCATENATE(AN12,"- disminuye ",AO12)</f>
        <v>0- disminuye 0</v>
      </c>
      <c r="AQ12" s="6" t="e">
        <f>IF(V12="SI",O12-AO12,O12)</f>
        <v>#N/A</v>
      </c>
      <c r="AR12" s="331" t="e">
        <f>IF(AQ12&lt;=1,"Rara vez",VLOOKUP(AQ12,[21]Listas!$L$69:$M$73,2,0))</f>
        <v>#N/A</v>
      </c>
      <c r="AS12" s="6" t="e">
        <f>IF(W12="SI",Q12-AO12,Q12)</f>
        <v>#N/A</v>
      </c>
      <c r="AT12" s="331" t="e">
        <f>IF(AS12&lt;=9,"Moderado",IF(AS12=20,"Catastrófico",IF(AS12=18,"Moderado","Mayor")))</f>
        <v>#N/A</v>
      </c>
      <c r="AU12" s="331" t="e">
        <f>INDEX([21]Listas!$O$69:$Q$73,MATCH(AR12,[21]Listas!$M$69:$M$73,0),MATCH(AT12,[21]Listas!$O$67:$Q$67,0))</f>
        <v>#N/A</v>
      </c>
      <c r="AV12" s="330"/>
      <c r="AW12" s="826"/>
      <c r="AX12" s="843"/>
      <c r="AY12" s="843"/>
      <c r="AZ12" s="12"/>
      <c r="BA12" s="12"/>
      <c r="BB12" s="839"/>
      <c r="BC12" s="12"/>
      <c r="BD12" s="12" t="s">
        <v>2343</v>
      </c>
      <c r="BE12" s="839"/>
      <c r="BF12" s="12"/>
      <c r="BG12" s="12"/>
      <c r="BH12" s="227"/>
      <c r="BI12" s="227"/>
      <c r="BJ12" s="839"/>
      <c r="BK12" s="228"/>
      <c r="BL12" s="228"/>
    </row>
    <row r="13" spans="1:64" s="3" customFormat="1" ht="108" hidden="1" customHeight="1">
      <c r="A13" s="332"/>
      <c r="B13" s="826"/>
      <c r="C13" s="827"/>
      <c r="D13" s="828"/>
      <c r="E13" s="843"/>
      <c r="F13" s="830"/>
      <c r="G13" s="831"/>
      <c r="H13" s="832"/>
      <c r="I13" s="826"/>
      <c r="J13" s="827"/>
      <c r="K13" s="828"/>
      <c r="L13" s="330"/>
      <c r="M13" s="50"/>
      <c r="N13" s="32"/>
      <c r="O13" s="6" t="e">
        <f>VLOOKUP(L13,[21]Listas!$M$69:$N$73,2,0)</f>
        <v>#N/A</v>
      </c>
      <c r="P13" s="6"/>
      <c r="Q13" s="6" t="e">
        <f>HLOOKUP(M13,[21]Listas!$O$67:$Q$68,2,0)</f>
        <v>#N/A</v>
      </c>
      <c r="R13" s="331" t="e">
        <f>INDEX([21]Listas!$O$69:$Q$73,MATCH(L13,[21]Listas!$M$69:$M$73,0),MATCH(M13,[21]Listas!$O$67:$Q$67,0))</f>
        <v>#N/A</v>
      </c>
      <c r="S13" s="826"/>
      <c r="T13" s="827"/>
      <c r="U13" s="828"/>
      <c r="V13" s="329"/>
      <c r="W13" s="329"/>
      <c r="X13" s="329"/>
      <c r="Y13" s="329"/>
      <c r="Z13" s="329"/>
      <c r="AA13" s="329"/>
      <c r="AB13" s="329"/>
      <c r="AC13" s="329"/>
      <c r="AD13" s="329"/>
      <c r="AE13" s="329"/>
      <c r="AF13" s="33"/>
      <c r="AG13" s="6">
        <f>IF(Y13="SI",15,0)</f>
        <v>0</v>
      </c>
      <c r="AH13" s="6">
        <f>IF(Z13="SI",5,0)</f>
        <v>0</v>
      </c>
      <c r="AI13" s="6">
        <f>IF(AA13="SI",15,0)</f>
        <v>0</v>
      </c>
      <c r="AJ13" s="6">
        <f>IF(AB13="SI",10,0)</f>
        <v>0</v>
      </c>
      <c r="AK13" s="6">
        <f>IF(AC13="SI",15,0)</f>
        <v>0</v>
      </c>
      <c r="AL13" s="6">
        <f>IF(AD13="SI",10,0)</f>
        <v>0</v>
      </c>
      <c r="AM13" s="6">
        <f>IF(AE13="SI",30,0)</f>
        <v>0</v>
      </c>
      <c r="AN13" s="6">
        <f>SUM(AG13+AH13+AI13+AJ13+AK13+AL13+AM13)</f>
        <v>0</v>
      </c>
      <c r="AO13" s="6">
        <f>IF(AN13&lt;=50,0,IF(AN13&gt;=76,2,1))</f>
        <v>0</v>
      </c>
      <c r="AP13" s="331" t="str">
        <f>CONCATENATE(AN13,"- disminuye ",AO13)</f>
        <v>0- disminuye 0</v>
      </c>
      <c r="AQ13" s="6" t="e">
        <f>IF(V13="SI",O13-AO13,O13)</f>
        <v>#N/A</v>
      </c>
      <c r="AR13" s="331" t="e">
        <f>IF(AQ13&lt;=1,"Rara vez",VLOOKUP(AQ13,[21]Listas!$L$69:$M$73,2,0))</f>
        <v>#N/A</v>
      </c>
      <c r="AS13" s="6" t="e">
        <f>IF(W13="SI",Q13-AO13,Q13)</f>
        <v>#N/A</v>
      </c>
      <c r="AT13" s="331" t="e">
        <f>IF(AS13&lt;=9,"Moderado",IF(AS13=20,"Catastrófico",IF(AS13=18,"Moderado","Mayor")))</f>
        <v>#N/A</v>
      </c>
      <c r="AU13" s="331" t="e">
        <f>INDEX([21]Listas!$O$69:$Q$73,MATCH(AR13,[21]Listas!$M$69:$M$73,0),MATCH(AT13,[21]Listas!$O$67:$Q$67,0))</f>
        <v>#N/A</v>
      </c>
      <c r="AV13" s="330"/>
      <c r="AW13" s="826"/>
      <c r="AX13" s="843"/>
      <c r="AY13" s="843"/>
      <c r="AZ13" s="12"/>
      <c r="BA13" s="12"/>
      <c r="BB13" s="839"/>
      <c r="BC13" s="12"/>
      <c r="BD13" s="12" t="s">
        <v>2343</v>
      </c>
      <c r="BE13" s="839"/>
      <c r="BF13" s="12"/>
      <c r="BG13" s="12"/>
      <c r="BH13" s="227"/>
      <c r="BI13" s="227"/>
      <c r="BJ13" s="839"/>
      <c r="BK13" s="228"/>
      <c r="BL13" s="228"/>
    </row>
    <row r="14" spans="1:64" s="3" customFormat="1" ht="108" hidden="1" customHeight="1">
      <c r="A14" s="332"/>
      <c r="B14" s="826"/>
      <c r="C14" s="827"/>
      <c r="D14" s="828"/>
      <c r="E14" s="843"/>
      <c r="F14" s="830"/>
      <c r="G14" s="831"/>
      <c r="H14" s="832"/>
      <c r="I14" s="826"/>
      <c r="J14" s="827"/>
      <c r="K14" s="828"/>
      <c r="L14" s="330"/>
      <c r="M14" s="50"/>
      <c r="N14" s="32"/>
      <c r="O14" s="6" t="e">
        <f>VLOOKUP(L14,[21]Listas!$M$69:$N$73,2,0)</f>
        <v>#N/A</v>
      </c>
      <c r="P14" s="6"/>
      <c r="Q14" s="6" t="e">
        <f>HLOOKUP(M14,[21]Listas!$O$67:$Q$68,2,0)</f>
        <v>#N/A</v>
      </c>
      <c r="R14" s="331" t="e">
        <f>INDEX([21]Listas!$O$69:$Q$73,MATCH(L14,[21]Listas!$M$69:$M$73,0),MATCH(M14,[21]Listas!$O$67:$Q$67,0))</f>
        <v>#N/A</v>
      </c>
      <c r="S14" s="826"/>
      <c r="T14" s="827"/>
      <c r="U14" s="828"/>
      <c r="V14" s="329"/>
      <c r="W14" s="329"/>
      <c r="X14" s="329"/>
      <c r="Y14" s="329"/>
      <c r="Z14" s="329"/>
      <c r="AA14" s="329"/>
      <c r="AB14" s="329"/>
      <c r="AC14" s="329"/>
      <c r="AD14" s="329"/>
      <c r="AE14" s="329"/>
      <c r="AF14" s="33"/>
      <c r="AG14" s="6">
        <f>IF(Y14="SI",15,0)</f>
        <v>0</v>
      </c>
      <c r="AH14" s="6">
        <f>IF(Z14="SI",5,0)</f>
        <v>0</v>
      </c>
      <c r="AI14" s="6">
        <f>IF(AA14="SI",15,0)</f>
        <v>0</v>
      </c>
      <c r="AJ14" s="6">
        <f>IF(AB14="SI",10,0)</f>
        <v>0</v>
      </c>
      <c r="AK14" s="6">
        <f>IF(AC14="SI",15,0)</f>
        <v>0</v>
      </c>
      <c r="AL14" s="6">
        <f>IF(AD14="SI",10,0)</f>
        <v>0</v>
      </c>
      <c r="AM14" s="6">
        <f>IF(AE14="SI",30,0)</f>
        <v>0</v>
      </c>
      <c r="AN14" s="6">
        <f>SUM(AG14+AH14+AI14+AJ14+AK14+AL14+AM14)</f>
        <v>0</v>
      </c>
      <c r="AO14" s="6">
        <f>IF(AN14&lt;=50,0,IF(AN14&gt;=76,2,1))</f>
        <v>0</v>
      </c>
      <c r="AP14" s="331" t="str">
        <f>CONCATENATE(AN14,"- disminuye ",AO14)</f>
        <v>0- disminuye 0</v>
      </c>
      <c r="AQ14" s="6" t="e">
        <f>IF(V14="SI",O14-AO14,O14)</f>
        <v>#N/A</v>
      </c>
      <c r="AR14" s="331" t="e">
        <f>IF(AQ14&lt;=1,"Rara vez",VLOOKUP(AQ14,[21]Listas!$L$69:$M$73,2,0))</f>
        <v>#N/A</v>
      </c>
      <c r="AS14" s="6" t="e">
        <f>IF(W14="SI",Q14-AO14,Q14)</f>
        <v>#N/A</v>
      </c>
      <c r="AT14" s="331" t="e">
        <f>IF(AS14&lt;=9,"Moderado",IF(AS14=20,"Catastrófico",IF(AS14=18,"Moderado","Mayor")))</f>
        <v>#N/A</v>
      </c>
      <c r="AU14" s="331" t="e">
        <f>INDEX([21]Listas!$O$69:$Q$73,MATCH(AR14,[21]Listas!$M$69:$M$73,0),MATCH(AT14,[21]Listas!$O$67:$Q$67,0))</f>
        <v>#N/A</v>
      </c>
      <c r="AV14" s="330"/>
      <c r="AW14" s="826"/>
      <c r="AX14" s="843"/>
      <c r="AY14" s="843"/>
      <c r="AZ14" s="12"/>
      <c r="BA14" s="12"/>
      <c r="BB14" s="839"/>
      <c r="BC14" s="12"/>
      <c r="BD14" s="12" t="s">
        <v>2343</v>
      </c>
      <c r="BE14" s="839"/>
      <c r="BF14" s="12"/>
      <c r="BG14" s="12"/>
      <c r="BH14" s="227"/>
      <c r="BI14" s="227"/>
      <c r="BJ14" s="839"/>
      <c r="BK14" s="228"/>
      <c r="BL14" s="228"/>
    </row>
    <row r="15" spans="1:64" s="3" customFormat="1" ht="108" hidden="1" customHeight="1">
      <c r="A15" s="332"/>
      <c r="B15" s="826"/>
      <c r="C15" s="827"/>
      <c r="D15" s="828"/>
      <c r="E15" s="843"/>
      <c r="F15" s="830"/>
      <c r="G15" s="831"/>
      <c r="H15" s="832"/>
      <c r="I15" s="826"/>
      <c r="J15" s="827"/>
      <c r="K15" s="828"/>
      <c r="L15" s="330"/>
      <c r="M15" s="50"/>
      <c r="N15" s="32"/>
      <c r="O15" s="6" t="e">
        <f>VLOOKUP(L15,[21]Listas!$M$69:$N$73,2,0)</f>
        <v>#N/A</v>
      </c>
      <c r="P15" s="6"/>
      <c r="Q15" s="6" t="e">
        <f>HLOOKUP(M15,[21]Listas!$O$67:$Q$68,2,0)</f>
        <v>#N/A</v>
      </c>
      <c r="R15" s="331" t="e">
        <f>INDEX([21]Listas!$O$69:$Q$73,MATCH(L15,[21]Listas!$M$69:$M$73,0),MATCH(M15,[21]Listas!$O$67:$Q$67,0))</f>
        <v>#N/A</v>
      </c>
      <c r="S15" s="826"/>
      <c r="T15" s="827"/>
      <c r="U15" s="828"/>
      <c r="V15" s="329"/>
      <c r="W15" s="329"/>
      <c r="X15" s="329"/>
      <c r="Y15" s="329"/>
      <c r="Z15" s="329"/>
      <c r="AA15" s="329"/>
      <c r="AB15" s="329"/>
      <c r="AC15" s="329"/>
      <c r="AD15" s="329"/>
      <c r="AE15" s="329"/>
      <c r="AF15" s="33"/>
      <c r="AG15" s="6">
        <f t="shared" si="0"/>
        <v>0</v>
      </c>
      <c r="AH15" s="6">
        <f t="shared" si="1"/>
        <v>0</v>
      </c>
      <c r="AI15" s="6">
        <f t="shared" si="2"/>
        <v>0</v>
      </c>
      <c r="AJ15" s="6">
        <f t="shared" si="3"/>
        <v>0</v>
      </c>
      <c r="AK15" s="6">
        <f t="shared" si="4"/>
        <v>0</v>
      </c>
      <c r="AL15" s="6">
        <f t="shared" si="5"/>
        <v>0</v>
      </c>
      <c r="AM15" s="6">
        <f t="shared" si="6"/>
        <v>0</v>
      </c>
      <c r="AN15" s="6">
        <f t="shared" si="7"/>
        <v>0</v>
      </c>
      <c r="AO15" s="6">
        <f t="shared" si="8"/>
        <v>0</v>
      </c>
      <c r="AP15" s="331" t="str">
        <f t="shared" si="9"/>
        <v>0- disminuye 0</v>
      </c>
      <c r="AQ15" s="6" t="e">
        <f t="shared" si="10"/>
        <v>#N/A</v>
      </c>
      <c r="AR15" s="331" t="e">
        <f>IF(AQ15&lt;=1,"Rara vez",VLOOKUP(AQ15,[21]Listas!$L$69:$M$73,2,0))</f>
        <v>#N/A</v>
      </c>
      <c r="AS15" s="6" t="e">
        <f t="shared" si="11"/>
        <v>#N/A</v>
      </c>
      <c r="AT15" s="331" t="e">
        <f t="shared" si="12"/>
        <v>#N/A</v>
      </c>
      <c r="AU15" s="331" t="e">
        <f>INDEX([21]Listas!$O$69:$Q$73,MATCH(AR15,[21]Listas!$M$69:$M$73,0),MATCH(AT15,[21]Listas!$O$67:$Q$67,0))</f>
        <v>#N/A</v>
      </c>
      <c r="AV15" s="330"/>
      <c r="AW15" s="826"/>
      <c r="AX15" s="843"/>
      <c r="AY15" s="843"/>
      <c r="AZ15" s="12"/>
      <c r="BA15" s="12"/>
      <c r="BB15" s="839"/>
      <c r="BC15" s="12"/>
      <c r="BD15" s="12" t="s">
        <v>2343</v>
      </c>
      <c r="BE15" s="839"/>
      <c r="BF15" s="12"/>
      <c r="BG15" s="12"/>
      <c r="BH15" s="227"/>
      <c r="BI15" s="227"/>
      <c r="BJ15" s="839"/>
      <c r="BK15" s="228"/>
      <c r="BL15" s="228"/>
    </row>
    <row r="16" spans="1:64" s="3" customFormat="1" ht="108" hidden="1" customHeight="1">
      <c r="A16" s="332"/>
      <c r="B16" s="826"/>
      <c r="C16" s="827"/>
      <c r="D16" s="828"/>
      <c r="E16" s="843"/>
      <c r="F16" s="830"/>
      <c r="G16" s="831"/>
      <c r="H16" s="832"/>
      <c r="I16" s="826"/>
      <c r="J16" s="827"/>
      <c r="K16" s="828"/>
      <c r="L16" s="330"/>
      <c r="M16" s="50"/>
      <c r="N16" s="32"/>
      <c r="O16" s="6" t="e">
        <f>VLOOKUP(L16,[21]Listas!$M$69:$N$73,2,0)</f>
        <v>#N/A</v>
      </c>
      <c r="P16" s="6"/>
      <c r="Q16" s="6" t="e">
        <f>HLOOKUP(M16,[21]Listas!$O$67:$Q$68,2,0)</f>
        <v>#N/A</v>
      </c>
      <c r="R16" s="331" t="e">
        <f>INDEX([21]Listas!$O$69:$Q$73,MATCH(L16,[21]Listas!$M$69:$M$73,0),MATCH(M16,[21]Listas!$O$67:$Q$67,0))</f>
        <v>#N/A</v>
      </c>
      <c r="S16" s="826"/>
      <c r="T16" s="827"/>
      <c r="U16" s="828"/>
      <c r="V16" s="329"/>
      <c r="W16" s="329"/>
      <c r="X16" s="329"/>
      <c r="Y16" s="329"/>
      <c r="Z16" s="329"/>
      <c r="AA16" s="329"/>
      <c r="AB16" s="329"/>
      <c r="AC16" s="329"/>
      <c r="AD16" s="329"/>
      <c r="AE16" s="329"/>
      <c r="AF16" s="33"/>
      <c r="AG16" s="6">
        <f t="shared" si="0"/>
        <v>0</v>
      </c>
      <c r="AH16" s="6">
        <f t="shared" si="1"/>
        <v>0</v>
      </c>
      <c r="AI16" s="6">
        <f t="shared" si="2"/>
        <v>0</v>
      </c>
      <c r="AJ16" s="6">
        <f t="shared" si="3"/>
        <v>0</v>
      </c>
      <c r="AK16" s="6">
        <f t="shared" si="4"/>
        <v>0</v>
      </c>
      <c r="AL16" s="6">
        <f t="shared" si="5"/>
        <v>0</v>
      </c>
      <c r="AM16" s="6">
        <f t="shared" si="6"/>
        <v>0</v>
      </c>
      <c r="AN16" s="6">
        <f t="shared" si="7"/>
        <v>0</v>
      </c>
      <c r="AO16" s="6">
        <f t="shared" si="8"/>
        <v>0</v>
      </c>
      <c r="AP16" s="331" t="str">
        <f t="shared" si="9"/>
        <v>0- disminuye 0</v>
      </c>
      <c r="AQ16" s="6" t="e">
        <f t="shared" si="10"/>
        <v>#N/A</v>
      </c>
      <c r="AR16" s="331" t="e">
        <f>IF(AQ16&lt;=1,"Rara vez",VLOOKUP(AQ16,[21]Listas!$L$69:$M$73,2,0))</f>
        <v>#N/A</v>
      </c>
      <c r="AS16" s="6" t="e">
        <f t="shared" si="11"/>
        <v>#N/A</v>
      </c>
      <c r="AT16" s="331" t="e">
        <f t="shared" si="12"/>
        <v>#N/A</v>
      </c>
      <c r="AU16" s="331" t="e">
        <f>INDEX([21]Listas!$O$69:$Q$73,MATCH(AR16,[21]Listas!$M$69:$M$73,0),MATCH(AT16,[21]Listas!$O$67:$Q$67,0))</f>
        <v>#N/A</v>
      </c>
      <c r="AV16" s="330"/>
      <c r="AW16" s="826"/>
      <c r="AX16" s="843"/>
      <c r="AY16" s="843"/>
      <c r="AZ16" s="12"/>
      <c r="BA16" s="12"/>
      <c r="BB16" s="839"/>
      <c r="BC16" s="12"/>
      <c r="BD16" s="12" t="s">
        <v>2343</v>
      </c>
      <c r="BE16" s="839"/>
      <c r="BF16" s="12"/>
      <c r="BG16" s="12"/>
      <c r="BH16" s="227"/>
      <c r="BI16" s="227"/>
      <c r="BJ16" s="839"/>
      <c r="BK16" s="228"/>
      <c r="BL16" s="228"/>
    </row>
    <row r="17" spans="1:64" s="3" customFormat="1" ht="108" hidden="1" customHeight="1">
      <c r="A17" s="332"/>
      <c r="B17" s="826"/>
      <c r="C17" s="827"/>
      <c r="D17" s="828"/>
      <c r="E17" s="843"/>
      <c r="F17" s="830"/>
      <c r="G17" s="831"/>
      <c r="H17" s="832"/>
      <c r="I17" s="826"/>
      <c r="J17" s="827"/>
      <c r="K17" s="828"/>
      <c r="L17" s="330"/>
      <c r="M17" s="50"/>
      <c r="N17" s="32"/>
      <c r="O17" s="6" t="e">
        <f>VLOOKUP(L17,[21]Listas!$M$69:$N$73,2,0)</f>
        <v>#N/A</v>
      </c>
      <c r="P17" s="6"/>
      <c r="Q17" s="6" t="e">
        <f>HLOOKUP(M17,[21]Listas!$O$67:$Q$68,2,0)</f>
        <v>#N/A</v>
      </c>
      <c r="R17" s="331" t="e">
        <f>INDEX([21]Listas!$O$69:$Q$73,MATCH(L17,[21]Listas!$M$69:$M$73,0),MATCH(M17,[21]Listas!$O$67:$Q$67,0))</f>
        <v>#N/A</v>
      </c>
      <c r="S17" s="826"/>
      <c r="T17" s="827"/>
      <c r="U17" s="828"/>
      <c r="V17" s="329"/>
      <c r="W17" s="329"/>
      <c r="X17" s="329"/>
      <c r="Y17" s="329"/>
      <c r="Z17" s="329"/>
      <c r="AA17" s="329"/>
      <c r="AB17" s="329"/>
      <c r="AC17" s="329"/>
      <c r="AD17" s="329"/>
      <c r="AE17" s="329"/>
      <c r="AF17" s="33"/>
      <c r="AG17" s="6">
        <f>IF(Y17="SI",15,0)</f>
        <v>0</v>
      </c>
      <c r="AH17" s="6">
        <f>IF(Z17="SI",5,0)</f>
        <v>0</v>
      </c>
      <c r="AI17" s="6">
        <f>IF(AA17="SI",15,0)</f>
        <v>0</v>
      </c>
      <c r="AJ17" s="6">
        <f>IF(AB17="SI",10,0)</f>
        <v>0</v>
      </c>
      <c r="AK17" s="6">
        <f>IF(AC17="SI",15,0)</f>
        <v>0</v>
      </c>
      <c r="AL17" s="6">
        <f>IF(AD17="SI",10,0)</f>
        <v>0</v>
      </c>
      <c r="AM17" s="6">
        <f>IF(AE17="SI",30,0)</f>
        <v>0</v>
      </c>
      <c r="AN17" s="6">
        <f>SUM(AG17+AH17+AI17+AJ17+AK17+AL17+AM17)</f>
        <v>0</v>
      </c>
      <c r="AO17" s="6">
        <f>IF(AN17&lt;=50,0,IF(AN17&gt;=76,2,1))</f>
        <v>0</v>
      </c>
      <c r="AP17" s="331" t="str">
        <f>CONCATENATE(AN17,"- disminuye ",AO17)</f>
        <v>0- disminuye 0</v>
      </c>
      <c r="AQ17" s="6" t="e">
        <f>IF(V17="SI",O17-AO17,O17)</f>
        <v>#N/A</v>
      </c>
      <c r="AR17" s="331" t="e">
        <f>IF(AQ17&lt;=1,"Rara vez",VLOOKUP(AQ17,[21]Listas!$L$69:$M$73,2,0))</f>
        <v>#N/A</v>
      </c>
      <c r="AS17" s="6" t="e">
        <f>IF(W17="SI",Q17-AO17,Q17)</f>
        <v>#N/A</v>
      </c>
      <c r="AT17" s="331" t="e">
        <f>IF(AS17&lt;=9,"Moderado",IF(AS17=20,"Catastrófico",IF(AS17=18,"Moderado","Mayor")))</f>
        <v>#N/A</v>
      </c>
      <c r="AU17" s="331" t="e">
        <f>INDEX([21]Listas!$O$69:$Q$73,MATCH(AR17,[21]Listas!$M$69:$M$73,0),MATCH(AT17,[21]Listas!$O$67:$Q$67,0))</f>
        <v>#N/A</v>
      </c>
      <c r="AV17" s="330"/>
      <c r="AW17" s="826"/>
      <c r="AX17" s="843"/>
      <c r="AY17" s="843"/>
      <c r="AZ17" s="12"/>
      <c r="BA17" s="12"/>
      <c r="BB17" s="839"/>
      <c r="BC17" s="12"/>
      <c r="BD17" s="12" t="s">
        <v>2343</v>
      </c>
      <c r="BE17" s="839"/>
      <c r="BF17" s="12"/>
      <c r="BG17" s="12"/>
      <c r="BH17" s="227"/>
      <c r="BI17" s="227"/>
      <c r="BJ17" s="839"/>
      <c r="BK17" s="228"/>
      <c r="BL17" s="228"/>
    </row>
    <row r="18" spans="1:64" s="3" customFormat="1" ht="108" hidden="1" customHeight="1">
      <c r="A18" s="332"/>
      <c r="B18" s="826"/>
      <c r="C18" s="827"/>
      <c r="D18" s="828"/>
      <c r="E18" s="843"/>
      <c r="F18" s="830"/>
      <c r="G18" s="831"/>
      <c r="H18" s="832"/>
      <c r="I18" s="826"/>
      <c r="J18" s="827"/>
      <c r="K18" s="828"/>
      <c r="L18" s="330"/>
      <c r="M18" s="50"/>
      <c r="N18" s="32"/>
      <c r="O18" s="6" t="e">
        <f>VLOOKUP(L18,[21]Listas!$M$69:$N$73,2,0)</f>
        <v>#N/A</v>
      </c>
      <c r="P18" s="6"/>
      <c r="Q18" s="6" t="e">
        <f>HLOOKUP(M18,[21]Listas!$O$67:$Q$68,2,0)</f>
        <v>#N/A</v>
      </c>
      <c r="R18" s="331" t="e">
        <f>INDEX([21]Listas!$O$69:$Q$73,MATCH(L18,[21]Listas!$M$69:$M$73,0),MATCH(M18,[21]Listas!$O$67:$Q$67,0))</f>
        <v>#N/A</v>
      </c>
      <c r="S18" s="826"/>
      <c r="T18" s="827"/>
      <c r="U18" s="828"/>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vez",VLOOKUP(AQ18,[21]Listas!$L$69:$M$73,2,0))</f>
        <v>#N/A</v>
      </c>
      <c r="AS18" s="6" t="e">
        <f t="shared" si="11"/>
        <v>#N/A</v>
      </c>
      <c r="AT18" s="331" t="e">
        <f t="shared" si="12"/>
        <v>#N/A</v>
      </c>
      <c r="AU18" s="331" t="e">
        <f>INDEX([21]Listas!$O$69:$Q$73,MATCH(AR18,[21]Listas!$M$69:$M$73,0),MATCH(AT18,[21]Listas!$O$67:$Q$67,0))</f>
        <v>#N/A</v>
      </c>
      <c r="AV18" s="330"/>
      <c r="AW18" s="826"/>
      <c r="AX18" s="843"/>
      <c r="AY18" s="843"/>
      <c r="AZ18" s="12"/>
      <c r="BA18" s="12"/>
      <c r="BB18" s="839"/>
      <c r="BC18" s="12"/>
      <c r="BD18" s="12" t="s">
        <v>2343</v>
      </c>
      <c r="BE18" s="839"/>
      <c r="BF18" s="12"/>
      <c r="BG18" s="12"/>
      <c r="BH18" s="227"/>
      <c r="BI18" s="227"/>
      <c r="BJ18" s="839"/>
      <c r="BK18" s="228"/>
      <c r="BL18" s="228"/>
    </row>
    <row r="19" spans="1:64" s="3" customFormat="1" ht="108" hidden="1" customHeight="1">
      <c r="A19" s="332"/>
      <c r="B19" s="826"/>
      <c r="C19" s="827"/>
      <c r="D19" s="828"/>
      <c r="E19" s="843"/>
      <c r="F19" s="830"/>
      <c r="G19" s="831"/>
      <c r="H19" s="832"/>
      <c r="I19" s="826"/>
      <c r="J19" s="827"/>
      <c r="K19" s="828"/>
      <c r="L19" s="330"/>
      <c r="M19" s="50"/>
      <c r="N19" s="32"/>
      <c r="O19" s="6" t="e">
        <f>VLOOKUP(L19,[21]Listas!$M$69:$N$73,2,0)</f>
        <v>#N/A</v>
      </c>
      <c r="P19" s="6"/>
      <c r="Q19" s="6" t="e">
        <f>HLOOKUP(M19,[21]Listas!$O$67:$Q$68,2,0)</f>
        <v>#N/A</v>
      </c>
      <c r="R19" s="331" t="e">
        <f>INDEX([21]Listas!$O$69:$Q$73,MATCH(L19,[21]Listas!$M$69:$M$73,0),MATCH(M19,[21]Listas!$O$67:$Q$67,0))</f>
        <v>#N/A</v>
      </c>
      <c r="S19" s="826"/>
      <c r="T19" s="827"/>
      <c r="U19" s="828"/>
      <c r="V19" s="329"/>
      <c r="W19" s="329"/>
      <c r="X19" s="329"/>
      <c r="Y19" s="329"/>
      <c r="Z19" s="329"/>
      <c r="AA19" s="329"/>
      <c r="AB19" s="329"/>
      <c r="AC19" s="329"/>
      <c r="AD19" s="329"/>
      <c r="AE19" s="329"/>
      <c r="AF19" s="33"/>
      <c r="AG19" s="6">
        <f t="shared" si="0"/>
        <v>0</v>
      </c>
      <c r="AH19" s="6">
        <f t="shared" si="1"/>
        <v>0</v>
      </c>
      <c r="AI19" s="6">
        <f t="shared" si="2"/>
        <v>0</v>
      </c>
      <c r="AJ19" s="6">
        <f t="shared" si="3"/>
        <v>0</v>
      </c>
      <c r="AK19" s="6">
        <f t="shared" si="4"/>
        <v>0</v>
      </c>
      <c r="AL19" s="6">
        <f t="shared" si="5"/>
        <v>0</v>
      </c>
      <c r="AM19" s="6">
        <f t="shared" si="6"/>
        <v>0</v>
      </c>
      <c r="AN19" s="6">
        <f t="shared" si="7"/>
        <v>0</v>
      </c>
      <c r="AO19" s="6">
        <f t="shared" si="8"/>
        <v>0</v>
      </c>
      <c r="AP19" s="331" t="str">
        <f t="shared" si="9"/>
        <v>0- disminuye 0</v>
      </c>
      <c r="AQ19" s="6" t="e">
        <f t="shared" si="10"/>
        <v>#N/A</v>
      </c>
      <c r="AR19" s="331" t="e">
        <f>IF(AQ19&lt;=1,"Rara vez",VLOOKUP(AQ19,[21]Listas!$L$69:$M$73,2,0))</f>
        <v>#N/A</v>
      </c>
      <c r="AS19" s="6" t="e">
        <f t="shared" si="11"/>
        <v>#N/A</v>
      </c>
      <c r="AT19" s="331" t="e">
        <f t="shared" si="12"/>
        <v>#N/A</v>
      </c>
      <c r="AU19" s="331" t="e">
        <f>INDEX([21]Listas!$O$69:$Q$73,MATCH(AR19,[21]Listas!$M$69:$M$73,0),MATCH(AT19,[21]Listas!$O$67:$Q$67,0))</f>
        <v>#N/A</v>
      </c>
      <c r="AV19" s="330"/>
      <c r="AW19" s="826"/>
      <c r="AX19" s="843"/>
      <c r="AY19" s="843"/>
      <c r="AZ19" s="12"/>
      <c r="BA19" s="12"/>
      <c r="BB19" s="839"/>
      <c r="BC19" s="12"/>
      <c r="BD19" s="12" t="s">
        <v>2343</v>
      </c>
      <c r="BE19" s="839"/>
      <c r="BF19" s="12"/>
      <c r="BG19" s="12"/>
      <c r="BH19" s="227"/>
      <c r="BI19" s="227"/>
      <c r="BJ19" s="839"/>
      <c r="BK19" s="228"/>
      <c r="BL19" s="228"/>
    </row>
    <row r="20" spans="1:64" s="3" customFormat="1" ht="108" hidden="1" customHeight="1">
      <c r="A20" s="332"/>
      <c r="B20" s="826"/>
      <c r="C20" s="827"/>
      <c r="D20" s="828"/>
      <c r="E20" s="843"/>
      <c r="F20" s="830"/>
      <c r="G20" s="831"/>
      <c r="H20" s="832"/>
      <c r="I20" s="826"/>
      <c r="J20" s="827"/>
      <c r="K20" s="828"/>
      <c r="L20" s="330"/>
      <c r="M20" s="50"/>
      <c r="N20" s="32"/>
      <c r="O20" s="6" t="e">
        <f>VLOOKUP(L20,[21]Listas!$M$69:$N$73,2,0)</f>
        <v>#N/A</v>
      </c>
      <c r="P20" s="6"/>
      <c r="Q20" s="6" t="e">
        <f>HLOOKUP(M20,[21]Listas!$O$67:$Q$68,2,0)</f>
        <v>#N/A</v>
      </c>
      <c r="R20" s="331" t="e">
        <f>INDEX([21]Listas!$O$69:$Q$73,MATCH(L20,[21]Listas!$M$69:$M$73,0),MATCH(M20,[21]Listas!$O$67:$Q$67,0))</f>
        <v>#N/A</v>
      </c>
      <c r="S20" s="826"/>
      <c r="T20" s="827"/>
      <c r="U20" s="828"/>
      <c r="V20" s="329"/>
      <c r="W20" s="329"/>
      <c r="X20" s="329"/>
      <c r="Y20" s="329"/>
      <c r="Z20" s="329"/>
      <c r="AA20" s="329"/>
      <c r="AB20" s="329"/>
      <c r="AC20" s="329"/>
      <c r="AD20" s="329"/>
      <c r="AE20" s="329"/>
      <c r="AF20" s="33"/>
      <c r="AG20" s="6">
        <f>IF(Y20="SI",15,0)</f>
        <v>0</v>
      </c>
      <c r="AH20" s="6">
        <f>IF(Z20="SI",5,0)</f>
        <v>0</v>
      </c>
      <c r="AI20" s="6">
        <f>IF(AA20="SI",15,0)</f>
        <v>0</v>
      </c>
      <c r="AJ20" s="6">
        <f>IF(AB20="SI",10,0)</f>
        <v>0</v>
      </c>
      <c r="AK20" s="6">
        <f>IF(AC20="SI",15,0)</f>
        <v>0</v>
      </c>
      <c r="AL20" s="6">
        <f>IF(AD20="SI",10,0)</f>
        <v>0</v>
      </c>
      <c r="AM20" s="6">
        <f>IF(AE20="SI",30,0)</f>
        <v>0</v>
      </c>
      <c r="AN20" s="6">
        <f>SUM(AG20+AH20+AI20+AJ20+AK20+AL20+AM20)</f>
        <v>0</v>
      </c>
      <c r="AO20" s="6">
        <f>IF(AN20&lt;=50,0,IF(AN20&gt;=76,2,1))</f>
        <v>0</v>
      </c>
      <c r="AP20" s="331" t="str">
        <f>CONCATENATE(AN20,"- disminuye ",AO20)</f>
        <v>0- disminuye 0</v>
      </c>
      <c r="AQ20" s="6" t="e">
        <f>IF(V20="SI",O20-AO20,O20)</f>
        <v>#N/A</v>
      </c>
      <c r="AR20" s="331" t="e">
        <f>IF(AQ20&lt;=1,"Rara vez",VLOOKUP(AQ20,[21]Listas!$L$69:$M$73,2,0))</f>
        <v>#N/A</v>
      </c>
      <c r="AS20" s="6" t="e">
        <f>IF(W20="SI",Q20-AO20,Q20)</f>
        <v>#N/A</v>
      </c>
      <c r="AT20" s="331" t="e">
        <f>IF(AS20&lt;=9,"Moderado",IF(AS20=20,"Catastrófico",IF(AS20=18,"Moderado","Mayor")))</f>
        <v>#N/A</v>
      </c>
      <c r="AU20" s="331" t="e">
        <f>INDEX([21]Listas!$O$69:$Q$73,MATCH(AR20,[21]Listas!$M$69:$M$73,0),MATCH(AT20,[21]Listas!$O$67:$Q$67,0))</f>
        <v>#N/A</v>
      </c>
      <c r="AV20" s="330"/>
      <c r="AW20" s="826"/>
      <c r="AX20" s="843"/>
      <c r="AY20" s="843"/>
      <c r="AZ20" s="12"/>
      <c r="BA20" s="12"/>
      <c r="BB20" s="839"/>
      <c r="BC20" s="12"/>
      <c r="BD20" s="12" t="s">
        <v>2343</v>
      </c>
      <c r="BE20" s="839"/>
      <c r="BF20" s="12"/>
      <c r="BG20" s="12"/>
      <c r="BH20" s="227"/>
      <c r="BI20" s="227"/>
      <c r="BJ20" s="839"/>
      <c r="BK20" s="228"/>
      <c r="BL20" s="228"/>
    </row>
    <row r="21" spans="1:64" s="3" customFormat="1" ht="108" hidden="1" customHeight="1">
      <c r="A21" s="332"/>
      <c r="B21" s="826"/>
      <c r="C21" s="827"/>
      <c r="D21" s="828"/>
      <c r="E21" s="843"/>
      <c r="F21" s="830"/>
      <c r="G21" s="831"/>
      <c r="H21" s="832"/>
      <c r="I21" s="826"/>
      <c r="J21" s="827"/>
      <c r="K21" s="828"/>
      <c r="L21" s="330"/>
      <c r="M21" s="50"/>
      <c r="N21" s="32"/>
      <c r="O21" s="6" t="e">
        <f>VLOOKUP(L21,[21]Listas!$M$69:$N$73,2,0)</f>
        <v>#N/A</v>
      </c>
      <c r="P21" s="6"/>
      <c r="Q21" s="6" t="e">
        <f>HLOOKUP(M21,[21]Listas!$O$67:$Q$68,2,0)</f>
        <v>#N/A</v>
      </c>
      <c r="R21" s="331" t="e">
        <f>INDEX([21]Listas!$O$69:$Q$73,MATCH(L21,[21]Listas!$M$69:$M$73,0),MATCH(M21,[21]Listas!$O$67:$Q$67,0))</f>
        <v>#N/A</v>
      </c>
      <c r="S21" s="826"/>
      <c r="T21" s="827"/>
      <c r="U21" s="828"/>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vez",VLOOKUP(AQ21,[21]Listas!$L$69:$M$73,2,0))</f>
        <v>#N/A</v>
      </c>
      <c r="AS21" s="6" t="e">
        <f t="shared" si="11"/>
        <v>#N/A</v>
      </c>
      <c r="AT21" s="331" t="e">
        <f t="shared" si="12"/>
        <v>#N/A</v>
      </c>
      <c r="AU21" s="331" t="e">
        <f>INDEX([21]Listas!$O$69:$Q$73,MATCH(AR21,[21]Listas!$M$69:$M$73,0),MATCH(AT21,[21]Listas!$O$67:$Q$67,0))</f>
        <v>#N/A</v>
      </c>
      <c r="AV21" s="330"/>
      <c r="AW21" s="826"/>
      <c r="AX21" s="843"/>
      <c r="AY21" s="843"/>
      <c r="AZ21" s="12"/>
      <c r="BA21" s="12"/>
      <c r="BB21" s="839"/>
      <c r="BC21" s="12"/>
      <c r="BD21" s="12" t="s">
        <v>2343</v>
      </c>
      <c r="BE21" s="839"/>
      <c r="BF21" s="12"/>
      <c r="BG21" s="12"/>
      <c r="BH21" s="227"/>
      <c r="BI21" s="227"/>
      <c r="BJ21" s="839"/>
      <c r="BK21" s="228"/>
      <c r="BL21" s="228"/>
    </row>
    <row r="22" spans="1:64" ht="6.75" customHeight="1">
      <c r="A22" s="2"/>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1:64" ht="15" customHeight="1">
      <c r="A23" s="317"/>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1:64" s="22" customFormat="1" ht="19.5" customHeight="1">
      <c r="A24" s="10"/>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1" t="s">
        <v>172</v>
      </c>
      <c r="AS24" s="2802"/>
      <c r="AT24" s="2802"/>
      <c r="AU24" s="2802"/>
      <c r="AV24" s="2802"/>
      <c r="AW24" s="2802"/>
      <c r="AX24" s="2803"/>
      <c r="AY24" s="68"/>
      <c r="AZ24" s="68"/>
      <c r="BA24" s="68"/>
      <c r="BB24" s="92"/>
      <c r="BC24" s="68"/>
      <c r="BD24" s="68"/>
      <c r="BE24" s="92"/>
      <c r="BF24" s="68"/>
      <c r="BG24" s="68"/>
      <c r="BH24" s="326"/>
      <c r="BI24" s="326"/>
      <c r="BJ24" s="92"/>
      <c r="BK24" s="327"/>
      <c r="BL24" s="327"/>
    </row>
    <row r="25" spans="1:64" s="22" customFormat="1" ht="39.950000000000003" customHeight="1">
      <c r="A25" s="11"/>
      <c r="B25" s="2794" t="s">
        <v>285</v>
      </c>
      <c r="C25" s="2795"/>
      <c r="D25" s="2795"/>
      <c r="E25" s="2795"/>
      <c r="F25" s="2795"/>
      <c r="G25" s="2795"/>
      <c r="H25" s="2796"/>
      <c r="I25" s="2797" t="s">
        <v>2447</v>
      </c>
      <c r="J25" s="2798"/>
      <c r="K25" s="2798"/>
      <c r="L25" s="2798"/>
      <c r="M25" s="2798"/>
      <c r="N25" s="2798"/>
      <c r="O25" s="2798"/>
      <c r="P25" s="2798"/>
      <c r="Q25" s="2798"/>
      <c r="R25" s="2798"/>
      <c r="S25" s="2798"/>
      <c r="T25" s="2798"/>
      <c r="U25" s="2799"/>
      <c r="V25" s="2794" t="s">
        <v>2491</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794"/>
      <c r="AS25" s="2795"/>
      <c r="AT25" s="2795"/>
      <c r="AU25" s="2795"/>
      <c r="AV25" s="2795"/>
      <c r="AW25" s="2795"/>
      <c r="AX25" s="2796"/>
      <c r="AY25" s="68"/>
      <c r="AZ25" s="2867"/>
      <c r="BA25" s="2867"/>
      <c r="BB25" s="2867"/>
      <c r="BC25" s="2867"/>
      <c r="BD25" s="68"/>
      <c r="BE25" s="92"/>
      <c r="BF25" s="68"/>
      <c r="BG25" s="68"/>
      <c r="BH25" s="326"/>
      <c r="BI25" s="326"/>
      <c r="BJ25" s="92"/>
      <c r="BK25" s="327"/>
      <c r="BL25" s="327"/>
    </row>
    <row r="26" spans="1:64" s="22" customFormat="1" ht="39.950000000000003" customHeight="1">
      <c r="A26" s="11"/>
      <c r="B26" s="2794" t="s">
        <v>855</v>
      </c>
      <c r="C26" s="2795"/>
      <c r="D26" s="2795"/>
      <c r="E26" s="2795"/>
      <c r="F26" s="2795"/>
      <c r="G26" s="2795"/>
      <c r="H26" s="2796"/>
      <c r="I26" s="2797" t="s">
        <v>2492</v>
      </c>
      <c r="J26" s="2798"/>
      <c r="K26" s="2798"/>
      <c r="L26" s="2798"/>
      <c r="M26" s="2798"/>
      <c r="N26" s="2798"/>
      <c r="O26" s="2798"/>
      <c r="P26" s="2798"/>
      <c r="Q26" s="2798"/>
      <c r="R26" s="2798"/>
      <c r="S26" s="2798"/>
      <c r="T26" s="2798"/>
      <c r="U26" s="2799"/>
      <c r="V26" s="2794" t="s">
        <v>836</v>
      </c>
      <c r="W26" s="2795"/>
      <c r="X26" s="2795"/>
      <c r="Y26" s="2795"/>
      <c r="Z26" s="2795"/>
      <c r="AA26" s="2795"/>
      <c r="AB26" s="2795"/>
      <c r="AC26" s="2795"/>
      <c r="AD26" s="2795"/>
      <c r="AE26" s="2795"/>
      <c r="AF26" s="2795"/>
      <c r="AG26" s="2795"/>
      <c r="AH26" s="2795"/>
      <c r="AI26" s="2795"/>
      <c r="AJ26" s="2795"/>
      <c r="AK26" s="2795"/>
      <c r="AL26" s="2795"/>
      <c r="AM26" s="2795"/>
      <c r="AN26" s="2795"/>
      <c r="AO26" s="2795"/>
      <c r="AP26" s="2796"/>
      <c r="AQ26" s="12"/>
      <c r="AR26" s="2794"/>
      <c r="AS26" s="2795"/>
      <c r="AT26" s="2795"/>
      <c r="AU26" s="2795"/>
      <c r="AV26" s="2795"/>
      <c r="AW26" s="2795"/>
      <c r="AX26" s="2796"/>
      <c r="AY26" s="68"/>
      <c r="AZ26" s="68"/>
      <c r="BA26" s="68"/>
      <c r="BB26" s="92"/>
      <c r="BC26" s="68"/>
      <c r="BD26" s="68"/>
      <c r="BE26" s="92"/>
      <c r="BF26" s="68"/>
      <c r="BG26" s="68"/>
      <c r="BH26" s="326"/>
      <c r="BI26" s="326"/>
      <c r="BJ26" s="92"/>
      <c r="BK26" s="327"/>
      <c r="BL26" s="327"/>
    </row>
    <row r="27" spans="1:64">
      <c r="A27" s="13"/>
      <c r="B27" s="13"/>
      <c r="C27" s="13"/>
      <c r="D27" s="13"/>
      <c r="E27" s="14"/>
      <c r="F27" s="13"/>
      <c r="G27" s="13"/>
      <c r="H27" s="13"/>
      <c r="I27" s="13"/>
      <c r="J27" s="13"/>
      <c r="K27" s="13"/>
      <c r="L27" s="15"/>
      <c r="M27" s="15"/>
      <c r="N27" s="15"/>
      <c r="O27" s="15"/>
      <c r="P27" s="15"/>
      <c r="Q27" s="15"/>
      <c r="R27" s="15"/>
      <c r="S27" s="15"/>
      <c r="T27" s="15"/>
      <c r="U27" s="15"/>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5"/>
      <c r="AW27" s="15"/>
      <c r="AZ27" s="68"/>
      <c r="BA27" s="68"/>
      <c r="BB27" s="92"/>
      <c r="BC27" s="68"/>
      <c r="BD27" s="68"/>
      <c r="BE27" s="92"/>
      <c r="BF27" s="68"/>
      <c r="BG27" s="68"/>
      <c r="BH27" s="230"/>
      <c r="BI27" s="230"/>
      <c r="BJ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2">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2">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2">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2">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2">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2">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2">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2">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2">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2">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2">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2">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2">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1:62">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row>
    <row r="95" spans="1:62">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2">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1:64" ht="11.25">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c r="AZ97" s="231"/>
      <c r="BA97" s="231"/>
      <c r="BB97" s="231"/>
      <c r="BC97" s="231"/>
      <c r="BD97" s="231"/>
      <c r="BE97" s="231"/>
      <c r="BF97" s="231"/>
      <c r="BG97" s="231"/>
      <c r="BH97" s="231"/>
      <c r="BI97" s="231"/>
      <c r="BJ97" s="231"/>
      <c r="BK97" s="231"/>
      <c r="BL97" s="231"/>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ht="11.25">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1:64">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1:49">
      <c r="A119" s="13"/>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sheetData>
  <sheetProtection formatCells="0" formatColumns="0" formatRows="0" insertRows="0" deleteRows="0" sort="0" autoFilter="0" pivotTables="0"/>
  <mergeCells count="54">
    <mergeCell ref="A1:AB1"/>
    <mergeCell ref="AC1:AU4"/>
    <mergeCell ref="BB1:BE1"/>
    <mergeCell ref="A2:AB2"/>
    <mergeCell ref="BB2:BC2"/>
    <mergeCell ref="BD2:BE2"/>
    <mergeCell ref="A3:D3"/>
    <mergeCell ref="E3:U3"/>
    <mergeCell ref="V3:AB3"/>
    <mergeCell ref="BB3:BC3"/>
    <mergeCell ref="AA6:BA6"/>
    <mergeCell ref="BD3:BE3"/>
    <mergeCell ref="A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B9:D9"/>
    <mergeCell ref="F9:H9"/>
    <mergeCell ref="I9:K9"/>
    <mergeCell ref="S9:U9"/>
    <mergeCell ref="B10:D10"/>
    <mergeCell ref="F10:H10"/>
    <mergeCell ref="I10:K10"/>
    <mergeCell ref="S10:U10"/>
    <mergeCell ref="B11:D11"/>
    <mergeCell ref="F11:H11"/>
    <mergeCell ref="I11:K11"/>
    <mergeCell ref="S11:U11"/>
    <mergeCell ref="B23:U23"/>
    <mergeCell ref="V24:AP24"/>
    <mergeCell ref="AR24:AX24"/>
    <mergeCell ref="B25:H25"/>
    <mergeCell ref="I25:U25"/>
    <mergeCell ref="V25:AP25"/>
    <mergeCell ref="AR25:AX25"/>
    <mergeCell ref="B24:H24"/>
    <mergeCell ref="I24:U24"/>
    <mergeCell ref="AZ25:BC25"/>
    <mergeCell ref="B26:H26"/>
    <mergeCell ref="I26:U26"/>
    <mergeCell ref="V26:AP26"/>
    <mergeCell ref="AR26:AX26"/>
  </mergeCells>
  <dataValidations count="8">
    <dataValidation type="list" allowBlank="1" showInputMessage="1" showErrorMessage="1" sqref="L6">
      <formula1>Proceso</formula1>
    </dataValidation>
    <dataValidation type="list" sqref="BD4:BE4">
      <formula1>Monitoreo</formula1>
    </dataValidation>
    <dataValidation type="list" showInputMessage="1" showErrorMessage="1" sqref="L10:L21">
      <formula1>Probabilidad</formula1>
    </dataValidation>
    <dataValidation type="list" allowBlank="1" showInputMessage="1" showErrorMessage="1" sqref="M10:N21">
      <formula1>Impacto</formula1>
    </dataValidation>
    <dataValidation showInputMessage="1" showErrorMessage="1" sqref="AG10:AT21"/>
    <dataValidation type="list" showInputMessage="1" showErrorMessage="1" sqref="V10:AF21">
      <formula1>Efectividad</formula1>
    </dataValidation>
    <dataValidation type="list" allowBlank="1" showInputMessage="1" sqref="AV10:AV21">
      <formula1>Periodo</formula1>
    </dataValidation>
    <dataValidation type="list" allowBlank="1" showInputMessage="1" showErrorMessage="1" sqref="BE10:BE21">
      <formula1>Efectividad</formula1>
    </dataValidation>
  </dataValidations>
  <printOptions horizontalCentered="1" verticalCentered="1"/>
  <pageMargins left="0.23622047244094491" right="0.23622047244094491" top="0.74803149606299213" bottom="0.35433070866141736" header="0.31496062992125984" footer="0.31496062992125984"/>
  <pageSetup paperSize="5" scale="50" orientation="landscape" r:id="rId1"/>
  <headerFooter>
    <oddFooter>&amp;L&amp;"Segoe UI,Normal"&amp;9Formato: FO-AC-07 Versión: 3&amp;C&amp;"Segoe UI,Normal"&amp;9Página &amp;P</oddFooter>
  </headerFooter>
  <colBreaks count="1" manualBreakCount="1">
    <brk id="58"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20"/>
  <sheetViews>
    <sheetView showGridLines="0" view="pageBreakPreview" zoomScaleNormal="100" zoomScaleSheetLayoutView="100" workbookViewId="0">
      <selection sqref="A1:AB1"/>
    </sheetView>
  </sheetViews>
  <sheetFormatPr baseColWidth="10" defaultRowHeight="15"/>
  <cols>
    <col min="1" max="1" width="1.140625" style="16" customWidth="1"/>
    <col min="2" max="4" width="5.42578125" style="16" customWidth="1"/>
    <col min="5" max="5" width="7.28515625" style="17" customWidth="1"/>
    <col min="6" max="11" width="4.5703125" style="16" customWidth="1"/>
    <col min="12" max="13" width="2.5703125" style="18" customWidth="1"/>
    <col min="14" max="14" width="0.7109375" style="18" hidden="1" customWidth="1"/>
    <col min="15" max="15" width="3" style="18" hidden="1" customWidth="1"/>
    <col min="16" max="16" width="5.140625" style="18" hidden="1" customWidth="1"/>
    <col min="17" max="17" width="3" style="18" hidden="1" customWidth="1"/>
    <col min="18" max="18" width="3.42578125" style="18" customWidth="1"/>
    <col min="19" max="19" width="7.140625" style="18" customWidth="1"/>
    <col min="20" max="20" width="6" style="18" customWidth="1"/>
    <col min="21" max="21" width="7.140625" style="18" customWidth="1"/>
    <col min="22" max="31" width="2.4257812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bestFit="1" customWidth="1"/>
    <col min="45" max="45" width="5.140625" style="17" hidden="1" customWidth="1"/>
    <col min="46" max="46" width="2.85546875" style="17" customWidth="1"/>
    <col min="47" max="47" width="4.28515625" style="17" customWidth="1"/>
    <col min="48" max="48" width="3.5703125" style="18" customWidth="1"/>
    <col min="49" max="49" width="11.42578125" style="18" customWidth="1"/>
    <col min="50" max="50" width="10.7109375" style="21" customWidth="1"/>
    <col min="51" max="51" width="3.85546875" style="21" customWidth="1"/>
    <col min="52" max="52" width="19.28515625" style="210" customWidth="1"/>
    <col min="53" max="53" width="13.5703125" style="210" customWidth="1"/>
    <col min="54" max="54" width="6.140625" style="210" customWidth="1"/>
    <col min="55" max="55" width="19.5703125" style="210" customWidth="1"/>
    <col min="56" max="56" width="42.7109375" style="210" customWidth="1"/>
    <col min="57" max="57" width="5.85546875" style="210" customWidth="1"/>
    <col min="58" max="58" width="31.5703125" style="210" customWidth="1"/>
    <col min="59" max="59" width="16.140625" style="210" customWidth="1"/>
    <col min="60" max="61" width="9.28515625" style="210" customWidth="1"/>
    <col min="62" max="62" width="11.140625" style="210" customWidth="1"/>
    <col min="63" max="63" width="2.140625" style="210" customWidth="1"/>
    <col min="64" max="64" width="11.42578125" style="210"/>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858" t="str">
        <f>UPPER([19]Control!A2)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22">
        <v>2019</v>
      </c>
      <c r="BA2" s="208"/>
      <c r="BB2" s="2830" t="s">
        <v>138</v>
      </c>
      <c r="BC2" s="2831"/>
      <c r="BD2" s="2861" t="str">
        <f>L6</f>
        <v>GESTIÓN SOCIAL Y PARTICIPACIÓN CIUDADANA</v>
      </c>
      <c r="BE2" s="2862"/>
      <c r="BF2" s="208"/>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1:64" ht="15.75" customHeight="1" thickBot="1">
      <c r="A4" s="2832" t="str">
        <f>[19]Control!A4</f>
        <v>FO-PE-05</v>
      </c>
      <c r="B4" s="2833"/>
      <c r="C4" s="2833"/>
      <c r="D4" s="2834"/>
      <c r="E4" s="2835" t="str">
        <f>[19]Control!C4</f>
        <v>Planeación Estratégica</v>
      </c>
      <c r="F4" s="2833"/>
      <c r="G4" s="2833"/>
      <c r="H4" s="2833"/>
      <c r="I4" s="2833"/>
      <c r="J4" s="2833"/>
      <c r="K4" s="2833"/>
      <c r="L4" s="2833"/>
      <c r="M4" s="2833"/>
      <c r="N4" s="2833"/>
      <c r="O4" s="2833"/>
      <c r="P4" s="2833"/>
      <c r="Q4" s="2833"/>
      <c r="R4" s="2833"/>
      <c r="S4" s="2833"/>
      <c r="T4" s="2833"/>
      <c r="U4" s="2834"/>
      <c r="V4" s="2835">
        <f>[19]Control!H4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232">
        <v>43441</v>
      </c>
      <c r="BA4" s="208"/>
      <c r="BB4" s="2836">
        <v>43710</v>
      </c>
      <c r="BC4" s="2837"/>
      <c r="BD4" s="2282" t="s">
        <v>500</v>
      </c>
      <c r="BE4" s="2282"/>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842" t="s">
        <v>118</v>
      </c>
      <c r="M6" s="2843"/>
      <c r="N6" s="2843"/>
      <c r="O6" s="2843"/>
      <c r="P6" s="2843"/>
      <c r="Q6" s="2843"/>
      <c r="R6" s="2843"/>
      <c r="S6" s="2843"/>
      <c r="T6" s="2843"/>
      <c r="U6" s="2844"/>
      <c r="V6" s="2845" t="s">
        <v>59</v>
      </c>
      <c r="W6" s="2845"/>
      <c r="X6" s="2845"/>
      <c r="Y6" s="2845"/>
      <c r="Z6" s="2845"/>
      <c r="AA6" s="2827" t="s">
        <v>3012</v>
      </c>
      <c r="AB6" s="2828"/>
      <c r="AC6" s="2828"/>
      <c r="AD6" s="2828"/>
      <c r="AE6" s="2828"/>
      <c r="AF6" s="2828"/>
      <c r="AG6" s="2828"/>
      <c r="AH6" s="2828"/>
      <c r="AI6" s="2828"/>
      <c r="AJ6" s="2828"/>
      <c r="AK6" s="2828"/>
      <c r="AL6" s="2828"/>
      <c r="AM6" s="2828"/>
      <c r="AN6" s="2828"/>
      <c r="AO6" s="2828"/>
      <c r="AP6" s="2828"/>
      <c r="AQ6" s="2828"/>
      <c r="AR6" s="2828"/>
      <c r="AS6" s="2828"/>
      <c r="AT6" s="2828"/>
      <c r="AU6" s="2828"/>
      <c r="AV6" s="2828"/>
      <c r="AW6" s="2828"/>
      <c r="AX6" s="2828"/>
      <c r="AY6" s="2828"/>
      <c r="AZ6" s="2828"/>
      <c r="BA6" s="2829"/>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1:64" s="3" customFormat="1" ht="216" customHeight="1">
      <c r="A10" s="332"/>
      <c r="B10" s="2805" t="s">
        <v>3013</v>
      </c>
      <c r="C10" s="2806"/>
      <c r="D10" s="2807"/>
      <c r="E10" s="843" t="s">
        <v>1961</v>
      </c>
      <c r="F10" s="2808" t="s">
        <v>502</v>
      </c>
      <c r="G10" s="2809"/>
      <c r="H10" s="2810"/>
      <c r="I10" s="2805" t="s">
        <v>3014</v>
      </c>
      <c r="J10" s="2806"/>
      <c r="K10" s="2807"/>
      <c r="L10" s="330" t="s">
        <v>283</v>
      </c>
      <c r="M10" s="50" t="s">
        <v>274</v>
      </c>
      <c r="N10" s="32"/>
      <c r="O10" s="6">
        <f>VLOOKUP(L10,[19]Listas!$M$69:$N$73,2,0)</f>
        <v>1</v>
      </c>
      <c r="P10" s="6"/>
      <c r="Q10" s="6">
        <f>HLOOKUP(M10,[19]Listas!$O$67:$Q$68,2,0)</f>
        <v>5</v>
      </c>
      <c r="R10" s="331" t="str">
        <f>INDEX([19]Listas!$O$69:$Q$73,MATCH(L10,[19]Listas!$M$69:$M$73,0),MATCH(M10,[19]Listas!$O$67:$Q$67,0))</f>
        <v>5
BAJA</v>
      </c>
      <c r="S10" s="2805" t="s">
        <v>3015</v>
      </c>
      <c r="T10" s="2806"/>
      <c r="U10" s="2807"/>
      <c r="V10" s="329" t="s">
        <v>65</v>
      </c>
      <c r="W10" s="329" t="s">
        <v>65</v>
      </c>
      <c r="X10" s="329" t="s">
        <v>65</v>
      </c>
      <c r="Y10" s="329" t="s">
        <v>65</v>
      </c>
      <c r="Z10" s="329" t="s">
        <v>65</v>
      </c>
      <c r="AA10" s="329" t="s">
        <v>36</v>
      </c>
      <c r="AB10" s="329" t="s">
        <v>65</v>
      </c>
      <c r="AC10" s="329" t="s">
        <v>65</v>
      </c>
      <c r="AD10" s="329" t="s">
        <v>65</v>
      </c>
      <c r="AE10" s="329" t="s">
        <v>65</v>
      </c>
      <c r="AF10" s="33"/>
      <c r="AG10" s="6">
        <f t="shared" ref="AG10:AG21" si="0">IF(Y10="SI",15,0)</f>
        <v>15</v>
      </c>
      <c r="AH10" s="6">
        <f t="shared" ref="AH10:AH21" si="1">IF(Z10="SI",5,0)</f>
        <v>5</v>
      </c>
      <c r="AI10" s="6">
        <f t="shared" ref="AI10:AI21" si="2">IF(AA10="SI",15,0)</f>
        <v>0</v>
      </c>
      <c r="AJ10" s="6">
        <f t="shared" ref="AJ10:AJ21" si="3">IF(AB10="SI",10,0)</f>
        <v>10</v>
      </c>
      <c r="AK10" s="6">
        <f t="shared" ref="AK10:AK21" si="4">IF(AC10="SI",15,0)</f>
        <v>15</v>
      </c>
      <c r="AL10" s="6">
        <f t="shared" ref="AL10:AL21" si="5">IF(AD10="SI",10,0)</f>
        <v>10</v>
      </c>
      <c r="AM10" s="6">
        <f t="shared" ref="AM10:AM21" si="6">IF(AE10="SI",30,0)</f>
        <v>30</v>
      </c>
      <c r="AN10" s="6">
        <f t="shared" ref="AN10:AN21" si="7">SUM(AG10+AH10+AI10+AJ10+AK10+AL10+AM10)</f>
        <v>85</v>
      </c>
      <c r="AO10" s="6">
        <f t="shared" ref="AO10:AO21" si="8">IF(AN10&lt;=50,0,IF(AN10&gt;=76,2,1))</f>
        <v>2</v>
      </c>
      <c r="AP10" s="331" t="str">
        <f t="shared" ref="AP10:AP21" si="9">CONCATENATE(AN10,"- disminuye ",AO10)</f>
        <v>85- disminuye 2</v>
      </c>
      <c r="AQ10" s="6">
        <f t="shared" ref="AQ10:AQ21" si="10">IF(V10="SI",O10-AO10,O10)</f>
        <v>-1</v>
      </c>
      <c r="AR10" s="331" t="str">
        <f>IF(AQ10&lt;=1,"Rara vez",VLOOKUP(AQ10,[19]Listas!$L$69:$M$73,2,0))</f>
        <v>Rara vez</v>
      </c>
      <c r="AS10" s="6">
        <f t="shared" ref="AS10:AS21" si="11">IF(W10="SI",Q10-AO10,Q10)</f>
        <v>3</v>
      </c>
      <c r="AT10" s="331" t="str">
        <f t="shared" ref="AT10:AT21" si="12">IF(AS10&lt;=9,"Moderado",IF(AS10=20,"Catastrófico",IF(AS10=18,"Moderado","Mayor")))</f>
        <v>Moderado</v>
      </c>
      <c r="AU10" s="331" t="str">
        <f>INDEX([19]Listas!$O$69:$Q$73,MATCH(AR10,[19]Listas!$M$69:$M$73,0),MATCH(AT10,[19]Listas!$O$67:$Q$67,0))</f>
        <v>5
BAJA</v>
      </c>
      <c r="AV10" s="330" t="s">
        <v>271</v>
      </c>
      <c r="AW10" s="826" t="s">
        <v>3016</v>
      </c>
      <c r="AX10" s="843" t="s">
        <v>504</v>
      </c>
      <c r="AY10" s="330" t="s">
        <v>505</v>
      </c>
      <c r="AZ10" s="12" t="s">
        <v>3017</v>
      </c>
      <c r="BA10" s="12" t="s">
        <v>3018</v>
      </c>
      <c r="BB10" s="226">
        <v>1</v>
      </c>
      <c r="BC10" s="12" t="s">
        <v>4010</v>
      </c>
      <c r="BD10" s="12" t="s">
        <v>2343</v>
      </c>
      <c r="BE10" s="839" t="s">
        <v>36</v>
      </c>
      <c r="BF10" s="12"/>
      <c r="BG10" s="12"/>
      <c r="BH10" s="227"/>
      <c r="BI10" s="227"/>
      <c r="BJ10" s="839"/>
      <c r="BK10" s="228"/>
      <c r="BL10" s="228"/>
    </row>
    <row r="11" spans="1:64" s="3" customFormat="1" ht="153.75" customHeight="1">
      <c r="A11" s="332"/>
      <c r="B11" s="2805" t="s">
        <v>3019</v>
      </c>
      <c r="C11" s="2806"/>
      <c r="D11" s="2807"/>
      <c r="E11" s="843" t="s">
        <v>1962</v>
      </c>
      <c r="F11" s="2808" t="s">
        <v>503</v>
      </c>
      <c r="G11" s="2809"/>
      <c r="H11" s="2810"/>
      <c r="I11" s="2805" t="s">
        <v>3020</v>
      </c>
      <c r="J11" s="2806"/>
      <c r="K11" s="2807"/>
      <c r="L11" s="330" t="s">
        <v>286</v>
      </c>
      <c r="M11" s="50" t="s">
        <v>270</v>
      </c>
      <c r="N11" s="32"/>
      <c r="O11" s="6">
        <f>VLOOKUP(L11,[19]Listas!$M$69:$N$73,2,0)</f>
        <v>2</v>
      </c>
      <c r="P11" s="6"/>
      <c r="Q11" s="6">
        <f>HLOOKUP(M11,[19]Listas!$O$67:$Q$68,2,0)</f>
        <v>10</v>
      </c>
      <c r="R11" s="331" t="str">
        <f>INDEX([19]Listas!$O$69:$Q$73,MATCH(L11,[19]Listas!$M$69:$M$73,0),MATCH(M11,[19]Listas!$O$67:$Q$67,0))</f>
        <v>20
MODERADA</v>
      </c>
      <c r="S11" s="2805" t="s">
        <v>589</v>
      </c>
      <c r="T11" s="2806"/>
      <c r="U11" s="2807"/>
      <c r="V11" s="329" t="s">
        <v>65</v>
      </c>
      <c r="W11" s="329" t="s">
        <v>36</v>
      </c>
      <c r="X11" s="329" t="s">
        <v>36</v>
      </c>
      <c r="Y11" s="329" t="s">
        <v>65</v>
      </c>
      <c r="Z11" s="329" t="s">
        <v>65</v>
      </c>
      <c r="AA11" s="329" t="s">
        <v>36</v>
      </c>
      <c r="AB11" s="329" t="s">
        <v>65</v>
      </c>
      <c r="AC11" s="329" t="s">
        <v>65</v>
      </c>
      <c r="AD11" s="329" t="s">
        <v>65</v>
      </c>
      <c r="AE11" s="329" t="s">
        <v>65</v>
      </c>
      <c r="AF11" s="33"/>
      <c r="AG11" s="6">
        <f t="shared" si="0"/>
        <v>15</v>
      </c>
      <c r="AH11" s="6">
        <f t="shared" si="1"/>
        <v>5</v>
      </c>
      <c r="AI11" s="6">
        <f t="shared" si="2"/>
        <v>0</v>
      </c>
      <c r="AJ11" s="6">
        <f t="shared" si="3"/>
        <v>10</v>
      </c>
      <c r="AK11" s="6">
        <f t="shared" si="4"/>
        <v>15</v>
      </c>
      <c r="AL11" s="6">
        <f t="shared" si="5"/>
        <v>10</v>
      </c>
      <c r="AM11" s="6">
        <f t="shared" si="6"/>
        <v>30</v>
      </c>
      <c r="AN11" s="6">
        <f t="shared" si="7"/>
        <v>85</v>
      </c>
      <c r="AO11" s="6">
        <f t="shared" si="8"/>
        <v>2</v>
      </c>
      <c r="AP11" s="331" t="str">
        <f t="shared" si="9"/>
        <v>85- disminuye 2</v>
      </c>
      <c r="AQ11" s="6">
        <f t="shared" si="10"/>
        <v>0</v>
      </c>
      <c r="AR11" s="331" t="str">
        <f>IF(AQ11&lt;=1,"Rara vez",VLOOKUP(AQ11,[19]Listas!$L$69:$M$73,2,0))</f>
        <v>Rara vez</v>
      </c>
      <c r="AS11" s="6">
        <f t="shared" si="11"/>
        <v>10</v>
      </c>
      <c r="AT11" s="331" t="str">
        <f t="shared" si="12"/>
        <v>Mayor</v>
      </c>
      <c r="AU11" s="331" t="str">
        <f>INDEX([19]Listas!$O$69:$Q$73,MATCH(AR11,[19]Listas!$M$69:$M$73,0),MATCH(AT11,[19]Listas!$O$67:$Q$67,0))</f>
        <v>10
BAJA</v>
      </c>
      <c r="AV11" s="330" t="s">
        <v>271</v>
      </c>
      <c r="AW11" s="826" t="s">
        <v>3021</v>
      </c>
      <c r="AX11" s="843" t="s">
        <v>3022</v>
      </c>
      <c r="AY11" s="330" t="s">
        <v>505</v>
      </c>
      <c r="AZ11" s="12" t="s">
        <v>3023</v>
      </c>
      <c r="BA11" s="12" t="s">
        <v>3024</v>
      </c>
      <c r="BB11" s="839">
        <v>0</v>
      </c>
      <c r="BC11" s="12" t="s">
        <v>3219</v>
      </c>
      <c r="BD11" s="12" t="s">
        <v>2343</v>
      </c>
      <c r="BE11" s="839" t="s">
        <v>36</v>
      </c>
      <c r="BF11" s="12"/>
      <c r="BG11" s="12"/>
      <c r="BH11" s="227"/>
      <c r="BI11" s="227"/>
      <c r="BJ11" s="839"/>
      <c r="BK11" s="228"/>
      <c r="BL11" s="228"/>
    </row>
    <row r="12" spans="1:64" s="3" customFormat="1" ht="108" hidden="1" customHeight="1">
      <c r="A12" s="332"/>
      <c r="B12" s="2805"/>
      <c r="C12" s="2806"/>
      <c r="D12" s="2807"/>
      <c r="E12" s="843"/>
      <c r="F12" s="2808"/>
      <c r="G12" s="2809"/>
      <c r="H12" s="2810"/>
      <c r="I12" s="2805"/>
      <c r="J12" s="2806"/>
      <c r="K12" s="2807"/>
      <c r="L12" s="330"/>
      <c r="M12" s="50"/>
      <c r="N12" s="32"/>
      <c r="O12" s="6" t="e">
        <f>VLOOKUP(L12,[19]Listas!$M$69:$N$73,2,0)</f>
        <v>#N/A</v>
      </c>
      <c r="P12" s="6"/>
      <c r="Q12" s="6" t="e">
        <f>HLOOKUP(M12,[19]Listas!$O$67:$Q$68,2,0)</f>
        <v>#N/A</v>
      </c>
      <c r="R12" s="331" t="e">
        <f>INDEX([19]Listas!$O$69:$Q$73,MATCH(L12,[19]Listas!$M$69:$M$73,0),MATCH(M12,[19]Listas!$O$67:$Q$67,0))</f>
        <v>#N/A</v>
      </c>
      <c r="S12" s="2805"/>
      <c r="T12" s="2806"/>
      <c r="U12" s="2807"/>
      <c r="V12" s="329"/>
      <c r="W12" s="329"/>
      <c r="X12" s="329"/>
      <c r="Y12" s="329"/>
      <c r="Z12" s="329"/>
      <c r="AA12" s="329"/>
      <c r="AB12" s="329"/>
      <c r="AC12" s="329"/>
      <c r="AD12" s="329"/>
      <c r="AE12" s="329"/>
      <c r="AF12" s="33"/>
      <c r="AG12" s="6">
        <f>IF(Y12="SI",15,0)</f>
        <v>0</v>
      </c>
      <c r="AH12" s="6">
        <f>IF(Z12="SI",5,0)</f>
        <v>0</v>
      </c>
      <c r="AI12" s="6">
        <f>IF(AA12="SI",15,0)</f>
        <v>0</v>
      </c>
      <c r="AJ12" s="6">
        <f>IF(AB12="SI",10,0)</f>
        <v>0</v>
      </c>
      <c r="AK12" s="6">
        <f>IF(AC12="SI",15,0)</f>
        <v>0</v>
      </c>
      <c r="AL12" s="6">
        <f>IF(AD12="SI",10,0)</f>
        <v>0</v>
      </c>
      <c r="AM12" s="6">
        <f>IF(AE12="SI",30,0)</f>
        <v>0</v>
      </c>
      <c r="AN12" s="6">
        <f>SUM(AG12+AH12+AI12+AJ12+AK12+AL12+AM12)</f>
        <v>0</v>
      </c>
      <c r="AO12" s="6">
        <f>IF(AN12&lt;=50,0,IF(AN12&gt;=76,2,1))</f>
        <v>0</v>
      </c>
      <c r="AP12" s="331" t="str">
        <f>CONCATENATE(AN12,"- disminuye ",AO12)</f>
        <v>0- disminuye 0</v>
      </c>
      <c r="AQ12" s="6" t="e">
        <f>IF(V12="SI",O12-AO12,O12)</f>
        <v>#N/A</v>
      </c>
      <c r="AR12" s="331" t="e">
        <f>IF(AQ12&lt;=1,"Rara vez",VLOOKUP(AQ12,[19]Listas!$L$69:$M$73,2,0))</f>
        <v>#N/A</v>
      </c>
      <c r="AS12" s="6" t="e">
        <f>IF(W12="SI",Q12-AO12,Q12)</f>
        <v>#N/A</v>
      </c>
      <c r="AT12" s="331" t="e">
        <f>IF(AS12&lt;=9,"Moderado",IF(AS12=20,"Catastrófico",IF(AS12=18,"Moderado","Mayor")))</f>
        <v>#N/A</v>
      </c>
      <c r="AU12" s="331" t="e">
        <f>INDEX([19]Listas!$O$69:$Q$73,MATCH(AR12,[19]Listas!$M$69:$M$73,0),MATCH(AT12,[19]Listas!$O$67:$Q$67,0))</f>
        <v>#N/A</v>
      </c>
      <c r="AV12" s="330"/>
      <c r="AW12" s="826"/>
      <c r="AX12" s="843"/>
      <c r="AY12" s="843"/>
      <c r="AZ12" s="12"/>
      <c r="BA12" s="12"/>
      <c r="BB12" s="839"/>
      <c r="BC12" s="12"/>
      <c r="BD12" s="12" t="s">
        <v>2343</v>
      </c>
      <c r="BE12" s="839"/>
      <c r="BF12" s="12"/>
      <c r="BG12" s="12"/>
      <c r="BH12" s="227"/>
      <c r="BI12" s="227"/>
      <c r="BJ12" s="839"/>
      <c r="BK12" s="228"/>
      <c r="BL12" s="228"/>
    </row>
    <row r="13" spans="1:64" s="3" customFormat="1" ht="108" hidden="1" customHeight="1">
      <c r="A13" s="332"/>
      <c r="B13" s="2805"/>
      <c r="C13" s="2806"/>
      <c r="D13" s="2807"/>
      <c r="E13" s="843"/>
      <c r="F13" s="2808"/>
      <c r="G13" s="2809"/>
      <c r="H13" s="2810"/>
      <c r="I13" s="2805"/>
      <c r="J13" s="2806"/>
      <c r="K13" s="2807"/>
      <c r="L13" s="330"/>
      <c r="M13" s="50"/>
      <c r="N13" s="32"/>
      <c r="O13" s="6" t="e">
        <f>VLOOKUP(L13,[19]Listas!$M$69:$N$73,2,0)</f>
        <v>#N/A</v>
      </c>
      <c r="P13" s="6"/>
      <c r="Q13" s="6" t="e">
        <f>HLOOKUP(M13,[19]Listas!$O$67:$Q$68,2,0)</f>
        <v>#N/A</v>
      </c>
      <c r="R13" s="331" t="e">
        <f>INDEX([19]Listas!$O$69:$Q$73,MATCH(L13,[19]Listas!$M$69:$M$73,0),MATCH(M13,[19]Listas!$O$67:$Q$67,0))</f>
        <v>#N/A</v>
      </c>
      <c r="S13" s="2805"/>
      <c r="T13" s="2806"/>
      <c r="U13" s="2807"/>
      <c r="V13" s="329"/>
      <c r="W13" s="329"/>
      <c r="X13" s="329"/>
      <c r="Y13" s="329"/>
      <c r="Z13" s="329"/>
      <c r="AA13" s="329"/>
      <c r="AB13" s="329"/>
      <c r="AC13" s="329"/>
      <c r="AD13" s="329"/>
      <c r="AE13" s="329"/>
      <c r="AF13" s="33"/>
      <c r="AG13" s="6">
        <f>IF(Y13="SI",15,0)</f>
        <v>0</v>
      </c>
      <c r="AH13" s="6">
        <f>IF(Z13="SI",5,0)</f>
        <v>0</v>
      </c>
      <c r="AI13" s="6">
        <f>IF(AA13="SI",15,0)</f>
        <v>0</v>
      </c>
      <c r="AJ13" s="6">
        <f>IF(AB13="SI",10,0)</f>
        <v>0</v>
      </c>
      <c r="AK13" s="6">
        <f>IF(AC13="SI",15,0)</f>
        <v>0</v>
      </c>
      <c r="AL13" s="6">
        <f>IF(AD13="SI",10,0)</f>
        <v>0</v>
      </c>
      <c r="AM13" s="6">
        <f>IF(AE13="SI",30,0)</f>
        <v>0</v>
      </c>
      <c r="AN13" s="6">
        <f>SUM(AG13+AH13+AI13+AJ13+AK13+AL13+AM13)</f>
        <v>0</v>
      </c>
      <c r="AO13" s="6">
        <f>IF(AN13&lt;=50,0,IF(AN13&gt;=76,2,1))</f>
        <v>0</v>
      </c>
      <c r="AP13" s="331" t="str">
        <f>CONCATENATE(AN13,"- disminuye ",AO13)</f>
        <v>0- disminuye 0</v>
      </c>
      <c r="AQ13" s="6" t="e">
        <f>IF(V13="SI",O13-AO13,O13)</f>
        <v>#N/A</v>
      </c>
      <c r="AR13" s="331" t="e">
        <f>IF(AQ13&lt;=1,"Rara vez",VLOOKUP(AQ13,[19]Listas!$L$69:$M$73,2,0))</f>
        <v>#N/A</v>
      </c>
      <c r="AS13" s="6" t="e">
        <f>IF(W13="SI",Q13-AO13,Q13)</f>
        <v>#N/A</v>
      </c>
      <c r="AT13" s="331" t="e">
        <f>IF(AS13&lt;=9,"Moderado",IF(AS13=20,"Catastrófico",IF(AS13=18,"Moderado","Mayor")))</f>
        <v>#N/A</v>
      </c>
      <c r="AU13" s="331" t="e">
        <f>INDEX([19]Listas!$O$69:$Q$73,MATCH(AR13,[19]Listas!$M$69:$M$73,0),MATCH(AT13,[19]Listas!$O$67:$Q$67,0))</f>
        <v>#N/A</v>
      </c>
      <c r="AV13" s="330"/>
      <c r="AW13" s="826"/>
      <c r="AX13" s="843"/>
      <c r="AY13" s="843"/>
      <c r="AZ13" s="12"/>
      <c r="BA13" s="12"/>
      <c r="BB13" s="839"/>
      <c r="BC13" s="12"/>
      <c r="BD13" s="12" t="s">
        <v>2343</v>
      </c>
      <c r="BE13" s="839"/>
      <c r="BF13" s="12"/>
      <c r="BG13" s="12"/>
      <c r="BH13" s="227"/>
      <c r="BI13" s="227"/>
      <c r="BJ13" s="839"/>
      <c r="BK13" s="228"/>
      <c r="BL13" s="228"/>
    </row>
    <row r="14" spans="1:64" s="3" customFormat="1" ht="108" hidden="1" customHeight="1">
      <c r="A14" s="332"/>
      <c r="B14" s="2805"/>
      <c r="C14" s="2806"/>
      <c r="D14" s="2807"/>
      <c r="E14" s="843"/>
      <c r="F14" s="2808"/>
      <c r="G14" s="2809"/>
      <c r="H14" s="2810"/>
      <c r="I14" s="2805"/>
      <c r="J14" s="2806"/>
      <c r="K14" s="2807"/>
      <c r="L14" s="330"/>
      <c r="M14" s="50"/>
      <c r="N14" s="32"/>
      <c r="O14" s="6" t="e">
        <f>VLOOKUP(L14,[19]Listas!$M$69:$N$73,2,0)</f>
        <v>#N/A</v>
      </c>
      <c r="P14" s="6"/>
      <c r="Q14" s="6" t="e">
        <f>HLOOKUP(M14,[19]Listas!$O$67:$Q$68,2,0)</f>
        <v>#N/A</v>
      </c>
      <c r="R14" s="331" t="e">
        <f>INDEX([19]Listas!$O$69:$Q$73,MATCH(L14,[19]Listas!$M$69:$M$73,0),MATCH(M14,[19]Listas!$O$67:$Q$67,0))</f>
        <v>#N/A</v>
      </c>
      <c r="S14" s="2805"/>
      <c r="T14" s="2806"/>
      <c r="U14" s="2807"/>
      <c r="V14" s="329"/>
      <c r="W14" s="329"/>
      <c r="X14" s="329"/>
      <c r="Y14" s="329"/>
      <c r="Z14" s="329"/>
      <c r="AA14" s="329"/>
      <c r="AB14" s="329"/>
      <c r="AC14" s="329"/>
      <c r="AD14" s="329"/>
      <c r="AE14" s="329"/>
      <c r="AF14" s="33"/>
      <c r="AG14" s="6">
        <f>IF(Y14="SI",15,0)</f>
        <v>0</v>
      </c>
      <c r="AH14" s="6">
        <f>IF(Z14="SI",5,0)</f>
        <v>0</v>
      </c>
      <c r="AI14" s="6">
        <f>IF(AA14="SI",15,0)</f>
        <v>0</v>
      </c>
      <c r="AJ14" s="6">
        <f>IF(AB14="SI",10,0)</f>
        <v>0</v>
      </c>
      <c r="AK14" s="6">
        <f>IF(AC14="SI",15,0)</f>
        <v>0</v>
      </c>
      <c r="AL14" s="6">
        <f>IF(AD14="SI",10,0)</f>
        <v>0</v>
      </c>
      <c r="AM14" s="6">
        <f>IF(AE14="SI",30,0)</f>
        <v>0</v>
      </c>
      <c r="AN14" s="6">
        <f>SUM(AG14+AH14+AI14+AJ14+AK14+AL14+AM14)</f>
        <v>0</v>
      </c>
      <c r="AO14" s="6">
        <f>IF(AN14&lt;=50,0,IF(AN14&gt;=76,2,1))</f>
        <v>0</v>
      </c>
      <c r="AP14" s="331" t="str">
        <f>CONCATENATE(AN14,"- disminuye ",AO14)</f>
        <v>0- disminuye 0</v>
      </c>
      <c r="AQ14" s="6" t="e">
        <f>IF(V14="SI",O14-AO14,O14)</f>
        <v>#N/A</v>
      </c>
      <c r="AR14" s="331" t="e">
        <f>IF(AQ14&lt;=1,"Rara vez",VLOOKUP(AQ14,[19]Listas!$L$69:$M$73,2,0))</f>
        <v>#N/A</v>
      </c>
      <c r="AS14" s="6" t="e">
        <f>IF(W14="SI",Q14-AO14,Q14)</f>
        <v>#N/A</v>
      </c>
      <c r="AT14" s="331" t="e">
        <f>IF(AS14&lt;=9,"Moderado",IF(AS14=20,"Catastrófico",IF(AS14=18,"Moderado","Mayor")))</f>
        <v>#N/A</v>
      </c>
      <c r="AU14" s="331" t="e">
        <f>INDEX([19]Listas!$O$69:$Q$73,MATCH(AR14,[19]Listas!$M$69:$M$73,0),MATCH(AT14,[19]Listas!$O$67:$Q$67,0))</f>
        <v>#N/A</v>
      </c>
      <c r="AV14" s="330"/>
      <c r="AW14" s="826"/>
      <c r="AX14" s="843"/>
      <c r="AY14" s="843"/>
      <c r="AZ14" s="12"/>
      <c r="BA14" s="12"/>
      <c r="BB14" s="839"/>
      <c r="BC14" s="12"/>
      <c r="BD14" s="12" t="s">
        <v>2343</v>
      </c>
      <c r="BE14" s="839"/>
      <c r="BF14" s="12"/>
      <c r="BG14" s="12"/>
      <c r="BH14" s="227"/>
      <c r="BI14" s="227"/>
      <c r="BJ14" s="839"/>
      <c r="BK14" s="228"/>
      <c r="BL14" s="228"/>
    </row>
    <row r="15" spans="1:64" s="3" customFormat="1" ht="108" hidden="1" customHeight="1">
      <c r="A15" s="332"/>
      <c r="B15" s="2805"/>
      <c r="C15" s="2806"/>
      <c r="D15" s="2807"/>
      <c r="E15" s="843"/>
      <c r="F15" s="2808"/>
      <c r="G15" s="2809"/>
      <c r="H15" s="2810"/>
      <c r="I15" s="2805"/>
      <c r="J15" s="2806"/>
      <c r="K15" s="2807"/>
      <c r="L15" s="330"/>
      <c r="M15" s="50"/>
      <c r="N15" s="32"/>
      <c r="O15" s="6" t="e">
        <f>VLOOKUP(L15,[19]Listas!$M$69:$N$73,2,0)</f>
        <v>#N/A</v>
      </c>
      <c r="P15" s="6"/>
      <c r="Q15" s="6" t="e">
        <f>HLOOKUP(M15,[19]Listas!$O$67:$Q$68,2,0)</f>
        <v>#N/A</v>
      </c>
      <c r="R15" s="331" t="e">
        <f>INDEX([19]Listas!$O$69:$Q$73,MATCH(L15,[19]Listas!$M$69:$M$73,0),MATCH(M15,[19]Listas!$O$67:$Q$67,0))</f>
        <v>#N/A</v>
      </c>
      <c r="S15" s="2805"/>
      <c r="T15" s="2806"/>
      <c r="U15" s="2807"/>
      <c r="V15" s="329"/>
      <c r="W15" s="329"/>
      <c r="X15" s="329"/>
      <c r="Y15" s="329"/>
      <c r="Z15" s="329"/>
      <c r="AA15" s="329"/>
      <c r="AB15" s="329"/>
      <c r="AC15" s="329"/>
      <c r="AD15" s="329"/>
      <c r="AE15" s="329"/>
      <c r="AF15" s="33"/>
      <c r="AG15" s="6">
        <f t="shared" si="0"/>
        <v>0</v>
      </c>
      <c r="AH15" s="6">
        <f t="shared" si="1"/>
        <v>0</v>
      </c>
      <c r="AI15" s="6">
        <f t="shared" si="2"/>
        <v>0</v>
      </c>
      <c r="AJ15" s="6">
        <f t="shared" si="3"/>
        <v>0</v>
      </c>
      <c r="AK15" s="6">
        <f t="shared" si="4"/>
        <v>0</v>
      </c>
      <c r="AL15" s="6">
        <f t="shared" si="5"/>
        <v>0</v>
      </c>
      <c r="AM15" s="6">
        <f t="shared" si="6"/>
        <v>0</v>
      </c>
      <c r="AN15" s="6">
        <f t="shared" si="7"/>
        <v>0</v>
      </c>
      <c r="AO15" s="6">
        <f t="shared" si="8"/>
        <v>0</v>
      </c>
      <c r="AP15" s="331" t="str">
        <f t="shared" si="9"/>
        <v>0- disminuye 0</v>
      </c>
      <c r="AQ15" s="6" t="e">
        <f t="shared" si="10"/>
        <v>#N/A</v>
      </c>
      <c r="AR15" s="331" t="e">
        <f>IF(AQ15&lt;=1,"Rara vez",VLOOKUP(AQ15,[19]Listas!$L$69:$M$73,2,0))</f>
        <v>#N/A</v>
      </c>
      <c r="AS15" s="6" t="e">
        <f t="shared" si="11"/>
        <v>#N/A</v>
      </c>
      <c r="AT15" s="331" t="e">
        <f t="shared" si="12"/>
        <v>#N/A</v>
      </c>
      <c r="AU15" s="331" t="e">
        <f>INDEX([19]Listas!$O$69:$Q$73,MATCH(AR15,[19]Listas!$M$69:$M$73,0),MATCH(AT15,[19]Listas!$O$67:$Q$67,0))</f>
        <v>#N/A</v>
      </c>
      <c r="AV15" s="330"/>
      <c r="AW15" s="826"/>
      <c r="AX15" s="843"/>
      <c r="AY15" s="843"/>
      <c r="AZ15" s="12"/>
      <c r="BA15" s="12"/>
      <c r="BB15" s="839"/>
      <c r="BC15" s="12"/>
      <c r="BD15" s="12" t="s">
        <v>2343</v>
      </c>
      <c r="BE15" s="839"/>
      <c r="BF15" s="12"/>
      <c r="BG15" s="12"/>
      <c r="BH15" s="227"/>
      <c r="BI15" s="227"/>
      <c r="BJ15" s="839"/>
      <c r="BK15" s="228"/>
      <c r="BL15" s="228"/>
    </row>
    <row r="16" spans="1:64" s="3" customFormat="1" ht="108" hidden="1" customHeight="1">
      <c r="A16" s="332"/>
      <c r="B16" s="2805"/>
      <c r="C16" s="2806"/>
      <c r="D16" s="2807"/>
      <c r="E16" s="843"/>
      <c r="F16" s="2808"/>
      <c r="G16" s="2809"/>
      <c r="H16" s="2810"/>
      <c r="I16" s="2805"/>
      <c r="J16" s="2806"/>
      <c r="K16" s="2807"/>
      <c r="L16" s="330"/>
      <c r="M16" s="50"/>
      <c r="N16" s="32"/>
      <c r="O16" s="6" t="e">
        <f>VLOOKUP(L16,[19]Listas!$M$69:$N$73,2,0)</f>
        <v>#N/A</v>
      </c>
      <c r="P16" s="6"/>
      <c r="Q16" s="6" t="e">
        <f>HLOOKUP(M16,[19]Listas!$O$67:$Q$68,2,0)</f>
        <v>#N/A</v>
      </c>
      <c r="R16" s="331" t="e">
        <f>INDEX([19]Listas!$O$69:$Q$73,MATCH(L16,[19]Listas!$M$69:$M$73,0),MATCH(M16,[19]Listas!$O$67:$Q$67,0))</f>
        <v>#N/A</v>
      </c>
      <c r="S16" s="826"/>
      <c r="T16" s="827"/>
      <c r="U16" s="828"/>
      <c r="V16" s="329"/>
      <c r="W16" s="329"/>
      <c r="X16" s="329"/>
      <c r="Y16" s="329"/>
      <c r="Z16" s="329"/>
      <c r="AA16" s="329"/>
      <c r="AB16" s="329"/>
      <c r="AC16" s="329"/>
      <c r="AD16" s="329"/>
      <c r="AE16" s="329"/>
      <c r="AF16" s="33"/>
      <c r="AG16" s="6">
        <f t="shared" si="0"/>
        <v>0</v>
      </c>
      <c r="AH16" s="6">
        <f t="shared" si="1"/>
        <v>0</v>
      </c>
      <c r="AI16" s="6">
        <f t="shared" si="2"/>
        <v>0</v>
      </c>
      <c r="AJ16" s="6">
        <f t="shared" si="3"/>
        <v>0</v>
      </c>
      <c r="AK16" s="6">
        <f t="shared" si="4"/>
        <v>0</v>
      </c>
      <c r="AL16" s="6">
        <f t="shared" si="5"/>
        <v>0</v>
      </c>
      <c r="AM16" s="6">
        <f t="shared" si="6"/>
        <v>0</v>
      </c>
      <c r="AN16" s="6">
        <f t="shared" si="7"/>
        <v>0</v>
      </c>
      <c r="AO16" s="6">
        <f t="shared" si="8"/>
        <v>0</v>
      </c>
      <c r="AP16" s="331" t="str">
        <f t="shared" si="9"/>
        <v>0- disminuye 0</v>
      </c>
      <c r="AQ16" s="6" t="e">
        <f t="shared" si="10"/>
        <v>#N/A</v>
      </c>
      <c r="AR16" s="331" t="e">
        <f>IF(AQ16&lt;=1,"Rara vez",VLOOKUP(AQ16,[19]Listas!$L$69:$M$73,2,0))</f>
        <v>#N/A</v>
      </c>
      <c r="AS16" s="6" t="e">
        <f t="shared" si="11"/>
        <v>#N/A</v>
      </c>
      <c r="AT16" s="331" t="e">
        <f t="shared" si="12"/>
        <v>#N/A</v>
      </c>
      <c r="AU16" s="331" t="e">
        <f>INDEX([19]Listas!$O$69:$Q$73,MATCH(AR16,[19]Listas!$M$69:$M$73,0),MATCH(AT16,[19]Listas!$O$67:$Q$67,0))</f>
        <v>#N/A</v>
      </c>
      <c r="AV16" s="330"/>
      <c r="AW16" s="826"/>
      <c r="AX16" s="843"/>
      <c r="AY16" s="843"/>
      <c r="AZ16" s="12"/>
      <c r="BA16" s="12"/>
      <c r="BB16" s="839"/>
      <c r="BC16" s="12"/>
      <c r="BD16" s="12" t="s">
        <v>2343</v>
      </c>
      <c r="BE16" s="839"/>
      <c r="BF16" s="12"/>
      <c r="BG16" s="12"/>
      <c r="BH16" s="227"/>
      <c r="BI16" s="227"/>
      <c r="BJ16" s="839"/>
      <c r="BK16" s="228"/>
      <c r="BL16" s="228"/>
    </row>
    <row r="17" spans="1:64" s="3" customFormat="1" ht="108" hidden="1" customHeight="1">
      <c r="A17" s="332"/>
      <c r="B17" s="2805"/>
      <c r="C17" s="2806"/>
      <c r="D17" s="2807"/>
      <c r="E17" s="843"/>
      <c r="F17" s="2808"/>
      <c r="G17" s="2809"/>
      <c r="H17" s="2810"/>
      <c r="I17" s="2805"/>
      <c r="J17" s="2806"/>
      <c r="K17" s="2807"/>
      <c r="L17" s="330"/>
      <c r="M17" s="50"/>
      <c r="N17" s="32"/>
      <c r="O17" s="6" t="e">
        <f>VLOOKUP(L17,[19]Listas!$M$69:$N$73,2,0)</f>
        <v>#N/A</v>
      </c>
      <c r="P17" s="6"/>
      <c r="Q17" s="6" t="e">
        <f>HLOOKUP(M17,[19]Listas!$O$67:$Q$68,2,0)</f>
        <v>#N/A</v>
      </c>
      <c r="R17" s="331" t="e">
        <f>INDEX([19]Listas!$O$69:$Q$73,MATCH(L17,[19]Listas!$M$69:$M$73,0),MATCH(M17,[19]Listas!$O$67:$Q$67,0))</f>
        <v>#N/A</v>
      </c>
      <c r="S17" s="2805"/>
      <c r="T17" s="2806"/>
      <c r="U17" s="2807"/>
      <c r="V17" s="329"/>
      <c r="W17" s="329"/>
      <c r="X17" s="329"/>
      <c r="Y17" s="329"/>
      <c r="Z17" s="329"/>
      <c r="AA17" s="329"/>
      <c r="AB17" s="329"/>
      <c r="AC17" s="329"/>
      <c r="AD17" s="329"/>
      <c r="AE17" s="329"/>
      <c r="AF17" s="33"/>
      <c r="AG17" s="6">
        <f>IF(Y17="SI",15,0)</f>
        <v>0</v>
      </c>
      <c r="AH17" s="6">
        <f>IF(Z17="SI",5,0)</f>
        <v>0</v>
      </c>
      <c r="AI17" s="6">
        <f>IF(AA17="SI",15,0)</f>
        <v>0</v>
      </c>
      <c r="AJ17" s="6">
        <f>IF(AB17="SI",10,0)</f>
        <v>0</v>
      </c>
      <c r="AK17" s="6">
        <f>IF(AC17="SI",15,0)</f>
        <v>0</v>
      </c>
      <c r="AL17" s="6">
        <f>IF(AD17="SI",10,0)</f>
        <v>0</v>
      </c>
      <c r="AM17" s="6">
        <f>IF(AE17="SI",30,0)</f>
        <v>0</v>
      </c>
      <c r="AN17" s="6">
        <f>SUM(AG17+AH17+AI17+AJ17+AK17+AL17+AM17)</f>
        <v>0</v>
      </c>
      <c r="AO17" s="6">
        <f>IF(AN17&lt;=50,0,IF(AN17&gt;=76,2,1))</f>
        <v>0</v>
      </c>
      <c r="AP17" s="331" t="str">
        <f>CONCATENATE(AN17,"- disminuye ",AO17)</f>
        <v>0- disminuye 0</v>
      </c>
      <c r="AQ17" s="6" t="e">
        <f>IF(V17="SI",O17-AO17,O17)</f>
        <v>#N/A</v>
      </c>
      <c r="AR17" s="331" t="e">
        <f>IF(AQ17&lt;=1,"Rara vez",VLOOKUP(AQ17,[19]Listas!$L$69:$M$73,2,0))</f>
        <v>#N/A</v>
      </c>
      <c r="AS17" s="6" t="e">
        <f>IF(W17="SI",Q17-AO17,Q17)</f>
        <v>#N/A</v>
      </c>
      <c r="AT17" s="331" t="e">
        <f>IF(AS17&lt;=9,"Moderado",IF(AS17=20,"Catastrófico",IF(AS17=18,"Moderado","Mayor")))</f>
        <v>#N/A</v>
      </c>
      <c r="AU17" s="331" t="e">
        <f>INDEX([19]Listas!$O$69:$Q$73,MATCH(AR17,[19]Listas!$M$69:$M$73,0),MATCH(AT17,[19]Listas!$O$67:$Q$67,0))</f>
        <v>#N/A</v>
      </c>
      <c r="AV17" s="330"/>
      <c r="AW17" s="826"/>
      <c r="AX17" s="843"/>
      <c r="AY17" s="843"/>
      <c r="AZ17" s="12"/>
      <c r="BA17" s="12"/>
      <c r="BB17" s="839"/>
      <c r="BC17" s="12"/>
      <c r="BD17" s="12" t="s">
        <v>2343</v>
      </c>
      <c r="BE17" s="839"/>
      <c r="BF17" s="12"/>
      <c r="BG17" s="12"/>
      <c r="BH17" s="227"/>
      <c r="BI17" s="227"/>
      <c r="BJ17" s="839"/>
      <c r="BK17" s="228"/>
      <c r="BL17" s="228"/>
    </row>
    <row r="18" spans="1:64" s="3" customFormat="1" ht="108" hidden="1" customHeight="1">
      <c r="A18" s="332"/>
      <c r="B18" s="2805"/>
      <c r="C18" s="2806"/>
      <c r="D18" s="2807"/>
      <c r="E18" s="843"/>
      <c r="F18" s="2808"/>
      <c r="G18" s="2809"/>
      <c r="H18" s="2810"/>
      <c r="I18" s="2805"/>
      <c r="J18" s="2806"/>
      <c r="K18" s="2807"/>
      <c r="L18" s="330"/>
      <c r="M18" s="50"/>
      <c r="N18" s="32"/>
      <c r="O18" s="6" t="e">
        <f>VLOOKUP(L18,[19]Listas!$M$69:$N$73,2,0)</f>
        <v>#N/A</v>
      </c>
      <c r="P18" s="6"/>
      <c r="Q18" s="6" t="e">
        <f>HLOOKUP(M18,[19]Listas!$O$67:$Q$68,2,0)</f>
        <v>#N/A</v>
      </c>
      <c r="R18" s="331" t="e">
        <f>INDEX([19]Listas!$O$69:$Q$73,MATCH(L18,[19]Listas!$M$69:$M$73,0),MATCH(M18,[19]Listas!$O$67:$Q$67,0))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vez",VLOOKUP(AQ18,[19]Listas!$L$69:$M$73,2,0))</f>
        <v>#N/A</v>
      </c>
      <c r="AS18" s="6" t="e">
        <f t="shared" si="11"/>
        <v>#N/A</v>
      </c>
      <c r="AT18" s="331" t="e">
        <f t="shared" si="12"/>
        <v>#N/A</v>
      </c>
      <c r="AU18" s="331" t="e">
        <f>INDEX([19]Listas!$O$69:$Q$73,MATCH(AR18,[19]Listas!$M$69:$M$73,0),MATCH(AT18,[19]Listas!$O$67:$Q$67,0))</f>
        <v>#N/A</v>
      </c>
      <c r="AV18" s="330"/>
      <c r="AW18" s="826"/>
      <c r="AX18" s="843"/>
      <c r="AY18" s="843"/>
      <c r="AZ18" s="12"/>
      <c r="BA18" s="12"/>
      <c r="BB18" s="839"/>
      <c r="BC18" s="12"/>
      <c r="BD18" s="12" t="s">
        <v>2343</v>
      </c>
      <c r="BE18" s="839"/>
      <c r="BF18" s="12"/>
      <c r="BG18" s="12"/>
      <c r="BH18" s="227"/>
      <c r="BI18" s="227"/>
      <c r="BJ18" s="839"/>
      <c r="BK18" s="228"/>
      <c r="BL18" s="228"/>
    </row>
    <row r="19" spans="1:64" s="3" customFormat="1" ht="108" hidden="1" customHeight="1">
      <c r="A19" s="332"/>
      <c r="B19" s="2805"/>
      <c r="C19" s="2806"/>
      <c r="D19" s="2807"/>
      <c r="E19" s="843"/>
      <c r="F19" s="2808"/>
      <c r="G19" s="2809"/>
      <c r="H19" s="2810"/>
      <c r="I19" s="2805"/>
      <c r="J19" s="2806"/>
      <c r="K19" s="2807"/>
      <c r="L19" s="330"/>
      <c r="M19" s="50"/>
      <c r="N19" s="32"/>
      <c r="O19" s="6" t="e">
        <f>VLOOKUP(L19,[19]Listas!$M$69:$N$73,2,0)</f>
        <v>#N/A</v>
      </c>
      <c r="P19" s="6"/>
      <c r="Q19" s="6" t="e">
        <f>HLOOKUP(M19,[19]Listas!$O$67:$Q$68,2,0)</f>
        <v>#N/A</v>
      </c>
      <c r="R19" s="331" t="e">
        <f>INDEX([19]Listas!$O$69:$Q$73,MATCH(L19,[19]Listas!$M$69:$M$73,0),MATCH(M19,[19]Listas!$O$67:$Q$67,0))</f>
        <v>#N/A</v>
      </c>
      <c r="S19" s="2805"/>
      <c r="T19" s="2806"/>
      <c r="U19" s="2807"/>
      <c r="V19" s="329"/>
      <c r="W19" s="329"/>
      <c r="X19" s="329"/>
      <c r="Y19" s="329"/>
      <c r="Z19" s="329"/>
      <c r="AA19" s="329"/>
      <c r="AB19" s="329"/>
      <c r="AC19" s="329"/>
      <c r="AD19" s="329"/>
      <c r="AE19" s="329"/>
      <c r="AF19" s="33"/>
      <c r="AG19" s="6">
        <f t="shared" si="0"/>
        <v>0</v>
      </c>
      <c r="AH19" s="6">
        <f t="shared" si="1"/>
        <v>0</v>
      </c>
      <c r="AI19" s="6">
        <f t="shared" si="2"/>
        <v>0</v>
      </c>
      <c r="AJ19" s="6">
        <f t="shared" si="3"/>
        <v>0</v>
      </c>
      <c r="AK19" s="6">
        <f t="shared" si="4"/>
        <v>0</v>
      </c>
      <c r="AL19" s="6">
        <f t="shared" si="5"/>
        <v>0</v>
      </c>
      <c r="AM19" s="6">
        <f t="shared" si="6"/>
        <v>0</v>
      </c>
      <c r="AN19" s="6">
        <f t="shared" si="7"/>
        <v>0</v>
      </c>
      <c r="AO19" s="6">
        <f t="shared" si="8"/>
        <v>0</v>
      </c>
      <c r="AP19" s="331" t="str">
        <f t="shared" si="9"/>
        <v>0- disminuye 0</v>
      </c>
      <c r="AQ19" s="6" t="e">
        <f t="shared" si="10"/>
        <v>#N/A</v>
      </c>
      <c r="AR19" s="331" t="e">
        <f>IF(AQ19&lt;=1,"Rara vez",VLOOKUP(AQ19,[19]Listas!$L$69:$M$73,2,0))</f>
        <v>#N/A</v>
      </c>
      <c r="AS19" s="6" t="e">
        <f t="shared" si="11"/>
        <v>#N/A</v>
      </c>
      <c r="AT19" s="331" t="e">
        <f t="shared" si="12"/>
        <v>#N/A</v>
      </c>
      <c r="AU19" s="331" t="e">
        <f>INDEX([19]Listas!$O$69:$Q$73,MATCH(AR19,[19]Listas!$M$69:$M$73,0),MATCH(AT19,[19]Listas!$O$67:$Q$67,0))</f>
        <v>#N/A</v>
      </c>
      <c r="AV19" s="330"/>
      <c r="AW19" s="826"/>
      <c r="AX19" s="843"/>
      <c r="AY19" s="843"/>
      <c r="AZ19" s="12"/>
      <c r="BA19" s="12"/>
      <c r="BB19" s="839"/>
      <c r="BC19" s="12"/>
      <c r="BD19" s="12" t="s">
        <v>2343</v>
      </c>
      <c r="BE19" s="839"/>
      <c r="BF19" s="12"/>
      <c r="BG19" s="12"/>
      <c r="BH19" s="227"/>
      <c r="BI19" s="227"/>
      <c r="BJ19" s="839"/>
      <c r="BK19" s="228"/>
      <c r="BL19" s="228"/>
    </row>
    <row r="20" spans="1:64" s="3" customFormat="1" ht="108" hidden="1" customHeight="1">
      <c r="A20" s="332"/>
      <c r="B20" s="2805"/>
      <c r="C20" s="2806"/>
      <c r="D20" s="2807"/>
      <c r="E20" s="843"/>
      <c r="F20" s="2808"/>
      <c r="G20" s="2809"/>
      <c r="H20" s="2810"/>
      <c r="I20" s="2805"/>
      <c r="J20" s="2806"/>
      <c r="K20" s="2807"/>
      <c r="L20" s="330"/>
      <c r="M20" s="50"/>
      <c r="N20" s="32"/>
      <c r="O20" s="6" t="e">
        <f>VLOOKUP(L20,[19]Listas!$M$69:$N$73,2,0)</f>
        <v>#N/A</v>
      </c>
      <c r="P20" s="6"/>
      <c r="Q20" s="6" t="e">
        <f>HLOOKUP(M20,[19]Listas!$O$67:$Q$68,2,0)</f>
        <v>#N/A</v>
      </c>
      <c r="R20" s="331" t="e">
        <f>INDEX([19]Listas!$O$69:$Q$73,MATCH(L20,[19]Listas!$M$69:$M$73,0),MATCH(M20,[19]Listas!$O$67:$Q$67,0))</f>
        <v>#N/A</v>
      </c>
      <c r="S20" s="2805"/>
      <c r="T20" s="2806"/>
      <c r="U20" s="2807"/>
      <c r="V20" s="329"/>
      <c r="W20" s="329"/>
      <c r="X20" s="329"/>
      <c r="Y20" s="329"/>
      <c r="Z20" s="329"/>
      <c r="AA20" s="329"/>
      <c r="AB20" s="329"/>
      <c r="AC20" s="329"/>
      <c r="AD20" s="329"/>
      <c r="AE20" s="329"/>
      <c r="AF20" s="33"/>
      <c r="AG20" s="6">
        <f>IF(Y20="SI",15,0)</f>
        <v>0</v>
      </c>
      <c r="AH20" s="6">
        <f>IF(Z20="SI",5,0)</f>
        <v>0</v>
      </c>
      <c r="AI20" s="6">
        <f>IF(AA20="SI",15,0)</f>
        <v>0</v>
      </c>
      <c r="AJ20" s="6">
        <f>IF(AB20="SI",10,0)</f>
        <v>0</v>
      </c>
      <c r="AK20" s="6">
        <f>IF(AC20="SI",15,0)</f>
        <v>0</v>
      </c>
      <c r="AL20" s="6">
        <f>IF(AD20="SI",10,0)</f>
        <v>0</v>
      </c>
      <c r="AM20" s="6">
        <f>IF(AE20="SI",30,0)</f>
        <v>0</v>
      </c>
      <c r="AN20" s="6">
        <f>SUM(AG20+AH20+AI20+AJ20+AK20+AL20+AM20)</f>
        <v>0</v>
      </c>
      <c r="AO20" s="6">
        <f>IF(AN20&lt;=50,0,IF(AN20&gt;=76,2,1))</f>
        <v>0</v>
      </c>
      <c r="AP20" s="331" t="str">
        <f>CONCATENATE(AN20,"- disminuye ",AO20)</f>
        <v>0- disminuye 0</v>
      </c>
      <c r="AQ20" s="6" t="e">
        <f>IF(V20="SI",O20-AO20,O20)</f>
        <v>#N/A</v>
      </c>
      <c r="AR20" s="331" t="e">
        <f>IF(AQ20&lt;=1,"Rara vez",VLOOKUP(AQ20,[19]Listas!$L$69:$M$73,2,0))</f>
        <v>#N/A</v>
      </c>
      <c r="AS20" s="6" t="e">
        <f>IF(W20="SI",Q20-AO20,Q20)</f>
        <v>#N/A</v>
      </c>
      <c r="AT20" s="331" t="e">
        <f>IF(AS20&lt;=9,"Moderado",IF(AS20=20,"Catastrófico",IF(AS20=18,"Moderado","Mayor")))</f>
        <v>#N/A</v>
      </c>
      <c r="AU20" s="331" t="e">
        <f>INDEX([19]Listas!$O$69:$Q$73,MATCH(AR20,[19]Listas!$M$69:$M$73,0),MATCH(AT20,[19]Listas!$O$67:$Q$67,0))</f>
        <v>#N/A</v>
      </c>
      <c r="AV20" s="330"/>
      <c r="AW20" s="826"/>
      <c r="AX20" s="843"/>
      <c r="AY20" s="843"/>
      <c r="AZ20" s="12"/>
      <c r="BA20" s="12"/>
      <c r="BB20" s="839"/>
      <c r="BC20" s="12"/>
      <c r="BD20" s="12" t="s">
        <v>2343</v>
      </c>
      <c r="BE20" s="839"/>
      <c r="BF20" s="12"/>
      <c r="BG20" s="12"/>
      <c r="BH20" s="227"/>
      <c r="BI20" s="227"/>
      <c r="BJ20" s="839"/>
      <c r="BK20" s="228"/>
      <c r="BL20" s="228"/>
    </row>
    <row r="21" spans="1:64" s="3" customFormat="1" ht="108" hidden="1" customHeight="1">
      <c r="A21" s="332"/>
      <c r="B21" s="2805"/>
      <c r="C21" s="2806"/>
      <c r="D21" s="2807"/>
      <c r="E21" s="843"/>
      <c r="F21" s="2808"/>
      <c r="G21" s="2809"/>
      <c r="H21" s="2810"/>
      <c r="I21" s="2805"/>
      <c r="J21" s="2806"/>
      <c r="K21" s="2807"/>
      <c r="L21" s="330"/>
      <c r="M21" s="50"/>
      <c r="N21" s="32"/>
      <c r="O21" s="6" t="e">
        <f>VLOOKUP(L21,[19]Listas!$M$69:$N$73,2,0)</f>
        <v>#N/A</v>
      </c>
      <c r="P21" s="6"/>
      <c r="Q21" s="6" t="e">
        <f>HLOOKUP(M21,[19]Listas!$O$67:$Q$68,2,0)</f>
        <v>#N/A</v>
      </c>
      <c r="R21" s="331" t="e">
        <f>INDEX([19]Listas!$O$69:$Q$73,MATCH(L21,[19]Listas!$M$69:$M$73,0),MATCH(M21,[19]Listas!$O$67:$Q$67,0))</f>
        <v>#N/A</v>
      </c>
      <c r="S21" s="2805"/>
      <c r="T21" s="2806"/>
      <c r="U21" s="2807"/>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vez",VLOOKUP(AQ21,[19]Listas!$L$69:$M$73,2,0))</f>
        <v>#N/A</v>
      </c>
      <c r="AS21" s="6" t="e">
        <f t="shared" si="11"/>
        <v>#N/A</v>
      </c>
      <c r="AT21" s="331" t="e">
        <f t="shared" si="12"/>
        <v>#N/A</v>
      </c>
      <c r="AU21" s="331" t="e">
        <f>INDEX([19]Listas!$O$69:$Q$73,MATCH(AR21,[19]Listas!$M$69:$M$73,0),MATCH(AT21,[19]Listas!$O$67:$Q$67,0))</f>
        <v>#N/A</v>
      </c>
      <c r="AV21" s="330"/>
      <c r="AW21" s="826"/>
      <c r="AX21" s="843"/>
      <c r="AY21" s="843"/>
      <c r="AZ21" s="12"/>
      <c r="BA21" s="12"/>
      <c r="BB21" s="839"/>
      <c r="BC21" s="12"/>
      <c r="BD21" s="12" t="s">
        <v>2343</v>
      </c>
      <c r="BE21" s="839"/>
      <c r="BF21" s="12"/>
      <c r="BG21" s="12"/>
      <c r="BH21" s="227"/>
      <c r="BI21" s="227"/>
      <c r="BJ21" s="839"/>
      <c r="BK21" s="228"/>
      <c r="BL21" s="228"/>
    </row>
    <row r="22" spans="1:64" ht="6.75" customHeight="1">
      <c r="A22" s="2"/>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1:64" ht="15" customHeight="1">
      <c r="A23" s="317"/>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1:64" s="22" customFormat="1" ht="19.5" customHeight="1">
      <c r="A24" s="10"/>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4" t="s">
        <v>172</v>
      </c>
      <c r="AS24" s="2804"/>
      <c r="AT24" s="2804"/>
      <c r="AU24" s="2804"/>
      <c r="AV24" s="2804"/>
      <c r="AW24" s="2804"/>
      <c r="AX24" s="65"/>
      <c r="AY24" s="65"/>
      <c r="AZ24" s="68"/>
      <c r="BA24" s="68"/>
      <c r="BB24" s="92"/>
      <c r="BC24" s="68"/>
      <c r="BD24" s="68"/>
      <c r="BE24" s="92"/>
      <c r="BF24" s="68"/>
      <c r="BG24" s="68"/>
      <c r="BH24" s="230"/>
      <c r="BI24" s="230"/>
      <c r="BJ24" s="92"/>
      <c r="BK24" s="210"/>
      <c r="BL24" s="210"/>
    </row>
    <row r="25" spans="1:64" s="22" customFormat="1" ht="25.5" customHeight="1">
      <c r="A25" s="11"/>
      <c r="B25" s="2794" t="s">
        <v>46</v>
      </c>
      <c r="C25" s="2795"/>
      <c r="D25" s="2795"/>
      <c r="E25" s="2795"/>
      <c r="F25" s="2795"/>
      <c r="G25" s="2795"/>
      <c r="H25" s="2796"/>
      <c r="I25" s="2797" t="s">
        <v>501</v>
      </c>
      <c r="J25" s="2798"/>
      <c r="K25" s="2798"/>
      <c r="L25" s="2798"/>
      <c r="M25" s="2798"/>
      <c r="N25" s="2798"/>
      <c r="O25" s="2798"/>
      <c r="P25" s="2798"/>
      <c r="Q25" s="2798"/>
      <c r="R25" s="2798"/>
      <c r="S25" s="2798"/>
      <c r="T25" s="2798"/>
      <c r="U25" s="2799"/>
      <c r="V25" s="2794" t="s">
        <v>385</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68"/>
      <c r="BA25" s="68"/>
      <c r="BB25" s="92"/>
      <c r="BC25" s="68"/>
      <c r="BD25" s="68"/>
      <c r="BE25" s="92"/>
      <c r="BF25" s="68"/>
      <c r="BG25" s="68"/>
      <c r="BH25" s="230"/>
      <c r="BI25" s="230"/>
      <c r="BJ25" s="92"/>
      <c r="BK25" s="210"/>
      <c r="BL25" s="210"/>
    </row>
    <row r="26" spans="1:64" s="22" customFormat="1" ht="25.5" customHeight="1">
      <c r="A26" s="11"/>
      <c r="B26" s="833"/>
      <c r="C26" s="834"/>
      <c r="D26" s="834"/>
      <c r="E26" s="834"/>
      <c r="F26" s="834"/>
      <c r="G26" s="834"/>
      <c r="H26" s="835"/>
      <c r="I26" s="836"/>
      <c r="J26" s="837"/>
      <c r="K26" s="837"/>
      <c r="L26" s="837"/>
      <c r="M26" s="837"/>
      <c r="N26" s="837"/>
      <c r="O26" s="837"/>
      <c r="P26" s="837"/>
      <c r="Q26" s="837"/>
      <c r="R26" s="837"/>
      <c r="S26" s="837"/>
      <c r="T26" s="837"/>
      <c r="U26" s="838"/>
      <c r="V26" s="833"/>
      <c r="W26" s="834"/>
      <c r="X26" s="834"/>
      <c r="Y26" s="834"/>
      <c r="Z26" s="834"/>
      <c r="AA26" s="834"/>
      <c r="AB26" s="834"/>
      <c r="AC26" s="834"/>
      <c r="AD26" s="834"/>
      <c r="AE26" s="834"/>
      <c r="AF26" s="834"/>
      <c r="AG26" s="834"/>
      <c r="AH26" s="834"/>
      <c r="AI26" s="834"/>
      <c r="AJ26" s="834"/>
      <c r="AK26" s="834"/>
      <c r="AL26" s="834"/>
      <c r="AM26" s="834"/>
      <c r="AN26" s="834"/>
      <c r="AO26" s="834"/>
      <c r="AP26" s="835"/>
      <c r="AQ26" s="12"/>
      <c r="AR26" s="839"/>
      <c r="AS26" s="839"/>
      <c r="AT26" s="839"/>
      <c r="AU26" s="839"/>
      <c r="AV26" s="839"/>
      <c r="AW26" s="839"/>
      <c r="AX26" s="65"/>
      <c r="AY26" s="65"/>
      <c r="AZ26" s="68"/>
      <c r="BA26" s="68"/>
      <c r="BB26" s="92"/>
      <c r="BC26" s="68"/>
      <c r="BD26" s="68"/>
      <c r="BE26" s="92"/>
      <c r="BF26" s="68"/>
      <c r="BG26" s="68"/>
      <c r="BH26" s="230"/>
      <c r="BI26" s="230"/>
      <c r="BJ26" s="92"/>
      <c r="BK26" s="210"/>
      <c r="BL26" s="210"/>
    </row>
    <row r="27" spans="1:64" ht="25.5" customHeight="1">
      <c r="A27" s="11"/>
      <c r="B27" s="2794"/>
      <c r="C27" s="2795"/>
      <c r="D27" s="2795"/>
      <c r="E27" s="2795"/>
      <c r="F27" s="2795"/>
      <c r="G27" s="2795"/>
      <c r="H27" s="2796"/>
      <c r="I27" s="2797"/>
      <c r="J27" s="2798"/>
      <c r="K27" s="2798"/>
      <c r="L27" s="2798"/>
      <c r="M27" s="2798"/>
      <c r="N27" s="2798"/>
      <c r="O27" s="2798"/>
      <c r="P27" s="2798"/>
      <c r="Q27" s="2798"/>
      <c r="R27" s="2798"/>
      <c r="S27" s="2798"/>
      <c r="T27" s="2798"/>
      <c r="U27" s="2799"/>
      <c r="V27" s="2794"/>
      <c r="W27" s="2795"/>
      <c r="X27" s="2795"/>
      <c r="Y27" s="2795"/>
      <c r="Z27" s="2795"/>
      <c r="AA27" s="2795"/>
      <c r="AB27" s="2795"/>
      <c r="AC27" s="2795"/>
      <c r="AD27" s="2795"/>
      <c r="AE27" s="2795"/>
      <c r="AF27" s="2795"/>
      <c r="AG27" s="2795"/>
      <c r="AH27" s="2795"/>
      <c r="AI27" s="2795"/>
      <c r="AJ27" s="2795"/>
      <c r="AK27" s="2795"/>
      <c r="AL27" s="2795"/>
      <c r="AM27" s="2795"/>
      <c r="AN27" s="2795"/>
      <c r="AO27" s="2795"/>
      <c r="AP27" s="2796"/>
      <c r="AQ27" s="12"/>
      <c r="AR27" s="2800"/>
      <c r="AS27" s="2800"/>
      <c r="AT27" s="2800"/>
      <c r="AU27" s="2800"/>
      <c r="AV27" s="2800"/>
      <c r="AW27" s="2800"/>
      <c r="AX27" s="65"/>
      <c r="AY27" s="65"/>
      <c r="AZ27" s="68"/>
      <c r="BA27" s="68"/>
      <c r="BB27" s="92"/>
      <c r="BC27" s="68"/>
      <c r="BD27" s="68"/>
      <c r="BE27" s="92"/>
      <c r="BF27" s="68"/>
      <c r="BG27" s="68"/>
      <c r="BH27" s="230"/>
      <c r="BI27" s="230"/>
      <c r="BJ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2">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2">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2">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2">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2">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2">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2">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2">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2">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2">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2">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2">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2">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1:62">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c r="AZ94" s="68"/>
      <c r="BA94" s="68"/>
      <c r="BB94" s="92"/>
      <c r="BC94" s="68"/>
      <c r="BD94" s="68"/>
      <c r="BE94" s="92"/>
      <c r="BF94" s="68"/>
      <c r="BG94" s="68"/>
      <c r="BH94" s="230"/>
      <c r="BI94" s="230"/>
      <c r="BJ94" s="92"/>
    </row>
    <row r="95" spans="1:62">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2">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1:64">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ht="11.25">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1:64" ht="11.25">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c r="AZ105" s="231"/>
      <c r="BA105" s="231"/>
      <c r="BB105" s="231"/>
      <c r="BC105" s="231"/>
      <c r="BD105" s="231"/>
      <c r="BE105" s="231"/>
      <c r="BF105" s="231"/>
      <c r="BG105" s="231"/>
      <c r="BH105" s="231"/>
      <c r="BI105" s="231"/>
      <c r="BJ105" s="231"/>
      <c r="BK105" s="231"/>
      <c r="BL105" s="231"/>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1:49">
      <c r="A119" s="13"/>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row r="120" spans="1:49">
      <c r="A120" s="13"/>
      <c r="B120" s="13"/>
      <c r="C120" s="13"/>
      <c r="D120" s="13"/>
      <c r="E120" s="14"/>
      <c r="F120" s="13"/>
      <c r="G120" s="13"/>
      <c r="H120" s="13"/>
      <c r="I120" s="13"/>
      <c r="J120" s="13"/>
      <c r="K120" s="13"/>
      <c r="L120" s="15"/>
      <c r="M120" s="15"/>
      <c r="N120" s="15"/>
      <c r="O120" s="15"/>
      <c r="P120" s="15"/>
      <c r="Q120" s="15"/>
      <c r="R120" s="15"/>
      <c r="S120" s="15"/>
      <c r="T120" s="15"/>
      <c r="U120" s="15"/>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5"/>
      <c r="AW120" s="15"/>
    </row>
  </sheetData>
  <sheetProtection formatCells="0" formatColumns="0" formatRows="0" insertRows="0" deleteRows="0" sort="0" autoFilter="0" pivotTables="0"/>
  <mergeCells count="92">
    <mergeCell ref="A1:AB1"/>
    <mergeCell ref="AC1:AU4"/>
    <mergeCell ref="BB1:BE1"/>
    <mergeCell ref="A2:AB2"/>
    <mergeCell ref="BB2:BC2"/>
    <mergeCell ref="BD2:BE2"/>
    <mergeCell ref="A3:D3"/>
    <mergeCell ref="E3:U3"/>
    <mergeCell ref="V3:AB3"/>
    <mergeCell ref="BB3:BC3"/>
    <mergeCell ref="AA6:BA6"/>
    <mergeCell ref="BD3:BE3"/>
    <mergeCell ref="A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B13:D13"/>
    <mergeCell ref="F13:H13"/>
    <mergeCell ref="I13:K13"/>
    <mergeCell ref="S13:U13"/>
    <mergeCell ref="B14:D14"/>
    <mergeCell ref="F14:H14"/>
    <mergeCell ref="I14:K14"/>
    <mergeCell ref="S14:U14"/>
    <mergeCell ref="B15:D15"/>
    <mergeCell ref="F15:H15"/>
    <mergeCell ref="I15:K15"/>
    <mergeCell ref="S15:U15"/>
    <mergeCell ref="B16:D16"/>
    <mergeCell ref="F16:H16"/>
    <mergeCell ref="I16:K16"/>
    <mergeCell ref="B17:D17"/>
    <mergeCell ref="F17:H17"/>
    <mergeCell ref="I17:K17"/>
    <mergeCell ref="S17:U17"/>
    <mergeCell ref="B18:D18"/>
    <mergeCell ref="F18:H18"/>
    <mergeCell ref="I18:K18"/>
    <mergeCell ref="S18:U18"/>
    <mergeCell ref="B19:D19"/>
    <mergeCell ref="F19:H19"/>
    <mergeCell ref="I19:K19"/>
    <mergeCell ref="S19:U19"/>
    <mergeCell ref="B20:D20"/>
    <mergeCell ref="F20:H20"/>
    <mergeCell ref="I20:K20"/>
    <mergeCell ref="S20:U20"/>
    <mergeCell ref="B21:D21"/>
    <mergeCell ref="F21:H21"/>
    <mergeCell ref="I21:K21"/>
    <mergeCell ref="S21:U21"/>
    <mergeCell ref="B23:U23"/>
    <mergeCell ref="B27:H27"/>
    <mergeCell ref="I27:U27"/>
    <mergeCell ref="V27:AP27"/>
    <mergeCell ref="AR27:AW27"/>
    <mergeCell ref="V24:AP24"/>
    <mergeCell ref="AR24:AW24"/>
    <mergeCell ref="B25:H25"/>
    <mergeCell ref="I25:U25"/>
    <mergeCell ref="V25:AP25"/>
    <mergeCell ref="AR25:AW25"/>
    <mergeCell ref="B24:H24"/>
    <mergeCell ref="I24:U24"/>
  </mergeCells>
  <dataValidations count="8">
    <dataValidation type="list" allowBlank="1" showInputMessage="1" showErrorMessage="1" sqref="BE10:BE21">
      <formula1>Efectividad</formula1>
    </dataValidation>
    <dataValidation type="list" allowBlank="1" showInputMessage="1" sqref="AV10:AV21">
      <formula1>Periodo</formula1>
    </dataValidation>
    <dataValidation type="list" showInputMessage="1" showErrorMessage="1" sqref="V10:AF21">
      <formula1>Efectividad</formula1>
    </dataValidation>
    <dataValidation showInputMessage="1" showErrorMessage="1" sqref="AG10:AT21"/>
    <dataValidation type="list" allowBlank="1" showInputMessage="1" showErrorMessage="1" sqref="M10:N21">
      <formula1>Impacto</formula1>
    </dataValidation>
    <dataValidation type="list" showInputMessage="1" showErrorMessage="1" sqref="L10:L21">
      <formula1>Probabilidad</formula1>
    </dataValidation>
    <dataValidation type="list" sqref="BD4:BE4">
      <formula1>Monitoreo</formula1>
    </dataValidation>
    <dataValidation type="list" allowBlank="1" showInputMessage="1" showErrorMessage="1" sqref="L6">
      <formula1>Proceso</formula1>
    </dataValidation>
  </dataValidations>
  <printOptions horizontalCentered="1" verticalCentered="1"/>
  <pageMargins left="0.23622047244094491" right="0.23622047244094491" top="0.74803149606299213" bottom="0.35433070866141736" header="0.31496062992125984" footer="0.31496062992125984"/>
  <pageSetup paperSize="5" scale="87" orientation="landscape" r:id="rId1"/>
  <headerFooter>
    <oddFooter>&amp;L&amp;"Segoe UI,Normal"&amp;9Formato: FO-AC-07 Versión: 3&amp;C&amp;"Segoe UI,Normal"&amp;9Página &amp;P</oddFooter>
  </headerFooter>
  <colBreaks count="1" manualBreakCount="1">
    <brk id="53" max="24"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20"/>
  <sheetViews>
    <sheetView showGridLines="0" zoomScaleNormal="100" zoomScaleSheetLayoutView="115" workbookViewId="0"/>
  </sheetViews>
  <sheetFormatPr baseColWidth="10" defaultRowHeight="15"/>
  <cols>
    <col min="1" max="1" width="1.140625" style="16" customWidth="1"/>
    <col min="2" max="2" width="7.42578125" style="16" customWidth="1"/>
    <col min="3" max="3" width="6.85546875" style="16" customWidth="1"/>
    <col min="4" max="4" width="5.42578125" style="16" customWidth="1"/>
    <col min="5" max="5" width="7.28515625" style="17" customWidth="1"/>
    <col min="6" max="7" width="4.5703125" style="16" customWidth="1"/>
    <col min="8" max="8" width="5.5703125" style="16" customWidth="1"/>
    <col min="9" max="9" width="5.85546875" style="16" customWidth="1"/>
    <col min="10" max="10" width="6.28515625" style="16" customWidth="1"/>
    <col min="11" max="11" width="5.8554687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19" width="7.7109375" style="18" customWidth="1"/>
    <col min="20" max="20" width="7" style="18" customWidth="1"/>
    <col min="21" max="21" width="7.140625" style="18" customWidth="1"/>
    <col min="22" max="26" width="3" style="17" bestFit="1" customWidth="1"/>
    <col min="27" max="27" width="3.140625" style="17" bestFit="1" customWidth="1"/>
    <col min="28" max="30" width="3" style="17" bestFit="1" customWidth="1"/>
    <col min="31" max="31" width="2.7109375" style="17" customWidth="1"/>
    <col min="32" max="32" width="1.140625" style="17" hidden="1" customWidth="1"/>
    <col min="33" max="39" width="2.7109375" style="17" hidden="1" customWidth="1"/>
    <col min="40" max="41" width="5.140625" style="17" hidden="1" customWidth="1"/>
    <col min="42" max="42" width="5.140625" style="17" bestFit="1" customWidth="1"/>
    <col min="43" max="43" width="3.140625" style="17" hidden="1" customWidth="1"/>
    <col min="44" max="44" width="3.28515625" style="17" bestFit="1" customWidth="1"/>
    <col min="45" max="45" width="4.42578125" style="17" hidden="1" customWidth="1"/>
    <col min="46" max="46" width="3" style="17" bestFit="1" customWidth="1"/>
    <col min="47" max="47" width="5.140625" style="17" bestFit="1" customWidth="1"/>
    <col min="48" max="48" width="5.140625" style="18" bestFit="1" customWidth="1"/>
    <col min="49" max="49" width="25.5703125" style="18" customWidth="1"/>
    <col min="50" max="50" width="21.7109375" style="21" customWidth="1"/>
    <col min="51" max="51" width="3.85546875" style="21" customWidth="1"/>
    <col min="52" max="52" width="24" style="210" customWidth="1"/>
    <col min="53" max="53" width="18.140625" style="210" customWidth="1"/>
    <col min="54" max="54" width="8.7109375" style="210" customWidth="1"/>
    <col min="55" max="55" width="14.28515625" style="210" customWidth="1"/>
    <col min="56" max="56" width="39.28515625" style="210" customWidth="1"/>
    <col min="57" max="57" width="12.42578125" style="210" customWidth="1"/>
    <col min="58" max="58" width="16.42578125" style="210" customWidth="1"/>
    <col min="59" max="59" width="15.85546875" style="210" customWidth="1"/>
    <col min="60" max="61" width="7.42578125" style="210" customWidth="1"/>
    <col min="62" max="62" width="13" style="210" customWidth="1"/>
    <col min="63" max="63" width="2.140625" style="210" customWidth="1"/>
    <col min="64" max="64" width="11.42578125" style="210"/>
    <col min="65" max="16384" width="11.42578125" style="20"/>
  </cols>
  <sheetData>
    <row r="1" spans="1:64" s="3" customFormat="1" ht="11.25" customHeight="1">
      <c r="A1" s="2"/>
      <c r="B1" s="2880" t="s">
        <v>137</v>
      </c>
      <c r="C1" s="2881"/>
      <c r="D1" s="2881"/>
      <c r="E1" s="2881"/>
      <c r="F1" s="2881"/>
      <c r="G1" s="2881"/>
      <c r="H1" s="2881"/>
      <c r="I1" s="2881"/>
      <c r="J1" s="2881"/>
      <c r="K1" s="2881"/>
      <c r="L1" s="2881"/>
      <c r="M1" s="2881"/>
      <c r="N1" s="2881"/>
      <c r="O1" s="2881"/>
      <c r="P1" s="2881"/>
      <c r="Q1" s="2881"/>
      <c r="R1" s="2881"/>
      <c r="S1" s="2881"/>
      <c r="T1" s="2881"/>
      <c r="U1" s="2881"/>
      <c r="V1" s="2881"/>
      <c r="W1" s="2881"/>
      <c r="X1" s="2881"/>
      <c r="Y1" s="2881"/>
      <c r="Z1" s="2881"/>
      <c r="AA1" s="2881"/>
      <c r="AB1" s="2881"/>
      <c r="AC1" s="2881"/>
      <c r="AD1" s="2881"/>
      <c r="AE1" s="2881"/>
      <c r="AF1" s="2881"/>
      <c r="AG1" s="2881"/>
      <c r="AH1" s="2881"/>
      <c r="AI1" s="2881"/>
      <c r="AJ1" s="2881"/>
      <c r="AK1" s="2881"/>
      <c r="AL1" s="2881"/>
      <c r="AM1" s="2881"/>
      <c r="AN1" s="2881"/>
      <c r="AO1" s="2881"/>
      <c r="AP1" s="2881"/>
      <c r="AQ1" s="2881"/>
      <c r="AR1" s="2881"/>
      <c r="AS1" s="2881"/>
      <c r="AT1" s="2881"/>
      <c r="AU1" s="2882"/>
      <c r="AV1" s="2880"/>
      <c r="AW1" s="2881"/>
      <c r="AX1" s="2882"/>
      <c r="AY1" s="841"/>
      <c r="AZ1" s="209" t="s">
        <v>2319</v>
      </c>
      <c r="BA1"/>
      <c r="BB1" s="2855" t="s">
        <v>2320</v>
      </c>
      <c r="BC1" s="2856"/>
      <c r="BD1" s="2856"/>
      <c r="BE1" s="2857"/>
      <c r="BF1"/>
      <c r="BG1"/>
      <c r="BH1"/>
      <c r="BI1"/>
      <c r="BJ1"/>
      <c r="BK1"/>
      <c r="BL1"/>
    </row>
    <row r="2" spans="1:64" s="3" customFormat="1" ht="11.25" customHeight="1">
      <c r="A2" s="2"/>
      <c r="B2" s="2889" t="s">
        <v>55</v>
      </c>
      <c r="C2" s="2890"/>
      <c r="D2" s="2890"/>
      <c r="E2" s="2890"/>
      <c r="F2" s="2890"/>
      <c r="G2" s="2890"/>
      <c r="H2" s="2890"/>
      <c r="I2" s="2890"/>
      <c r="J2" s="2890"/>
      <c r="K2" s="2890"/>
      <c r="L2" s="2890"/>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1"/>
      <c r="AV2" s="2883"/>
      <c r="AW2" s="2884"/>
      <c r="AX2" s="2885"/>
      <c r="AY2" s="841"/>
      <c r="AZ2" s="322">
        <v>2019</v>
      </c>
      <c r="BA2" s="45"/>
      <c r="BB2" s="2830" t="s">
        <v>138</v>
      </c>
      <c r="BC2" s="2831"/>
      <c r="BD2" s="2861" t="str">
        <f>L6</f>
        <v>GESTIÓN INTERINSTITUCIONAL</v>
      </c>
      <c r="BE2" s="2862"/>
      <c r="BF2" s="587"/>
      <c r="BG2" s="45"/>
      <c r="BH2" s="45"/>
      <c r="BI2" s="45"/>
      <c r="BJ2" s="45"/>
      <c r="BK2" s="45"/>
      <c r="BL2" s="45"/>
    </row>
    <row r="3" spans="1:64" s="3" customFormat="1" ht="12" customHeight="1">
      <c r="A3" s="2"/>
      <c r="B3" s="2880" t="s">
        <v>139</v>
      </c>
      <c r="C3" s="2881"/>
      <c r="D3" s="2882"/>
      <c r="E3" s="2880" t="s">
        <v>140</v>
      </c>
      <c r="F3" s="2881"/>
      <c r="G3" s="2881"/>
      <c r="H3" s="2881"/>
      <c r="I3" s="2881"/>
      <c r="J3" s="2881"/>
      <c r="K3" s="2881"/>
      <c r="L3" s="2881"/>
      <c r="M3" s="2881"/>
      <c r="N3" s="2881"/>
      <c r="O3" s="2881"/>
      <c r="P3" s="2881"/>
      <c r="Q3" s="2881"/>
      <c r="R3" s="2881"/>
      <c r="S3" s="2881"/>
      <c r="T3" s="2881"/>
      <c r="U3" s="2881"/>
      <c r="V3" s="2881"/>
      <c r="W3" s="2881"/>
      <c r="X3" s="2881"/>
      <c r="Y3" s="2881"/>
      <c r="Z3" s="2882"/>
      <c r="AA3" s="2880" t="s">
        <v>141</v>
      </c>
      <c r="AB3" s="2881"/>
      <c r="AC3" s="2881"/>
      <c r="AD3" s="2881"/>
      <c r="AE3" s="2881"/>
      <c r="AF3" s="2881"/>
      <c r="AG3" s="2881"/>
      <c r="AH3" s="2881"/>
      <c r="AI3" s="2881"/>
      <c r="AJ3" s="2881"/>
      <c r="AK3" s="2881"/>
      <c r="AL3" s="2881"/>
      <c r="AM3" s="2881"/>
      <c r="AN3" s="2881"/>
      <c r="AO3" s="2881"/>
      <c r="AP3" s="2881"/>
      <c r="AQ3" s="2881"/>
      <c r="AR3" s="2881"/>
      <c r="AS3" s="2881"/>
      <c r="AT3" s="2881"/>
      <c r="AU3" s="2882"/>
      <c r="AV3" s="2883"/>
      <c r="AW3" s="2884"/>
      <c r="AX3" s="2885"/>
      <c r="AY3" s="841"/>
      <c r="AZ3" s="289" t="s">
        <v>2321</v>
      </c>
      <c r="BA3" s="45"/>
      <c r="BB3" s="2830" t="s">
        <v>2322</v>
      </c>
      <c r="BC3" s="2831"/>
      <c r="BD3" s="2830" t="s">
        <v>2323</v>
      </c>
      <c r="BE3" s="2831"/>
      <c r="BF3" s="212"/>
      <c r="BG3" s="212"/>
      <c r="BH3" s="45"/>
      <c r="BI3" s="45"/>
      <c r="BJ3" s="45"/>
      <c r="BK3" s="45"/>
      <c r="BL3" s="45"/>
    </row>
    <row r="4" spans="1:64" s="3" customFormat="1" ht="12" customHeight="1">
      <c r="A4" s="2"/>
      <c r="B4" s="2889" t="s">
        <v>56</v>
      </c>
      <c r="C4" s="2890"/>
      <c r="D4" s="2891"/>
      <c r="E4" s="2889" t="s">
        <v>142</v>
      </c>
      <c r="F4" s="2890"/>
      <c r="G4" s="2890"/>
      <c r="H4" s="2890"/>
      <c r="I4" s="2890"/>
      <c r="J4" s="2890"/>
      <c r="K4" s="2890"/>
      <c r="L4" s="2890"/>
      <c r="M4" s="2890"/>
      <c r="N4" s="2890"/>
      <c r="O4" s="2890"/>
      <c r="P4" s="2890"/>
      <c r="Q4" s="2890"/>
      <c r="R4" s="2890"/>
      <c r="S4" s="2890"/>
      <c r="T4" s="2890"/>
      <c r="U4" s="2890"/>
      <c r="V4" s="2890"/>
      <c r="W4" s="2890"/>
      <c r="X4" s="2890"/>
      <c r="Y4" s="2890"/>
      <c r="Z4" s="2891"/>
      <c r="AA4" s="2889">
        <v>5</v>
      </c>
      <c r="AB4" s="2890"/>
      <c r="AC4" s="2890"/>
      <c r="AD4" s="2890"/>
      <c r="AE4" s="2890"/>
      <c r="AF4" s="2890"/>
      <c r="AG4" s="2890"/>
      <c r="AH4" s="2890"/>
      <c r="AI4" s="2890"/>
      <c r="AJ4" s="2890"/>
      <c r="AK4" s="2890"/>
      <c r="AL4" s="2890"/>
      <c r="AM4" s="2890"/>
      <c r="AN4" s="2890"/>
      <c r="AO4" s="2890"/>
      <c r="AP4" s="2890"/>
      <c r="AQ4" s="2890"/>
      <c r="AR4" s="2890"/>
      <c r="AS4" s="2890"/>
      <c r="AT4" s="2890"/>
      <c r="AU4" s="2891"/>
      <c r="AV4" s="2886"/>
      <c r="AW4" s="2887"/>
      <c r="AX4" s="2888"/>
      <c r="AY4" s="841"/>
      <c r="AZ4" s="290" t="s">
        <v>4004</v>
      </c>
      <c r="BA4" s="45"/>
      <c r="BB4" s="2836" t="s">
        <v>4004</v>
      </c>
      <c r="BC4" s="2837"/>
      <c r="BD4" s="2838" t="s">
        <v>500</v>
      </c>
      <c r="BE4" s="2838"/>
      <c r="BF4" s="212"/>
      <c r="BG4" s="212"/>
      <c r="BH4" s="45"/>
      <c r="BI4" s="45"/>
      <c r="BJ4" s="45"/>
      <c r="BK4" s="45"/>
      <c r="BL4" s="45"/>
    </row>
    <row r="5" spans="1:64" s="3" customFormat="1" ht="6" customHeight="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842" t="s">
        <v>119</v>
      </c>
      <c r="M6" s="2843"/>
      <c r="N6" s="2843"/>
      <c r="O6" s="2843"/>
      <c r="P6" s="2843"/>
      <c r="Q6" s="2843"/>
      <c r="R6" s="2843"/>
      <c r="S6" s="2843"/>
      <c r="T6" s="2843"/>
      <c r="U6" s="2844"/>
      <c r="V6" s="2845" t="s">
        <v>59</v>
      </c>
      <c r="W6" s="2845"/>
      <c r="X6" s="2845"/>
      <c r="Y6" s="2845"/>
      <c r="Z6" s="2845"/>
      <c r="AA6" s="2828" t="s">
        <v>2524</v>
      </c>
      <c r="AB6" s="2828"/>
      <c r="AC6" s="2828"/>
      <c r="AD6" s="2828"/>
      <c r="AE6" s="2828"/>
      <c r="AF6" s="2828"/>
      <c r="AG6" s="2828"/>
      <c r="AH6" s="2828"/>
      <c r="AI6" s="2828"/>
      <c r="AJ6" s="2828"/>
      <c r="AK6" s="2828"/>
      <c r="AL6" s="2828"/>
      <c r="AM6" s="2828"/>
      <c r="AN6" s="2828"/>
      <c r="AO6" s="2828"/>
      <c r="AP6" s="2828"/>
      <c r="AQ6" s="2828"/>
      <c r="AR6" s="2828"/>
      <c r="AS6" s="2828"/>
      <c r="AT6" s="2828"/>
      <c r="AU6" s="2828"/>
      <c r="AV6" s="2828"/>
      <c r="AW6" s="2828"/>
      <c r="AX6" s="2829"/>
      <c r="AY6" s="334"/>
      <c r="AZ6" s="335"/>
      <c r="BA6" s="335"/>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77.25"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5"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1:64" s="3" customFormat="1" ht="387" customHeight="1">
      <c r="A10" s="332"/>
      <c r="B10" s="2892" t="s">
        <v>3224</v>
      </c>
      <c r="C10" s="2892"/>
      <c r="D10" s="2892"/>
      <c r="E10" s="843" t="s">
        <v>2525</v>
      </c>
      <c r="F10" s="2893" t="s">
        <v>4003</v>
      </c>
      <c r="G10" s="2893"/>
      <c r="H10" s="2893"/>
      <c r="I10" s="2894" t="s">
        <v>3225</v>
      </c>
      <c r="J10" s="2894"/>
      <c r="K10" s="2894"/>
      <c r="L10" s="23" t="s">
        <v>283</v>
      </c>
      <c r="M10" s="50" t="s">
        <v>287</v>
      </c>
      <c r="N10" s="32"/>
      <c r="O10" s="6">
        <f>VLOOKUP(L10,[22]Listas!$M$69:$N$73,2,0)</f>
        <v>1</v>
      </c>
      <c r="P10" s="6"/>
      <c r="Q10" s="6">
        <f>HLOOKUP(M10,[22]Listas!$O$67:$Q$68,2,0)</f>
        <v>20</v>
      </c>
      <c r="R10" s="292" t="str">
        <f>INDEX([22]Listas!$O$69:$Q$73,MATCH(L10,[22]Listas!$M$69:$M$73,0),MATCH(M10,[22]Listas!$O$67:$Q$67,0))</f>
        <v>20
MODERADA</v>
      </c>
      <c r="S10" s="2892" t="s">
        <v>3226</v>
      </c>
      <c r="T10" s="2892"/>
      <c r="U10" s="2892"/>
      <c r="V10" s="839" t="s">
        <v>65</v>
      </c>
      <c r="W10" s="839" t="s">
        <v>65</v>
      </c>
      <c r="X10" s="839" t="s">
        <v>65</v>
      </c>
      <c r="Y10" s="839" t="s">
        <v>65</v>
      </c>
      <c r="Z10" s="839" t="s">
        <v>65</v>
      </c>
      <c r="AA10" s="839" t="s">
        <v>36</v>
      </c>
      <c r="AB10" s="839" t="s">
        <v>65</v>
      </c>
      <c r="AC10" s="839" t="s">
        <v>65</v>
      </c>
      <c r="AD10" s="839" t="s">
        <v>65</v>
      </c>
      <c r="AE10" s="839" t="s">
        <v>65</v>
      </c>
      <c r="AF10" s="33"/>
      <c r="AG10" s="6">
        <f t="shared" ref="AG10:AG21" si="0">IF(Y10="SI",15,0)</f>
        <v>15</v>
      </c>
      <c r="AH10" s="6">
        <f t="shared" ref="AH10:AH21" si="1">IF(Z10="SI",5,0)</f>
        <v>5</v>
      </c>
      <c r="AI10" s="6">
        <f t="shared" ref="AI10:AI21" si="2">IF(AA10="SI",15,0)</f>
        <v>0</v>
      </c>
      <c r="AJ10" s="6">
        <f t="shared" ref="AJ10:AJ21" si="3">IF(AB10="SI",10,0)</f>
        <v>10</v>
      </c>
      <c r="AK10" s="6">
        <f t="shared" ref="AK10:AK21" si="4">IF(AC10="SI",15,0)</f>
        <v>15</v>
      </c>
      <c r="AL10" s="6">
        <f t="shared" ref="AL10:AL21" si="5">IF(AD10="SI",10,0)</f>
        <v>10</v>
      </c>
      <c r="AM10" s="6">
        <f t="shared" ref="AM10:AM21" si="6">IF(AE10="SI",30,0)</f>
        <v>30</v>
      </c>
      <c r="AN10" s="6">
        <f t="shared" ref="AN10:AN21" si="7">SUM(AG10+AH10+AI10+AJ10+AK10+AL10+AM10)</f>
        <v>85</v>
      </c>
      <c r="AO10" s="6">
        <f t="shared" ref="AO10:AO21" si="8">IF(AN10&lt;=50,0,IF(AN10&gt;=76,2,1))</f>
        <v>2</v>
      </c>
      <c r="AP10" s="331" t="str">
        <f t="shared" ref="AP10:AP21" si="9">CONCATENATE(AN10,"- disminuye ",AO10)</f>
        <v>85- disminuye 2</v>
      </c>
      <c r="AQ10" s="6">
        <f t="shared" ref="AQ10:AQ21" si="10">IF(V10="SI",O10-AO10,O10)</f>
        <v>-1</v>
      </c>
      <c r="AR10" s="331" t="str">
        <f>IF(AQ10&lt;=1,"Rara vez",VLOOKUP(AQ10,[22]Listas!$L$69:$M$73,2,0))</f>
        <v>Rara vez</v>
      </c>
      <c r="AS10" s="6">
        <f t="shared" ref="AS10:AS21" si="11">IF(W10="SI",Q10-AO10,Q10)</f>
        <v>18</v>
      </c>
      <c r="AT10" s="331" t="str">
        <f t="shared" ref="AT10:AT21" si="12">IF(AS10&lt;=9,"Moderado",IF(AS10=20,"Catastrófico",IF(AS10=18,"Moderado","Mayor")))</f>
        <v>Moderado</v>
      </c>
      <c r="AU10" s="331" t="str">
        <f>INDEX([22]Listas!$O$69:$Q$73,MATCH(AR10,[22]Listas!$M$69:$M$73,0),MATCH(AT10,[22]Listas!$O$67:$Q$67,0))</f>
        <v>5
BAJA</v>
      </c>
      <c r="AV10" s="330" t="s">
        <v>271</v>
      </c>
      <c r="AW10" s="842" t="s">
        <v>4002</v>
      </c>
      <c r="AX10" s="842" t="s">
        <v>4001</v>
      </c>
      <c r="AY10" s="330" t="s">
        <v>833</v>
      </c>
      <c r="AZ10" s="69" t="s">
        <v>3227</v>
      </c>
      <c r="BA10" s="69" t="s">
        <v>2526</v>
      </c>
      <c r="BB10" s="516" t="s">
        <v>2527</v>
      </c>
      <c r="BC10" s="12" t="s">
        <v>3228</v>
      </c>
      <c r="BD10" s="69" t="s">
        <v>4000</v>
      </c>
      <c r="BE10" s="839" t="s">
        <v>2528</v>
      </c>
      <c r="BF10" s="12"/>
      <c r="BG10" s="12"/>
      <c r="BH10" s="227"/>
      <c r="BI10" s="227"/>
      <c r="BJ10" s="839"/>
      <c r="BK10" s="228"/>
      <c r="BL10" s="228"/>
    </row>
    <row r="11" spans="1:64" s="3" customFormat="1" ht="108" hidden="1" customHeight="1">
      <c r="A11" s="332"/>
      <c r="B11" s="826"/>
      <c r="C11" s="827"/>
      <c r="D11" s="828"/>
      <c r="E11" s="843"/>
      <c r="F11" s="830"/>
      <c r="G11" s="831"/>
      <c r="H11" s="832"/>
      <c r="I11" s="826"/>
      <c r="J11" s="827"/>
      <c r="K11" s="828"/>
      <c r="L11" s="330"/>
      <c r="M11" s="50"/>
      <c r="N11" s="32"/>
      <c r="O11" s="6" t="e">
        <f>VLOOKUP(L11,[22]Listas!$M$69:$N$73,2,0)</f>
        <v>#N/A</v>
      </c>
      <c r="P11" s="6"/>
      <c r="Q11" s="6" t="e">
        <f>HLOOKUP(M11,[22]Listas!$O$67:$Q$68,2,0)</f>
        <v>#N/A</v>
      </c>
      <c r="R11" s="331" t="e">
        <f>INDEX([22]Listas!$O$69:$Q$73,MATCH(L11,[22]Listas!$M$69:$M$73,0),MATCH(M11,[22]Listas!$O$67:$Q$67,0))</f>
        <v>#N/A</v>
      </c>
      <c r="S11" s="826"/>
      <c r="T11" s="827"/>
      <c r="U11" s="828"/>
      <c r="V11" s="329"/>
      <c r="W11" s="329"/>
      <c r="X11" s="329"/>
      <c r="Y11" s="329"/>
      <c r="Z11" s="329"/>
      <c r="AA11" s="329"/>
      <c r="AB11" s="329"/>
      <c r="AC11" s="329"/>
      <c r="AD11" s="329"/>
      <c r="AE11" s="329"/>
      <c r="AF11" s="33"/>
      <c r="AG11" s="6">
        <f t="shared" si="0"/>
        <v>0</v>
      </c>
      <c r="AH11" s="6">
        <f t="shared" si="1"/>
        <v>0</v>
      </c>
      <c r="AI11" s="6">
        <f t="shared" si="2"/>
        <v>0</v>
      </c>
      <c r="AJ11" s="6">
        <f t="shared" si="3"/>
        <v>0</v>
      </c>
      <c r="AK11" s="6">
        <f t="shared" si="4"/>
        <v>0</v>
      </c>
      <c r="AL11" s="6">
        <f t="shared" si="5"/>
        <v>0</v>
      </c>
      <c r="AM11" s="6">
        <f t="shared" si="6"/>
        <v>0</v>
      </c>
      <c r="AN11" s="6">
        <f t="shared" si="7"/>
        <v>0</v>
      </c>
      <c r="AO11" s="6">
        <f t="shared" si="8"/>
        <v>0</v>
      </c>
      <c r="AP11" s="331" t="str">
        <f t="shared" si="9"/>
        <v>0- disminuye 0</v>
      </c>
      <c r="AQ11" s="6" t="e">
        <f t="shared" si="10"/>
        <v>#N/A</v>
      </c>
      <c r="AR11" s="331" t="e">
        <f>IF(AQ11&lt;=1,"Rara vez",VLOOKUP(AQ11,[22]Listas!$L$69:$M$73,2,0))</f>
        <v>#N/A</v>
      </c>
      <c r="AS11" s="6" t="e">
        <f t="shared" si="11"/>
        <v>#N/A</v>
      </c>
      <c r="AT11" s="331" t="e">
        <f t="shared" si="12"/>
        <v>#N/A</v>
      </c>
      <c r="AU11" s="331" t="e">
        <f>INDEX([22]Listas!$O$69:$Q$73,MATCH(AR11,[22]Listas!$M$69:$M$73,0),MATCH(AT11,[22]Listas!$O$67:$Q$67,0))</f>
        <v>#N/A</v>
      </c>
      <c r="AV11" s="330"/>
      <c r="AW11" s="826"/>
      <c r="AX11" s="843"/>
      <c r="AY11" s="843"/>
      <c r="AZ11" s="12"/>
      <c r="BA11" s="12"/>
      <c r="BB11" s="839"/>
      <c r="BC11" s="12"/>
      <c r="BD11" s="12" t="s">
        <v>2343</v>
      </c>
      <c r="BE11" s="839"/>
      <c r="BF11" s="12"/>
      <c r="BG11" s="12"/>
      <c r="BH11" s="227"/>
      <c r="BI11" s="227"/>
      <c r="BJ11" s="839"/>
      <c r="BK11" s="228"/>
      <c r="BL11" s="228"/>
    </row>
    <row r="12" spans="1:64" s="3" customFormat="1" ht="108" hidden="1" customHeight="1">
      <c r="A12" s="332"/>
      <c r="B12" s="826"/>
      <c r="C12" s="827"/>
      <c r="D12" s="828"/>
      <c r="E12" s="843"/>
      <c r="F12" s="830"/>
      <c r="G12" s="831"/>
      <c r="H12" s="832"/>
      <c r="I12" s="826"/>
      <c r="J12" s="827"/>
      <c r="K12" s="828"/>
      <c r="L12" s="330"/>
      <c r="M12" s="50"/>
      <c r="N12" s="32"/>
      <c r="O12" s="6" t="e">
        <f>VLOOKUP(L12,[22]Listas!$M$69:$N$73,2,0)</f>
        <v>#N/A</v>
      </c>
      <c r="P12" s="6"/>
      <c r="Q12" s="6" t="e">
        <f>HLOOKUP(M12,[22]Listas!$O$67:$Q$68,2,0)</f>
        <v>#N/A</v>
      </c>
      <c r="R12" s="331" t="e">
        <f>INDEX([22]Listas!$O$69:$Q$73,MATCH(L12,[22]Listas!$M$69:$M$73,0),MATCH(M12,[22]Listas!$O$67:$Q$67,0))</f>
        <v>#N/A</v>
      </c>
      <c r="S12" s="826"/>
      <c r="T12" s="827"/>
      <c r="U12" s="828"/>
      <c r="V12" s="329"/>
      <c r="W12" s="329"/>
      <c r="X12" s="329"/>
      <c r="Y12" s="329"/>
      <c r="Z12" s="329"/>
      <c r="AA12" s="329"/>
      <c r="AB12" s="329"/>
      <c r="AC12" s="329"/>
      <c r="AD12" s="329"/>
      <c r="AE12" s="329"/>
      <c r="AF12" s="33"/>
      <c r="AG12" s="6">
        <f t="shared" si="0"/>
        <v>0</v>
      </c>
      <c r="AH12" s="6">
        <f t="shared" si="1"/>
        <v>0</v>
      </c>
      <c r="AI12" s="6">
        <f t="shared" si="2"/>
        <v>0</v>
      </c>
      <c r="AJ12" s="6">
        <f t="shared" si="3"/>
        <v>0</v>
      </c>
      <c r="AK12" s="6">
        <f t="shared" si="4"/>
        <v>0</v>
      </c>
      <c r="AL12" s="6">
        <f t="shared" si="5"/>
        <v>0</v>
      </c>
      <c r="AM12" s="6">
        <f t="shared" si="6"/>
        <v>0</v>
      </c>
      <c r="AN12" s="6">
        <f t="shared" si="7"/>
        <v>0</v>
      </c>
      <c r="AO12" s="6">
        <f t="shared" si="8"/>
        <v>0</v>
      </c>
      <c r="AP12" s="331" t="str">
        <f t="shared" si="9"/>
        <v>0- disminuye 0</v>
      </c>
      <c r="AQ12" s="6" t="e">
        <f t="shared" si="10"/>
        <v>#N/A</v>
      </c>
      <c r="AR12" s="331" t="e">
        <f>IF(AQ12&lt;=1,"Rara vez",VLOOKUP(AQ12,[22]Listas!$L$69:$M$73,2,0))</f>
        <v>#N/A</v>
      </c>
      <c r="AS12" s="6" t="e">
        <f t="shared" si="11"/>
        <v>#N/A</v>
      </c>
      <c r="AT12" s="331" t="e">
        <f t="shared" si="12"/>
        <v>#N/A</v>
      </c>
      <c r="AU12" s="331" t="e">
        <f>INDEX([22]Listas!$O$69:$Q$73,MATCH(AR12,[22]Listas!$M$69:$M$73,0),MATCH(AT12,[22]Listas!$O$67:$Q$67,0))</f>
        <v>#N/A</v>
      </c>
      <c r="AV12" s="330"/>
      <c r="AW12" s="826"/>
      <c r="AX12" s="843"/>
      <c r="AY12" s="843"/>
      <c r="AZ12" s="12"/>
      <c r="BA12" s="12"/>
      <c r="BB12" s="839"/>
      <c r="BC12" s="12"/>
      <c r="BD12" s="12" t="s">
        <v>2343</v>
      </c>
      <c r="BE12" s="839"/>
      <c r="BF12" s="12"/>
      <c r="BG12" s="12"/>
      <c r="BH12" s="227"/>
      <c r="BI12" s="227"/>
      <c r="BJ12" s="839"/>
      <c r="BK12" s="228"/>
      <c r="BL12" s="228"/>
    </row>
    <row r="13" spans="1:64" s="3" customFormat="1" ht="108" hidden="1" customHeight="1">
      <c r="A13" s="332"/>
      <c r="B13" s="826"/>
      <c r="C13" s="827"/>
      <c r="D13" s="828"/>
      <c r="E13" s="843"/>
      <c r="F13" s="830"/>
      <c r="G13" s="831"/>
      <c r="H13" s="832"/>
      <c r="I13" s="826"/>
      <c r="J13" s="827"/>
      <c r="K13" s="828"/>
      <c r="L13" s="330"/>
      <c r="M13" s="50"/>
      <c r="N13" s="32"/>
      <c r="O13" s="6" t="e">
        <f>VLOOKUP(L13,[22]Listas!$M$69:$N$73,2,0)</f>
        <v>#N/A</v>
      </c>
      <c r="P13" s="6"/>
      <c r="Q13" s="6" t="e">
        <f>HLOOKUP(M13,[22]Listas!$O$67:$Q$68,2,0)</f>
        <v>#N/A</v>
      </c>
      <c r="R13" s="331" t="e">
        <f>INDEX([22]Listas!$O$69:$Q$73,MATCH(L13,[22]Listas!$M$69:$M$73,0),MATCH(M13,[22]Listas!$O$67:$Q$67,0))</f>
        <v>#N/A</v>
      </c>
      <c r="S13" s="826"/>
      <c r="T13" s="827"/>
      <c r="U13" s="828"/>
      <c r="V13" s="329"/>
      <c r="W13" s="329"/>
      <c r="X13" s="329"/>
      <c r="Y13" s="329"/>
      <c r="Z13" s="329"/>
      <c r="AA13" s="329"/>
      <c r="AB13" s="329"/>
      <c r="AC13" s="329"/>
      <c r="AD13" s="329"/>
      <c r="AE13" s="329"/>
      <c r="AF13" s="33"/>
      <c r="AG13" s="6">
        <f t="shared" si="0"/>
        <v>0</v>
      </c>
      <c r="AH13" s="6">
        <f t="shared" si="1"/>
        <v>0</v>
      </c>
      <c r="AI13" s="6">
        <f t="shared" si="2"/>
        <v>0</v>
      </c>
      <c r="AJ13" s="6">
        <f t="shared" si="3"/>
        <v>0</v>
      </c>
      <c r="AK13" s="6">
        <f t="shared" si="4"/>
        <v>0</v>
      </c>
      <c r="AL13" s="6">
        <f t="shared" si="5"/>
        <v>0</v>
      </c>
      <c r="AM13" s="6">
        <f t="shared" si="6"/>
        <v>0</v>
      </c>
      <c r="AN13" s="6">
        <f t="shared" si="7"/>
        <v>0</v>
      </c>
      <c r="AO13" s="6">
        <f t="shared" si="8"/>
        <v>0</v>
      </c>
      <c r="AP13" s="331" t="str">
        <f t="shared" si="9"/>
        <v>0- disminuye 0</v>
      </c>
      <c r="AQ13" s="6" t="e">
        <f t="shared" si="10"/>
        <v>#N/A</v>
      </c>
      <c r="AR13" s="331" t="e">
        <f>IF(AQ13&lt;=1,"Rara vez",VLOOKUP(AQ13,[22]Listas!$L$69:$M$73,2,0))</f>
        <v>#N/A</v>
      </c>
      <c r="AS13" s="6" t="e">
        <f t="shared" si="11"/>
        <v>#N/A</v>
      </c>
      <c r="AT13" s="331" t="e">
        <f t="shared" si="12"/>
        <v>#N/A</v>
      </c>
      <c r="AU13" s="331" t="e">
        <f>INDEX([22]Listas!$O$69:$Q$73,MATCH(AR13,[22]Listas!$M$69:$M$73,0),MATCH(AT13,[22]Listas!$O$67:$Q$67,0))</f>
        <v>#N/A</v>
      </c>
      <c r="AV13" s="330"/>
      <c r="AW13" s="826"/>
      <c r="AX13" s="843"/>
      <c r="AY13" s="843"/>
      <c r="AZ13" s="12"/>
      <c r="BA13" s="12"/>
      <c r="BB13" s="839"/>
      <c r="BC13" s="12"/>
      <c r="BD13" s="12" t="s">
        <v>2343</v>
      </c>
      <c r="BE13" s="839"/>
      <c r="BF13" s="12"/>
      <c r="BG13" s="12"/>
      <c r="BH13" s="227"/>
      <c r="BI13" s="227"/>
      <c r="BJ13" s="839"/>
      <c r="BK13" s="228"/>
      <c r="BL13" s="228"/>
    </row>
    <row r="14" spans="1:64" s="3" customFormat="1" ht="108" hidden="1" customHeight="1">
      <c r="A14" s="332"/>
      <c r="B14" s="826"/>
      <c r="C14" s="827"/>
      <c r="D14" s="828"/>
      <c r="E14" s="843"/>
      <c r="F14" s="830"/>
      <c r="G14" s="831"/>
      <c r="H14" s="832"/>
      <c r="I14" s="826"/>
      <c r="J14" s="827"/>
      <c r="K14" s="828"/>
      <c r="L14" s="330"/>
      <c r="M14" s="50"/>
      <c r="N14" s="32"/>
      <c r="O14" s="6" t="e">
        <f>VLOOKUP(L14,[22]Listas!$M$69:$N$73,2,0)</f>
        <v>#N/A</v>
      </c>
      <c r="P14" s="6"/>
      <c r="Q14" s="6" t="e">
        <f>HLOOKUP(M14,[22]Listas!$O$67:$Q$68,2,0)</f>
        <v>#N/A</v>
      </c>
      <c r="R14" s="331" t="e">
        <f>INDEX([22]Listas!$O$69:$Q$73,MATCH(L14,[22]Listas!$M$69:$M$73,0),MATCH(M14,[22]Listas!$O$67:$Q$67,0))</f>
        <v>#N/A</v>
      </c>
      <c r="S14" s="826"/>
      <c r="T14" s="827"/>
      <c r="U14" s="828"/>
      <c r="V14" s="329"/>
      <c r="W14" s="329"/>
      <c r="X14" s="329"/>
      <c r="Y14" s="329"/>
      <c r="Z14" s="329"/>
      <c r="AA14" s="329"/>
      <c r="AB14" s="329"/>
      <c r="AC14" s="329"/>
      <c r="AD14" s="329"/>
      <c r="AE14" s="329"/>
      <c r="AF14" s="33"/>
      <c r="AG14" s="6">
        <f t="shared" si="0"/>
        <v>0</v>
      </c>
      <c r="AH14" s="6">
        <f t="shared" si="1"/>
        <v>0</v>
      </c>
      <c r="AI14" s="6">
        <f t="shared" si="2"/>
        <v>0</v>
      </c>
      <c r="AJ14" s="6">
        <f t="shared" si="3"/>
        <v>0</v>
      </c>
      <c r="AK14" s="6">
        <f t="shared" si="4"/>
        <v>0</v>
      </c>
      <c r="AL14" s="6">
        <f t="shared" si="5"/>
        <v>0</v>
      </c>
      <c r="AM14" s="6">
        <f t="shared" si="6"/>
        <v>0</v>
      </c>
      <c r="AN14" s="6">
        <f t="shared" si="7"/>
        <v>0</v>
      </c>
      <c r="AO14" s="6">
        <f t="shared" si="8"/>
        <v>0</v>
      </c>
      <c r="AP14" s="331" t="str">
        <f t="shared" si="9"/>
        <v>0- disminuye 0</v>
      </c>
      <c r="AQ14" s="6" t="e">
        <f t="shared" si="10"/>
        <v>#N/A</v>
      </c>
      <c r="AR14" s="331" t="e">
        <f>IF(AQ14&lt;=1,"Rara vez",VLOOKUP(AQ14,[22]Listas!$L$69:$M$73,2,0))</f>
        <v>#N/A</v>
      </c>
      <c r="AS14" s="6" t="e">
        <f t="shared" si="11"/>
        <v>#N/A</v>
      </c>
      <c r="AT14" s="331" t="e">
        <f t="shared" si="12"/>
        <v>#N/A</v>
      </c>
      <c r="AU14" s="331" t="e">
        <f>INDEX([22]Listas!$O$69:$Q$73,MATCH(AR14,[22]Listas!$M$69:$M$73,0),MATCH(AT14,[22]Listas!$O$67:$Q$67,0))</f>
        <v>#N/A</v>
      </c>
      <c r="AV14" s="330"/>
      <c r="AW14" s="826"/>
      <c r="AX14" s="843"/>
      <c r="AY14" s="843"/>
      <c r="AZ14" s="12"/>
      <c r="BA14" s="12"/>
      <c r="BB14" s="839"/>
      <c r="BC14" s="12"/>
      <c r="BD14" s="12" t="s">
        <v>2343</v>
      </c>
      <c r="BE14" s="839"/>
      <c r="BF14" s="12"/>
      <c r="BG14" s="12"/>
      <c r="BH14" s="227"/>
      <c r="BI14" s="227"/>
      <c r="BJ14" s="839"/>
      <c r="BK14" s="228"/>
      <c r="BL14" s="228"/>
    </row>
    <row r="15" spans="1:64" s="3" customFormat="1" ht="108" hidden="1" customHeight="1">
      <c r="A15" s="332"/>
      <c r="B15" s="826"/>
      <c r="C15" s="827"/>
      <c r="D15" s="828"/>
      <c r="E15" s="843"/>
      <c r="F15" s="830"/>
      <c r="G15" s="831"/>
      <c r="H15" s="832"/>
      <c r="I15" s="826"/>
      <c r="J15" s="827"/>
      <c r="K15" s="828"/>
      <c r="L15" s="330"/>
      <c r="M15" s="50"/>
      <c r="N15" s="32"/>
      <c r="O15" s="6" t="e">
        <f>VLOOKUP(L15,[22]Listas!$M$69:$N$73,2,0)</f>
        <v>#N/A</v>
      </c>
      <c r="P15" s="6"/>
      <c r="Q15" s="6" t="e">
        <f>HLOOKUP(M15,[22]Listas!$O$67:$Q$68,2,0)</f>
        <v>#N/A</v>
      </c>
      <c r="R15" s="331" t="e">
        <f>INDEX([22]Listas!$O$69:$Q$73,MATCH(L15,[22]Listas!$M$69:$M$73,0),MATCH(M15,[22]Listas!$O$67:$Q$67,0))</f>
        <v>#N/A</v>
      </c>
      <c r="S15" s="826"/>
      <c r="T15" s="827"/>
      <c r="U15" s="828"/>
      <c r="V15" s="329"/>
      <c r="W15" s="329"/>
      <c r="X15" s="329"/>
      <c r="Y15" s="329"/>
      <c r="Z15" s="329"/>
      <c r="AA15" s="329"/>
      <c r="AB15" s="329"/>
      <c r="AC15" s="329"/>
      <c r="AD15" s="329"/>
      <c r="AE15" s="329"/>
      <c r="AF15" s="33"/>
      <c r="AG15" s="6">
        <f t="shared" si="0"/>
        <v>0</v>
      </c>
      <c r="AH15" s="6">
        <f t="shared" si="1"/>
        <v>0</v>
      </c>
      <c r="AI15" s="6">
        <f t="shared" si="2"/>
        <v>0</v>
      </c>
      <c r="AJ15" s="6">
        <f t="shared" si="3"/>
        <v>0</v>
      </c>
      <c r="AK15" s="6">
        <f t="shared" si="4"/>
        <v>0</v>
      </c>
      <c r="AL15" s="6">
        <f t="shared" si="5"/>
        <v>0</v>
      </c>
      <c r="AM15" s="6">
        <f t="shared" si="6"/>
        <v>0</v>
      </c>
      <c r="AN15" s="6">
        <f t="shared" si="7"/>
        <v>0</v>
      </c>
      <c r="AO15" s="6">
        <f t="shared" si="8"/>
        <v>0</v>
      </c>
      <c r="AP15" s="331" t="str">
        <f t="shared" si="9"/>
        <v>0- disminuye 0</v>
      </c>
      <c r="AQ15" s="6" t="e">
        <f t="shared" si="10"/>
        <v>#N/A</v>
      </c>
      <c r="AR15" s="331" t="e">
        <f>IF(AQ15&lt;=1,"Rara vez",VLOOKUP(AQ15,[22]Listas!$L$69:$M$73,2,0))</f>
        <v>#N/A</v>
      </c>
      <c r="AS15" s="6" t="e">
        <f t="shared" si="11"/>
        <v>#N/A</v>
      </c>
      <c r="AT15" s="331" t="e">
        <f t="shared" si="12"/>
        <v>#N/A</v>
      </c>
      <c r="AU15" s="331" t="e">
        <f>INDEX([22]Listas!$O$69:$Q$73,MATCH(AR15,[22]Listas!$M$69:$M$73,0),MATCH(AT15,[22]Listas!$O$67:$Q$67,0))</f>
        <v>#N/A</v>
      </c>
      <c r="AV15" s="330"/>
      <c r="AW15" s="826"/>
      <c r="AX15" s="843"/>
      <c r="AY15" s="843"/>
      <c r="AZ15" s="12"/>
      <c r="BA15" s="12"/>
      <c r="BB15" s="839"/>
      <c r="BC15" s="12"/>
      <c r="BD15" s="12" t="s">
        <v>2343</v>
      </c>
      <c r="BE15" s="839"/>
      <c r="BF15" s="12"/>
      <c r="BG15" s="12"/>
      <c r="BH15" s="227"/>
      <c r="BI15" s="227"/>
      <c r="BJ15" s="839"/>
      <c r="BK15" s="228"/>
      <c r="BL15" s="228"/>
    </row>
    <row r="16" spans="1:64" s="3" customFormat="1" ht="108" hidden="1" customHeight="1">
      <c r="A16" s="332"/>
      <c r="B16" s="2805"/>
      <c r="C16" s="2806"/>
      <c r="D16" s="2807"/>
      <c r="E16" s="843"/>
      <c r="F16" s="2808"/>
      <c r="G16" s="2809"/>
      <c r="H16" s="2810"/>
      <c r="I16" s="2805"/>
      <c r="J16" s="2806"/>
      <c r="K16" s="2807"/>
      <c r="L16" s="330"/>
      <c r="M16" s="50"/>
      <c r="N16" s="32"/>
      <c r="O16" s="6" t="e">
        <f>VLOOKUP(L16,[22]Listas!$M$69:$N$73,2,0)</f>
        <v>#N/A</v>
      </c>
      <c r="P16" s="6"/>
      <c r="Q16" s="6" t="e">
        <f>HLOOKUP(M16,[22]Listas!$O$67:$Q$68,2,0)</f>
        <v>#N/A</v>
      </c>
      <c r="R16" s="331" t="e">
        <f>INDEX([22]Listas!$O$69:$Q$73,MATCH(L16,[22]Listas!$M$69:$M$73,0),MATCH(M16,[22]Listas!$O$67:$Q$67,0))</f>
        <v>#N/A</v>
      </c>
      <c r="S16" s="826"/>
      <c r="T16" s="827"/>
      <c r="U16" s="828"/>
      <c r="V16" s="329"/>
      <c r="W16" s="329"/>
      <c r="X16" s="329"/>
      <c r="Y16" s="329"/>
      <c r="Z16" s="329"/>
      <c r="AA16" s="329"/>
      <c r="AB16" s="329"/>
      <c r="AC16" s="329"/>
      <c r="AD16" s="329"/>
      <c r="AE16" s="329"/>
      <c r="AF16" s="33"/>
      <c r="AG16" s="6">
        <f t="shared" si="0"/>
        <v>0</v>
      </c>
      <c r="AH16" s="6">
        <f t="shared" si="1"/>
        <v>0</v>
      </c>
      <c r="AI16" s="6">
        <f t="shared" si="2"/>
        <v>0</v>
      </c>
      <c r="AJ16" s="6">
        <f t="shared" si="3"/>
        <v>0</v>
      </c>
      <c r="AK16" s="6">
        <f t="shared" si="4"/>
        <v>0</v>
      </c>
      <c r="AL16" s="6">
        <f t="shared" si="5"/>
        <v>0</v>
      </c>
      <c r="AM16" s="6">
        <f t="shared" si="6"/>
        <v>0</v>
      </c>
      <c r="AN16" s="6">
        <f t="shared" si="7"/>
        <v>0</v>
      </c>
      <c r="AO16" s="6">
        <f t="shared" si="8"/>
        <v>0</v>
      </c>
      <c r="AP16" s="331" t="str">
        <f t="shared" si="9"/>
        <v>0- disminuye 0</v>
      </c>
      <c r="AQ16" s="6" t="e">
        <f t="shared" si="10"/>
        <v>#N/A</v>
      </c>
      <c r="AR16" s="331" t="e">
        <f>IF(AQ16&lt;=1,"Rara vez",VLOOKUP(AQ16,[22]Listas!$L$69:$M$73,2,0))</f>
        <v>#N/A</v>
      </c>
      <c r="AS16" s="6" t="e">
        <f t="shared" si="11"/>
        <v>#N/A</v>
      </c>
      <c r="AT16" s="331" t="e">
        <f t="shared" si="12"/>
        <v>#N/A</v>
      </c>
      <c r="AU16" s="331" t="e">
        <f>INDEX([22]Listas!$O$69:$Q$73,MATCH(AR16,[22]Listas!$M$69:$M$73,0),MATCH(AT16,[22]Listas!$O$67:$Q$67,0))</f>
        <v>#N/A</v>
      </c>
      <c r="AV16" s="330"/>
      <c r="AW16" s="826"/>
      <c r="AX16" s="843"/>
      <c r="AY16" s="843"/>
      <c r="AZ16" s="12"/>
      <c r="BA16" s="12"/>
      <c r="BB16" s="839"/>
      <c r="BC16" s="12"/>
      <c r="BD16" s="12" t="s">
        <v>2343</v>
      </c>
      <c r="BE16" s="839"/>
      <c r="BF16" s="12"/>
      <c r="BG16" s="12"/>
      <c r="BH16" s="227"/>
      <c r="BI16" s="227"/>
      <c r="BJ16" s="839"/>
      <c r="BK16" s="228"/>
      <c r="BL16" s="228"/>
    </row>
    <row r="17" spans="1:64" s="3" customFormat="1" ht="108" hidden="1" customHeight="1">
      <c r="A17" s="332"/>
      <c r="B17" s="2805"/>
      <c r="C17" s="2806"/>
      <c r="D17" s="2807"/>
      <c r="E17" s="843"/>
      <c r="F17" s="2808"/>
      <c r="G17" s="2809"/>
      <c r="H17" s="2810"/>
      <c r="I17" s="2805"/>
      <c r="J17" s="2806"/>
      <c r="K17" s="2807"/>
      <c r="L17" s="330"/>
      <c r="M17" s="50"/>
      <c r="N17" s="32"/>
      <c r="O17" s="6" t="e">
        <f>VLOOKUP(L17,[22]Listas!$M$69:$N$73,2,0)</f>
        <v>#N/A</v>
      </c>
      <c r="P17" s="6"/>
      <c r="Q17" s="6" t="e">
        <f>HLOOKUP(M17,[22]Listas!$O$67:$Q$68,2,0)</f>
        <v>#N/A</v>
      </c>
      <c r="R17" s="331" t="e">
        <f>INDEX([22]Listas!$O$69:$Q$73,MATCH(L17,[22]Listas!$M$69:$M$73,0),MATCH(M17,[22]Listas!$O$67:$Q$67,0))</f>
        <v>#N/A</v>
      </c>
      <c r="S17" s="2805"/>
      <c r="T17" s="2806"/>
      <c r="U17" s="2807"/>
      <c r="V17" s="329"/>
      <c r="W17" s="329"/>
      <c r="X17" s="329"/>
      <c r="Y17" s="329"/>
      <c r="Z17" s="329"/>
      <c r="AA17" s="329"/>
      <c r="AB17" s="329"/>
      <c r="AC17" s="329"/>
      <c r="AD17" s="329"/>
      <c r="AE17" s="329"/>
      <c r="AF17" s="33"/>
      <c r="AG17" s="6">
        <f t="shared" si="0"/>
        <v>0</v>
      </c>
      <c r="AH17" s="6">
        <f t="shared" si="1"/>
        <v>0</v>
      </c>
      <c r="AI17" s="6">
        <f t="shared" si="2"/>
        <v>0</v>
      </c>
      <c r="AJ17" s="6">
        <f t="shared" si="3"/>
        <v>0</v>
      </c>
      <c r="AK17" s="6">
        <f t="shared" si="4"/>
        <v>0</v>
      </c>
      <c r="AL17" s="6">
        <f t="shared" si="5"/>
        <v>0</v>
      </c>
      <c r="AM17" s="6">
        <f t="shared" si="6"/>
        <v>0</v>
      </c>
      <c r="AN17" s="6">
        <f t="shared" si="7"/>
        <v>0</v>
      </c>
      <c r="AO17" s="6">
        <f t="shared" si="8"/>
        <v>0</v>
      </c>
      <c r="AP17" s="331" t="str">
        <f t="shared" si="9"/>
        <v>0- disminuye 0</v>
      </c>
      <c r="AQ17" s="6" t="e">
        <f t="shared" si="10"/>
        <v>#N/A</v>
      </c>
      <c r="AR17" s="331" t="e">
        <f>IF(AQ17&lt;=1,"Rara vez",VLOOKUP(AQ17,[22]Listas!$L$69:$M$73,2,0))</f>
        <v>#N/A</v>
      </c>
      <c r="AS17" s="6" t="e">
        <f t="shared" si="11"/>
        <v>#N/A</v>
      </c>
      <c r="AT17" s="331" t="e">
        <f t="shared" si="12"/>
        <v>#N/A</v>
      </c>
      <c r="AU17" s="331" t="e">
        <f>INDEX([22]Listas!$O$69:$Q$73,MATCH(AR17,[22]Listas!$M$69:$M$73,0),MATCH(AT17,[22]Listas!$O$67:$Q$67,0))</f>
        <v>#N/A</v>
      </c>
      <c r="AV17" s="330"/>
      <c r="AW17" s="826"/>
      <c r="AX17" s="843"/>
      <c r="AY17" s="843"/>
      <c r="AZ17" s="12"/>
      <c r="BA17" s="12"/>
      <c r="BB17" s="839"/>
      <c r="BC17" s="12"/>
      <c r="BD17" s="12" t="s">
        <v>2343</v>
      </c>
      <c r="BE17" s="839"/>
      <c r="BF17" s="12"/>
      <c r="BG17" s="12"/>
      <c r="BH17" s="227"/>
      <c r="BI17" s="227"/>
      <c r="BJ17" s="839"/>
      <c r="BK17" s="228"/>
      <c r="BL17" s="228"/>
    </row>
    <row r="18" spans="1:64" s="3" customFormat="1" ht="108" hidden="1" customHeight="1">
      <c r="A18" s="332"/>
      <c r="B18" s="2805"/>
      <c r="C18" s="2806"/>
      <c r="D18" s="2807"/>
      <c r="E18" s="843"/>
      <c r="F18" s="2808"/>
      <c r="G18" s="2809"/>
      <c r="H18" s="2810"/>
      <c r="I18" s="2805"/>
      <c r="J18" s="2806"/>
      <c r="K18" s="2807"/>
      <c r="L18" s="330"/>
      <c r="M18" s="50"/>
      <c r="N18" s="32"/>
      <c r="O18" s="6" t="e">
        <f>VLOOKUP(L18,[22]Listas!$M$69:$N$73,2,0)</f>
        <v>#N/A</v>
      </c>
      <c r="P18" s="6"/>
      <c r="Q18" s="6" t="e">
        <f>HLOOKUP(M18,[22]Listas!$O$67:$Q$68,2,0)</f>
        <v>#N/A</v>
      </c>
      <c r="R18" s="331" t="e">
        <f>INDEX([22]Listas!$O$69:$Q$73,MATCH(L18,[22]Listas!$M$69:$M$73,0),MATCH(M18,[22]Listas!$O$67:$Q$67,0))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vez",VLOOKUP(AQ18,[22]Listas!$L$69:$M$73,2,0))</f>
        <v>#N/A</v>
      </c>
      <c r="AS18" s="6" t="e">
        <f t="shared" si="11"/>
        <v>#N/A</v>
      </c>
      <c r="AT18" s="331" t="e">
        <f t="shared" si="12"/>
        <v>#N/A</v>
      </c>
      <c r="AU18" s="331" t="e">
        <f>INDEX([22]Listas!$O$69:$Q$73,MATCH(AR18,[22]Listas!$M$69:$M$73,0),MATCH(AT18,[22]Listas!$O$67:$Q$67,0))</f>
        <v>#N/A</v>
      </c>
      <c r="AV18" s="330"/>
      <c r="AW18" s="826"/>
      <c r="AX18" s="843"/>
      <c r="AY18" s="843"/>
      <c r="AZ18" s="12"/>
      <c r="BA18" s="12"/>
      <c r="BB18" s="839"/>
      <c r="BC18" s="12"/>
      <c r="BD18" s="12" t="s">
        <v>2343</v>
      </c>
      <c r="BE18" s="839"/>
      <c r="BF18" s="12"/>
      <c r="BG18" s="12"/>
      <c r="BH18" s="227"/>
      <c r="BI18" s="227"/>
      <c r="BJ18" s="839"/>
      <c r="BK18" s="228"/>
      <c r="BL18" s="228"/>
    </row>
    <row r="19" spans="1:64" s="3" customFormat="1" ht="108" hidden="1" customHeight="1">
      <c r="A19" s="332"/>
      <c r="B19" s="2805"/>
      <c r="C19" s="2806"/>
      <c r="D19" s="2807"/>
      <c r="E19" s="843"/>
      <c r="F19" s="2808"/>
      <c r="G19" s="2809"/>
      <c r="H19" s="2810"/>
      <c r="I19" s="2805"/>
      <c r="J19" s="2806"/>
      <c r="K19" s="2807"/>
      <c r="L19" s="330"/>
      <c r="M19" s="50"/>
      <c r="N19" s="32"/>
      <c r="O19" s="6" t="e">
        <f>VLOOKUP(L19,[22]Listas!$M$69:$N$73,2,0)</f>
        <v>#N/A</v>
      </c>
      <c r="P19" s="6"/>
      <c r="Q19" s="6" t="e">
        <f>HLOOKUP(M19,[22]Listas!$O$67:$Q$68,2,0)</f>
        <v>#N/A</v>
      </c>
      <c r="R19" s="331" t="e">
        <f>INDEX([22]Listas!$O$69:$Q$73,MATCH(L19,[22]Listas!$M$69:$M$73,0),MATCH(M19,[22]Listas!$O$67:$Q$67,0))</f>
        <v>#N/A</v>
      </c>
      <c r="S19" s="2805"/>
      <c r="T19" s="2806"/>
      <c r="U19" s="2807"/>
      <c r="V19" s="329"/>
      <c r="W19" s="329"/>
      <c r="X19" s="329"/>
      <c r="Y19" s="329"/>
      <c r="Z19" s="329"/>
      <c r="AA19" s="329"/>
      <c r="AB19" s="329"/>
      <c r="AC19" s="329"/>
      <c r="AD19" s="329"/>
      <c r="AE19" s="329"/>
      <c r="AF19" s="33"/>
      <c r="AG19" s="6">
        <f t="shared" si="0"/>
        <v>0</v>
      </c>
      <c r="AH19" s="6">
        <f t="shared" si="1"/>
        <v>0</v>
      </c>
      <c r="AI19" s="6">
        <f t="shared" si="2"/>
        <v>0</v>
      </c>
      <c r="AJ19" s="6">
        <f t="shared" si="3"/>
        <v>0</v>
      </c>
      <c r="AK19" s="6">
        <f t="shared" si="4"/>
        <v>0</v>
      </c>
      <c r="AL19" s="6">
        <f t="shared" si="5"/>
        <v>0</v>
      </c>
      <c r="AM19" s="6">
        <f t="shared" si="6"/>
        <v>0</v>
      </c>
      <c r="AN19" s="6">
        <f t="shared" si="7"/>
        <v>0</v>
      </c>
      <c r="AO19" s="6">
        <f t="shared" si="8"/>
        <v>0</v>
      </c>
      <c r="AP19" s="331" t="str">
        <f t="shared" si="9"/>
        <v>0- disminuye 0</v>
      </c>
      <c r="AQ19" s="6" t="e">
        <f t="shared" si="10"/>
        <v>#N/A</v>
      </c>
      <c r="AR19" s="331" t="e">
        <f>IF(AQ19&lt;=1,"Rara vez",VLOOKUP(AQ19,[22]Listas!$L$69:$M$73,2,0))</f>
        <v>#N/A</v>
      </c>
      <c r="AS19" s="6" t="e">
        <f t="shared" si="11"/>
        <v>#N/A</v>
      </c>
      <c r="AT19" s="331" t="e">
        <f t="shared" si="12"/>
        <v>#N/A</v>
      </c>
      <c r="AU19" s="331" t="e">
        <f>INDEX([22]Listas!$O$69:$Q$73,MATCH(AR19,[22]Listas!$M$69:$M$73,0),MATCH(AT19,[22]Listas!$O$67:$Q$67,0))</f>
        <v>#N/A</v>
      </c>
      <c r="AV19" s="330"/>
      <c r="AW19" s="826"/>
      <c r="AX19" s="843"/>
      <c r="AY19" s="843"/>
      <c r="AZ19" s="12"/>
      <c r="BA19" s="12"/>
      <c r="BB19" s="839"/>
      <c r="BC19" s="12"/>
      <c r="BD19" s="12" t="s">
        <v>2343</v>
      </c>
      <c r="BE19" s="839"/>
      <c r="BF19" s="12"/>
      <c r="BG19" s="12"/>
      <c r="BH19" s="227"/>
      <c r="BI19" s="227"/>
      <c r="BJ19" s="839"/>
      <c r="BK19" s="228"/>
      <c r="BL19" s="228"/>
    </row>
    <row r="20" spans="1:64" s="3" customFormat="1" ht="108" hidden="1" customHeight="1">
      <c r="A20" s="332"/>
      <c r="B20" s="2805"/>
      <c r="C20" s="2806"/>
      <c r="D20" s="2807"/>
      <c r="E20" s="843"/>
      <c r="F20" s="2808"/>
      <c r="G20" s="2809"/>
      <c r="H20" s="2810"/>
      <c r="I20" s="2805"/>
      <c r="J20" s="2806"/>
      <c r="K20" s="2807"/>
      <c r="L20" s="330"/>
      <c r="M20" s="50"/>
      <c r="N20" s="32"/>
      <c r="O20" s="6" t="e">
        <f>VLOOKUP(L20,[22]Listas!$M$69:$N$73,2,0)</f>
        <v>#N/A</v>
      </c>
      <c r="P20" s="6"/>
      <c r="Q20" s="6" t="e">
        <f>HLOOKUP(M20,[22]Listas!$O$67:$Q$68,2,0)</f>
        <v>#N/A</v>
      </c>
      <c r="R20" s="331" t="e">
        <f>INDEX([22]Listas!$O$69:$Q$73,MATCH(L20,[22]Listas!$M$69:$M$73,0),MATCH(M20,[22]Listas!$O$67:$Q$67,0))</f>
        <v>#N/A</v>
      </c>
      <c r="S20" s="2805"/>
      <c r="T20" s="2806"/>
      <c r="U20" s="2807"/>
      <c r="V20" s="329"/>
      <c r="W20" s="329"/>
      <c r="X20" s="329"/>
      <c r="Y20" s="329"/>
      <c r="Z20" s="329"/>
      <c r="AA20" s="329"/>
      <c r="AB20" s="329"/>
      <c r="AC20" s="329"/>
      <c r="AD20" s="329"/>
      <c r="AE20" s="329"/>
      <c r="AF20" s="33"/>
      <c r="AG20" s="6">
        <f t="shared" si="0"/>
        <v>0</v>
      </c>
      <c r="AH20" s="6">
        <f t="shared" si="1"/>
        <v>0</v>
      </c>
      <c r="AI20" s="6">
        <f t="shared" si="2"/>
        <v>0</v>
      </c>
      <c r="AJ20" s="6">
        <f t="shared" si="3"/>
        <v>0</v>
      </c>
      <c r="AK20" s="6">
        <f t="shared" si="4"/>
        <v>0</v>
      </c>
      <c r="AL20" s="6">
        <f t="shared" si="5"/>
        <v>0</v>
      </c>
      <c r="AM20" s="6">
        <f t="shared" si="6"/>
        <v>0</v>
      </c>
      <c r="AN20" s="6">
        <f t="shared" si="7"/>
        <v>0</v>
      </c>
      <c r="AO20" s="6">
        <f t="shared" si="8"/>
        <v>0</v>
      </c>
      <c r="AP20" s="331" t="str">
        <f t="shared" si="9"/>
        <v>0- disminuye 0</v>
      </c>
      <c r="AQ20" s="6" t="e">
        <f t="shared" si="10"/>
        <v>#N/A</v>
      </c>
      <c r="AR20" s="331" t="e">
        <f>IF(AQ20&lt;=1,"Rara vez",VLOOKUP(AQ20,[22]Listas!$L$69:$M$73,2,0))</f>
        <v>#N/A</v>
      </c>
      <c r="AS20" s="6" t="e">
        <f t="shared" si="11"/>
        <v>#N/A</v>
      </c>
      <c r="AT20" s="331" t="e">
        <f t="shared" si="12"/>
        <v>#N/A</v>
      </c>
      <c r="AU20" s="331" t="e">
        <f>INDEX([22]Listas!$O$69:$Q$73,MATCH(AR20,[22]Listas!$M$69:$M$73,0),MATCH(AT20,[22]Listas!$O$67:$Q$67,0))</f>
        <v>#N/A</v>
      </c>
      <c r="AV20" s="330"/>
      <c r="AW20" s="826"/>
      <c r="AX20" s="843"/>
      <c r="AY20" s="843"/>
      <c r="AZ20" s="12"/>
      <c r="BA20" s="12"/>
      <c r="BB20" s="839"/>
      <c r="BC20" s="12"/>
      <c r="BD20" s="12" t="s">
        <v>2343</v>
      </c>
      <c r="BE20" s="839"/>
      <c r="BF20" s="12"/>
      <c r="BG20" s="12"/>
      <c r="BH20" s="227"/>
      <c r="BI20" s="227"/>
      <c r="BJ20" s="839"/>
      <c r="BK20" s="228"/>
      <c r="BL20" s="228"/>
    </row>
    <row r="21" spans="1:64" s="3" customFormat="1" ht="108" hidden="1" customHeight="1">
      <c r="A21" s="332"/>
      <c r="B21" s="2805"/>
      <c r="C21" s="2806"/>
      <c r="D21" s="2807"/>
      <c r="E21" s="843"/>
      <c r="F21" s="2808"/>
      <c r="G21" s="2809"/>
      <c r="H21" s="2810"/>
      <c r="I21" s="2805"/>
      <c r="J21" s="2806"/>
      <c r="K21" s="2807"/>
      <c r="L21" s="330"/>
      <c r="M21" s="50"/>
      <c r="N21" s="32"/>
      <c r="O21" s="6" t="e">
        <f>VLOOKUP(L21,[22]Listas!$M$69:$N$73,2,0)</f>
        <v>#N/A</v>
      </c>
      <c r="P21" s="6"/>
      <c r="Q21" s="6" t="e">
        <f>HLOOKUP(M21,[22]Listas!$O$67:$Q$68,2,0)</f>
        <v>#N/A</v>
      </c>
      <c r="R21" s="331" t="e">
        <f>INDEX([22]Listas!$O$69:$Q$73,MATCH(L21,[22]Listas!$M$69:$M$73,0),MATCH(M21,[22]Listas!$O$67:$Q$67,0))</f>
        <v>#N/A</v>
      </c>
      <c r="S21" s="2805"/>
      <c r="T21" s="2806"/>
      <c r="U21" s="2807"/>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vez",VLOOKUP(AQ21,[22]Listas!$L$69:$M$73,2,0))</f>
        <v>#N/A</v>
      </c>
      <c r="AS21" s="6" t="e">
        <f t="shared" si="11"/>
        <v>#N/A</v>
      </c>
      <c r="AT21" s="331" t="e">
        <f t="shared" si="12"/>
        <v>#N/A</v>
      </c>
      <c r="AU21" s="331" t="e">
        <f>INDEX([22]Listas!$O$69:$Q$73,MATCH(AR21,[22]Listas!$M$69:$M$73,0),MATCH(AT21,[22]Listas!$O$67:$Q$67,0))</f>
        <v>#N/A</v>
      </c>
      <c r="AV21" s="330"/>
      <c r="AW21" s="826"/>
      <c r="AX21" s="843"/>
      <c r="AY21" s="843"/>
      <c r="AZ21" s="12"/>
      <c r="BA21" s="12"/>
      <c r="BB21" s="839"/>
      <c r="BC21" s="12"/>
      <c r="BD21" s="12" t="s">
        <v>2343</v>
      </c>
      <c r="BE21" s="839"/>
      <c r="BF21" s="12"/>
      <c r="BG21" s="12"/>
      <c r="BH21" s="227"/>
      <c r="BI21" s="227"/>
      <c r="BJ21" s="839"/>
      <c r="BK21" s="228"/>
      <c r="BL21" s="228"/>
    </row>
    <row r="22" spans="1:64" ht="6.75" customHeight="1">
      <c r="A22" s="2"/>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1:64" ht="15" customHeight="1">
      <c r="A23" s="317"/>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1:64" s="22" customFormat="1" ht="19.5" customHeight="1">
      <c r="A24" s="10"/>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4" t="s">
        <v>172</v>
      </c>
      <c r="AS24" s="2804"/>
      <c r="AT24" s="2804"/>
      <c r="AU24" s="2804"/>
      <c r="AV24" s="2804"/>
      <c r="AW24" s="2804"/>
      <c r="AX24" s="65"/>
      <c r="AY24" s="65"/>
      <c r="AZ24" s="68"/>
      <c r="BA24" s="68"/>
      <c r="BB24" s="92"/>
      <c r="BC24" s="68"/>
      <c r="BD24" s="68"/>
      <c r="BE24" s="92"/>
      <c r="BF24" s="68"/>
      <c r="BG24" s="68"/>
      <c r="BH24" s="230"/>
      <c r="BI24" s="230"/>
      <c r="BJ24" s="92"/>
      <c r="BK24" s="210"/>
      <c r="BL24" s="210"/>
    </row>
    <row r="25" spans="1:64" s="22" customFormat="1" ht="25.5" customHeight="1">
      <c r="A25" s="11"/>
      <c r="B25" s="2794" t="s">
        <v>293</v>
      </c>
      <c r="C25" s="2795"/>
      <c r="D25" s="2795"/>
      <c r="E25" s="2795"/>
      <c r="F25" s="2795"/>
      <c r="G25" s="2795"/>
      <c r="H25" s="2796"/>
      <c r="I25" s="2794" t="s">
        <v>2405</v>
      </c>
      <c r="J25" s="2795"/>
      <c r="K25" s="2795"/>
      <c r="L25" s="2795"/>
      <c r="M25" s="2795"/>
      <c r="N25" s="2795"/>
      <c r="O25" s="2795"/>
      <c r="P25" s="2795"/>
      <c r="Q25" s="2795"/>
      <c r="R25" s="2795"/>
      <c r="S25" s="2795"/>
      <c r="T25" s="2795"/>
      <c r="U25" s="2796"/>
      <c r="V25" s="2794" t="s">
        <v>2491</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68"/>
      <c r="BA25" s="68"/>
      <c r="BB25" s="92"/>
      <c r="BC25" s="68"/>
      <c r="BD25" s="68"/>
      <c r="BE25" s="92"/>
      <c r="BF25" s="68"/>
      <c r="BG25" s="68"/>
      <c r="BH25" s="230"/>
      <c r="BI25" s="230"/>
      <c r="BJ25" s="92"/>
      <c r="BK25" s="210"/>
      <c r="BL25" s="210"/>
    </row>
    <row r="26" spans="1:64" s="22" customFormat="1" ht="25.5" customHeight="1">
      <c r="A26" s="11"/>
      <c r="B26" s="2794" t="s">
        <v>2529</v>
      </c>
      <c r="C26" s="2795"/>
      <c r="D26" s="2795"/>
      <c r="E26" s="2795"/>
      <c r="F26" s="2795"/>
      <c r="G26" s="2795"/>
      <c r="H26" s="2796"/>
      <c r="I26" s="2794" t="s">
        <v>607</v>
      </c>
      <c r="J26" s="2795"/>
      <c r="K26" s="2795"/>
      <c r="L26" s="2795"/>
      <c r="M26" s="2795"/>
      <c r="N26" s="2795"/>
      <c r="O26" s="2795"/>
      <c r="P26" s="2795"/>
      <c r="Q26" s="2795"/>
      <c r="R26" s="2795"/>
      <c r="S26" s="2795"/>
      <c r="T26" s="2795"/>
      <c r="U26" s="2796"/>
      <c r="V26" s="2794" t="s">
        <v>166</v>
      </c>
      <c r="W26" s="2795"/>
      <c r="X26" s="2795"/>
      <c r="Y26" s="2795"/>
      <c r="Z26" s="2795"/>
      <c r="AA26" s="2795"/>
      <c r="AB26" s="2795"/>
      <c r="AC26" s="2795"/>
      <c r="AD26" s="2795"/>
      <c r="AE26" s="2795"/>
      <c r="AF26" s="2795"/>
      <c r="AG26" s="2795"/>
      <c r="AH26" s="2795"/>
      <c r="AI26" s="2795"/>
      <c r="AJ26" s="2795"/>
      <c r="AK26" s="2795"/>
      <c r="AL26" s="2795"/>
      <c r="AM26" s="2795"/>
      <c r="AN26" s="2795"/>
      <c r="AO26" s="2795"/>
      <c r="AP26" s="2796"/>
      <c r="AQ26" s="12"/>
      <c r="AR26" s="2800"/>
      <c r="AS26" s="2800"/>
      <c r="AT26" s="2800"/>
      <c r="AU26" s="2800"/>
      <c r="AV26" s="2800"/>
      <c r="AW26" s="2800"/>
      <c r="AX26" s="65"/>
      <c r="AY26" s="65"/>
      <c r="AZ26" s="68"/>
      <c r="BA26" s="68"/>
      <c r="BB26" s="92"/>
      <c r="BC26" s="68"/>
      <c r="BD26" s="68"/>
      <c r="BE26" s="92"/>
      <c r="BF26" s="68"/>
      <c r="BG26" s="68"/>
      <c r="BH26" s="230"/>
      <c r="BI26" s="230"/>
      <c r="BJ26" s="92"/>
      <c r="BK26" s="210"/>
      <c r="BL26" s="210"/>
    </row>
    <row r="27" spans="1:64" ht="25.5" customHeight="1">
      <c r="A27" s="11"/>
      <c r="B27" s="2794"/>
      <c r="C27" s="2795"/>
      <c r="D27" s="2795"/>
      <c r="E27" s="2795"/>
      <c r="F27" s="2795"/>
      <c r="G27" s="2795"/>
      <c r="H27" s="2796"/>
      <c r="I27" s="2794"/>
      <c r="J27" s="2795"/>
      <c r="K27" s="2795"/>
      <c r="L27" s="2795"/>
      <c r="M27" s="2795"/>
      <c r="N27" s="2795"/>
      <c r="O27" s="2795"/>
      <c r="P27" s="2795"/>
      <c r="Q27" s="2795"/>
      <c r="R27" s="2795"/>
      <c r="S27" s="2795"/>
      <c r="T27" s="2795"/>
      <c r="U27" s="2796"/>
      <c r="V27" s="2794"/>
      <c r="W27" s="2795"/>
      <c r="X27" s="2795"/>
      <c r="Y27" s="2795"/>
      <c r="Z27" s="2795"/>
      <c r="AA27" s="2795"/>
      <c r="AB27" s="2795"/>
      <c r="AC27" s="2795"/>
      <c r="AD27" s="2795"/>
      <c r="AE27" s="2795"/>
      <c r="AF27" s="2795"/>
      <c r="AG27" s="2795"/>
      <c r="AH27" s="2795"/>
      <c r="AI27" s="2795"/>
      <c r="AJ27" s="2795"/>
      <c r="AK27" s="2795"/>
      <c r="AL27" s="2795"/>
      <c r="AM27" s="2795"/>
      <c r="AN27" s="2795"/>
      <c r="AO27" s="2795"/>
      <c r="AP27" s="2796"/>
      <c r="AQ27" s="12"/>
      <c r="AR27" s="2800"/>
      <c r="AS27" s="2800"/>
      <c r="AT27" s="2800"/>
      <c r="AU27" s="2800"/>
      <c r="AV27" s="2800"/>
      <c r="AW27" s="2800"/>
      <c r="AX27" s="65"/>
      <c r="AY27" s="65"/>
      <c r="AZ27" s="68"/>
      <c r="BA27" s="68"/>
      <c r="BB27" s="92"/>
      <c r="BC27" s="68"/>
      <c r="BD27" s="68"/>
      <c r="BE27" s="92"/>
      <c r="BF27" s="68"/>
      <c r="BG27" s="68"/>
      <c r="BH27" s="230"/>
      <c r="BI27" s="230"/>
      <c r="BJ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2">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2">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2">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2">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2">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2">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2">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2">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2">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2">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2">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2">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2">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1:62">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c r="AZ94" s="68"/>
      <c r="BA94" s="68"/>
      <c r="BB94" s="92"/>
      <c r="BC94" s="68"/>
      <c r="BD94" s="68"/>
      <c r="BE94" s="92"/>
      <c r="BF94" s="68"/>
      <c r="BG94" s="68"/>
      <c r="BH94" s="230"/>
      <c r="BI94" s="230"/>
      <c r="BJ94" s="92"/>
    </row>
    <row r="95" spans="1:62">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2">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1:64">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ht="11.25">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1:64" ht="11.25">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c r="AZ105" s="231"/>
      <c r="BA105" s="231"/>
      <c r="BB105" s="231"/>
      <c r="BC105" s="231"/>
      <c r="BD105" s="231"/>
      <c r="BE105" s="231"/>
      <c r="BF105" s="231"/>
      <c r="BG105" s="231"/>
      <c r="BH105" s="231"/>
      <c r="BI105" s="231"/>
      <c r="BJ105" s="231"/>
      <c r="BK105" s="231"/>
      <c r="BL105" s="231"/>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1:49">
      <c r="A119" s="13"/>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row r="120" spans="1:49">
      <c r="A120" s="13"/>
      <c r="B120" s="13"/>
      <c r="C120" s="13"/>
      <c r="D120" s="13"/>
      <c r="E120" s="14"/>
      <c r="F120" s="13"/>
      <c r="G120" s="13"/>
      <c r="H120" s="13"/>
      <c r="I120" s="13"/>
      <c r="J120" s="13"/>
      <c r="K120" s="13"/>
      <c r="L120" s="15"/>
      <c r="M120" s="15"/>
      <c r="N120" s="15"/>
      <c r="O120" s="15"/>
      <c r="P120" s="15"/>
      <c r="Q120" s="15"/>
      <c r="R120" s="15"/>
      <c r="S120" s="15"/>
      <c r="T120" s="15"/>
      <c r="U120" s="15"/>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5"/>
      <c r="AW120" s="15"/>
    </row>
  </sheetData>
  <sheetProtection formatCells="0" formatColumns="0" formatRows="0" insertRows="0" deleteRows="0" sort="0" autoFilter="0" pivotTables="0"/>
  <mergeCells count="76">
    <mergeCell ref="V26:AP26"/>
    <mergeCell ref="I27:U27"/>
    <mergeCell ref="V27:AP27"/>
    <mergeCell ref="L6:U6"/>
    <mergeCell ref="I24:U24"/>
    <mergeCell ref="V24:AP24"/>
    <mergeCell ref="B23:U23"/>
    <mergeCell ref="B10:D10"/>
    <mergeCell ref="F10:H10"/>
    <mergeCell ref="I10:K10"/>
    <mergeCell ref="B21:D21"/>
    <mergeCell ref="F21:H21"/>
    <mergeCell ref="S10:U10"/>
    <mergeCell ref="L8:R8"/>
    <mergeCell ref="B9:D9"/>
    <mergeCell ref="B6:C6"/>
    <mergeCell ref="I26:U26"/>
    <mergeCell ref="S18:U18"/>
    <mergeCell ref="B20:D20"/>
    <mergeCell ref="I20:K20"/>
    <mergeCell ref="S20:U20"/>
    <mergeCell ref="B25:H25"/>
    <mergeCell ref="I25:U25"/>
    <mergeCell ref="B19:D19"/>
    <mergeCell ref="F19:H19"/>
    <mergeCell ref="I19:K19"/>
    <mergeCell ref="S19:U19"/>
    <mergeCell ref="F20:H20"/>
    <mergeCell ref="I21:K21"/>
    <mergeCell ref="B18:D18"/>
    <mergeCell ref="F18:H18"/>
    <mergeCell ref="I18:K18"/>
    <mergeCell ref="S9:U9"/>
    <mergeCell ref="B4:D4"/>
    <mergeCell ref="F9:H9"/>
    <mergeCell ref="I6:K6"/>
    <mergeCell ref="I9:K9"/>
    <mergeCell ref="B8:K8"/>
    <mergeCell ref="V6:Z6"/>
    <mergeCell ref="AA6:AX6"/>
    <mergeCell ref="AV1:AX4"/>
    <mergeCell ref="S8:AV8"/>
    <mergeCell ref="AW8:AZ8"/>
    <mergeCell ref="E3:Z3"/>
    <mergeCell ref="E4:Z4"/>
    <mergeCell ref="D6:H6"/>
    <mergeCell ref="B1:AU1"/>
    <mergeCell ref="B2:AU2"/>
    <mergeCell ref="AA4:AU4"/>
    <mergeCell ref="AA3:AU3"/>
    <mergeCell ref="B3:D3"/>
    <mergeCell ref="B27:H27"/>
    <mergeCell ref="AR27:AW27"/>
    <mergeCell ref="AR24:AW24"/>
    <mergeCell ref="B16:D16"/>
    <mergeCell ref="F16:H16"/>
    <mergeCell ref="I16:K16"/>
    <mergeCell ref="AR25:AW25"/>
    <mergeCell ref="B26:H26"/>
    <mergeCell ref="B24:H24"/>
    <mergeCell ref="AR26:AW26"/>
    <mergeCell ref="V25:AP25"/>
    <mergeCell ref="B17:D17"/>
    <mergeCell ref="F17:H17"/>
    <mergeCell ref="I17:K17"/>
    <mergeCell ref="S17:U17"/>
    <mergeCell ref="S21:U21"/>
    <mergeCell ref="BF8:BJ8"/>
    <mergeCell ref="BB4:BC4"/>
    <mergeCell ref="BD4:BE4"/>
    <mergeCell ref="BF7:BJ7"/>
    <mergeCell ref="BB1:BE1"/>
    <mergeCell ref="BB2:BC2"/>
    <mergeCell ref="BD2:BE2"/>
    <mergeCell ref="BB3:BC3"/>
    <mergeCell ref="BD3:BE3"/>
  </mergeCells>
  <dataValidations count="8">
    <dataValidation type="list" allowBlank="1" showInputMessage="1" showErrorMessage="1" sqref="BE10:BE21 LA10:LA21 UW10:UW21 AES10:AES21 AOO10:AOO21 AYK10:AYK21 BIG10:BIG21 BSC10:BSC21 CBY10:CBY21 CLU10:CLU21 CVQ10:CVQ21 DFM10:DFM21 DPI10:DPI21 DZE10:DZE21 EJA10:EJA21 ESW10:ESW21 FCS10:FCS21 FMO10:FMO21 FWK10:FWK21 GGG10:GGG21 GQC10:GQC21 GZY10:GZY21 HJU10:HJU21 HTQ10:HTQ21 IDM10:IDM21 INI10:INI21 IXE10:IXE21 JHA10:JHA21 JQW10:JQW21 KAS10:KAS21 KKO10:KKO21 KUK10:KUK21 LEG10:LEG21 LOC10:LOC21 LXY10:LXY21 MHU10:MHU21 MRQ10:MRQ21 NBM10:NBM21 NLI10:NLI21 NVE10:NVE21 OFA10:OFA21 OOW10:OOW21 OYS10:OYS21 PIO10:PIO21 PSK10:PSK21 QCG10:QCG21 QMC10:QMC21 QVY10:QVY21 RFU10:RFU21 RPQ10:RPQ21 RZM10:RZM21 SJI10:SJI21 STE10:STE21 TDA10:TDA21 TMW10:TMW21 TWS10:TWS21 UGO10:UGO21 UQK10:UQK21 VAG10:VAG21 VKC10:VKC21 VTY10:VTY21 WDU10:WDU21 WNQ10:WNQ21 WXM10:WXM21 BE65546:BE65557 LA65546:LA65557 UW65546:UW65557 AES65546:AES65557 AOO65546:AOO65557 AYK65546:AYK65557 BIG65546:BIG65557 BSC65546:BSC65557 CBY65546:CBY65557 CLU65546:CLU65557 CVQ65546:CVQ65557 DFM65546:DFM65557 DPI65546:DPI65557 DZE65546:DZE65557 EJA65546:EJA65557 ESW65546:ESW65557 FCS65546:FCS65557 FMO65546:FMO65557 FWK65546:FWK65557 GGG65546:GGG65557 GQC65546:GQC65557 GZY65546:GZY65557 HJU65546:HJU65557 HTQ65546:HTQ65557 IDM65546:IDM65557 INI65546:INI65557 IXE65546:IXE65557 JHA65546:JHA65557 JQW65546:JQW65557 KAS65546:KAS65557 KKO65546:KKO65557 KUK65546:KUK65557 LEG65546:LEG65557 LOC65546:LOC65557 LXY65546:LXY65557 MHU65546:MHU65557 MRQ65546:MRQ65557 NBM65546:NBM65557 NLI65546:NLI65557 NVE65546:NVE65557 OFA65546:OFA65557 OOW65546:OOW65557 OYS65546:OYS65557 PIO65546:PIO65557 PSK65546:PSK65557 QCG65546:QCG65557 QMC65546:QMC65557 QVY65546:QVY65557 RFU65546:RFU65557 RPQ65546:RPQ65557 RZM65546:RZM65557 SJI65546:SJI65557 STE65546:STE65557 TDA65546:TDA65557 TMW65546:TMW65557 TWS65546:TWS65557 UGO65546:UGO65557 UQK65546:UQK65557 VAG65546:VAG65557 VKC65546:VKC65557 VTY65546:VTY65557 WDU65546:WDU65557 WNQ65546:WNQ65557 WXM65546:WXM65557 BE131082:BE131093 LA131082:LA131093 UW131082:UW131093 AES131082:AES131093 AOO131082:AOO131093 AYK131082:AYK131093 BIG131082:BIG131093 BSC131082:BSC131093 CBY131082:CBY131093 CLU131082:CLU131093 CVQ131082:CVQ131093 DFM131082:DFM131093 DPI131082:DPI131093 DZE131082:DZE131093 EJA131082:EJA131093 ESW131082:ESW131093 FCS131082:FCS131093 FMO131082:FMO131093 FWK131082:FWK131093 GGG131082:GGG131093 GQC131082:GQC131093 GZY131082:GZY131093 HJU131082:HJU131093 HTQ131082:HTQ131093 IDM131082:IDM131093 INI131082:INI131093 IXE131082:IXE131093 JHA131082:JHA131093 JQW131082:JQW131093 KAS131082:KAS131093 KKO131082:KKO131093 KUK131082:KUK131093 LEG131082:LEG131093 LOC131082:LOC131093 LXY131082:LXY131093 MHU131082:MHU131093 MRQ131082:MRQ131093 NBM131082:NBM131093 NLI131082:NLI131093 NVE131082:NVE131093 OFA131082:OFA131093 OOW131082:OOW131093 OYS131082:OYS131093 PIO131082:PIO131093 PSK131082:PSK131093 QCG131082:QCG131093 QMC131082:QMC131093 QVY131082:QVY131093 RFU131082:RFU131093 RPQ131082:RPQ131093 RZM131082:RZM131093 SJI131082:SJI131093 STE131082:STE131093 TDA131082:TDA131093 TMW131082:TMW131093 TWS131082:TWS131093 UGO131082:UGO131093 UQK131082:UQK131093 VAG131082:VAG131093 VKC131082:VKC131093 VTY131082:VTY131093 WDU131082:WDU131093 WNQ131082:WNQ131093 WXM131082:WXM131093 BE196618:BE196629 LA196618:LA196629 UW196618:UW196629 AES196618:AES196629 AOO196618:AOO196629 AYK196618:AYK196629 BIG196618:BIG196629 BSC196618:BSC196629 CBY196618:CBY196629 CLU196618:CLU196629 CVQ196618:CVQ196629 DFM196618:DFM196629 DPI196618:DPI196629 DZE196618:DZE196629 EJA196618:EJA196629 ESW196618:ESW196629 FCS196618:FCS196629 FMO196618:FMO196629 FWK196618:FWK196629 GGG196618:GGG196629 GQC196618:GQC196629 GZY196618:GZY196629 HJU196618:HJU196629 HTQ196618:HTQ196629 IDM196618:IDM196629 INI196618:INI196629 IXE196618:IXE196629 JHA196618:JHA196629 JQW196618:JQW196629 KAS196618:KAS196629 KKO196618:KKO196629 KUK196618:KUK196629 LEG196618:LEG196629 LOC196618:LOC196629 LXY196618:LXY196629 MHU196618:MHU196629 MRQ196618:MRQ196629 NBM196618:NBM196629 NLI196618:NLI196629 NVE196618:NVE196629 OFA196618:OFA196629 OOW196618:OOW196629 OYS196618:OYS196629 PIO196618:PIO196629 PSK196618:PSK196629 QCG196618:QCG196629 QMC196618:QMC196629 QVY196618:QVY196629 RFU196618:RFU196629 RPQ196618:RPQ196629 RZM196618:RZM196629 SJI196618:SJI196629 STE196618:STE196629 TDA196618:TDA196629 TMW196618:TMW196629 TWS196618:TWS196629 UGO196618:UGO196629 UQK196618:UQK196629 VAG196618:VAG196629 VKC196618:VKC196629 VTY196618:VTY196629 WDU196618:WDU196629 WNQ196618:WNQ196629 WXM196618:WXM196629 BE262154:BE262165 LA262154:LA262165 UW262154:UW262165 AES262154:AES262165 AOO262154:AOO262165 AYK262154:AYK262165 BIG262154:BIG262165 BSC262154:BSC262165 CBY262154:CBY262165 CLU262154:CLU262165 CVQ262154:CVQ262165 DFM262154:DFM262165 DPI262154:DPI262165 DZE262154:DZE262165 EJA262154:EJA262165 ESW262154:ESW262165 FCS262154:FCS262165 FMO262154:FMO262165 FWK262154:FWK262165 GGG262154:GGG262165 GQC262154:GQC262165 GZY262154:GZY262165 HJU262154:HJU262165 HTQ262154:HTQ262165 IDM262154:IDM262165 INI262154:INI262165 IXE262154:IXE262165 JHA262154:JHA262165 JQW262154:JQW262165 KAS262154:KAS262165 KKO262154:KKO262165 KUK262154:KUK262165 LEG262154:LEG262165 LOC262154:LOC262165 LXY262154:LXY262165 MHU262154:MHU262165 MRQ262154:MRQ262165 NBM262154:NBM262165 NLI262154:NLI262165 NVE262154:NVE262165 OFA262154:OFA262165 OOW262154:OOW262165 OYS262154:OYS262165 PIO262154:PIO262165 PSK262154:PSK262165 QCG262154:QCG262165 QMC262154:QMC262165 QVY262154:QVY262165 RFU262154:RFU262165 RPQ262154:RPQ262165 RZM262154:RZM262165 SJI262154:SJI262165 STE262154:STE262165 TDA262154:TDA262165 TMW262154:TMW262165 TWS262154:TWS262165 UGO262154:UGO262165 UQK262154:UQK262165 VAG262154:VAG262165 VKC262154:VKC262165 VTY262154:VTY262165 WDU262154:WDU262165 WNQ262154:WNQ262165 WXM262154:WXM262165 BE327690:BE327701 LA327690:LA327701 UW327690:UW327701 AES327690:AES327701 AOO327690:AOO327701 AYK327690:AYK327701 BIG327690:BIG327701 BSC327690:BSC327701 CBY327690:CBY327701 CLU327690:CLU327701 CVQ327690:CVQ327701 DFM327690:DFM327701 DPI327690:DPI327701 DZE327690:DZE327701 EJA327690:EJA327701 ESW327690:ESW327701 FCS327690:FCS327701 FMO327690:FMO327701 FWK327690:FWK327701 GGG327690:GGG327701 GQC327690:GQC327701 GZY327690:GZY327701 HJU327690:HJU327701 HTQ327690:HTQ327701 IDM327690:IDM327701 INI327690:INI327701 IXE327690:IXE327701 JHA327690:JHA327701 JQW327690:JQW327701 KAS327690:KAS327701 KKO327690:KKO327701 KUK327690:KUK327701 LEG327690:LEG327701 LOC327690:LOC327701 LXY327690:LXY327701 MHU327690:MHU327701 MRQ327690:MRQ327701 NBM327690:NBM327701 NLI327690:NLI327701 NVE327690:NVE327701 OFA327690:OFA327701 OOW327690:OOW327701 OYS327690:OYS327701 PIO327690:PIO327701 PSK327690:PSK327701 QCG327690:QCG327701 QMC327690:QMC327701 QVY327690:QVY327701 RFU327690:RFU327701 RPQ327690:RPQ327701 RZM327690:RZM327701 SJI327690:SJI327701 STE327690:STE327701 TDA327690:TDA327701 TMW327690:TMW327701 TWS327690:TWS327701 UGO327690:UGO327701 UQK327690:UQK327701 VAG327690:VAG327701 VKC327690:VKC327701 VTY327690:VTY327701 WDU327690:WDU327701 WNQ327690:WNQ327701 WXM327690:WXM327701 BE393226:BE393237 LA393226:LA393237 UW393226:UW393237 AES393226:AES393237 AOO393226:AOO393237 AYK393226:AYK393237 BIG393226:BIG393237 BSC393226:BSC393237 CBY393226:CBY393237 CLU393226:CLU393237 CVQ393226:CVQ393237 DFM393226:DFM393237 DPI393226:DPI393237 DZE393226:DZE393237 EJA393226:EJA393237 ESW393226:ESW393237 FCS393226:FCS393237 FMO393226:FMO393237 FWK393226:FWK393237 GGG393226:GGG393237 GQC393226:GQC393237 GZY393226:GZY393237 HJU393226:HJU393237 HTQ393226:HTQ393237 IDM393226:IDM393237 INI393226:INI393237 IXE393226:IXE393237 JHA393226:JHA393237 JQW393226:JQW393237 KAS393226:KAS393237 KKO393226:KKO393237 KUK393226:KUK393237 LEG393226:LEG393237 LOC393226:LOC393237 LXY393226:LXY393237 MHU393226:MHU393237 MRQ393226:MRQ393237 NBM393226:NBM393237 NLI393226:NLI393237 NVE393226:NVE393237 OFA393226:OFA393237 OOW393226:OOW393237 OYS393226:OYS393237 PIO393226:PIO393237 PSK393226:PSK393237 QCG393226:QCG393237 QMC393226:QMC393237 QVY393226:QVY393237 RFU393226:RFU393237 RPQ393226:RPQ393237 RZM393226:RZM393237 SJI393226:SJI393237 STE393226:STE393237 TDA393226:TDA393237 TMW393226:TMW393237 TWS393226:TWS393237 UGO393226:UGO393237 UQK393226:UQK393237 VAG393226:VAG393237 VKC393226:VKC393237 VTY393226:VTY393237 WDU393226:WDU393237 WNQ393226:WNQ393237 WXM393226:WXM393237 BE458762:BE458773 LA458762:LA458773 UW458762:UW458773 AES458762:AES458773 AOO458762:AOO458773 AYK458762:AYK458773 BIG458762:BIG458773 BSC458762:BSC458773 CBY458762:CBY458773 CLU458762:CLU458773 CVQ458762:CVQ458773 DFM458762:DFM458773 DPI458762:DPI458773 DZE458762:DZE458773 EJA458762:EJA458773 ESW458762:ESW458773 FCS458762:FCS458773 FMO458762:FMO458773 FWK458762:FWK458773 GGG458762:GGG458773 GQC458762:GQC458773 GZY458762:GZY458773 HJU458762:HJU458773 HTQ458762:HTQ458773 IDM458762:IDM458773 INI458762:INI458773 IXE458762:IXE458773 JHA458762:JHA458773 JQW458762:JQW458773 KAS458762:KAS458773 KKO458762:KKO458773 KUK458762:KUK458773 LEG458762:LEG458773 LOC458762:LOC458773 LXY458762:LXY458773 MHU458762:MHU458773 MRQ458762:MRQ458773 NBM458762:NBM458773 NLI458762:NLI458773 NVE458762:NVE458773 OFA458762:OFA458773 OOW458762:OOW458773 OYS458762:OYS458773 PIO458762:PIO458773 PSK458762:PSK458773 QCG458762:QCG458773 QMC458762:QMC458773 QVY458762:QVY458773 RFU458762:RFU458773 RPQ458762:RPQ458773 RZM458762:RZM458773 SJI458762:SJI458773 STE458762:STE458773 TDA458762:TDA458773 TMW458762:TMW458773 TWS458762:TWS458773 UGO458762:UGO458773 UQK458762:UQK458773 VAG458762:VAG458773 VKC458762:VKC458773 VTY458762:VTY458773 WDU458762:WDU458773 WNQ458762:WNQ458773 WXM458762:WXM458773 BE524298:BE524309 LA524298:LA524309 UW524298:UW524309 AES524298:AES524309 AOO524298:AOO524309 AYK524298:AYK524309 BIG524298:BIG524309 BSC524298:BSC524309 CBY524298:CBY524309 CLU524298:CLU524309 CVQ524298:CVQ524309 DFM524298:DFM524309 DPI524298:DPI524309 DZE524298:DZE524309 EJA524298:EJA524309 ESW524298:ESW524309 FCS524298:FCS524309 FMO524298:FMO524309 FWK524298:FWK524309 GGG524298:GGG524309 GQC524298:GQC524309 GZY524298:GZY524309 HJU524298:HJU524309 HTQ524298:HTQ524309 IDM524298:IDM524309 INI524298:INI524309 IXE524298:IXE524309 JHA524298:JHA524309 JQW524298:JQW524309 KAS524298:KAS524309 KKO524298:KKO524309 KUK524298:KUK524309 LEG524298:LEG524309 LOC524298:LOC524309 LXY524298:LXY524309 MHU524298:MHU524309 MRQ524298:MRQ524309 NBM524298:NBM524309 NLI524298:NLI524309 NVE524298:NVE524309 OFA524298:OFA524309 OOW524298:OOW524309 OYS524298:OYS524309 PIO524298:PIO524309 PSK524298:PSK524309 QCG524298:QCG524309 QMC524298:QMC524309 QVY524298:QVY524309 RFU524298:RFU524309 RPQ524298:RPQ524309 RZM524298:RZM524309 SJI524298:SJI524309 STE524298:STE524309 TDA524298:TDA524309 TMW524298:TMW524309 TWS524298:TWS524309 UGO524298:UGO524309 UQK524298:UQK524309 VAG524298:VAG524309 VKC524298:VKC524309 VTY524298:VTY524309 WDU524298:WDU524309 WNQ524298:WNQ524309 WXM524298:WXM524309 BE589834:BE589845 LA589834:LA589845 UW589834:UW589845 AES589834:AES589845 AOO589834:AOO589845 AYK589834:AYK589845 BIG589834:BIG589845 BSC589834:BSC589845 CBY589834:CBY589845 CLU589834:CLU589845 CVQ589834:CVQ589845 DFM589834:DFM589845 DPI589834:DPI589845 DZE589834:DZE589845 EJA589834:EJA589845 ESW589834:ESW589845 FCS589834:FCS589845 FMO589834:FMO589845 FWK589834:FWK589845 GGG589834:GGG589845 GQC589834:GQC589845 GZY589834:GZY589845 HJU589834:HJU589845 HTQ589834:HTQ589845 IDM589834:IDM589845 INI589834:INI589845 IXE589834:IXE589845 JHA589834:JHA589845 JQW589834:JQW589845 KAS589834:KAS589845 KKO589834:KKO589845 KUK589834:KUK589845 LEG589834:LEG589845 LOC589834:LOC589845 LXY589834:LXY589845 MHU589834:MHU589845 MRQ589834:MRQ589845 NBM589834:NBM589845 NLI589834:NLI589845 NVE589834:NVE589845 OFA589834:OFA589845 OOW589834:OOW589845 OYS589834:OYS589845 PIO589834:PIO589845 PSK589834:PSK589845 QCG589834:QCG589845 QMC589834:QMC589845 QVY589834:QVY589845 RFU589834:RFU589845 RPQ589834:RPQ589845 RZM589834:RZM589845 SJI589834:SJI589845 STE589834:STE589845 TDA589834:TDA589845 TMW589834:TMW589845 TWS589834:TWS589845 UGO589834:UGO589845 UQK589834:UQK589845 VAG589834:VAG589845 VKC589834:VKC589845 VTY589834:VTY589845 WDU589834:WDU589845 WNQ589834:WNQ589845 WXM589834:WXM589845 BE655370:BE655381 LA655370:LA655381 UW655370:UW655381 AES655370:AES655381 AOO655370:AOO655381 AYK655370:AYK655381 BIG655370:BIG655381 BSC655370:BSC655381 CBY655370:CBY655381 CLU655370:CLU655381 CVQ655370:CVQ655381 DFM655370:DFM655381 DPI655370:DPI655381 DZE655370:DZE655381 EJA655370:EJA655381 ESW655370:ESW655381 FCS655370:FCS655381 FMO655370:FMO655381 FWK655370:FWK655381 GGG655370:GGG655381 GQC655370:GQC655381 GZY655370:GZY655381 HJU655370:HJU655381 HTQ655370:HTQ655381 IDM655370:IDM655381 INI655370:INI655381 IXE655370:IXE655381 JHA655370:JHA655381 JQW655370:JQW655381 KAS655370:KAS655381 KKO655370:KKO655381 KUK655370:KUK655381 LEG655370:LEG655381 LOC655370:LOC655381 LXY655370:LXY655381 MHU655370:MHU655381 MRQ655370:MRQ655381 NBM655370:NBM655381 NLI655370:NLI655381 NVE655370:NVE655381 OFA655370:OFA655381 OOW655370:OOW655381 OYS655370:OYS655381 PIO655370:PIO655381 PSK655370:PSK655381 QCG655370:QCG655381 QMC655370:QMC655381 QVY655370:QVY655381 RFU655370:RFU655381 RPQ655370:RPQ655381 RZM655370:RZM655381 SJI655370:SJI655381 STE655370:STE655381 TDA655370:TDA655381 TMW655370:TMW655381 TWS655370:TWS655381 UGO655370:UGO655381 UQK655370:UQK655381 VAG655370:VAG655381 VKC655370:VKC655381 VTY655370:VTY655381 WDU655370:WDU655381 WNQ655370:WNQ655381 WXM655370:WXM655381 BE720906:BE720917 LA720906:LA720917 UW720906:UW720917 AES720906:AES720917 AOO720906:AOO720917 AYK720906:AYK720917 BIG720906:BIG720917 BSC720906:BSC720917 CBY720906:CBY720917 CLU720906:CLU720917 CVQ720906:CVQ720917 DFM720906:DFM720917 DPI720906:DPI720917 DZE720906:DZE720917 EJA720906:EJA720917 ESW720906:ESW720917 FCS720906:FCS720917 FMO720906:FMO720917 FWK720906:FWK720917 GGG720906:GGG720917 GQC720906:GQC720917 GZY720906:GZY720917 HJU720906:HJU720917 HTQ720906:HTQ720917 IDM720906:IDM720917 INI720906:INI720917 IXE720906:IXE720917 JHA720906:JHA720917 JQW720906:JQW720917 KAS720906:KAS720917 KKO720906:KKO720917 KUK720906:KUK720917 LEG720906:LEG720917 LOC720906:LOC720917 LXY720906:LXY720917 MHU720906:MHU720917 MRQ720906:MRQ720917 NBM720906:NBM720917 NLI720906:NLI720917 NVE720906:NVE720917 OFA720906:OFA720917 OOW720906:OOW720917 OYS720906:OYS720917 PIO720906:PIO720917 PSK720906:PSK720917 QCG720906:QCG720917 QMC720906:QMC720917 QVY720906:QVY720917 RFU720906:RFU720917 RPQ720906:RPQ720917 RZM720906:RZM720917 SJI720906:SJI720917 STE720906:STE720917 TDA720906:TDA720917 TMW720906:TMW720917 TWS720906:TWS720917 UGO720906:UGO720917 UQK720906:UQK720917 VAG720906:VAG720917 VKC720906:VKC720917 VTY720906:VTY720917 WDU720906:WDU720917 WNQ720906:WNQ720917 WXM720906:WXM720917 BE786442:BE786453 LA786442:LA786453 UW786442:UW786453 AES786442:AES786453 AOO786442:AOO786453 AYK786442:AYK786453 BIG786442:BIG786453 BSC786442:BSC786453 CBY786442:CBY786453 CLU786442:CLU786453 CVQ786442:CVQ786453 DFM786442:DFM786453 DPI786442:DPI786453 DZE786442:DZE786453 EJA786442:EJA786453 ESW786442:ESW786453 FCS786442:FCS786453 FMO786442:FMO786453 FWK786442:FWK786453 GGG786442:GGG786453 GQC786442:GQC786453 GZY786442:GZY786453 HJU786442:HJU786453 HTQ786442:HTQ786453 IDM786442:IDM786453 INI786442:INI786453 IXE786442:IXE786453 JHA786442:JHA786453 JQW786442:JQW786453 KAS786442:KAS786453 KKO786442:KKO786453 KUK786442:KUK786453 LEG786442:LEG786453 LOC786442:LOC786453 LXY786442:LXY786453 MHU786442:MHU786453 MRQ786442:MRQ786453 NBM786442:NBM786453 NLI786442:NLI786453 NVE786442:NVE786453 OFA786442:OFA786453 OOW786442:OOW786453 OYS786442:OYS786453 PIO786442:PIO786453 PSK786442:PSK786453 QCG786442:QCG786453 QMC786442:QMC786453 QVY786442:QVY786453 RFU786442:RFU786453 RPQ786442:RPQ786453 RZM786442:RZM786453 SJI786442:SJI786453 STE786442:STE786453 TDA786442:TDA786453 TMW786442:TMW786453 TWS786442:TWS786453 UGO786442:UGO786453 UQK786442:UQK786453 VAG786442:VAG786453 VKC786442:VKC786453 VTY786442:VTY786453 WDU786442:WDU786453 WNQ786442:WNQ786453 WXM786442:WXM786453 BE851978:BE851989 LA851978:LA851989 UW851978:UW851989 AES851978:AES851989 AOO851978:AOO851989 AYK851978:AYK851989 BIG851978:BIG851989 BSC851978:BSC851989 CBY851978:CBY851989 CLU851978:CLU851989 CVQ851978:CVQ851989 DFM851978:DFM851989 DPI851978:DPI851989 DZE851978:DZE851989 EJA851978:EJA851989 ESW851978:ESW851989 FCS851978:FCS851989 FMO851978:FMO851989 FWK851978:FWK851989 GGG851978:GGG851989 GQC851978:GQC851989 GZY851978:GZY851989 HJU851978:HJU851989 HTQ851978:HTQ851989 IDM851978:IDM851989 INI851978:INI851989 IXE851978:IXE851989 JHA851978:JHA851989 JQW851978:JQW851989 KAS851978:KAS851989 KKO851978:KKO851989 KUK851978:KUK851989 LEG851978:LEG851989 LOC851978:LOC851989 LXY851978:LXY851989 MHU851978:MHU851989 MRQ851978:MRQ851989 NBM851978:NBM851989 NLI851978:NLI851989 NVE851978:NVE851989 OFA851978:OFA851989 OOW851978:OOW851989 OYS851978:OYS851989 PIO851978:PIO851989 PSK851978:PSK851989 QCG851978:QCG851989 QMC851978:QMC851989 QVY851978:QVY851989 RFU851978:RFU851989 RPQ851978:RPQ851989 RZM851978:RZM851989 SJI851978:SJI851989 STE851978:STE851989 TDA851978:TDA851989 TMW851978:TMW851989 TWS851978:TWS851989 UGO851978:UGO851989 UQK851978:UQK851989 VAG851978:VAG851989 VKC851978:VKC851989 VTY851978:VTY851989 WDU851978:WDU851989 WNQ851978:WNQ851989 WXM851978:WXM851989 BE917514:BE917525 LA917514:LA917525 UW917514:UW917525 AES917514:AES917525 AOO917514:AOO917525 AYK917514:AYK917525 BIG917514:BIG917525 BSC917514:BSC917525 CBY917514:CBY917525 CLU917514:CLU917525 CVQ917514:CVQ917525 DFM917514:DFM917525 DPI917514:DPI917525 DZE917514:DZE917525 EJA917514:EJA917525 ESW917514:ESW917525 FCS917514:FCS917525 FMO917514:FMO917525 FWK917514:FWK917525 GGG917514:GGG917525 GQC917514:GQC917525 GZY917514:GZY917525 HJU917514:HJU917525 HTQ917514:HTQ917525 IDM917514:IDM917525 INI917514:INI917525 IXE917514:IXE917525 JHA917514:JHA917525 JQW917514:JQW917525 KAS917514:KAS917525 KKO917514:KKO917525 KUK917514:KUK917525 LEG917514:LEG917525 LOC917514:LOC917525 LXY917514:LXY917525 MHU917514:MHU917525 MRQ917514:MRQ917525 NBM917514:NBM917525 NLI917514:NLI917525 NVE917514:NVE917525 OFA917514:OFA917525 OOW917514:OOW917525 OYS917514:OYS917525 PIO917514:PIO917525 PSK917514:PSK917525 QCG917514:QCG917525 QMC917514:QMC917525 QVY917514:QVY917525 RFU917514:RFU917525 RPQ917514:RPQ917525 RZM917514:RZM917525 SJI917514:SJI917525 STE917514:STE917525 TDA917514:TDA917525 TMW917514:TMW917525 TWS917514:TWS917525 UGO917514:UGO917525 UQK917514:UQK917525 VAG917514:VAG917525 VKC917514:VKC917525 VTY917514:VTY917525 WDU917514:WDU917525 WNQ917514:WNQ917525 WXM917514:WXM917525 BE983050:BE983061 LA983050:LA983061 UW983050:UW983061 AES983050:AES983061 AOO983050:AOO983061 AYK983050:AYK983061 BIG983050:BIG983061 BSC983050:BSC983061 CBY983050:CBY983061 CLU983050:CLU983061 CVQ983050:CVQ983061 DFM983050:DFM983061 DPI983050:DPI983061 DZE983050:DZE983061 EJA983050:EJA983061 ESW983050:ESW983061 FCS983050:FCS983061 FMO983050:FMO983061 FWK983050:FWK983061 GGG983050:GGG983061 GQC983050:GQC983061 GZY983050:GZY983061 HJU983050:HJU983061 HTQ983050:HTQ983061 IDM983050:IDM983061 INI983050:INI983061 IXE983050:IXE983061 JHA983050:JHA983061 JQW983050:JQW983061 KAS983050:KAS983061 KKO983050:KKO983061 KUK983050:KUK983061 LEG983050:LEG983061 LOC983050:LOC983061 LXY983050:LXY983061 MHU983050:MHU983061 MRQ983050:MRQ983061 NBM983050:NBM983061 NLI983050:NLI983061 NVE983050:NVE983061 OFA983050:OFA983061 OOW983050:OOW983061 OYS983050:OYS983061 PIO983050:PIO983061 PSK983050:PSK983061 QCG983050:QCG983061 QMC983050:QMC983061 QVY983050:QVY983061 RFU983050:RFU983061 RPQ983050:RPQ983061 RZM983050:RZM983061 SJI983050:SJI983061 STE983050:STE983061 TDA983050:TDA983061 TMW983050:TMW983061 TWS983050:TWS983061 UGO983050:UGO983061 UQK983050:UQK983061 VAG983050:VAG983061 VKC983050:VKC983061 VTY983050:VTY983061 WDU983050:WDU983061 WNQ983050:WNQ983061 WXM983050:WXM983061">
      <formula1>Efectividad</formula1>
    </dataValidation>
    <dataValidation type="list" allowBlank="1" showInputMessage="1" sqref="AV10:AV21 KR10:KR21 UN10:UN21 AEJ10:AEJ21 AOF10:AOF21 AYB10:AYB21 BHX10:BHX21 BRT10:BRT21 CBP10:CBP21 CLL10:CLL21 CVH10:CVH21 DFD10:DFD21 DOZ10:DOZ21 DYV10:DYV21 EIR10:EIR21 ESN10:ESN21 FCJ10:FCJ21 FMF10:FMF21 FWB10:FWB21 GFX10:GFX21 GPT10:GPT21 GZP10:GZP21 HJL10:HJL21 HTH10:HTH21 IDD10:IDD21 IMZ10:IMZ21 IWV10:IWV21 JGR10:JGR21 JQN10:JQN21 KAJ10:KAJ21 KKF10:KKF21 KUB10:KUB21 LDX10:LDX21 LNT10:LNT21 LXP10:LXP21 MHL10:MHL21 MRH10:MRH21 NBD10:NBD21 NKZ10:NKZ21 NUV10:NUV21 OER10:OER21 OON10:OON21 OYJ10:OYJ21 PIF10:PIF21 PSB10:PSB21 QBX10:QBX21 QLT10:QLT21 QVP10:QVP21 RFL10:RFL21 RPH10:RPH21 RZD10:RZD21 SIZ10:SIZ21 SSV10:SSV21 TCR10:TCR21 TMN10:TMN21 TWJ10:TWJ21 UGF10:UGF21 UQB10:UQB21 UZX10:UZX21 VJT10:VJT21 VTP10:VTP21 WDL10:WDL21 WNH10:WNH21 WXD10:WXD21 AV65546:AV65557 KR65546:KR65557 UN65546:UN65557 AEJ65546:AEJ65557 AOF65546:AOF65557 AYB65546:AYB65557 BHX65546:BHX65557 BRT65546:BRT65557 CBP65546:CBP65557 CLL65546:CLL65557 CVH65546:CVH65557 DFD65546:DFD65557 DOZ65546:DOZ65557 DYV65546:DYV65557 EIR65546:EIR65557 ESN65546:ESN65557 FCJ65546:FCJ65557 FMF65546:FMF65557 FWB65546:FWB65557 GFX65546:GFX65557 GPT65546:GPT65557 GZP65546:GZP65557 HJL65546:HJL65557 HTH65546:HTH65557 IDD65546:IDD65557 IMZ65546:IMZ65557 IWV65546:IWV65557 JGR65546:JGR65557 JQN65546:JQN65557 KAJ65546:KAJ65557 KKF65546:KKF65557 KUB65546:KUB65557 LDX65546:LDX65557 LNT65546:LNT65557 LXP65546:LXP65557 MHL65546:MHL65557 MRH65546:MRH65557 NBD65546:NBD65557 NKZ65546:NKZ65557 NUV65546:NUV65557 OER65546:OER65557 OON65546:OON65557 OYJ65546:OYJ65557 PIF65546:PIF65557 PSB65546:PSB65557 QBX65546:QBX65557 QLT65546:QLT65557 QVP65546:QVP65557 RFL65546:RFL65557 RPH65546:RPH65557 RZD65546:RZD65557 SIZ65546:SIZ65557 SSV65546:SSV65557 TCR65546:TCR65557 TMN65546:TMN65557 TWJ65546:TWJ65557 UGF65546:UGF65557 UQB65546:UQB65557 UZX65546:UZX65557 VJT65546:VJT65557 VTP65546:VTP65557 WDL65546:WDL65557 WNH65546:WNH65557 WXD65546:WXD65557 AV131082:AV131093 KR131082:KR131093 UN131082:UN131093 AEJ131082:AEJ131093 AOF131082:AOF131093 AYB131082:AYB131093 BHX131082:BHX131093 BRT131082:BRT131093 CBP131082:CBP131093 CLL131082:CLL131093 CVH131082:CVH131093 DFD131082:DFD131093 DOZ131082:DOZ131093 DYV131082:DYV131093 EIR131082:EIR131093 ESN131082:ESN131093 FCJ131082:FCJ131093 FMF131082:FMF131093 FWB131082:FWB131093 GFX131082:GFX131093 GPT131082:GPT131093 GZP131082:GZP131093 HJL131082:HJL131093 HTH131082:HTH131093 IDD131082:IDD131093 IMZ131082:IMZ131093 IWV131082:IWV131093 JGR131082:JGR131093 JQN131082:JQN131093 KAJ131082:KAJ131093 KKF131082:KKF131093 KUB131082:KUB131093 LDX131082:LDX131093 LNT131082:LNT131093 LXP131082:LXP131093 MHL131082:MHL131093 MRH131082:MRH131093 NBD131082:NBD131093 NKZ131082:NKZ131093 NUV131082:NUV131093 OER131082:OER131093 OON131082:OON131093 OYJ131082:OYJ131093 PIF131082:PIF131093 PSB131082:PSB131093 QBX131082:QBX131093 QLT131082:QLT131093 QVP131082:QVP131093 RFL131082:RFL131093 RPH131082:RPH131093 RZD131082:RZD131093 SIZ131082:SIZ131093 SSV131082:SSV131093 TCR131082:TCR131093 TMN131082:TMN131093 TWJ131082:TWJ131093 UGF131082:UGF131093 UQB131082:UQB131093 UZX131082:UZX131093 VJT131082:VJT131093 VTP131082:VTP131093 WDL131082:WDL131093 WNH131082:WNH131093 WXD131082:WXD131093 AV196618:AV196629 KR196618:KR196629 UN196618:UN196629 AEJ196618:AEJ196629 AOF196618:AOF196629 AYB196618:AYB196629 BHX196618:BHX196629 BRT196618:BRT196629 CBP196618:CBP196629 CLL196618:CLL196629 CVH196618:CVH196629 DFD196618:DFD196629 DOZ196618:DOZ196629 DYV196618:DYV196629 EIR196618:EIR196629 ESN196618:ESN196629 FCJ196618:FCJ196629 FMF196618:FMF196629 FWB196618:FWB196629 GFX196618:GFX196629 GPT196618:GPT196629 GZP196618:GZP196629 HJL196618:HJL196629 HTH196618:HTH196629 IDD196618:IDD196629 IMZ196618:IMZ196629 IWV196618:IWV196629 JGR196618:JGR196629 JQN196618:JQN196629 KAJ196618:KAJ196629 KKF196618:KKF196629 KUB196618:KUB196629 LDX196618:LDX196629 LNT196618:LNT196629 LXP196618:LXP196629 MHL196618:MHL196629 MRH196618:MRH196629 NBD196618:NBD196629 NKZ196618:NKZ196629 NUV196618:NUV196629 OER196618:OER196629 OON196618:OON196629 OYJ196618:OYJ196629 PIF196618:PIF196629 PSB196618:PSB196629 QBX196618:QBX196629 QLT196618:QLT196629 QVP196618:QVP196629 RFL196618:RFL196629 RPH196618:RPH196629 RZD196618:RZD196629 SIZ196618:SIZ196629 SSV196618:SSV196629 TCR196618:TCR196629 TMN196618:TMN196629 TWJ196618:TWJ196629 UGF196618:UGF196629 UQB196618:UQB196629 UZX196618:UZX196629 VJT196618:VJT196629 VTP196618:VTP196629 WDL196618:WDL196629 WNH196618:WNH196629 WXD196618:WXD196629 AV262154:AV262165 KR262154:KR262165 UN262154:UN262165 AEJ262154:AEJ262165 AOF262154:AOF262165 AYB262154:AYB262165 BHX262154:BHX262165 BRT262154:BRT262165 CBP262154:CBP262165 CLL262154:CLL262165 CVH262154:CVH262165 DFD262154:DFD262165 DOZ262154:DOZ262165 DYV262154:DYV262165 EIR262154:EIR262165 ESN262154:ESN262165 FCJ262154:FCJ262165 FMF262154:FMF262165 FWB262154:FWB262165 GFX262154:GFX262165 GPT262154:GPT262165 GZP262154:GZP262165 HJL262154:HJL262165 HTH262154:HTH262165 IDD262154:IDD262165 IMZ262154:IMZ262165 IWV262154:IWV262165 JGR262154:JGR262165 JQN262154:JQN262165 KAJ262154:KAJ262165 KKF262154:KKF262165 KUB262154:KUB262165 LDX262154:LDX262165 LNT262154:LNT262165 LXP262154:LXP262165 MHL262154:MHL262165 MRH262154:MRH262165 NBD262154:NBD262165 NKZ262154:NKZ262165 NUV262154:NUV262165 OER262154:OER262165 OON262154:OON262165 OYJ262154:OYJ262165 PIF262154:PIF262165 PSB262154:PSB262165 QBX262154:QBX262165 QLT262154:QLT262165 QVP262154:QVP262165 RFL262154:RFL262165 RPH262154:RPH262165 RZD262154:RZD262165 SIZ262154:SIZ262165 SSV262154:SSV262165 TCR262154:TCR262165 TMN262154:TMN262165 TWJ262154:TWJ262165 UGF262154:UGF262165 UQB262154:UQB262165 UZX262154:UZX262165 VJT262154:VJT262165 VTP262154:VTP262165 WDL262154:WDL262165 WNH262154:WNH262165 WXD262154:WXD262165 AV327690:AV327701 KR327690:KR327701 UN327690:UN327701 AEJ327690:AEJ327701 AOF327690:AOF327701 AYB327690:AYB327701 BHX327690:BHX327701 BRT327690:BRT327701 CBP327690:CBP327701 CLL327690:CLL327701 CVH327690:CVH327701 DFD327690:DFD327701 DOZ327690:DOZ327701 DYV327690:DYV327701 EIR327690:EIR327701 ESN327690:ESN327701 FCJ327690:FCJ327701 FMF327690:FMF327701 FWB327690:FWB327701 GFX327690:GFX327701 GPT327690:GPT327701 GZP327690:GZP327701 HJL327690:HJL327701 HTH327690:HTH327701 IDD327690:IDD327701 IMZ327690:IMZ327701 IWV327690:IWV327701 JGR327690:JGR327701 JQN327690:JQN327701 KAJ327690:KAJ327701 KKF327690:KKF327701 KUB327690:KUB327701 LDX327690:LDX327701 LNT327690:LNT327701 LXP327690:LXP327701 MHL327690:MHL327701 MRH327690:MRH327701 NBD327690:NBD327701 NKZ327690:NKZ327701 NUV327690:NUV327701 OER327690:OER327701 OON327690:OON327701 OYJ327690:OYJ327701 PIF327690:PIF327701 PSB327690:PSB327701 QBX327690:QBX327701 QLT327690:QLT327701 QVP327690:QVP327701 RFL327690:RFL327701 RPH327690:RPH327701 RZD327690:RZD327701 SIZ327690:SIZ327701 SSV327690:SSV327701 TCR327690:TCR327701 TMN327690:TMN327701 TWJ327690:TWJ327701 UGF327690:UGF327701 UQB327690:UQB327701 UZX327690:UZX327701 VJT327690:VJT327701 VTP327690:VTP327701 WDL327690:WDL327701 WNH327690:WNH327701 WXD327690:WXD327701 AV393226:AV393237 KR393226:KR393237 UN393226:UN393237 AEJ393226:AEJ393237 AOF393226:AOF393237 AYB393226:AYB393237 BHX393226:BHX393237 BRT393226:BRT393237 CBP393226:CBP393237 CLL393226:CLL393237 CVH393226:CVH393237 DFD393226:DFD393237 DOZ393226:DOZ393237 DYV393226:DYV393237 EIR393226:EIR393237 ESN393226:ESN393237 FCJ393226:FCJ393237 FMF393226:FMF393237 FWB393226:FWB393237 GFX393226:GFX393237 GPT393226:GPT393237 GZP393226:GZP393237 HJL393226:HJL393237 HTH393226:HTH393237 IDD393226:IDD393237 IMZ393226:IMZ393237 IWV393226:IWV393237 JGR393226:JGR393237 JQN393226:JQN393237 KAJ393226:KAJ393237 KKF393226:KKF393237 KUB393226:KUB393237 LDX393226:LDX393237 LNT393226:LNT393237 LXP393226:LXP393237 MHL393226:MHL393237 MRH393226:MRH393237 NBD393226:NBD393237 NKZ393226:NKZ393237 NUV393226:NUV393237 OER393226:OER393237 OON393226:OON393237 OYJ393226:OYJ393237 PIF393226:PIF393237 PSB393226:PSB393237 QBX393226:QBX393237 QLT393226:QLT393237 QVP393226:QVP393237 RFL393226:RFL393237 RPH393226:RPH393237 RZD393226:RZD393237 SIZ393226:SIZ393237 SSV393226:SSV393237 TCR393226:TCR393237 TMN393226:TMN393237 TWJ393226:TWJ393237 UGF393226:UGF393237 UQB393226:UQB393237 UZX393226:UZX393237 VJT393226:VJT393237 VTP393226:VTP393237 WDL393226:WDL393237 WNH393226:WNH393237 WXD393226:WXD393237 AV458762:AV458773 KR458762:KR458773 UN458762:UN458773 AEJ458762:AEJ458773 AOF458762:AOF458773 AYB458762:AYB458773 BHX458762:BHX458773 BRT458762:BRT458773 CBP458762:CBP458773 CLL458762:CLL458773 CVH458762:CVH458773 DFD458762:DFD458773 DOZ458762:DOZ458773 DYV458762:DYV458773 EIR458762:EIR458773 ESN458762:ESN458773 FCJ458762:FCJ458773 FMF458762:FMF458773 FWB458762:FWB458773 GFX458762:GFX458773 GPT458762:GPT458773 GZP458762:GZP458773 HJL458762:HJL458773 HTH458762:HTH458773 IDD458762:IDD458773 IMZ458762:IMZ458773 IWV458762:IWV458773 JGR458762:JGR458773 JQN458762:JQN458773 KAJ458762:KAJ458773 KKF458762:KKF458773 KUB458762:KUB458773 LDX458762:LDX458773 LNT458762:LNT458773 LXP458762:LXP458773 MHL458762:MHL458773 MRH458762:MRH458773 NBD458762:NBD458773 NKZ458762:NKZ458773 NUV458762:NUV458773 OER458762:OER458773 OON458762:OON458773 OYJ458762:OYJ458773 PIF458762:PIF458773 PSB458762:PSB458773 QBX458762:QBX458773 QLT458762:QLT458773 QVP458762:QVP458773 RFL458762:RFL458773 RPH458762:RPH458773 RZD458762:RZD458773 SIZ458762:SIZ458773 SSV458762:SSV458773 TCR458762:TCR458773 TMN458762:TMN458773 TWJ458762:TWJ458773 UGF458762:UGF458773 UQB458762:UQB458773 UZX458762:UZX458773 VJT458762:VJT458773 VTP458762:VTP458773 WDL458762:WDL458773 WNH458762:WNH458773 WXD458762:WXD458773 AV524298:AV524309 KR524298:KR524309 UN524298:UN524309 AEJ524298:AEJ524309 AOF524298:AOF524309 AYB524298:AYB524309 BHX524298:BHX524309 BRT524298:BRT524309 CBP524298:CBP524309 CLL524298:CLL524309 CVH524298:CVH524309 DFD524298:DFD524309 DOZ524298:DOZ524309 DYV524298:DYV524309 EIR524298:EIR524309 ESN524298:ESN524309 FCJ524298:FCJ524309 FMF524298:FMF524309 FWB524298:FWB524309 GFX524298:GFX524309 GPT524298:GPT524309 GZP524298:GZP524309 HJL524298:HJL524309 HTH524298:HTH524309 IDD524298:IDD524309 IMZ524298:IMZ524309 IWV524298:IWV524309 JGR524298:JGR524309 JQN524298:JQN524309 KAJ524298:KAJ524309 KKF524298:KKF524309 KUB524298:KUB524309 LDX524298:LDX524309 LNT524298:LNT524309 LXP524298:LXP524309 MHL524298:MHL524309 MRH524298:MRH524309 NBD524298:NBD524309 NKZ524298:NKZ524309 NUV524298:NUV524309 OER524298:OER524309 OON524298:OON524309 OYJ524298:OYJ524309 PIF524298:PIF524309 PSB524298:PSB524309 QBX524298:QBX524309 QLT524298:QLT524309 QVP524298:QVP524309 RFL524298:RFL524309 RPH524298:RPH524309 RZD524298:RZD524309 SIZ524298:SIZ524309 SSV524298:SSV524309 TCR524298:TCR524309 TMN524298:TMN524309 TWJ524298:TWJ524309 UGF524298:UGF524309 UQB524298:UQB524309 UZX524298:UZX524309 VJT524298:VJT524309 VTP524298:VTP524309 WDL524298:WDL524309 WNH524298:WNH524309 WXD524298:WXD524309 AV589834:AV589845 KR589834:KR589845 UN589834:UN589845 AEJ589834:AEJ589845 AOF589834:AOF589845 AYB589834:AYB589845 BHX589834:BHX589845 BRT589834:BRT589845 CBP589834:CBP589845 CLL589834:CLL589845 CVH589834:CVH589845 DFD589834:DFD589845 DOZ589834:DOZ589845 DYV589834:DYV589845 EIR589834:EIR589845 ESN589834:ESN589845 FCJ589834:FCJ589845 FMF589834:FMF589845 FWB589834:FWB589845 GFX589834:GFX589845 GPT589834:GPT589845 GZP589834:GZP589845 HJL589834:HJL589845 HTH589834:HTH589845 IDD589834:IDD589845 IMZ589834:IMZ589845 IWV589834:IWV589845 JGR589834:JGR589845 JQN589834:JQN589845 KAJ589834:KAJ589845 KKF589834:KKF589845 KUB589834:KUB589845 LDX589834:LDX589845 LNT589834:LNT589845 LXP589834:LXP589845 MHL589834:MHL589845 MRH589834:MRH589845 NBD589834:NBD589845 NKZ589834:NKZ589845 NUV589834:NUV589845 OER589834:OER589845 OON589834:OON589845 OYJ589834:OYJ589845 PIF589834:PIF589845 PSB589834:PSB589845 QBX589834:QBX589845 QLT589834:QLT589845 QVP589834:QVP589845 RFL589834:RFL589845 RPH589834:RPH589845 RZD589834:RZD589845 SIZ589834:SIZ589845 SSV589834:SSV589845 TCR589834:TCR589845 TMN589834:TMN589845 TWJ589834:TWJ589845 UGF589834:UGF589845 UQB589834:UQB589845 UZX589834:UZX589845 VJT589834:VJT589845 VTP589834:VTP589845 WDL589834:WDL589845 WNH589834:WNH589845 WXD589834:WXD589845 AV655370:AV655381 KR655370:KR655381 UN655370:UN655381 AEJ655370:AEJ655381 AOF655370:AOF655381 AYB655370:AYB655381 BHX655370:BHX655381 BRT655370:BRT655381 CBP655370:CBP655381 CLL655370:CLL655381 CVH655370:CVH655381 DFD655370:DFD655381 DOZ655370:DOZ655381 DYV655370:DYV655381 EIR655370:EIR655381 ESN655370:ESN655381 FCJ655370:FCJ655381 FMF655370:FMF655381 FWB655370:FWB655381 GFX655370:GFX655381 GPT655370:GPT655381 GZP655370:GZP655381 HJL655370:HJL655381 HTH655370:HTH655381 IDD655370:IDD655381 IMZ655370:IMZ655381 IWV655370:IWV655381 JGR655370:JGR655381 JQN655370:JQN655381 KAJ655370:KAJ655381 KKF655370:KKF655381 KUB655370:KUB655381 LDX655370:LDX655381 LNT655370:LNT655381 LXP655370:LXP655381 MHL655370:MHL655381 MRH655370:MRH655381 NBD655370:NBD655381 NKZ655370:NKZ655381 NUV655370:NUV655381 OER655370:OER655381 OON655370:OON655381 OYJ655370:OYJ655381 PIF655370:PIF655381 PSB655370:PSB655381 QBX655370:QBX655381 QLT655370:QLT655381 QVP655370:QVP655381 RFL655370:RFL655381 RPH655370:RPH655381 RZD655370:RZD655381 SIZ655370:SIZ655381 SSV655370:SSV655381 TCR655370:TCR655381 TMN655370:TMN655381 TWJ655370:TWJ655381 UGF655370:UGF655381 UQB655370:UQB655381 UZX655370:UZX655381 VJT655370:VJT655381 VTP655370:VTP655381 WDL655370:WDL655381 WNH655370:WNH655381 WXD655370:WXD655381 AV720906:AV720917 KR720906:KR720917 UN720906:UN720917 AEJ720906:AEJ720917 AOF720906:AOF720917 AYB720906:AYB720917 BHX720906:BHX720917 BRT720906:BRT720917 CBP720906:CBP720917 CLL720906:CLL720917 CVH720906:CVH720917 DFD720906:DFD720917 DOZ720906:DOZ720917 DYV720906:DYV720917 EIR720906:EIR720917 ESN720906:ESN720917 FCJ720906:FCJ720917 FMF720906:FMF720917 FWB720906:FWB720917 GFX720906:GFX720917 GPT720906:GPT720917 GZP720906:GZP720917 HJL720906:HJL720917 HTH720906:HTH720917 IDD720906:IDD720917 IMZ720906:IMZ720917 IWV720906:IWV720917 JGR720906:JGR720917 JQN720906:JQN720917 KAJ720906:KAJ720917 KKF720906:KKF720917 KUB720906:KUB720917 LDX720906:LDX720917 LNT720906:LNT720917 LXP720906:LXP720917 MHL720906:MHL720917 MRH720906:MRH720917 NBD720906:NBD720917 NKZ720906:NKZ720917 NUV720906:NUV720917 OER720906:OER720917 OON720906:OON720917 OYJ720906:OYJ720917 PIF720906:PIF720917 PSB720906:PSB720917 QBX720906:QBX720917 QLT720906:QLT720917 QVP720906:QVP720917 RFL720906:RFL720917 RPH720906:RPH720917 RZD720906:RZD720917 SIZ720906:SIZ720917 SSV720906:SSV720917 TCR720906:TCR720917 TMN720906:TMN720917 TWJ720906:TWJ720917 UGF720906:UGF720917 UQB720906:UQB720917 UZX720906:UZX720917 VJT720906:VJT720917 VTP720906:VTP720917 WDL720906:WDL720917 WNH720906:WNH720917 WXD720906:WXD720917 AV786442:AV786453 KR786442:KR786453 UN786442:UN786453 AEJ786442:AEJ786453 AOF786442:AOF786453 AYB786442:AYB786453 BHX786442:BHX786453 BRT786442:BRT786453 CBP786442:CBP786453 CLL786442:CLL786453 CVH786442:CVH786453 DFD786442:DFD786453 DOZ786442:DOZ786453 DYV786442:DYV786453 EIR786442:EIR786453 ESN786442:ESN786453 FCJ786442:FCJ786453 FMF786442:FMF786453 FWB786442:FWB786453 GFX786442:GFX786453 GPT786442:GPT786453 GZP786442:GZP786453 HJL786442:HJL786453 HTH786442:HTH786453 IDD786442:IDD786453 IMZ786442:IMZ786453 IWV786442:IWV786453 JGR786442:JGR786453 JQN786442:JQN786453 KAJ786442:KAJ786453 KKF786442:KKF786453 KUB786442:KUB786453 LDX786442:LDX786453 LNT786442:LNT786453 LXP786442:LXP786453 MHL786442:MHL786453 MRH786442:MRH786453 NBD786442:NBD786453 NKZ786442:NKZ786453 NUV786442:NUV786453 OER786442:OER786453 OON786442:OON786453 OYJ786442:OYJ786453 PIF786442:PIF786453 PSB786442:PSB786453 QBX786442:QBX786453 QLT786442:QLT786453 QVP786442:QVP786453 RFL786442:RFL786453 RPH786442:RPH786453 RZD786442:RZD786453 SIZ786442:SIZ786453 SSV786442:SSV786453 TCR786442:TCR786453 TMN786442:TMN786453 TWJ786442:TWJ786453 UGF786442:UGF786453 UQB786442:UQB786453 UZX786442:UZX786453 VJT786442:VJT786453 VTP786442:VTP786453 WDL786442:WDL786453 WNH786442:WNH786453 WXD786442:WXD786453 AV851978:AV851989 KR851978:KR851989 UN851978:UN851989 AEJ851978:AEJ851989 AOF851978:AOF851989 AYB851978:AYB851989 BHX851978:BHX851989 BRT851978:BRT851989 CBP851978:CBP851989 CLL851978:CLL851989 CVH851978:CVH851989 DFD851978:DFD851989 DOZ851978:DOZ851989 DYV851978:DYV851989 EIR851978:EIR851989 ESN851978:ESN851989 FCJ851978:FCJ851989 FMF851978:FMF851989 FWB851978:FWB851989 GFX851978:GFX851989 GPT851978:GPT851989 GZP851978:GZP851989 HJL851978:HJL851989 HTH851978:HTH851989 IDD851978:IDD851989 IMZ851978:IMZ851989 IWV851978:IWV851989 JGR851978:JGR851989 JQN851978:JQN851989 KAJ851978:KAJ851989 KKF851978:KKF851989 KUB851978:KUB851989 LDX851978:LDX851989 LNT851978:LNT851989 LXP851978:LXP851989 MHL851978:MHL851989 MRH851978:MRH851989 NBD851978:NBD851989 NKZ851978:NKZ851989 NUV851978:NUV851989 OER851978:OER851989 OON851978:OON851989 OYJ851978:OYJ851989 PIF851978:PIF851989 PSB851978:PSB851989 QBX851978:QBX851989 QLT851978:QLT851989 QVP851978:QVP851989 RFL851978:RFL851989 RPH851978:RPH851989 RZD851978:RZD851989 SIZ851978:SIZ851989 SSV851978:SSV851989 TCR851978:TCR851989 TMN851978:TMN851989 TWJ851978:TWJ851989 UGF851978:UGF851989 UQB851978:UQB851989 UZX851978:UZX851989 VJT851978:VJT851989 VTP851978:VTP851989 WDL851978:WDL851989 WNH851978:WNH851989 WXD851978:WXD851989 AV917514:AV917525 KR917514:KR917525 UN917514:UN917525 AEJ917514:AEJ917525 AOF917514:AOF917525 AYB917514:AYB917525 BHX917514:BHX917525 BRT917514:BRT917525 CBP917514:CBP917525 CLL917514:CLL917525 CVH917514:CVH917525 DFD917514:DFD917525 DOZ917514:DOZ917525 DYV917514:DYV917525 EIR917514:EIR917525 ESN917514:ESN917525 FCJ917514:FCJ917525 FMF917514:FMF917525 FWB917514:FWB917525 GFX917514:GFX917525 GPT917514:GPT917525 GZP917514:GZP917525 HJL917514:HJL917525 HTH917514:HTH917525 IDD917514:IDD917525 IMZ917514:IMZ917525 IWV917514:IWV917525 JGR917514:JGR917525 JQN917514:JQN917525 KAJ917514:KAJ917525 KKF917514:KKF917525 KUB917514:KUB917525 LDX917514:LDX917525 LNT917514:LNT917525 LXP917514:LXP917525 MHL917514:MHL917525 MRH917514:MRH917525 NBD917514:NBD917525 NKZ917514:NKZ917525 NUV917514:NUV917525 OER917514:OER917525 OON917514:OON917525 OYJ917514:OYJ917525 PIF917514:PIF917525 PSB917514:PSB917525 QBX917514:QBX917525 QLT917514:QLT917525 QVP917514:QVP917525 RFL917514:RFL917525 RPH917514:RPH917525 RZD917514:RZD917525 SIZ917514:SIZ917525 SSV917514:SSV917525 TCR917514:TCR917525 TMN917514:TMN917525 TWJ917514:TWJ917525 UGF917514:UGF917525 UQB917514:UQB917525 UZX917514:UZX917525 VJT917514:VJT917525 VTP917514:VTP917525 WDL917514:WDL917525 WNH917514:WNH917525 WXD917514:WXD917525 AV983050:AV983061 KR983050:KR983061 UN983050:UN983061 AEJ983050:AEJ983061 AOF983050:AOF983061 AYB983050:AYB983061 BHX983050:BHX983061 BRT983050:BRT983061 CBP983050:CBP983061 CLL983050:CLL983061 CVH983050:CVH983061 DFD983050:DFD983061 DOZ983050:DOZ983061 DYV983050:DYV983061 EIR983050:EIR983061 ESN983050:ESN983061 FCJ983050:FCJ983061 FMF983050:FMF983061 FWB983050:FWB983061 GFX983050:GFX983061 GPT983050:GPT983061 GZP983050:GZP983061 HJL983050:HJL983061 HTH983050:HTH983061 IDD983050:IDD983061 IMZ983050:IMZ983061 IWV983050:IWV983061 JGR983050:JGR983061 JQN983050:JQN983061 KAJ983050:KAJ983061 KKF983050:KKF983061 KUB983050:KUB983061 LDX983050:LDX983061 LNT983050:LNT983061 LXP983050:LXP983061 MHL983050:MHL983061 MRH983050:MRH983061 NBD983050:NBD983061 NKZ983050:NKZ983061 NUV983050:NUV983061 OER983050:OER983061 OON983050:OON983061 OYJ983050:OYJ983061 PIF983050:PIF983061 PSB983050:PSB983061 QBX983050:QBX983061 QLT983050:QLT983061 QVP983050:QVP983061 RFL983050:RFL983061 RPH983050:RPH983061 RZD983050:RZD983061 SIZ983050:SIZ983061 SSV983050:SSV983061 TCR983050:TCR983061 TMN983050:TMN983061 TWJ983050:TWJ983061 UGF983050:UGF983061 UQB983050:UQB983061 UZX983050:UZX983061 VJT983050:VJT983061 VTP983050:VTP983061 WDL983050:WDL983061 WNH983050:WNH983061 WXD983050:WXD983061">
      <formula1>Periodo</formula1>
    </dataValidation>
    <dataValidation type="list" showInputMessage="1" showErrorMessage="1" sqref="V10:AF21 JR10:KB21 TN10:TX21 ADJ10:ADT21 ANF10:ANP21 AXB10:AXL21 BGX10:BHH21 BQT10:BRD21 CAP10:CAZ21 CKL10:CKV21 CUH10:CUR21 DED10:DEN21 DNZ10:DOJ21 DXV10:DYF21 EHR10:EIB21 ERN10:ERX21 FBJ10:FBT21 FLF10:FLP21 FVB10:FVL21 GEX10:GFH21 GOT10:GPD21 GYP10:GYZ21 HIL10:HIV21 HSH10:HSR21 ICD10:ICN21 ILZ10:IMJ21 IVV10:IWF21 JFR10:JGB21 JPN10:JPX21 JZJ10:JZT21 KJF10:KJP21 KTB10:KTL21 LCX10:LDH21 LMT10:LND21 LWP10:LWZ21 MGL10:MGV21 MQH10:MQR21 NAD10:NAN21 NJZ10:NKJ21 NTV10:NUF21 ODR10:OEB21 ONN10:ONX21 OXJ10:OXT21 PHF10:PHP21 PRB10:PRL21 QAX10:QBH21 QKT10:QLD21 QUP10:QUZ21 REL10:REV21 ROH10:ROR21 RYD10:RYN21 SHZ10:SIJ21 SRV10:SSF21 TBR10:TCB21 TLN10:TLX21 TVJ10:TVT21 UFF10:UFP21 UPB10:UPL21 UYX10:UZH21 VIT10:VJD21 VSP10:VSZ21 WCL10:WCV21 WMH10:WMR21 WWD10:WWN21 V65546:AF65557 JR65546:KB65557 TN65546:TX65557 ADJ65546:ADT65557 ANF65546:ANP65557 AXB65546:AXL65557 BGX65546:BHH65557 BQT65546:BRD65557 CAP65546:CAZ65557 CKL65546:CKV65557 CUH65546:CUR65557 DED65546:DEN65557 DNZ65546:DOJ65557 DXV65546:DYF65557 EHR65546:EIB65557 ERN65546:ERX65557 FBJ65546:FBT65557 FLF65546:FLP65557 FVB65546:FVL65557 GEX65546:GFH65557 GOT65546:GPD65557 GYP65546:GYZ65557 HIL65546:HIV65557 HSH65546:HSR65557 ICD65546:ICN65557 ILZ65546:IMJ65557 IVV65546:IWF65557 JFR65546:JGB65557 JPN65546:JPX65557 JZJ65546:JZT65557 KJF65546:KJP65557 KTB65546:KTL65557 LCX65546:LDH65557 LMT65546:LND65557 LWP65546:LWZ65557 MGL65546:MGV65557 MQH65546:MQR65557 NAD65546:NAN65557 NJZ65546:NKJ65557 NTV65546:NUF65557 ODR65546:OEB65557 ONN65546:ONX65557 OXJ65546:OXT65557 PHF65546:PHP65557 PRB65546:PRL65557 QAX65546:QBH65557 QKT65546:QLD65557 QUP65546:QUZ65557 REL65546:REV65557 ROH65546:ROR65557 RYD65546:RYN65557 SHZ65546:SIJ65557 SRV65546:SSF65557 TBR65546:TCB65557 TLN65546:TLX65557 TVJ65546:TVT65557 UFF65546:UFP65557 UPB65546:UPL65557 UYX65546:UZH65557 VIT65546:VJD65557 VSP65546:VSZ65557 WCL65546:WCV65557 WMH65546:WMR65557 WWD65546:WWN65557 V131082:AF131093 JR131082:KB131093 TN131082:TX131093 ADJ131082:ADT131093 ANF131082:ANP131093 AXB131082:AXL131093 BGX131082:BHH131093 BQT131082:BRD131093 CAP131082:CAZ131093 CKL131082:CKV131093 CUH131082:CUR131093 DED131082:DEN131093 DNZ131082:DOJ131093 DXV131082:DYF131093 EHR131082:EIB131093 ERN131082:ERX131093 FBJ131082:FBT131093 FLF131082:FLP131093 FVB131082:FVL131093 GEX131082:GFH131093 GOT131082:GPD131093 GYP131082:GYZ131093 HIL131082:HIV131093 HSH131082:HSR131093 ICD131082:ICN131093 ILZ131082:IMJ131093 IVV131082:IWF131093 JFR131082:JGB131093 JPN131082:JPX131093 JZJ131082:JZT131093 KJF131082:KJP131093 KTB131082:KTL131093 LCX131082:LDH131093 LMT131082:LND131093 LWP131082:LWZ131093 MGL131082:MGV131093 MQH131082:MQR131093 NAD131082:NAN131093 NJZ131082:NKJ131093 NTV131082:NUF131093 ODR131082:OEB131093 ONN131082:ONX131093 OXJ131082:OXT131093 PHF131082:PHP131093 PRB131082:PRL131093 QAX131082:QBH131093 QKT131082:QLD131093 QUP131082:QUZ131093 REL131082:REV131093 ROH131082:ROR131093 RYD131082:RYN131093 SHZ131082:SIJ131093 SRV131082:SSF131093 TBR131082:TCB131093 TLN131082:TLX131093 TVJ131082:TVT131093 UFF131082:UFP131093 UPB131082:UPL131093 UYX131082:UZH131093 VIT131082:VJD131093 VSP131082:VSZ131093 WCL131082:WCV131093 WMH131082:WMR131093 WWD131082:WWN131093 V196618:AF196629 JR196618:KB196629 TN196618:TX196629 ADJ196618:ADT196629 ANF196618:ANP196629 AXB196618:AXL196629 BGX196618:BHH196629 BQT196618:BRD196629 CAP196618:CAZ196629 CKL196618:CKV196629 CUH196618:CUR196629 DED196618:DEN196629 DNZ196618:DOJ196629 DXV196618:DYF196629 EHR196618:EIB196629 ERN196618:ERX196629 FBJ196618:FBT196629 FLF196618:FLP196629 FVB196618:FVL196629 GEX196618:GFH196629 GOT196618:GPD196629 GYP196618:GYZ196629 HIL196618:HIV196629 HSH196618:HSR196629 ICD196618:ICN196629 ILZ196618:IMJ196629 IVV196618:IWF196629 JFR196618:JGB196629 JPN196618:JPX196629 JZJ196618:JZT196629 KJF196618:KJP196629 KTB196618:KTL196629 LCX196618:LDH196629 LMT196618:LND196629 LWP196618:LWZ196629 MGL196618:MGV196629 MQH196618:MQR196629 NAD196618:NAN196629 NJZ196618:NKJ196629 NTV196618:NUF196629 ODR196618:OEB196629 ONN196618:ONX196629 OXJ196618:OXT196629 PHF196618:PHP196629 PRB196618:PRL196629 QAX196618:QBH196629 QKT196618:QLD196629 QUP196618:QUZ196629 REL196618:REV196629 ROH196618:ROR196629 RYD196618:RYN196629 SHZ196618:SIJ196629 SRV196618:SSF196629 TBR196618:TCB196629 TLN196618:TLX196629 TVJ196618:TVT196629 UFF196618:UFP196629 UPB196618:UPL196629 UYX196618:UZH196629 VIT196618:VJD196629 VSP196618:VSZ196629 WCL196618:WCV196629 WMH196618:WMR196629 WWD196618:WWN196629 V262154:AF262165 JR262154:KB262165 TN262154:TX262165 ADJ262154:ADT262165 ANF262154:ANP262165 AXB262154:AXL262165 BGX262154:BHH262165 BQT262154:BRD262165 CAP262154:CAZ262165 CKL262154:CKV262165 CUH262154:CUR262165 DED262154:DEN262165 DNZ262154:DOJ262165 DXV262154:DYF262165 EHR262154:EIB262165 ERN262154:ERX262165 FBJ262154:FBT262165 FLF262154:FLP262165 FVB262154:FVL262165 GEX262154:GFH262165 GOT262154:GPD262165 GYP262154:GYZ262165 HIL262154:HIV262165 HSH262154:HSR262165 ICD262154:ICN262165 ILZ262154:IMJ262165 IVV262154:IWF262165 JFR262154:JGB262165 JPN262154:JPX262165 JZJ262154:JZT262165 KJF262154:KJP262165 KTB262154:KTL262165 LCX262154:LDH262165 LMT262154:LND262165 LWP262154:LWZ262165 MGL262154:MGV262165 MQH262154:MQR262165 NAD262154:NAN262165 NJZ262154:NKJ262165 NTV262154:NUF262165 ODR262154:OEB262165 ONN262154:ONX262165 OXJ262154:OXT262165 PHF262154:PHP262165 PRB262154:PRL262165 QAX262154:QBH262165 QKT262154:QLD262165 QUP262154:QUZ262165 REL262154:REV262165 ROH262154:ROR262165 RYD262154:RYN262165 SHZ262154:SIJ262165 SRV262154:SSF262165 TBR262154:TCB262165 TLN262154:TLX262165 TVJ262154:TVT262165 UFF262154:UFP262165 UPB262154:UPL262165 UYX262154:UZH262165 VIT262154:VJD262165 VSP262154:VSZ262165 WCL262154:WCV262165 WMH262154:WMR262165 WWD262154:WWN262165 V327690:AF327701 JR327690:KB327701 TN327690:TX327701 ADJ327690:ADT327701 ANF327690:ANP327701 AXB327690:AXL327701 BGX327690:BHH327701 BQT327690:BRD327701 CAP327690:CAZ327701 CKL327690:CKV327701 CUH327690:CUR327701 DED327690:DEN327701 DNZ327690:DOJ327701 DXV327690:DYF327701 EHR327690:EIB327701 ERN327690:ERX327701 FBJ327690:FBT327701 FLF327690:FLP327701 FVB327690:FVL327701 GEX327690:GFH327701 GOT327690:GPD327701 GYP327690:GYZ327701 HIL327690:HIV327701 HSH327690:HSR327701 ICD327690:ICN327701 ILZ327690:IMJ327701 IVV327690:IWF327701 JFR327690:JGB327701 JPN327690:JPX327701 JZJ327690:JZT327701 KJF327690:KJP327701 KTB327690:KTL327701 LCX327690:LDH327701 LMT327690:LND327701 LWP327690:LWZ327701 MGL327690:MGV327701 MQH327690:MQR327701 NAD327690:NAN327701 NJZ327690:NKJ327701 NTV327690:NUF327701 ODR327690:OEB327701 ONN327690:ONX327701 OXJ327690:OXT327701 PHF327690:PHP327701 PRB327690:PRL327701 QAX327690:QBH327701 QKT327690:QLD327701 QUP327690:QUZ327701 REL327690:REV327701 ROH327690:ROR327701 RYD327690:RYN327701 SHZ327690:SIJ327701 SRV327690:SSF327701 TBR327690:TCB327701 TLN327690:TLX327701 TVJ327690:TVT327701 UFF327690:UFP327701 UPB327690:UPL327701 UYX327690:UZH327701 VIT327690:VJD327701 VSP327690:VSZ327701 WCL327690:WCV327701 WMH327690:WMR327701 WWD327690:WWN327701 V393226:AF393237 JR393226:KB393237 TN393226:TX393237 ADJ393226:ADT393237 ANF393226:ANP393237 AXB393226:AXL393237 BGX393226:BHH393237 BQT393226:BRD393237 CAP393226:CAZ393237 CKL393226:CKV393237 CUH393226:CUR393237 DED393226:DEN393237 DNZ393226:DOJ393237 DXV393226:DYF393237 EHR393226:EIB393237 ERN393226:ERX393237 FBJ393226:FBT393237 FLF393226:FLP393237 FVB393226:FVL393237 GEX393226:GFH393237 GOT393226:GPD393237 GYP393226:GYZ393237 HIL393226:HIV393237 HSH393226:HSR393237 ICD393226:ICN393237 ILZ393226:IMJ393237 IVV393226:IWF393237 JFR393226:JGB393237 JPN393226:JPX393237 JZJ393226:JZT393237 KJF393226:KJP393237 KTB393226:KTL393237 LCX393226:LDH393237 LMT393226:LND393237 LWP393226:LWZ393237 MGL393226:MGV393237 MQH393226:MQR393237 NAD393226:NAN393237 NJZ393226:NKJ393237 NTV393226:NUF393237 ODR393226:OEB393237 ONN393226:ONX393237 OXJ393226:OXT393237 PHF393226:PHP393237 PRB393226:PRL393237 QAX393226:QBH393237 QKT393226:QLD393237 QUP393226:QUZ393237 REL393226:REV393237 ROH393226:ROR393237 RYD393226:RYN393237 SHZ393226:SIJ393237 SRV393226:SSF393237 TBR393226:TCB393237 TLN393226:TLX393237 TVJ393226:TVT393237 UFF393226:UFP393237 UPB393226:UPL393237 UYX393226:UZH393237 VIT393226:VJD393237 VSP393226:VSZ393237 WCL393226:WCV393237 WMH393226:WMR393237 WWD393226:WWN393237 V458762:AF458773 JR458762:KB458773 TN458762:TX458773 ADJ458762:ADT458773 ANF458762:ANP458773 AXB458762:AXL458773 BGX458762:BHH458773 BQT458762:BRD458773 CAP458762:CAZ458773 CKL458762:CKV458773 CUH458762:CUR458773 DED458762:DEN458773 DNZ458762:DOJ458773 DXV458762:DYF458773 EHR458762:EIB458773 ERN458762:ERX458773 FBJ458762:FBT458773 FLF458762:FLP458773 FVB458762:FVL458773 GEX458762:GFH458773 GOT458762:GPD458773 GYP458762:GYZ458773 HIL458762:HIV458773 HSH458762:HSR458773 ICD458762:ICN458773 ILZ458762:IMJ458773 IVV458762:IWF458773 JFR458762:JGB458773 JPN458762:JPX458773 JZJ458762:JZT458773 KJF458762:KJP458773 KTB458762:KTL458773 LCX458762:LDH458773 LMT458762:LND458773 LWP458762:LWZ458773 MGL458762:MGV458773 MQH458762:MQR458773 NAD458762:NAN458773 NJZ458762:NKJ458773 NTV458762:NUF458773 ODR458762:OEB458773 ONN458762:ONX458773 OXJ458762:OXT458773 PHF458762:PHP458773 PRB458762:PRL458773 QAX458762:QBH458773 QKT458762:QLD458773 QUP458762:QUZ458773 REL458762:REV458773 ROH458762:ROR458773 RYD458762:RYN458773 SHZ458762:SIJ458773 SRV458762:SSF458773 TBR458762:TCB458773 TLN458762:TLX458773 TVJ458762:TVT458773 UFF458762:UFP458773 UPB458762:UPL458773 UYX458762:UZH458773 VIT458762:VJD458773 VSP458762:VSZ458773 WCL458762:WCV458773 WMH458762:WMR458773 WWD458762:WWN458773 V524298:AF524309 JR524298:KB524309 TN524298:TX524309 ADJ524298:ADT524309 ANF524298:ANP524309 AXB524298:AXL524309 BGX524298:BHH524309 BQT524298:BRD524309 CAP524298:CAZ524309 CKL524298:CKV524309 CUH524298:CUR524309 DED524298:DEN524309 DNZ524298:DOJ524309 DXV524298:DYF524309 EHR524298:EIB524309 ERN524298:ERX524309 FBJ524298:FBT524309 FLF524298:FLP524309 FVB524298:FVL524309 GEX524298:GFH524309 GOT524298:GPD524309 GYP524298:GYZ524309 HIL524298:HIV524309 HSH524298:HSR524309 ICD524298:ICN524309 ILZ524298:IMJ524309 IVV524298:IWF524309 JFR524298:JGB524309 JPN524298:JPX524309 JZJ524298:JZT524309 KJF524298:KJP524309 KTB524298:KTL524309 LCX524298:LDH524309 LMT524298:LND524309 LWP524298:LWZ524309 MGL524298:MGV524309 MQH524298:MQR524309 NAD524298:NAN524309 NJZ524298:NKJ524309 NTV524298:NUF524309 ODR524298:OEB524309 ONN524298:ONX524309 OXJ524298:OXT524309 PHF524298:PHP524309 PRB524298:PRL524309 QAX524298:QBH524309 QKT524298:QLD524309 QUP524298:QUZ524309 REL524298:REV524309 ROH524298:ROR524309 RYD524298:RYN524309 SHZ524298:SIJ524309 SRV524298:SSF524309 TBR524298:TCB524309 TLN524298:TLX524309 TVJ524298:TVT524309 UFF524298:UFP524309 UPB524298:UPL524309 UYX524298:UZH524309 VIT524298:VJD524309 VSP524298:VSZ524309 WCL524298:WCV524309 WMH524298:WMR524309 WWD524298:WWN524309 V589834:AF589845 JR589834:KB589845 TN589834:TX589845 ADJ589834:ADT589845 ANF589834:ANP589845 AXB589834:AXL589845 BGX589834:BHH589845 BQT589834:BRD589845 CAP589834:CAZ589845 CKL589834:CKV589845 CUH589834:CUR589845 DED589834:DEN589845 DNZ589834:DOJ589845 DXV589834:DYF589845 EHR589834:EIB589845 ERN589834:ERX589845 FBJ589834:FBT589845 FLF589834:FLP589845 FVB589834:FVL589845 GEX589834:GFH589845 GOT589834:GPD589845 GYP589834:GYZ589845 HIL589834:HIV589845 HSH589834:HSR589845 ICD589834:ICN589845 ILZ589834:IMJ589845 IVV589834:IWF589845 JFR589834:JGB589845 JPN589834:JPX589845 JZJ589834:JZT589845 KJF589834:KJP589845 KTB589834:KTL589845 LCX589834:LDH589845 LMT589834:LND589845 LWP589834:LWZ589845 MGL589834:MGV589845 MQH589834:MQR589845 NAD589834:NAN589845 NJZ589834:NKJ589845 NTV589834:NUF589845 ODR589834:OEB589845 ONN589834:ONX589845 OXJ589834:OXT589845 PHF589834:PHP589845 PRB589834:PRL589845 QAX589834:QBH589845 QKT589834:QLD589845 QUP589834:QUZ589845 REL589834:REV589845 ROH589834:ROR589845 RYD589834:RYN589845 SHZ589834:SIJ589845 SRV589834:SSF589845 TBR589834:TCB589845 TLN589834:TLX589845 TVJ589834:TVT589845 UFF589834:UFP589845 UPB589834:UPL589845 UYX589834:UZH589845 VIT589834:VJD589845 VSP589834:VSZ589845 WCL589834:WCV589845 WMH589834:WMR589845 WWD589834:WWN589845 V655370:AF655381 JR655370:KB655381 TN655370:TX655381 ADJ655370:ADT655381 ANF655370:ANP655381 AXB655370:AXL655381 BGX655370:BHH655381 BQT655370:BRD655381 CAP655370:CAZ655381 CKL655370:CKV655381 CUH655370:CUR655381 DED655370:DEN655381 DNZ655370:DOJ655381 DXV655370:DYF655381 EHR655370:EIB655381 ERN655370:ERX655381 FBJ655370:FBT655381 FLF655370:FLP655381 FVB655370:FVL655381 GEX655370:GFH655381 GOT655370:GPD655381 GYP655370:GYZ655381 HIL655370:HIV655381 HSH655370:HSR655381 ICD655370:ICN655381 ILZ655370:IMJ655381 IVV655370:IWF655381 JFR655370:JGB655381 JPN655370:JPX655381 JZJ655370:JZT655381 KJF655370:KJP655381 KTB655370:KTL655381 LCX655370:LDH655381 LMT655370:LND655381 LWP655370:LWZ655381 MGL655370:MGV655381 MQH655370:MQR655381 NAD655370:NAN655381 NJZ655370:NKJ655381 NTV655370:NUF655381 ODR655370:OEB655381 ONN655370:ONX655381 OXJ655370:OXT655381 PHF655370:PHP655381 PRB655370:PRL655381 QAX655370:QBH655381 QKT655370:QLD655381 QUP655370:QUZ655381 REL655370:REV655381 ROH655370:ROR655381 RYD655370:RYN655381 SHZ655370:SIJ655381 SRV655370:SSF655381 TBR655370:TCB655381 TLN655370:TLX655381 TVJ655370:TVT655381 UFF655370:UFP655381 UPB655370:UPL655381 UYX655370:UZH655381 VIT655370:VJD655381 VSP655370:VSZ655381 WCL655370:WCV655381 WMH655370:WMR655381 WWD655370:WWN655381 V720906:AF720917 JR720906:KB720917 TN720906:TX720917 ADJ720906:ADT720917 ANF720906:ANP720917 AXB720906:AXL720917 BGX720906:BHH720917 BQT720906:BRD720917 CAP720906:CAZ720917 CKL720906:CKV720917 CUH720906:CUR720917 DED720906:DEN720917 DNZ720906:DOJ720917 DXV720906:DYF720917 EHR720906:EIB720917 ERN720906:ERX720917 FBJ720906:FBT720917 FLF720906:FLP720917 FVB720906:FVL720917 GEX720906:GFH720917 GOT720906:GPD720917 GYP720906:GYZ720917 HIL720906:HIV720917 HSH720906:HSR720917 ICD720906:ICN720917 ILZ720906:IMJ720917 IVV720906:IWF720917 JFR720906:JGB720917 JPN720906:JPX720917 JZJ720906:JZT720917 KJF720906:KJP720917 KTB720906:KTL720917 LCX720906:LDH720917 LMT720906:LND720917 LWP720906:LWZ720917 MGL720906:MGV720917 MQH720906:MQR720917 NAD720906:NAN720917 NJZ720906:NKJ720917 NTV720906:NUF720917 ODR720906:OEB720917 ONN720906:ONX720917 OXJ720906:OXT720917 PHF720906:PHP720917 PRB720906:PRL720917 QAX720906:QBH720917 QKT720906:QLD720917 QUP720906:QUZ720917 REL720906:REV720917 ROH720906:ROR720917 RYD720906:RYN720917 SHZ720906:SIJ720917 SRV720906:SSF720917 TBR720906:TCB720917 TLN720906:TLX720917 TVJ720906:TVT720917 UFF720906:UFP720917 UPB720906:UPL720917 UYX720906:UZH720917 VIT720906:VJD720917 VSP720906:VSZ720917 WCL720906:WCV720917 WMH720906:WMR720917 WWD720906:WWN720917 V786442:AF786453 JR786442:KB786453 TN786442:TX786453 ADJ786442:ADT786453 ANF786442:ANP786453 AXB786442:AXL786453 BGX786442:BHH786453 BQT786442:BRD786453 CAP786442:CAZ786453 CKL786442:CKV786453 CUH786442:CUR786453 DED786442:DEN786453 DNZ786442:DOJ786453 DXV786442:DYF786453 EHR786442:EIB786453 ERN786442:ERX786453 FBJ786442:FBT786453 FLF786442:FLP786453 FVB786442:FVL786453 GEX786442:GFH786453 GOT786442:GPD786453 GYP786442:GYZ786453 HIL786442:HIV786453 HSH786442:HSR786453 ICD786442:ICN786453 ILZ786442:IMJ786453 IVV786442:IWF786453 JFR786442:JGB786453 JPN786442:JPX786453 JZJ786442:JZT786453 KJF786442:KJP786453 KTB786442:KTL786453 LCX786442:LDH786453 LMT786442:LND786453 LWP786442:LWZ786453 MGL786442:MGV786453 MQH786442:MQR786453 NAD786442:NAN786453 NJZ786442:NKJ786453 NTV786442:NUF786453 ODR786442:OEB786453 ONN786442:ONX786453 OXJ786442:OXT786453 PHF786442:PHP786453 PRB786442:PRL786453 QAX786442:QBH786453 QKT786442:QLD786453 QUP786442:QUZ786453 REL786442:REV786453 ROH786442:ROR786453 RYD786442:RYN786453 SHZ786442:SIJ786453 SRV786442:SSF786453 TBR786442:TCB786453 TLN786442:TLX786453 TVJ786442:TVT786453 UFF786442:UFP786453 UPB786442:UPL786453 UYX786442:UZH786453 VIT786442:VJD786453 VSP786442:VSZ786453 WCL786442:WCV786453 WMH786442:WMR786453 WWD786442:WWN786453 V851978:AF851989 JR851978:KB851989 TN851978:TX851989 ADJ851978:ADT851989 ANF851978:ANP851989 AXB851978:AXL851989 BGX851978:BHH851989 BQT851978:BRD851989 CAP851978:CAZ851989 CKL851978:CKV851989 CUH851978:CUR851989 DED851978:DEN851989 DNZ851978:DOJ851989 DXV851978:DYF851989 EHR851978:EIB851989 ERN851978:ERX851989 FBJ851978:FBT851989 FLF851978:FLP851989 FVB851978:FVL851989 GEX851978:GFH851989 GOT851978:GPD851989 GYP851978:GYZ851989 HIL851978:HIV851989 HSH851978:HSR851989 ICD851978:ICN851989 ILZ851978:IMJ851989 IVV851978:IWF851989 JFR851978:JGB851989 JPN851978:JPX851989 JZJ851978:JZT851989 KJF851978:KJP851989 KTB851978:KTL851989 LCX851978:LDH851989 LMT851978:LND851989 LWP851978:LWZ851989 MGL851978:MGV851989 MQH851978:MQR851989 NAD851978:NAN851989 NJZ851978:NKJ851989 NTV851978:NUF851989 ODR851978:OEB851989 ONN851978:ONX851989 OXJ851978:OXT851989 PHF851978:PHP851989 PRB851978:PRL851989 QAX851978:QBH851989 QKT851978:QLD851989 QUP851978:QUZ851989 REL851978:REV851989 ROH851978:ROR851989 RYD851978:RYN851989 SHZ851978:SIJ851989 SRV851978:SSF851989 TBR851978:TCB851989 TLN851978:TLX851989 TVJ851978:TVT851989 UFF851978:UFP851989 UPB851978:UPL851989 UYX851978:UZH851989 VIT851978:VJD851989 VSP851978:VSZ851989 WCL851978:WCV851989 WMH851978:WMR851989 WWD851978:WWN851989 V917514:AF917525 JR917514:KB917525 TN917514:TX917525 ADJ917514:ADT917525 ANF917514:ANP917525 AXB917514:AXL917525 BGX917514:BHH917525 BQT917514:BRD917525 CAP917514:CAZ917525 CKL917514:CKV917525 CUH917514:CUR917525 DED917514:DEN917525 DNZ917514:DOJ917525 DXV917514:DYF917525 EHR917514:EIB917525 ERN917514:ERX917525 FBJ917514:FBT917525 FLF917514:FLP917525 FVB917514:FVL917525 GEX917514:GFH917525 GOT917514:GPD917525 GYP917514:GYZ917525 HIL917514:HIV917525 HSH917514:HSR917525 ICD917514:ICN917525 ILZ917514:IMJ917525 IVV917514:IWF917525 JFR917514:JGB917525 JPN917514:JPX917525 JZJ917514:JZT917525 KJF917514:KJP917525 KTB917514:KTL917525 LCX917514:LDH917525 LMT917514:LND917525 LWP917514:LWZ917525 MGL917514:MGV917525 MQH917514:MQR917525 NAD917514:NAN917525 NJZ917514:NKJ917525 NTV917514:NUF917525 ODR917514:OEB917525 ONN917514:ONX917525 OXJ917514:OXT917525 PHF917514:PHP917525 PRB917514:PRL917525 QAX917514:QBH917525 QKT917514:QLD917525 QUP917514:QUZ917525 REL917514:REV917525 ROH917514:ROR917525 RYD917514:RYN917525 SHZ917514:SIJ917525 SRV917514:SSF917525 TBR917514:TCB917525 TLN917514:TLX917525 TVJ917514:TVT917525 UFF917514:UFP917525 UPB917514:UPL917525 UYX917514:UZH917525 VIT917514:VJD917525 VSP917514:VSZ917525 WCL917514:WCV917525 WMH917514:WMR917525 WWD917514:WWN917525 V983050:AF983061 JR983050:KB983061 TN983050:TX983061 ADJ983050:ADT983061 ANF983050:ANP983061 AXB983050:AXL983061 BGX983050:BHH983061 BQT983050:BRD983061 CAP983050:CAZ983061 CKL983050:CKV983061 CUH983050:CUR983061 DED983050:DEN983061 DNZ983050:DOJ983061 DXV983050:DYF983061 EHR983050:EIB983061 ERN983050:ERX983061 FBJ983050:FBT983061 FLF983050:FLP983061 FVB983050:FVL983061 GEX983050:GFH983061 GOT983050:GPD983061 GYP983050:GYZ983061 HIL983050:HIV983061 HSH983050:HSR983061 ICD983050:ICN983061 ILZ983050:IMJ983061 IVV983050:IWF983061 JFR983050:JGB983061 JPN983050:JPX983061 JZJ983050:JZT983061 KJF983050:KJP983061 KTB983050:KTL983061 LCX983050:LDH983061 LMT983050:LND983061 LWP983050:LWZ983061 MGL983050:MGV983061 MQH983050:MQR983061 NAD983050:NAN983061 NJZ983050:NKJ983061 NTV983050:NUF983061 ODR983050:OEB983061 ONN983050:ONX983061 OXJ983050:OXT983061 PHF983050:PHP983061 PRB983050:PRL983061 QAX983050:QBH983061 QKT983050:QLD983061 QUP983050:QUZ983061 REL983050:REV983061 ROH983050:ROR983061 RYD983050:RYN983061 SHZ983050:SIJ983061 SRV983050:SSF983061 TBR983050:TCB983061 TLN983050:TLX983061 TVJ983050:TVT983061 UFF983050:UFP983061 UPB983050:UPL983061 UYX983050:UZH983061 VIT983050:VJD983061 VSP983050:VSZ983061 WCL983050:WCV983061 WMH983050:WMR983061 WWD983050:WWN983061">
      <formula1>Efectividad</formula1>
    </dataValidation>
    <dataValidation showInputMessage="1" showErrorMessage="1" sqref="AG10:AT21 KC10:KP21 TY10:UL21 ADU10:AEH21 ANQ10:AOD21 AXM10:AXZ21 BHI10:BHV21 BRE10:BRR21 CBA10:CBN21 CKW10:CLJ21 CUS10:CVF21 DEO10:DFB21 DOK10:DOX21 DYG10:DYT21 EIC10:EIP21 ERY10:ESL21 FBU10:FCH21 FLQ10:FMD21 FVM10:FVZ21 GFI10:GFV21 GPE10:GPR21 GZA10:GZN21 HIW10:HJJ21 HSS10:HTF21 ICO10:IDB21 IMK10:IMX21 IWG10:IWT21 JGC10:JGP21 JPY10:JQL21 JZU10:KAH21 KJQ10:KKD21 KTM10:KTZ21 LDI10:LDV21 LNE10:LNR21 LXA10:LXN21 MGW10:MHJ21 MQS10:MRF21 NAO10:NBB21 NKK10:NKX21 NUG10:NUT21 OEC10:OEP21 ONY10:OOL21 OXU10:OYH21 PHQ10:PID21 PRM10:PRZ21 QBI10:QBV21 QLE10:QLR21 QVA10:QVN21 REW10:RFJ21 ROS10:RPF21 RYO10:RZB21 SIK10:SIX21 SSG10:SST21 TCC10:TCP21 TLY10:TML21 TVU10:TWH21 UFQ10:UGD21 UPM10:UPZ21 UZI10:UZV21 VJE10:VJR21 VTA10:VTN21 WCW10:WDJ21 WMS10:WNF21 WWO10:WXB21 AG65546:AT65557 KC65546:KP65557 TY65546:UL65557 ADU65546:AEH65557 ANQ65546:AOD65557 AXM65546:AXZ65557 BHI65546:BHV65557 BRE65546:BRR65557 CBA65546:CBN65557 CKW65546:CLJ65557 CUS65546:CVF65557 DEO65546:DFB65557 DOK65546:DOX65557 DYG65546:DYT65557 EIC65546:EIP65557 ERY65546:ESL65557 FBU65546:FCH65557 FLQ65546:FMD65557 FVM65546:FVZ65557 GFI65546:GFV65557 GPE65546:GPR65557 GZA65546:GZN65557 HIW65546:HJJ65557 HSS65546:HTF65557 ICO65546:IDB65557 IMK65546:IMX65557 IWG65546:IWT65557 JGC65546:JGP65557 JPY65546:JQL65557 JZU65546:KAH65557 KJQ65546:KKD65557 KTM65546:KTZ65557 LDI65546:LDV65557 LNE65546:LNR65557 LXA65546:LXN65557 MGW65546:MHJ65557 MQS65546:MRF65557 NAO65546:NBB65557 NKK65546:NKX65557 NUG65546:NUT65557 OEC65546:OEP65557 ONY65546:OOL65557 OXU65546:OYH65557 PHQ65546:PID65557 PRM65546:PRZ65557 QBI65546:QBV65557 QLE65546:QLR65557 QVA65546:QVN65557 REW65546:RFJ65557 ROS65546:RPF65557 RYO65546:RZB65557 SIK65546:SIX65557 SSG65546:SST65557 TCC65546:TCP65557 TLY65546:TML65557 TVU65546:TWH65557 UFQ65546:UGD65557 UPM65546:UPZ65557 UZI65546:UZV65557 VJE65546:VJR65557 VTA65546:VTN65557 WCW65546:WDJ65557 WMS65546:WNF65557 WWO65546:WXB65557 AG131082:AT131093 KC131082:KP131093 TY131082:UL131093 ADU131082:AEH131093 ANQ131082:AOD131093 AXM131082:AXZ131093 BHI131082:BHV131093 BRE131082:BRR131093 CBA131082:CBN131093 CKW131082:CLJ131093 CUS131082:CVF131093 DEO131082:DFB131093 DOK131082:DOX131093 DYG131082:DYT131093 EIC131082:EIP131093 ERY131082:ESL131093 FBU131082:FCH131093 FLQ131082:FMD131093 FVM131082:FVZ131093 GFI131082:GFV131093 GPE131082:GPR131093 GZA131082:GZN131093 HIW131082:HJJ131093 HSS131082:HTF131093 ICO131082:IDB131093 IMK131082:IMX131093 IWG131082:IWT131093 JGC131082:JGP131093 JPY131082:JQL131093 JZU131082:KAH131093 KJQ131082:KKD131093 KTM131082:KTZ131093 LDI131082:LDV131093 LNE131082:LNR131093 LXA131082:LXN131093 MGW131082:MHJ131093 MQS131082:MRF131093 NAO131082:NBB131093 NKK131082:NKX131093 NUG131082:NUT131093 OEC131082:OEP131093 ONY131082:OOL131093 OXU131082:OYH131093 PHQ131082:PID131093 PRM131082:PRZ131093 QBI131082:QBV131093 QLE131082:QLR131093 QVA131082:QVN131093 REW131082:RFJ131093 ROS131082:RPF131093 RYO131082:RZB131093 SIK131082:SIX131093 SSG131082:SST131093 TCC131082:TCP131093 TLY131082:TML131093 TVU131082:TWH131093 UFQ131082:UGD131093 UPM131082:UPZ131093 UZI131082:UZV131093 VJE131082:VJR131093 VTA131082:VTN131093 WCW131082:WDJ131093 WMS131082:WNF131093 WWO131082:WXB131093 AG196618:AT196629 KC196618:KP196629 TY196618:UL196629 ADU196618:AEH196629 ANQ196618:AOD196629 AXM196618:AXZ196629 BHI196618:BHV196629 BRE196618:BRR196629 CBA196618:CBN196629 CKW196618:CLJ196629 CUS196618:CVF196629 DEO196618:DFB196629 DOK196618:DOX196629 DYG196618:DYT196629 EIC196618:EIP196629 ERY196618:ESL196629 FBU196618:FCH196629 FLQ196618:FMD196629 FVM196618:FVZ196629 GFI196618:GFV196629 GPE196618:GPR196629 GZA196618:GZN196629 HIW196618:HJJ196629 HSS196618:HTF196629 ICO196618:IDB196629 IMK196618:IMX196629 IWG196618:IWT196629 JGC196618:JGP196629 JPY196618:JQL196629 JZU196618:KAH196629 KJQ196618:KKD196629 KTM196618:KTZ196629 LDI196618:LDV196629 LNE196618:LNR196629 LXA196618:LXN196629 MGW196618:MHJ196629 MQS196618:MRF196629 NAO196618:NBB196629 NKK196618:NKX196629 NUG196618:NUT196629 OEC196618:OEP196629 ONY196618:OOL196629 OXU196618:OYH196629 PHQ196618:PID196629 PRM196618:PRZ196629 QBI196618:QBV196629 QLE196618:QLR196629 QVA196618:QVN196629 REW196618:RFJ196629 ROS196618:RPF196629 RYO196618:RZB196629 SIK196618:SIX196629 SSG196618:SST196629 TCC196618:TCP196629 TLY196618:TML196629 TVU196618:TWH196629 UFQ196618:UGD196629 UPM196618:UPZ196629 UZI196618:UZV196629 VJE196618:VJR196629 VTA196618:VTN196629 WCW196618:WDJ196629 WMS196618:WNF196629 WWO196618:WXB196629 AG262154:AT262165 KC262154:KP262165 TY262154:UL262165 ADU262154:AEH262165 ANQ262154:AOD262165 AXM262154:AXZ262165 BHI262154:BHV262165 BRE262154:BRR262165 CBA262154:CBN262165 CKW262154:CLJ262165 CUS262154:CVF262165 DEO262154:DFB262165 DOK262154:DOX262165 DYG262154:DYT262165 EIC262154:EIP262165 ERY262154:ESL262165 FBU262154:FCH262165 FLQ262154:FMD262165 FVM262154:FVZ262165 GFI262154:GFV262165 GPE262154:GPR262165 GZA262154:GZN262165 HIW262154:HJJ262165 HSS262154:HTF262165 ICO262154:IDB262165 IMK262154:IMX262165 IWG262154:IWT262165 JGC262154:JGP262165 JPY262154:JQL262165 JZU262154:KAH262165 KJQ262154:KKD262165 KTM262154:KTZ262165 LDI262154:LDV262165 LNE262154:LNR262165 LXA262154:LXN262165 MGW262154:MHJ262165 MQS262154:MRF262165 NAO262154:NBB262165 NKK262154:NKX262165 NUG262154:NUT262165 OEC262154:OEP262165 ONY262154:OOL262165 OXU262154:OYH262165 PHQ262154:PID262165 PRM262154:PRZ262165 QBI262154:QBV262165 QLE262154:QLR262165 QVA262154:QVN262165 REW262154:RFJ262165 ROS262154:RPF262165 RYO262154:RZB262165 SIK262154:SIX262165 SSG262154:SST262165 TCC262154:TCP262165 TLY262154:TML262165 TVU262154:TWH262165 UFQ262154:UGD262165 UPM262154:UPZ262165 UZI262154:UZV262165 VJE262154:VJR262165 VTA262154:VTN262165 WCW262154:WDJ262165 WMS262154:WNF262165 WWO262154:WXB262165 AG327690:AT327701 KC327690:KP327701 TY327690:UL327701 ADU327690:AEH327701 ANQ327690:AOD327701 AXM327690:AXZ327701 BHI327690:BHV327701 BRE327690:BRR327701 CBA327690:CBN327701 CKW327690:CLJ327701 CUS327690:CVF327701 DEO327690:DFB327701 DOK327690:DOX327701 DYG327690:DYT327701 EIC327690:EIP327701 ERY327690:ESL327701 FBU327690:FCH327701 FLQ327690:FMD327701 FVM327690:FVZ327701 GFI327690:GFV327701 GPE327690:GPR327701 GZA327690:GZN327701 HIW327690:HJJ327701 HSS327690:HTF327701 ICO327690:IDB327701 IMK327690:IMX327701 IWG327690:IWT327701 JGC327690:JGP327701 JPY327690:JQL327701 JZU327690:KAH327701 KJQ327690:KKD327701 KTM327690:KTZ327701 LDI327690:LDV327701 LNE327690:LNR327701 LXA327690:LXN327701 MGW327690:MHJ327701 MQS327690:MRF327701 NAO327690:NBB327701 NKK327690:NKX327701 NUG327690:NUT327701 OEC327690:OEP327701 ONY327690:OOL327701 OXU327690:OYH327701 PHQ327690:PID327701 PRM327690:PRZ327701 QBI327690:QBV327701 QLE327690:QLR327701 QVA327690:QVN327701 REW327690:RFJ327701 ROS327690:RPF327701 RYO327690:RZB327701 SIK327690:SIX327701 SSG327690:SST327701 TCC327690:TCP327701 TLY327690:TML327701 TVU327690:TWH327701 UFQ327690:UGD327701 UPM327690:UPZ327701 UZI327690:UZV327701 VJE327690:VJR327701 VTA327690:VTN327701 WCW327690:WDJ327701 WMS327690:WNF327701 WWO327690:WXB327701 AG393226:AT393237 KC393226:KP393237 TY393226:UL393237 ADU393226:AEH393237 ANQ393226:AOD393237 AXM393226:AXZ393237 BHI393226:BHV393237 BRE393226:BRR393237 CBA393226:CBN393237 CKW393226:CLJ393237 CUS393226:CVF393237 DEO393226:DFB393237 DOK393226:DOX393237 DYG393226:DYT393237 EIC393226:EIP393237 ERY393226:ESL393237 FBU393226:FCH393237 FLQ393226:FMD393237 FVM393226:FVZ393237 GFI393226:GFV393237 GPE393226:GPR393237 GZA393226:GZN393237 HIW393226:HJJ393237 HSS393226:HTF393237 ICO393226:IDB393237 IMK393226:IMX393237 IWG393226:IWT393237 JGC393226:JGP393237 JPY393226:JQL393237 JZU393226:KAH393237 KJQ393226:KKD393237 KTM393226:KTZ393237 LDI393226:LDV393237 LNE393226:LNR393237 LXA393226:LXN393237 MGW393226:MHJ393237 MQS393226:MRF393237 NAO393226:NBB393237 NKK393226:NKX393237 NUG393226:NUT393237 OEC393226:OEP393237 ONY393226:OOL393237 OXU393226:OYH393237 PHQ393226:PID393237 PRM393226:PRZ393237 QBI393226:QBV393237 QLE393226:QLR393237 QVA393226:QVN393237 REW393226:RFJ393237 ROS393226:RPF393237 RYO393226:RZB393237 SIK393226:SIX393237 SSG393226:SST393237 TCC393226:TCP393237 TLY393226:TML393237 TVU393226:TWH393237 UFQ393226:UGD393237 UPM393226:UPZ393237 UZI393226:UZV393237 VJE393226:VJR393237 VTA393226:VTN393237 WCW393226:WDJ393237 WMS393226:WNF393237 WWO393226:WXB393237 AG458762:AT458773 KC458762:KP458773 TY458762:UL458773 ADU458762:AEH458773 ANQ458762:AOD458773 AXM458762:AXZ458773 BHI458762:BHV458773 BRE458762:BRR458773 CBA458762:CBN458773 CKW458762:CLJ458773 CUS458762:CVF458773 DEO458762:DFB458773 DOK458762:DOX458773 DYG458762:DYT458773 EIC458762:EIP458773 ERY458762:ESL458773 FBU458762:FCH458773 FLQ458762:FMD458773 FVM458762:FVZ458773 GFI458762:GFV458773 GPE458762:GPR458773 GZA458762:GZN458773 HIW458762:HJJ458773 HSS458762:HTF458773 ICO458762:IDB458773 IMK458762:IMX458773 IWG458762:IWT458773 JGC458762:JGP458773 JPY458762:JQL458773 JZU458762:KAH458773 KJQ458762:KKD458773 KTM458762:KTZ458773 LDI458762:LDV458773 LNE458762:LNR458773 LXA458762:LXN458773 MGW458762:MHJ458773 MQS458762:MRF458773 NAO458762:NBB458773 NKK458762:NKX458773 NUG458762:NUT458773 OEC458762:OEP458773 ONY458762:OOL458773 OXU458762:OYH458773 PHQ458762:PID458773 PRM458762:PRZ458773 QBI458762:QBV458773 QLE458762:QLR458773 QVA458762:QVN458773 REW458762:RFJ458773 ROS458762:RPF458773 RYO458762:RZB458773 SIK458762:SIX458773 SSG458762:SST458773 TCC458762:TCP458773 TLY458762:TML458773 TVU458762:TWH458773 UFQ458762:UGD458773 UPM458762:UPZ458773 UZI458762:UZV458773 VJE458762:VJR458773 VTA458762:VTN458773 WCW458762:WDJ458773 WMS458762:WNF458773 WWO458762:WXB458773 AG524298:AT524309 KC524298:KP524309 TY524298:UL524309 ADU524298:AEH524309 ANQ524298:AOD524309 AXM524298:AXZ524309 BHI524298:BHV524309 BRE524298:BRR524309 CBA524298:CBN524309 CKW524298:CLJ524309 CUS524298:CVF524309 DEO524298:DFB524309 DOK524298:DOX524309 DYG524298:DYT524309 EIC524298:EIP524309 ERY524298:ESL524309 FBU524298:FCH524309 FLQ524298:FMD524309 FVM524298:FVZ524309 GFI524298:GFV524309 GPE524298:GPR524309 GZA524298:GZN524309 HIW524298:HJJ524309 HSS524298:HTF524309 ICO524298:IDB524309 IMK524298:IMX524309 IWG524298:IWT524309 JGC524298:JGP524309 JPY524298:JQL524309 JZU524298:KAH524309 KJQ524298:KKD524309 KTM524298:KTZ524309 LDI524298:LDV524309 LNE524298:LNR524309 LXA524298:LXN524309 MGW524298:MHJ524309 MQS524298:MRF524309 NAO524298:NBB524309 NKK524298:NKX524309 NUG524298:NUT524309 OEC524298:OEP524309 ONY524298:OOL524309 OXU524298:OYH524309 PHQ524298:PID524309 PRM524298:PRZ524309 QBI524298:QBV524309 QLE524298:QLR524309 QVA524298:QVN524309 REW524298:RFJ524309 ROS524298:RPF524309 RYO524298:RZB524309 SIK524298:SIX524309 SSG524298:SST524309 TCC524298:TCP524309 TLY524298:TML524309 TVU524298:TWH524309 UFQ524298:UGD524309 UPM524298:UPZ524309 UZI524298:UZV524309 VJE524298:VJR524309 VTA524298:VTN524309 WCW524298:WDJ524309 WMS524298:WNF524309 WWO524298:WXB524309 AG589834:AT589845 KC589834:KP589845 TY589834:UL589845 ADU589834:AEH589845 ANQ589834:AOD589845 AXM589834:AXZ589845 BHI589834:BHV589845 BRE589834:BRR589845 CBA589834:CBN589845 CKW589834:CLJ589845 CUS589834:CVF589845 DEO589834:DFB589845 DOK589834:DOX589845 DYG589834:DYT589845 EIC589834:EIP589845 ERY589834:ESL589845 FBU589834:FCH589845 FLQ589834:FMD589845 FVM589834:FVZ589845 GFI589834:GFV589845 GPE589834:GPR589845 GZA589834:GZN589845 HIW589834:HJJ589845 HSS589834:HTF589845 ICO589834:IDB589845 IMK589834:IMX589845 IWG589834:IWT589845 JGC589834:JGP589845 JPY589834:JQL589845 JZU589834:KAH589845 KJQ589834:KKD589845 KTM589834:KTZ589845 LDI589834:LDV589845 LNE589834:LNR589845 LXA589834:LXN589845 MGW589834:MHJ589845 MQS589834:MRF589845 NAO589834:NBB589845 NKK589834:NKX589845 NUG589834:NUT589845 OEC589834:OEP589845 ONY589834:OOL589845 OXU589834:OYH589845 PHQ589834:PID589845 PRM589834:PRZ589845 QBI589834:QBV589845 QLE589834:QLR589845 QVA589834:QVN589845 REW589834:RFJ589845 ROS589834:RPF589845 RYO589834:RZB589845 SIK589834:SIX589845 SSG589834:SST589845 TCC589834:TCP589845 TLY589834:TML589845 TVU589834:TWH589845 UFQ589834:UGD589845 UPM589834:UPZ589845 UZI589834:UZV589845 VJE589834:VJR589845 VTA589834:VTN589845 WCW589834:WDJ589845 WMS589834:WNF589845 WWO589834:WXB589845 AG655370:AT655381 KC655370:KP655381 TY655370:UL655381 ADU655370:AEH655381 ANQ655370:AOD655381 AXM655370:AXZ655381 BHI655370:BHV655381 BRE655370:BRR655381 CBA655370:CBN655381 CKW655370:CLJ655381 CUS655370:CVF655381 DEO655370:DFB655381 DOK655370:DOX655381 DYG655370:DYT655381 EIC655370:EIP655381 ERY655370:ESL655381 FBU655370:FCH655381 FLQ655370:FMD655381 FVM655370:FVZ655381 GFI655370:GFV655381 GPE655370:GPR655381 GZA655370:GZN655381 HIW655370:HJJ655381 HSS655370:HTF655381 ICO655370:IDB655381 IMK655370:IMX655381 IWG655370:IWT655381 JGC655370:JGP655381 JPY655370:JQL655381 JZU655370:KAH655381 KJQ655370:KKD655381 KTM655370:KTZ655381 LDI655370:LDV655381 LNE655370:LNR655381 LXA655370:LXN655381 MGW655370:MHJ655381 MQS655370:MRF655381 NAO655370:NBB655381 NKK655370:NKX655381 NUG655370:NUT655381 OEC655370:OEP655381 ONY655370:OOL655381 OXU655370:OYH655381 PHQ655370:PID655381 PRM655370:PRZ655381 QBI655370:QBV655381 QLE655370:QLR655381 QVA655370:QVN655381 REW655370:RFJ655381 ROS655370:RPF655381 RYO655370:RZB655381 SIK655370:SIX655381 SSG655370:SST655381 TCC655370:TCP655381 TLY655370:TML655381 TVU655370:TWH655381 UFQ655370:UGD655381 UPM655370:UPZ655381 UZI655370:UZV655381 VJE655370:VJR655381 VTA655370:VTN655381 WCW655370:WDJ655381 WMS655370:WNF655381 WWO655370:WXB655381 AG720906:AT720917 KC720906:KP720917 TY720906:UL720917 ADU720906:AEH720917 ANQ720906:AOD720917 AXM720906:AXZ720917 BHI720906:BHV720917 BRE720906:BRR720917 CBA720906:CBN720917 CKW720906:CLJ720917 CUS720906:CVF720917 DEO720906:DFB720917 DOK720906:DOX720917 DYG720906:DYT720917 EIC720906:EIP720917 ERY720906:ESL720917 FBU720906:FCH720917 FLQ720906:FMD720917 FVM720906:FVZ720917 GFI720906:GFV720917 GPE720906:GPR720917 GZA720906:GZN720917 HIW720906:HJJ720917 HSS720906:HTF720917 ICO720906:IDB720917 IMK720906:IMX720917 IWG720906:IWT720917 JGC720906:JGP720917 JPY720906:JQL720917 JZU720906:KAH720917 KJQ720906:KKD720917 KTM720906:KTZ720917 LDI720906:LDV720917 LNE720906:LNR720917 LXA720906:LXN720917 MGW720906:MHJ720917 MQS720906:MRF720917 NAO720906:NBB720917 NKK720906:NKX720917 NUG720906:NUT720917 OEC720906:OEP720917 ONY720906:OOL720917 OXU720906:OYH720917 PHQ720906:PID720917 PRM720906:PRZ720917 QBI720906:QBV720917 QLE720906:QLR720917 QVA720906:QVN720917 REW720906:RFJ720917 ROS720906:RPF720917 RYO720906:RZB720917 SIK720906:SIX720917 SSG720906:SST720917 TCC720906:TCP720917 TLY720906:TML720917 TVU720906:TWH720917 UFQ720906:UGD720917 UPM720906:UPZ720917 UZI720906:UZV720917 VJE720906:VJR720917 VTA720906:VTN720917 WCW720906:WDJ720917 WMS720906:WNF720917 WWO720906:WXB720917 AG786442:AT786453 KC786442:KP786453 TY786442:UL786453 ADU786442:AEH786453 ANQ786442:AOD786453 AXM786442:AXZ786453 BHI786442:BHV786453 BRE786442:BRR786453 CBA786442:CBN786453 CKW786442:CLJ786453 CUS786442:CVF786453 DEO786442:DFB786453 DOK786442:DOX786453 DYG786442:DYT786453 EIC786442:EIP786453 ERY786442:ESL786453 FBU786442:FCH786453 FLQ786442:FMD786453 FVM786442:FVZ786453 GFI786442:GFV786453 GPE786442:GPR786453 GZA786442:GZN786453 HIW786442:HJJ786453 HSS786442:HTF786453 ICO786442:IDB786453 IMK786442:IMX786453 IWG786442:IWT786453 JGC786442:JGP786453 JPY786442:JQL786453 JZU786442:KAH786453 KJQ786442:KKD786453 KTM786442:KTZ786453 LDI786442:LDV786453 LNE786442:LNR786453 LXA786442:LXN786453 MGW786442:MHJ786453 MQS786442:MRF786453 NAO786442:NBB786453 NKK786442:NKX786453 NUG786442:NUT786453 OEC786442:OEP786453 ONY786442:OOL786453 OXU786442:OYH786453 PHQ786442:PID786453 PRM786442:PRZ786453 QBI786442:QBV786453 QLE786442:QLR786453 QVA786442:QVN786453 REW786442:RFJ786453 ROS786442:RPF786453 RYO786442:RZB786453 SIK786442:SIX786453 SSG786442:SST786453 TCC786442:TCP786453 TLY786442:TML786453 TVU786442:TWH786453 UFQ786442:UGD786453 UPM786442:UPZ786453 UZI786442:UZV786453 VJE786442:VJR786453 VTA786442:VTN786453 WCW786442:WDJ786453 WMS786442:WNF786453 WWO786442:WXB786453 AG851978:AT851989 KC851978:KP851989 TY851978:UL851989 ADU851978:AEH851989 ANQ851978:AOD851989 AXM851978:AXZ851989 BHI851978:BHV851989 BRE851978:BRR851989 CBA851978:CBN851989 CKW851978:CLJ851989 CUS851978:CVF851989 DEO851978:DFB851989 DOK851978:DOX851989 DYG851978:DYT851989 EIC851978:EIP851989 ERY851978:ESL851989 FBU851978:FCH851989 FLQ851978:FMD851989 FVM851978:FVZ851989 GFI851978:GFV851989 GPE851978:GPR851989 GZA851978:GZN851989 HIW851978:HJJ851989 HSS851978:HTF851989 ICO851978:IDB851989 IMK851978:IMX851989 IWG851978:IWT851989 JGC851978:JGP851989 JPY851978:JQL851989 JZU851978:KAH851989 KJQ851978:KKD851989 KTM851978:KTZ851989 LDI851978:LDV851989 LNE851978:LNR851989 LXA851978:LXN851989 MGW851978:MHJ851989 MQS851978:MRF851989 NAO851978:NBB851989 NKK851978:NKX851989 NUG851978:NUT851989 OEC851978:OEP851989 ONY851978:OOL851989 OXU851978:OYH851989 PHQ851978:PID851989 PRM851978:PRZ851989 QBI851978:QBV851989 QLE851978:QLR851989 QVA851978:QVN851989 REW851978:RFJ851989 ROS851978:RPF851989 RYO851978:RZB851989 SIK851978:SIX851989 SSG851978:SST851989 TCC851978:TCP851989 TLY851978:TML851989 TVU851978:TWH851989 UFQ851978:UGD851989 UPM851978:UPZ851989 UZI851978:UZV851989 VJE851978:VJR851989 VTA851978:VTN851989 WCW851978:WDJ851989 WMS851978:WNF851989 WWO851978:WXB851989 AG917514:AT917525 KC917514:KP917525 TY917514:UL917525 ADU917514:AEH917525 ANQ917514:AOD917525 AXM917514:AXZ917525 BHI917514:BHV917525 BRE917514:BRR917525 CBA917514:CBN917525 CKW917514:CLJ917525 CUS917514:CVF917525 DEO917514:DFB917525 DOK917514:DOX917525 DYG917514:DYT917525 EIC917514:EIP917525 ERY917514:ESL917525 FBU917514:FCH917525 FLQ917514:FMD917525 FVM917514:FVZ917525 GFI917514:GFV917525 GPE917514:GPR917525 GZA917514:GZN917525 HIW917514:HJJ917525 HSS917514:HTF917525 ICO917514:IDB917525 IMK917514:IMX917525 IWG917514:IWT917525 JGC917514:JGP917525 JPY917514:JQL917525 JZU917514:KAH917525 KJQ917514:KKD917525 KTM917514:KTZ917525 LDI917514:LDV917525 LNE917514:LNR917525 LXA917514:LXN917525 MGW917514:MHJ917525 MQS917514:MRF917525 NAO917514:NBB917525 NKK917514:NKX917525 NUG917514:NUT917525 OEC917514:OEP917525 ONY917514:OOL917525 OXU917514:OYH917525 PHQ917514:PID917525 PRM917514:PRZ917525 QBI917514:QBV917525 QLE917514:QLR917525 QVA917514:QVN917525 REW917514:RFJ917525 ROS917514:RPF917525 RYO917514:RZB917525 SIK917514:SIX917525 SSG917514:SST917525 TCC917514:TCP917525 TLY917514:TML917525 TVU917514:TWH917525 UFQ917514:UGD917525 UPM917514:UPZ917525 UZI917514:UZV917525 VJE917514:VJR917525 VTA917514:VTN917525 WCW917514:WDJ917525 WMS917514:WNF917525 WWO917514:WXB917525 AG983050:AT983061 KC983050:KP983061 TY983050:UL983061 ADU983050:AEH983061 ANQ983050:AOD983061 AXM983050:AXZ983061 BHI983050:BHV983061 BRE983050:BRR983061 CBA983050:CBN983061 CKW983050:CLJ983061 CUS983050:CVF983061 DEO983050:DFB983061 DOK983050:DOX983061 DYG983050:DYT983061 EIC983050:EIP983061 ERY983050:ESL983061 FBU983050:FCH983061 FLQ983050:FMD983061 FVM983050:FVZ983061 GFI983050:GFV983061 GPE983050:GPR983061 GZA983050:GZN983061 HIW983050:HJJ983061 HSS983050:HTF983061 ICO983050:IDB983061 IMK983050:IMX983061 IWG983050:IWT983061 JGC983050:JGP983061 JPY983050:JQL983061 JZU983050:KAH983061 KJQ983050:KKD983061 KTM983050:KTZ983061 LDI983050:LDV983061 LNE983050:LNR983061 LXA983050:LXN983061 MGW983050:MHJ983061 MQS983050:MRF983061 NAO983050:NBB983061 NKK983050:NKX983061 NUG983050:NUT983061 OEC983050:OEP983061 ONY983050:OOL983061 OXU983050:OYH983061 PHQ983050:PID983061 PRM983050:PRZ983061 QBI983050:QBV983061 QLE983050:QLR983061 QVA983050:QVN983061 REW983050:RFJ983061 ROS983050:RPF983061 RYO983050:RZB983061 SIK983050:SIX983061 SSG983050:SST983061 TCC983050:TCP983061 TLY983050:TML983061 TVU983050:TWH983061 UFQ983050:UGD983061 UPM983050:UPZ983061 UZI983050:UZV983061 VJE983050:VJR983061 VTA983050:VTN983061 WCW983050:WDJ983061 WMS983050:WNF983061 WWO983050:WXB983061"/>
    <dataValidation type="list" allowBlank="1" showInputMessage="1" showErrorMessage="1" sqref="M10:N21 JI10:JJ21 TE10:TF21 ADA10:ADB21 AMW10:AMX21 AWS10:AWT21 BGO10:BGP21 BQK10:BQL21 CAG10:CAH21 CKC10:CKD21 CTY10:CTZ21 DDU10:DDV21 DNQ10:DNR21 DXM10:DXN21 EHI10:EHJ21 ERE10:ERF21 FBA10:FBB21 FKW10:FKX21 FUS10:FUT21 GEO10:GEP21 GOK10:GOL21 GYG10:GYH21 HIC10:HID21 HRY10:HRZ21 IBU10:IBV21 ILQ10:ILR21 IVM10:IVN21 JFI10:JFJ21 JPE10:JPF21 JZA10:JZB21 KIW10:KIX21 KSS10:KST21 LCO10:LCP21 LMK10:LML21 LWG10:LWH21 MGC10:MGD21 MPY10:MPZ21 MZU10:MZV21 NJQ10:NJR21 NTM10:NTN21 ODI10:ODJ21 ONE10:ONF21 OXA10:OXB21 PGW10:PGX21 PQS10:PQT21 QAO10:QAP21 QKK10:QKL21 QUG10:QUH21 REC10:RED21 RNY10:RNZ21 RXU10:RXV21 SHQ10:SHR21 SRM10:SRN21 TBI10:TBJ21 TLE10:TLF21 TVA10:TVB21 UEW10:UEX21 UOS10:UOT21 UYO10:UYP21 VIK10:VIL21 VSG10:VSH21 WCC10:WCD21 WLY10:WLZ21 WVU10:WVV21 M65546:N65557 JI65546:JJ65557 TE65546:TF65557 ADA65546:ADB65557 AMW65546:AMX65557 AWS65546:AWT65557 BGO65546:BGP65557 BQK65546:BQL65557 CAG65546:CAH65557 CKC65546:CKD65557 CTY65546:CTZ65557 DDU65546:DDV65557 DNQ65546:DNR65557 DXM65546:DXN65557 EHI65546:EHJ65557 ERE65546:ERF65557 FBA65546:FBB65557 FKW65546:FKX65557 FUS65546:FUT65557 GEO65546:GEP65557 GOK65546:GOL65557 GYG65546:GYH65557 HIC65546:HID65557 HRY65546:HRZ65557 IBU65546:IBV65557 ILQ65546:ILR65557 IVM65546:IVN65557 JFI65546:JFJ65557 JPE65546:JPF65557 JZA65546:JZB65557 KIW65546:KIX65557 KSS65546:KST65557 LCO65546:LCP65557 LMK65546:LML65557 LWG65546:LWH65557 MGC65546:MGD65557 MPY65546:MPZ65557 MZU65546:MZV65557 NJQ65546:NJR65557 NTM65546:NTN65557 ODI65546:ODJ65557 ONE65546:ONF65557 OXA65546:OXB65557 PGW65546:PGX65557 PQS65546:PQT65557 QAO65546:QAP65557 QKK65546:QKL65557 QUG65546:QUH65557 REC65546:RED65557 RNY65546:RNZ65557 RXU65546:RXV65557 SHQ65546:SHR65557 SRM65546:SRN65557 TBI65546:TBJ65557 TLE65546:TLF65557 TVA65546:TVB65557 UEW65546:UEX65557 UOS65546:UOT65557 UYO65546:UYP65557 VIK65546:VIL65557 VSG65546:VSH65557 WCC65546:WCD65557 WLY65546:WLZ65557 WVU65546:WVV65557 M131082:N131093 JI131082:JJ131093 TE131082:TF131093 ADA131082:ADB131093 AMW131082:AMX131093 AWS131082:AWT131093 BGO131082:BGP131093 BQK131082:BQL131093 CAG131082:CAH131093 CKC131082:CKD131093 CTY131082:CTZ131093 DDU131082:DDV131093 DNQ131082:DNR131093 DXM131082:DXN131093 EHI131082:EHJ131093 ERE131082:ERF131093 FBA131082:FBB131093 FKW131082:FKX131093 FUS131082:FUT131093 GEO131082:GEP131093 GOK131082:GOL131093 GYG131082:GYH131093 HIC131082:HID131093 HRY131082:HRZ131093 IBU131082:IBV131093 ILQ131082:ILR131093 IVM131082:IVN131093 JFI131082:JFJ131093 JPE131082:JPF131093 JZA131082:JZB131093 KIW131082:KIX131093 KSS131082:KST131093 LCO131082:LCP131093 LMK131082:LML131093 LWG131082:LWH131093 MGC131082:MGD131093 MPY131082:MPZ131093 MZU131082:MZV131093 NJQ131082:NJR131093 NTM131082:NTN131093 ODI131082:ODJ131093 ONE131082:ONF131093 OXA131082:OXB131093 PGW131082:PGX131093 PQS131082:PQT131093 QAO131082:QAP131093 QKK131082:QKL131093 QUG131082:QUH131093 REC131082:RED131093 RNY131082:RNZ131093 RXU131082:RXV131093 SHQ131082:SHR131093 SRM131082:SRN131093 TBI131082:TBJ131093 TLE131082:TLF131093 TVA131082:TVB131093 UEW131082:UEX131093 UOS131082:UOT131093 UYO131082:UYP131093 VIK131082:VIL131093 VSG131082:VSH131093 WCC131082:WCD131093 WLY131082:WLZ131093 WVU131082:WVV131093 M196618:N196629 JI196618:JJ196629 TE196618:TF196629 ADA196618:ADB196629 AMW196618:AMX196629 AWS196618:AWT196629 BGO196618:BGP196629 BQK196618:BQL196629 CAG196618:CAH196629 CKC196618:CKD196629 CTY196618:CTZ196629 DDU196618:DDV196629 DNQ196618:DNR196629 DXM196618:DXN196629 EHI196618:EHJ196629 ERE196618:ERF196629 FBA196618:FBB196629 FKW196618:FKX196629 FUS196618:FUT196629 GEO196618:GEP196629 GOK196618:GOL196629 GYG196618:GYH196629 HIC196618:HID196629 HRY196618:HRZ196629 IBU196618:IBV196629 ILQ196618:ILR196629 IVM196618:IVN196629 JFI196618:JFJ196629 JPE196618:JPF196629 JZA196618:JZB196629 KIW196618:KIX196629 KSS196618:KST196629 LCO196618:LCP196629 LMK196618:LML196629 LWG196618:LWH196629 MGC196618:MGD196629 MPY196618:MPZ196629 MZU196618:MZV196629 NJQ196618:NJR196629 NTM196618:NTN196629 ODI196618:ODJ196629 ONE196618:ONF196629 OXA196618:OXB196629 PGW196618:PGX196629 PQS196618:PQT196629 QAO196618:QAP196629 QKK196618:QKL196629 QUG196618:QUH196629 REC196618:RED196629 RNY196618:RNZ196629 RXU196618:RXV196629 SHQ196618:SHR196629 SRM196618:SRN196629 TBI196618:TBJ196629 TLE196618:TLF196629 TVA196618:TVB196629 UEW196618:UEX196629 UOS196618:UOT196629 UYO196618:UYP196629 VIK196618:VIL196629 VSG196618:VSH196629 WCC196618:WCD196629 WLY196618:WLZ196629 WVU196618:WVV196629 M262154:N262165 JI262154:JJ262165 TE262154:TF262165 ADA262154:ADB262165 AMW262154:AMX262165 AWS262154:AWT262165 BGO262154:BGP262165 BQK262154:BQL262165 CAG262154:CAH262165 CKC262154:CKD262165 CTY262154:CTZ262165 DDU262154:DDV262165 DNQ262154:DNR262165 DXM262154:DXN262165 EHI262154:EHJ262165 ERE262154:ERF262165 FBA262154:FBB262165 FKW262154:FKX262165 FUS262154:FUT262165 GEO262154:GEP262165 GOK262154:GOL262165 GYG262154:GYH262165 HIC262154:HID262165 HRY262154:HRZ262165 IBU262154:IBV262165 ILQ262154:ILR262165 IVM262154:IVN262165 JFI262154:JFJ262165 JPE262154:JPF262165 JZA262154:JZB262165 KIW262154:KIX262165 KSS262154:KST262165 LCO262154:LCP262165 LMK262154:LML262165 LWG262154:LWH262165 MGC262154:MGD262165 MPY262154:MPZ262165 MZU262154:MZV262165 NJQ262154:NJR262165 NTM262154:NTN262165 ODI262154:ODJ262165 ONE262154:ONF262165 OXA262154:OXB262165 PGW262154:PGX262165 PQS262154:PQT262165 QAO262154:QAP262165 QKK262154:QKL262165 QUG262154:QUH262165 REC262154:RED262165 RNY262154:RNZ262165 RXU262154:RXV262165 SHQ262154:SHR262165 SRM262154:SRN262165 TBI262154:TBJ262165 TLE262154:TLF262165 TVA262154:TVB262165 UEW262154:UEX262165 UOS262154:UOT262165 UYO262154:UYP262165 VIK262154:VIL262165 VSG262154:VSH262165 WCC262154:WCD262165 WLY262154:WLZ262165 WVU262154:WVV262165 M327690:N327701 JI327690:JJ327701 TE327690:TF327701 ADA327690:ADB327701 AMW327690:AMX327701 AWS327690:AWT327701 BGO327690:BGP327701 BQK327690:BQL327701 CAG327690:CAH327701 CKC327690:CKD327701 CTY327690:CTZ327701 DDU327690:DDV327701 DNQ327690:DNR327701 DXM327690:DXN327701 EHI327690:EHJ327701 ERE327690:ERF327701 FBA327690:FBB327701 FKW327690:FKX327701 FUS327690:FUT327701 GEO327690:GEP327701 GOK327690:GOL327701 GYG327690:GYH327701 HIC327690:HID327701 HRY327690:HRZ327701 IBU327690:IBV327701 ILQ327690:ILR327701 IVM327690:IVN327701 JFI327690:JFJ327701 JPE327690:JPF327701 JZA327690:JZB327701 KIW327690:KIX327701 KSS327690:KST327701 LCO327690:LCP327701 LMK327690:LML327701 LWG327690:LWH327701 MGC327690:MGD327701 MPY327690:MPZ327701 MZU327690:MZV327701 NJQ327690:NJR327701 NTM327690:NTN327701 ODI327690:ODJ327701 ONE327690:ONF327701 OXA327690:OXB327701 PGW327690:PGX327701 PQS327690:PQT327701 QAO327690:QAP327701 QKK327690:QKL327701 QUG327690:QUH327701 REC327690:RED327701 RNY327690:RNZ327701 RXU327690:RXV327701 SHQ327690:SHR327701 SRM327690:SRN327701 TBI327690:TBJ327701 TLE327690:TLF327701 TVA327690:TVB327701 UEW327690:UEX327701 UOS327690:UOT327701 UYO327690:UYP327701 VIK327690:VIL327701 VSG327690:VSH327701 WCC327690:WCD327701 WLY327690:WLZ327701 WVU327690:WVV327701 M393226:N393237 JI393226:JJ393237 TE393226:TF393237 ADA393226:ADB393237 AMW393226:AMX393237 AWS393226:AWT393237 BGO393226:BGP393237 BQK393226:BQL393237 CAG393226:CAH393237 CKC393226:CKD393237 CTY393226:CTZ393237 DDU393226:DDV393237 DNQ393226:DNR393237 DXM393226:DXN393237 EHI393226:EHJ393237 ERE393226:ERF393237 FBA393226:FBB393237 FKW393226:FKX393237 FUS393226:FUT393237 GEO393226:GEP393237 GOK393226:GOL393237 GYG393226:GYH393237 HIC393226:HID393237 HRY393226:HRZ393237 IBU393226:IBV393237 ILQ393226:ILR393237 IVM393226:IVN393237 JFI393226:JFJ393237 JPE393226:JPF393237 JZA393226:JZB393237 KIW393226:KIX393237 KSS393226:KST393237 LCO393226:LCP393237 LMK393226:LML393237 LWG393226:LWH393237 MGC393226:MGD393237 MPY393226:MPZ393237 MZU393226:MZV393237 NJQ393226:NJR393237 NTM393226:NTN393237 ODI393226:ODJ393237 ONE393226:ONF393237 OXA393226:OXB393237 PGW393226:PGX393237 PQS393226:PQT393237 QAO393226:QAP393237 QKK393226:QKL393237 QUG393226:QUH393237 REC393226:RED393237 RNY393226:RNZ393237 RXU393226:RXV393237 SHQ393226:SHR393237 SRM393226:SRN393237 TBI393226:TBJ393237 TLE393226:TLF393237 TVA393226:TVB393237 UEW393226:UEX393237 UOS393226:UOT393237 UYO393226:UYP393237 VIK393226:VIL393237 VSG393226:VSH393237 WCC393226:WCD393237 WLY393226:WLZ393237 WVU393226:WVV393237 M458762:N458773 JI458762:JJ458773 TE458762:TF458773 ADA458762:ADB458773 AMW458762:AMX458773 AWS458762:AWT458773 BGO458762:BGP458773 BQK458762:BQL458773 CAG458762:CAH458773 CKC458762:CKD458773 CTY458762:CTZ458773 DDU458762:DDV458773 DNQ458762:DNR458773 DXM458762:DXN458773 EHI458762:EHJ458773 ERE458762:ERF458773 FBA458762:FBB458773 FKW458762:FKX458773 FUS458762:FUT458773 GEO458762:GEP458773 GOK458762:GOL458773 GYG458762:GYH458773 HIC458762:HID458773 HRY458762:HRZ458773 IBU458762:IBV458773 ILQ458762:ILR458773 IVM458762:IVN458773 JFI458762:JFJ458773 JPE458762:JPF458773 JZA458762:JZB458773 KIW458762:KIX458773 KSS458762:KST458773 LCO458762:LCP458773 LMK458762:LML458773 LWG458762:LWH458773 MGC458762:MGD458773 MPY458762:MPZ458773 MZU458762:MZV458773 NJQ458762:NJR458773 NTM458762:NTN458773 ODI458762:ODJ458773 ONE458762:ONF458773 OXA458762:OXB458773 PGW458762:PGX458773 PQS458762:PQT458773 QAO458762:QAP458773 QKK458762:QKL458773 QUG458762:QUH458773 REC458762:RED458773 RNY458762:RNZ458773 RXU458762:RXV458773 SHQ458762:SHR458773 SRM458762:SRN458773 TBI458762:TBJ458773 TLE458762:TLF458773 TVA458762:TVB458773 UEW458762:UEX458773 UOS458762:UOT458773 UYO458762:UYP458773 VIK458762:VIL458773 VSG458762:VSH458773 WCC458762:WCD458773 WLY458762:WLZ458773 WVU458762:WVV458773 M524298:N524309 JI524298:JJ524309 TE524298:TF524309 ADA524298:ADB524309 AMW524298:AMX524309 AWS524298:AWT524309 BGO524298:BGP524309 BQK524298:BQL524309 CAG524298:CAH524309 CKC524298:CKD524309 CTY524298:CTZ524309 DDU524298:DDV524309 DNQ524298:DNR524309 DXM524298:DXN524309 EHI524298:EHJ524309 ERE524298:ERF524309 FBA524298:FBB524309 FKW524298:FKX524309 FUS524298:FUT524309 GEO524298:GEP524309 GOK524298:GOL524309 GYG524298:GYH524309 HIC524298:HID524309 HRY524298:HRZ524309 IBU524298:IBV524309 ILQ524298:ILR524309 IVM524298:IVN524309 JFI524298:JFJ524309 JPE524298:JPF524309 JZA524298:JZB524309 KIW524298:KIX524309 KSS524298:KST524309 LCO524298:LCP524309 LMK524298:LML524309 LWG524298:LWH524309 MGC524298:MGD524309 MPY524298:MPZ524309 MZU524298:MZV524309 NJQ524298:NJR524309 NTM524298:NTN524309 ODI524298:ODJ524309 ONE524298:ONF524309 OXA524298:OXB524309 PGW524298:PGX524309 PQS524298:PQT524309 QAO524298:QAP524309 QKK524298:QKL524309 QUG524298:QUH524309 REC524298:RED524309 RNY524298:RNZ524309 RXU524298:RXV524309 SHQ524298:SHR524309 SRM524298:SRN524309 TBI524298:TBJ524309 TLE524298:TLF524309 TVA524298:TVB524309 UEW524298:UEX524309 UOS524298:UOT524309 UYO524298:UYP524309 VIK524298:VIL524309 VSG524298:VSH524309 WCC524298:WCD524309 WLY524298:WLZ524309 WVU524298:WVV524309 M589834:N589845 JI589834:JJ589845 TE589834:TF589845 ADA589834:ADB589845 AMW589834:AMX589845 AWS589834:AWT589845 BGO589834:BGP589845 BQK589834:BQL589845 CAG589834:CAH589845 CKC589834:CKD589845 CTY589834:CTZ589845 DDU589834:DDV589845 DNQ589834:DNR589845 DXM589834:DXN589845 EHI589834:EHJ589845 ERE589834:ERF589845 FBA589834:FBB589845 FKW589834:FKX589845 FUS589834:FUT589845 GEO589834:GEP589845 GOK589834:GOL589845 GYG589834:GYH589845 HIC589834:HID589845 HRY589834:HRZ589845 IBU589834:IBV589845 ILQ589834:ILR589845 IVM589834:IVN589845 JFI589834:JFJ589845 JPE589834:JPF589845 JZA589834:JZB589845 KIW589834:KIX589845 KSS589834:KST589845 LCO589834:LCP589845 LMK589834:LML589845 LWG589834:LWH589845 MGC589834:MGD589845 MPY589834:MPZ589845 MZU589834:MZV589845 NJQ589834:NJR589845 NTM589834:NTN589845 ODI589834:ODJ589845 ONE589834:ONF589845 OXA589834:OXB589845 PGW589834:PGX589845 PQS589834:PQT589845 QAO589834:QAP589845 QKK589834:QKL589845 QUG589834:QUH589845 REC589834:RED589845 RNY589834:RNZ589845 RXU589834:RXV589845 SHQ589834:SHR589845 SRM589834:SRN589845 TBI589834:TBJ589845 TLE589834:TLF589845 TVA589834:TVB589845 UEW589834:UEX589845 UOS589834:UOT589845 UYO589834:UYP589845 VIK589834:VIL589845 VSG589834:VSH589845 WCC589834:WCD589845 WLY589834:WLZ589845 WVU589834:WVV589845 M655370:N655381 JI655370:JJ655381 TE655370:TF655381 ADA655370:ADB655381 AMW655370:AMX655381 AWS655370:AWT655381 BGO655370:BGP655381 BQK655370:BQL655381 CAG655370:CAH655381 CKC655370:CKD655381 CTY655370:CTZ655381 DDU655370:DDV655381 DNQ655370:DNR655381 DXM655370:DXN655381 EHI655370:EHJ655381 ERE655370:ERF655381 FBA655370:FBB655381 FKW655370:FKX655381 FUS655370:FUT655381 GEO655370:GEP655381 GOK655370:GOL655381 GYG655370:GYH655381 HIC655370:HID655381 HRY655370:HRZ655381 IBU655370:IBV655381 ILQ655370:ILR655381 IVM655370:IVN655381 JFI655370:JFJ655381 JPE655370:JPF655381 JZA655370:JZB655381 KIW655370:KIX655381 KSS655370:KST655381 LCO655370:LCP655381 LMK655370:LML655381 LWG655370:LWH655381 MGC655370:MGD655381 MPY655370:MPZ655381 MZU655370:MZV655381 NJQ655370:NJR655381 NTM655370:NTN655381 ODI655370:ODJ655381 ONE655370:ONF655381 OXA655370:OXB655381 PGW655370:PGX655381 PQS655370:PQT655381 QAO655370:QAP655381 QKK655370:QKL655381 QUG655370:QUH655381 REC655370:RED655381 RNY655370:RNZ655381 RXU655370:RXV655381 SHQ655370:SHR655381 SRM655370:SRN655381 TBI655370:TBJ655381 TLE655370:TLF655381 TVA655370:TVB655381 UEW655370:UEX655381 UOS655370:UOT655381 UYO655370:UYP655381 VIK655370:VIL655381 VSG655370:VSH655381 WCC655370:WCD655381 WLY655370:WLZ655381 WVU655370:WVV655381 M720906:N720917 JI720906:JJ720917 TE720906:TF720917 ADA720906:ADB720917 AMW720906:AMX720917 AWS720906:AWT720917 BGO720906:BGP720917 BQK720906:BQL720917 CAG720906:CAH720917 CKC720906:CKD720917 CTY720906:CTZ720917 DDU720906:DDV720917 DNQ720906:DNR720917 DXM720906:DXN720917 EHI720906:EHJ720917 ERE720906:ERF720917 FBA720906:FBB720917 FKW720906:FKX720917 FUS720906:FUT720917 GEO720906:GEP720917 GOK720906:GOL720917 GYG720906:GYH720917 HIC720906:HID720917 HRY720906:HRZ720917 IBU720906:IBV720917 ILQ720906:ILR720917 IVM720906:IVN720917 JFI720906:JFJ720917 JPE720906:JPF720917 JZA720906:JZB720917 KIW720906:KIX720917 KSS720906:KST720917 LCO720906:LCP720917 LMK720906:LML720917 LWG720906:LWH720917 MGC720906:MGD720917 MPY720906:MPZ720917 MZU720906:MZV720917 NJQ720906:NJR720917 NTM720906:NTN720917 ODI720906:ODJ720917 ONE720906:ONF720917 OXA720906:OXB720917 PGW720906:PGX720917 PQS720906:PQT720917 QAO720906:QAP720917 QKK720906:QKL720917 QUG720906:QUH720917 REC720906:RED720917 RNY720906:RNZ720917 RXU720906:RXV720917 SHQ720906:SHR720917 SRM720906:SRN720917 TBI720906:TBJ720917 TLE720906:TLF720917 TVA720906:TVB720917 UEW720906:UEX720917 UOS720906:UOT720917 UYO720906:UYP720917 VIK720906:VIL720917 VSG720906:VSH720917 WCC720906:WCD720917 WLY720906:WLZ720917 WVU720906:WVV720917 M786442:N786453 JI786442:JJ786453 TE786442:TF786453 ADA786442:ADB786453 AMW786442:AMX786453 AWS786442:AWT786453 BGO786442:BGP786453 BQK786442:BQL786453 CAG786442:CAH786453 CKC786442:CKD786453 CTY786442:CTZ786453 DDU786442:DDV786453 DNQ786442:DNR786453 DXM786442:DXN786453 EHI786442:EHJ786453 ERE786442:ERF786453 FBA786442:FBB786453 FKW786442:FKX786453 FUS786442:FUT786453 GEO786442:GEP786453 GOK786442:GOL786453 GYG786442:GYH786453 HIC786442:HID786453 HRY786442:HRZ786453 IBU786442:IBV786453 ILQ786442:ILR786453 IVM786442:IVN786453 JFI786442:JFJ786453 JPE786442:JPF786453 JZA786442:JZB786453 KIW786442:KIX786453 KSS786442:KST786453 LCO786442:LCP786453 LMK786442:LML786453 LWG786442:LWH786453 MGC786442:MGD786453 MPY786442:MPZ786453 MZU786442:MZV786453 NJQ786442:NJR786453 NTM786442:NTN786453 ODI786442:ODJ786453 ONE786442:ONF786453 OXA786442:OXB786453 PGW786442:PGX786453 PQS786442:PQT786453 QAO786442:QAP786453 QKK786442:QKL786453 QUG786442:QUH786453 REC786442:RED786453 RNY786442:RNZ786453 RXU786442:RXV786453 SHQ786442:SHR786453 SRM786442:SRN786453 TBI786442:TBJ786453 TLE786442:TLF786453 TVA786442:TVB786453 UEW786442:UEX786453 UOS786442:UOT786453 UYO786442:UYP786453 VIK786442:VIL786453 VSG786442:VSH786453 WCC786442:WCD786453 WLY786442:WLZ786453 WVU786442:WVV786453 M851978:N851989 JI851978:JJ851989 TE851978:TF851989 ADA851978:ADB851989 AMW851978:AMX851989 AWS851978:AWT851989 BGO851978:BGP851989 BQK851978:BQL851989 CAG851978:CAH851989 CKC851978:CKD851989 CTY851978:CTZ851989 DDU851978:DDV851989 DNQ851978:DNR851989 DXM851978:DXN851989 EHI851978:EHJ851989 ERE851978:ERF851989 FBA851978:FBB851989 FKW851978:FKX851989 FUS851978:FUT851989 GEO851978:GEP851989 GOK851978:GOL851989 GYG851978:GYH851989 HIC851978:HID851989 HRY851978:HRZ851989 IBU851978:IBV851989 ILQ851978:ILR851989 IVM851978:IVN851989 JFI851978:JFJ851989 JPE851978:JPF851989 JZA851978:JZB851989 KIW851978:KIX851989 KSS851978:KST851989 LCO851978:LCP851989 LMK851978:LML851989 LWG851978:LWH851989 MGC851978:MGD851989 MPY851978:MPZ851989 MZU851978:MZV851989 NJQ851978:NJR851989 NTM851978:NTN851989 ODI851978:ODJ851989 ONE851978:ONF851989 OXA851978:OXB851989 PGW851978:PGX851989 PQS851978:PQT851989 QAO851978:QAP851989 QKK851978:QKL851989 QUG851978:QUH851989 REC851978:RED851989 RNY851978:RNZ851989 RXU851978:RXV851989 SHQ851978:SHR851989 SRM851978:SRN851989 TBI851978:TBJ851989 TLE851978:TLF851989 TVA851978:TVB851989 UEW851978:UEX851989 UOS851978:UOT851989 UYO851978:UYP851989 VIK851978:VIL851989 VSG851978:VSH851989 WCC851978:WCD851989 WLY851978:WLZ851989 WVU851978:WVV851989 M917514:N917525 JI917514:JJ917525 TE917514:TF917525 ADA917514:ADB917525 AMW917514:AMX917525 AWS917514:AWT917525 BGO917514:BGP917525 BQK917514:BQL917525 CAG917514:CAH917525 CKC917514:CKD917525 CTY917514:CTZ917525 DDU917514:DDV917525 DNQ917514:DNR917525 DXM917514:DXN917525 EHI917514:EHJ917525 ERE917514:ERF917525 FBA917514:FBB917525 FKW917514:FKX917525 FUS917514:FUT917525 GEO917514:GEP917525 GOK917514:GOL917525 GYG917514:GYH917525 HIC917514:HID917525 HRY917514:HRZ917525 IBU917514:IBV917525 ILQ917514:ILR917525 IVM917514:IVN917525 JFI917514:JFJ917525 JPE917514:JPF917525 JZA917514:JZB917525 KIW917514:KIX917525 KSS917514:KST917525 LCO917514:LCP917525 LMK917514:LML917525 LWG917514:LWH917525 MGC917514:MGD917525 MPY917514:MPZ917525 MZU917514:MZV917525 NJQ917514:NJR917525 NTM917514:NTN917525 ODI917514:ODJ917525 ONE917514:ONF917525 OXA917514:OXB917525 PGW917514:PGX917525 PQS917514:PQT917525 QAO917514:QAP917525 QKK917514:QKL917525 QUG917514:QUH917525 REC917514:RED917525 RNY917514:RNZ917525 RXU917514:RXV917525 SHQ917514:SHR917525 SRM917514:SRN917525 TBI917514:TBJ917525 TLE917514:TLF917525 TVA917514:TVB917525 UEW917514:UEX917525 UOS917514:UOT917525 UYO917514:UYP917525 VIK917514:VIL917525 VSG917514:VSH917525 WCC917514:WCD917525 WLY917514:WLZ917525 WVU917514:WVV917525 M983050:N983061 JI983050:JJ983061 TE983050:TF983061 ADA983050:ADB983061 AMW983050:AMX983061 AWS983050:AWT983061 BGO983050:BGP983061 BQK983050:BQL983061 CAG983050:CAH983061 CKC983050:CKD983061 CTY983050:CTZ983061 DDU983050:DDV983061 DNQ983050:DNR983061 DXM983050:DXN983061 EHI983050:EHJ983061 ERE983050:ERF983061 FBA983050:FBB983061 FKW983050:FKX983061 FUS983050:FUT983061 GEO983050:GEP983061 GOK983050:GOL983061 GYG983050:GYH983061 HIC983050:HID983061 HRY983050:HRZ983061 IBU983050:IBV983061 ILQ983050:ILR983061 IVM983050:IVN983061 JFI983050:JFJ983061 JPE983050:JPF983061 JZA983050:JZB983061 KIW983050:KIX983061 KSS983050:KST983061 LCO983050:LCP983061 LMK983050:LML983061 LWG983050:LWH983061 MGC983050:MGD983061 MPY983050:MPZ983061 MZU983050:MZV983061 NJQ983050:NJR983061 NTM983050:NTN983061 ODI983050:ODJ983061 ONE983050:ONF983061 OXA983050:OXB983061 PGW983050:PGX983061 PQS983050:PQT983061 QAO983050:QAP983061 QKK983050:QKL983061 QUG983050:QUH983061 REC983050:RED983061 RNY983050:RNZ983061 RXU983050:RXV983061 SHQ983050:SHR983061 SRM983050:SRN983061 TBI983050:TBJ983061 TLE983050:TLF983061 TVA983050:TVB983061 UEW983050:UEX983061 UOS983050:UOT983061 UYO983050:UYP983061 VIK983050:VIL983061 VSG983050:VSH983061 WCC983050:WCD983061 WLY983050:WLZ983061 WVU983050:WVV983061">
      <formula1>Impacto</formula1>
    </dataValidation>
    <dataValidation type="list" showInputMessage="1" showErrorMessage="1" sqref="L10:L21 JH10:JH21 TD10:TD21 ACZ10:ACZ21 AMV10:AMV21 AWR10:AWR21 BGN10:BGN21 BQJ10:BQJ21 CAF10:CAF21 CKB10:CKB21 CTX10:CTX21 DDT10:DDT21 DNP10:DNP21 DXL10:DXL21 EHH10:EHH21 ERD10:ERD21 FAZ10:FAZ21 FKV10:FKV21 FUR10:FUR21 GEN10:GEN21 GOJ10:GOJ21 GYF10:GYF21 HIB10:HIB21 HRX10:HRX21 IBT10:IBT21 ILP10:ILP21 IVL10:IVL21 JFH10:JFH21 JPD10:JPD21 JYZ10:JYZ21 KIV10:KIV21 KSR10:KSR21 LCN10:LCN21 LMJ10:LMJ21 LWF10:LWF21 MGB10:MGB21 MPX10:MPX21 MZT10:MZT21 NJP10:NJP21 NTL10:NTL21 ODH10:ODH21 OND10:OND21 OWZ10:OWZ21 PGV10:PGV21 PQR10:PQR21 QAN10:QAN21 QKJ10:QKJ21 QUF10:QUF21 REB10:REB21 RNX10:RNX21 RXT10:RXT21 SHP10:SHP21 SRL10:SRL21 TBH10:TBH21 TLD10:TLD21 TUZ10:TUZ21 UEV10:UEV21 UOR10:UOR21 UYN10:UYN21 VIJ10:VIJ21 VSF10:VSF21 WCB10:WCB21 WLX10:WLX21 WVT10:WVT21 L65546:L65557 JH65546:JH65557 TD65546:TD65557 ACZ65546:ACZ65557 AMV65546:AMV65557 AWR65546:AWR65557 BGN65546:BGN65557 BQJ65546:BQJ65557 CAF65546:CAF65557 CKB65546:CKB65557 CTX65546:CTX65557 DDT65546:DDT65557 DNP65546:DNP65557 DXL65546:DXL65557 EHH65546:EHH65557 ERD65546:ERD65557 FAZ65546:FAZ65557 FKV65546:FKV65557 FUR65546:FUR65557 GEN65546:GEN65557 GOJ65546:GOJ65557 GYF65546:GYF65557 HIB65546:HIB65557 HRX65546:HRX65557 IBT65546:IBT65557 ILP65546:ILP65557 IVL65546:IVL65557 JFH65546:JFH65557 JPD65546:JPD65557 JYZ65546:JYZ65557 KIV65546:KIV65557 KSR65546:KSR65557 LCN65546:LCN65557 LMJ65546:LMJ65557 LWF65546:LWF65557 MGB65546:MGB65557 MPX65546:MPX65557 MZT65546:MZT65557 NJP65546:NJP65557 NTL65546:NTL65557 ODH65546:ODH65557 OND65546:OND65557 OWZ65546:OWZ65557 PGV65546:PGV65557 PQR65546:PQR65557 QAN65546:QAN65557 QKJ65546:QKJ65557 QUF65546:QUF65557 REB65546:REB65557 RNX65546:RNX65557 RXT65546:RXT65557 SHP65546:SHP65557 SRL65546:SRL65557 TBH65546:TBH65557 TLD65546:TLD65557 TUZ65546:TUZ65557 UEV65546:UEV65557 UOR65546:UOR65557 UYN65546:UYN65557 VIJ65546:VIJ65557 VSF65546:VSF65557 WCB65546:WCB65557 WLX65546:WLX65557 WVT65546:WVT65557 L131082:L131093 JH131082:JH131093 TD131082:TD131093 ACZ131082:ACZ131093 AMV131082:AMV131093 AWR131082:AWR131093 BGN131082:BGN131093 BQJ131082:BQJ131093 CAF131082:CAF131093 CKB131082:CKB131093 CTX131082:CTX131093 DDT131082:DDT131093 DNP131082:DNP131093 DXL131082:DXL131093 EHH131082:EHH131093 ERD131082:ERD131093 FAZ131082:FAZ131093 FKV131082:FKV131093 FUR131082:FUR131093 GEN131082:GEN131093 GOJ131082:GOJ131093 GYF131082:GYF131093 HIB131082:HIB131093 HRX131082:HRX131093 IBT131082:IBT131093 ILP131082:ILP131093 IVL131082:IVL131093 JFH131082:JFH131093 JPD131082:JPD131093 JYZ131082:JYZ131093 KIV131082:KIV131093 KSR131082:KSR131093 LCN131082:LCN131093 LMJ131082:LMJ131093 LWF131082:LWF131093 MGB131082:MGB131093 MPX131082:MPX131093 MZT131082:MZT131093 NJP131082:NJP131093 NTL131082:NTL131093 ODH131082:ODH131093 OND131082:OND131093 OWZ131082:OWZ131093 PGV131082:PGV131093 PQR131082:PQR131093 QAN131082:QAN131093 QKJ131082:QKJ131093 QUF131082:QUF131093 REB131082:REB131093 RNX131082:RNX131093 RXT131082:RXT131093 SHP131082:SHP131093 SRL131082:SRL131093 TBH131082:TBH131093 TLD131082:TLD131093 TUZ131082:TUZ131093 UEV131082:UEV131093 UOR131082:UOR131093 UYN131082:UYN131093 VIJ131082:VIJ131093 VSF131082:VSF131093 WCB131082:WCB131093 WLX131082:WLX131093 WVT131082:WVT131093 L196618:L196629 JH196618:JH196629 TD196618:TD196629 ACZ196618:ACZ196629 AMV196618:AMV196629 AWR196618:AWR196629 BGN196618:BGN196629 BQJ196618:BQJ196629 CAF196618:CAF196629 CKB196618:CKB196629 CTX196618:CTX196629 DDT196618:DDT196629 DNP196618:DNP196629 DXL196618:DXL196629 EHH196618:EHH196629 ERD196618:ERD196629 FAZ196618:FAZ196629 FKV196618:FKV196629 FUR196618:FUR196629 GEN196618:GEN196629 GOJ196618:GOJ196629 GYF196618:GYF196629 HIB196618:HIB196629 HRX196618:HRX196629 IBT196618:IBT196629 ILP196618:ILP196629 IVL196618:IVL196629 JFH196618:JFH196629 JPD196618:JPD196629 JYZ196618:JYZ196629 KIV196618:KIV196629 KSR196618:KSR196629 LCN196618:LCN196629 LMJ196618:LMJ196629 LWF196618:LWF196629 MGB196618:MGB196629 MPX196618:MPX196629 MZT196618:MZT196629 NJP196618:NJP196629 NTL196618:NTL196629 ODH196618:ODH196629 OND196618:OND196629 OWZ196618:OWZ196629 PGV196618:PGV196629 PQR196618:PQR196629 QAN196618:QAN196629 QKJ196618:QKJ196629 QUF196618:QUF196629 REB196618:REB196629 RNX196618:RNX196629 RXT196618:RXT196629 SHP196618:SHP196629 SRL196618:SRL196629 TBH196618:TBH196629 TLD196618:TLD196629 TUZ196618:TUZ196629 UEV196618:UEV196629 UOR196618:UOR196629 UYN196618:UYN196629 VIJ196618:VIJ196629 VSF196618:VSF196629 WCB196618:WCB196629 WLX196618:WLX196629 WVT196618:WVT196629 L262154:L262165 JH262154:JH262165 TD262154:TD262165 ACZ262154:ACZ262165 AMV262154:AMV262165 AWR262154:AWR262165 BGN262154:BGN262165 BQJ262154:BQJ262165 CAF262154:CAF262165 CKB262154:CKB262165 CTX262154:CTX262165 DDT262154:DDT262165 DNP262154:DNP262165 DXL262154:DXL262165 EHH262154:EHH262165 ERD262154:ERD262165 FAZ262154:FAZ262165 FKV262154:FKV262165 FUR262154:FUR262165 GEN262154:GEN262165 GOJ262154:GOJ262165 GYF262154:GYF262165 HIB262154:HIB262165 HRX262154:HRX262165 IBT262154:IBT262165 ILP262154:ILP262165 IVL262154:IVL262165 JFH262154:JFH262165 JPD262154:JPD262165 JYZ262154:JYZ262165 KIV262154:KIV262165 KSR262154:KSR262165 LCN262154:LCN262165 LMJ262154:LMJ262165 LWF262154:LWF262165 MGB262154:MGB262165 MPX262154:MPX262165 MZT262154:MZT262165 NJP262154:NJP262165 NTL262154:NTL262165 ODH262154:ODH262165 OND262154:OND262165 OWZ262154:OWZ262165 PGV262154:PGV262165 PQR262154:PQR262165 QAN262154:QAN262165 QKJ262154:QKJ262165 QUF262154:QUF262165 REB262154:REB262165 RNX262154:RNX262165 RXT262154:RXT262165 SHP262154:SHP262165 SRL262154:SRL262165 TBH262154:TBH262165 TLD262154:TLD262165 TUZ262154:TUZ262165 UEV262154:UEV262165 UOR262154:UOR262165 UYN262154:UYN262165 VIJ262154:VIJ262165 VSF262154:VSF262165 WCB262154:WCB262165 WLX262154:WLX262165 WVT262154:WVT262165 L327690:L327701 JH327690:JH327701 TD327690:TD327701 ACZ327690:ACZ327701 AMV327690:AMV327701 AWR327690:AWR327701 BGN327690:BGN327701 BQJ327690:BQJ327701 CAF327690:CAF327701 CKB327690:CKB327701 CTX327690:CTX327701 DDT327690:DDT327701 DNP327690:DNP327701 DXL327690:DXL327701 EHH327690:EHH327701 ERD327690:ERD327701 FAZ327690:FAZ327701 FKV327690:FKV327701 FUR327690:FUR327701 GEN327690:GEN327701 GOJ327690:GOJ327701 GYF327690:GYF327701 HIB327690:HIB327701 HRX327690:HRX327701 IBT327690:IBT327701 ILP327690:ILP327701 IVL327690:IVL327701 JFH327690:JFH327701 JPD327690:JPD327701 JYZ327690:JYZ327701 KIV327690:KIV327701 KSR327690:KSR327701 LCN327690:LCN327701 LMJ327690:LMJ327701 LWF327690:LWF327701 MGB327690:MGB327701 MPX327690:MPX327701 MZT327690:MZT327701 NJP327690:NJP327701 NTL327690:NTL327701 ODH327690:ODH327701 OND327690:OND327701 OWZ327690:OWZ327701 PGV327690:PGV327701 PQR327690:PQR327701 QAN327690:QAN327701 QKJ327690:QKJ327701 QUF327690:QUF327701 REB327690:REB327701 RNX327690:RNX327701 RXT327690:RXT327701 SHP327690:SHP327701 SRL327690:SRL327701 TBH327690:TBH327701 TLD327690:TLD327701 TUZ327690:TUZ327701 UEV327690:UEV327701 UOR327690:UOR327701 UYN327690:UYN327701 VIJ327690:VIJ327701 VSF327690:VSF327701 WCB327690:WCB327701 WLX327690:WLX327701 WVT327690:WVT327701 L393226:L393237 JH393226:JH393237 TD393226:TD393237 ACZ393226:ACZ393237 AMV393226:AMV393237 AWR393226:AWR393237 BGN393226:BGN393237 BQJ393226:BQJ393237 CAF393226:CAF393237 CKB393226:CKB393237 CTX393226:CTX393237 DDT393226:DDT393237 DNP393226:DNP393237 DXL393226:DXL393237 EHH393226:EHH393237 ERD393226:ERD393237 FAZ393226:FAZ393237 FKV393226:FKV393237 FUR393226:FUR393237 GEN393226:GEN393237 GOJ393226:GOJ393237 GYF393226:GYF393237 HIB393226:HIB393237 HRX393226:HRX393237 IBT393226:IBT393237 ILP393226:ILP393237 IVL393226:IVL393237 JFH393226:JFH393237 JPD393226:JPD393237 JYZ393226:JYZ393237 KIV393226:KIV393237 KSR393226:KSR393237 LCN393226:LCN393237 LMJ393226:LMJ393237 LWF393226:LWF393237 MGB393226:MGB393237 MPX393226:MPX393237 MZT393226:MZT393237 NJP393226:NJP393237 NTL393226:NTL393237 ODH393226:ODH393237 OND393226:OND393237 OWZ393226:OWZ393237 PGV393226:PGV393237 PQR393226:PQR393237 QAN393226:QAN393237 QKJ393226:QKJ393237 QUF393226:QUF393237 REB393226:REB393237 RNX393226:RNX393237 RXT393226:RXT393237 SHP393226:SHP393237 SRL393226:SRL393237 TBH393226:TBH393237 TLD393226:TLD393237 TUZ393226:TUZ393237 UEV393226:UEV393237 UOR393226:UOR393237 UYN393226:UYN393237 VIJ393226:VIJ393237 VSF393226:VSF393237 WCB393226:WCB393237 WLX393226:WLX393237 WVT393226:WVT393237 L458762:L458773 JH458762:JH458773 TD458762:TD458773 ACZ458762:ACZ458773 AMV458762:AMV458773 AWR458762:AWR458773 BGN458762:BGN458773 BQJ458762:BQJ458773 CAF458762:CAF458773 CKB458762:CKB458773 CTX458762:CTX458773 DDT458762:DDT458773 DNP458762:DNP458773 DXL458762:DXL458773 EHH458762:EHH458773 ERD458762:ERD458773 FAZ458762:FAZ458773 FKV458762:FKV458773 FUR458762:FUR458773 GEN458762:GEN458773 GOJ458762:GOJ458773 GYF458762:GYF458773 HIB458762:HIB458773 HRX458762:HRX458773 IBT458762:IBT458773 ILP458762:ILP458773 IVL458762:IVL458773 JFH458762:JFH458773 JPD458762:JPD458773 JYZ458762:JYZ458773 KIV458762:KIV458773 KSR458762:KSR458773 LCN458762:LCN458773 LMJ458762:LMJ458773 LWF458762:LWF458773 MGB458762:MGB458773 MPX458762:MPX458773 MZT458762:MZT458773 NJP458762:NJP458773 NTL458762:NTL458773 ODH458762:ODH458773 OND458762:OND458773 OWZ458762:OWZ458773 PGV458762:PGV458773 PQR458762:PQR458773 QAN458762:QAN458773 QKJ458762:QKJ458773 QUF458762:QUF458773 REB458762:REB458773 RNX458762:RNX458773 RXT458762:RXT458773 SHP458762:SHP458773 SRL458762:SRL458773 TBH458762:TBH458773 TLD458762:TLD458773 TUZ458762:TUZ458773 UEV458762:UEV458773 UOR458762:UOR458773 UYN458762:UYN458773 VIJ458762:VIJ458773 VSF458762:VSF458773 WCB458762:WCB458773 WLX458762:WLX458773 WVT458762:WVT458773 L524298:L524309 JH524298:JH524309 TD524298:TD524309 ACZ524298:ACZ524309 AMV524298:AMV524309 AWR524298:AWR524309 BGN524298:BGN524309 BQJ524298:BQJ524309 CAF524298:CAF524309 CKB524298:CKB524309 CTX524298:CTX524309 DDT524298:DDT524309 DNP524298:DNP524309 DXL524298:DXL524309 EHH524298:EHH524309 ERD524298:ERD524309 FAZ524298:FAZ524309 FKV524298:FKV524309 FUR524298:FUR524309 GEN524298:GEN524309 GOJ524298:GOJ524309 GYF524298:GYF524309 HIB524298:HIB524309 HRX524298:HRX524309 IBT524298:IBT524309 ILP524298:ILP524309 IVL524298:IVL524309 JFH524298:JFH524309 JPD524298:JPD524309 JYZ524298:JYZ524309 KIV524298:KIV524309 KSR524298:KSR524309 LCN524298:LCN524309 LMJ524298:LMJ524309 LWF524298:LWF524309 MGB524298:MGB524309 MPX524298:MPX524309 MZT524298:MZT524309 NJP524298:NJP524309 NTL524298:NTL524309 ODH524298:ODH524309 OND524298:OND524309 OWZ524298:OWZ524309 PGV524298:PGV524309 PQR524298:PQR524309 QAN524298:QAN524309 QKJ524298:QKJ524309 QUF524298:QUF524309 REB524298:REB524309 RNX524298:RNX524309 RXT524298:RXT524309 SHP524298:SHP524309 SRL524298:SRL524309 TBH524298:TBH524309 TLD524298:TLD524309 TUZ524298:TUZ524309 UEV524298:UEV524309 UOR524298:UOR524309 UYN524298:UYN524309 VIJ524298:VIJ524309 VSF524298:VSF524309 WCB524298:WCB524309 WLX524298:WLX524309 WVT524298:WVT524309 L589834:L589845 JH589834:JH589845 TD589834:TD589845 ACZ589834:ACZ589845 AMV589834:AMV589845 AWR589834:AWR589845 BGN589834:BGN589845 BQJ589834:BQJ589845 CAF589834:CAF589845 CKB589834:CKB589845 CTX589834:CTX589845 DDT589834:DDT589845 DNP589834:DNP589845 DXL589834:DXL589845 EHH589834:EHH589845 ERD589834:ERD589845 FAZ589834:FAZ589845 FKV589834:FKV589845 FUR589834:FUR589845 GEN589834:GEN589845 GOJ589834:GOJ589845 GYF589834:GYF589845 HIB589834:HIB589845 HRX589834:HRX589845 IBT589834:IBT589845 ILP589834:ILP589845 IVL589834:IVL589845 JFH589834:JFH589845 JPD589834:JPD589845 JYZ589834:JYZ589845 KIV589834:KIV589845 KSR589834:KSR589845 LCN589834:LCN589845 LMJ589834:LMJ589845 LWF589834:LWF589845 MGB589834:MGB589845 MPX589834:MPX589845 MZT589834:MZT589845 NJP589834:NJP589845 NTL589834:NTL589845 ODH589834:ODH589845 OND589834:OND589845 OWZ589834:OWZ589845 PGV589834:PGV589845 PQR589834:PQR589845 QAN589834:QAN589845 QKJ589834:QKJ589845 QUF589834:QUF589845 REB589834:REB589845 RNX589834:RNX589845 RXT589834:RXT589845 SHP589834:SHP589845 SRL589834:SRL589845 TBH589834:TBH589845 TLD589834:TLD589845 TUZ589834:TUZ589845 UEV589834:UEV589845 UOR589834:UOR589845 UYN589834:UYN589845 VIJ589834:VIJ589845 VSF589834:VSF589845 WCB589834:WCB589845 WLX589834:WLX589845 WVT589834:WVT589845 L655370:L655381 JH655370:JH655381 TD655370:TD655381 ACZ655370:ACZ655381 AMV655370:AMV655381 AWR655370:AWR655381 BGN655370:BGN655381 BQJ655370:BQJ655381 CAF655370:CAF655381 CKB655370:CKB655381 CTX655370:CTX655381 DDT655370:DDT655381 DNP655370:DNP655381 DXL655370:DXL655381 EHH655370:EHH655381 ERD655370:ERD655381 FAZ655370:FAZ655381 FKV655370:FKV655381 FUR655370:FUR655381 GEN655370:GEN655381 GOJ655370:GOJ655381 GYF655370:GYF655381 HIB655370:HIB655381 HRX655370:HRX655381 IBT655370:IBT655381 ILP655370:ILP655381 IVL655370:IVL655381 JFH655370:JFH655381 JPD655370:JPD655381 JYZ655370:JYZ655381 KIV655370:KIV655381 KSR655370:KSR655381 LCN655370:LCN655381 LMJ655370:LMJ655381 LWF655370:LWF655381 MGB655370:MGB655381 MPX655370:MPX655381 MZT655370:MZT655381 NJP655370:NJP655381 NTL655370:NTL655381 ODH655370:ODH655381 OND655370:OND655381 OWZ655370:OWZ655381 PGV655370:PGV655381 PQR655370:PQR655381 QAN655370:QAN655381 QKJ655370:QKJ655381 QUF655370:QUF655381 REB655370:REB655381 RNX655370:RNX655381 RXT655370:RXT655381 SHP655370:SHP655381 SRL655370:SRL655381 TBH655370:TBH655381 TLD655370:TLD655381 TUZ655370:TUZ655381 UEV655370:UEV655381 UOR655370:UOR655381 UYN655370:UYN655381 VIJ655370:VIJ655381 VSF655370:VSF655381 WCB655370:WCB655381 WLX655370:WLX655381 WVT655370:WVT655381 L720906:L720917 JH720906:JH720917 TD720906:TD720917 ACZ720906:ACZ720917 AMV720906:AMV720917 AWR720906:AWR720917 BGN720906:BGN720917 BQJ720906:BQJ720917 CAF720906:CAF720917 CKB720906:CKB720917 CTX720906:CTX720917 DDT720906:DDT720917 DNP720906:DNP720917 DXL720906:DXL720917 EHH720906:EHH720917 ERD720906:ERD720917 FAZ720906:FAZ720917 FKV720906:FKV720917 FUR720906:FUR720917 GEN720906:GEN720917 GOJ720906:GOJ720917 GYF720906:GYF720917 HIB720906:HIB720917 HRX720906:HRX720917 IBT720906:IBT720917 ILP720906:ILP720917 IVL720906:IVL720917 JFH720906:JFH720917 JPD720906:JPD720917 JYZ720906:JYZ720917 KIV720906:KIV720917 KSR720906:KSR720917 LCN720906:LCN720917 LMJ720906:LMJ720917 LWF720906:LWF720917 MGB720906:MGB720917 MPX720906:MPX720917 MZT720906:MZT720917 NJP720906:NJP720917 NTL720906:NTL720917 ODH720906:ODH720917 OND720906:OND720917 OWZ720906:OWZ720917 PGV720906:PGV720917 PQR720906:PQR720917 QAN720906:QAN720917 QKJ720906:QKJ720917 QUF720906:QUF720917 REB720906:REB720917 RNX720906:RNX720917 RXT720906:RXT720917 SHP720906:SHP720917 SRL720906:SRL720917 TBH720906:TBH720917 TLD720906:TLD720917 TUZ720906:TUZ720917 UEV720906:UEV720917 UOR720906:UOR720917 UYN720906:UYN720917 VIJ720906:VIJ720917 VSF720906:VSF720917 WCB720906:WCB720917 WLX720906:WLX720917 WVT720906:WVT720917 L786442:L786453 JH786442:JH786453 TD786442:TD786453 ACZ786442:ACZ786453 AMV786442:AMV786453 AWR786442:AWR786453 BGN786442:BGN786453 BQJ786442:BQJ786453 CAF786442:CAF786453 CKB786442:CKB786453 CTX786442:CTX786453 DDT786442:DDT786453 DNP786442:DNP786453 DXL786442:DXL786453 EHH786442:EHH786453 ERD786442:ERD786453 FAZ786442:FAZ786453 FKV786442:FKV786453 FUR786442:FUR786453 GEN786442:GEN786453 GOJ786442:GOJ786453 GYF786442:GYF786453 HIB786442:HIB786453 HRX786442:HRX786453 IBT786442:IBT786453 ILP786442:ILP786453 IVL786442:IVL786453 JFH786442:JFH786453 JPD786442:JPD786453 JYZ786442:JYZ786453 KIV786442:KIV786453 KSR786442:KSR786453 LCN786442:LCN786453 LMJ786442:LMJ786453 LWF786442:LWF786453 MGB786442:MGB786453 MPX786442:MPX786453 MZT786442:MZT786453 NJP786442:NJP786453 NTL786442:NTL786453 ODH786442:ODH786453 OND786442:OND786453 OWZ786442:OWZ786453 PGV786442:PGV786453 PQR786442:PQR786453 QAN786442:QAN786453 QKJ786442:QKJ786453 QUF786442:QUF786453 REB786442:REB786453 RNX786442:RNX786453 RXT786442:RXT786453 SHP786442:SHP786453 SRL786442:SRL786453 TBH786442:TBH786453 TLD786442:TLD786453 TUZ786442:TUZ786453 UEV786442:UEV786453 UOR786442:UOR786453 UYN786442:UYN786453 VIJ786442:VIJ786453 VSF786442:VSF786453 WCB786442:WCB786453 WLX786442:WLX786453 WVT786442:WVT786453 L851978:L851989 JH851978:JH851989 TD851978:TD851989 ACZ851978:ACZ851989 AMV851978:AMV851989 AWR851978:AWR851989 BGN851978:BGN851989 BQJ851978:BQJ851989 CAF851978:CAF851989 CKB851978:CKB851989 CTX851978:CTX851989 DDT851978:DDT851989 DNP851978:DNP851989 DXL851978:DXL851989 EHH851978:EHH851989 ERD851978:ERD851989 FAZ851978:FAZ851989 FKV851978:FKV851989 FUR851978:FUR851989 GEN851978:GEN851989 GOJ851978:GOJ851989 GYF851978:GYF851989 HIB851978:HIB851989 HRX851978:HRX851989 IBT851978:IBT851989 ILP851978:ILP851989 IVL851978:IVL851989 JFH851978:JFH851989 JPD851978:JPD851989 JYZ851978:JYZ851989 KIV851978:KIV851989 KSR851978:KSR851989 LCN851978:LCN851989 LMJ851978:LMJ851989 LWF851978:LWF851989 MGB851978:MGB851989 MPX851978:MPX851989 MZT851978:MZT851989 NJP851978:NJP851989 NTL851978:NTL851989 ODH851978:ODH851989 OND851978:OND851989 OWZ851978:OWZ851989 PGV851978:PGV851989 PQR851978:PQR851989 QAN851978:QAN851989 QKJ851978:QKJ851989 QUF851978:QUF851989 REB851978:REB851989 RNX851978:RNX851989 RXT851978:RXT851989 SHP851978:SHP851989 SRL851978:SRL851989 TBH851978:TBH851989 TLD851978:TLD851989 TUZ851978:TUZ851989 UEV851978:UEV851989 UOR851978:UOR851989 UYN851978:UYN851989 VIJ851978:VIJ851989 VSF851978:VSF851989 WCB851978:WCB851989 WLX851978:WLX851989 WVT851978:WVT851989 L917514:L917525 JH917514:JH917525 TD917514:TD917525 ACZ917514:ACZ917525 AMV917514:AMV917525 AWR917514:AWR917525 BGN917514:BGN917525 BQJ917514:BQJ917525 CAF917514:CAF917525 CKB917514:CKB917525 CTX917514:CTX917525 DDT917514:DDT917525 DNP917514:DNP917525 DXL917514:DXL917525 EHH917514:EHH917525 ERD917514:ERD917525 FAZ917514:FAZ917525 FKV917514:FKV917525 FUR917514:FUR917525 GEN917514:GEN917525 GOJ917514:GOJ917525 GYF917514:GYF917525 HIB917514:HIB917525 HRX917514:HRX917525 IBT917514:IBT917525 ILP917514:ILP917525 IVL917514:IVL917525 JFH917514:JFH917525 JPD917514:JPD917525 JYZ917514:JYZ917525 KIV917514:KIV917525 KSR917514:KSR917525 LCN917514:LCN917525 LMJ917514:LMJ917525 LWF917514:LWF917525 MGB917514:MGB917525 MPX917514:MPX917525 MZT917514:MZT917525 NJP917514:NJP917525 NTL917514:NTL917525 ODH917514:ODH917525 OND917514:OND917525 OWZ917514:OWZ917525 PGV917514:PGV917525 PQR917514:PQR917525 QAN917514:QAN917525 QKJ917514:QKJ917525 QUF917514:QUF917525 REB917514:REB917525 RNX917514:RNX917525 RXT917514:RXT917525 SHP917514:SHP917525 SRL917514:SRL917525 TBH917514:TBH917525 TLD917514:TLD917525 TUZ917514:TUZ917525 UEV917514:UEV917525 UOR917514:UOR917525 UYN917514:UYN917525 VIJ917514:VIJ917525 VSF917514:VSF917525 WCB917514:WCB917525 WLX917514:WLX917525 WVT917514:WVT917525 L983050:L983061 JH983050:JH983061 TD983050:TD983061 ACZ983050:ACZ983061 AMV983050:AMV983061 AWR983050:AWR983061 BGN983050:BGN983061 BQJ983050:BQJ983061 CAF983050:CAF983061 CKB983050:CKB983061 CTX983050:CTX983061 DDT983050:DDT983061 DNP983050:DNP983061 DXL983050:DXL983061 EHH983050:EHH983061 ERD983050:ERD983061 FAZ983050:FAZ983061 FKV983050:FKV983061 FUR983050:FUR983061 GEN983050:GEN983061 GOJ983050:GOJ983061 GYF983050:GYF983061 HIB983050:HIB983061 HRX983050:HRX983061 IBT983050:IBT983061 ILP983050:ILP983061 IVL983050:IVL983061 JFH983050:JFH983061 JPD983050:JPD983061 JYZ983050:JYZ983061 KIV983050:KIV983061 KSR983050:KSR983061 LCN983050:LCN983061 LMJ983050:LMJ983061 LWF983050:LWF983061 MGB983050:MGB983061 MPX983050:MPX983061 MZT983050:MZT983061 NJP983050:NJP983061 NTL983050:NTL983061 ODH983050:ODH983061 OND983050:OND983061 OWZ983050:OWZ983061 PGV983050:PGV983061 PQR983050:PQR983061 QAN983050:QAN983061 QKJ983050:QKJ983061 QUF983050:QUF983061 REB983050:REB983061 RNX983050:RNX983061 RXT983050:RXT983061 SHP983050:SHP983061 SRL983050:SRL983061 TBH983050:TBH983061 TLD983050:TLD983061 TUZ983050:TUZ983061 UEV983050:UEV983061 UOR983050:UOR983061 UYN983050:UYN983061 VIJ983050:VIJ983061 VSF983050:VSF983061 WCB983050:WCB983061 WLX983050:WLX983061 WVT983050:WVT983061">
      <formula1>Probabilidad</formula1>
    </dataValidation>
    <dataValidation type="list" sqref="BD4:BE4 KZ4:LA4 UV4:UW4 AER4:AES4 AON4:AOO4 AYJ4:AYK4 BIF4:BIG4 BSB4:BSC4 CBX4:CBY4 CLT4:CLU4 CVP4:CVQ4 DFL4:DFM4 DPH4:DPI4 DZD4:DZE4 EIZ4:EJA4 ESV4:ESW4 FCR4:FCS4 FMN4:FMO4 FWJ4:FWK4 GGF4:GGG4 GQB4:GQC4 GZX4:GZY4 HJT4:HJU4 HTP4:HTQ4 IDL4:IDM4 INH4:INI4 IXD4:IXE4 JGZ4:JHA4 JQV4:JQW4 KAR4:KAS4 KKN4:KKO4 KUJ4:KUK4 LEF4:LEG4 LOB4:LOC4 LXX4:LXY4 MHT4:MHU4 MRP4:MRQ4 NBL4:NBM4 NLH4:NLI4 NVD4:NVE4 OEZ4:OFA4 OOV4:OOW4 OYR4:OYS4 PIN4:PIO4 PSJ4:PSK4 QCF4:QCG4 QMB4:QMC4 QVX4:QVY4 RFT4:RFU4 RPP4:RPQ4 RZL4:RZM4 SJH4:SJI4 STD4:STE4 TCZ4:TDA4 TMV4:TMW4 TWR4:TWS4 UGN4:UGO4 UQJ4:UQK4 VAF4:VAG4 VKB4:VKC4 VTX4:VTY4 WDT4:WDU4 WNP4:WNQ4 WXL4:WXM4 BD65540:BE65540 KZ65540:LA65540 UV65540:UW65540 AER65540:AES65540 AON65540:AOO65540 AYJ65540:AYK65540 BIF65540:BIG65540 BSB65540:BSC65540 CBX65540:CBY65540 CLT65540:CLU65540 CVP65540:CVQ65540 DFL65540:DFM65540 DPH65540:DPI65540 DZD65540:DZE65540 EIZ65540:EJA65540 ESV65540:ESW65540 FCR65540:FCS65540 FMN65540:FMO65540 FWJ65540:FWK65540 GGF65540:GGG65540 GQB65540:GQC65540 GZX65540:GZY65540 HJT65540:HJU65540 HTP65540:HTQ65540 IDL65540:IDM65540 INH65540:INI65540 IXD65540:IXE65540 JGZ65540:JHA65540 JQV65540:JQW65540 KAR65540:KAS65540 KKN65540:KKO65540 KUJ65540:KUK65540 LEF65540:LEG65540 LOB65540:LOC65540 LXX65540:LXY65540 MHT65540:MHU65540 MRP65540:MRQ65540 NBL65540:NBM65540 NLH65540:NLI65540 NVD65540:NVE65540 OEZ65540:OFA65540 OOV65540:OOW65540 OYR65540:OYS65540 PIN65540:PIO65540 PSJ65540:PSK65540 QCF65540:QCG65540 QMB65540:QMC65540 QVX65540:QVY65540 RFT65540:RFU65540 RPP65540:RPQ65540 RZL65540:RZM65540 SJH65540:SJI65540 STD65540:STE65540 TCZ65540:TDA65540 TMV65540:TMW65540 TWR65540:TWS65540 UGN65540:UGO65540 UQJ65540:UQK65540 VAF65540:VAG65540 VKB65540:VKC65540 VTX65540:VTY65540 WDT65540:WDU65540 WNP65540:WNQ65540 WXL65540:WXM65540 BD131076:BE131076 KZ131076:LA131076 UV131076:UW131076 AER131076:AES131076 AON131076:AOO131076 AYJ131076:AYK131076 BIF131076:BIG131076 BSB131076:BSC131076 CBX131076:CBY131076 CLT131076:CLU131076 CVP131076:CVQ131076 DFL131076:DFM131076 DPH131076:DPI131076 DZD131076:DZE131076 EIZ131076:EJA131076 ESV131076:ESW131076 FCR131076:FCS131076 FMN131076:FMO131076 FWJ131076:FWK131076 GGF131076:GGG131076 GQB131076:GQC131076 GZX131076:GZY131076 HJT131076:HJU131076 HTP131076:HTQ131076 IDL131076:IDM131076 INH131076:INI131076 IXD131076:IXE131076 JGZ131076:JHA131076 JQV131076:JQW131076 KAR131076:KAS131076 KKN131076:KKO131076 KUJ131076:KUK131076 LEF131076:LEG131076 LOB131076:LOC131076 LXX131076:LXY131076 MHT131076:MHU131076 MRP131076:MRQ131076 NBL131076:NBM131076 NLH131076:NLI131076 NVD131076:NVE131076 OEZ131076:OFA131076 OOV131076:OOW131076 OYR131076:OYS131076 PIN131076:PIO131076 PSJ131076:PSK131076 QCF131076:QCG131076 QMB131076:QMC131076 QVX131076:QVY131076 RFT131076:RFU131076 RPP131076:RPQ131076 RZL131076:RZM131076 SJH131076:SJI131076 STD131076:STE131076 TCZ131076:TDA131076 TMV131076:TMW131076 TWR131076:TWS131076 UGN131076:UGO131076 UQJ131076:UQK131076 VAF131076:VAG131076 VKB131076:VKC131076 VTX131076:VTY131076 WDT131076:WDU131076 WNP131076:WNQ131076 WXL131076:WXM131076 BD196612:BE196612 KZ196612:LA196612 UV196612:UW196612 AER196612:AES196612 AON196612:AOO196612 AYJ196612:AYK196612 BIF196612:BIG196612 BSB196612:BSC196612 CBX196612:CBY196612 CLT196612:CLU196612 CVP196612:CVQ196612 DFL196612:DFM196612 DPH196612:DPI196612 DZD196612:DZE196612 EIZ196612:EJA196612 ESV196612:ESW196612 FCR196612:FCS196612 FMN196612:FMO196612 FWJ196612:FWK196612 GGF196612:GGG196612 GQB196612:GQC196612 GZX196612:GZY196612 HJT196612:HJU196612 HTP196612:HTQ196612 IDL196612:IDM196612 INH196612:INI196612 IXD196612:IXE196612 JGZ196612:JHA196612 JQV196612:JQW196612 KAR196612:KAS196612 KKN196612:KKO196612 KUJ196612:KUK196612 LEF196612:LEG196612 LOB196612:LOC196612 LXX196612:LXY196612 MHT196612:MHU196612 MRP196612:MRQ196612 NBL196612:NBM196612 NLH196612:NLI196612 NVD196612:NVE196612 OEZ196612:OFA196612 OOV196612:OOW196612 OYR196612:OYS196612 PIN196612:PIO196612 PSJ196612:PSK196612 QCF196612:QCG196612 QMB196612:QMC196612 QVX196612:QVY196612 RFT196612:RFU196612 RPP196612:RPQ196612 RZL196612:RZM196612 SJH196612:SJI196612 STD196612:STE196612 TCZ196612:TDA196612 TMV196612:TMW196612 TWR196612:TWS196612 UGN196612:UGO196612 UQJ196612:UQK196612 VAF196612:VAG196612 VKB196612:VKC196612 VTX196612:VTY196612 WDT196612:WDU196612 WNP196612:WNQ196612 WXL196612:WXM196612 BD262148:BE262148 KZ262148:LA262148 UV262148:UW262148 AER262148:AES262148 AON262148:AOO262148 AYJ262148:AYK262148 BIF262148:BIG262148 BSB262148:BSC262148 CBX262148:CBY262148 CLT262148:CLU262148 CVP262148:CVQ262148 DFL262148:DFM262148 DPH262148:DPI262148 DZD262148:DZE262148 EIZ262148:EJA262148 ESV262148:ESW262148 FCR262148:FCS262148 FMN262148:FMO262148 FWJ262148:FWK262148 GGF262148:GGG262148 GQB262148:GQC262148 GZX262148:GZY262148 HJT262148:HJU262148 HTP262148:HTQ262148 IDL262148:IDM262148 INH262148:INI262148 IXD262148:IXE262148 JGZ262148:JHA262148 JQV262148:JQW262148 KAR262148:KAS262148 KKN262148:KKO262148 KUJ262148:KUK262148 LEF262148:LEG262148 LOB262148:LOC262148 LXX262148:LXY262148 MHT262148:MHU262148 MRP262148:MRQ262148 NBL262148:NBM262148 NLH262148:NLI262148 NVD262148:NVE262148 OEZ262148:OFA262148 OOV262148:OOW262148 OYR262148:OYS262148 PIN262148:PIO262148 PSJ262148:PSK262148 QCF262148:QCG262148 QMB262148:QMC262148 QVX262148:QVY262148 RFT262148:RFU262148 RPP262148:RPQ262148 RZL262148:RZM262148 SJH262148:SJI262148 STD262148:STE262148 TCZ262148:TDA262148 TMV262148:TMW262148 TWR262148:TWS262148 UGN262148:UGO262148 UQJ262148:UQK262148 VAF262148:VAG262148 VKB262148:VKC262148 VTX262148:VTY262148 WDT262148:WDU262148 WNP262148:WNQ262148 WXL262148:WXM262148 BD327684:BE327684 KZ327684:LA327684 UV327684:UW327684 AER327684:AES327684 AON327684:AOO327684 AYJ327684:AYK327684 BIF327684:BIG327684 BSB327684:BSC327684 CBX327684:CBY327684 CLT327684:CLU327684 CVP327684:CVQ327684 DFL327684:DFM327684 DPH327684:DPI327684 DZD327684:DZE327684 EIZ327684:EJA327684 ESV327684:ESW327684 FCR327684:FCS327684 FMN327684:FMO327684 FWJ327684:FWK327684 GGF327684:GGG327684 GQB327684:GQC327684 GZX327684:GZY327684 HJT327684:HJU327684 HTP327684:HTQ327684 IDL327684:IDM327684 INH327684:INI327684 IXD327684:IXE327684 JGZ327684:JHA327684 JQV327684:JQW327684 KAR327684:KAS327684 KKN327684:KKO327684 KUJ327684:KUK327684 LEF327684:LEG327684 LOB327684:LOC327684 LXX327684:LXY327684 MHT327684:MHU327684 MRP327684:MRQ327684 NBL327684:NBM327684 NLH327684:NLI327684 NVD327684:NVE327684 OEZ327684:OFA327684 OOV327684:OOW327684 OYR327684:OYS327684 PIN327684:PIO327684 PSJ327684:PSK327684 QCF327684:QCG327684 QMB327684:QMC327684 QVX327684:QVY327684 RFT327684:RFU327684 RPP327684:RPQ327684 RZL327684:RZM327684 SJH327684:SJI327684 STD327684:STE327684 TCZ327684:TDA327684 TMV327684:TMW327684 TWR327684:TWS327684 UGN327684:UGO327684 UQJ327684:UQK327684 VAF327684:VAG327684 VKB327684:VKC327684 VTX327684:VTY327684 WDT327684:WDU327684 WNP327684:WNQ327684 WXL327684:WXM327684 BD393220:BE393220 KZ393220:LA393220 UV393220:UW393220 AER393220:AES393220 AON393220:AOO393220 AYJ393220:AYK393220 BIF393220:BIG393220 BSB393220:BSC393220 CBX393220:CBY393220 CLT393220:CLU393220 CVP393220:CVQ393220 DFL393220:DFM393220 DPH393220:DPI393220 DZD393220:DZE393220 EIZ393220:EJA393220 ESV393220:ESW393220 FCR393220:FCS393220 FMN393220:FMO393220 FWJ393220:FWK393220 GGF393220:GGG393220 GQB393220:GQC393220 GZX393220:GZY393220 HJT393220:HJU393220 HTP393220:HTQ393220 IDL393220:IDM393220 INH393220:INI393220 IXD393220:IXE393220 JGZ393220:JHA393220 JQV393220:JQW393220 KAR393220:KAS393220 KKN393220:KKO393220 KUJ393220:KUK393220 LEF393220:LEG393220 LOB393220:LOC393220 LXX393220:LXY393220 MHT393220:MHU393220 MRP393220:MRQ393220 NBL393220:NBM393220 NLH393220:NLI393220 NVD393220:NVE393220 OEZ393220:OFA393220 OOV393220:OOW393220 OYR393220:OYS393220 PIN393220:PIO393220 PSJ393220:PSK393220 QCF393220:QCG393220 QMB393220:QMC393220 QVX393220:QVY393220 RFT393220:RFU393220 RPP393220:RPQ393220 RZL393220:RZM393220 SJH393220:SJI393220 STD393220:STE393220 TCZ393220:TDA393220 TMV393220:TMW393220 TWR393220:TWS393220 UGN393220:UGO393220 UQJ393220:UQK393220 VAF393220:VAG393220 VKB393220:VKC393220 VTX393220:VTY393220 WDT393220:WDU393220 WNP393220:WNQ393220 WXL393220:WXM393220 BD458756:BE458756 KZ458756:LA458756 UV458756:UW458756 AER458756:AES458756 AON458756:AOO458756 AYJ458756:AYK458756 BIF458756:BIG458756 BSB458756:BSC458756 CBX458756:CBY458756 CLT458756:CLU458756 CVP458756:CVQ458756 DFL458756:DFM458756 DPH458756:DPI458756 DZD458756:DZE458756 EIZ458756:EJA458756 ESV458756:ESW458756 FCR458756:FCS458756 FMN458756:FMO458756 FWJ458756:FWK458756 GGF458756:GGG458756 GQB458756:GQC458756 GZX458756:GZY458756 HJT458756:HJU458756 HTP458756:HTQ458756 IDL458756:IDM458756 INH458756:INI458756 IXD458756:IXE458756 JGZ458756:JHA458756 JQV458756:JQW458756 KAR458756:KAS458756 KKN458756:KKO458756 KUJ458756:KUK458756 LEF458756:LEG458756 LOB458756:LOC458756 LXX458756:LXY458756 MHT458756:MHU458756 MRP458756:MRQ458756 NBL458756:NBM458756 NLH458756:NLI458756 NVD458756:NVE458756 OEZ458756:OFA458756 OOV458756:OOW458756 OYR458756:OYS458756 PIN458756:PIO458756 PSJ458756:PSK458756 QCF458756:QCG458756 QMB458756:QMC458756 QVX458756:QVY458756 RFT458756:RFU458756 RPP458756:RPQ458756 RZL458756:RZM458756 SJH458756:SJI458756 STD458756:STE458756 TCZ458756:TDA458756 TMV458756:TMW458756 TWR458756:TWS458756 UGN458756:UGO458756 UQJ458756:UQK458756 VAF458756:VAG458756 VKB458756:VKC458756 VTX458756:VTY458756 WDT458756:WDU458756 WNP458756:WNQ458756 WXL458756:WXM458756 BD524292:BE524292 KZ524292:LA524292 UV524292:UW524292 AER524292:AES524292 AON524292:AOO524292 AYJ524292:AYK524292 BIF524292:BIG524292 BSB524292:BSC524292 CBX524292:CBY524292 CLT524292:CLU524292 CVP524292:CVQ524292 DFL524292:DFM524292 DPH524292:DPI524292 DZD524292:DZE524292 EIZ524292:EJA524292 ESV524292:ESW524292 FCR524292:FCS524292 FMN524292:FMO524292 FWJ524292:FWK524292 GGF524292:GGG524292 GQB524292:GQC524292 GZX524292:GZY524292 HJT524292:HJU524292 HTP524292:HTQ524292 IDL524292:IDM524292 INH524292:INI524292 IXD524292:IXE524292 JGZ524292:JHA524292 JQV524292:JQW524292 KAR524292:KAS524292 KKN524292:KKO524292 KUJ524292:KUK524292 LEF524292:LEG524292 LOB524292:LOC524292 LXX524292:LXY524292 MHT524292:MHU524292 MRP524292:MRQ524292 NBL524292:NBM524292 NLH524292:NLI524292 NVD524292:NVE524292 OEZ524292:OFA524292 OOV524292:OOW524292 OYR524292:OYS524292 PIN524292:PIO524292 PSJ524292:PSK524292 QCF524292:QCG524292 QMB524292:QMC524292 QVX524292:QVY524292 RFT524292:RFU524292 RPP524292:RPQ524292 RZL524292:RZM524292 SJH524292:SJI524292 STD524292:STE524292 TCZ524292:TDA524292 TMV524292:TMW524292 TWR524292:TWS524292 UGN524292:UGO524292 UQJ524292:UQK524292 VAF524292:VAG524292 VKB524292:VKC524292 VTX524292:VTY524292 WDT524292:WDU524292 WNP524292:WNQ524292 WXL524292:WXM524292 BD589828:BE589828 KZ589828:LA589828 UV589828:UW589828 AER589828:AES589828 AON589828:AOO589828 AYJ589828:AYK589828 BIF589828:BIG589828 BSB589828:BSC589828 CBX589828:CBY589828 CLT589828:CLU589828 CVP589828:CVQ589828 DFL589828:DFM589828 DPH589828:DPI589828 DZD589828:DZE589828 EIZ589828:EJA589828 ESV589828:ESW589828 FCR589828:FCS589828 FMN589828:FMO589828 FWJ589828:FWK589828 GGF589828:GGG589828 GQB589828:GQC589828 GZX589828:GZY589828 HJT589828:HJU589828 HTP589828:HTQ589828 IDL589828:IDM589828 INH589828:INI589828 IXD589828:IXE589828 JGZ589828:JHA589828 JQV589828:JQW589828 KAR589828:KAS589828 KKN589828:KKO589828 KUJ589828:KUK589828 LEF589828:LEG589828 LOB589828:LOC589828 LXX589828:LXY589828 MHT589828:MHU589828 MRP589828:MRQ589828 NBL589828:NBM589828 NLH589828:NLI589828 NVD589828:NVE589828 OEZ589828:OFA589828 OOV589828:OOW589828 OYR589828:OYS589828 PIN589828:PIO589828 PSJ589828:PSK589828 QCF589828:QCG589828 QMB589828:QMC589828 QVX589828:QVY589828 RFT589828:RFU589828 RPP589828:RPQ589828 RZL589828:RZM589828 SJH589828:SJI589828 STD589828:STE589828 TCZ589828:TDA589828 TMV589828:TMW589828 TWR589828:TWS589828 UGN589828:UGO589828 UQJ589828:UQK589828 VAF589828:VAG589828 VKB589828:VKC589828 VTX589828:VTY589828 WDT589828:WDU589828 WNP589828:WNQ589828 WXL589828:WXM589828 BD655364:BE655364 KZ655364:LA655364 UV655364:UW655364 AER655364:AES655364 AON655364:AOO655364 AYJ655364:AYK655364 BIF655364:BIG655364 BSB655364:BSC655364 CBX655364:CBY655364 CLT655364:CLU655364 CVP655364:CVQ655364 DFL655364:DFM655364 DPH655364:DPI655364 DZD655364:DZE655364 EIZ655364:EJA655364 ESV655364:ESW655364 FCR655364:FCS655364 FMN655364:FMO655364 FWJ655364:FWK655364 GGF655364:GGG655364 GQB655364:GQC655364 GZX655364:GZY655364 HJT655364:HJU655364 HTP655364:HTQ655364 IDL655364:IDM655364 INH655364:INI655364 IXD655364:IXE655364 JGZ655364:JHA655364 JQV655364:JQW655364 KAR655364:KAS655364 KKN655364:KKO655364 KUJ655364:KUK655364 LEF655364:LEG655364 LOB655364:LOC655364 LXX655364:LXY655364 MHT655364:MHU655364 MRP655364:MRQ655364 NBL655364:NBM655364 NLH655364:NLI655364 NVD655364:NVE655364 OEZ655364:OFA655364 OOV655364:OOW655364 OYR655364:OYS655364 PIN655364:PIO655364 PSJ655364:PSK655364 QCF655364:QCG655364 QMB655364:QMC655364 QVX655364:QVY655364 RFT655364:RFU655364 RPP655364:RPQ655364 RZL655364:RZM655364 SJH655364:SJI655364 STD655364:STE655364 TCZ655364:TDA655364 TMV655364:TMW655364 TWR655364:TWS655364 UGN655364:UGO655364 UQJ655364:UQK655364 VAF655364:VAG655364 VKB655364:VKC655364 VTX655364:VTY655364 WDT655364:WDU655364 WNP655364:WNQ655364 WXL655364:WXM655364 BD720900:BE720900 KZ720900:LA720900 UV720900:UW720900 AER720900:AES720900 AON720900:AOO720900 AYJ720900:AYK720900 BIF720900:BIG720900 BSB720900:BSC720900 CBX720900:CBY720900 CLT720900:CLU720900 CVP720900:CVQ720900 DFL720900:DFM720900 DPH720900:DPI720900 DZD720900:DZE720900 EIZ720900:EJA720900 ESV720900:ESW720900 FCR720900:FCS720900 FMN720900:FMO720900 FWJ720900:FWK720900 GGF720900:GGG720900 GQB720900:GQC720900 GZX720900:GZY720900 HJT720900:HJU720900 HTP720900:HTQ720900 IDL720900:IDM720900 INH720900:INI720900 IXD720900:IXE720900 JGZ720900:JHA720900 JQV720900:JQW720900 KAR720900:KAS720900 KKN720900:KKO720900 KUJ720900:KUK720900 LEF720900:LEG720900 LOB720900:LOC720900 LXX720900:LXY720900 MHT720900:MHU720900 MRP720900:MRQ720900 NBL720900:NBM720900 NLH720900:NLI720900 NVD720900:NVE720900 OEZ720900:OFA720900 OOV720900:OOW720900 OYR720900:OYS720900 PIN720900:PIO720900 PSJ720900:PSK720900 QCF720900:QCG720900 QMB720900:QMC720900 QVX720900:QVY720900 RFT720900:RFU720900 RPP720900:RPQ720900 RZL720900:RZM720900 SJH720900:SJI720900 STD720900:STE720900 TCZ720900:TDA720900 TMV720900:TMW720900 TWR720900:TWS720900 UGN720900:UGO720900 UQJ720900:UQK720900 VAF720900:VAG720900 VKB720900:VKC720900 VTX720900:VTY720900 WDT720900:WDU720900 WNP720900:WNQ720900 WXL720900:WXM720900 BD786436:BE786436 KZ786436:LA786436 UV786436:UW786436 AER786436:AES786436 AON786436:AOO786436 AYJ786436:AYK786436 BIF786436:BIG786436 BSB786436:BSC786436 CBX786436:CBY786436 CLT786436:CLU786436 CVP786436:CVQ786436 DFL786436:DFM786436 DPH786436:DPI786436 DZD786436:DZE786436 EIZ786436:EJA786436 ESV786436:ESW786436 FCR786436:FCS786436 FMN786436:FMO786436 FWJ786436:FWK786436 GGF786436:GGG786436 GQB786436:GQC786436 GZX786436:GZY786436 HJT786436:HJU786436 HTP786436:HTQ786436 IDL786436:IDM786436 INH786436:INI786436 IXD786436:IXE786436 JGZ786436:JHA786436 JQV786436:JQW786436 KAR786436:KAS786436 KKN786436:KKO786436 KUJ786436:KUK786436 LEF786436:LEG786436 LOB786436:LOC786436 LXX786436:LXY786436 MHT786436:MHU786436 MRP786436:MRQ786436 NBL786436:NBM786436 NLH786436:NLI786436 NVD786436:NVE786436 OEZ786436:OFA786436 OOV786436:OOW786436 OYR786436:OYS786436 PIN786436:PIO786436 PSJ786436:PSK786436 QCF786436:QCG786436 QMB786436:QMC786436 QVX786436:QVY786436 RFT786436:RFU786436 RPP786436:RPQ786436 RZL786436:RZM786436 SJH786436:SJI786436 STD786436:STE786436 TCZ786436:TDA786436 TMV786436:TMW786436 TWR786436:TWS786436 UGN786436:UGO786436 UQJ786436:UQK786436 VAF786436:VAG786436 VKB786436:VKC786436 VTX786436:VTY786436 WDT786436:WDU786436 WNP786436:WNQ786436 WXL786436:WXM786436 BD851972:BE851972 KZ851972:LA851972 UV851972:UW851972 AER851972:AES851972 AON851972:AOO851972 AYJ851972:AYK851972 BIF851972:BIG851972 BSB851972:BSC851972 CBX851972:CBY851972 CLT851972:CLU851972 CVP851972:CVQ851972 DFL851972:DFM851972 DPH851972:DPI851972 DZD851972:DZE851972 EIZ851972:EJA851972 ESV851972:ESW851972 FCR851972:FCS851972 FMN851972:FMO851972 FWJ851972:FWK851972 GGF851972:GGG851972 GQB851972:GQC851972 GZX851972:GZY851972 HJT851972:HJU851972 HTP851972:HTQ851972 IDL851972:IDM851972 INH851972:INI851972 IXD851972:IXE851972 JGZ851972:JHA851972 JQV851972:JQW851972 KAR851972:KAS851972 KKN851972:KKO851972 KUJ851972:KUK851972 LEF851972:LEG851972 LOB851972:LOC851972 LXX851972:LXY851972 MHT851972:MHU851972 MRP851972:MRQ851972 NBL851972:NBM851972 NLH851972:NLI851972 NVD851972:NVE851972 OEZ851972:OFA851972 OOV851972:OOW851972 OYR851972:OYS851972 PIN851972:PIO851972 PSJ851972:PSK851972 QCF851972:QCG851972 QMB851972:QMC851972 QVX851972:QVY851972 RFT851972:RFU851972 RPP851972:RPQ851972 RZL851972:RZM851972 SJH851972:SJI851972 STD851972:STE851972 TCZ851972:TDA851972 TMV851972:TMW851972 TWR851972:TWS851972 UGN851972:UGO851972 UQJ851972:UQK851972 VAF851972:VAG851972 VKB851972:VKC851972 VTX851972:VTY851972 WDT851972:WDU851972 WNP851972:WNQ851972 WXL851972:WXM851972 BD917508:BE917508 KZ917508:LA917508 UV917508:UW917508 AER917508:AES917508 AON917508:AOO917508 AYJ917508:AYK917508 BIF917508:BIG917508 BSB917508:BSC917508 CBX917508:CBY917508 CLT917508:CLU917508 CVP917508:CVQ917508 DFL917508:DFM917508 DPH917508:DPI917508 DZD917508:DZE917508 EIZ917508:EJA917508 ESV917508:ESW917508 FCR917508:FCS917508 FMN917508:FMO917508 FWJ917508:FWK917508 GGF917508:GGG917508 GQB917508:GQC917508 GZX917508:GZY917508 HJT917508:HJU917508 HTP917508:HTQ917508 IDL917508:IDM917508 INH917508:INI917508 IXD917508:IXE917508 JGZ917508:JHA917508 JQV917508:JQW917508 KAR917508:KAS917508 KKN917508:KKO917508 KUJ917508:KUK917508 LEF917508:LEG917508 LOB917508:LOC917508 LXX917508:LXY917508 MHT917508:MHU917508 MRP917508:MRQ917508 NBL917508:NBM917508 NLH917508:NLI917508 NVD917508:NVE917508 OEZ917508:OFA917508 OOV917508:OOW917508 OYR917508:OYS917508 PIN917508:PIO917508 PSJ917508:PSK917508 QCF917508:QCG917508 QMB917508:QMC917508 QVX917508:QVY917508 RFT917508:RFU917508 RPP917508:RPQ917508 RZL917508:RZM917508 SJH917508:SJI917508 STD917508:STE917508 TCZ917508:TDA917508 TMV917508:TMW917508 TWR917508:TWS917508 UGN917508:UGO917508 UQJ917508:UQK917508 VAF917508:VAG917508 VKB917508:VKC917508 VTX917508:VTY917508 WDT917508:WDU917508 WNP917508:WNQ917508 WXL917508:WXM917508 BD983044:BE983044 KZ983044:LA983044 UV983044:UW983044 AER983044:AES983044 AON983044:AOO983044 AYJ983044:AYK983044 BIF983044:BIG983044 BSB983044:BSC983044 CBX983044:CBY983044 CLT983044:CLU983044 CVP983044:CVQ983044 DFL983044:DFM983044 DPH983044:DPI983044 DZD983044:DZE983044 EIZ983044:EJA983044 ESV983044:ESW983044 FCR983044:FCS983044 FMN983044:FMO983044 FWJ983044:FWK983044 GGF983044:GGG983044 GQB983044:GQC983044 GZX983044:GZY983044 HJT983044:HJU983044 HTP983044:HTQ983044 IDL983044:IDM983044 INH983044:INI983044 IXD983044:IXE983044 JGZ983044:JHA983044 JQV983044:JQW983044 KAR983044:KAS983044 KKN983044:KKO983044 KUJ983044:KUK983044 LEF983044:LEG983044 LOB983044:LOC983044 LXX983044:LXY983044 MHT983044:MHU983044 MRP983044:MRQ983044 NBL983044:NBM983044 NLH983044:NLI983044 NVD983044:NVE983044 OEZ983044:OFA983044 OOV983044:OOW983044 OYR983044:OYS983044 PIN983044:PIO983044 PSJ983044:PSK983044 QCF983044:QCG983044 QMB983044:QMC983044 QVX983044:QVY983044 RFT983044:RFU983044 RPP983044:RPQ983044 RZL983044:RZM983044 SJH983044:SJI983044 STD983044:STE983044 TCZ983044:TDA983044 TMV983044:TMW983044 TWR983044:TWS983044 UGN983044:UGO983044 UQJ983044:UQK983044 VAF983044:VAG983044 VKB983044:VKC983044 VTX983044:VTY983044 WDT983044:WDU983044 WNP983044:WNQ983044 WXL983044:WXM983044">
      <formula1>Monitoreo</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43307086614173229" right="0.43307086614173229" top="0.55118110236220474" bottom="0.55118110236220474" header="0" footer="0"/>
  <pageSetup paperSize="14" scale="75" orientation="landscape" r:id="rId1"/>
  <headerFooter>
    <oddFooter xml:space="preserve">&amp;L&amp;9Formato: FO-AC-07 Versión: 2&amp;C&amp;9Página &amp;P&amp;R&amp;9Vo.Bo: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BL120"/>
  <sheetViews>
    <sheetView showGridLines="0" zoomScale="110" zoomScaleNormal="110" zoomScaleSheetLayoutView="115" workbookViewId="0">
      <selection activeCell="A2" sqref="A2:AB2"/>
    </sheetView>
  </sheetViews>
  <sheetFormatPr baseColWidth="10" defaultRowHeight="15"/>
  <cols>
    <col min="1" max="1" width="1.140625" style="16" customWidth="1"/>
    <col min="2" max="4" width="5.42578125" style="16" customWidth="1"/>
    <col min="5" max="5" width="7.28515625" style="17" customWidth="1"/>
    <col min="6" max="11" width="4.570312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0" width="7.140625" style="18" customWidth="1"/>
    <col min="21" max="21" width="12.570312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12.85546875" style="18" customWidth="1"/>
    <col min="50" max="50" width="10.7109375" style="21" customWidth="1"/>
    <col min="51" max="51" width="4.42578125" style="21" customWidth="1"/>
    <col min="52" max="52" width="18.28515625" style="210" customWidth="1"/>
    <col min="53" max="53" width="15" style="210" customWidth="1"/>
    <col min="54" max="54" width="6.140625" style="210" customWidth="1"/>
    <col min="55" max="55" width="15.7109375" style="210" customWidth="1"/>
    <col min="56" max="56" width="20.7109375" style="210" customWidth="1"/>
    <col min="57" max="57" width="5.85546875" style="210" customWidth="1"/>
    <col min="58" max="58" width="19.28515625" style="210" customWidth="1"/>
    <col min="59" max="59" width="14.140625" style="210" customWidth="1"/>
    <col min="60" max="60" width="7.85546875" style="210" customWidth="1"/>
    <col min="61" max="61" width="8" style="210" customWidth="1"/>
    <col min="62" max="62" width="11.140625" style="210" customWidth="1"/>
    <col min="63" max="63" width="2.140625" style="210" customWidth="1"/>
    <col min="64" max="64" width="11.42578125" style="210"/>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858" t="str">
        <f>UPPER([9]Control!A2)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22">
        <v>2019</v>
      </c>
      <c r="BA2" s="208"/>
      <c r="BB2" s="2830" t="s">
        <v>138</v>
      </c>
      <c r="BC2" s="2831"/>
      <c r="BD2" s="2861" t="str">
        <f>L6</f>
        <v>COMUNICACIONES</v>
      </c>
      <c r="BE2" s="2862"/>
      <c r="BF2" s="586"/>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1:64" ht="15.75" customHeight="1" thickBot="1">
      <c r="A4" s="2832" t="str">
        <f>[9]Control!A4</f>
        <v>FO-PE-05</v>
      </c>
      <c r="B4" s="2833"/>
      <c r="C4" s="2833"/>
      <c r="D4" s="2834"/>
      <c r="E4" s="2835" t="str">
        <f>[9]Control!C4</f>
        <v>Planeación Estratégica</v>
      </c>
      <c r="F4" s="2833"/>
      <c r="G4" s="2833"/>
      <c r="H4" s="2833"/>
      <c r="I4" s="2833"/>
      <c r="J4" s="2833"/>
      <c r="K4" s="2833"/>
      <c r="L4" s="2833"/>
      <c r="M4" s="2833"/>
      <c r="N4" s="2833"/>
      <c r="O4" s="2833"/>
      <c r="P4" s="2833"/>
      <c r="Q4" s="2833"/>
      <c r="R4" s="2833"/>
      <c r="S4" s="2833"/>
      <c r="T4" s="2833"/>
      <c r="U4" s="2834"/>
      <c r="V4" s="2835">
        <f>[9]Control!H4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232">
        <v>43455</v>
      </c>
      <c r="BA4" s="208"/>
      <c r="BB4" s="2836">
        <v>43712</v>
      </c>
      <c r="BC4" s="2837"/>
      <c r="BD4" s="2838" t="s">
        <v>3679</v>
      </c>
      <c r="BE4" s="2838"/>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842" t="s">
        <v>120</v>
      </c>
      <c r="M6" s="2843"/>
      <c r="N6" s="2843"/>
      <c r="O6" s="2843"/>
      <c r="P6" s="2843"/>
      <c r="Q6" s="2843"/>
      <c r="R6" s="2843"/>
      <c r="S6" s="2843"/>
      <c r="T6" s="2843"/>
      <c r="U6" s="2844"/>
      <c r="V6" s="2845" t="s">
        <v>59</v>
      </c>
      <c r="W6" s="2845"/>
      <c r="X6" s="2845"/>
      <c r="Y6" s="2845"/>
      <c r="Z6" s="2845"/>
      <c r="AA6" s="2827" t="s">
        <v>590</v>
      </c>
      <c r="AB6" s="2828"/>
      <c r="AC6" s="2828"/>
      <c r="AD6" s="2828"/>
      <c r="AE6" s="2828"/>
      <c r="AF6" s="2828"/>
      <c r="AG6" s="2828"/>
      <c r="AH6" s="2828"/>
      <c r="AI6" s="2828"/>
      <c r="AJ6" s="2828"/>
      <c r="AK6" s="2828"/>
      <c r="AL6" s="2828"/>
      <c r="AM6" s="2828"/>
      <c r="AN6" s="2828"/>
      <c r="AO6" s="2828"/>
      <c r="AP6" s="2828"/>
      <c r="AQ6" s="2828"/>
      <c r="AR6" s="2828"/>
      <c r="AS6" s="2828"/>
      <c r="AT6" s="2828"/>
      <c r="AU6" s="2828"/>
      <c r="AV6" s="2828"/>
      <c r="AW6" s="2828"/>
      <c r="AX6" s="2828"/>
      <c r="AY6" s="2828"/>
      <c r="AZ6" s="2828"/>
      <c r="BA6" s="2829"/>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1:64" s="3" customFormat="1" ht="327" customHeight="1">
      <c r="A10" s="332"/>
      <c r="B10" s="2805" t="s">
        <v>2474</v>
      </c>
      <c r="C10" s="2806"/>
      <c r="D10" s="2807"/>
      <c r="E10" s="843" t="s">
        <v>2014</v>
      </c>
      <c r="F10" s="2808" t="s">
        <v>289</v>
      </c>
      <c r="G10" s="2809"/>
      <c r="H10" s="2810"/>
      <c r="I10" s="2805" t="s">
        <v>290</v>
      </c>
      <c r="J10" s="2806"/>
      <c r="K10" s="2807"/>
      <c r="L10" s="330" t="s">
        <v>283</v>
      </c>
      <c r="M10" s="50" t="s">
        <v>274</v>
      </c>
      <c r="N10" s="32"/>
      <c r="O10" s="6">
        <f>VLOOKUP(L10,[9]Listas!$M$69:$N$73,2,0)</f>
        <v>1</v>
      </c>
      <c r="P10" s="6"/>
      <c r="Q10" s="6">
        <f>HLOOKUP(M10,[9]Listas!$O$67:$Q$68,2,0)</f>
        <v>5</v>
      </c>
      <c r="R10" s="331" t="str">
        <f>INDEX([9]Listas!$O$69:$Q$73,MATCH(L10,[9]Listas!$M$69:$M$73,0),MATCH(M10,[9]Listas!$O$67:$Q$67,0))</f>
        <v>5
BAJA</v>
      </c>
      <c r="S10" s="2805" t="s">
        <v>3239</v>
      </c>
      <c r="T10" s="2806"/>
      <c r="U10" s="2807"/>
      <c r="V10" s="329" t="s">
        <v>65</v>
      </c>
      <c r="W10" s="329" t="s">
        <v>36</v>
      </c>
      <c r="X10" s="329" t="s">
        <v>36</v>
      </c>
      <c r="Y10" s="329" t="s">
        <v>36</v>
      </c>
      <c r="Z10" s="329" t="s">
        <v>65</v>
      </c>
      <c r="AA10" s="329" t="s">
        <v>36</v>
      </c>
      <c r="AB10" s="329" t="s">
        <v>65</v>
      </c>
      <c r="AC10" s="329" t="s">
        <v>65</v>
      </c>
      <c r="AD10" s="329" t="s">
        <v>65</v>
      </c>
      <c r="AE10" s="329" t="s">
        <v>65</v>
      </c>
      <c r="AF10" s="33"/>
      <c r="AG10" s="6">
        <f t="shared" ref="AG10:AG21" si="0">IF(Y10="SI",15,0)</f>
        <v>0</v>
      </c>
      <c r="AH10" s="6">
        <f t="shared" ref="AH10:AH21" si="1">IF(Z10="SI",5,0)</f>
        <v>5</v>
      </c>
      <c r="AI10" s="6">
        <f t="shared" ref="AI10:AI21" si="2">IF(AA10="SI",15,0)</f>
        <v>0</v>
      </c>
      <c r="AJ10" s="6">
        <f t="shared" ref="AJ10:AJ21" si="3">IF(AB10="SI",10,0)</f>
        <v>10</v>
      </c>
      <c r="AK10" s="6">
        <f t="shared" ref="AK10:AK21" si="4">IF(AC10="SI",15,0)</f>
        <v>15</v>
      </c>
      <c r="AL10" s="6">
        <f t="shared" ref="AL10:AL21" si="5">IF(AD10="SI",10,0)</f>
        <v>10</v>
      </c>
      <c r="AM10" s="6">
        <f t="shared" ref="AM10:AM21" si="6">IF(AE10="SI",30,0)</f>
        <v>30</v>
      </c>
      <c r="AN10" s="6">
        <f t="shared" ref="AN10:AN21" si="7">SUM(AG10+AH10+AI10+AJ10+AK10+AL10+AM10)</f>
        <v>70</v>
      </c>
      <c r="AO10" s="6">
        <f t="shared" ref="AO10:AO21" si="8">IF(AN10&lt;=50,0,IF(AN10&gt;=76,2,1))</f>
        <v>1</v>
      </c>
      <c r="AP10" s="331" t="str">
        <f t="shared" ref="AP10:AP21" si="9">CONCATENATE(AN10,"- disminuye ",AO10)</f>
        <v>70- disminuye 1</v>
      </c>
      <c r="AQ10" s="6">
        <f t="shared" ref="AQ10:AQ21" si="10">IF(V10="SI",O10-AO10,O10)</f>
        <v>0</v>
      </c>
      <c r="AR10" s="331" t="str">
        <f>IF(AQ10&lt;=1,"Rara vez",VLOOKUP(AQ10,[9]Listas!$L$69:$M$73,2,0))</f>
        <v>Rara vez</v>
      </c>
      <c r="AS10" s="6">
        <f t="shared" ref="AS10:AS21" si="11">IF(W10="SI",Q10-AO10,Q10)</f>
        <v>5</v>
      </c>
      <c r="AT10" s="331" t="str">
        <f t="shared" ref="AT10:AT21" si="12">IF(AS10&lt;=9,"Moderado",IF(AS10=20,"Catastrófico",IF(AS10=18,"Moderado","Mayor")))</f>
        <v>Moderado</v>
      </c>
      <c r="AU10" s="331" t="str">
        <f>INDEX([9]Listas!$O$69:$Q$73,MATCH(AR10,[9]Listas!$M$69:$M$73,0),MATCH(AT10,[9]Listas!$O$67:$Q$67,0))</f>
        <v>5
BAJA</v>
      </c>
      <c r="AV10" s="330" t="s">
        <v>271</v>
      </c>
      <c r="AW10" s="826" t="s">
        <v>291</v>
      </c>
      <c r="AX10" s="843" t="s">
        <v>3240</v>
      </c>
      <c r="AY10" s="843" t="s">
        <v>2475</v>
      </c>
      <c r="AZ10" s="12" t="s">
        <v>2476</v>
      </c>
      <c r="BA10" s="12" t="s">
        <v>2477</v>
      </c>
      <c r="BB10" s="226">
        <v>1</v>
      </c>
      <c r="BC10" s="12" t="s">
        <v>3903</v>
      </c>
      <c r="BD10" s="12" t="s">
        <v>3241</v>
      </c>
      <c r="BE10" s="839" t="s">
        <v>36</v>
      </c>
      <c r="BF10" s="839" t="s">
        <v>3230</v>
      </c>
      <c r="BG10" s="839" t="s">
        <v>3230</v>
      </c>
      <c r="BH10" s="227" t="s">
        <v>3230</v>
      </c>
      <c r="BI10" s="227" t="s">
        <v>3230</v>
      </c>
      <c r="BJ10" s="839" t="s">
        <v>3230</v>
      </c>
      <c r="BK10" s="228"/>
      <c r="BL10" s="228"/>
    </row>
    <row r="11" spans="1:64" s="3" customFormat="1" ht="108" hidden="1" customHeight="1">
      <c r="A11" s="332"/>
      <c r="B11" s="2805"/>
      <c r="C11" s="2806"/>
      <c r="D11" s="2807"/>
      <c r="E11" s="843"/>
      <c r="F11" s="2808"/>
      <c r="G11" s="2809"/>
      <c r="H11" s="2810"/>
      <c r="I11" s="2805"/>
      <c r="J11" s="2806"/>
      <c r="K11" s="2807"/>
      <c r="L11" s="330"/>
      <c r="M11" s="50"/>
      <c r="N11" s="32"/>
      <c r="O11" s="6" t="e">
        <f>VLOOKUP(L11,[9]Listas!$M$69:$N$73,2,0)</f>
        <v>#N/A</v>
      </c>
      <c r="P11" s="6"/>
      <c r="Q11" s="6" t="e">
        <f>HLOOKUP(M11,[9]Listas!$O$67:$Q$68,2,0)</f>
        <v>#N/A</v>
      </c>
      <c r="R11" s="331" t="e">
        <f>INDEX([9]Listas!$O$69:$Q$73,MATCH(L11,[9]Listas!$M$69:$M$73,0),MATCH(M11,[9]Listas!$O$67:$Q$67,0))</f>
        <v>#N/A</v>
      </c>
      <c r="S11" s="2805"/>
      <c r="T11" s="2806"/>
      <c r="U11" s="2807"/>
      <c r="V11" s="329"/>
      <c r="W11" s="329"/>
      <c r="X11" s="329"/>
      <c r="Y11" s="329"/>
      <c r="Z11" s="329"/>
      <c r="AA11" s="329"/>
      <c r="AB11" s="329"/>
      <c r="AC11" s="329"/>
      <c r="AD11" s="329"/>
      <c r="AE11" s="329"/>
      <c r="AF11" s="33"/>
      <c r="AG11" s="6">
        <f t="shared" si="0"/>
        <v>0</v>
      </c>
      <c r="AH11" s="6">
        <f t="shared" si="1"/>
        <v>0</v>
      </c>
      <c r="AI11" s="6">
        <f t="shared" si="2"/>
        <v>0</v>
      </c>
      <c r="AJ11" s="6">
        <f t="shared" si="3"/>
        <v>0</v>
      </c>
      <c r="AK11" s="6">
        <f t="shared" si="4"/>
        <v>0</v>
      </c>
      <c r="AL11" s="6">
        <f t="shared" si="5"/>
        <v>0</v>
      </c>
      <c r="AM11" s="6">
        <f t="shared" si="6"/>
        <v>0</v>
      </c>
      <c r="AN11" s="6">
        <f t="shared" si="7"/>
        <v>0</v>
      </c>
      <c r="AO11" s="6">
        <f t="shared" si="8"/>
        <v>0</v>
      </c>
      <c r="AP11" s="331" t="str">
        <f t="shared" si="9"/>
        <v>0- disminuye 0</v>
      </c>
      <c r="AQ11" s="6" t="e">
        <f t="shared" si="10"/>
        <v>#N/A</v>
      </c>
      <c r="AR11" s="331" t="e">
        <f>IF(AQ11&lt;=1,"Rara vez",VLOOKUP(AQ11,[9]Listas!$L$69:$M$73,2,0))</f>
        <v>#N/A</v>
      </c>
      <c r="AS11" s="6" t="e">
        <f t="shared" si="11"/>
        <v>#N/A</v>
      </c>
      <c r="AT11" s="331" t="e">
        <f t="shared" si="12"/>
        <v>#N/A</v>
      </c>
      <c r="AU11" s="331" t="e">
        <f>INDEX([9]Listas!$O$69:$Q$73,MATCH(AR11,[9]Listas!$M$69:$M$73,0),MATCH(AT11,[9]Listas!$O$67:$Q$67,0))</f>
        <v>#N/A</v>
      </c>
      <c r="AV11" s="330"/>
      <c r="AW11" s="826"/>
      <c r="AX11" s="843"/>
      <c r="AY11" s="843"/>
      <c r="AZ11" s="12"/>
      <c r="BA11" s="12"/>
      <c r="BB11" s="839"/>
      <c r="BC11" s="12"/>
      <c r="BD11" s="12" t="s">
        <v>2343</v>
      </c>
      <c r="BE11" s="839"/>
      <c r="BF11" s="12"/>
      <c r="BG11" s="12"/>
      <c r="BH11" s="227"/>
      <c r="BI11" s="227"/>
      <c r="BJ11" s="839"/>
      <c r="BK11" s="228"/>
      <c r="BL11" s="228"/>
    </row>
    <row r="12" spans="1:64" s="3" customFormat="1" ht="108" hidden="1" customHeight="1">
      <c r="A12" s="332"/>
      <c r="B12" s="2805"/>
      <c r="C12" s="2806"/>
      <c r="D12" s="2807"/>
      <c r="E12" s="843"/>
      <c r="F12" s="2808"/>
      <c r="G12" s="2809"/>
      <c r="H12" s="2810"/>
      <c r="I12" s="2805"/>
      <c r="J12" s="2806"/>
      <c r="K12" s="2807"/>
      <c r="L12" s="330"/>
      <c r="M12" s="50"/>
      <c r="N12" s="32"/>
      <c r="O12" s="6" t="e">
        <f>VLOOKUP(L12,[9]Listas!$M$69:$N$73,2,0)</f>
        <v>#N/A</v>
      </c>
      <c r="P12" s="6"/>
      <c r="Q12" s="6" t="e">
        <f>HLOOKUP(M12,[9]Listas!$O$67:$Q$68,2,0)</f>
        <v>#N/A</v>
      </c>
      <c r="R12" s="331" t="e">
        <f>INDEX([9]Listas!$O$69:$Q$73,MATCH(L12,[9]Listas!$M$69:$M$73,0),MATCH(M12,[9]Listas!$O$67:$Q$67,0))</f>
        <v>#N/A</v>
      </c>
      <c r="S12" s="2805"/>
      <c r="T12" s="2806"/>
      <c r="U12" s="2807"/>
      <c r="V12" s="329"/>
      <c r="W12" s="329"/>
      <c r="X12" s="329"/>
      <c r="Y12" s="329"/>
      <c r="Z12" s="329"/>
      <c r="AA12" s="329"/>
      <c r="AB12" s="329"/>
      <c r="AC12" s="329"/>
      <c r="AD12" s="329"/>
      <c r="AE12" s="329"/>
      <c r="AF12" s="33"/>
      <c r="AG12" s="6">
        <f t="shared" si="0"/>
        <v>0</v>
      </c>
      <c r="AH12" s="6">
        <f t="shared" si="1"/>
        <v>0</v>
      </c>
      <c r="AI12" s="6">
        <f t="shared" si="2"/>
        <v>0</v>
      </c>
      <c r="AJ12" s="6">
        <f t="shared" si="3"/>
        <v>0</v>
      </c>
      <c r="AK12" s="6">
        <f t="shared" si="4"/>
        <v>0</v>
      </c>
      <c r="AL12" s="6">
        <f t="shared" si="5"/>
        <v>0</v>
      </c>
      <c r="AM12" s="6">
        <f t="shared" si="6"/>
        <v>0</v>
      </c>
      <c r="AN12" s="6">
        <f t="shared" si="7"/>
        <v>0</v>
      </c>
      <c r="AO12" s="6">
        <f t="shared" si="8"/>
        <v>0</v>
      </c>
      <c r="AP12" s="331" t="str">
        <f t="shared" si="9"/>
        <v>0- disminuye 0</v>
      </c>
      <c r="AQ12" s="6" t="e">
        <f t="shared" si="10"/>
        <v>#N/A</v>
      </c>
      <c r="AR12" s="331" t="e">
        <f>IF(AQ12&lt;=1,"Rara vez",VLOOKUP(AQ12,[9]Listas!$L$69:$M$73,2,0))</f>
        <v>#N/A</v>
      </c>
      <c r="AS12" s="6" t="e">
        <f t="shared" si="11"/>
        <v>#N/A</v>
      </c>
      <c r="AT12" s="331" t="e">
        <f t="shared" si="12"/>
        <v>#N/A</v>
      </c>
      <c r="AU12" s="331" t="e">
        <f>INDEX([9]Listas!$O$69:$Q$73,MATCH(AR12,[9]Listas!$M$69:$M$73,0),MATCH(AT12,[9]Listas!$O$67:$Q$67,0))</f>
        <v>#N/A</v>
      </c>
      <c r="AV12" s="330"/>
      <c r="AW12" s="826"/>
      <c r="AX12" s="843"/>
      <c r="AY12" s="843"/>
      <c r="AZ12" s="12"/>
      <c r="BA12" s="12"/>
      <c r="BB12" s="839"/>
      <c r="BC12" s="12"/>
      <c r="BD12" s="12" t="s">
        <v>2343</v>
      </c>
      <c r="BE12" s="839"/>
      <c r="BF12" s="12"/>
      <c r="BG12" s="12"/>
      <c r="BH12" s="227"/>
      <c r="BI12" s="227"/>
      <c r="BJ12" s="839"/>
      <c r="BK12" s="228"/>
      <c r="BL12" s="228"/>
    </row>
    <row r="13" spans="1:64" s="3" customFormat="1" ht="108" hidden="1" customHeight="1">
      <c r="A13" s="332"/>
      <c r="B13" s="2805"/>
      <c r="C13" s="2806"/>
      <c r="D13" s="2807"/>
      <c r="E13" s="843"/>
      <c r="F13" s="2808"/>
      <c r="G13" s="2809"/>
      <c r="H13" s="2810"/>
      <c r="I13" s="2805"/>
      <c r="J13" s="2806"/>
      <c r="K13" s="2807"/>
      <c r="L13" s="330"/>
      <c r="M13" s="50"/>
      <c r="N13" s="32"/>
      <c r="O13" s="6" t="e">
        <f>VLOOKUP(L13,[9]Listas!$M$69:$N$73,2,0)</f>
        <v>#N/A</v>
      </c>
      <c r="P13" s="6"/>
      <c r="Q13" s="6" t="e">
        <f>HLOOKUP(M13,[9]Listas!$O$67:$Q$68,2,0)</f>
        <v>#N/A</v>
      </c>
      <c r="R13" s="331" t="e">
        <f>INDEX([9]Listas!$O$69:$Q$73,MATCH(L13,[9]Listas!$M$69:$M$73,0),MATCH(M13,[9]Listas!$O$67:$Q$67,0))</f>
        <v>#N/A</v>
      </c>
      <c r="S13" s="2805"/>
      <c r="T13" s="2806"/>
      <c r="U13" s="2807"/>
      <c r="V13" s="329"/>
      <c r="W13" s="329"/>
      <c r="X13" s="329"/>
      <c r="Y13" s="329"/>
      <c r="Z13" s="329"/>
      <c r="AA13" s="329"/>
      <c r="AB13" s="329"/>
      <c r="AC13" s="329"/>
      <c r="AD13" s="329"/>
      <c r="AE13" s="329"/>
      <c r="AF13" s="33"/>
      <c r="AG13" s="6">
        <f t="shared" si="0"/>
        <v>0</v>
      </c>
      <c r="AH13" s="6">
        <f t="shared" si="1"/>
        <v>0</v>
      </c>
      <c r="AI13" s="6">
        <f t="shared" si="2"/>
        <v>0</v>
      </c>
      <c r="AJ13" s="6">
        <f t="shared" si="3"/>
        <v>0</v>
      </c>
      <c r="AK13" s="6">
        <f t="shared" si="4"/>
        <v>0</v>
      </c>
      <c r="AL13" s="6">
        <f t="shared" si="5"/>
        <v>0</v>
      </c>
      <c r="AM13" s="6">
        <f t="shared" si="6"/>
        <v>0</v>
      </c>
      <c r="AN13" s="6">
        <f t="shared" si="7"/>
        <v>0</v>
      </c>
      <c r="AO13" s="6">
        <f t="shared" si="8"/>
        <v>0</v>
      </c>
      <c r="AP13" s="331" t="str">
        <f t="shared" si="9"/>
        <v>0- disminuye 0</v>
      </c>
      <c r="AQ13" s="6" t="e">
        <f t="shared" si="10"/>
        <v>#N/A</v>
      </c>
      <c r="AR13" s="331" t="e">
        <f>IF(AQ13&lt;=1,"Rara vez",VLOOKUP(AQ13,[9]Listas!$L$69:$M$73,2,0))</f>
        <v>#N/A</v>
      </c>
      <c r="AS13" s="6" t="e">
        <f t="shared" si="11"/>
        <v>#N/A</v>
      </c>
      <c r="AT13" s="331" t="e">
        <f t="shared" si="12"/>
        <v>#N/A</v>
      </c>
      <c r="AU13" s="331" t="e">
        <f>INDEX([9]Listas!$O$69:$Q$73,MATCH(AR13,[9]Listas!$M$69:$M$73,0),MATCH(AT13,[9]Listas!$O$67:$Q$67,0))</f>
        <v>#N/A</v>
      </c>
      <c r="AV13" s="330"/>
      <c r="AW13" s="826"/>
      <c r="AX13" s="843"/>
      <c r="AY13" s="843"/>
      <c r="AZ13" s="12"/>
      <c r="BA13" s="12"/>
      <c r="BB13" s="839"/>
      <c r="BC13" s="12"/>
      <c r="BD13" s="12" t="s">
        <v>2343</v>
      </c>
      <c r="BE13" s="839"/>
      <c r="BF13" s="12"/>
      <c r="BG13" s="12"/>
      <c r="BH13" s="227"/>
      <c r="BI13" s="227"/>
      <c r="BJ13" s="839"/>
      <c r="BK13" s="228"/>
      <c r="BL13" s="228"/>
    </row>
    <row r="14" spans="1:64" s="3" customFormat="1" ht="108" hidden="1" customHeight="1">
      <c r="A14" s="332"/>
      <c r="B14" s="2805"/>
      <c r="C14" s="2806"/>
      <c r="D14" s="2807"/>
      <c r="E14" s="843"/>
      <c r="F14" s="2808"/>
      <c r="G14" s="2809"/>
      <c r="H14" s="2810"/>
      <c r="I14" s="2805"/>
      <c r="J14" s="2806"/>
      <c r="K14" s="2807"/>
      <c r="L14" s="330"/>
      <c r="M14" s="50"/>
      <c r="N14" s="32"/>
      <c r="O14" s="6" t="e">
        <f>VLOOKUP(L14,[9]Listas!$M$69:$N$73,2,0)</f>
        <v>#N/A</v>
      </c>
      <c r="P14" s="6"/>
      <c r="Q14" s="6" t="e">
        <f>HLOOKUP(M14,[9]Listas!$O$67:$Q$68,2,0)</f>
        <v>#N/A</v>
      </c>
      <c r="R14" s="331" t="e">
        <f>INDEX([9]Listas!$O$69:$Q$73,MATCH(L14,[9]Listas!$M$69:$M$73,0),MATCH(M14,[9]Listas!$O$67:$Q$67,0))</f>
        <v>#N/A</v>
      </c>
      <c r="S14" s="2805"/>
      <c r="T14" s="2806"/>
      <c r="U14" s="2807"/>
      <c r="V14" s="329"/>
      <c r="W14" s="329"/>
      <c r="X14" s="329"/>
      <c r="Y14" s="329"/>
      <c r="Z14" s="329"/>
      <c r="AA14" s="329"/>
      <c r="AB14" s="329"/>
      <c r="AC14" s="329"/>
      <c r="AD14" s="329"/>
      <c r="AE14" s="329"/>
      <c r="AF14" s="33"/>
      <c r="AG14" s="6">
        <f t="shared" si="0"/>
        <v>0</v>
      </c>
      <c r="AH14" s="6">
        <f t="shared" si="1"/>
        <v>0</v>
      </c>
      <c r="AI14" s="6">
        <f t="shared" si="2"/>
        <v>0</v>
      </c>
      <c r="AJ14" s="6">
        <f t="shared" si="3"/>
        <v>0</v>
      </c>
      <c r="AK14" s="6">
        <f t="shared" si="4"/>
        <v>0</v>
      </c>
      <c r="AL14" s="6">
        <f t="shared" si="5"/>
        <v>0</v>
      </c>
      <c r="AM14" s="6">
        <f t="shared" si="6"/>
        <v>0</v>
      </c>
      <c r="AN14" s="6">
        <f t="shared" si="7"/>
        <v>0</v>
      </c>
      <c r="AO14" s="6">
        <f t="shared" si="8"/>
        <v>0</v>
      </c>
      <c r="AP14" s="331" t="str">
        <f t="shared" si="9"/>
        <v>0- disminuye 0</v>
      </c>
      <c r="AQ14" s="6" t="e">
        <f t="shared" si="10"/>
        <v>#N/A</v>
      </c>
      <c r="AR14" s="331" t="e">
        <f>IF(AQ14&lt;=1,"Rara vez",VLOOKUP(AQ14,[9]Listas!$L$69:$M$73,2,0))</f>
        <v>#N/A</v>
      </c>
      <c r="AS14" s="6" t="e">
        <f t="shared" si="11"/>
        <v>#N/A</v>
      </c>
      <c r="AT14" s="331" t="e">
        <f t="shared" si="12"/>
        <v>#N/A</v>
      </c>
      <c r="AU14" s="331" t="e">
        <f>INDEX([9]Listas!$O$69:$Q$73,MATCH(AR14,[9]Listas!$M$69:$M$73,0),MATCH(AT14,[9]Listas!$O$67:$Q$67,0))</f>
        <v>#N/A</v>
      </c>
      <c r="AV14" s="330"/>
      <c r="AW14" s="826"/>
      <c r="AX14" s="843"/>
      <c r="AY14" s="843"/>
      <c r="AZ14" s="12"/>
      <c r="BA14" s="12"/>
      <c r="BB14" s="839"/>
      <c r="BC14" s="12"/>
      <c r="BD14" s="12" t="s">
        <v>2343</v>
      </c>
      <c r="BE14" s="839"/>
      <c r="BF14" s="12"/>
      <c r="BG14" s="12"/>
      <c r="BH14" s="227"/>
      <c r="BI14" s="227"/>
      <c r="BJ14" s="839"/>
      <c r="BK14" s="228"/>
      <c r="BL14" s="228"/>
    </row>
    <row r="15" spans="1:64" s="3" customFormat="1" ht="108" hidden="1" customHeight="1">
      <c r="A15" s="332"/>
      <c r="B15" s="2805"/>
      <c r="C15" s="2806"/>
      <c r="D15" s="2807"/>
      <c r="E15" s="843"/>
      <c r="F15" s="2808"/>
      <c r="G15" s="2809"/>
      <c r="H15" s="2810"/>
      <c r="I15" s="2805"/>
      <c r="J15" s="2806"/>
      <c r="K15" s="2807"/>
      <c r="L15" s="330"/>
      <c r="M15" s="50"/>
      <c r="N15" s="32"/>
      <c r="O15" s="6" t="e">
        <f>VLOOKUP(L15,[9]Listas!$M$69:$N$73,2,0)</f>
        <v>#N/A</v>
      </c>
      <c r="P15" s="6"/>
      <c r="Q15" s="6" t="e">
        <f>HLOOKUP(M15,[9]Listas!$O$67:$Q$68,2,0)</f>
        <v>#N/A</v>
      </c>
      <c r="R15" s="331" t="e">
        <f>INDEX([9]Listas!$O$69:$Q$73,MATCH(L15,[9]Listas!$M$69:$M$73,0),MATCH(M15,[9]Listas!$O$67:$Q$67,0))</f>
        <v>#N/A</v>
      </c>
      <c r="S15" s="2805"/>
      <c r="T15" s="2806"/>
      <c r="U15" s="2807"/>
      <c r="V15" s="329"/>
      <c r="W15" s="329"/>
      <c r="X15" s="329"/>
      <c r="Y15" s="329"/>
      <c r="Z15" s="329"/>
      <c r="AA15" s="329"/>
      <c r="AB15" s="329"/>
      <c r="AC15" s="329"/>
      <c r="AD15" s="329"/>
      <c r="AE15" s="329"/>
      <c r="AF15" s="33"/>
      <c r="AG15" s="6">
        <f t="shared" si="0"/>
        <v>0</v>
      </c>
      <c r="AH15" s="6">
        <f t="shared" si="1"/>
        <v>0</v>
      </c>
      <c r="AI15" s="6">
        <f t="shared" si="2"/>
        <v>0</v>
      </c>
      <c r="AJ15" s="6">
        <f t="shared" si="3"/>
        <v>0</v>
      </c>
      <c r="AK15" s="6">
        <f t="shared" si="4"/>
        <v>0</v>
      </c>
      <c r="AL15" s="6">
        <f t="shared" si="5"/>
        <v>0</v>
      </c>
      <c r="AM15" s="6">
        <f t="shared" si="6"/>
        <v>0</v>
      </c>
      <c r="AN15" s="6">
        <f t="shared" si="7"/>
        <v>0</v>
      </c>
      <c r="AO15" s="6">
        <f t="shared" si="8"/>
        <v>0</v>
      </c>
      <c r="AP15" s="331" t="str">
        <f t="shared" si="9"/>
        <v>0- disminuye 0</v>
      </c>
      <c r="AQ15" s="6" t="e">
        <f t="shared" si="10"/>
        <v>#N/A</v>
      </c>
      <c r="AR15" s="331" t="e">
        <f>IF(AQ15&lt;=1,"Rara vez",VLOOKUP(AQ15,[9]Listas!$L$69:$M$73,2,0))</f>
        <v>#N/A</v>
      </c>
      <c r="AS15" s="6" t="e">
        <f t="shared" si="11"/>
        <v>#N/A</v>
      </c>
      <c r="AT15" s="331" t="e">
        <f t="shared" si="12"/>
        <v>#N/A</v>
      </c>
      <c r="AU15" s="331" t="e">
        <f>INDEX([9]Listas!$O$69:$Q$73,MATCH(AR15,[9]Listas!$M$69:$M$73,0),MATCH(AT15,[9]Listas!$O$67:$Q$67,0))</f>
        <v>#N/A</v>
      </c>
      <c r="AV15" s="330"/>
      <c r="AW15" s="826"/>
      <c r="AX15" s="843"/>
      <c r="AY15" s="843"/>
      <c r="AZ15" s="12"/>
      <c r="BA15" s="12"/>
      <c r="BB15" s="839"/>
      <c r="BC15" s="12"/>
      <c r="BD15" s="12" t="s">
        <v>2343</v>
      </c>
      <c r="BE15" s="839"/>
      <c r="BF15" s="12"/>
      <c r="BG15" s="12"/>
      <c r="BH15" s="227"/>
      <c r="BI15" s="227"/>
      <c r="BJ15" s="839"/>
      <c r="BK15" s="228"/>
      <c r="BL15" s="228"/>
    </row>
    <row r="16" spans="1:64" s="3" customFormat="1" ht="108" hidden="1" customHeight="1">
      <c r="A16" s="332"/>
      <c r="B16" s="2805"/>
      <c r="C16" s="2806"/>
      <c r="D16" s="2807"/>
      <c r="E16" s="843"/>
      <c r="F16" s="2808"/>
      <c r="G16" s="2809"/>
      <c r="H16" s="2810"/>
      <c r="I16" s="2805"/>
      <c r="J16" s="2806"/>
      <c r="K16" s="2807"/>
      <c r="L16" s="330"/>
      <c r="M16" s="50"/>
      <c r="N16" s="32"/>
      <c r="O16" s="6" t="e">
        <f>VLOOKUP(L16,[9]Listas!$M$69:$N$73,2,0)</f>
        <v>#N/A</v>
      </c>
      <c r="P16" s="6"/>
      <c r="Q16" s="6" t="e">
        <f>HLOOKUP(M16,[9]Listas!$O$67:$Q$68,2,0)</f>
        <v>#N/A</v>
      </c>
      <c r="R16" s="331" t="e">
        <f>INDEX([9]Listas!$O$69:$Q$73,MATCH(L16,[9]Listas!$M$69:$M$73,0),MATCH(M16,[9]Listas!$O$67:$Q$67,0))</f>
        <v>#N/A</v>
      </c>
      <c r="S16" s="826"/>
      <c r="T16" s="827"/>
      <c r="U16" s="828"/>
      <c r="V16" s="329"/>
      <c r="W16" s="329"/>
      <c r="X16" s="329"/>
      <c r="Y16" s="329"/>
      <c r="Z16" s="329"/>
      <c r="AA16" s="329"/>
      <c r="AB16" s="329"/>
      <c r="AC16" s="329"/>
      <c r="AD16" s="329"/>
      <c r="AE16" s="329"/>
      <c r="AF16" s="33"/>
      <c r="AG16" s="6">
        <f t="shared" si="0"/>
        <v>0</v>
      </c>
      <c r="AH16" s="6">
        <f t="shared" si="1"/>
        <v>0</v>
      </c>
      <c r="AI16" s="6">
        <f t="shared" si="2"/>
        <v>0</v>
      </c>
      <c r="AJ16" s="6">
        <f t="shared" si="3"/>
        <v>0</v>
      </c>
      <c r="AK16" s="6">
        <f t="shared" si="4"/>
        <v>0</v>
      </c>
      <c r="AL16" s="6">
        <f t="shared" si="5"/>
        <v>0</v>
      </c>
      <c r="AM16" s="6">
        <f t="shared" si="6"/>
        <v>0</v>
      </c>
      <c r="AN16" s="6">
        <f t="shared" si="7"/>
        <v>0</v>
      </c>
      <c r="AO16" s="6">
        <f t="shared" si="8"/>
        <v>0</v>
      </c>
      <c r="AP16" s="331" t="str">
        <f t="shared" si="9"/>
        <v>0- disminuye 0</v>
      </c>
      <c r="AQ16" s="6" t="e">
        <f t="shared" si="10"/>
        <v>#N/A</v>
      </c>
      <c r="AR16" s="331" t="e">
        <f>IF(AQ16&lt;=1,"Rara vez",VLOOKUP(AQ16,[9]Listas!$L$69:$M$73,2,0))</f>
        <v>#N/A</v>
      </c>
      <c r="AS16" s="6" t="e">
        <f t="shared" si="11"/>
        <v>#N/A</v>
      </c>
      <c r="AT16" s="331" t="e">
        <f t="shared" si="12"/>
        <v>#N/A</v>
      </c>
      <c r="AU16" s="331" t="e">
        <f>INDEX([9]Listas!$O$69:$Q$73,MATCH(AR16,[9]Listas!$M$69:$M$73,0),MATCH(AT16,[9]Listas!$O$67:$Q$67,0))</f>
        <v>#N/A</v>
      </c>
      <c r="AV16" s="330"/>
      <c r="AW16" s="826"/>
      <c r="AX16" s="843"/>
      <c r="AY16" s="843"/>
      <c r="AZ16" s="12"/>
      <c r="BA16" s="12"/>
      <c r="BB16" s="839"/>
      <c r="BC16" s="12"/>
      <c r="BD16" s="12" t="s">
        <v>2343</v>
      </c>
      <c r="BE16" s="839"/>
      <c r="BF16" s="12"/>
      <c r="BG16" s="12"/>
      <c r="BH16" s="227"/>
      <c r="BI16" s="227"/>
      <c r="BJ16" s="839"/>
      <c r="BK16" s="228"/>
      <c r="BL16" s="228"/>
    </row>
    <row r="17" spans="1:64" s="3" customFormat="1" ht="108" hidden="1" customHeight="1">
      <c r="A17" s="332"/>
      <c r="B17" s="2805"/>
      <c r="C17" s="2806"/>
      <c r="D17" s="2807"/>
      <c r="E17" s="843"/>
      <c r="F17" s="2808"/>
      <c r="G17" s="2809"/>
      <c r="H17" s="2810"/>
      <c r="I17" s="2805"/>
      <c r="J17" s="2806"/>
      <c r="K17" s="2807"/>
      <c r="L17" s="330"/>
      <c r="M17" s="50"/>
      <c r="N17" s="32"/>
      <c r="O17" s="6" t="e">
        <f>VLOOKUP(L17,[9]Listas!$M$69:$N$73,2,0)</f>
        <v>#N/A</v>
      </c>
      <c r="P17" s="6"/>
      <c r="Q17" s="6" t="e">
        <f>HLOOKUP(M17,[9]Listas!$O$67:$Q$68,2,0)</f>
        <v>#N/A</v>
      </c>
      <c r="R17" s="331" t="e">
        <f>INDEX([9]Listas!$O$69:$Q$73,MATCH(L17,[9]Listas!$M$69:$M$73,0),MATCH(M17,[9]Listas!$O$67:$Q$67,0))</f>
        <v>#N/A</v>
      </c>
      <c r="S17" s="2805"/>
      <c r="T17" s="2806"/>
      <c r="U17" s="2807"/>
      <c r="V17" s="329"/>
      <c r="W17" s="329"/>
      <c r="X17" s="329"/>
      <c r="Y17" s="329"/>
      <c r="Z17" s="329"/>
      <c r="AA17" s="329"/>
      <c r="AB17" s="329"/>
      <c r="AC17" s="329"/>
      <c r="AD17" s="329"/>
      <c r="AE17" s="329"/>
      <c r="AF17" s="33"/>
      <c r="AG17" s="6">
        <f t="shared" si="0"/>
        <v>0</v>
      </c>
      <c r="AH17" s="6">
        <f t="shared" si="1"/>
        <v>0</v>
      </c>
      <c r="AI17" s="6">
        <f t="shared" si="2"/>
        <v>0</v>
      </c>
      <c r="AJ17" s="6">
        <f t="shared" si="3"/>
        <v>0</v>
      </c>
      <c r="AK17" s="6">
        <f t="shared" si="4"/>
        <v>0</v>
      </c>
      <c r="AL17" s="6">
        <f t="shared" si="5"/>
        <v>0</v>
      </c>
      <c r="AM17" s="6">
        <f t="shared" si="6"/>
        <v>0</v>
      </c>
      <c r="AN17" s="6">
        <f t="shared" si="7"/>
        <v>0</v>
      </c>
      <c r="AO17" s="6">
        <f t="shared" si="8"/>
        <v>0</v>
      </c>
      <c r="AP17" s="331" t="str">
        <f t="shared" si="9"/>
        <v>0- disminuye 0</v>
      </c>
      <c r="AQ17" s="6" t="e">
        <f t="shared" si="10"/>
        <v>#N/A</v>
      </c>
      <c r="AR17" s="331" t="e">
        <f>IF(AQ17&lt;=1,"Rara vez",VLOOKUP(AQ17,[9]Listas!$L$69:$M$73,2,0))</f>
        <v>#N/A</v>
      </c>
      <c r="AS17" s="6" t="e">
        <f t="shared" si="11"/>
        <v>#N/A</v>
      </c>
      <c r="AT17" s="331" t="e">
        <f t="shared" si="12"/>
        <v>#N/A</v>
      </c>
      <c r="AU17" s="331" t="e">
        <f>INDEX([9]Listas!$O$69:$Q$73,MATCH(AR17,[9]Listas!$M$69:$M$73,0),MATCH(AT17,[9]Listas!$O$67:$Q$67,0))</f>
        <v>#N/A</v>
      </c>
      <c r="AV17" s="330"/>
      <c r="AW17" s="826"/>
      <c r="AX17" s="843"/>
      <c r="AY17" s="843"/>
      <c r="AZ17" s="12"/>
      <c r="BA17" s="12"/>
      <c r="BB17" s="839"/>
      <c r="BC17" s="12"/>
      <c r="BD17" s="12" t="s">
        <v>2343</v>
      </c>
      <c r="BE17" s="839"/>
      <c r="BF17" s="12"/>
      <c r="BG17" s="12"/>
      <c r="BH17" s="227"/>
      <c r="BI17" s="227"/>
      <c r="BJ17" s="839"/>
      <c r="BK17" s="228"/>
      <c r="BL17" s="228"/>
    </row>
    <row r="18" spans="1:64" s="3" customFormat="1" ht="108" hidden="1" customHeight="1">
      <c r="A18" s="332"/>
      <c r="B18" s="2805"/>
      <c r="C18" s="2806"/>
      <c r="D18" s="2807"/>
      <c r="E18" s="843"/>
      <c r="F18" s="2808"/>
      <c r="G18" s="2809"/>
      <c r="H18" s="2810"/>
      <c r="I18" s="2805"/>
      <c r="J18" s="2806"/>
      <c r="K18" s="2807"/>
      <c r="L18" s="330"/>
      <c r="M18" s="50"/>
      <c r="N18" s="32"/>
      <c r="O18" s="6" t="e">
        <f>VLOOKUP(L18,[9]Listas!$M$69:$N$73,2,0)</f>
        <v>#N/A</v>
      </c>
      <c r="P18" s="6"/>
      <c r="Q18" s="6" t="e">
        <f>HLOOKUP(M18,[9]Listas!$O$67:$Q$68,2,0)</f>
        <v>#N/A</v>
      </c>
      <c r="R18" s="331" t="e">
        <f>INDEX([9]Listas!$O$69:$Q$73,MATCH(L18,[9]Listas!$M$69:$M$73,0),MATCH(M18,[9]Listas!$O$67:$Q$67,0))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vez",VLOOKUP(AQ18,[9]Listas!$L$69:$M$73,2,0))</f>
        <v>#N/A</v>
      </c>
      <c r="AS18" s="6" t="e">
        <f t="shared" si="11"/>
        <v>#N/A</v>
      </c>
      <c r="AT18" s="331" t="e">
        <f t="shared" si="12"/>
        <v>#N/A</v>
      </c>
      <c r="AU18" s="331" t="e">
        <f>INDEX([9]Listas!$O$69:$Q$73,MATCH(AR18,[9]Listas!$M$69:$M$73,0),MATCH(AT18,[9]Listas!$O$67:$Q$67,0))</f>
        <v>#N/A</v>
      </c>
      <c r="AV18" s="330"/>
      <c r="AW18" s="826"/>
      <c r="AX18" s="843"/>
      <c r="AY18" s="843"/>
      <c r="AZ18" s="12"/>
      <c r="BA18" s="12"/>
      <c r="BB18" s="839"/>
      <c r="BC18" s="12"/>
      <c r="BD18" s="12" t="s">
        <v>2343</v>
      </c>
      <c r="BE18" s="839"/>
      <c r="BF18" s="12"/>
      <c r="BG18" s="12"/>
      <c r="BH18" s="227"/>
      <c r="BI18" s="227"/>
      <c r="BJ18" s="839"/>
      <c r="BK18" s="228"/>
      <c r="BL18" s="228"/>
    </row>
    <row r="19" spans="1:64" s="3" customFormat="1" ht="108" hidden="1" customHeight="1">
      <c r="A19" s="332"/>
      <c r="B19" s="2805"/>
      <c r="C19" s="2806"/>
      <c r="D19" s="2807"/>
      <c r="E19" s="843"/>
      <c r="F19" s="2808"/>
      <c r="G19" s="2809"/>
      <c r="H19" s="2810"/>
      <c r="I19" s="2805"/>
      <c r="J19" s="2806"/>
      <c r="K19" s="2807"/>
      <c r="L19" s="330"/>
      <c r="M19" s="50"/>
      <c r="N19" s="32"/>
      <c r="O19" s="6" t="e">
        <f>VLOOKUP(L19,[9]Listas!$M$69:$N$73,2,0)</f>
        <v>#N/A</v>
      </c>
      <c r="P19" s="6"/>
      <c r="Q19" s="6" t="e">
        <f>HLOOKUP(M19,[9]Listas!$O$67:$Q$68,2,0)</f>
        <v>#N/A</v>
      </c>
      <c r="R19" s="331" t="e">
        <f>INDEX([9]Listas!$O$69:$Q$73,MATCH(L19,[9]Listas!$M$69:$M$73,0),MATCH(M19,[9]Listas!$O$67:$Q$67,0))</f>
        <v>#N/A</v>
      </c>
      <c r="S19" s="2805"/>
      <c r="T19" s="2806"/>
      <c r="U19" s="2807"/>
      <c r="V19" s="329"/>
      <c r="W19" s="329"/>
      <c r="X19" s="329"/>
      <c r="Y19" s="329"/>
      <c r="Z19" s="329"/>
      <c r="AA19" s="329"/>
      <c r="AB19" s="329"/>
      <c r="AC19" s="329"/>
      <c r="AD19" s="329"/>
      <c r="AE19" s="329"/>
      <c r="AF19" s="33"/>
      <c r="AG19" s="6">
        <f t="shared" si="0"/>
        <v>0</v>
      </c>
      <c r="AH19" s="6">
        <f t="shared" si="1"/>
        <v>0</v>
      </c>
      <c r="AI19" s="6">
        <f t="shared" si="2"/>
        <v>0</v>
      </c>
      <c r="AJ19" s="6">
        <f t="shared" si="3"/>
        <v>0</v>
      </c>
      <c r="AK19" s="6">
        <f t="shared" si="4"/>
        <v>0</v>
      </c>
      <c r="AL19" s="6">
        <f t="shared" si="5"/>
        <v>0</v>
      </c>
      <c r="AM19" s="6">
        <f t="shared" si="6"/>
        <v>0</v>
      </c>
      <c r="AN19" s="6">
        <f t="shared" si="7"/>
        <v>0</v>
      </c>
      <c r="AO19" s="6">
        <f t="shared" si="8"/>
        <v>0</v>
      </c>
      <c r="AP19" s="331" t="str">
        <f t="shared" si="9"/>
        <v>0- disminuye 0</v>
      </c>
      <c r="AQ19" s="6" t="e">
        <f t="shared" si="10"/>
        <v>#N/A</v>
      </c>
      <c r="AR19" s="331" t="e">
        <f>IF(AQ19&lt;=1,"Rara vez",VLOOKUP(AQ19,[9]Listas!$L$69:$M$73,2,0))</f>
        <v>#N/A</v>
      </c>
      <c r="AS19" s="6" t="e">
        <f t="shared" si="11"/>
        <v>#N/A</v>
      </c>
      <c r="AT19" s="331" t="e">
        <f t="shared" si="12"/>
        <v>#N/A</v>
      </c>
      <c r="AU19" s="331" t="e">
        <f>INDEX([9]Listas!$O$69:$Q$73,MATCH(AR19,[9]Listas!$M$69:$M$73,0),MATCH(AT19,[9]Listas!$O$67:$Q$67,0))</f>
        <v>#N/A</v>
      </c>
      <c r="AV19" s="330"/>
      <c r="AW19" s="826"/>
      <c r="AX19" s="843"/>
      <c r="AY19" s="843"/>
      <c r="AZ19" s="12"/>
      <c r="BA19" s="12"/>
      <c r="BB19" s="839"/>
      <c r="BC19" s="12"/>
      <c r="BD19" s="12" t="s">
        <v>2343</v>
      </c>
      <c r="BE19" s="839"/>
      <c r="BF19" s="12"/>
      <c r="BG19" s="12"/>
      <c r="BH19" s="227"/>
      <c r="BI19" s="227"/>
      <c r="BJ19" s="839"/>
      <c r="BK19" s="228"/>
      <c r="BL19" s="228"/>
    </row>
    <row r="20" spans="1:64" s="3" customFormat="1" ht="108" hidden="1" customHeight="1">
      <c r="A20" s="332"/>
      <c r="B20" s="2805"/>
      <c r="C20" s="2806"/>
      <c r="D20" s="2807"/>
      <c r="E20" s="843"/>
      <c r="F20" s="2808"/>
      <c r="G20" s="2809"/>
      <c r="H20" s="2810"/>
      <c r="I20" s="2805"/>
      <c r="J20" s="2806"/>
      <c r="K20" s="2807"/>
      <c r="L20" s="330"/>
      <c r="M20" s="50"/>
      <c r="N20" s="32"/>
      <c r="O20" s="6" t="e">
        <f>VLOOKUP(L20,[9]Listas!$M$69:$N$73,2,0)</f>
        <v>#N/A</v>
      </c>
      <c r="P20" s="6"/>
      <c r="Q20" s="6" t="e">
        <f>HLOOKUP(M20,[9]Listas!$O$67:$Q$68,2,0)</f>
        <v>#N/A</v>
      </c>
      <c r="R20" s="331" t="e">
        <f>INDEX([9]Listas!$O$69:$Q$73,MATCH(L20,[9]Listas!$M$69:$M$73,0),MATCH(M20,[9]Listas!$O$67:$Q$67,0))</f>
        <v>#N/A</v>
      </c>
      <c r="S20" s="2805"/>
      <c r="T20" s="2806"/>
      <c r="U20" s="2807"/>
      <c r="V20" s="329"/>
      <c r="W20" s="329"/>
      <c r="X20" s="329"/>
      <c r="Y20" s="329"/>
      <c r="Z20" s="329"/>
      <c r="AA20" s="329"/>
      <c r="AB20" s="329"/>
      <c r="AC20" s="329"/>
      <c r="AD20" s="329"/>
      <c r="AE20" s="329"/>
      <c r="AF20" s="33"/>
      <c r="AG20" s="6">
        <f t="shared" si="0"/>
        <v>0</v>
      </c>
      <c r="AH20" s="6">
        <f t="shared" si="1"/>
        <v>0</v>
      </c>
      <c r="AI20" s="6">
        <f t="shared" si="2"/>
        <v>0</v>
      </c>
      <c r="AJ20" s="6">
        <f t="shared" si="3"/>
        <v>0</v>
      </c>
      <c r="AK20" s="6">
        <f t="shared" si="4"/>
        <v>0</v>
      </c>
      <c r="AL20" s="6">
        <f t="shared" si="5"/>
        <v>0</v>
      </c>
      <c r="AM20" s="6">
        <f t="shared" si="6"/>
        <v>0</v>
      </c>
      <c r="AN20" s="6">
        <f t="shared" si="7"/>
        <v>0</v>
      </c>
      <c r="AO20" s="6">
        <f t="shared" si="8"/>
        <v>0</v>
      </c>
      <c r="AP20" s="331" t="str">
        <f t="shared" si="9"/>
        <v>0- disminuye 0</v>
      </c>
      <c r="AQ20" s="6" t="e">
        <f t="shared" si="10"/>
        <v>#N/A</v>
      </c>
      <c r="AR20" s="331" t="e">
        <f>IF(AQ20&lt;=1,"Rara vez",VLOOKUP(AQ20,[9]Listas!$L$69:$M$73,2,0))</f>
        <v>#N/A</v>
      </c>
      <c r="AS20" s="6" t="e">
        <f t="shared" si="11"/>
        <v>#N/A</v>
      </c>
      <c r="AT20" s="331" t="e">
        <f t="shared" si="12"/>
        <v>#N/A</v>
      </c>
      <c r="AU20" s="331" t="e">
        <f>INDEX([9]Listas!$O$69:$Q$73,MATCH(AR20,[9]Listas!$M$69:$M$73,0),MATCH(AT20,[9]Listas!$O$67:$Q$67,0))</f>
        <v>#N/A</v>
      </c>
      <c r="AV20" s="330"/>
      <c r="AW20" s="826"/>
      <c r="AX20" s="843"/>
      <c r="AY20" s="843"/>
      <c r="AZ20" s="12"/>
      <c r="BA20" s="12"/>
      <c r="BB20" s="839"/>
      <c r="BC20" s="12"/>
      <c r="BD20" s="12" t="s">
        <v>2343</v>
      </c>
      <c r="BE20" s="839"/>
      <c r="BF20" s="12"/>
      <c r="BG20" s="12"/>
      <c r="BH20" s="227"/>
      <c r="BI20" s="227"/>
      <c r="BJ20" s="839"/>
      <c r="BK20" s="228"/>
      <c r="BL20" s="228"/>
    </row>
    <row r="21" spans="1:64" s="3" customFormat="1" ht="108" hidden="1" customHeight="1">
      <c r="A21" s="332"/>
      <c r="B21" s="2805"/>
      <c r="C21" s="2806"/>
      <c r="D21" s="2807"/>
      <c r="E21" s="843"/>
      <c r="F21" s="2808"/>
      <c r="G21" s="2809"/>
      <c r="H21" s="2810"/>
      <c r="I21" s="2805"/>
      <c r="J21" s="2806"/>
      <c r="K21" s="2807"/>
      <c r="L21" s="330"/>
      <c r="M21" s="50"/>
      <c r="N21" s="32"/>
      <c r="O21" s="6" t="e">
        <f>VLOOKUP(L21,[9]Listas!$M$69:$N$73,2,0)</f>
        <v>#N/A</v>
      </c>
      <c r="P21" s="6"/>
      <c r="Q21" s="6" t="e">
        <f>HLOOKUP(M21,[9]Listas!$O$67:$Q$68,2,0)</f>
        <v>#N/A</v>
      </c>
      <c r="R21" s="331" t="e">
        <f>INDEX([9]Listas!$O$69:$Q$73,MATCH(L21,[9]Listas!$M$69:$M$73,0),MATCH(M21,[9]Listas!$O$67:$Q$67,0))</f>
        <v>#N/A</v>
      </c>
      <c r="S21" s="2805"/>
      <c r="T21" s="2806"/>
      <c r="U21" s="2807"/>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vez",VLOOKUP(AQ21,[9]Listas!$L$69:$M$73,2,0))</f>
        <v>#N/A</v>
      </c>
      <c r="AS21" s="6" t="e">
        <f t="shared" si="11"/>
        <v>#N/A</v>
      </c>
      <c r="AT21" s="331" t="e">
        <f t="shared" si="12"/>
        <v>#N/A</v>
      </c>
      <c r="AU21" s="331" t="e">
        <f>INDEX([9]Listas!$O$69:$Q$73,MATCH(AR21,[9]Listas!$M$69:$M$73,0),MATCH(AT21,[9]Listas!$O$67:$Q$67,0))</f>
        <v>#N/A</v>
      </c>
      <c r="AV21" s="330"/>
      <c r="AW21" s="826"/>
      <c r="AX21" s="843"/>
      <c r="AY21" s="843"/>
      <c r="AZ21" s="12"/>
      <c r="BA21" s="12"/>
      <c r="BB21" s="839"/>
      <c r="BC21" s="12"/>
      <c r="BD21" s="12" t="s">
        <v>2343</v>
      </c>
      <c r="BE21" s="839"/>
      <c r="BF21" s="12"/>
      <c r="BG21" s="12"/>
      <c r="BH21" s="227"/>
      <c r="BI21" s="227"/>
      <c r="BJ21" s="839"/>
      <c r="BK21" s="228"/>
      <c r="BL21" s="228"/>
    </row>
    <row r="22" spans="1:64" ht="6.75" customHeight="1">
      <c r="A22" s="2"/>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1:64" ht="15" customHeight="1">
      <c r="A23" s="317"/>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1:64" s="22" customFormat="1" ht="19.5" customHeight="1">
      <c r="A24" s="10"/>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4" t="s">
        <v>172</v>
      </c>
      <c r="AS24" s="2804"/>
      <c r="AT24" s="2804"/>
      <c r="AU24" s="2804"/>
      <c r="AV24" s="2804"/>
      <c r="AW24" s="2804"/>
      <c r="AX24" s="65"/>
      <c r="AY24" s="65"/>
      <c r="AZ24" s="68"/>
      <c r="BA24" s="68"/>
      <c r="BB24" s="92"/>
      <c r="BC24" s="68"/>
      <c r="BD24" s="68"/>
      <c r="BE24" s="92"/>
      <c r="BF24" s="68"/>
      <c r="BG24" s="68"/>
      <c r="BH24" s="230"/>
      <c r="BI24" s="230"/>
      <c r="BJ24" s="92"/>
      <c r="BK24" s="210"/>
      <c r="BL24" s="210"/>
    </row>
    <row r="25" spans="1:64" s="22" customFormat="1" ht="25.5" customHeight="1">
      <c r="A25" s="11"/>
      <c r="B25" s="2794" t="s">
        <v>47</v>
      </c>
      <c r="C25" s="2795"/>
      <c r="D25" s="2795"/>
      <c r="E25" s="2795"/>
      <c r="F25" s="2795"/>
      <c r="G25" s="2795"/>
      <c r="H25" s="2796"/>
      <c r="I25" s="2797" t="s">
        <v>591</v>
      </c>
      <c r="J25" s="2798"/>
      <c r="K25" s="2798"/>
      <c r="L25" s="2798"/>
      <c r="M25" s="2798"/>
      <c r="N25" s="2798"/>
      <c r="O25" s="2798"/>
      <c r="P25" s="2798"/>
      <c r="Q25" s="2798"/>
      <c r="R25" s="2798"/>
      <c r="S25" s="2798"/>
      <c r="T25" s="2798"/>
      <c r="U25" s="2799"/>
      <c r="V25" s="2794" t="s">
        <v>385</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68"/>
      <c r="BA25" s="68"/>
      <c r="BB25" s="92"/>
      <c r="BC25" s="68"/>
      <c r="BD25" s="68"/>
      <c r="BE25" s="92"/>
      <c r="BF25" s="68"/>
      <c r="BG25" s="68"/>
      <c r="BH25" s="230"/>
      <c r="BI25" s="230"/>
      <c r="BJ25" s="92"/>
      <c r="BK25" s="210"/>
      <c r="BL25" s="210"/>
    </row>
    <row r="26" spans="1:64" s="22" customFormat="1" ht="25.5" hidden="1" customHeight="1">
      <c r="A26" s="11"/>
      <c r="B26" s="2794"/>
      <c r="C26" s="2795"/>
      <c r="D26" s="2795"/>
      <c r="E26" s="2795"/>
      <c r="F26" s="2795"/>
      <c r="G26" s="2795"/>
      <c r="H26" s="2796"/>
      <c r="I26" s="2797"/>
      <c r="J26" s="2798"/>
      <c r="K26" s="2798"/>
      <c r="L26" s="2798"/>
      <c r="M26" s="2798"/>
      <c r="N26" s="2798"/>
      <c r="O26" s="2798"/>
      <c r="P26" s="2798"/>
      <c r="Q26" s="2798"/>
      <c r="R26" s="2798"/>
      <c r="S26" s="2798"/>
      <c r="T26" s="2798"/>
      <c r="U26" s="2799"/>
      <c r="V26" s="2794"/>
      <c r="W26" s="2795"/>
      <c r="X26" s="2795"/>
      <c r="Y26" s="2795"/>
      <c r="Z26" s="2795"/>
      <c r="AA26" s="2795"/>
      <c r="AB26" s="2795"/>
      <c r="AC26" s="2795"/>
      <c r="AD26" s="2795"/>
      <c r="AE26" s="2795"/>
      <c r="AF26" s="2795"/>
      <c r="AG26" s="2795"/>
      <c r="AH26" s="2795"/>
      <c r="AI26" s="2795"/>
      <c r="AJ26" s="2795"/>
      <c r="AK26" s="2795"/>
      <c r="AL26" s="2795"/>
      <c r="AM26" s="2795"/>
      <c r="AN26" s="2795"/>
      <c r="AO26" s="2795"/>
      <c r="AP26" s="2796"/>
      <c r="AQ26" s="12"/>
      <c r="AR26" s="2800"/>
      <c r="AS26" s="2800"/>
      <c r="AT26" s="2800"/>
      <c r="AU26" s="2800"/>
      <c r="AV26" s="2800"/>
      <c r="AW26" s="2800"/>
      <c r="AX26" s="65"/>
      <c r="AY26" s="65"/>
      <c r="AZ26" s="68"/>
      <c r="BA26" s="68"/>
      <c r="BB26" s="92"/>
      <c r="BC26" s="68"/>
      <c r="BD26" s="68"/>
      <c r="BE26" s="92"/>
      <c r="BF26" s="68"/>
      <c r="BG26" s="68"/>
      <c r="BH26" s="230"/>
      <c r="BI26" s="230"/>
      <c r="BJ26" s="92"/>
      <c r="BK26" s="210"/>
      <c r="BL26" s="210"/>
    </row>
    <row r="27" spans="1:64" ht="25.5" hidden="1" customHeight="1">
      <c r="A27" s="11"/>
      <c r="B27" s="2794"/>
      <c r="C27" s="2795"/>
      <c r="D27" s="2795"/>
      <c r="E27" s="2795"/>
      <c r="F27" s="2795"/>
      <c r="G27" s="2795"/>
      <c r="H27" s="2796"/>
      <c r="I27" s="2797"/>
      <c r="J27" s="2798"/>
      <c r="K27" s="2798"/>
      <c r="L27" s="2798"/>
      <c r="M27" s="2798"/>
      <c r="N27" s="2798"/>
      <c r="O27" s="2798"/>
      <c r="P27" s="2798"/>
      <c r="Q27" s="2798"/>
      <c r="R27" s="2798"/>
      <c r="S27" s="2798"/>
      <c r="T27" s="2798"/>
      <c r="U27" s="2799"/>
      <c r="V27" s="2794"/>
      <c r="W27" s="2795"/>
      <c r="X27" s="2795"/>
      <c r="Y27" s="2795"/>
      <c r="Z27" s="2795"/>
      <c r="AA27" s="2795"/>
      <c r="AB27" s="2795"/>
      <c r="AC27" s="2795"/>
      <c r="AD27" s="2795"/>
      <c r="AE27" s="2795"/>
      <c r="AF27" s="2795"/>
      <c r="AG27" s="2795"/>
      <c r="AH27" s="2795"/>
      <c r="AI27" s="2795"/>
      <c r="AJ27" s="2795"/>
      <c r="AK27" s="2795"/>
      <c r="AL27" s="2795"/>
      <c r="AM27" s="2795"/>
      <c r="AN27" s="2795"/>
      <c r="AO27" s="2795"/>
      <c r="AP27" s="2796"/>
      <c r="AQ27" s="12"/>
      <c r="AR27" s="2800"/>
      <c r="AS27" s="2800"/>
      <c r="AT27" s="2800"/>
      <c r="AU27" s="2800"/>
      <c r="AV27" s="2800"/>
      <c r="AW27" s="2800"/>
      <c r="AX27" s="65"/>
      <c r="AY27" s="65"/>
      <c r="AZ27" s="68"/>
      <c r="BA27" s="68"/>
      <c r="BB27" s="92"/>
      <c r="BC27" s="68"/>
      <c r="BD27" s="68"/>
      <c r="BE27" s="92"/>
      <c r="BF27" s="68"/>
      <c r="BG27" s="68"/>
      <c r="BH27" s="230"/>
      <c r="BI27" s="230"/>
      <c r="BJ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2">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2">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2">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2">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2">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2">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2">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2">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2">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2">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2">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2">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2">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1:62">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c r="AZ94" s="68"/>
      <c r="BA94" s="68"/>
      <c r="BB94" s="92"/>
      <c r="BC94" s="68"/>
      <c r="BD94" s="68"/>
      <c r="BE94" s="92"/>
      <c r="BF94" s="68"/>
      <c r="BG94" s="68"/>
      <c r="BH94" s="230"/>
      <c r="BI94" s="230"/>
      <c r="BJ94" s="92"/>
    </row>
    <row r="95" spans="1:62">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2">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1:64">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ht="11.25">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1:64" ht="11.25">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c r="AZ105" s="231"/>
      <c r="BA105" s="231"/>
      <c r="BB105" s="231"/>
      <c r="BC105" s="231"/>
      <c r="BD105" s="231"/>
      <c r="BE105" s="231"/>
      <c r="BF105" s="231"/>
      <c r="BG105" s="231"/>
      <c r="BH105" s="231"/>
      <c r="BI105" s="231"/>
      <c r="BJ105" s="231"/>
      <c r="BK105" s="231"/>
      <c r="BL105" s="231"/>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1:49">
      <c r="A119" s="13"/>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row r="120" spans="1:49">
      <c r="A120" s="13"/>
      <c r="B120" s="13"/>
      <c r="C120" s="13"/>
      <c r="D120" s="13"/>
      <c r="E120" s="14"/>
      <c r="F120" s="13"/>
      <c r="G120" s="13"/>
      <c r="H120" s="13"/>
      <c r="I120" s="13"/>
      <c r="J120" s="13"/>
      <c r="K120" s="13"/>
      <c r="L120" s="15"/>
      <c r="M120" s="15"/>
      <c r="N120" s="15"/>
      <c r="O120" s="15"/>
      <c r="P120" s="15"/>
      <c r="Q120" s="15"/>
      <c r="R120" s="15"/>
      <c r="S120" s="15"/>
      <c r="T120" s="15"/>
      <c r="U120" s="15"/>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5"/>
      <c r="AW120" s="15"/>
    </row>
  </sheetData>
  <sheetProtection formatCells="0" formatColumns="0" formatRows="0" insertRows="0" deleteRows="0" sort="0" autoFilter="0" pivotTables="0"/>
  <mergeCells count="96">
    <mergeCell ref="B26:H26"/>
    <mergeCell ref="I26:U26"/>
    <mergeCell ref="V26:AP26"/>
    <mergeCell ref="AR26:AW26"/>
    <mergeCell ref="B27:H27"/>
    <mergeCell ref="I27:U27"/>
    <mergeCell ref="V27:AP27"/>
    <mergeCell ref="AR27:AW27"/>
    <mergeCell ref="V24:AP24"/>
    <mergeCell ref="AR24:AW24"/>
    <mergeCell ref="B25:H25"/>
    <mergeCell ref="I25:U25"/>
    <mergeCell ref="V25:AP25"/>
    <mergeCell ref="AR25:AW25"/>
    <mergeCell ref="B24:H24"/>
    <mergeCell ref="I24:U24"/>
    <mergeCell ref="B21:D21"/>
    <mergeCell ref="F21:H21"/>
    <mergeCell ref="I21:K21"/>
    <mergeCell ref="S21:U21"/>
    <mergeCell ref="B23:U23"/>
    <mergeCell ref="F20:H20"/>
    <mergeCell ref="I20:K20"/>
    <mergeCell ref="S20:U20"/>
    <mergeCell ref="B17:D17"/>
    <mergeCell ref="F17:H17"/>
    <mergeCell ref="I17:K17"/>
    <mergeCell ref="S17:U17"/>
    <mergeCell ref="B18:D18"/>
    <mergeCell ref="F18:H18"/>
    <mergeCell ref="I18:K18"/>
    <mergeCell ref="B19:D19"/>
    <mergeCell ref="F19:H19"/>
    <mergeCell ref="I19:K19"/>
    <mergeCell ref="S19:U19"/>
    <mergeCell ref="B20:D20"/>
    <mergeCell ref="S18:U18"/>
    <mergeCell ref="B15:D15"/>
    <mergeCell ref="F15:H15"/>
    <mergeCell ref="I15:K15"/>
    <mergeCell ref="S15:U15"/>
    <mergeCell ref="B16:D16"/>
    <mergeCell ref="F16:H16"/>
    <mergeCell ref="I16:K16"/>
    <mergeCell ref="B13:D13"/>
    <mergeCell ref="F13:H13"/>
    <mergeCell ref="I13:K13"/>
    <mergeCell ref="S13:U13"/>
    <mergeCell ref="B14:D14"/>
    <mergeCell ref="F14:H14"/>
    <mergeCell ref="I14:K14"/>
    <mergeCell ref="S14:U14"/>
    <mergeCell ref="B11:D11"/>
    <mergeCell ref="F11:H11"/>
    <mergeCell ref="I11:K11"/>
    <mergeCell ref="S11:U11"/>
    <mergeCell ref="B12:D12"/>
    <mergeCell ref="F12:H12"/>
    <mergeCell ref="I12:K12"/>
    <mergeCell ref="S12:U12"/>
    <mergeCell ref="B9:D9"/>
    <mergeCell ref="F9:H9"/>
    <mergeCell ref="I9:K9"/>
    <mergeCell ref="S9:U9"/>
    <mergeCell ref="B10:D10"/>
    <mergeCell ref="F10:H10"/>
    <mergeCell ref="I10:K10"/>
    <mergeCell ref="S10:U10"/>
    <mergeCell ref="BF7:BJ7"/>
    <mergeCell ref="B8:K8"/>
    <mergeCell ref="L8:R8"/>
    <mergeCell ref="S8:AV8"/>
    <mergeCell ref="AW8:AZ8"/>
    <mergeCell ref="BF8:BJ8"/>
    <mergeCell ref="V4:AB4"/>
    <mergeCell ref="BB4:BC4"/>
    <mergeCell ref="BD4:BE4"/>
    <mergeCell ref="B6:C6"/>
    <mergeCell ref="D6:H6"/>
    <mergeCell ref="I6:K6"/>
    <mergeCell ref="V3:AB3"/>
    <mergeCell ref="BB3:BC3"/>
    <mergeCell ref="L6:U6"/>
    <mergeCell ref="V6:Z6"/>
    <mergeCell ref="A1:AB1"/>
    <mergeCell ref="AC1:AU4"/>
    <mergeCell ref="BB1:BE1"/>
    <mergeCell ref="A2:AB2"/>
    <mergeCell ref="BB2:BC2"/>
    <mergeCell ref="BD2:BE2"/>
    <mergeCell ref="A3:D3"/>
    <mergeCell ref="E3:U3"/>
    <mergeCell ref="AA6:BA6"/>
    <mergeCell ref="BD3:BE3"/>
    <mergeCell ref="A4:D4"/>
    <mergeCell ref="E4:U4"/>
  </mergeCells>
  <dataValidations count="8">
    <dataValidation type="list" allowBlank="1" showInputMessage="1" showErrorMessage="1" sqref="L6">
      <formula1>Proceso</formula1>
    </dataValidation>
    <dataValidation type="list" sqref="BD4:BE4">
      <formula1>Monitoreo</formula1>
    </dataValidation>
    <dataValidation type="list" showInputMessage="1" showErrorMessage="1" sqref="L10:L21">
      <formula1>Probabilidad</formula1>
    </dataValidation>
    <dataValidation type="list" allowBlank="1" showInputMessage="1" showErrorMessage="1" sqref="M10:N21">
      <formula1>Impacto</formula1>
    </dataValidation>
    <dataValidation showInputMessage="1" showErrorMessage="1" sqref="AG10:AT21"/>
    <dataValidation type="list" showInputMessage="1" showErrorMessage="1" sqref="V10:AF21">
      <formula1>Efectividad</formula1>
    </dataValidation>
    <dataValidation type="list" allowBlank="1" showInputMessage="1" sqref="AV10:AV21">
      <formula1>Periodo</formula1>
    </dataValidation>
    <dataValidation type="list" allowBlank="1" showInputMessage="1" showErrorMessage="1" sqref="BE10:BE21">
      <formula1>Efectividad</formula1>
    </dataValidation>
  </dataValidations>
  <printOptions horizontalCentered="1" verticalCentered="1"/>
  <pageMargins left="0.43307086614173229" right="0.23622047244094491" top="0.74803149606299213" bottom="0.74803149606299213" header="0.31496062992125984" footer="0.31496062992125984"/>
  <pageSetup paperSize="5" scale="55" orientation="landscape" r:id="rId1"/>
  <headerFooter>
    <oddFooter>&amp;L&amp;"Segoe UI,Normal"&amp;9Formato: FO-AC-07 Versión: 3&amp;C&amp;"Segoe UI,Normal"&amp;9Página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114"/>
  <sheetViews>
    <sheetView showGridLines="0" zoomScaleNormal="100" zoomScaleSheetLayoutView="115" workbookViewId="0">
      <selection sqref="A1:AB1"/>
    </sheetView>
  </sheetViews>
  <sheetFormatPr baseColWidth="10" defaultRowHeight="15"/>
  <cols>
    <col min="1" max="1" width="1.140625" style="16" customWidth="1"/>
    <col min="2" max="4" width="5.42578125" style="16" customWidth="1"/>
    <col min="5" max="5" width="7.28515625" style="17" customWidth="1"/>
    <col min="6" max="7" width="4.5703125" style="16" customWidth="1"/>
    <col min="8" max="8" width="11.140625" style="16" customWidth="1"/>
    <col min="9" max="10" width="4.5703125" style="16" customWidth="1"/>
    <col min="11" max="11" width="12.710937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0" width="7.140625" style="18" customWidth="1"/>
    <col min="21" max="21" width="14.8554687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26.42578125" style="18" customWidth="1"/>
    <col min="50" max="50" width="25.7109375" style="21" customWidth="1"/>
    <col min="51" max="51" width="5.42578125" style="21" customWidth="1"/>
    <col min="52" max="52" width="23.140625" style="210" customWidth="1"/>
    <col min="53" max="53" width="22.42578125" style="210" customWidth="1"/>
    <col min="54" max="54" width="17.140625" style="210" customWidth="1"/>
    <col min="55" max="55" width="24.140625" style="210" customWidth="1"/>
    <col min="56" max="56" width="42.7109375" style="210" customWidth="1"/>
    <col min="57" max="57" width="5.85546875" style="210" customWidth="1"/>
    <col min="58" max="58" width="31.5703125" style="210" customWidth="1"/>
    <col min="59" max="59" width="16.140625" style="210" customWidth="1"/>
    <col min="60" max="61" width="9.28515625" style="210" customWidth="1"/>
    <col min="62" max="62" width="11.140625" style="210" customWidth="1"/>
    <col min="63" max="63" width="2.140625" style="210" customWidth="1"/>
    <col min="64" max="64" width="11.42578125" style="210"/>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858" t="str">
        <f>UPPER([16]Control!A2)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22">
        <v>2019</v>
      </c>
      <c r="BA2" s="208"/>
      <c r="BB2" s="2830" t="s">
        <v>138</v>
      </c>
      <c r="BC2" s="2831"/>
      <c r="BD2" s="2901" t="str">
        <f>L6</f>
        <v>FACTIBILIDAD DE PROYECTOS</v>
      </c>
      <c r="BE2" s="2902"/>
      <c r="BF2" s="208"/>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1:64" ht="15.75" customHeight="1" thickBot="1">
      <c r="A4" s="2832" t="str">
        <f>[16]Control!A4</f>
        <v>FO-PE-05</v>
      </c>
      <c r="B4" s="2833"/>
      <c r="C4" s="2833"/>
      <c r="D4" s="2834"/>
      <c r="E4" s="2835" t="str">
        <f>[16]Control!C4</f>
        <v>Planeación Estratégica</v>
      </c>
      <c r="F4" s="2833"/>
      <c r="G4" s="2833"/>
      <c r="H4" s="2833"/>
      <c r="I4" s="2833"/>
      <c r="J4" s="2833"/>
      <c r="K4" s="2833"/>
      <c r="L4" s="2833"/>
      <c r="M4" s="2833"/>
      <c r="N4" s="2833"/>
      <c r="O4" s="2833"/>
      <c r="P4" s="2833"/>
      <c r="Q4" s="2833"/>
      <c r="R4" s="2833"/>
      <c r="S4" s="2833"/>
      <c r="T4" s="2833"/>
      <c r="U4" s="2834"/>
      <c r="V4" s="2835">
        <f>[16]Control!H4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290">
        <v>43713</v>
      </c>
      <c r="BA4" s="208"/>
      <c r="BB4" s="2836">
        <v>43700</v>
      </c>
      <c r="BC4" s="2837"/>
      <c r="BD4" s="2838" t="s">
        <v>3973</v>
      </c>
      <c r="BE4" s="2838"/>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842" t="s">
        <v>155</v>
      </c>
      <c r="M6" s="2843"/>
      <c r="N6" s="2843"/>
      <c r="O6" s="2843"/>
      <c r="P6" s="2843"/>
      <c r="Q6" s="2843"/>
      <c r="R6" s="2843"/>
      <c r="S6" s="2843"/>
      <c r="T6" s="2843"/>
      <c r="U6" s="2844"/>
      <c r="V6" s="2845" t="s">
        <v>59</v>
      </c>
      <c r="W6" s="2845"/>
      <c r="X6" s="2845"/>
      <c r="Y6" s="2845"/>
      <c r="Z6" s="2845"/>
      <c r="AA6" s="2827"/>
      <c r="AB6" s="2828"/>
      <c r="AC6" s="2828"/>
      <c r="AD6" s="2828"/>
      <c r="AE6" s="2828"/>
      <c r="AF6" s="2828"/>
      <c r="AG6" s="2828"/>
      <c r="AH6" s="2828"/>
      <c r="AI6" s="2828"/>
      <c r="AJ6" s="2828"/>
      <c r="AK6" s="2828"/>
      <c r="AL6" s="2828"/>
      <c r="AM6" s="2828"/>
      <c r="AN6" s="2828"/>
      <c r="AO6" s="2828"/>
      <c r="AP6" s="2828"/>
      <c r="AQ6" s="2828"/>
      <c r="AR6" s="2828"/>
      <c r="AS6" s="2828"/>
      <c r="AT6" s="2828"/>
      <c r="AU6" s="2828"/>
      <c r="AV6" s="2828"/>
      <c r="AW6" s="2828"/>
      <c r="AX6" s="2828"/>
      <c r="AY6" s="2828"/>
      <c r="AZ6" s="2828"/>
      <c r="BA6" s="2829"/>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1:64" s="3" customFormat="1" ht="141.75" customHeight="1">
      <c r="A10" s="332"/>
      <c r="B10" s="2868" t="s">
        <v>2376</v>
      </c>
      <c r="C10" s="2869"/>
      <c r="D10" s="2870"/>
      <c r="E10" s="51" t="s">
        <v>292</v>
      </c>
      <c r="F10" s="2895" t="s">
        <v>896</v>
      </c>
      <c r="G10" s="2896"/>
      <c r="H10" s="2897"/>
      <c r="I10" s="2898" t="s">
        <v>3262</v>
      </c>
      <c r="J10" s="2899"/>
      <c r="K10" s="2900"/>
      <c r="L10" s="23" t="s">
        <v>286</v>
      </c>
      <c r="M10" s="23" t="s">
        <v>270</v>
      </c>
      <c r="N10" s="23"/>
      <c r="O10" s="291">
        <f>VLOOKUP(L10,[16]Listas!$M$69:$N$73,2,0)</f>
        <v>2</v>
      </c>
      <c r="P10" s="291"/>
      <c r="Q10" s="291">
        <f>HLOOKUP(M10,[16]Listas!$O$67:$Q$68,2,0)</f>
        <v>10</v>
      </c>
      <c r="R10" s="292" t="str">
        <f>INDEX([16]Listas!$O$69:$Q$73,MATCH(L10,[16]Listas!$M$69:$M$73,0),MATCH(M10,[16]Listas!$O$67:$Q$67,0))</f>
        <v>20
MODERADA</v>
      </c>
      <c r="S10" s="2868" t="s">
        <v>897</v>
      </c>
      <c r="T10" s="2869"/>
      <c r="U10" s="2870"/>
      <c r="V10" s="839" t="s">
        <v>65</v>
      </c>
      <c r="W10" s="839" t="s">
        <v>36</v>
      </c>
      <c r="X10" s="839" t="s">
        <v>65</v>
      </c>
      <c r="Y10" s="839" t="s">
        <v>65</v>
      </c>
      <c r="Z10" s="839" t="s">
        <v>65</v>
      </c>
      <c r="AA10" s="839" t="s">
        <v>65</v>
      </c>
      <c r="AB10" s="839" t="s">
        <v>65</v>
      </c>
      <c r="AC10" s="839" t="s">
        <v>65</v>
      </c>
      <c r="AD10" s="839" t="s">
        <v>65</v>
      </c>
      <c r="AE10" s="839" t="s">
        <v>65</v>
      </c>
      <c r="AF10" s="839"/>
      <c r="AG10" s="291">
        <f t="shared" ref="AG10:AG15" si="0">IF(Y10="SI",15,0)</f>
        <v>15</v>
      </c>
      <c r="AH10" s="291">
        <f t="shared" ref="AH10:AH15" si="1">IF(Z10="SI",5,0)</f>
        <v>5</v>
      </c>
      <c r="AI10" s="291">
        <f t="shared" ref="AI10:AI15" si="2">IF(AA10="SI",15,0)</f>
        <v>15</v>
      </c>
      <c r="AJ10" s="291">
        <f t="shared" ref="AJ10:AJ15" si="3">IF(AB10="SI",10,0)</f>
        <v>10</v>
      </c>
      <c r="AK10" s="291">
        <f t="shared" ref="AK10:AK15" si="4">IF(AC10="SI",15,0)</f>
        <v>15</v>
      </c>
      <c r="AL10" s="291">
        <f t="shared" ref="AL10:AL15" si="5">IF(AD10="SI",10,0)</f>
        <v>10</v>
      </c>
      <c r="AM10" s="291">
        <f t="shared" ref="AM10:AM15" si="6">IF(AE10="SI",30,0)</f>
        <v>30</v>
      </c>
      <c r="AN10" s="291">
        <f t="shared" ref="AN10:AN15" si="7">SUM(AG10+AH10+AI10+AJ10+AK10+AL10+AM10)</f>
        <v>100</v>
      </c>
      <c r="AO10" s="291">
        <f t="shared" ref="AO10:AO15" si="8">IF(AN10&lt;=50,0,IF(AN10&gt;=76,2,1))</f>
        <v>2</v>
      </c>
      <c r="AP10" s="292" t="str">
        <f t="shared" ref="AP10:AP15" si="9">CONCATENATE(AN10,"- disminuye ",AO10)</f>
        <v>100- disminuye 2</v>
      </c>
      <c r="AQ10" s="291">
        <f t="shared" ref="AQ10:AQ15" si="10">IF(V10="SI",O10-AO10,O10)</f>
        <v>0</v>
      </c>
      <c r="AR10" s="292" t="str">
        <f>IF(AQ10&lt;=1,"Rara vez",VLOOKUP(AQ10,[16]Listas!$L$69:$M$73,2,0))</f>
        <v>Rara vez</v>
      </c>
      <c r="AS10" s="291">
        <f t="shared" ref="AS10:AS15" si="11">IF(W10="SI",Q10-AO10,Q10)</f>
        <v>10</v>
      </c>
      <c r="AT10" s="292" t="str">
        <f t="shared" ref="AT10:AT15" si="12">IF(AS10&lt;=9,"Moderado",IF(AS10=20,"Catastrófico",IF(AS10=18,"Moderado","Mayor")))</f>
        <v>Mayor</v>
      </c>
      <c r="AU10" s="292" t="str">
        <f>INDEX([16]Listas!$O$69:$Q$73,MATCH(AR10,[16]Listas!$M$69:$M$73,0),MATCH(AT10,[16]Listas!$O$67:$Q$67,0))</f>
        <v>10
BAJA</v>
      </c>
      <c r="AV10" s="23" t="s">
        <v>271</v>
      </c>
      <c r="AW10" s="207" t="s">
        <v>898</v>
      </c>
      <c r="AX10" s="207" t="s">
        <v>863</v>
      </c>
      <c r="AY10" s="293" t="s">
        <v>168</v>
      </c>
      <c r="AZ10" s="12" t="s">
        <v>3263</v>
      </c>
      <c r="BA10" s="207" t="s">
        <v>3264</v>
      </c>
      <c r="BB10" s="226" t="s">
        <v>3265</v>
      </c>
      <c r="BC10" s="12" t="s">
        <v>3974</v>
      </c>
      <c r="BD10" s="12" t="s">
        <v>3266</v>
      </c>
      <c r="BE10" s="839" t="s">
        <v>36</v>
      </c>
      <c r="BF10" s="12"/>
      <c r="BG10" s="12"/>
      <c r="BH10" s="227"/>
      <c r="BI10" s="227"/>
      <c r="BJ10" s="839"/>
      <c r="BK10" s="228"/>
      <c r="BL10" s="228"/>
    </row>
    <row r="11" spans="1:64" s="3" customFormat="1" ht="207.75" customHeight="1">
      <c r="A11" s="332"/>
      <c r="B11" s="2868" t="s">
        <v>2376</v>
      </c>
      <c r="C11" s="2869"/>
      <c r="D11" s="2870"/>
      <c r="E11" s="51" t="s">
        <v>899</v>
      </c>
      <c r="F11" s="2895" t="s">
        <v>900</v>
      </c>
      <c r="G11" s="2896"/>
      <c r="H11" s="2897"/>
      <c r="I11" s="2868" t="s">
        <v>901</v>
      </c>
      <c r="J11" s="2869"/>
      <c r="K11" s="2870"/>
      <c r="L11" s="23" t="s">
        <v>283</v>
      </c>
      <c r="M11" s="23" t="s">
        <v>270</v>
      </c>
      <c r="N11" s="23"/>
      <c r="O11" s="291">
        <f>VLOOKUP(L11,[16]Listas!$M$69:$N$73,2,0)</f>
        <v>1</v>
      </c>
      <c r="P11" s="291"/>
      <c r="Q11" s="291">
        <f>HLOOKUP(M11,[16]Listas!$O$67:$Q$68,2,0)</f>
        <v>10</v>
      </c>
      <c r="R11" s="292" t="str">
        <f>INDEX([16]Listas!$O$69:$Q$73,MATCH(L11,[16]Listas!$M$69:$M$73,0),MATCH(M11,[16]Listas!$O$67:$Q$67,0))</f>
        <v>10
BAJA</v>
      </c>
      <c r="S11" s="2868" t="s">
        <v>902</v>
      </c>
      <c r="T11" s="2869"/>
      <c r="U11" s="2870"/>
      <c r="V11" s="839" t="s">
        <v>65</v>
      </c>
      <c r="W11" s="839" t="s">
        <v>36</v>
      </c>
      <c r="X11" s="839" t="s">
        <v>65</v>
      </c>
      <c r="Y11" s="839" t="s">
        <v>65</v>
      </c>
      <c r="Z11" s="839" t="s">
        <v>65</v>
      </c>
      <c r="AA11" s="839" t="s">
        <v>65</v>
      </c>
      <c r="AB11" s="839" t="s">
        <v>65</v>
      </c>
      <c r="AC11" s="839" t="s">
        <v>65</v>
      </c>
      <c r="AD11" s="839" t="s">
        <v>65</v>
      </c>
      <c r="AE11" s="839" t="s">
        <v>65</v>
      </c>
      <c r="AF11" s="839"/>
      <c r="AG11" s="291">
        <f t="shared" si="0"/>
        <v>15</v>
      </c>
      <c r="AH11" s="291">
        <f t="shared" si="1"/>
        <v>5</v>
      </c>
      <c r="AI11" s="291">
        <f t="shared" si="2"/>
        <v>15</v>
      </c>
      <c r="AJ11" s="291">
        <f t="shared" si="3"/>
        <v>10</v>
      </c>
      <c r="AK11" s="291">
        <f t="shared" si="4"/>
        <v>15</v>
      </c>
      <c r="AL11" s="291">
        <f t="shared" si="5"/>
        <v>10</v>
      </c>
      <c r="AM11" s="291">
        <f t="shared" si="6"/>
        <v>30</v>
      </c>
      <c r="AN11" s="291">
        <f t="shared" si="7"/>
        <v>100</v>
      </c>
      <c r="AO11" s="291">
        <f t="shared" si="8"/>
        <v>2</v>
      </c>
      <c r="AP11" s="292" t="str">
        <f t="shared" si="9"/>
        <v>100- disminuye 2</v>
      </c>
      <c r="AQ11" s="291">
        <f t="shared" si="10"/>
        <v>-1</v>
      </c>
      <c r="AR11" s="292" t="str">
        <f>IF(AQ11&lt;=1,"Rara vez",VLOOKUP(AQ11,[16]Listas!$L$69:$M$73,2,0))</f>
        <v>Rara vez</v>
      </c>
      <c r="AS11" s="291">
        <f t="shared" si="11"/>
        <v>10</v>
      </c>
      <c r="AT11" s="292" t="str">
        <f t="shared" si="12"/>
        <v>Mayor</v>
      </c>
      <c r="AU11" s="292" t="str">
        <f>INDEX([16]Listas!$O$69:$Q$73,MATCH(AR11,[16]Listas!$M$69:$M$73,0),MATCH(AT11,[16]Listas!$O$67:$Q$67,0))</f>
        <v>10
BAJA</v>
      </c>
      <c r="AV11" s="23" t="s">
        <v>271</v>
      </c>
      <c r="AW11" s="69" t="s">
        <v>903</v>
      </c>
      <c r="AX11" s="69" t="s">
        <v>904</v>
      </c>
      <c r="AY11" s="293" t="s">
        <v>168</v>
      </c>
      <c r="AZ11" s="12" t="s">
        <v>3267</v>
      </c>
      <c r="BA11" s="207" t="s">
        <v>3268</v>
      </c>
      <c r="BB11" s="839" t="s">
        <v>3269</v>
      </c>
      <c r="BC11" s="12" t="s">
        <v>3975</v>
      </c>
      <c r="BD11" s="12" t="s">
        <v>3270</v>
      </c>
      <c r="BE11" s="839" t="s">
        <v>36</v>
      </c>
      <c r="BF11" s="12"/>
      <c r="BG11" s="12"/>
      <c r="BH11" s="227"/>
      <c r="BI11" s="227"/>
      <c r="BJ11" s="839"/>
      <c r="BK11" s="228"/>
      <c r="BL11" s="228"/>
    </row>
    <row r="12" spans="1:64" s="3" customFormat="1" ht="189.75" customHeight="1">
      <c r="A12" s="332"/>
      <c r="B12" s="2794" t="s">
        <v>905</v>
      </c>
      <c r="C12" s="2795"/>
      <c r="D12" s="2796"/>
      <c r="E12" s="51" t="s">
        <v>906</v>
      </c>
      <c r="F12" s="2895" t="s">
        <v>907</v>
      </c>
      <c r="G12" s="2896"/>
      <c r="H12" s="2897"/>
      <c r="I12" s="2868" t="s">
        <v>901</v>
      </c>
      <c r="J12" s="2869"/>
      <c r="K12" s="2870"/>
      <c r="L12" s="23" t="s">
        <v>283</v>
      </c>
      <c r="M12" s="23" t="s">
        <v>274</v>
      </c>
      <c r="N12" s="23"/>
      <c r="O12" s="291">
        <f>VLOOKUP(L12,[16]Listas!$M$69:$N$73,2,0)</f>
        <v>1</v>
      </c>
      <c r="P12" s="291"/>
      <c r="Q12" s="291">
        <f>HLOOKUP(M12,[16]Listas!$O$67:$Q$68,2,0)</f>
        <v>5</v>
      </c>
      <c r="R12" s="292" t="str">
        <f>INDEX([16]Listas!$O$69:$Q$73,MATCH(L12,[16]Listas!$M$69:$M$73,0),MATCH(M12,[16]Listas!$O$67:$Q$67,0))</f>
        <v>5
BAJA</v>
      </c>
      <c r="S12" s="2794" t="s">
        <v>908</v>
      </c>
      <c r="T12" s="2795"/>
      <c r="U12" s="2796"/>
      <c r="V12" s="839" t="s">
        <v>65</v>
      </c>
      <c r="W12" s="839" t="s">
        <v>36</v>
      </c>
      <c r="X12" s="839" t="s">
        <v>65</v>
      </c>
      <c r="Y12" s="839" t="s">
        <v>65</v>
      </c>
      <c r="Z12" s="839" t="s">
        <v>65</v>
      </c>
      <c r="AA12" s="839" t="s">
        <v>65</v>
      </c>
      <c r="AB12" s="839" t="s">
        <v>65</v>
      </c>
      <c r="AC12" s="839" t="s">
        <v>65</v>
      </c>
      <c r="AD12" s="839" t="s">
        <v>65</v>
      </c>
      <c r="AE12" s="839" t="s">
        <v>65</v>
      </c>
      <c r="AF12" s="839"/>
      <c r="AG12" s="291">
        <f>IF(Y12="SI",15,0)</f>
        <v>15</v>
      </c>
      <c r="AH12" s="291">
        <f>IF(Z12="SI",5,0)</f>
        <v>5</v>
      </c>
      <c r="AI12" s="291">
        <f>IF(AA12="SI",15,0)</f>
        <v>15</v>
      </c>
      <c r="AJ12" s="291">
        <f>IF(AB12="SI",10,0)</f>
        <v>10</v>
      </c>
      <c r="AK12" s="291">
        <f>IF(AC12="SI",15,0)</f>
        <v>15</v>
      </c>
      <c r="AL12" s="291">
        <f>IF(AD12="SI",10,0)</f>
        <v>10</v>
      </c>
      <c r="AM12" s="291">
        <f>IF(AE12="SI",30,0)</f>
        <v>30</v>
      </c>
      <c r="AN12" s="291">
        <f>SUM(AG12+AH12+AI12+AJ12+AK12+AL12+AM12)</f>
        <v>100</v>
      </c>
      <c r="AO12" s="291">
        <f>IF(AN12&lt;=50,0,IF(AN12&gt;=76,2,1))</f>
        <v>2</v>
      </c>
      <c r="AP12" s="292" t="str">
        <f>CONCATENATE(AN12,"- disminuye ",AO12)</f>
        <v>100- disminuye 2</v>
      </c>
      <c r="AQ12" s="291">
        <f>IF(V12="SI",O12-AO12,O12)</f>
        <v>-1</v>
      </c>
      <c r="AR12" s="292" t="str">
        <f>IF(AQ12&lt;=1,"Rara vez",VLOOKUP(AQ12,[16]Listas!$L$69:$M$73,2,0))</f>
        <v>Rara vez</v>
      </c>
      <c r="AS12" s="291">
        <f>IF(W12="SI",Q12-AO12,Q12)</f>
        <v>5</v>
      </c>
      <c r="AT12" s="292" t="str">
        <f>IF(AS12&lt;=9,"Moderado",IF(AS12=20,"Catastrófico",IF(AS12=18,"Moderado","Mayor")))</f>
        <v>Moderado</v>
      </c>
      <c r="AU12" s="292" t="str">
        <f>INDEX([16]Listas!$O$69:$Q$73,MATCH(AR12,[16]Listas!$M$69:$M$73,0),MATCH(AT12,[16]Listas!$O$67:$Q$67,0))</f>
        <v>5
BAJA</v>
      </c>
      <c r="AV12" s="23" t="s">
        <v>271</v>
      </c>
      <c r="AW12" s="207" t="s">
        <v>909</v>
      </c>
      <c r="AX12" s="207" t="s">
        <v>910</v>
      </c>
      <c r="AY12" s="293" t="s">
        <v>168</v>
      </c>
      <c r="AZ12" s="12" t="s">
        <v>3271</v>
      </c>
      <c r="BA12" s="207" t="s">
        <v>3272</v>
      </c>
      <c r="BB12" s="839" t="s">
        <v>3976</v>
      </c>
      <c r="BC12" s="12" t="s">
        <v>3977</v>
      </c>
      <c r="BD12" s="12" t="s">
        <v>3273</v>
      </c>
      <c r="BE12" s="839" t="s">
        <v>36</v>
      </c>
      <c r="BF12" s="12"/>
      <c r="BG12" s="12"/>
      <c r="BH12" s="227"/>
      <c r="BI12" s="227"/>
      <c r="BJ12" s="839"/>
      <c r="BK12" s="228"/>
      <c r="BL12" s="228"/>
    </row>
    <row r="13" spans="1:64" s="3" customFormat="1" ht="174" customHeight="1">
      <c r="A13" s="332"/>
      <c r="B13" s="2868" t="s">
        <v>911</v>
      </c>
      <c r="C13" s="2869"/>
      <c r="D13" s="2870"/>
      <c r="E13" s="51" t="s">
        <v>912</v>
      </c>
      <c r="F13" s="2895" t="s">
        <v>913</v>
      </c>
      <c r="G13" s="2896"/>
      <c r="H13" s="2897"/>
      <c r="I13" s="2898" t="s">
        <v>914</v>
      </c>
      <c r="J13" s="2899"/>
      <c r="K13" s="2900"/>
      <c r="L13" s="23" t="s">
        <v>283</v>
      </c>
      <c r="M13" s="23" t="s">
        <v>270</v>
      </c>
      <c r="N13" s="23"/>
      <c r="O13" s="291">
        <f>VLOOKUP(L13,[16]Listas!$M$69:$N$73,2,0)</f>
        <v>1</v>
      </c>
      <c r="P13" s="291"/>
      <c r="Q13" s="291">
        <f>HLOOKUP(M13,[16]Listas!$O$67:$Q$68,2,0)</f>
        <v>10</v>
      </c>
      <c r="R13" s="292" t="str">
        <f>INDEX([16]Listas!$O$69:$Q$73,MATCH(L13,[16]Listas!$M$69:$M$73,0),MATCH(M13,[16]Listas!$O$67:$Q$67,0))</f>
        <v>10
BAJA</v>
      </c>
      <c r="S13" s="2868" t="s">
        <v>3274</v>
      </c>
      <c r="T13" s="2869"/>
      <c r="U13" s="2870"/>
      <c r="V13" s="839" t="s">
        <v>65</v>
      </c>
      <c r="W13" s="839" t="s">
        <v>36</v>
      </c>
      <c r="X13" s="839" t="s">
        <v>65</v>
      </c>
      <c r="Y13" s="839" t="s">
        <v>65</v>
      </c>
      <c r="Z13" s="839" t="s">
        <v>65</v>
      </c>
      <c r="AA13" s="839" t="s">
        <v>65</v>
      </c>
      <c r="AB13" s="839" t="s">
        <v>65</v>
      </c>
      <c r="AC13" s="839" t="s">
        <v>65</v>
      </c>
      <c r="AD13" s="839" t="s">
        <v>65</v>
      </c>
      <c r="AE13" s="839" t="s">
        <v>65</v>
      </c>
      <c r="AF13" s="839"/>
      <c r="AG13" s="291">
        <f>IF(Y13="SI",15,0)</f>
        <v>15</v>
      </c>
      <c r="AH13" s="291">
        <f>IF(Z13="SI",5,0)</f>
        <v>5</v>
      </c>
      <c r="AI13" s="291">
        <f>IF(AA13="SI",15,0)</f>
        <v>15</v>
      </c>
      <c r="AJ13" s="291">
        <f>IF(AB13="SI",10,0)</f>
        <v>10</v>
      </c>
      <c r="AK13" s="291">
        <f>IF(AC13="SI",15,0)</f>
        <v>15</v>
      </c>
      <c r="AL13" s="291">
        <f>IF(AD13="SI",10,0)</f>
        <v>10</v>
      </c>
      <c r="AM13" s="291">
        <f>IF(AE13="SI",30,0)</f>
        <v>30</v>
      </c>
      <c r="AN13" s="291">
        <f>SUM(AG13+AH13+AI13+AJ13+AK13+AL13+AM13)</f>
        <v>100</v>
      </c>
      <c r="AO13" s="291">
        <f>IF(AN13&lt;=50,0,IF(AN13&gt;=76,2,1))</f>
        <v>2</v>
      </c>
      <c r="AP13" s="292" t="str">
        <f>CONCATENATE(AN13,"- disminuye ",AO13)</f>
        <v>100- disminuye 2</v>
      </c>
      <c r="AQ13" s="291">
        <f>IF(V13="SI",O13-AO13,O13)</f>
        <v>-1</v>
      </c>
      <c r="AR13" s="292" t="str">
        <f>IF(AQ13&lt;=1,"Rara vez",VLOOKUP(AQ13,[16]Listas!$L$69:$M$73,2,0))</f>
        <v>Rara vez</v>
      </c>
      <c r="AS13" s="291">
        <f>IF(W13="SI",Q13-AO13,Q13)</f>
        <v>10</v>
      </c>
      <c r="AT13" s="292" t="str">
        <f>IF(AS13&lt;=9,"Moderado",IF(AS13=20,"Catastrófico",IF(AS13=18,"Moderado","Mayor")))</f>
        <v>Mayor</v>
      </c>
      <c r="AU13" s="292" t="str">
        <f>INDEX([16]Listas!$O$69:$Q$73,MATCH(AR13,[16]Listas!$M$69:$M$73,0),MATCH(AT13,[16]Listas!$O$67:$Q$67,0))</f>
        <v>10
BAJA</v>
      </c>
      <c r="AV13" s="23" t="s">
        <v>271</v>
      </c>
      <c r="AW13" s="207" t="s">
        <v>915</v>
      </c>
      <c r="AX13" s="207" t="s">
        <v>916</v>
      </c>
      <c r="AY13" s="293" t="s">
        <v>168</v>
      </c>
      <c r="AZ13" s="12" t="s">
        <v>3275</v>
      </c>
      <c r="BA13" s="207" t="s">
        <v>3276</v>
      </c>
      <c r="BB13" s="839" t="s">
        <v>3978</v>
      </c>
      <c r="BC13" s="12" t="s">
        <v>3979</v>
      </c>
      <c r="BD13" s="12" t="s">
        <v>3277</v>
      </c>
      <c r="BE13" s="839" t="s">
        <v>36</v>
      </c>
      <c r="BF13" s="12"/>
      <c r="BG13" s="12"/>
      <c r="BH13" s="227"/>
      <c r="BI13" s="227"/>
      <c r="BJ13" s="839"/>
      <c r="BK13" s="228"/>
      <c r="BL13" s="228"/>
    </row>
    <row r="14" spans="1:64" s="3" customFormat="1" ht="174" customHeight="1">
      <c r="A14" s="332"/>
      <c r="B14" s="2868" t="s">
        <v>917</v>
      </c>
      <c r="C14" s="2869"/>
      <c r="D14" s="2870"/>
      <c r="E14" s="51" t="s">
        <v>918</v>
      </c>
      <c r="F14" s="2895" t="s">
        <v>919</v>
      </c>
      <c r="G14" s="2896"/>
      <c r="H14" s="2897"/>
      <c r="I14" s="2868" t="s">
        <v>920</v>
      </c>
      <c r="J14" s="2869"/>
      <c r="K14" s="2870"/>
      <c r="L14" s="23" t="s">
        <v>283</v>
      </c>
      <c r="M14" s="23" t="s">
        <v>270</v>
      </c>
      <c r="N14" s="23"/>
      <c r="O14" s="291">
        <f>VLOOKUP(L14,[16]Listas!$M$69:$N$73,2,0)</f>
        <v>1</v>
      </c>
      <c r="P14" s="291"/>
      <c r="Q14" s="291">
        <f>HLOOKUP(M14,[16]Listas!$O$67:$Q$68,2,0)</f>
        <v>10</v>
      </c>
      <c r="R14" s="292" t="str">
        <f>INDEX([16]Listas!$O$69:$Q$73,MATCH(L14,[16]Listas!$M$69:$M$73,0),MATCH(M14,[16]Listas!$O$67:$Q$67,0))</f>
        <v>10
BAJA</v>
      </c>
      <c r="S14" s="2868" t="s">
        <v>3278</v>
      </c>
      <c r="T14" s="2869"/>
      <c r="U14" s="2870"/>
      <c r="V14" s="839" t="s">
        <v>65</v>
      </c>
      <c r="W14" s="839" t="s">
        <v>36</v>
      </c>
      <c r="X14" s="839" t="s">
        <v>65</v>
      </c>
      <c r="Y14" s="839" t="s">
        <v>65</v>
      </c>
      <c r="Z14" s="839" t="s">
        <v>65</v>
      </c>
      <c r="AA14" s="839" t="s">
        <v>65</v>
      </c>
      <c r="AB14" s="839" t="s">
        <v>65</v>
      </c>
      <c r="AC14" s="839" t="s">
        <v>65</v>
      </c>
      <c r="AD14" s="839" t="s">
        <v>65</v>
      </c>
      <c r="AE14" s="839" t="s">
        <v>65</v>
      </c>
      <c r="AF14" s="839"/>
      <c r="AG14" s="291">
        <f>IF(Y14="SI",15,0)</f>
        <v>15</v>
      </c>
      <c r="AH14" s="291">
        <f>IF(Z14="SI",5,0)</f>
        <v>5</v>
      </c>
      <c r="AI14" s="291">
        <f>IF(AA14="SI",15,0)</f>
        <v>15</v>
      </c>
      <c r="AJ14" s="291">
        <f>IF(AB14="SI",10,0)</f>
        <v>10</v>
      </c>
      <c r="AK14" s="291">
        <f>IF(AC14="SI",15,0)</f>
        <v>15</v>
      </c>
      <c r="AL14" s="291">
        <f>IF(AD14="SI",10,0)</f>
        <v>10</v>
      </c>
      <c r="AM14" s="291">
        <f>IF(AE14="SI",30,0)</f>
        <v>30</v>
      </c>
      <c r="AN14" s="291">
        <f>SUM(AG14+AH14+AI14+AJ14+AK14+AL14+AM14)</f>
        <v>100</v>
      </c>
      <c r="AO14" s="291">
        <f>IF(AN14&lt;=50,0,IF(AN14&gt;=76,2,1))</f>
        <v>2</v>
      </c>
      <c r="AP14" s="292" t="str">
        <f>CONCATENATE(AN14,"- disminuye ",AO14)</f>
        <v>100- disminuye 2</v>
      </c>
      <c r="AQ14" s="291">
        <f>IF(V14="SI",O14-AO14,O14)</f>
        <v>-1</v>
      </c>
      <c r="AR14" s="292" t="str">
        <f>IF(AQ14&lt;=1,"Rara vez",VLOOKUP(AQ14,[16]Listas!$L$69:$M$73,2,0))</f>
        <v>Rara vez</v>
      </c>
      <c r="AS14" s="291">
        <f>IF(W14="SI",Q14-AO14,Q14)</f>
        <v>10</v>
      </c>
      <c r="AT14" s="292" t="str">
        <f>IF(AS14&lt;=9,"Moderado",IF(AS14=20,"Catastrófico",IF(AS14=18,"Moderado","Mayor")))</f>
        <v>Mayor</v>
      </c>
      <c r="AU14" s="292" t="str">
        <f>INDEX([16]Listas!$O$69:$Q$73,MATCH(AR14,[16]Listas!$M$69:$M$73,0),MATCH(AT14,[16]Listas!$O$67:$Q$67,0))</f>
        <v>10
BAJA</v>
      </c>
      <c r="AV14" s="23" t="s">
        <v>271</v>
      </c>
      <c r="AW14" s="69" t="s">
        <v>921</v>
      </c>
      <c r="AX14" s="69" t="s">
        <v>922</v>
      </c>
      <c r="AY14" s="293" t="s">
        <v>168</v>
      </c>
      <c r="AZ14" s="12" t="s">
        <v>3279</v>
      </c>
      <c r="BA14" s="207" t="s">
        <v>3280</v>
      </c>
      <c r="BB14" s="839" t="s">
        <v>3281</v>
      </c>
      <c r="BC14" s="12" t="s">
        <v>3980</v>
      </c>
      <c r="BD14" s="12" t="s">
        <v>3282</v>
      </c>
      <c r="BE14" s="839" t="s">
        <v>36</v>
      </c>
      <c r="BF14" s="12"/>
      <c r="BG14" s="12"/>
      <c r="BH14" s="227"/>
      <c r="BI14" s="227"/>
      <c r="BJ14" s="839"/>
      <c r="BK14" s="228"/>
      <c r="BL14" s="228"/>
    </row>
    <row r="15" spans="1:64" s="3" customFormat="1" ht="161.25" customHeight="1">
      <c r="A15" s="332"/>
      <c r="B15" s="2794" t="s">
        <v>923</v>
      </c>
      <c r="C15" s="2795"/>
      <c r="D15" s="2796"/>
      <c r="E15" s="51" t="s">
        <v>924</v>
      </c>
      <c r="F15" s="2895" t="s">
        <v>925</v>
      </c>
      <c r="G15" s="2896"/>
      <c r="H15" s="2897"/>
      <c r="I15" s="2868" t="s">
        <v>926</v>
      </c>
      <c r="J15" s="2869"/>
      <c r="K15" s="2870"/>
      <c r="L15" s="23" t="s">
        <v>283</v>
      </c>
      <c r="M15" s="23" t="s">
        <v>270</v>
      </c>
      <c r="N15" s="23"/>
      <c r="O15" s="291">
        <f>VLOOKUP(L15,[16]Listas!$M$69:$N$73,2,0)</f>
        <v>1</v>
      </c>
      <c r="P15" s="291"/>
      <c r="Q15" s="291">
        <f>HLOOKUP(M15,[16]Listas!$O$67:$Q$68,2,0)</f>
        <v>10</v>
      </c>
      <c r="R15" s="292" t="str">
        <f>INDEX([16]Listas!$O$69:$Q$73,MATCH(L15,[16]Listas!$M$69:$M$73,0),MATCH(M15,[16]Listas!$O$67:$Q$67,0))</f>
        <v>10
BAJA</v>
      </c>
      <c r="S15" s="2794" t="s">
        <v>927</v>
      </c>
      <c r="T15" s="2795"/>
      <c r="U15" s="2796"/>
      <c r="V15" s="839" t="s">
        <v>65</v>
      </c>
      <c r="W15" s="839" t="s">
        <v>36</v>
      </c>
      <c r="X15" s="839" t="s">
        <v>65</v>
      </c>
      <c r="Y15" s="839" t="s">
        <v>65</v>
      </c>
      <c r="Z15" s="839" t="s">
        <v>65</v>
      </c>
      <c r="AA15" s="839" t="s">
        <v>65</v>
      </c>
      <c r="AB15" s="839" t="s">
        <v>65</v>
      </c>
      <c r="AC15" s="839" t="s">
        <v>65</v>
      </c>
      <c r="AD15" s="839" t="s">
        <v>65</v>
      </c>
      <c r="AE15" s="839" t="s">
        <v>65</v>
      </c>
      <c r="AF15" s="839"/>
      <c r="AG15" s="291">
        <f t="shared" si="0"/>
        <v>15</v>
      </c>
      <c r="AH15" s="291">
        <f t="shared" si="1"/>
        <v>5</v>
      </c>
      <c r="AI15" s="291">
        <f t="shared" si="2"/>
        <v>15</v>
      </c>
      <c r="AJ15" s="291">
        <f t="shared" si="3"/>
        <v>10</v>
      </c>
      <c r="AK15" s="291">
        <f t="shared" si="4"/>
        <v>15</v>
      </c>
      <c r="AL15" s="291">
        <f t="shared" si="5"/>
        <v>10</v>
      </c>
      <c r="AM15" s="291">
        <f t="shared" si="6"/>
        <v>30</v>
      </c>
      <c r="AN15" s="291">
        <f t="shared" si="7"/>
        <v>100</v>
      </c>
      <c r="AO15" s="291">
        <f t="shared" si="8"/>
        <v>2</v>
      </c>
      <c r="AP15" s="292" t="str">
        <f t="shared" si="9"/>
        <v>100- disminuye 2</v>
      </c>
      <c r="AQ15" s="291">
        <f t="shared" si="10"/>
        <v>-1</v>
      </c>
      <c r="AR15" s="292" t="str">
        <f>IF(AQ15&lt;=1,"Rara vez",VLOOKUP(AQ15,[16]Listas!$L$69:$M$73,2,0))</f>
        <v>Rara vez</v>
      </c>
      <c r="AS15" s="291">
        <f t="shared" si="11"/>
        <v>10</v>
      </c>
      <c r="AT15" s="292" t="str">
        <f t="shared" si="12"/>
        <v>Mayor</v>
      </c>
      <c r="AU15" s="292" t="str">
        <f>INDEX([16]Listas!$O$69:$Q$73,MATCH(AR15,[16]Listas!$M$69:$M$73,0),MATCH(AT15,[16]Listas!$O$67:$Q$67,0))</f>
        <v>10
BAJA</v>
      </c>
      <c r="AV15" s="23" t="s">
        <v>271</v>
      </c>
      <c r="AW15" s="839" t="s">
        <v>928</v>
      </c>
      <c r="AX15" s="839" t="s">
        <v>929</v>
      </c>
      <c r="AY15" s="293" t="s">
        <v>168</v>
      </c>
      <c r="AZ15" s="12" t="s">
        <v>3283</v>
      </c>
      <c r="BA15" s="207" t="s">
        <v>3284</v>
      </c>
      <c r="BB15" s="839" t="s">
        <v>3285</v>
      </c>
      <c r="BC15" s="12" t="s">
        <v>3981</v>
      </c>
      <c r="BD15" s="12" t="s">
        <v>3286</v>
      </c>
      <c r="BE15" s="839" t="s">
        <v>36</v>
      </c>
      <c r="BF15" s="12"/>
      <c r="BG15" s="12"/>
      <c r="BH15" s="227"/>
      <c r="BI15" s="227"/>
      <c r="BJ15" s="839"/>
      <c r="BK15" s="228"/>
      <c r="BL15" s="228"/>
    </row>
    <row r="16" spans="1:64" ht="6.75" customHeight="1">
      <c r="A16" s="2"/>
      <c r="B16" s="7"/>
      <c r="C16" s="7"/>
      <c r="D16" s="7"/>
      <c r="E16" s="4"/>
      <c r="F16" s="7"/>
      <c r="G16" s="7"/>
      <c r="H16" s="7"/>
      <c r="I16" s="7"/>
      <c r="J16" s="7"/>
      <c r="K16" s="7"/>
      <c r="L16" s="4"/>
      <c r="M16" s="4"/>
      <c r="N16" s="4"/>
      <c r="O16" s="4"/>
      <c r="P16" s="4"/>
      <c r="Q16" s="4"/>
      <c r="R16" s="4"/>
      <c r="S16" s="7"/>
      <c r="T16" s="7"/>
      <c r="U16" s="7"/>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7"/>
      <c r="AW16" s="7"/>
      <c r="AX16" s="229"/>
      <c r="AY16" s="229"/>
      <c r="AZ16" s="68"/>
      <c r="BA16" s="68"/>
      <c r="BB16" s="92"/>
      <c r="BC16" s="68"/>
      <c r="BD16" s="68"/>
      <c r="BE16" s="92"/>
      <c r="BF16" s="68"/>
      <c r="BG16" s="68"/>
      <c r="BH16" s="230"/>
      <c r="BI16" s="230"/>
      <c r="BJ16" s="92"/>
    </row>
    <row r="17" spans="1:64" ht="15" customHeight="1">
      <c r="A17" s="317"/>
      <c r="B17" s="2811" t="s">
        <v>277</v>
      </c>
      <c r="C17" s="2811"/>
      <c r="D17" s="2811"/>
      <c r="E17" s="2811"/>
      <c r="F17" s="2811"/>
      <c r="G17" s="2811"/>
      <c r="H17" s="2811"/>
      <c r="I17" s="2811"/>
      <c r="J17" s="2811"/>
      <c r="K17" s="2811"/>
      <c r="L17" s="2811"/>
      <c r="M17" s="2811"/>
      <c r="N17" s="2811"/>
      <c r="O17" s="2811"/>
      <c r="P17" s="2811"/>
      <c r="Q17" s="2811"/>
      <c r="R17" s="2811"/>
      <c r="S17" s="2811"/>
      <c r="T17" s="2811"/>
      <c r="U17" s="2811"/>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4"/>
      <c r="AV17" s="9"/>
      <c r="AW17" s="9"/>
      <c r="AX17" s="65"/>
      <c r="AY17" s="65"/>
      <c r="AZ17" s="68"/>
      <c r="BA17" s="68"/>
      <c r="BB17" s="92"/>
      <c r="BC17" s="68"/>
      <c r="BD17" s="68"/>
      <c r="BE17" s="92"/>
      <c r="BF17" s="68"/>
      <c r="BG17" s="68"/>
      <c r="BH17" s="230"/>
      <c r="BI17" s="230"/>
      <c r="BJ17" s="92"/>
    </row>
    <row r="18" spans="1:64" s="22" customFormat="1" ht="19.5" customHeight="1">
      <c r="A18" s="10"/>
      <c r="B18" s="2801" t="s">
        <v>278</v>
      </c>
      <c r="C18" s="2802"/>
      <c r="D18" s="2802"/>
      <c r="E18" s="2802"/>
      <c r="F18" s="2802"/>
      <c r="G18" s="2802"/>
      <c r="H18" s="2803"/>
      <c r="I18" s="2801" t="s">
        <v>279</v>
      </c>
      <c r="J18" s="2802"/>
      <c r="K18" s="2802"/>
      <c r="L18" s="2802"/>
      <c r="M18" s="2802"/>
      <c r="N18" s="2802"/>
      <c r="O18" s="2802"/>
      <c r="P18" s="2802"/>
      <c r="Q18" s="2802"/>
      <c r="R18" s="2802"/>
      <c r="S18" s="2802"/>
      <c r="T18" s="2802"/>
      <c r="U18" s="2803"/>
      <c r="V18" s="2801" t="s">
        <v>171</v>
      </c>
      <c r="W18" s="2802"/>
      <c r="X18" s="2802"/>
      <c r="Y18" s="2802"/>
      <c r="Z18" s="2802"/>
      <c r="AA18" s="2802"/>
      <c r="AB18" s="2802"/>
      <c r="AC18" s="2802"/>
      <c r="AD18" s="2802"/>
      <c r="AE18" s="2802"/>
      <c r="AF18" s="2802"/>
      <c r="AG18" s="2802"/>
      <c r="AH18" s="2802"/>
      <c r="AI18" s="2802"/>
      <c r="AJ18" s="2802"/>
      <c r="AK18" s="2802"/>
      <c r="AL18" s="2802"/>
      <c r="AM18" s="2802"/>
      <c r="AN18" s="2802"/>
      <c r="AO18" s="2802"/>
      <c r="AP18" s="2803"/>
      <c r="AQ18" s="34" t="s">
        <v>172</v>
      </c>
      <c r="AR18" s="2804" t="s">
        <v>172</v>
      </c>
      <c r="AS18" s="2804"/>
      <c r="AT18" s="2804"/>
      <c r="AU18" s="2804"/>
      <c r="AV18" s="2804"/>
      <c r="AW18" s="2804"/>
      <c r="AX18" s="65"/>
      <c r="AY18" s="65"/>
      <c r="AZ18" s="68"/>
      <c r="BA18" s="68"/>
      <c r="BB18" s="92"/>
      <c r="BC18" s="68"/>
      <c r="BD18" s="68"/>
      <c r="BE18" s="92"/>
      <c r="BF18" s="68"/>
      <c r="BG18" s="68"/>
      <c r="BH18" s="230"/>
      <c r="BI18" s="230"/>
      <c r="BJ18" s="92"/>
      <c r="BK18" s="210"/>
      <c r="BL18" s="210"/>
    </row>
    <row r="19" spans="1:64" s="22" customFormat="1" ht="25.5" customHeight="1">
      <c r="A19" s="11"/>
      <c r="B19" s="2794" t="s">
        <v>293</v>
      </c>
      <c r="C19" s="2795"/>
      <c r="D19" s="2795"/>
      <c r="E19" s="2795"/>
      <c r="F19" s="2795"/>
      <c r="G19" s="2795"/>
      <c r="H19" s="2796"/>
      <c r="I19" s="2794" t="s">
        <v>2405</v>
      </c>
      <c r="J19" s="2795"/>
      <c r="K19" s="2795"/>
      <c r="L19" s="2795"/>
      <c r="M19" s="2795"/>
      <c r="N19" s="2795"/>
      <c r="O19" s="2795"/>
      <c r="P19" s="2795"/>
      <c r="Q19" s="2795"/>
      <c r="R19" s="2795"/>
      <c r="S19" s="2795"/>
      <c r="T19" s="2795"/>
      <c r="U19" s="2796"/>
      <c r="V19" s="2794" t="s">
        <v>2377</v>
      </c>
      <c r="W19" s="2795"/>
      <c r="X19" s="2795"/>
      <c r="Y19" s="2795"/>
      <c r="Z19" s="2795"/>
      <c r="AA19" s="2795"/>
      <c r="AB19" s="2795"/>
      <c r="AC19" s="2795"/>
      <c r="AD19" s="2795"/>
      <c r="AE19" s="2795"/>
      <c r="AF19" s="2795"/>
      <c r="AG19" s="2795"/>
      <c r="AH19" s="2795"/>
      <c r="AI19" s="2795"/>
      <c r="AJ19" s="2795"/>
      <c r="AK19" s="2795"/>
      <c r="AL19" s="2795"/>
      <c r="AM19" s="2795"/>
      <c r="AN19" s="2795"/>
      <c r="AO19" s="2795"/>
      <c r="AP19" s="2796"/>
      <c r="AQ19" s="12"/>
      <c r="AR19" s="2800"/>
      <c r="AS19" s="2800"/>
      <c r="AT19" s="2800"/>
      <c r="AU19" s="2800"/>
      <c r="AV19" s="2800"/>
      <c r="AW19" s="2800"/>
      <c r="AX19" s="65"/>
      <c r="AY19" s="65"/>
      <c r="AZ19" s="68"/>
      <c r="BA19" s="68"/>
      <c r="BB19" s="92"/>
      <c r="BC19" s="68"/>
      <c r="BD19" s="68"/>
      <c r="BE19" s="92"/>
      <c r="BF19" s="68"/>
      <c r="BG19" s="68"/>
      <c r="BH19" s="230"/>
      <c r="BI19" s="230"/>
      <c r="BJ19" s="92"/>
      <c r="BK19" s="210"/>
      <c r="BL19" s="210"/>
    </row>
    <row r="20" spans="1:64" s="22" customFormat="1" ht="25.5" customHeight="1">
      <c r="A20" s="11"/>
      <c r="B20" s="2794" t="s">
        <v>294</v>
      </c>
      <c r="C20" s="2795"/>
      <c r="D20" s="2795"/>
      <c r="E20" s="2795"/>
      <c r="F20" s="2795"/>
      <c r="G20" s="2795"/>
      <c r="H20" s="2796"/>
      <c r="I20" s="2794" t="s">
        <v>1018</v>
      </c>
      <c r="J20" s="2795"/>
      <c r="K20" s="2795"/>
      <c r="L20" s="2795"/>
      <c r="M20" s="2795"/>
      <c r="N20" s="2795"/>
      <c r="O20" s="2795"/>
      <c r="P20" s="2795"/>
      <c r="Q20" s="2795"/>
      <c r="R20" s="2795"/>
      <c r="S20" s="2795"/>
      <c r="T20" s="2795"/>
      <c r="U20" s="2796"/>
      <c r="V20" s="2794" t="s">
        <v>2378</v>
      </c>
      <c r="W20" s="2795"/>
      <c r="X20" s="2795"/>
      <c r="Y20" s="2795"/>
      <c r="Z20" s="2795"/>
      <c r="AA20" s="2795"/>
      <c r="AB20" s="2795"/>
      <c r="AC20" s="2795"/>
      <c r="AD20" s="2795"/>
      <c r="AE20" s="2795"/>
      <c r="AF20" s="2795"/>
      <c r="AG20" s="2795"/>
      <c r="AH20" s="2795"/>
      <c r="AI20" s="2795"/>
      <c r="AJ20" s="2795"/>
      <c r="AK20" s="2795"/>
      <c r="AL20" s="2795"/>
      <c r="AM20" s="2795"/>
      <c r="AN20" s="2795"/>
      <c r="AO20" s="2795"/>
      <c r="AP20" s="2796"/>
      <c r="AQ20" s="12"/>
      <c r="AR20" s="2800"/>
      <c r="AS20" s="2800"/>
      <c r="AT20" s="2800"/>
      <c r="AU20" s="2800"/>
      <c r="AV20" s="2800"/>
      <c r="AW20" s="2800"/>
      <c r="AX20" s="65"/>
      <c r="AY20" s="65"/>
      <c r="AZ20" s="68"/>
      <c r="BA20" s="68"/>
      <c r="BB20" s="92"/>
      <c r="BC20" s="68"/>
      <c r="BD20" s="68"/>
      <c r="BE20" s="92"/>
      <c r="BF20" s="68"/>
      <c r="BG20" s="68"/>
      <c r="BH20" s="230"/>
      <c r="BI20" s="230"/>
      <c r="BJ20" s="92"/>
      <c r="BK20" s="210"/>
      <c r="BL20" s="210"/>
    </row>
    <row r="21" spans="1:64" ht="25.5" customHeight="1">
      <c r="A21" s="11"/>
      <c r="B21" s="2794"/>
      <c r="C21" s="2795"/>
      <c r="D21" s="2795"/>
      <c r="E21" s="2795"/>
      <c r="F21" s="2795"/>
      <c r="G21" s="2795"/>
      <c r="H21" s="2796"/>
      <c r="I21" s="2794"/>
      <c r="J21" s="2795"/>
      <c r="K21" s="2795"/>
      <c r="L21" s="2795"/>
      <c r="M21" s="2795"/>
      <c r="N21" s="2795"/>
      <c r="O21" s="2795"/>
      <c r="P21" s="2795"/>
      <c r="Q21" s="2795"/>
      <c r="R21" s="2795"/>
      <c r="S21" s="2795"/>
      <c r="T21" s="2795"/>
      <c r="U21" s="2796"/>
      <c r="V21" s="2794"/>
      <c r="W21" s="2795"/>
      <c r="X21" s="2795"/>
      <c r="Y21" s="2795"/>
      <c r="Z21" s="2795"/>
      <c r="AA21" s="2795"/>
      <c r="AB21" s="2795"/>
      <c r="AC21" s="2795"/>
      <c r="AD21" s="2795"/>
      <c r="AE21" s="2795"/>
      <c r="AF21" s="2795"/>
      <c r="AG21" s="2795"/>
      <c r="AH21" s="2795"/>
      <c r="AI21" s="2795"/>
      <c r="AJ21" s="2795"/>
      <c r="AK21" s="2795"/>
      <c r="AL21" s="2795"/>
      <c r="AM21" s="2795"/>
      <c r="AN21" s="2795"/>
      <c r="AO21" s="2795"/>
      <c r="AP21" s="2796"/>
      <c r="AQ21" s="12"/>
      <c r="AR21" s="2800"/>
      <c r="AS21" s="2800"/>
      <c r="AT21" s="2800"/>
      <c r="AU21" s="2800"/>
      <c r="AV21" s="2800"/>
      <c r="AW21" s="2800"/>
      <c r="AX21" s="65"/>
      <c r="AY21" s="65"/>
      <c r="AZ21" s="68"/>
      <c r="BA21" s="68"/>
      <c r="BB21" s="92"/>
      <c r="BC21" s="68"/>
      <c r="BD21" s="68"/>
      <c r="BE21" s="92"/>
      <c r="BF21" s="68"/>
      <c r="BG21" s="68"/>
      <c r="BH21" s="230"/>
      <c r="BI21" s="230"/>
      <c r="BJ21" s="92"/>
    </row>
    <row r="22" spans="1:64">
      <c r="A22" s="13"/>
      <c r="B22" s="13"/>
      <c r="C22" s="13"/>
      <c r="D22" s="13"/>
      <c r="E22" s="14"/>
      <c r="F22" s="13"/>
      <c r="G22" s="13"/>
      <c r="H22" s="13"/>
      <c r="I22" s="13"/>
      <c r="J22" s="13"/>
      <c r="K22" s="13"/>
      <c r="L22" s="15"/>
      <c r="M22" s="15"/>
      <c r="N22" s="15"/>
      <c r="O22" s="15"/>
      <c r="P22" s="15"/>
      <c r="Q22" s="15"/>
      <c r="R22" s="15"/>
      <c r="S22" s="15"/>
      <c r="T22" s="15"/>
      <c r="U22" s="15"/>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5"/>
      <c r="AW22" s="15"/>
      <c r="AZ22" s="68"/>
      <c r="BA22" s="68"/>
      <c r="BB22" s="92"/>
      <c r="BC22" s="68"/>
      <c r="BD22" s="68"/>
      <c r="BE22" s="92"/>
      <c r="BF22" s="68"/>
      <c r="BG22" s="68"/>
      <c r="BH22" s="230"/>
      <c r="BI22" s="230"/>
      <c r="BJ22" s="92"/>
    </row>
    <row r="23" spans="1:64">
      <c r="A23" s="13"/>
      <c r="B23" s="13"/>
      <c r="C23" s="13"/>
      <c r="D23" s="13"/>
      <c r="E23" s="14"/>
      <c r="F23" s="13"/>
      <c r="G23" s="13"/>
      <c r="H23" s="13"/>
      <c r="I23" s="13"/>
      <c r="J23" s="13"/>
      <c r="K23" s="13"/>
      <c r="L23" s="15"/>
      <c r="M23" s="15"/>
      <c r="N23" s="15"/>
      <c r="O23" s="15"/>
      <c r="P23" s="15"/>
      <c r="Q23" s="15"/>
      <c r="R23" s="15"/>
      <c r="S23" s="15"/>
      <c r="T23" s="15"/>
      <c r="U23" s="15"/>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5"/>
      <c r="AW23" s="15"/>
      <c r="AZ23" s="68"/>
      <c r="BA23" s="68"/>
      <c r="BB23" s="92"/>
      <c r="BC23" s="68"/>
      <c r="BD23" s="68"/>
      <c r="BE23" s="92"/>
      <c r="BF23" s="68"/>
      <c r="BG23" s="68"/>
      <c r="BH23" s="230"/>
      <c r="BI23" s="230"/>
      <c r="BJ23" s="92"/>
    </row>
    <row r="24" spans="1:64">
      <c r="A24" s="13"/>
      <c r="B24" s="13"/>
      <c r="C24" s="13"/>
      <c r="D24" s="13"/>
      <c r="E24" s="14"/>
      <c r="F24" s="13"/>
      <c r="G24" s="13"/>
      <c r="H24" s="13"/>
      <c r="I24" s="13"/>
      <c r="J24" s="13"/>
      <c r="K24" s="13"/>
      <c r="L24" s="15"/>
      <c r="M24" s="15"/>
      <c r="N24" s="15"/>
      <c r="O24" s="15"/>
      <c r="P24" s="15"/>
      <c r="Q24" s="15"/>
      <c r="R24" s="15"/>
      <c r="S24" s="15"/>
      <c r="T24" s="15"/>
      <c r="U24" s="15"/>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5"/>
      <c r="AW24" s="15"/>
      <c r="AZ24" s="68"/>
      <c r="BA24" s="68"/>
      <c r="BB24" s="92"/>
      <c r="BC24" s="68"/>
      <c r="BD24" s="68"/>
      <c r="BE24" s="92"/>
      <c r="BF24" s="68"/>
      <c r="BG24" s="68"/>
      <c r="BH24" s="230"/>
      <c r="BI24" s="230"/>
      <c r="BJ24" s="92"/>
    </row>
    <row r="25" spans="1:64">
      <c r="A25" s="13"/>
      <c r="B25" s="13"/>
      <c r="C25" s="13"/>
      <c r="D25" s="13"/>
      <c r="E25" s="14"/>
      <c r="F25" s="13"/>
      <c r="G25" s="13"/>
      <c r="H25" s="13"/>
      <c r="I25" s="13"/>
      <c r="J25" s="13"/>
      <c r="K25" s="13"/>
      <c r="L25" s="15"/>
      <c r="M25" s="15"/>
      <c r="N25" s="15"/>
      <c r="O25" s="15"/>
      <c r="P25" s="15"/>
      <c r="Q25" s="15"/>
      <c r="R25" s="15"/>
      <c r="S25" s="15"/>
      <c r="T25" s="15"/>
      <c r="U25" s="15"/>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5"/>
      <c r="AW25" s="15"/>
      <c r="AZ25" s="68"/>
      <c r="BA25" s="68"/>
      <c r="BB25" s="92"/>
      <c r="BC25" s="68"/>
      <c r="BD25" s="68"/>
      <c r="BE25" s="92"/>
      <c r="BF25" s="68"/>
      <c r="BG25" s="68"/>
      <c r="BH25" s="230"/>
      <c r="BI25" s="230"/>
      <c r="BJ25" s="92"/>
    </row>
    <row r="26" spans="1:64">
      <c r="A26" s="13"/>
      <c r="B26" s="13"/>
      <c r="C26" s="13"/>
      <c r="D26" s="13"/>
      <c r="E26" s="14"/>
      <c r="F26" s="13"/>
      <c r="G26" s="13"/>
      <c r="H26" s="13"/>
      <c r="I26" s="13"/>
      <c r="J26" s="13"/>
      <c r="K26" s="13"/>
      <c r="L26" s="15"/>
      <c r="M26" s="15"/>
      <c r="N26" s="15"/>
      <c r="O26" s="15"/>
      <c r="P26" s="15"/>
      <c r="Q26" s="15"/>
      <c r="R26" s="15"/>
      <c r="S26" s="15"/>
      <c r="T26" s="15"/>
      <c r="U26" s="15"/>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5"/>
      <c r="AW26" s="15"/>
      <c r="AZ26" s="68"/>
      <c r="BA26" s="68"/>
      <c r="BB26" s="92"/>
      <c r="BC26" s="68"/>
      <c r="BD26" s="68"/>
      <c r="BE26" s="92"/>
      <c r="BF26" s="68"/>
      <c r="BG26" s="68"/>
      <c r="BH26" s="230"/>
      <c r="BI26" s="230"/>
      <c r="BJ26" s="92"/>
    </row>
    <row r="27" spans="1:64">
      <c r="A27" s="13"/>
      <c r="B27" s="13"/>
      <c r="C27" s="13"/>
      <c r="D27" s="13"/>
      <c r="E27" s="14"/>
      <c r="F27" s="13"/>
      <c r="G27" s="13"/>
      <c r="H27" s="13"/>
      <c r="I27" s="13"/>
      <c r="J27" s="13"/>
      <c r="K27" s="13"/>
      <c r="L27" s="15"/>
      <c r="M27" s="15"/>
      <c r="N27" s="15"/>
      <c r="O27" s="15"/>
      <c r="P27" s="15"/>
      <c r="Q27" s="15"/>
      <c r="R27" s="15"/>
      <c r="S27" s="15"/>
      <c r="T27" s="15"/>
      <c r="U27" s="15"/>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5"/>
      <c r="AW27" s="15"/>
      <c r="AZ27" s="68"/>
      <c r="BA27" s="68"/>
      <c r="BB27" s="92"/>
      <c r="BC27" s="68"/>
      <c r="BD27" s="68"/>
      <c r="BE27" s="92"/>
      <c r="BF27" s="68"/>
      <c r="BG27" s="68"/>
      <c r="BH27" s="230"/>
      <c r="BI27" s="230"/>
      <c r="BJ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4">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4">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4">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4">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4">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4">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4">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4">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4">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row>
    <row r="90" spans="1:64">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row>
    <row r="91" spans="1:64">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row>
    <row r="92" spans="1:64" ht="11.25">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231"/>
      <c r="BA92" s="231"/>
      <c r="BB92" s="231"/>
      <c r="BC92" s="231"/>
      <c r="BD92" s="231"/>
      <c r="BE92" s="231"/>
      <c r="BF92" s="231"/>
      <c r="BG92" s="231"/>
      <c r="BH92" s="231"/>
      <c r="BI92" s="231"/>
      <c r="BJ92" s="231"/>
      <c r="BK92" s="231"/>
      <c r="BL92" s="231"/>
    </row>
    <row r="93" spans="1:64" ht="11.25">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231"/>
      <c r="BA93" s="231"/>
      <c r="BB93" s="231"/>
      <c r="BC93" s="231"/>
      <c r="BD93" s="231"/>
      <c r="BE93" s="231"/>
      <c r="BF93" s="231"/>
      <c r="BG93" s="231"/>
      <c r="BH93" s="231"/>
      <c r="BI93" s="231"/>
      <c r="BJ93" s="231"/>
      <c r="BK93" s="231"/>
      <c r="BL93" s="231"/>
    </row>
    <row r="94" spans="1:64" ht="11.25">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c r="AZ94" s="231"/>
      <c r="BA94" s="231"/>
      <c r="BB94" s="231"/>
      <c r="BC94" s="231"/>
      <c r="BD94" s="231"/>
      <c r="BE94" s="231"/>
      <c r="BF94" s="231"/>
      <c r="BG94" s="231"/>
      <c r="BH94" s="231"/>
      <c r="BI94" s="231"/>
      <c r="BJ94" s="231"/>
      <c r="BK94" s="231"/>
      <c r="BL94" s="231"/>
    </row>
    <row r="95" spans="1:64" ht="11.25">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c r="AZ95" s="231"/>
      <c r="BA95" s="231"/>
      <c r="BB95" s="231"/>
      <c r="BC95" s="231"/>
      <c r="BD95" s="231"/>
      <c r="BE95" s="231"/>
      <c r="BF95" s="231"/>
      <c r="BG95" s="231"/>
      <c r="BH95" s="231"/>
      <c r="BI95" s="231"/>
      <c r="BJ95" s="231"/>
      <c r="BK95" s="231"/>
      <c r="BL95" s="231"/>
    </row>
    <row r="96" spans="1:64" ht="11.25">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c r="AZ96" s="231"/>
      <c r="BA96" s="231"/>
      <c r="BB96" s="231"/>
      <c r="BC96" s="231"/>
      <c r="BD96" s="231"/>
      <c r="BE96" s="231"/>
      <c r="BF96" s="231"/>
      <c r="BG96" s="231"/>
      <c r="BH96" s="231"/>
      <c r="BI96" s="231"/>
      <c r="BJ96" s="231"/>
      <c r="BK96" s="231"/>
      <c r="BL96" s="231"/>
    </row>
    <row r="97" spans="1:64" ht="11.25">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c r="AZ97" s="231"/>
      <c r="BA97" s="231"/>
      <c r="BB97" s="231"/>
      <c r="BC97" s="231"/>
      <c r="BD97" s="231"/>
      <c r="BE97" s="231"/>
      <c r="BF97" s="231"/>
      <c r="BG97" s="231"/>
      <c r="BH97" s="231"/>
      <c r="BI97" s="231"/>
      <c r="BJ97" s="231"/>
      <c r="BK97" s="231"/>
      <c r="BL97" s="231"/>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row>
    <row r="101" spans="1:64">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row>
    <row r="102" spans="1:64">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row>
    <row r="103" spans="1:64">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row>
    <row r="104" spans="1:64">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row>
    <row r="105" spans="1:64">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sheetData>
  <sheetProtection formatCells="0" formatColumns="0" formatRows="0" insertRows="0" deleteRows="0" sort="0" autoFilter="0" pivotTables="0"/>
  <mergeCells count="73">
    <mergeCell ref="A1:AB1"/>
    <mergeCell ref="AC1:AU4"/>
    <mergeCell ref="BB1:BE1"/>
    <mergeCell ref="A2:AB2"/>
    <mergeCell ref="BB2:BC2"/>
    <mergeCell ref="BD2:BE2"/>
    <mergeCell ref="A3:D3"/>
    <mergeCell ref="E3:U3"/>
    <mergeCell ref="V3:AB3"/>
    <mergeCell ref="BB3:BC3"/>
    <mergeCell ref="AA6:BA6"/>
    <mergeCell ref="BD3:BE3"/>
    <mergeCell ref="A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B13:D13"/>
    <mergeCell ref="F13:H13"/>
    <mergeCell ref="I13:K13"/>
    <mergeCell ref="S13:U13"/>
    <mergeCell ref="B14:D14"/>
    <mergeCell ref="F14:H14"/>
    <mergeCell ref="I14:K14"/>
    <mergeCell ref="S14:U14"/>
    <mergeCell ref="B15:D15"/>
    <mergeCell ref="F15:H15"/>
    <mergeCell ref="I15:K15"/>
    <mergeCell ref="S15:U15"/>
    <mergeCell ref="B17:U17"/>
    <mergeCell ref="V18:AP18"/>
    <mergeCell ref="AR18:AW18"/>
    <mergeCell ref="B19:H19"/>
    <mergeCell ref="I19:U19"/>
    <mergeCell ref="V19:AP19"/>
    <mergeCell ref="AR19:AW19"/>
    <mergeCell ref="B18:H18"/>
    <mergeCell ref="I18:U18"/>
    <mergeCell ref="B20:H20"/>
    <mergeCell ref="I20:U20"/>
    <mergeCell ref="V20:AP20"/>
    <mergeCell ref="AR20:AW20"/>
    <mergeCell ref="B21:H21"/>
    <mergeCell ref="I21:U21"/>
    <mergeCell ref="V21:AP21"/>
    <mergeCell ref="AR21:AW21"/>
  </mergeCells>
  <dataValidations count="8">
    <dataValidation type="list" allowBlank="1" showInputMessage="1" showErrorMessage="1" sqref="BE10:BE15">
      <formula1>Efectividad</formula1>
    </dataValidation>
    <dataValidation type="list" allowBlank="1" showInputMessage="1" sqref="AV10:AV15">
      <formula1>Periodo</formula1>
    </dataValidation>
    <dataValidation type="list" showInputMessage="1" showErrorMessage="1" sqref="V10:AF15">
      <formula1>Efectividad</formula1>
    </dataValidation>
    <dataValidation showInputMessage="1" showErrorMessage="1" sqref="AG10:AT15"/>
    <dataValidation type="list" allowBlank="1" showInputMessage="1" showErrorMessage="1" sqref="M10:N15">
      <formula1>Impacto</formula1>
    </dataValidation>
    <dataValidation type="list" showInputMessage="1" showErrorMessage="1" sqref="L10:L15">
      <formula1>Probabilidad</formula1>
    </dataValidation>
    <dataValidation type="list" sqref="BD4:BE4">
      <formula1>Monitoreo</formula1>
    </dataValidation>
    <dataValidation type="list" allowBlank="1" showInputMessage="1" showErrorMessage="1" sqref="L6">
      <formula1>Proceso</formula1>
    </dataValidation>
  </dataValidations>
  <printOptions horizontalCentered="1" verticalCentered="1"/>
  <pageMargins left="0.23622047244094491" right="0.23622047244094491" top="0.74803149606299213" bottom="0.35433070866141736" header="0.31496062992125984" footer="0.31496062992125984"/>
  <pageSetup paperSize="14" scale="62" fitToHeight="3" orientation="landscape" r:id="rId1"/>
  <headerFooter>
    <oddFooter>&amp;L&amp;"Segoe UI,Normal"&amp;9Formato: FO-AC-07 Versión: 3&amp;C&amp;"Segoe UI,Normal"&amp;9Página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14"/>
  <sheetViews>
    <sheetView showGridLines="0" view="pageBreakPreview" zoomScaleNormal="100" zoomScaleSheetLayoutView="100" workbookViewId="0">
      <selection sqref="A1:AB1"/>
    </sheetView>
  </sheetViews>
  <sheetFormatPr baseColWidth="10" defaultRowHeight="15"/>
  <cols>
    <col min="1" max="1" width="2" style="16" customWidth="1"/>
    <col min="2" max="3" width="5.42578125" style="16" customWidth="1"/>
    <col min="4" max="4" width="1.42578125" style="16" customWidth="1"/>
    <col min="5" max="5" width="4.5703125" style="17" customWidth="1"/>
    <col min="6" max="6" width="7" style="16" customWidth="1"/>
    <col min="7" max="7" width="5.42578125" style="16" customWidth="1"/>
    <col min="8" max="8" width="7.7109375" style="16" customWidth="1"/>
    <col min="9" max="11" width="4.570312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19" width="10.140625" style="18" customWidth="1"/>
    <col min="20" max="21" width="8.710937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5.425781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20.140625" style="18" customWidth="1"/>
    <col min="50" max="50" width="11.85546875" style="21" customWidth="1"/>
    <col min="51" max="51" width="3.85546875" style="21" customWidth="1"/>
    <col min="52" max="52" width="23.140625" style="210" customWidth="1"/>
    <col min="53" max="53" width="14.85546875" style="210" customWidth="1"/>
    <col min="54" max="54" width="9.5703125" style="210" customWidth="1"/>
    <col min="55" max="55" width="66.140625" style="210" customWidth="1"/>
    <col min="56" max="56" width="34" style="210" customWidth="1"/>
    <col min="57" max="57" width="10.140625" style="210" customWidth="1"/>
    <col min="58" max="58" width="19.42578125" style="210" customWidth="1"/>
    <col min="59" max="59" width="16.140625" style="210" customWidth="1"/>
    <col min="60" max="61" width="9.28515625" style="210" customWidth="1"/>
    <col min="62" max="62" width="11.140625" style="210" customWidth="1"/>
    <col min="63" max="63" width="2.140625" style="210" customWidth="1"/>
    <col min="64" max="64" width="11.42578125" style="210"/>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858" t="str">
        <f>UPPER([30]Control!A2)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22">
        <v>2019</v>
      </c>
      <c r="BA2" s="208"/>
      <c r="BB2" s="2830" t="s">
        <v>138</v>
      </c>
      <c r="BC2" s="2831"/>
      <c r="BD2" s="2861" t="str">
        <f>L6</f>
        <v>GESTIÓN DE LA VALORIZACIÓN Y FINANCIACIÓN</v>
      </c>
      <c r="BE2" s="2862"/>
      <c r="BF2" s="208"/>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1:64" ht="15.75" customHeight="1" thickBot="1">
      <c r="A4" s="2832" t="str">
        <f>[30]Control!A4</f>
        <v>FO-PE-05</v>
      </c>
      <c r="B4" s="2833"/>
      <c r="C4" s="2833"/>
      <c r="D4" s="2834"/>
      <c r="E4" s="2835" t="str">
        <f>[30]Control!C4</f>
        <v>Planeación Estratégica</v>
      </c>
      <c r="F4" s="2833"/>
      <c r="G4" s="2833"/>
      <c r="H4" s="2833"/>
      <c r="I4" s="2833"/>
      <c r="J4" s="2833"/>
      <c r="K4" s="2833"/>
      <c r="L4" s="2833"/>
      <c r="M4" s="2833"/>
      <c r="N4" s="2833"/>
      <c r="O4" s="2833"/>
      <c r="P4" s="2833"/>
      <c r="Q4" s="2833"/>
      <c r="R4" s="2833"/>
      <c r="S4" s="2833"/>
      <c r="T4" s="2833"/>
      <c r="U4" s="2834"/>
      <c r="V4" s="2835">
        <f>[30]Control!H4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232" t="s">
        <v>3162</v>
      </c>
      <c r="BA4" s="208"/>
      <c r="BB4" s="2914">
        <v>43708</v>
      </c>
      <c r="BC4" s="2282"/>
      <c r="BD4" s="2282" t="s">
        <v>3679</v>
      </c>
      <c r="BE4" s="2282"/>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27" customHeight="1">
      <c r="A6" s="2"/>
      <c r="B6" s="2839" t="s">
        <v>57</v>
      </c>
      <c r="C6" s="2840"/>
      <c r="D6" s="2842" t="s">
        <v>58</v>
      </c>
      <c r="E6" s="2843"/>
      <c r="F6" s="2843"/>
      <c r="G6" s="2843"/>
      <c r="H6" s="2844"/>
      <c r="I6" s="2839" t="s">
        <v>138</v>
      </c>
      <c r="J6" s="2841"/>
      <c r="K6" s="2840"/>
      <c r="L6" s="2842" t="s">
        <v>156</v>
      </c>
      <c r="M6" s="2843"/>
      <c r="N6" s="2843"/>
      <c r="O6" s="2843"/>
      <c r="P6" s="2843"/>
      <c r="Q6" s="2843"/>
      <c r="R6" s="2843"/>
      <c r="S6" s="2843"/>
      <c r="T6" s="2843"/>
      <c r="U6" s="2844"/>
      <c r="V6" s="2845" t="s">
        <v>59</v>
      </c>
      <c r="W6" s="2845"/>
      <c r="X6" s="2845"/>
      <c r="Y6" s="2845"/>
      <c r="Z6" s="2845"/>
      <c r="AA6" s="2827" t="s">
        <v>295</v>
      </c>
      <c r="AB6" s="2828"/>
      <c r="AC6" s="2828"/>
      <c r="AD6" s="2828"/>
      <c r="AE6" s="2828"/>
      <c r="AF6" s="2828"/>
      <c r="AG6" s="2828"/>
      <c r="AH6" s="2828"/>
      <c r="AI6" s="2828"/>
      <c r="AJ6" s="2828"/>
      <c r="AK6" s="2828"/>
      <c r="AL6" s="2828"/>
      <c r="AM6" s="2828"/>
      <c r="AN6" s="2828"/>
      <c r="AO6" s="2828"/>
      <c r="AP6" s="2828"/>
      <c r="AQ6" s="2828"/>
      <c r="AR6" s="2828"/>
      <c r="AS6" s="2828"/>
      <c r="AT6" s="2828"/>
      <c r="AU6" s="2828"/>
      <c r="AV6" s="2828"/>
      <c r="AW6" s="2828"/>
      <c r="AX6" s="2828"/>
      <c r="AY6" s="2828"/>
      <c r="AZ6" s="2828"/>
      <c r="BA6" s="2829"/>
      <c r="BB6" s="213"/>
      <c r="BC6" s="416"/>
      <c r="BD6" s="417"/>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1:64" s="3" customFormat="1" ht="248.25" customHeight="1">
      <c r="A10" s="332"/>
      <c r="B10" s="2912" t="s">
        <v>857</v>
      </c>
      <c r="C10" s="2912"/>
      <c r="D10" s="2912"/>
      <c r="E10" s="23" t="s">
        <v>511</v>
      </c>
      <c r="F10" s="2871" t="s">
        <v>858</v>
      </c>
      <c r="G10" s="2872"/>
      <c r="H10" s="2873"/>
      <c r="I10" s="2794" t="s">
        <v>296</v>
      </c>
      <c r="J10" s="2795"/>
      <c r="K10" s="2796"/>
      <c r="L10" s="330" t="s">
        <v>283</v>
      </c>
      <c r="M10" s="50" t="s">
        <v>287</v>
      </c>
      <c r="N10" s="32"/>
      <c r="O10" s="6">
        <f>VLOOKUP(L10,[30]Listas!$M$69:$N$73,2,0)</f>
        <v>1</v>
      </c>
      <c r="P10" s="6"/>
      <c r="Q10" s="6">
        <f>HLOOKUP(M10,[30]Listas!$O$67:$Q$68,2,0)</f>
        <v>20</v>
      </c>
      <c r="R10" s="331" t="str">
        <f>INDEX([30]Listas!$O$69:$Q$73,MATCH(L10,[30]Listas!$M$69:$M$73,0),MATCH(M10,[30]Listas!$O$67:$Q$67,0))</f>
        <v>20
MODERADA</v>
      </c>
      <c r="S10" s="2894" t="s">
        <v>1907</v>
      </c>
      <c r="T10" s="2894"/>
      <c r="U10" s="2894"/>
      <c r="V10" s="329" t="s">
        <v>65</v>
      </c>
      <c r="W10" s="329" t="s">
        <v>36</v>
      </c>
      <c r="X10" s="329" t="s">
        <v>36</v>
      </c>
      <c r="Y10" s="329" t="s">
        <v>65</v>
      </c>
      <c r="Z10" s="329" t="s">
        <v>65</v>
      </c>
      <c r="AA10" s="329" t="s">
        <v>36</v>
      </c>
      <c r="AB10" s="329" t="s">
        <v>65</v>
      </c>
      <c r="AC10" s="329" t="s">
        <v>65</v>
      </c>
      <c r="AD10" s="329" t="s">
        <v>65</v>
      </c>
      <c r="AE10" s="329" t="s">
        <v>65</v>
      </c>
      <c r="AF10" s="33"/>
      <c r="AG10" s="6">
        <f t="shared" ref="AG10:AG11" si="0">IF(Y10="SI",15,0)</f>
        <v>15</v>
      </c>
      <c r="AH10" s="6">
        <f t="shared" ref="AH10:AH11" si="1">IF(Z10="SI",5,0)</f>
        <v>5</v>
      </c>
      <c r="AI10" s="6">
        <f t="shared" ref="AI10:AI11" si="2">IF(AA10="SI",15,0)</f>
        <v>0</v>
      </c>
      <c r="AJ10" s="6">
        <f t="shared" ref="AJ10:AJ11" si="3">IF(AB10="SI",10,0)</f>
        <v>10</v>
      </c>
      <c r="AK10" s="6">
        <f t="shared" ref="AK10:AK11" si="4">IF(AC10="SI",15,0)</f>
        <v>15</v>
      </c>
      <c r="AL10" s="6">
        <f t="shared" ref="AL10:AL11" si="5">IF(AD10="SI",10,0)</f>
        <v>10</v>
      </c>
      <c r="AM10" s="6">
        <f t="shared" ref="AM10:AM11" si="6">IF(AE10="SI",30,0)</f>
        <v>30</v>
      </c>
      <c r="AN10" s="6">
        <f t="shared" ref="AN10:AN11" si="7">SUM(AG10+AH10+AI10+AJ10+AK10+AL10+AM10)</f>
        <v>85</v>
      </c>
      <c r="AO10" s="6">
        <f t="shared" ref="AO10:AO11" si="8">IF(AN10&lt;=50,0,IF(AN10&gt;=76,2,1))</f>
        <v>2</v>
      </c>
      <c r="AP10" s="331" t="str">
        <f t="shared" ref="AP10:AP11" si="9">CONCATENATE(AN10,"- disminuye ",AO10)</f>
        <v>85- disminuye 2</v>
      </c>
      <c r="AQ10" s="6">
        <f t="shared" ref="AQ10:AQ11" si="10">IF(V10="SI",O10-AO10,O10)</f>
        <v>-1</v>
      </c>
      <c r="AR10" s="331" t="str">
        <f>IF(AQ10&lt;=1,"Rara vez",VLOOKUP(AQ10,[30]Listas!$L$69:$M$73,2,0))</f>
        <v>Rara vez</v>
      </c>
      <c r="AS10" s="6">
        <f t="shared" ref="AS10:AS11" si="11">IF(W10="SI",Q10-AO10,Q10)</f>
        <v>20</v>
      </c>
      <c r="AT10" s="331" t="str">
        <f t="shared" ref="AT10:AT11" si="12">IF(AS10&lt;=9,"Moderado",IF(AS10=20,"Catastrófico",IF(AS10=18,"Moderado","Mayor")))</f>
        <v>Catastrófico</v>
      </c>
      <c r="AU10" s="331" t="str">
        <f>INDEX([30]Listas!$O$69:$Q$73,MATCH(AR10,[30]Listas!$M$69:$M$73,0),MATCH(AT10,[30]Listas!$O$67:$Q$67,0))</f>
        <v>20
MODERADA</v>
      </c>
      <c r="AV10" s="330" t="s">
        <v>271</v>
      </c>
      <c r="AW10" s="405" t="s">
        <v>859</v>
      </c>
      <c r="AX10" s="843" t="s">
        <v>626</v>
      </c>
      <c r="AY10" s="49" t="s">
        <v>221</v>
      </c>
      <c r="AZ10" s="12" t="s">
        <v>3163</v>
      </c>
      <c r="BA10" s="522" t="s">
        <v>3164</v>
      </c>
      <c r="BB10" s="226"/>
      <c r="BC10" s="12" t="s">
        <v>3287</v>
      </c>
      <c r="BD10" s="12" t="s">
        <v>2343</v>
      </c>
      <c r="BE10" s="839" t="s">
        <v>36</v>
      </c>
      <c r="BF10" s="12"/>
      <c r="BG10" s="12"/>
      <c r="BH10" s="227"/>
      <c r="BI10" s="227"/>
      <c r="BJ10" s="839"/>
      <c r="BK10" s="228"/>
      <c r="BL10" s="228"/>
    </row>
    <row r="11" spans="1:64" s="3" customFormat="1" ht="302.25" customHeight="1">
      <c r="A11" s="332"/>
      <c r="B11" s="2842" t="s">
        <v>297</v>
      </c>
      <c r="C11" s="2843"/>
      <c r="D11" s="2844"/>
      <c r="E11" s="23" t="s">
        <v>627</v>
      </c>
      <c r="F11" s="2909" t="s">
        <v>512</v>
      </c>
      <c r="G11" s="2910"/>
      <c r="H11" s="2911"/>
      <c r="I11" s="2842" t="s">
        <v>298</v>
      </c>
      <c r="J11" s="2843"/>
      <c r="K11" s="2844"/>
      <c r="L11" s="330" t="s">
        <v>286</v>
      </c>
      <c r="M11" s="50" t="s">
        <v>287</v>
      </c>
      <c r="N11" s="32"/>
      <c r="O11" s="6">
        <f>VLOOKUP(L11,[100]Listas!$M$69:$N$73,2,0)</f>
        <v>2</v>
      </c>
      <c r="P11" s="6"/>
      <c r="Q11" s="6">
        <f>HLOOKUP(M11,[100]Listas!$O$67:$Q$68,2,0)</f>
        <v>20</v>
      </c>
      <c r="R11" s="331" t="str">
        <f>INDEX([100]Listas!$O$69:$Q$73,MATCH(L11,[100]Listas!$M$69:$M$73,0),MATCH(M11,[100]Listas!$O$67:$Q$67,0))</f>
        <v>40
ALTA</v>
      </c>
      <c r="S11" s="2874" t="s">
        <v>4047</v>
      </c>
      <c r="T11" s="2875"/>
      <c r="U11" s="2876"/>
      <c r="V11" s="329" t="s">
        <v>65</v>
      </c>
      <c r="W11" s="329" t="s">
        <v>36</v>
      </c>
      <c r="X11" s="329" t="s">
        <v>65</v>
      </c>
      <c r="Y11" s="329" t="s">
        <v>65</v>
      </c>
      <c r="Z11" s="329" t="s">
        <v>65</v>
      </c>
      <c r="AA11" s="329" t="s">
        <v>36</v>
      </c>
      <c r="AB11" s="329" t="s">
        <v>65</v>
      </c>
      <c r="AC11" s="329" t="s">
        <v>65</v>
      </c>
      <c r="AD11" s="329" t="s">
        <v>65</v>
      </c>
      <c r="AE11" s="329" t="s">
        <v>65</v>
      </c>
      <c r="AF11" s="33"/>
      <c r="AG11" s="6">
        <f t="shared" si="0"/>
        <v>15</v>
      </c>
      <c r="AH11" s="6">
        <f t="shared" si="1"/>
        <v>5</v>
      </c>
      <c r="AI11" s="6">
        <f t="shared" si="2"/>
        <v>0</v>
      </c>
      <c r="AJ11" s="6">
        <f t="shared" si="3"/>
        <v>10</v>
      </c>
      <c r="AK11" s="6">
        <f t="shared" si="4"/>
        <v>15</v>
      </c>
      <c r="AL11" s="6">
        <f t="shared" si="5"/>
        <v>10</v>
      </c>
      <c r="AM11" s="6">
        <f t="shared" si="6"/>
        <v>30</v>
      </c>
      <c r="AN11" s="6">
        <f t="shared" si="7"/>
        <v>85</v>
      </c>
      <c r="AO11" s="6">
        <f t="shared" si="8"/>
        <v>2</v>
      </c>
      <c r="AP11" s="331" t="str">
        <f t="shared" si="9"/>
        <v>85- disminuye 2</v>
      </c>
      <c r="AQ11" s="6">
        <f t="shared" si="10"/>
        <v>0</v>
      </c>
      <c r="AR11" s="331" t="str">
        <f>IF(AQ11&lt;=1,"Rara vez",VLOOKUP(AQ11,[100]Listas!$L$69:$M$73,2,0))</f>
        <v>Rara vez</v>
      </c>
      <c r="AS11" s="6">
        <f t="shared" si="11"/>
        <v>20</v>
      </c>
      <c r="AT11" s="331" t="str">
        <f t="shared" si="12"/>
        <v>Catastrófico</v>
      </c>
      <c r="AU11" s="331" t="str">
        <f>INDEX([100]Listas!$O$69:$Q$73,MATCH(AR11,[100]Listas!$M$69:$M$73,0),MATCH(AT11,[100]Listas!$O$67:$Q$67,0))</f>
        <v>20
MODERADA</v>
      </c>
      <c r="AV11" s="330" t="s">
        <v>271</v>
      </c>
      <c r="AW11" s="843" t="s">
        <v>513</v>
      </c>
      <c r="AX11" s="59" t="s">
        <v>514</v>
      </c>
      <c r="AY11" s="313" t="s">
        <v>39</v>
      </c>
      <c r="AZ11" s="12" t="s">
        <v>3165</v>
      </c>
      <c r="BA11" s="1000" t="s">
        <v>3166</v>
      </c>
      <c r="BB11" s="839" t="s">
        <v>4048</v>
      </c>
      <c r="BC11" s="72" t="s">
        <v>4049</v>
      </c>
      <c r="BD11" s="12" t="s">
        <v>4050</v>
      </c>
      <c r="BE11" s="839" t="s">
        <v>36</v>
      </c>
      <c r="BF11" s="12"/>
      <c r="BG11" s="12"/>
      <c r="BH11" s="227"/>
      <c r="BI11" s="227"/>
      <c r="BJ11" s="839"/>
      <c r="BK11" s="228"/>
      <c r="BL11" s="228"/>
    </row>
    <row r="12" spans="1:64" s="3" customFormat="1" ht="182.25" customHeight="1">
      <c r="A12" s="332"/>
      <c r="B12" s="2805" t="s">
        <v>40</v>
      </c>
      <c r="C12" s="2806"/>
      <c r="D12" s="2807"/>
      <c r="E12" s="23" t="s">
        <v>515</v>
      </c>
      <c r="F12" s="2909" t="s">
        <v>516</v>
      </c>
      <c r="G12" s="2910"/>
      <c r="H12" s="2911"/>
      <c r="I12" s="2912" t="s">
        <v>299</v>
      </c>
      <c r="J12" s="2912"/>
      <c r="K12" s="2912"/>
      <c r="L12" s="330" t="s">
        <v>64</v>
      </c>
      <c r="M12" s="50" t="s">
        <v>270</v>
      </c>
      <c r="N12" s="32"/>
      <c r="O12" s="6">
        <f>VLOOKUP(L12,[100]Listas!$M$69:$N$73,2,0)</f>
        <v>3</v>
      </c>
      <c r="P12" s="6"/>
      <c r="Q12" s="6">
        <f>HLOOKUP(M12,[100]Listas!$O$67:$Q$68,2,0)</f>
        <v>10</v>
      </c>
      <c r="R12" s="331" t="str">
        <f>INDEX([100]Listas!$O$69:$Q$73,MATCH(L12,[100]Listas!$M$69:$M$73,0),MATCH(M12,[100]Listas!$O$67:$Q$67,0))</f>
        <v>30
ALTA</v>
      </c>
      <c r="S12" s="2892" t="s">
        <v>4051</v>
      </c>
      <c r="T12" s="2892"/>
      <c r="U12" s="2892"/>
      <c r="V12" s="329" t="s">
        <v>65</v>
      </c>
      <c r="W12" s="329" t="s">
        <v>65</v>
      </c>
      <c r="X12" s="329" t="s">
        <v>36</v>
      </c>
      <c r="Y12" s="329" t="s">
        <v>65</v>
      </c>
      <c r="Z12" s="329" t="s">
        <v>65</v>
      </c>
      <c r="AA12" s="329" t="s">
        <v>65</v>
      </c>
      <c r="AB12" s="329" t="s">
        <v>65</v>
      </c>
      <c r="AC12" s="329" t="s">
        <v>65</v>
      </c>
      <c r="AD12" s="329" t="s">
        <v>65</v>
      </c>
      <c r="AE12" s="329" t="s">
        <v>65</v>
      </c>
      <c r="AF12" s="33"/>
      <c r="AG12" s="6">
        <f>IF(Y12="SI",15,0)</f>
        <v>15</v>
      </c>
      <c r="AH12" s="6">
        <f>IF(Z12="SI",5,0)</f>
        <v>5</v>
      </c>
      <c r="AI12" s="6">
        <f>IF(AA12="SI",15,0)</f>
        <v>15</v>
      </c>
      <c r="AJ12" s="6">
        <f>IF(AB12="SI",10,0)</f>
        <v>10</v>
      </c>
      <c r="AK12" s="6">
        <f>IF(AC12="SI",15,0)</f>
        <v>15</v>
      </c>
      <c r="AL12" s="6">
        <f>IF(AD12="SI",10,0)</f>
        <v>10</v>
      </c>
      <c r="AM12" s="6">
        <f>IF(AE12="SI",30,0)</f>
        <v>30</v>
      </c>
      <c r="AN12" s="6">
        <f>SUM(AG12+AH12+AI12+AJ12+AK12+AL12+AM12)</f>
        <v>100</v>
      </c>
      <c r="AO12" s="6">
        <f>IF(AN12&lt;=50,0,IF(AN12&gt;=76,2,1))</f>
        <v>2</v>
      </c>
      <c r="AP12" s="331" t="str">
        <f>CONCATENATE(AN12,"- disminuye ",AO12)</f>
        <v>100- disminuye 2</v>
      </c>
      <c r="AQ12" s="6">
        <f>IF(V12="SI",O12-AO12,O12)</f>
        <v>1</v>
      </c>
      <c r="AR12" s="331" t="str">
        <f>IF(AQ12&lt;=1,"Rara vez",VLOOKUP(AQ12,[100]Listas!$L$69:$M$73,2,0))</f>
        <v>Rara vez</v>
      </c>
      <c r="AS12" s="6">
        <f>IF(W12="SI",Q12-AO12,Q12)</f>
        <v>8</v>
      </c>
      <c r="AT12" s="331" t="str">
        <f>IF(AS12&lt;=9,"Moderado",IF(AS12=20,"Catastrófico",IF(AS12=18,"Moderado","Mayor")))</f>
        <v>Moderado</v>
      </c>
      <c r="AU12" s="331" t="str">
        <f>INDEX([100]Listas!$O$69:$Q$73,MATCH(AR12,[100]Listas!$M$69:$M$73,0),MATCH(AT12,[100]Listas!$O$67:$Q$67,0))</f>
        <v>5
BAJA</v>
      </c>
      <c r="AV12" s="330" t="s">
        <v>271</v>
      </c>
      <c r="AW12" s="843" t="s">
        <v>300</v>
      </c>
      <c r="AX12" s="843" t="s">
        <v>301</v>
      </c>
      <c r="AY12" s="49" t="s">
        <v>39</v>
      </c>
      <c r="AZ12" s="12" t="s">
        <v>4052</v>
      </c>
      <c r="BA12" s="1001" t="s">
        <v>3167</v>
      </c>
      <c r="BB12" s="839" t="s">
        <v>4053</v>
      </c>
      <c r="BC12" s="12" t="s">
        <v>4054</v>
      </c>
      <c r="BD12" s="12" t="s">
        <v>4055</v>
      </c>
      <c r="BE12" s="839" t="s">
        <v>36</v>
      </c>
      <c r="BF12" s="12"/>
      <c r="BG12" s="12"/>
      <c r="BH12" s="227"/>
      <c r="BI12" s="227"/>
      <c r="BJ12" s="839"/>
      <c r="BK12" s="228"/>
      <c r="BL12" s="228"/>
    </row>
    <row r="13" spans="1:64" s="3" customFormat="1" ht="200.25" customHeight="1">
      <c r="A13" s="332"/>
      <c r="B13" s="2912" t="s">
        <v>38</v>
      </c>
      <c r="C13" s="2912"/>
      <c r="D13" s="2912"/>
      <c r="E13" s="23" t="s">
        <v>517</v>
      </c>
      <c r="F13" s="2909" t="s">
        <v>389</v>
      </c>
      <c r="G13" s="2910"/>
      <c r="H13" s="2911"/>
      <c r="I13" s="2912" t="s">
        <v>302</v>
      </c>
      <c r="J13" s="2912"/>
      <c r="K13" s="2912"/>
      <c r="L13" s="330" t="s">
        <v>283</v>
      </c>
      <c r="M13" s="50" t="s">
        <v>270</v>
      </c>
      <c r="N13" s="32"/>
      <c r="O13" s="6">
        <f>VLOOKUP(L13,[100]Listas!$M$69:$N$73,2,0)</f>
        <v>1</v>
      </c>
      <c r="P13" s="6"/>
      <c r="Q13" s="6">
        <f>HLOOKUP(M13,[100]Listas!$O$67:$Q$68,2,0)</f>
        <v>10</v>
      </c>
      <c r="R13" s="331" t="str">
        <f>INDEX([100]Listas!$O$69:$Q$73,MATCH(L13,[100]Listas!$M$69:$M$73,0),MATCH(M13,[100]Listas!$O$67:$Q$67,0))</f>
        <v>10
BAJA</v>
      </c>
      <c r="S13" s="2913" t="s">
        <v>4056</v>
      </c>
      <c r="T13" s="2913"/>
      <c r="U13" s="2913"/>
      <c r="V13" s="329" t="s">
        <v>65</v>
      </c>
      <c r="W13" s="329" t="s">
        <v>36</v>
      </c>
      <c r="X13" s="329" t="s">
        <v>65</v>
      </c>
      <c r="Y13" s="329" t="s">
        <v>65</v>
      </c>
      <c r="Z13" s="329" t="s">
        <v>65</v>
      </c>
      <c r="AA13" s="329" t="s">
        <v>36</v>
      </c>
      <c r="AB13" s="329" t="s">
        <v>65</v>
      </c>
      <c r="AC13" s="329" t="s">
        <v>65</v>
      </c>
      <c r="AD13" s="329" t="s">
        <v>65</v>
      </c>
      <c r="AE13" s="329" t="s">
        <v>65</v>
      </c>
      <c r="AF13" s="33"/>
      <c r="AG13" s="6">
        <f>IF(Y13="SI",15,0)</f>
        <v>15</v>
      </c>
      <c r="AH13" s="6">
        <f>IF(Z13="SI",5,0)</f>
        <v>5</v>
      </c>
      <c r="AI13" s="6">
        <f>IF(AA13="SI",15,0)</f>
        <v>0</v>
      </c>
      <c r="AJ13" s="6">
        <f>IF(AB13="SI",10,0)</f>
        <v>10</v>
      </c>
      <c r="AK13" s="6">
        <f>IF(AC13="SI",15,0)</f>
        <v>15</v>
      </c>
      <c r="AL13" s="6">
        <f>IF(AD13="SI",10,0)</f>
        <v>10</v>
      </c>
      <c r="AM13" s="6">
        <f>IF(AE13="SI",30,0)</f>
        <v>30</v>
      </c>
      <c r="AN13" s="6">
        <f>SUM(AG13+AH13+AI13+AJ13+AK13+AL13+AM13)</f>
        <v>85</v>
      </c>
      <c r="AO13" s="6">
        <f>IF(AN13&lt;=50,0,IF(AN13&gt;=76,2,1))</f>
        <v>2</v>
      </c>
      <c r="AP13" s="331" t="str">
        <f>CONCATENATE(AN13,"- disminuye ",AO13)</f>
        <v>85- disminuye 2</v>
      </c>
      <c r="AQ13" s="6">
        <f>IF(V13="SI",O13-AO13,O13)</f>
        <v>-1</v>
      </c>
      <c r="AR13" s="331" t="str">
        <f>IF(AQ13&lt;=1,"Rara vez",VLOOKUP(AQ13,[100]Listas!$L$69:$M$73,2,0))</f>
        <v>Rara vez</v>
      </c>
      <c r="AS13" s="6">
        <f>IF(W13="SI",Q13-AO13,Q13)</f>
        <v>10</v>
      </c>
      <c r="AT13" s="331" t="str">
        <f>IF(AS13&lt;=9,"Moderado",IF(AS13=20,"Catastrófico",IF(AS13=18,"Moderado","Mayor")))</f>
        <v>Mayor</v>
      </c>
      <c r="AU13" s="331" t="str">
        <f>INDEX([100]Listas!$O$69:$Q$73,MATCH(AR13,[100]Listas!$M$69:$M$73,0),MATCH(AT13,[100]Listas!$O$67:$Q$67,0))</f>
        <v>10
BAJA</v>
      </c>
      <c r="AV13" s="330" t="s">
        <v>271</v>
      </c>
      <c r="AW13" s="843" t="s">
        <v>303</v>
      </c>
      <c r="AX13" s="59" t="s">
        <v>304</v>
      </c>
      <c r="AY13" s="49" t="s">
        <v>39</v>
      </c>
      <c r="AZ13" s="12" t="s">
        <v>4057</v>
      </c>
      <c r="BA13" s="59" t="s">
        <v>3168</v>
      </c>
      <c r="BB13" s="839" t="s">
        <v>4058</v>
      </c>
      <c r="BC13" s="12" t="s">
        <v>4059</v>
      </c>
      <c r="BD13" s="12" t="s">
        <v>4055</v>
      </c>
      <c r="BE13" s="839" t="s">
        <v>36</v>
      </c>
      <c r="BF13" s="12"/>
      <c r="BG13" s="12"/>
      <c r="BH13" s="227"/>
      <c r="BI13" s="227"/>
      <c r="BJ13" s="839"/>
      <c r="BK13" s="228"/>
      <c r="BL13" s="228"/>
    </row>
    <row r="14" spans="1:64" s="3" customFormat="1" ht="221.25" customHeight="1">
      <c r="A14" s="332"/>
      <c r="B14" s="2805" t="s">
        <v>390</v>
      </c>
      <c r="C14" s="2806"/>
      <c r="D14" s="2807"/>
      <c r="E14" s="23" t="s">
        <v>518</v>
      </c>
      <c r="F14" s="2909" t="s">
        <v>628</v>
      </c>
      <c r="G14" s="2910"/>
      <c r="H14" s="2911"/>
      <c r="I14" s="2805" t="s">
        <v>305</v>
      </c>
      <c r="J14" s="2806"/>
      <c r="K14" s="2807"/>
      <c r="L14" s="330" t="s">
        <v>283</v>
      </c>
      <c r="M14" s="50" t="s">
        <v>287</v>
      </c>
      <c r="N14" s="32"/>
      <c r="O14" s="6">
        <f>VLOOKUP(L14,[100]Listas!$M$69:$N$73,2,0)</f>
        <v>1</v>
      </c>
      <c r="P14" s="6"/>
      <c r="Q14" s="6">
        <f>HLOOKUP(M14,[100]Listas!$O$67:$Q$68,2,0)</f>
        <v>20</v>
      </c>
      <c r="R14" s="331" t="str">
        <f>INDEX([100]Listas!$O$69:$Q$73,MATCH(L14,[100]Listas!$M$69:$M$73,0),MATCH(M14,[100]Listas!$O$67:$Q$67,0))</f>
        <v>20
MODERADA</v>
      </c>
      <c r="S14" s="2874" t="s">
        <v>4060</v>
      </c>
      <c r="T14" s="2875"/>
      <c r="U14" s="2876"/>
      <c r="V14" s="329" t="s">
        <v>65</v>
      </c>
      <c r="W14" s="329" t="s">
        <v>65</v>
      </c>
      <c r="X14" s="329" t="s">
        <v>65</v>
      </c>
      <c r="Y14" s="329" t="s">
        <v>65</v>
      </c>
      <c r="Z14" s="329" t="s">
        <v>65</v>
      </c>
      <c r="AA14" s="329" t="s">
        <v>65</v>
      </c>
      <c r="AB14" s="329" t="s">
        <v>65</v>
      </c>
      <c r="AC14" s="329" t="s">
        <v>65</v>
      </c>
      <c r="AD14" s="329" t="s">
        <v>65</v>
      </c>
      <c r="AE14" s="329" t="s">
        <v>65</v>
      </c>
      <c r="AF14" s="33"/>
      <c r="AG14" s="6">
        <f>IF(Y14="SI",15,0)</f>
        <v>15</v>
      </c>
      <c r="AH14" s="6">
        <f>IF(Z14="SI",5,0)</f>
        <v>5</v>
      </c>
      <c r="AI14" s="6">
        <f>IF(AA14="SI",15,0)</f>
        <v>15</v>
      </c>
      <c r="AJ14" s="6">
        <f>IF(AB14="SI",10,0)</f>
        <v>10</v>
      </c>
      <c r="AK14" s="6">
        <f>IF(AC14="SI",15,0)</f>
        <v>15</v>
      </c>
      <c r="AL14" s="6">
        <f>IF(AD14="SI",10,0)</f>
        <v>10</v>
      </c>
      <c r="AM14" s="6">
        <f>IF(AE14="SI",30,0)</f>
        <v>30</v>
      </c>
      <c r="AN14" s="6">
        <f>SUM(AG14+AH14+AI14+AJ14+AK14+AL14+AM14)</f>
        <v>100</v>
      </c>
      <c r="AO14" s="6">
        <f>IF(AN14&lt;=50,0,IF(AN14&gt;=76,2,1))</f>
        <v>2</v>
      </c>
      <c r="AP14" s="331" t="str">
        <f>CONCATENATE(AN14,"- disminuye ",AO14)</f>
        <v>100- disminuye 2</v>
      </c>
      <c r="AQ14" s="6">
        <f>IF(V14="SI",O14-AO14,O14)</f>
        <v>-1</v>
      </c>
      <c r="AR14" s="331" t="str">
        <f>IF(AQ14&lt;=1,"Rara vez",VLOOKUP(AQ14,[100]Listas!$L$69:$M$73,2,0))</f>
        <v>Rara vez</v>
      </c>
      <c r="AS14" s="6">
        <f>IF(W14="SI",Q14-AO14,Q14)</f>
        <v>18</v>
      </c>
      <c r="AT14" s="331" t="str">
        <f>IF(AS14&lt;=9,"Moderado",IF(AS14=20,"Catastrófico",IF(AS14=18,"Moderado","Mayor")))</f>
        <v>Moderado</v>
      </c>
      <c r="AU14" s="331" t="str">
        <f>INDEX([100]Listas!$O$69:$Q$73,MATCH(AR14,[100]Listas!$M$69:$M$73,0),MATCH(AT14,[100]Listas!$O$67:$Q$67,0))</f>
        <v>5
BAJA</v>
      </c>
      <c r="AV14" s="330" t="s">
        <v>271</v>
      </c>
      <c r="AW14" s="843" t="s">
        <v>629</v>
      </c>
      <c r="AX14" s="329" t="s">
        <v>3169</v>
      </c>
      <c r="AY14" s="49" t="s">
        <v>39</v>
      </c>
      <c r="AZ14" s="12" t="s">
        <v>4061</v>
      </c>
      <c r="BA14" s="320" t="s">
        <v>3288</v>
      </c>
      <c r="BB14" s="839" t="s">
        <v>4062</v>
      </c>
      <c r="BC14" s="72" t="s">
        <v>4063</v>
      </c>
      <c r="BD14" s="12" t="s">
        <v>4064</v>
      </c>
      <c r="BE14" s="839" t="s">
        <v>36</v>
      </c>
      <c r="BF14" s="12"/>
      <c r="BG14" s="12"/>
      <c r="BH14" s="227"/>
      <c r="BI14" s="227"/>
      <c r="BJ14" s="839"/>
      <c r="BK14" s="228"/>
      <c r="BL14" s="228"/>
    </row>
    <row r="15" spans="1:64" s="3" customFormat="1" ht="128.25" customHeight="1">
      <c r="A15" s="332"/>
      <c r="B15" s="2842" t="s">
        <v>3170</v>
      </c>
      <c r="C15" s="2843"/>
      <c r="D15" s="2844"/>
      <c r="E15" s="23" t="s">
        <v>519</v>
      </c>
      <c r="F15" s="2909" t="s">
        <v>391</v>
      </c>
      <c r="G15" s="2910"/>
      <c r="H15" s="2911"/>
      <c r="I15" s="2842" t="s">
        <v>392</v>
      </c>
      <c r="J15" s="2843"/>
      <c r="K15" s="2844"/>
      <c r="L15" s="330" t="s">
        <v>283</v>
      </c>
      <c r="M15" s="50" t="s">
        <v>270</v>
      </c>
      <c r="N15" s="32"/>
      <c r="O15" s="6">
        <f>VLOOKUP(L15,[101]Listas!$M$69:$N$73,2,0)</f>
        <v>1</v>
      </c>
      <c r="P15" s="6"/>
      <c r="Q15" s="6">
        <f>HLOOKUP(M15,[101]Listas!$O$67:$Q$68,2,0)</f>
        <v>10</v>
      </c>
      <c r="R15" s="331" t="str">
        <f>INDEX([101]Listas!$O$69:$Q$73,MATCH(L15,[101]Listas!$M$69:$M$73,0),MATCH(M15,[101]Listas!$O$67:$Q$67,0))</f>
        <v>10
BAJA</v>
      </c>
      <c r="S15" s="2874" t="s">
        <v>306</v>
      </c>
      <c r="T15" s="2875"/>
      <c r="U15" s="2876"/>
      <c r="V15" s="329" t="s">
        <v>65</v>
      </c>
      <c r="W15" s="329" t="s">
        <v>65</v>
      </c>
      <c r="X15" s="329" t="s">
        <v>36</v>
      </c>
      <c r="Y15" s="329" t="s">
        <v>65</v>
      </c>
      <c r="Z15" s="329" t="s">
        <v>65</v>
      </c>
      <c r="AA15" s="329" t="s">
        <v>65</v>
      </c>
      <c r="AB15" s="329" t="s">
        <v>65</v>
      </c>
      <c r="AC15" s="329" t="s">
        <v>65</v>
      </c>
      <c r="AD15" s="329" t="s">
        <v>65</v>
      </c>
      <c r="AE15" s="329" t="s">
        <v>65</v>
      </c>
      <c r="AF15" s="33"/>
      <c r="AG15" s="6">
        <f t="shared" ref="AG15:AG16" si="13">IF(Y15="SI",15,0)</f>
        <v>15</v>
      </c>
      <c r="AH15" s="6">
        <f t="shared" ref="AH15:AH16" si="14">IF(Z15="SI",5,0)</f>
        <v>5</v>
      </c>
      <c r="AI15" s="6">
        <f t="shared" ref="AI15:AI16" si="15">IF(AA15="SI",15,0)</f>
        <v>15</v>
      </c>
      <c r="AJ15" s="6">
        <f t="shared" ref="AJ15:AJ16" si="16">IF(AB15="SI",10,0)</f>
        <v>10</v>
      </c>
      <c r="AK15" s="6">
        <f t="shared" ref="AK15:AK16" si="17">IF(AC15="SI",15,0)</f>
        <v>15</v>
      </c>
      <c r="AL15" s="6">
        <f t="shared" ref="AL15:AL16" si="18">IF(AD15="SI",10,0)</f>
        <v>10</v>
      </c>
      <c r="AM15" s="6">
        <f t="shared" ref="AM15:AM16" si="19">IF(AE15="SI",30,0)</f>
        <v>30</v>
      </c>
      <c r="AN15" s="6">
        <f t="shared" ref="AN15:AN16" si="20">SUM(AG15+AH15+AI15+AJ15+AK15+AL15+AM15)</f>
        <v>100</v>
      </c>
      <c r="AO15" s="6">
        <f t="shared" ref="AO15:AO16" si="21">IF(AN15&lt;=50,0,IF(AN15&gt;=76,2,1))</f>
        <v>2</v>
      </c>
      <c r="AP15" s="331" t="str">
        <f t="shared" ref="AP15:AP16" si="22">CONCATENATE(AN15,"- disminuye ",AO15)</f>
        <v>100- disminuye 2</v>
      </c>
      <c r="AQ15" s="6">
        <f t="shared" ref="AQ15:AQ16" si="23">IF(V15="SI",O15-AO15,O15)</f>
        <v>-1</v>
      </c>
      <c r="AR15" s="331" t="str">
        <f>IF(AQ15&lt;=1,"Rara vez",VLOOKUP(AQ15,[101]Listas!$L$69:$M$73,2,0))</f>
        <v>Rara vez</v>
      </c>
      <c r="AS15" s="6">
        <f t="shared" ref="AS15:AS16" si="24">IF(W15="SI",Q15-AO15,Q15)</f>
        <v>8</v>
      </c>
      <c r="AT15" s="331" t="str">
        <f t="shared" ref="AT15:AT16" si="25">IF(AS15&lt;=9,"Moderado",IF(AS15=20,"Catastrófico",IF(AS15=18,"Moderado","Mayor")))</f>
        <v>Moderado</v>
      </c>
      <c r="AU15" s="331" t="str">
        <f>INDEX([101]Listas!$O$69:$Q$73,MATCH(AR15,[101]Listas!$M$69:$M$73,0),MATCH(AT15,[101]Listas!$O$67:$Q$67,0))</f>
        <v>5
BAJA</v>
      </c>
      <c r="AV15" s="330" t="s">
        <v>271</v>
      </c>
      <c r="AW15" s="59" t="s">
        <v>42</v>
      </c>
      <c r="AX15" s="59" t="s">
        <v>630</v>
      </c>
      <c r="AY15" s="313" t="s">
        <v>41</v>
      </c>
      <c r="AZ15" s="12" t="s">
        <v>4065</v>
      </c>
      <c r="BA15" s="315" t="s">
        <v>3171</v>
      </c>
      <c r="BB15" s="839" t="s">
        <v>3289</v>
      </c>
      <c r="BC15" s="12" t="s">
        <v>4066</v>
      </c>
      <c r="BD15" s="12" t="s">
        <v>4067</v>
      </c>
      <c r="BE15" s="839" t="s">
        <v>36</v>
      </c>
      <c r="BF15" s="12"/>
      <c r="BG15" s="12"/>
      <c r="BH15" s="227"/>
      <c r="BI15" s="227"/>
      <c r="BJ15" s="839"/>
      <c r="BK15" s="228"/>
      <c r="BL15" s="228"/>
    </row>
    <row r="16" spans="1:64" s="3" customFormat="1" ht="113.25" customHeight="1">
      <c r="A16" s="332"/>
      <c r="B16" s="2842" t="s">
        <v>393</v>
      </c>
      <c r="C16" s="2843"/>
      <c r="D16" s="2844"/>
      <c r="E16" s="23" t="s">
        <v>520</v>
      </c>
      <c r="F16" s="2909" t="s">
        <v>394</v>
      </c>
      <c r="G16" s="2910"/>
      <c r="H16" s="2911"/>
      <c r="I16" s="2842" t="s">
        <v>302</v>
      </c>
      <c r="J16" s="2843"/>
      <c r="K16" s="2844"/>
      <c r="L16" s="330" t="s">
        <v>283</v>
      </c>
      <c r="M16" s="50" t="s">
        <v>287</v>
      </c>
      <c r="N16" s="32"/>
      <c r="O16" s="6">
        <f>VLOOKUP(L16,[101]Listas!$M$69:$N$73,2,0)</f>
        <v>1</v>
      </c>
      <c r="P16" s="6"/>
      <c r="Q16" s="6">
        <f>HLOOKUP(M16,[101]Listas!$O$67:$Q$68,2,0)</f>
        <v>20</v>
      </c>
      <c r="R16" s="331" t="str">
        <f>INDEX([101]Listas!$O$69:$Q$73,MATCH(L16,[101]Listas!$M$69:$M$73,0),MATCH(M16,[101]Listas!$O$67:$Q$67,0))</f>
        <v>20
MODERADA</v>
      </c>
      <c r="S16" s="2874" t="s">
        <v>521</v>
      </c>
      <c r="T16" s="2875"/>
      <c r="U16" s="2876"/>
      <c r="V16" s="329" t="s">
        <v>65</v>
      </c>
      <c r="W16" s="329" t="s">
        <v>36</v>
      </c>
      <c r="X16" s="329" t="s">
        <v>36</v>
      </c>
      <c r="Y16" s="329" t="s">
        <v>65</v>
      </c>
      <c r="Z16" s="329" t="s">
        <v>65</v>
      </c>
      <c r="AA16" s="329" t="s">
        <v>36</v>
      </c>
      <c r="AB16" s="329" t="s">
        <v>65</v>
      </c>
      <c r="AC16" s="329" t="s">
        <v>65</v>
      </c>
      <c r="AD16" s="329" t="s">
        <v>65</v>
      </c>
      <c r="AE16" s="329" t="s">
        <v>65</v>
      </c>
      <c r="AF16" s="33"/>
      <c r="AG16" s="6">
        <f t="shared" si="13"/>
        <v>15</v>
      </c>
      <c r="AH16" s="6">
        <f t="shared" si="14"/>
        <v>5</v>
      </c>
      <c r="AI16" s="6">
        <f t="shared" si="15"/>
        <v>0</v>
      </c>
      <c r="AJ16" s="6">
        <f t="shared" si="16"/>
        <v>10</v>
      </c>
      <c r="AK16" s="6">
        <f t="shared" si="17"/>
        <v>15</v>
      </c>
      <c r="AL16" s="6">
        <f t="shared" si="18"/>
        <v>10</v>
      </c>
      <c r="AM16" s="6">
        <f t="shared" si="19"/>
        <v>30</v>
      </c>
      <c r="AN16" s="6">
        <f t="shared" si="20"/>
        <v>85</v>
      </c>
      <c r="AO16" s="6">
        <f t="shared" si="21"/>
        <v>2</v>
      </c>
      <c r="AP16" s="331" t="str">
        <f t="shared" si="22"/>
        <v>85- disminuye 2</v>
      </c>
      <c r="AQ16" s="6">
        <f t="shared" si="23"/>
        <v>-1</v>
      </c>
      <c r="AR16" s="331" t="str">
        <f>IF(AQ16&lt;=1,"Rara vez",VLOOKUP(AQ16,[101]Listas!$L$69:$M$73,2,0))</f>
        <v>Rara vez</v>
      </c>
      <c r="AS16" s="6">
        <f t="shared" si="24"/>
        <v>20</v>
      </c>
      <c r="AT16" s="331" t="str">
        <f t="shared" si="25"/>
        <v>Catastrófico</v>
      </c>
      <c r="AU16" s="331" t="str">
        <f>INDEX([101]Listas!$O$69:$Q$73,MATCH(AR16,[101]Listas!$M$69:$M$73,0),MATCH(AT16,[101]Listas!$O$67:$Q$67,0))</f>
        <v>20
MODERADA</v>
      </c>
      <c r="AV16" s="330" t="s">
        <v>271</v>
      </c>
      <c r="AW16" s="59" t="s">
        <v>395</v>
      </c>
      <c r="AX16" s="59" t="s">
        <v>307</v>
      </c>
      <c r="AY16" s="313" t="s">
        <v>41</v>
      </c>
      <c r="AZ16" s="12" t="s">
        <v>4068</v>
      </c>
      <c r="BA16" s="93" t="s">
        <v>3172</v>
      </c>
      <c r="BB16" s="839" t="s">
        <v>3290</v>
      </c>
      <c r="BC16" s="12" t="s">
        <v>4069</v>
      </c>
      <c r="BD16" s="12" t="s">
        <v>4067</v>
      </c>
      <c r="BE16" s="839" t="s">
        <v>36</v>
      </c>
      <c r="BF16" s="12"/>
      <c r="BG16" s="12"/>
      <c r="BH16" s="227"/>
      <c r="BI16" s="227"/>
      <c r="BJ16" s="839"/>
      <c r="BK16" s="228"/>
      <c r="BL16" s="228"/>
    </row>
    <row r="17" spans="1:64" ht="15" customHeight="1">
      <c r="A17" s="317"/>
      <c r="B17" s="2811" t="s">
        <v>277</v>
      </c>
      <c r="C17" s="2811"/>
      <c r="D17" s="2811"/>
      <c r="E17" s="2811"/>
      <c r="F17" s="2811"/>
      <c r="G17" s="2811"/>
      <c r="H17" s="2811"/>
      <c r="I17" s="2811"/>
      <c r="J17" s="2811"/>
      <c r="K17" s="2811"/>
      <c r="L17" s="2811"/>
      <c r="M17" s="2811"/>
      <c r="N17" s="2811"/>
      <c r="O17" s="2811"/>
      <c r="P17" s="2811"/>
      <c r="Q17" s="2811"/>
      <c r="R17" s="2811"/>
      <c r="S17" s="2811"/>
      <c r="T17" s="2811"/>
      <c r="U17" s="2811"/>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4"/>
      <c r="AV17" s="9"/>
      <c r="AW17" s="9"/>
      <c r="AX17" s="65"/>
      <c r="AY17" s="65"/>
      <c r="AZ17" s="68"/>
      <c r="BA17" s="68"/>
      <c r="BB17" s="92"/>
      <c r="BC17" s="68"/>
      <c r="BD17" s="68"/>
      <c r="BE17" s="92"/>
      <c r="BF17" s="68"/>
      <c r="BG17" s="68"/>
      <c r="BH17" s="230"/>
      <c r="BI17" s="230"/>
      <c r="BJ17" s="92"/>
    </row>
    <row r="18" spans="1:64" s="22" customFormat="1" ht="19.5" customHeight="1">
      <c r="A18" s="10"/>
      <c r="B18" s="2801" t="s">
        <v>278</v>
      </c>
      <c r="C18" s="2802"/>
      <c r="D18" s="2802"/>
      <c r="E18" s="2802"/>
      <c r="F18" s="2802"/>
      <c r="G18" s="2802"/>
      <c r="H18" s="2803"/>
      <c r="I18" s="2801" t="s">
        <v>279</v>
      </c>
      <c r="J18" s="2802"/>
      <c r="K18" s="2802"/>
      <c r="L18" s="2802"/>
      <c r="M18" s="2802"/>
      <c r="N18" s="2802"/>
      <c r="O18" s="2802"/>
      <c r="P18" s="2802"/>
      <c r="Q18" s="2802"/>
      <c r="R18" s="2802"/>
      <c r="S18" s="2802"/>
      <c r="T18" s="2802"/>
      <c r="U18" s="2803"/>
      <c r="V18" s="2801" t="s">
        <v>171</v>
      </c>
      <c r="W18" s="2802"/>
      <c r="X18" s="2802"/>
      <c r="Y18" s="2802"/>
      <c r="Z18" s="2802"/>
      <c r="AA18" s="2802"/>
      <c r="AB18" s="2802"/>
      <c r="AC18" s="2802"/>
      <c r="AD18" s="2802"/>
      <c r="AE18" s="2802"/>
      <c r="AF18" s="2802"/>
      <c r="AG18" s="2802"/>
      <c r="AH18" s="2802"/>
      <c r="AI18" s="2802"/>
      <c r="AJ18" s="2802"/>
      <c r="AK18" s="2802"/>
      <c r="AL18" s="2802"/>
      <c r="AM18" s="2802"/>
      <c r="AN18" s="2802"/>
      <c r="AO18" s="2802"/>
      <c r="AP18" s="2803"/>
      <c r="AQ18" s="34" t="s">
        <v>172</v>
      </c>
      <c r="AR18" s="2804" t="s">
        <v>172</v>
      </c>
      <c r="AS18" s="2804"/>
      <c r="AT18" s="2804"/>
      <c r="AU18" s="2804"/>
      <c r="AV18" s="2804"/>
      <c r="AW18" s="2804"/>
      <c r="AX18" s="65"/>
      <c r="AY18" s="65"/>
      <c r="AZ18" s="68"/>
      <c r="BA18" s="68"/>
      <c r="BB18" s="92"/>
      <c r="BC18" s="68"/>
      <c r="BD18" s="68"/>
      <c r="BE18" s="92"/>
      <c r="BF18" s="68"/>
      <c r="BG18" s="68"/>
      <c r="BH18" s="230"/>
      <c r="BI18" s="230"/>
      <c r="BJ18" s="92"/>
      <c r="BK18" s="210"/>
      <c r="BL18" s="210"/>
    </row>
    <row r="19" spans="1:64" s="22" customFormat="1" ht="57.75" customHeight="1">
      <c r="A19" s="11"/>
      <c r="B19" s="2794" t="s">
        <v>198</v>
      </c>
      <c r="C19" s="2795"/>
      <c r="D19" s="2795"/>
      <c r="E19" s="2795"/>
      <c r="F19" s="2795"/>
      <c r="G19" s="2795"/>
      <c r="H19" s="2796"/>
      <c r="I19" s="2794" t="s">
        <v>3291</v>
      </c>
      <c r="J19" s="2795"/>
      <c r="K19" s="2795"/>
      <c r="L19" s="2795"/>
      <c r="M19" s="2795"/>
      <c r="N19" s="2795"/>
      <c r="O19" s="2795"/>
      <c r="P19" s="2795"/>
      <c r="Q19" s="2795"/>
      <c r="R19" s="2795"/>
      <c r="S19" s="2795"/>
      <c r="T19" s="2795"/>
      <c r="U19" s="2796"/>
      <c r="V19" s="2903" t="s">
        <v>3292</v>
      </c>
      <c r="W19" s="2904"/>
      <c r="X19" s="2904"/>
      <c r="Y19" s="2904"/>
      <c r="Z19" s="2904"/>
      <c r="AA19" s="2904"/>
      <c r="AB19" s="2904"/>
      <c r="AC19" s="2904"/>
      <c r="AD19" s="2904"/>
      <c r="AE19" s="2904"/>
      <c r="AF19" s="2904"/>
      <c r="AG19" s="2904"/>
      <c r="AH19" s="2904"/>
      <c r="AI19" s="2904"/>
      <c r="AJ19" s="2904"/>
      <c r="AK19" s="2904"/>
      <c r="AL19" s="2904"/>
      <c r="AM19" s="2904"/>
      <c r="AN19" s="2904"/>
      <c r="AO19" s="2904"/>
      <c r="AP19" s="2905"/>
      <c r="AQ19" s="12"/>
      <c r="AR19" s="2800"/>
      <c r="AS19" s="2800"/>
      <c r="AT19" s="2800"/>
      <c r="AU19" s="2800"/>
      <c r="AV19" s="2800"/>
      <c r="AW19" s="2800"/>
      <c r="AX19" s="65"/>
      <c r="AY19" s="65"/>
      <c r="AZ19" s="68"/>
      <c r="BA19" s="68"/>
      <c r="BB19" s="92"/>
      <c r="BC19" s="68"/>
      <c r="BD19" s="68"/>
      <c r="BE19" s="92"/>
      <c r="BF19" s="68"/>
      <c r="BG19" s="68"/>
      <c r="BH19" s="230"/>
      <c r="BI19" s="230"/>
      <c r="BJ19" s="92"/>
      <c r="BK19" s="210"/>
      <c r="BL19" s="210"/>
    </row>
    <row r="20" spans="1:64" s="22" customFormat="1" ht="66.75" customHeight="1">
      <c r="A20" s="11"/>
      <c r="B20" s="2800" t="s">
        <v>221</v>
      </c>
      <c r="C20" s="2800"/>
      <c r="D20" s="2800"/>
      <c r="E20" s="2800"/>
      <c r="F20" s="2800"/>
      <c r="G20" s="2800"/>
      <c r="H20" s="2800"/>
      <c r="I20" s="2794" t="s">
        <v>396</v>
      </c>
      <c r="J20" s="2795"/>
      <c r="K20" s="2795"/>
      <c r="L20" s="2795"/>
      <c r="M20" s="2795"/>
      <c r="N20" s="2795"/>
      <c r="O20" s="2795"/>
      <c r="P20" s="2795"/>
      <c r="Q20" s="2795"/>
      <c r="R20" s="2795"/>
      <c r="S20" s="2795"/>
      <c r="T20" s="2795"/>
      <c r="U20" s="2796"/>
      <c r="V20" s="2903" t="s">
        <v>397</v>
      </c>
      <c r="W20" s="2904"/>
      <c r="X20" s="2904"/>
      <c r="Y20" s="2904"/>
      <c r="Z20" s="2904"/>
      <c r="AA20" s="2904"/>
      <c r="AB20" s="2904"/>
      <c r="AC20" s="2904"/>
      <c r="AD20" s="2904"/>
      <c r="AE20" s="2904"/>
      <c r="AF20" s="2904"/>
      <c r="AG20" s="2904"/>
      <c r="AH20" s="2904"/>
      <c r="AI20" s="2904"/>
      <c r="AJ20" s="2904"/>
      <c r="AK20" s="2904"/>
      <c r="AL20" s="2904"/>
      <c r="AM20" s="2904"/>
      <c r="AN20" s="2904"/>
      <c r="AO20" s="2904"/>
      <c r="AP20" s="2905"/>
      <c r="AQ20" s="12"/>
      <c r="AR20" s="2800"/>
      <c r="AS20" s="2800"/>
      <c r="AT20" s="2800"/>
      <c r="AU20" s="2800"/>
      <c r="AV20" s="2800"/>
      <c r="AW20" s="2800"/>
      <c r="AX20" s="65"/>
      <c r="AY20" s="65"/>
      <c r="AZ20" s="68"/>
      <c r="BA20" s="68"/>
      <c r="BB20" s="92"/>
      <c r="BC20" s="68"/>
      <c r="BD20" s="68"/>
      <c r="BE20" s="92"/>
      <c r="BF20" s="68"/>
      <c r="BG20" s="68"/>
      <c r="BH20" s="230"/>
      <c r="BI20" s="230"/>
      <c r="BJ20" s="92"/>
      <c r="BK20" s="210"/>
      <c r="BL20" s="210"/>
    </row>
    <row r="21" spans="1:64" ht="61.5" customHeight="1">
      <c r="A21" s="11"/>
      <c r="B21" s="2800" t="s">
        <v>39</v>
      </c>
      <c r="C21" s="2800"/>
      <c r="D21" s="2800"/>
      <c r="E21" s="2800"/>
      <c r="F21" s="2800"/>
      <c r="G21" s="2800"/>
      <c r="H21" s="2800"/>
      <c r="I21" s="2794" t="s">
        <v>693</v>
      </c>
      <c r="J21" s="2795"/>
      <c r="K21" s="2795"/>
      <c r="L21" s="2795"/>
      <c r="M21" s="2795"/>
      <c r="N21" s="2795"/>
      <c r="O21" s="2795"/>
      <c r="P21" s="2795"/>
      <c r="Q21" s="2795"/>
      <c r="R21" s="2795"/>
      <c r="S21" s="2795"/>
      <c r="T21" s="2795"/>
      <c r="U21" s="2796"/>
      <c r="V21" s="2906" t="s">
        <v>865</v>
      </c>
      <c r="W21" s="2907"/>
      <c r="X21" s="2907"/>
      <c r="Y21" s="2907"/>
      <c r="Z21" s="2907"/>
      <c r="AA21" s="2907"/>
      <c r="AB21" s="2907"/>
      <c r="AC21" s="2907"/>
      <c r="AD21" s="2907"/>
      <c r="AE21" s="2907"/>
      <c r="AF21" s="2907"/>
      <c r="AG21" s="2907"/>
      <c r="AH21" s="2907"/>
      <c r="AI21" s="2907"/>
      <c r="AJ21" s="2907"/>
      <c r="AK21" s="2907"/>
      <c r="AL21" s="2907"/>
      <c r="AM21" s="2907"/>
      <c r="AN21" s="2907"/>
      <c r="AO21" s="2907"/>
      <c r="AP21" s="2908"/>
      <c r="AQ21" s="12"/>
      <c r="AR21" s="2800"/>
      <c r="AS21" s="2800"/>
      <c r="AT21" s="2800"/>
      <c r="AU21" s="2800"/>
      <c r="AV21" s="2800"/>
      <c r="AW21" s="2800"/>
      <c r="AX21" s="65"/>
      <c r="AY21" s="65"/>
      <c r="AZ21" s="68"/>
      <c r="BA21" s="68"/>
      <c r="BB21" s="92"/>
      <c r="BC21" s="68"/>
      <c r="BD21" s="68"/>
      <c r="BE21" s="92"/>
      <c r="BF21" s="68"/>
      <c r="BG21" s="68"/>
      <c r="BH21" s="230"/>
      <c r="BI21" s="230"/>
      <c r="BJ21" s="92"/>
    </row>
    <row r="22" spans="1:64" ht="62.25" customHeight="1">
      <c r="A22" s="13"/>
      <c r="B22" s="2800" t="s">
        <v>41</v>
      </c>
      <c r="C22" s="2800"/>
      <c r="D22" s="2800"/>
      <c r="E22" s="2800"/>
      <c r="F22" s="2800"/>
      <c r="G22" s="2800"/>
      <c r="H22" s="2800"/>
      <c r="I22" s="2794" t="s">
        <v>3293</v>
      </c>
      <c r="J22" s="2795"/>
      <c r="K22" s="2795"/>
      <c r="L22" s="2795"/>
      <c r="M22" s="2795"/>
      <c r="N22" s="2795"/>
      <c r="O22" s="2795"/>
      <c r="P22" s="2795"/>
      <c r="Q22" s="2795"/>
      <c r="R22" s="2795"/>
      <c r="S22" s="2795"/>
      <c r="T22" s="2795"/>
      <c r="U22" s="2796"/>
      <c r="V22" s="2903" t="s">
        <v>3294</v>
      </c>
      <c r="W22" s="2904"/>
      <c r="X22" s="2904"/>
      <c r="Y22" s="2904"/>
      <c r="Z22" s="2904"/>
      <c r="AA22" s="2904"/>
      <c r="AB22" s="2904"/>
      <c r="AC22" s="2904"/>
      <c r="AD22" s="2904"/>
      <c r="AE22" s="2904"/>
      <c r="AF22" s="2904"/>
      <c r="AG22" s="2904"/>
      <c r="AH22" s="2904"/>
      <c r="AI22" s="2904"/>
      <c r="AJ22" s="2904"/>
      <c r="AK22" s="2904"/>
      <c r="AL22" s="2904"/>
      <c r="AM22" s="2904"/>
      <c r="AN22" s="2904"/>
      <c r="AO22" s="2904"/>
      <c r="AP22" s="2905"/>
      <c r="AQ22" s="14"/>
      <c r="AR22" s="2800"/>
      <c r="AS22" s="2800"/>
      <c r="AT22" s="2800"/>
      <c r="AU22" s="2800"/>
      <c r="AV22" s="2800"/>
      <c r="AW22" s="2800"/>
      <c r="AZ22" s="68"/>
      <c r="BA22" s="68"/>
      <c r="BB22" s="92"/>
      <c r="BC22" s="68"/>
      <c r="BD22" s="68"/>
      <c r="BE22" s="92"/>
      <c r="BF22" s="68"/>
      <c r="BG22" s="68"/>
      <c r="BH22" s="230"/>
      <c r="BI22" s="230"/>
      <c r="BJ22" s="92"/>
    </row>
    <row r="23" spans="1:64">
      <c r="A23" s="13"/>
      <c r="B23" s="13"/>
      <c r="C23" s="13"/>
      <c r="D23" s="13"/>
      <c r="E23" s="14"/>
      <c r="F23" s="13"/>
      <c r="G23" s="13"/>
      <c r="H23" s="13"/>
      <c r="I23" s="13"/>
      <c r="J23" s="13"/>
      <c r="K23" s="13"/>
      <c r="L23" s="15"/>
      <c r="M23" s="15"/>
      <c r="N23" s="15"/>
      <c r="O23" s="15"/>
      <c r="P23" s="15"/>
      <c r="Q23" s="15"/>
      <c r="R23" s="15"/>
      <c r="S23" s="15"/>
      <c r="T23" s="15"/>
      <c r="U23" s="15"/>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5"/>
      <c r="AW23" s="15"/>
      <c r="AZ23" s="68"/>
      <c r="BA23" s="68"/>
      <c r="BB23" s="92"/>
      <c r="BC23" s="68"/>
      <c r="BD23" s="68"/>
      <c r="BE23" s="92"/>
      <c r="BF23" s="68"/>
      <c r="BG23" s="68"/>
      <c r="BH23" s="230"/>
      <c r="BI23" s="230"/>
      <c r="BJ23" s="92"/>
    </row>
    <row r="24" spans="1:64">
      <c r="A24" s="13"/>
      <c r="B24" s="13"/>
      <c r="C24" s="13"/>
      <c r="D24" s="13"/>
      <c r="E24" s="14"/>
      <c r="F24" s="13"/>
      <c r="G24" s="13"/>
      <c r="H24" s="13"/>
      <c r="I24" s="13"/>
      <c r="J24" s="13"/>
      <c r="K24" s="13"/>
      <c r="L24" s="15"/>
      <c r="M24" s="15"/>
      <c r="N24" s="15"/>
      <c r="O24" s="15"/>
      <c r="P24" s="15"/>
      <c r="Q24" s="15"/>
      <c r="R24" s="15"/>
      <c r="S24" s="15"/>
      <c r="T24" s="15"/>
      <c r="U24" s="15"/>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5"/>
      <c r="AW24" s="15"/>
      <c r="AZ24" s="68"/>
      <c r="BA24" s="68"/>
      <c r="BB24" s="92"/>
      <c r="BC24" s="68"/>
      <c r="BD24" s="68"/>
      <c r="BE24" s="92"/>
      <c r="BF24" s="68"/>
      <c r="BG24" s="68"/>
      <c r="BH24" s="230"/>
      <c r="BI24" s="230"/>
      <c r="BJ24" s="92"/>
    </row>
    <row r="25" spans="1:64">
      <c r="A25" s="13"/>
      <c r="B25" s="13"/>
      <c r="C25" s="13"/>
      <c r="D25" s="13"/>
      <c r="E25" s="14"/>
      <c r="F25" s="13"/>
      <c r="G25" s="13"/>
      <c r="H25" s="13"/>
      <c r="I25" s="13"/>
      <c r="J25" s="13"/>
      <c r="K25" s="13"/>
      <c r="L25" s="15"/>
      <c r="M25" s="15"/>
      <c r="N25" s="15"/>
      <c r="O25" s="15"/>
      <c r="P25" s="15"/>
      <c r="Q25" s="15"/>
      <c r="R25" s="15"/>
      <c r="S25" s="15"/>
      <c r="T25" s="15"/>
      <c r="U25" s="15"/>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5"/>
      <c r="AW25" s="15"/>
      <c r="AZ25" s="68"/>
      <c r="BA25" s="68"/>
      <c r="BB25" s="92"/>
      <c r="BC25" s="68"/>
      <c r="BD25" s="68"/>
      <c r="BE25" s="92"/>
      <c r="BF25" s="68"/>
      <c r="BG25" s="68"/>
      <c r="BH25" s="230"/>
      <c r="BI25" s="230"/>
      <c r="BJ25" s="92"/>
    </row>
    <row r="26" spans="1:64">
      <c r="A26" s="13"/>
      <c r="B26" s="13"/>
      <c r="C26" s="13"/>
      <c r="D26" s="13"/>
      <c r="E26" s="14"/>
      <c r="F26" s="13"/>
      <c r="G26" s="13"/>
      <c r="H26" s="13"/>
      <c r="I26" s="13"/>
      <c r="J26" s="13"/>
      <c r="K26" s="13"/>
      <c r="L26" s="15"/>
      <c r="M26" s="15"/>
      <c r="N26" s="15"/>
      <c r="O26" s="15"/>
      <c r="P26" s="15"/>
      <c r="Q26" s="15"/>
      <c r="R26" s="15"/>
      <c r="S26" s="15"/>
      <c r="T26" s="15"/>
      <c r="U26" s="15"/>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5"/>
      <c r="AW26" s="15"/>
      <c r="AZ26" s="68"/>
      <c r="BA26" s="68"/>
      <c r="BB26" s="92"/>
      <c r="BC26" s="68"/>
      <c r="BD26" s="68"/>
      <c r="BE26" s="92"/>
      <c r="BF26" s="68"/>
      <c r="BG26" s="68"/>
      <c r="BH26" s="230"/>
      <c r="BI26" s="230"/>
      <c r="BJ26" s="92"/>
    </row>
    <row r="27" spans="1:64">
      <c r="A27" s="13"/>
      <c r="B27" s="13"/>
      <c r="C27" s="13"/>
      <c r="D27" s="13"/>
      <c r="E27" s="14"/>
      <c r="F27" s="13"/>
      <c r="G27" s="13"/>
      <c r="H27" s="13"/>
      <c r="I27" s="13"/>
      <c r="J27" s="13"/>
      <c r="K27" s="13"/>
      <c r="L27" s="15"/>
      <c r="M27" s="15"/>
      <c r="N27" s="15"/>
      <c r="O27" s="15"/>
      <c r="P27" s="15"/>
      <c r="Q27" s="15"/>
      <c r="R27" s="15"/>
      <c r="S27" s="15"/>
      <c r="T27" s="15"/>
      <c r="U27" s="15"/>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5"/>
      <c r="AW27" s="15"/>
      <c r="AZ27" s="68"/>
      <c r="BA27" s="68"/>
      <c r="BB27" s="92"/>
      <c r="BC27" s="68"/>
      <c r="BD27" s="68"/>
      <c r="BE27" s="92"/>
      <c r="BF27" s="68"/>
      <c r="BG27" s="68"/>
      <c r="BH27" s="230"/>
      <c r="BI27" s="230"/>
      <c r="BJ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4">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4">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4">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4">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4">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4">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4">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4">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4">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row>
    <row r="90" spans="1:64">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row>
    <row r="91" spans="1:64">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row>
    <row r="92" spans="1:64" ht="11.25">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231"/>
      <c r="BA92" s="231"/>
      <c r="BB92" s="231"/>
      <c r="BC92" s="231"/>
      <c r="BD92" s="231"/>
      <c r="BE92" s="231"/>
      <c r="BF92" s="231"/>
      <c r="BG92" s="231"/>
      <c r="BH92" s="231"/>
      <c r="BI92" s="231"/>
      <c r="BJ92" s="231"/>
      <c r="BK92" s="231"/>
      <c r="BL92" s="231"/>
    </row>
    <row r="93" spans="1:64" ht="11.25">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231"/>
      <c r="BA93" s="231"/>
      <c r="BB93" s="231"/>
      <c r="BC93" s="231"/>
      <c r="BD93" s="231"/>
      <c r="BE93" s="231"/>
      <c r="BF93" s="231"/>
      <c r="BG93" s="231"/>
      <c r="BH93" s="231"/>
      <c r="BI93" s="231"/>
      <c r="BJ93" s="231"/>
      <c r="BK93" s="231"/>
      <c r="BL93" s="231"/>
    </row>
    <row r="94" spans="1:64" ht="11.25">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c r="AZ94" s="231"/>
      <c r="BA94" s="231"/>
      <c r="BB94" s="231"/>
      <c r="BC94" s="231"/>
      <c r="BD94" s="231"/>
      <c r="BE94" s="231"/>
      <c r="BF94" s="231"/>
      <c r="BG94" s="231"/>
      <c r="BH94" s="231"/>
      <c r="BI94" s="231"/>
      <c r="BJ94" s="231"/>
      <c r="BK94" s="231"/>
      <c r="BL94" s="231"/>
    </row>
    <row r="95" spans="1:64" ht="11.25">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c r="AZ95" s="231"/>
      <c r="BA95" s="231"/>
      <c r="BB95" s="231"/>
      <c r="BC95" s="231"/>
      <c r="BD95" s="231"/>
      <c r="BE95" s="231"/>
      <c r="BF95" s="231"/>
      <c r="BG95" s="231"/>
      <c r="BH95" s="231"/>
      <c r="BI95" s="231"/>
      <c r="BJ95" s="231"/>
      <c r="BK95" s="231"/>
      <c r="BL95" s="231"/>
    </row>
    <row r="96" spans="1:64" ht="11.25">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c r="AZ96" s="231"/>
      <c r="BA96" s="231"/>
      <c r="BB96" s="231"/>
      <c r="BC96" s="231"/>
      <c r="BD96" s="231"/>
      <c r="BE96" s="231"/>
      <c r="BF96" s="231"/>
      <c r="BG96" s="231"/>
      <c r="BH96" s="231"/>
      <c r="BI96" s="231"/>
      <c r="BJ96" s="231"/>
      <c r="BK96" s="231"/>
      <c r="BL96" s="231"/>
    </row>
    <row r="97" spans="1:64" ht="11.25">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c r="AZ97" s="231"/>
      <c r="BA97" s="231"/>
      <c r="BB97" s="231"/>
      <c r="BC97" s="231"/>
      <c r="BD97" s="231"/>
      <c r="BE97" s="231"/>
      <c r="BF97" s="231"/>
      <c r="BG97" s="231"/>
      <c r="BH97" s="231"/>
      <c r="BI97" s="231"/>
      <c r="BJ97" s="231"/>
      <c r="BK97" s="231"/>
      <c r="BL97" s="231"/>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row>
    <row r="101" spans="1:64">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row>
    <row r="102" spans="1:64">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row>
    <row r="103" spans="1:64">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row>
    <row r="104" spans="1:64">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row>
    <row r="105" spans="1:64">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sheetData>
  <sheetProtection formatCells="0" formatColumns="0" formatRows="0" insertRows="0" deleteRows="0" sort="0" autoFilter="0" pivotTables="0"/>
  <mergeCells count="81">
    <mergeCell ref="A1:AB1"/>
    <mergeCell ref="AC1:AU4"/>
    <mergeCell ref="BB1:BE1"/>
    <mergeCell ref="A2:AB2"/>
    <mergeCell ref="BB2:BC2"/>
    <mergeCell ref="BD2:BE2"/>
    <mergeCell ref="A3:D3"/>
    <mergeCell ref="E3:U3"/>
    <mergeCell ref="V3:AB3"/>
    <mergeCell ref="BB3:BC3"/>
    <mergeCell ref="AA6:BA6"/>
    <mergeCell ref="BD3:BE3"/>
    <mergeCell ref="A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B13:D13"/>
    <mergeCell ref="F13:H13"/>
    <mergeCell ref="I13:K13"/>
    <mergeCell ref="S13:U13"/>
    <mergeCell ref="B14:D14"/>
    <mergeCell ref="F14:H14"/>
    <mergeCell ref="I14:K14"/>
    <mergeCell ref="S14:U14"/>
    <mergeCell ref="B17:U17"/>
    <mergeCell ref="B18:H18"/>
    <mergeCell ref="I18:U18"/>
    <mergeCell ref="V18:AP18"/>
    <mergeCell ref="AR18:AW18"/>
    <mergeCell ref="B15:D15"/>
    <mergeCell ref="F15:H15"/>
    <mergeCell ref="I15:K15"/>
    <mergeCell ref="S15:U15"/>
    <mergeCell ref="B16:D16"/>
    <mergeCell ref="F16:H16"/>
    <mergeCell ref="I16:K16"/>
    <mergeCell ref="S16:U16"/>
    <mergeCell ref="V19:AP19"/>
    <mergeCell ref="B22:H22"/>
    <mergeCell ref="I22:U22"/>
    <mergeCell ref="V22:AP22"/>
    <mergeCell ref="AR22:AW22"/>
    <mergeCell ref="B20:H20"/>
    <mergeCell ref="I20:U20"/>
    <mergeCell ref="V20:AP20"/>
    <mergeCell ref="AR20:AW20"/>
    <mergeCell ref="B21:H21"/>
    <mergeCell ref="I21:U21"/>
    <mergeCell ref="V21:AP21"/>
    <mergeCell ref="AR21:AW21"/>
    <mergeCell ref="AR19:AW19"/>
    <mergeCell ref="B19:H19"/>
    <mergeCell ref="I19:U19"/>
  </mergeCells>
  <dataValidations count="8">
    <dataValidation type="list" allowBlank="1" showInputMessage="1" showErrorMessage="1" sqref="BE10:BE16">
      <formula1>Efectividad</formula1>
    </dataValidation>
    <dataValidation type="list" allowBlank="1" showInputMessage="1" sqref="AV10:AV16">
      <formula1>Periodo</formula1>
    </dataValidation>
    <dataValidation type="list" showInputMessage="1" showErrorMessage="1" sqref="V10:AF16">
      <formula1>Efectividad</formula1>
    </dataValidation>
    <dataValidation showInputMessage="1" showErrorMessage="1" sqref="AG10:AT16"/>
    <dataValidation type="list" allowBlank="1" showInputMessage="1" showErrorMessage="1" sqref="M10:N16">
      <formula1>Impacto</formula1>
    </dataValidation>
    <dataValidation type="list" showInputMessage="1" showErrorMessage="1" sqref="L10:L16">
      <formula1>Probabilidad</formula1>
    </dataValidation>
    <dataValidation type="list" sqref="BD4:BE4">
      <formula1>Monitoreo</formula1>
    </dataValidation>
    <dataValidation type="list" allowBlank="1" showInputMessage="1" showErrorMessage="1" sqref="L6">
      <formula1>Proceso</formula1>
    </dataValidation>
  </dataValidations>
  <printOptions horizontalCentered="1" verticalCentered="1"/>
  <pageMargins left="0.23622047244094491" right="7.874015748031496E-2" top="0.74803149606299213" bottom="0.74803149606299213" header="0.31496062992125984" footer="0.31496062992125984"/>
  <pageSetup paperSize="14" scale="42" fitToHeight="0" orientation="landscape" r:id="rId1"/>
  <headerFooter>
    <oddFooter>&amp;L&amp;"Segoe UI,Normal"&amp;9Formato: FO-AC-07 Versión: 3&amp;C&amp;"Segoe UI,Normal"&amp;9Página &amp;P</oddFooter>
  </headerFooter>
  <rowBreaks count="1" manualBreakCount="1">
    <brk id="12" max="62"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20"/>
  <sheetViews>
    <sheetView showGridLines="0" view="pageBreakPreview" zoomScaleNormal="100" zoomScaleSheetLayoutView="100" workbookViewId="0">
      <selection sqref="A1:AB1"/>
    </sheetView>
  </sheetViews>
  <sheetFormatPr baseColWidth="10" defaultRowHeight="15"/>
  <cols>
    <col min="1" max="1" width="1.140625" style="16" customWidth="1"/>
    <col min="2" max="2" width="9.85546875" style="16" customWidth="1"/>
    <col min="3" max="3" width="13.140625" style="16" customWidth="1"/>
    <col min="4" max="4" width="11.140625" style="16" customWidth="1"/>
    <col min="5" max="5" width="7.28515625" style="17" customWidth="1"/>
    <col min="6" max="6" width="7.5703125" style="16" customWidth="1"/>
    <col min="7" max="7" width="7" style="16" customWidth="1"/>
    <col min="8" max="8" width="4.5703125" style="16" customWidth="1"/>
    <col min="9" max="9" width="12.140625" style="16" customWidth="1"/>
    <col min="10" max="10" width="10" style="16" customWidth="1"/>
    <col min="11" max="11" width="9"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19" width="9.140625" style="18" customWidth="1"/>
    <col min="20" max="20" width="9.5703125" style="18" customWidth="1"/>
    <col min="21" max="21" width="9.710937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22.42578125" style="18" customWidth="1"/>
    <col min="50" max="50" width="19" style="21" customWidth="1"/>
    <col min="51" max="51" width="3.85546875" style="21" customWidth="1"/>
    <col min="52" max="52" width="23.140625" style="210" customWidth="1"/>
    <col min="53" max="53" width="14.85546875" style="210" customWidth="1"/>
    <col min="54" max="54" width="25.28515625" style="210" customWidth="1"/>
    <col min="55" max="55" width="46.28515625" style="210" customWidth="1"/>
    <col min="56" max="56" width="27" style="210" customWidth="1"/>
    <col min="57" max="57" width="5.85546875" style="210" customWidth="1"/>
    <col min="58" max="58" width="20.140625" style="210" customWidth="1"/>
    <col min="59" max="59" width="10.28515625" style="210" customWidth="1"/>
    <col min="60" max="60" width="6.28515625" style="210" customWidth="1"/>
    <col min="61" max="61" width="6" style="210" customWidth="1"/>
    <col min="62" max="62" width="11.140625" style="210" customWidth="1"/>
    <col min="63" max="63" width="2.140625" style="210" customWidth="1"/>
    <col min="64" max="64" width="11.42578125" style="210"/>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858" t="str">
        <f>UPPER([11]Control!A2)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22">
        <v>2019</v>
      </c>
      <c r="BA2" s="208"/>
      <c r="BB2" s="2830" t="s">
        <v>138</v>
      </c>
      <c r="BC2" s="2831"/>
      <c r="BD2" s="2901" t="str">
        <f>L6</f>
        <v>Diseño de Proyectos</v>
      </c>
      <c r="BE2" s="2902"/>
      <c r="BF2" s="208"/>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1:64" ht="15.75" customHeight="1" thickBot="1">
      <c r="A4" s="2832" t="str">
        <f>[11]Control!A4</f>
        <v>FO-PE-05</v>
      </c>
      <c r="B4" s="2833"/>
      <c r="C4" s="2833"/>
      <c r="D4" s="2834"/>
      <c r="E4" s="2835" t="str">
        <f>[11]Control!C4</f>
        <v>Planeación Estratégica</v>
      </c>
      <c r="F4" s="2833"/>
      <c r="G4" s="2833"/>
      <c r="H4" s="2833"/>
      <c r="I4" s="2833"/>
      <c r="J4" s="2833"/>
      <c r="K4" s="2833"/>
      <c r="L4" s="2833"/>
      <c r="M4" s="2833"/>
      <c r="N4" s="2833"/>
      <c r="O4" s="2833"/>
      <c r="P4" s="2833"/>
      <c r="Q4" s="2833"/>
      <c r="R4" s="2833"/>
      <c r="S4" s="2833"/>
      <c r="T4" s="2833"/>
      <c r="U4" s="2834"/>
      <c r="V4" s="2835">
        <f>[11]Control!H4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290">
        <v>43446</v>
      </c>
      <c r="BA4" s="208"/>
      <c r="BB4" s="2836">
        <v>43714</v>
      </c>
      <c r="BC4" s="2837"/>
      <c r="BD4" s="2838" t="s">
        <v>3828</v>
      </c>
      <c r="BE4" s="2838"/>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s="228"/>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842" t="s">
        <v>2449</v>
      </c>
      <c r="M6" s="2843"/>
      <c r="N6" s="2843"/>
      <c r="O6" s="2843"/>
      <c r="P6" s="2843"/>
      <c r="Q6" s="2843"/>
      <c r="R6" s="2843"/>
      <c r="S6" s="2843"/>
      <c r="T6" s="2843"/>
      <c r="U6" s="2844"/>
      <c r="V6" s="2845" t="s">
        <v>59</v>
      </c>
      <c r="W6" s="2845"/>
      <c r="X6" s="2845"/>
      <c r="Y6" s="2845"/>
      <c r="Z6" s="2845"/>
      <c r="AA6" s="2827" t="s">
        <v>2450</v>
      </c>
      <c r="AB6" s="2828"/>
      <c r="AC6" s="2828"/>
      <c r="AD6" s="2828"/>
      <c r="AE6" s="2828"/>
      <c r="AF6" s="2828"/>
      <c r="AG6" s="2828"/>
      <c r="AH6" s="2828"/>
      <c r="AI6" s="2828"/>
      <c r="AJ6" s="2828"/>
      <c r="AK6" s="2828"/>
      <c r="AL6" s="2828"/>
      <c r="AM6" s="2828"/>
      <c r="AN6" s="2828"/>
      <c r="AO6" s="2828"/>
      <c r="AP6" s="2828"/>
      <c r="AQ6" s="2828"/>
      <c r="AR6" s="2828"/>
      <c r="AS6" s="2828"/>
      <c r="AT6" s="2828"/>
      <c r="AU6" s="2828"/>
      <c r="AV6" s="2828"/>
      <c r="AW6" s="2828"/>
      <c r="AX6" s="2828"/>
      <c r="AY6" s="2828"/>
      <c r="AZ6" s="2828"/>
      <c r="BA6" s="2829"/>
      <c r="BB6" s="885"/>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886"/>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887"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689" t="s">
        <v>268</v>
      </c>
      <c r="AX9" s="30" t="s">
        <v>269</v>
      </c>
      <c r="AY9" s="222" t="s">
        <v>62</v>
      </c>
      <c r="AZ9" s="223" t="s">
        <v>2327</v>
      </c>
      <c r="BA9" s="224" t="s">
        <v>2328</v>
      </c>
      <c r="BB9" s="653" t="s">
        <v>2329</v>
      </c>
      <c r="BC9" s="224" t="s">
        <v>2330</v>
      </c>
      <c r="BD9" s="406" t="s">
        <v>2331</v>
      </c>
      <c r="BE9" s="406" t="s">
        <v>2332</v>
      </c>
      <c r="BF9" s="406" t="s">
        <v>2333</v>
      </c>
      <c r="BG9" s="406" t="s">
        <v>2334</v>
      </c>
      <c r="BH9" s="406" t="s">
        <v>2335</v>
      </c>
      <c r="BI9" s="406" t="s">
        <v>2336</v>
      </c>
      <c r="BJ9" s="406" t="s">
        <v>2337</v>
      </c>
      <c r="BK9" s="225"/>
      <c r="BL9" s="102"/>
    </row>
    <row r="10" spans="1:64" s="3" customFormat="1" ht="128.25" customHeight="1">
      <c r="A10" s="332"/>
      <c r="B10" s="2874" t="s">
        <v>931</v>
      </c>
      <c r="C10" s="2875"/>
      <c r="D10" s="2876"/>
      <c r="E10" s="330" t="s">
        <v>2451</v>
      </c>
      <c r="F10" s="2915" t="s">
        <v>932</v>
      </c>
      <c r="G10" s="2916"/>
      <c r="H10" s="2917"/>
      <c r="I10" s="2874" t="s">
        <v>598</v>
      </c>
      <c r="J10" s="2875"/>
      <c r="K10" s="2876"/>
      <c r="L10" s="330" t="s">
        <v>283</v>
      </c>
      <c r="M10" s="50" t="s">
        <v>287</v>
      </c>
      <c r="N10" s="32"/>
      <c r="O10" s="6">
        <f>VLOOKUP(L10,[11]Listas!$M$69:$N$73,2,0)</f>
        <v>1</v>
      </c>
      <c r="P10" s="6"/>
      <c r="Q10" s="6">
        <f>HLOOKUP(M10,[11]Listas!$O$67:$Q$68,2,0)</f>
        <v>20</v>
      </c>
      <c r="R10" s="331" t="str">
        <f>INDEX([11]Listas!$O$69:$Q$73,MATCH(L10,[11]Listas!$M$69:$M$73,0),MATCH(M10,[11]Listas!$O$67:$Q$67,0))</f>
        <v>20
MODERADA</v>
      </c>
      <c r="S10" s="2874" t="s">
        <v>2452</v>
      </c>
      <c r="T10" s="2875"/>
      <c r="U10" s="2876"/>
      <c r="V10" s="329" t="s">
        <v>65</v>
      </c>
      <c r="W10" s="329" t="s">
        <v>36</v>
      </c>
      <c r="X10" s="329" t="s">
        <v>36</v>
      </c>
      <c r="Y10" s="329" t="s">
        <v>65</v>
      </c>
      <c r="Z10" s="329" t="s">
        <v>65</v>
      </c>
      <c r="AA10" s="329" t="s">
        <v>36</v>
      </c>
      <c r="AB10" s="329" t="s">
        <v>65</v>
      </c>
      <c r="AC10" s="329" t="s">
        <v>65</v>
      </c>
      <c r="AD10" s="329" t="s">
        <v>65</v>
      </c>
      <c r="AE10" s="329" t="s">
        <v>65</v>
      </c>
      <c r="AF10" s="33"/>
      <c r="AG10" s="6">
        <f t="shared" ref="AG10:AG21" si="0">IF(Y10="SI",15,0)</f>
        <v>15</v>
      </c>
      <c r="AH10" s="6">
        <f t="shared" ref="AH10:AH21" si="1">IF(Z10="SI",5,0)</f>
        <v>5</v>
      </c>
      <c r="AI10" s="6">
        <f t="shared" ref="AI10:AI21" si="2">IF(AA10="SI",15,0)</f>
        <v>0</v>
      </c>
      <c r="AJ10" s="6">
        <f t="shared" ref="AJ10:AJ21" si="3">IF(AB10="SI",10,0)</f>
        <v>10</v>
      </c>
      <c r="AK10" s="6">
        <f t="shared" ref="AK10:AK21" si="4">IF(AC10="SI",15,0)</f>
        <v>15</v>
      </c>
      <c r="AL10" s="6">
        <f t="shared" ref="AL10:AL21" si="5">IF(AD10="SI",10,0)</f>
        <v>10</v>
      </c>
      <c r="AM10" s="6">
        <f t="shared" ref="AM10:AM21" si="6">IF(AE10="SI",30,0)</f>
        <v>30</v>
      </c>
      <c r="AN10" s="6">
        <f t="shared" ref="AN10:AN21" si="7">SUM(AG10+AH10+AI10+AJ10+AK10+AL10+AM10)</f>
        <v>85</v>
      </c>
      <c r="AO10" s="6">
        <f t="shared" ref="AO10:AO21" si="8">IF(AN10&lt;=50,0,IF(AN10&gt;=76,2,1))</f>
        <v>2</v>
      </c>
      <c r="AP10" s="331" t="str">
        <f t="shared" ref="AP10:AP21" si="9">CONCATENATE(AN10,"- disminuye ",AO10)</f>
        <v>85- disminuye 2</v>
      </c>
      <c r="AQ10" s="6">
        <f t="shared" ref="AQ10:AQ21" si="10">IF(V10="SI",O10-AO10,O10)</f>
        <v>-1</v>
      </c>
      <c r="AR10" s="331" t="str">
        <f>IF(AQ10&lt;=1,"Rara vez",VLOOKUP(AQ10,[11]Listas!$L$69:$M$73,2,0))</f>
        <v>Rara vez</v>
      </c>
      <c r="AS10" s="6">
        <f t="shared" ref="AS10:AS21" si="11">IF(W10="SI",Q10-AO10,Q10)</f>
        <v>20</v>
      </c>
      <c r="AT10" s="331" t="str">
        <f t="shared" ref="AT10:AT21" si="12">IF(AS10&lt;=9,"Moderado",IF(AS10=20,"Catastrófico",IF(AS10=18,"Moderado","Mayor")))</f>
        <v>Catastrófico</v>
      </c>
      <c r="AU10" s="331" t="str">
        <f>INDEX([11]Listas!$O$69:$Q$73,MATCH(AR10,[11]Listas!$M$69:$M$73,0),MATCH(AT10,[11]Listas!$O$67:$Q$67,0))</f>
        <v>20
MODERADA</v>
      </c>
      <c r="AV10" s="330"/>
      <c r="AW10" s="690" t="s">
        <v>2453</v>
      </c>
      <c r="AX10" s="405" t="s">
        <v>2454</v>
      </c>
      <c r="AY10" s="691" t="s">
        <v>168</v>
      </c>
      <c r="AZ10" s="690" t="s">
        <v>2455</v>
      </c>
      <c r="BA10" s="12" t="s">
        <v>2456</v>
      </c>
      <c r="BB10" s="226" t="s">
        <v>3843</v>
      </c>
      <c r="BC10" s="12" t="s">
        <v>3844</v>
      </c>
      <c r="BD10" s="12" t="s">
        <v>3309</v>
      </c>
      <c r="BE10" s="685" t="s">
        <v>36</v>
      </c>
      <c r="BF10" s="12"/>
      <c r="BG10" s="12"/>
      <c r="BH10" s="227"/>
      <c r="BI10" s="227"/>
      <c r="BJ10" s="685"/>
      <c r="BK10" s="228"/>
      <c r="BL10" s="228"/>
    </row>
    <row r="11" spans="1:64" s="3" customFormat="1" ht="409.5" customHeight="1">
      <c r="A11" s="332"/>
      <c r="B11" s="2874" t="s">
        <v>933</v>
      </c>
      <c r="C11" s="2875"/>
      <c r="D11" s="2876"/>
      <c r="E11" s="330" t="s">
        <v>2457</v>
      </c>
      <c r="F11" s="2915" t="s">
        <v>934</v>
      </c>
      <c r="G11" s="2916"/>
      <c r="H11" s="2917"/>
      <c r="I11" s="2874" t="s">
        <v>599</v>
      </c>
      <c r="J11" s="2875"/>
      <c r="K11" s="2876"/>
      <c r="L11" s="330" t="s">
        <v>286</v>
      </c>
      <c r="M11" s="50" t="s">
        <v>287</v>
      </c>
      <c r="N11" s="32"/>
      <c r="O11" s="6">
        <f>VLOOKUP(L11,[11]Listas!$M$69:$N$73,2,0)</f>
        <v>2</v>
      </c>
      <c r="P11" s="6"/>
      <c r="Q11" s="6">
        <f>HLOOKUP(M11,[11]Listas!$O$67:$Q$68,2,0)</f>
        <v>20</v>
      </c>
      <c r="R11" s="331" t="str">
        <f>INDEX([11]Listas!$O$69:$Q$73,MATCH(L11,[11]Listas!$M$69:$M$73,0),MATCH(M11,[11]Listas!$O$67:$Q$67,0))</f>
        <v>40
ALTA</v>
      </c>
      <c r="S11" s="2874" t="s">
        <v>2458</v>
      </c>
      <c r="T11" s="2875"/>
      <c r="U11" s="2876"/>
      <c r="V11" s="329" t="s">
        <v>65</v>
      </c>
      <c r="W11" s="329" t="s">
        <v>36</v>
      </c>
      <c r="X11" s="329" t="s">
        <v>36</v>
      </c>
      <c r="Y11" s="329" t="s">
        <v>65</v>
      </c>
      <c r="Z11" s="329" t="s">
        <v>65</v>
      </c>
      <c r="AA11" s="329" t="s">
        <v>36</v>
      </c>
      <c r="AB11" s="329" t="s">
        <v>65</v>
      </c>
      <c r="AC11" s="329" t="s">
        <v>65</v>
      </c>
      <c r="AD11" s="329" t="s">
        <v>65</v>
      </c>
      <c r="AE11" s="329" t="s">
        <v>65</v>
      </c>
      <c r="AF11" s="33"/>
      <c r="AG11" s="6">
        <f t="shared" si="0"/>
        <v>15</v>
      </c>
      <c r="AH11" s="6">
        <f t="shared" si="1"/>
        <v>5</v>
      </c>
      <c r="AI11" s="6">
        <f t="shared" si="2"/>
        <v>0</v>
      </c>
      <c r="AJ11" s="6">
        <f t="shared" si="3"/>
        <v>10</v>
      </c>
      <c r="AK11" s="6">
        <f t="shared" si="4"/>
        <v>15</v>
      </c>
      <c r="AL11" s="6">
        <f t="shared" si="5"/>
        <v>10</v>
      </c>
      <c r="AM11" s="6">
        <f t="shared" si="6"/>
        <v>30</v>
      </c>
      <c r="AN11" s="6">
        <f t="shared" si="7"/>
        <v>85</v>
      </c>
      <c r="AO11" s="6">
        <f t="shared" si="8"/>
        <v>2</v>
      </c>
      <c r="AP11" s="331" t="str">
        <f t="shared" si="9"/>
        <v>85- disminuye 2</v>
      </c>
      <c r="AQ11" s="6">
        <f t="shared" si="10"/>
        <v>0</v>
      </c>
      <c r="AR11" s="331" t="str">
        <f>IF(AQ11&lt;=1,"Rara vez",VLOOKUP(AQ11,[11]Listas!$L$69:$M$73,2,0))</f>
        <v>Rara vez</v>
      </c>
      <c r="AS11" s="6">
        <f t="shared" si="11"/>
        <v>20</v>
      </c>
      <c r="AT11" s="331" t="str">
        <f t="shared" si="12"/>
        <v>Catastrófico</v>
      </c>
      <c r="AU11" s="331" t="str">
        <f>INDEX([11]Listas!$O$69:$Q$73,MATCH(AR11,[11]Listas!$M$69:$M$73,0),MATCH(AT11,[11]Listas!$O$67:$Q$67,0))</f>
        <v>20
MODERADA</v>
      </c>
      <c r="AV11" s="330"/>
      <c r="AW11" s="690" t="s">
        <v>2459</v>
      </c>
      <c r="AX11" s="690" t="s">
        <v>2460</v>
      </c>
      <c r="AY11" s="691" t="s">
        <v>168</v>
      </c>
      <c r="AZ11" s="690" t="s">
        <v>2461</v>
      </c>
      <c r="BA11" s="12" t="s">
        <v>2462</v>
      </c>
      <c r="BB11" s="685" t="s">
        <v>3845</v>
      </c>
      <c r="BC11" s="12" t="s">
        <v>3846</v>
      </c>
      <c r="BD11" s="12" t="s">
        <v>3309</v>
      </c>
      <c r="BE11" s="685" t="s">
        <v>36</v>
      </c>
      <c r="BF11" s="12"/>
      <c r="BG11" s="12"/>
      <c r="BH11" s="227"/>
      <c r="BI11" s="227"/>
      <c r="BJ11" s="685"/>
      <c r="BK11" s="228"/>
      <c r="BL11" s="228"/>
    </row>
    <row r="12" spans="1:64" s="3" customFormat="1" ht="162.75" customHeight="1">
      <c r="A12" s="332"/>
      <c r="B12" s="2874" t="s">
        <v>905</v>
      </c>
      <c r="C12" s="2875"/>
      <c r="D12" s="2876"/>
      <c r="E12" s="330" t="s">
        <v>2463</v>
      </c>
      <c r="F12" s="2915" t="s">
        <v>907</v>
      </c>
      <c r="G12" s="2916"/>
      <c r="H12" s="2917"/>
      <c r="I12" s="2874" t="s">
        <v>901</v>
      </c>
      <c r="J12" s="2875"/>
      <c r="K12" s="2876"/>
      <c r="L12" s="330" t="s">
        <v>286</v>
      </c>
      <c r="M12" s="50" t="s">
        <v>270</v>
      </c>
      <c r="N12" s="32"/>
      <c r="O12" s="6">
        <f>VLOOKUP(L12,[11]Listas!$M$69:$N$73,2,0)</f>
        <v>2</v>
      </c>
      <c r="P12" s="6"/>
      <c r="Q12" s="6">
        <f>HLOOKUP(M12,[11]Listas!$O$67:$Q$68,2,0)</f>
        <v>10</v>
      </c>
      <c r="R12" s="331" t="str">
        <f>INDEX([11]Listas!$O$69:$Q$73,MATCH(L12,[11]Listas!$M$69:$M$73,0),MATCH(M12,[11]Listas!$O$67:$Q$67,0))</f>
        <v>20
MODERADA</v>
      </c>
      <c r="S12" s="2874" t="s">
        <v>908</v>
      </c>
      <c r="T12" s="2875"/>
      <c r="U12" s="2876"/>
      <c r="V12" s="329" t="s">
        <v>65</v>
      </c>
      <c r="W12" s="329" t="s">
        <v>36</v>
      </c>
      <c r="X12" s="329" t="s">
        <v>36</v>
      </c>
      <c r="Y12" s="329" t="s">
        <v>65</v>
      </c>
      <c r="Z12" s="329" t="s">
        <v>65</v>
      </c>
      <c r="AA12" s="329" t="s">
        <v>36</v>
      </c>
      <c r="AB12" s="329" t="s">
        <v>65</v>
      </c>
      <c r="AC12" s="329" t="s">
        <v>65</v>
      </c>
      <c r="AD12" s="329" t="s">
        <v>65</v>
      </c>
      <c r="AE12" s="329" t="s">
        <v>65</v>
      </c>
      <c r="AF12" s="33"/>
      <c r="AG12" s="6">
        <f>IF(Y12="SI",15,0)</f>
        <v>15</v>
      </c>
      <c r="AH12" s="6">
        <f>IF(Z12="SI",5,0)</f>
        <v>5</v>
      </c>
      <c r="AI12" s="6">
        <f>IF(AA12="SI",15,0)</f>
        <v>0</v>
      </c>
      <c r="AJ12" s="6">
        <f>IF(AB12="SI",10,0)</f>
        <v>10</v>
      </c>
      <c r="AK12" s="6">
        <f>IF(AC12="SI",15,0)</f>
        <v>15</v>
      </c>
      <c r="AL12" s="6">
        <f>IF(AD12="SI",10,0)</f>
        <v>10</v>
      </c>
      <c r="AM12" s="6">
        <f>IF(AE12="SI",30,0)</f>
        <v>30</v>
      </c>
      <c r="AN12" s="6">
        <f>SUM(AG12+AH12+AI12+AJ12+AK12+AL12+AM12)</f>
        <v>85</v>
      </c>
      <c r="AO12" s="6">
        <f>IF(AN12&lt;=50,0,IF(AN12&gt;=76,2,1))</f>
        <v>2</v>
      </c>
      <c r="AP12" s="331" t="str">
        <f>CONCATENATE(AN12,"- disminuye ",AO12)</f>
        <v>85- disminuye 2</v>
      </c>
      <c r="AQ12" s="6">
        <f>IF(V12="SI",O12-AO12,O12)</f>
        <v>0</v>
      </c>
      <c r="AR12" s="331" t="str">
        <f>IF(AQ12&lt;=1,"Rara vez",VLOOKUP(AQ12,[11]Listas!$L$69:$M$73,2,0))</f>
        <v>Rara vez</v>
      </c>
      <c r="AS12" s="6">
        <f>IF(W12="SI",Q12-AO12,Q12)</f>
        <v>10</v>
      </c>
      <c r="AT12" s="331" t="str">
        <f>IF(AS12&lt;=9,"Moderado",IF(AS12=20,"Catastrófico",IF(AS12=18,"Moderado","Mayor")))</f>
        <v>Mayor</v>
      </c>
      <c r="AU12" s="331" t="str">
        <f>INDEX([11]Listas!$O$69:$Q$73,MATCH(AR12,[11]Listas!$M$69:$M$73,0),MATCH(AT12,[11]Listas!$O$67:$Q$67,0))</f>
        <v>10
BAJA</v>
      </c>
      <c r="AV12" s="330"/>
      <c r="AW12" s="690" t="s">
        <v>909</v>
      </c>
      <c r="AX12" s="405" t="s">
        <v>910</v>
      </c>
      <c r="AY12" s="691"/>
      <c r="AZ12" s="690" t="s">
        <v>2464</v>
      </c>
      <c r="BA12" s="12" t="s">
        <v>2465</v>
      </c>
      <c r="BB12" s="685" t="s">
        <v>3847</v>
      </c>
      <c r="BC12" s="12" t="s">
        <v>3848</v>
      </c>
      <c r="BD12" s="12" t="s">
        <v>3309</v>
      </c>
      <c r="BE12" s="685" t="s">
        <v>36</v>
      </c>
      <c r="BF12" s="12"/>
      <c r="BG12" s="12"/>
      <c r="BH12" s="227"/>
      <c r="BI12" s="227"/>
      <c r="BJ12" s="685"/>
      <c r="BK12" s="228"/>
      <c r="BL12" s="228"/>
    </row>
    <row r="13" spans="1:64" s="3" customFormat="1" ht="223.5" customHeight="1">
      <c r="A13" s="332"/>
      <c r="B13" s="2874" t="s">
        <v>935</v>
      </c>
      <c r="C13" s="2875"/>
      <c r="D13" s="2876"/>
      <c r="E13" s="49" t="s">
        <v>2466</v>
      </c>
      <c r="F13" s="2915" t="s">
        <v>925</v>
      </c>
      <c r="G13" s="2916"/>
      <c r="H13" s="2917"/>
      <c r="I13" s="2874" t="s">
        <v>2467</v>
      </c>
      <c r="J13" s="2875"/>
      <c r="K13" s="2876"/>
      <c r="L13" s="49" t="s">
        <v>286</v>
      </c>
      <c r="M13" s="313" t="s">
        <v>287</v>
      </c>
      <c r="N13" s="32"/>
      <c r="O13" s="6">
        <f>VLOOKUP(L13,[11]Listas!$M$69:$N$73,2,0)</f>
        <v>2</v>
      </c>
      <c r="P13" s="6"/>
      <c r="Q13" s="6">
        <f>HLOOKUP(M13,[11]Listas!$O$67:$Q$68,2,0)</f>
        <v>20</v>
      </c>
      <c r="R13" s="331" t="str">
        <f>INDEX([11]Listas!$O$69:$Q$73,MATCH(L13,[11]Listas!$M$69:$M$73,0),MATCH(M13,[11]Listas!$O$67:$Q$67,0))</f>
        <v>40
ALTA</v>
      </c>
      <c r="S13" s="2874" t="s">
        <v>2468</v>
      </c>
      <c r="T13" s="2875"/>
      <c r="U13" s="2876"/>
      <c r="V13" s="329" t="s">
        <v>65</v>
      </c>
      <c r="W13" s="329" t="s">
        <v>36</v>
      </c>
      <c r="X13" s="329" t="s">
        <v>36</v>
      </c>
      <c r="Y13" s="329" t="s">
        <v>65</v>
      </c>
      <c r="Z13" s="329" t="s">
        <v>65</v>
      </c>
      <c r="AA13" s="329" t="s">
        <v>36</v>
      </c>
      <c r="AB13" s="329" t="s">
        <v>65</v>
      </c>
      <c r="AC13" s="329" t="s">
        <v>65</v>
      </c>
      <c r="AD13" s="329" t="s">
        <v>65</v>
      </c>
      <c r="AE13" s="329" t="s">
        <v>65</v>
      </c>
      <c r="AF13" s="33"/>
      <c r="AG13" s="6">
        <f>IF(Y13="SI",15,0)</f>
        <v>15</v>
      </c>
      <c r="AH13" s="6">
        <f>IF(Z13="SI",5,0)</f>
        <v>5</v>
      </c>
      <c r="AI13" s="6">
        <f>IF(AA13="SI",15,0)</f>
        <v>0</v>
      </c>
      <c r="AJ13" s="6">
        <f>IF(AB13="SI",10,0)</f>
        <v>10</v>
      </c>
      <c r="AK13" s="6">
        <f>IF(AC13="SI",15,0)</f>
        <v>15</v>
      </c>
      <c r="AL13" s="6">
        <f>IF(AD13="SI",10,0)</f>
        <v>10</v>
      </c>
      <c r="AM13" s="6">
        <f>IF(AE13="SI",30,0)</f>
        <v>30</v>
      </c>
      <c r="AN13" s="6">
        <f>SUM(AG13+AH13+AI13+AJ13+AK13+AL13+AM13)</f>
        <v>85</v>
      </c>
      <c r="AO13" s="6">
        <f>IF(AN13&lt;=50,0,IF(AN13&gt;=76,2,1))</f>
        <v>2</v>
      </c>
      <c r="AP13" s="331" t="str">
        <f>CONCATENATE(AN13,"- disminuye ",AO13)</f>
        <v>85- disminuye 2</v>
      </c>
      <c r="AQ13" s="6">
        <f>IF(V13="SI",O13-AO13,O13)</f>
        <v>0</v>
      </c>
      <c r="AR13" s="331" t="str">
        <f>IF(AQ13&lt;=1,"Rara vez",VLOOKUP(AQ13,[11]Listas!$L$69:$M$73,2,0))</f>
        <v>Rara vez</v>
      </c>
      <c r="AS13" s="6">
        <f>IF(W13="SI",Q13-AO13,Q13)</f>
        <v>20</v>
      </c>
      <c r="AT13" s="331" t="str">
        <f>IF(AS13&lt;=9,"Moderado",IF(AS13=20,"Catastrófico",IF(AS13=18,"Moderado","Mayor")))</f>
        <v>Catastrófico</v>
      </c>
      <c r="AU13" s="331" t="str">
        <f>INDEX([11]Listas!$O$69:$Q$73,MATCH(AR13,[11]Listas!$M$69:$M$73,0),MATCH(AT13,[11]Listas!$O$67:$Q$67,0))</f>
        <v>20
MODERADA</v>
      </c>
      <c r="AV13" s="330"/>
      <c r="AW13" s="690" t="s">
        <v>936</v>
      </c>
      <c r="AX13" s="690" t="s">
        <v>2469</v>
      </c>
      <c r="AY13" s="691" t="s">
        <v>168</v>
      </c>
      <c r="AZ13" s="690" t="s">
        <v>2470</v>
      </c>
      <c r="BA13" s="12" t="s">
        <v>2471</v>
      </c>
      <c r="BB13" s="685">
        <v>0</v>
      </c>
      <c r="BC13" s="12" t="s">
        <v>3849</v>
      </c>
      <c r="BD13" s="12" t="s">
        <v>3309</v>
      </c>
      <c r="BE13" s="685" t="s">
        <v>36</v>
      </c>
      <c r="BF13" s="12"/>
      <c r="BG13" s="12"/>
      <c r="BH13" s="227"/>
      <c r="BI13" s="227"/>
      <c r="BJ13" s="685"/>
      <c r="BK13" s="228"/>
      <c r="BL13" s="228"/>
    </row>
    <row r="14" spans="1:64" s="3" customFormat="1" ht="149.25" customHeight="1">
      <c r="A14" s="332"/>
      <c r="B14" s="2874" t="s">
        <v>937</v>
      </c>
      <c r="C14" s="2875"/>
      <c r="D14" s="2876"/>
      <c r="E14" s="49" t="s">
        <v>2472</v>
      </c>
      <c r="F14" s="2915" t="s">
        <v>3314</v>
      </c>
      <c r="G14" s="2916"/>
      <c r="H14" s="2917"/>
      <c r="I14" s="2874" t="s">
        <v>938</v>
      </c>
      <c r="J14" s="2875"/>
      <c r="K14" s="2876"/>
      <c r="L14" s="49" t="s">
        <v>64</v>
      </c>
      <c r="M14" s="313" t="s">
        <v>287</v>
      </c>
      <c r="N14" s="32"/>
      <c r="O14" s="6">
        <f>VLOOKUP(L14,[11]Listas!$M$69:$N$73,2,0)</f>
        <v>3</v>
      </c>
      <c r="P14" s="6"/>
      <c r="Q14" s="6">
        <f>HLOOKUP(M14,[11]Listas!$O$67:$Q$68,2,0)</f>
        <v>20</v>
      </c>
      <c r="R14" s="331" t="str">
        <f>INDEX([11]Listas!$O$69:$Q$73,MATCH(L14,[11]Listas!$M$69:$M$73,0),MATCH(M14,[11]Listas!$O$67:$Q$67,0))</f>
        <v>60
EXTREMO</v>
      </c>
      <c r="S14" s="2874" t="s">
        <v>939</v>
      </c>
      <c r="T14" s="2875"/>
      <c r="U14" s="2876"/>
      <c r="V14" s="329" t="s">
        <v>65</v>
      </c>
      <c r="W14" s="329" t="s">
        <v>36</v>
      </c>
      <c r="X14" s="329" t="s">
        <v>36</v>
      </c>
      <c r="Y14" s="329" t="s">
        <v>65</v>
      </c>
      <c r="Z14" s="329" t="s">
        <v>65</v>
      </c>
      <c r="AA14" s="329" t="s">
        <v>36</v>
      </c>
      <c r="AB14" s="329" t="s">
        <v>65</v>
      </c>
      <c r="AC14" s="329" t="s">
        <v>65</v>
      </c>
      <c r="AD14" s="329" t="s">
        <v>65</v>
      </c>
      <c r="AE14" s="329" t="s">
        <v>65</v>
      </c>
      <c r="AF14" s="33"/>
      <c r="AG14" s="6">
        <f>IF(Y14="SI",15,0)</f>
        <v>15</v>
      </c>
      <c r="AH14" s="6">
        <f>IF(Z14="SI",5,0)</f>
        <v>5</v>
      </c>
      <c r="AI14" s="6">
        <f>IF(AA14="SI",15,0)</f>
        <v>0</v>
      </c>
      <c r="AJ14" s="6">
        <f>IF(AB14="SI",10,0)</f>
        <v>10</v>
      </c>
      <c r="AK14" s="6">
        <f>IF(AC14="SI",15,0)</f>
        <v>15</v>
      </c>
      <c r="AL14" s="6">
        <f>IF(AD14="SI",10,0)</f>
        <v>10</v>
      </c>
      <c r="AM14" s="6">
        <f>IF(AE14="SI",30,0)</f>
        <v>30</v>
      </c>
      <c r="AN14" s="6">
        <f>SUM(AG14+AH14+AI14+AJ14+AK14+AL14+AM14)</f>
        <v>85</v>
      </c>
      <c r="AO14" s="6">
        <f>IF(AN14&lt;=50,0,IF(AN14&gt;=76,2,1))</f>
        <v>2</v>
      </c>
      <c r="AP14" s="331" t="str">
        <f>CONCATENATE(AN14,"- disminuye ",AO14)</f>
        <v>85- disminuye 2</v>
      </c>
      <c r="AQ14" s="6">
        <f>IF(V14="SI",O14-AO14,O14)</f>
        <v>1</v>
      </c>
      <c r="AR14" s="331" t="str">
        <f>IF(AQ14&lt;=1,"Rara vez",VLOOKUP(AQ14,[11]Listas!$L$69:$M$73,2,0))</f>
        <v>Rara vez</v>
      </c>
      <c r="AS14" s="6">
        <f>IF(W14="SI",Q14-AO14,Q14)</f>
        <v>20</v>
      </c>
      <c r="AT14" s="331" t="str">
        <f>IF(AS14&lt;=9,"Moderado",IF(AS14=20,"Catastrófico",IF(AS14=18,"Moderado","Mayor")))</f>
        <v>Catastrófico</v>
      </c>
      <c r="AU14" s="331" t="str">
        <f>INDEX([11]Listas!$O$69:$Q$73,MATCH(AR14,[11]Listas!$M$69:$M$73,0),MATCH(AT14,[11]Listas!$O$67:$Q$67,0))</f>
        <v>20
MODERADA</v>
      </c>
      <c r="AV14" s="330"/>
      <c r="AW14" s="690" t="s">
        <v>940</v>
      </c>
      <c r="AX14" s="329" t="s">
        <v>2473</v>
      </c>
      <c r="AY14" s="691" t="s">
        <v>168</v>
      </c>
      <c r="AZ14" s="690" t="s">
        <v>2470</v>
      </c>
      <c r="BA14" s="12" t="s">
        <v>3315</v>
      </c>
      <c r="BB14" s="685" t="s">
        <v>3850</v>
      </c>
      <c r="BC14" s="12" t="s">
        <v>3851</v>
      </c>
      <c r="BD14" s="12" t="s">
        <v>3852</v>
      </c>
      <c r="BE14" s="685" t="s">
        <v>36</v>
      </c>
      <c r="BF14" s="12"/>
      <c r="BG14" s="12"/>
      <c r="BH14" s="227"/>
      <c r="BI14" s="227"/>
      <c r="BJ14" s="685"/>
      <c r="BK14" s="228"/>
      <c r="BL14" s="228"/>
    </row>
    <row r="15" spans="1:64" s="3" customFormat="1" ht="108" hidden="1" customHeight="1">
      <c r="A15" s="332"/>
      <c r="B15" s="2805"/>
      <c r="C15" s="2806"/>
      <c r="D15" s="2807"/>
      <c r="E15" s="691"/>
      <c r="F15" s="2808"/>
      <c r="G15" s="2809"/>
      <c r="H15" s="2810"/>
      <c r="I15" s="2805"/>
      <c r="J15" s="2806"/>
      <c r="K15" s="2807"/>
      <c r="L15" s="330"/>
      <c r="M15" s="50"/>
      <c r="N15" s="32"/>
      <c r="O15" s="6" t="e">
        <f>VLOOKUP(L15,[11]Listas!$M$69:$N$73,2,0)</f>
        <v>#N/A</v>
      </c>
      <c r="P15" s="6"/>
      <c r="Q15" s="6" t="e">
        <f>HLOOKUP(M15,[11]Listas!$O$67:$Q$68,2,0)</f>
        <v>#N/A</v>
      </c>
      <c r="R15" s="331" t="e">
        <f>INDEX([11]Listas!$O$69:$Q$73,MATCH(L15,[11]Listas!$M$69:$M$73,0),MATCH(M15,[11]Listas!$O$67:$Q$67,0))</f>
        <v>#N/A</v>
      </c>
      <c r="S15" s="2805"/>
      <c r="T15" s="2806"/>
      <c r="U15" s="2807"/>
      <c r="V15" s="329"/>
      <c r="W15" s="329"/>
      <c r="X15" s="329"/>
      <c r="Y15" s="329"/>
      <c r="Z15" s="329"/>
      <c r="AA15" s="329"/>
      <c r="AB15" s="329"/>
      <c r="AC15" s="329"/>
      <c r="AD15" s="329"/>
      <c r="AE15" s="329"/>
      <c r="AF15" s="33"/>
      <c r="AG15" s="6">
        <f t="shared" si="0"/>
        <v>0</v>
      </c>
      <c r="AH15" s="6">
        <f t="shared" si="1"/>
        <v>0</v>
      </c>
      <c r="AI15" s="6">
        <f t="shared" si="2"/>
        <v>0</v>
      </c>
      <c r="AJ15" s="6">
        <f t="shared" si="3"/>
        <v>0</v>
      </c>
      <c r="AK15" s="6">
        <f t="shared" si="4"/>
        <v>0</v>
      </c>
      <c r="AL15" s="6">
        <f t="shared" si="5"/>
        <v>0</v>
      </c>
      <c r="AM15" s="6">
        <f t="shared" si="6"/>
        <v>0</v>
      </c>
      <c r="AN15" s="6">
        <f t="shared" si="7"/>
        <v>0</v>
      </c>
      <c r="AO15" s="6">
        <f t="shared" si="8"/>
        <v>0</v>
      </c>
      <c r="AP15" s="331" t="str">
        <f t="shared" si="9"/>
        <v>0- disminuye 0</v>
      </c>
      <c r="AQ15" s="6" t="e">
        <f t="shared" si="10"/>
        <v>#N/A</v>
      </c>
      <c r="AR15" s="331" t="e">
        <f>IF(AQ15&lt;=1,"Rara vez",VLOOKUP(AQ15,[11]Listas!$L$69:$M$73,2,0))</f>
        <v>#N/A</v>
      </c>
      <c r="AS15" s="6" t="e">
        <f t="shared" si="11"/>
        <v>#N/A</v>
      </c>
      <c r="AT15" s="331" t="e">
        <f t="shared" si="12"/>
        <v>#N/A</v>
      </c>
      <c r="AU15" s="331" t="e">
        <f>INDEX([11]Listas!$O$69:$Q$73,MATCH(AR15,[11]Listas!$M$69:$M$73,0),MATCH(AT15,[11]Listas!$O$67:$Q$67,0))</f>
        <v>#N/A</v>
      </c>
      <c r="AV15" s="330"/>
      <c r="AW15" s="686"/>
      <c r="AX15" s="691"/>
      <c r="AY15" s="691"/>
      <c r="AZ15" s="12"/>
      <c r="BA15" s="12"/>
      <c r="BB15" s="685"/>
      <c r="BC15" s="12"/>
      <c r="BD15" s="12" t="s">
        <v>2343</v>
      </c>
      <c r="BE15" s="685"/>
      <c r="BF15" s="12"/>
      <c r="BG15" s="12"/>
      <c r="BH15" s="227"/>
      <c r="BI15" s="227"/>
      <c r="BJ15" s="685"/>
      <c r="BK15" s="228"/>
      <c r="BL15" s="228"/>
    </row>
    <row r="16" spans="1:64" s="3" customFormat="1" ht="108" hidden="1" customHeight="1">
      <c r="A16" s="332"/>
      <c r="B16" s="2805"/>
      <c r="C16" s="2806"/>
      <c r="D16" s="2807"/>
      <c r="E16" s="691"/>
      <c r="F16" s="2808"/>
      <c r="G16" s="2809"/>
      <c r="H16" s="2810"/>
      <c r="I16" s="2805"/>
      <c r="J16" s="2806"/>
      <c r="K16" s="2807"/>
      <c r="L16" s="330"/>
      <c r="M16" s="50"/>
      <c r="N16" s="32"/>
      <c r="O16" s="6" t="e">
        <f>VLOOKUP(L16,[11]Listas!$M$69:$N$73,2,0)</f>
        <v>#N/A</v>
      </c>
      <c r="P16" s="6"/>
      <c r="Q16" s="6" t="e">
        <f>HLOOKUP(M16,[11]Listas!$O$67:$Q$68,2,0)</f>
        <v>#N/A</v>
      </c>
      <c r="R16" s="331" t="e">
        <f>INDEX([11]Listas!$O$69:$Q$73,MATCH(L16,[11]Listas!$M$69:$M$73,0),MATCH(M16,[11]Listas!$O$67:$Q$67,0))</f>
        <v>#N/A</v>
      </c>
      <c r="S16" s="686"/>
      <c r="T16" s="687"/>
      <c r="U16" s="688"/>
      <c r="V16" s="329"/>
      <c r="W16" s="329"/>
      <c r="X16" s="329"/>
      <c r="Y16" s="329"/>
      <c r="Z16" s="329"/>
      <c r="AA16" s="329"/>
      <c r="AB16" s="329"/>
      <c r="AC16" s="329"/>
      <c r="AD16" s="329"/>
      <c r="AE16" s="329"/>
      <c r="AF16" s="33"/>
      <c r="AG16" s="6">
        <f t="shared" si="0"/>
        <v>0</v>
      </c>
      <c r="AH16" s="6">
        <f t="shared" si="1"/>
        <v>0</v>
      </c>
      <c r="AI16" s="6">
        <f t="shared" si="2"/>
        <v>0</v>
      </c>
      <c r="AJ16" s="6">
        <f t="shared" si="3"/>
        <v>0</v>
      </c>
      <c r="AK16" s="6">
        <f t="shared" si="4"/>
        <v>0</v>
      </c>
      <c r="AL16" s="6">
        <f t="shared" si="5"/>
        <v>0</v>
      </c>
      <c r="AM16" s="6">
        <f t="shared" si="6"/>
        <v>0</v>
      </c>
      <c r="AN16" s="6">
        <f t="shared" si="7"/>
        <v>0</v>
      </c>
      <c r="AO16" s="6">
        <f t="shared" si="8"/>
        <v>0</v>
      </c>
      <c r="AP16" s="331" t="str">
        <f t="shared" si="9"/>
        <v>0- disminuye 0</v>
      </c>
      <c r="AQ16" s="6" t="e">
        <f t="shared" si="10"/>
        <v>#N/A</v>
      </c>
      <c r="AR16" s="331" t="e">
        <f>IF(AQ16&lt;=1,"Rara vez",VLOOKUP(AQ16,[11]Listas!$L$69:$M$73,2,0))</f>
        <v>#N/A</v>
      </c>
      <c r="AS16" s="6" t="e">
        <f t="shared" si="11"/>
        <v>#N/A</v>
      </c>
      <c r="AT16" s="331" t="e">
        <f t="shared" si="12"/>
        <v>#N/A</v>
      </c>
      <c r="AU16" s="331" t="e">
        <f>INDEX([11]Listas!$O$69:$Q$73,MATCH(AR16,[11]Listas!$M$69:$M$73,0),MATCH(AT16,[11]Listas!$O$67:$Q$67,0))</f>
        <v>#N/A</v>
      </c>
      <c r="AV16" s="330"/>
      <c r="AW16" s="686"/>
      <c r="AX16" s="691"/>
      <c r="AY16" s="691"/>
      <c r="AZ16" s="12"/>
      <c r="BA16" s="12"/>
      <c r="BB16" s="685"/>
      <c r="BC16" s="12"/>
      <c r="BD16" s="12" t="s">
        <v>2343</v>
      </c>
      <c r="BE16" s="685"/>
      <c r="BF16" s="12"/>
      <c r="BG16" s="12"/>
      <c r="BH16" s="227"/>
      <c r="BI16" s="227"/>
      <c r="BJ16" s="685"/>
      <c r="BK16" s="228"/>
      <c r="BL16" s="228"/>
    </row>
    <row r="17" spans="1:64" s="3" customFormat="1" ht="108" hidden="1" customHeight="1">
      <c r="A17" s="332"/>
      <c r="B17" s="2805"/>
      <c r="C17" s="2806"/>
      <c r="D17" s="2807"/>
      <c r="E17" s="691"/>
      <c r="F17" s="2808"/>
      <c r="G17" s="2809"/>
      <c r="H17" s="2810"/>
      <c r="I17" s="2805"/>
      <c r="J17" s="2806"/>
      <c r="K17" s="2807"/>
      <c r="L17" s="330"/>
      <c r="M17" s="50"/>
      <c r="N17" s="32"/>
      <c r="O17" s="6" t="e">
        <f>VLOOKUP(L17,[11]Listas!$M$69:$N$73,2,0)</f>
        <v>#N/A</v>
      </c>
      <c r="P17" s="6"/>
      <c r="Q17" s="6" t="e">
        <f>HLOOKUP(M17,[11]Listas!$O$67:$Q$68,2,0)</f>
        <v>#N/A</v>
      </c>
      <c r="R17" s="331" t="e">
        <f>INDEX([11]Listas!$O$69:$Q$73,MATCH(L17,[11]Listas!$M$69:$M$73,0),MATCH(M17,[11]Listas!$O$67:$Q$67,0))</f>
        <v>#N/A</v>
      </c>
      <c r="S17" s="2805"/>
      <c r="T17" s="2806"/>
      <c r="U17" s="2807"/>
      <c r="V17" s="329"/>
      <c r="W17" s="329"/>
      <c r="X17" s="329"/>
      <c r="Y17" s="329"/>
      <c r="Z17" s="329"/>
      <c r="AA17" s="329"/>
      <c r="AB17" s="329"/>
      <c r="AC17" s="329"/>
      <c r="AD17" s="329"/>
      <c r="AE17" s="329"/>
      <c r="AF17" s="33"/>
      <c r="AG17" s="6">
        <f>IF(Y17="SI",15,0)</f>
        <v>0</v>
      </c>
      <c r="AH17" s="6">
        <f>IF(Z17="SI",5,0)</f>
        <v>0</v>
      </c>
      <c r="AI17" s="6">
        <f>IF(AA17="SI",15,0)</f>
        <v>0</v>
      </c>
      <c r="AJ17" s="6">
        <f>IF(AB17="SI",10,0)</f>
        <v>0</v>
      </c>
      <c r="AK17" s="6">
        <f>IF(AC17="SI",15,0)</f>
        <v>0</v>
      </c>
      <c r="AL17" s="6">
        <f>IF(AD17="SI",10,0)</f>
        <v>0</v>
      </c>
      <c r="AM17" s="6">
        <f>IF(AE17="SI",30,0)</f>
        <v>0</v>
      </c>
      <c r="AN17" s="6">
        <f>SUM(AG17+AH17+AI17+AJ17+AK17+AL17+AM17)</f>
        <v>0</v>
      </c>
      <c r="AO17" s="6">
        <f>IF(AN17&lt;=50,0,IF(AN17&gt;=76,2,1))</f>
        <v>0</v>
      </c>
      <c r="AP17" s="331" t="str">
        <f>CONCATENATE(AN17,"- disminuye ",AO17)</f>
        <v>0- disminuye 0</v>
      </c>
      <c r="AQ17" s="6" t="e">
        <f>IF(V17="SI",O17-AO17,O17)</f>
        <v>#N/A</v>
      </c>
      <c r="AR17" s="331" t="e">
        <f>IF(AQ17&lt;=1,"Rara vez",VLOOKUP(AQ17,[11]Listas!$L$69:$M$73,2,0))</f>
        <v>#N/A</v>
      </c>
      <c r="AS17" s="6" t="e">
        <f>IF(W17="SI",Q17-AO17,Q17)</f>
        <v>#N/A</v>
      </c>
      <c r="AT17" s="331" t="e">
        <f>IF(AS17&lt;=9,"Moderado",IF(AS17=20,"Catastrófico",IF(AS17=18,"Moderado","Mayor")))</f>
        <v>#N/A</v>
      </c>
      <c r="AU17" s="331" t="e">
        <f>INDEX([11]Listas!$O$69:$Q$73,MATCH(AR17,[11]Listas!$M$69:$M$73,0),MATCH(AT17,[11]Listas!$O$67:$Q$67,0))</f>
        <v>#N/A</v>
      </c>
      <c r="AV17" s="330"/>
      <c r="AW17" s="686"/>
      <c r="AX17" s="691"/>
      <c r="AY17" s="691"/>
      <c r="AZ17" s="12"/>
      <c r="BA17" s="12"/>
      <c r="BB17" s="685"/>
      <c r="BC17" s="12"/>
      <c r="BD17" s="12" t="s">
        <v>2343</v>
      </c>
      <c r="BE17" s="685"/>
      <c r="BF17" s="12"/>
      <c r="BG17" s="12"/>
      <c r="BH17" s="227"/>
      <c r="BI17" s="227"/>
      <c r="BJ17" s="685"/>
      <c r="BK17" s="228"/>
      <c r="BL17" s="228"/>
    </row>
    <row r="18" spans="1:64" s="3" customFormat="1" ht="108" hidden="1" customHeight="1">
      <c r="A18" s="332"/>
      <c r="B18" s="2805"/>
      <c r="C18" s="2806"/>
      <c r="D18" s="2807"/>
      <c r="E18" s="691"/>
      <c r="F18" s="2808"/>
      <c r="G18" s="2809"/>
      <c r="H18" s="2810"/>
      <c r="I18" s="2805"/>
      <c r="J18" s="2806"/>
      <c r="K18" s="2807"/>
      <c r="L18" s="330"/>
      <c r="M18" s="50"/>
      <c r="N18" s="32"/>
      <c r="O18" s="6" t="e">
        <f>VLOOKUP(L18,[11]Listas!$M$69:$N$73,2,0)</f>
        <v>#N/A</v>
      </c>
      <c r="P18" s="6"/>
      <c r="Q18" s="6" t="e">
        <f>HLOOKUP(M18,[11]Listas!$O$67:$Q$68,2,0)</f>
        <v>#N/A</v>
      </c>
      <c r="R18" s="331" t="e">
        <f>INDEX([11]Listas!$O$69:$Q$73,MATCH(L18,[11]Listas!$M$69:$M$73,0),MATCH(M18,[11]Listas!$O$67:$Q$67,0))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vez",VLOOKUP(AQ18,[11]Listas!$L$69:$M$73,2,0))</f>
        <v>#N/A</v>
      </c>
      <c r="AS18" s="6" t="e">
        <f t="shared" si="11"/>
        <v>#N/A</v>
      </c>
      <c r="AT18" s="331" t="e">
        <f t="shared" si="12"/>
        <v>#N/A</v>
      </c>
      <c r="AU18" s="331" t="e">
        <f>INDEX([11]Listas!$O$69:$Q$73,MATCH(AR18,[11]Listas!$M$69:$M$73,0),MATCH(AT18,[11]Listas!$O$67:$Q$67,0))</f>
        <v>#N/A</v>
      </c>
      <c r="AV18" s="330"/>
      <c r="AW18" s="686"/>
      <c r="AX18" s="691"/>
      <c r="AY18" s="691"/>
      <c r="AZ18" s="12"/>
      <c r="BA18" s="12"/>
      <c r="BB18" s="685"/>
      <c r="BC18" s="12"/>
      <c r="BD18" s="12" t="s">
        <v>2343</v>
      </c>
      <c r="BE18" s="685"/>
      <c r="BF18" s="12"/>
      <c r="BG18" s="12"/>
      <c r="BH18" s="227"/>
      <c r="BI18" s="227"/>
      <c r="BJ18" s="685"/>
      <c r="BK18" s="228"/>
      <c r="BL18" s="228"/>
    </row>
    <row r="19" spans="1:64" s="3" customFormat="1" ht="108" hidden="1" customHeight="1">
      <c r="A19" s="332"/>
      <c r="B19" s="2805"/>
      <c r="C19" s="2806"/>
      <c r="D19" s="2807"/>
      <c r="E19" s="691"/>
      <c r="F19" s="2808"/>
      <c r="G19" s="2809"/>
      <c r="H19" s="2810"/>
      <c r="I19" s="2805"/>
      <c r="J19" s="2806"/>
      <c r="K19" s="2807"/>
      <c r="L19" s="330"/>
      <c r="M19" s="50"/>
      <c r="N19" s="32"/>
      <c r="O19" s="6" t="e">
        <f>VLOOKUP(L19,[11]Listas!$M$69:$N$73,2,0)</f>
        <v>#N/A</v>
      </c>
      <c r="P19" s="6"/>
      <c r="Q19" s="6" t="e">
        <f>HLOOKUP(M19,[11]Listas!$O$67:$Q$68,2,0)</f>
        <v>#N/A</v>
      </c>
      <c r="R19" s="331" t="e">
        <f>INDEX([11]Listas!$O$69:$Q$73,MATCH(L19,[11]Listas!$M$69:$M$73,0),MATCH(M19,[11]Listas!$O$67:$Q$67,0))</f>
        <v>#N/A</v>
      </c>
      <c r="S19" s="2805"/>
      <c r="T19" s="2806"/>
      <c r="U19" s="2807"/>
      <c r="V19" s="329"/>
      <c r="W19" s="329"/>
      <c r="X19" s="329"/>
      <c r="Y19" s="329"/>
      <c r="Z19" s="329"/>
      <c r="AA19" s="329"/>
      <c r="AB19" s="329"/>
      <c r="AC19" s="329"/>
      <c r="AD19" s="329"/>
      <c r="AE19" s="329"/>
      <c r="AF19" s="33"/>
      <c r="AG19" s="6">
        <f t="shared" si="0"/>
        <v>0</v>
      </c>
      <c r="AH19" s="6">
        <f t="shared" si="1"/>
        <v>0</v>
      </c>
      <c r="AI19" s="6">
        <f t="shared" si="2"/>
        <v>0</v>
      </c>
      <c r="AJ19" s="6">
        <f t="shared" si="3"/>
        <v>0</v>
      </c>
      <c r="AK19" s="6">
        <f t="shared" si="4"/>
        <v>0</v>
      </c>
      <c r="AL19" s="6">
        <f t="shared" si="5"/>
        <v>0</v>
      </c>
      <c r="AM19" s="6">
        <f t="shared" si="6"/>
        <v>0</v>
      </c>
      <c r="AN19" s="6">
        <f t="shared" si="7"/>
        <v>0</v>
      </c>
      <c r="AO19" s="6">
        <f t="shared" si="8"/>
        <v>0</v>
      </c>
      <c r="AP19" s="331" t="str">
        <f t="shared" si="9"/>
        <v>0- disminuye 0</v>
      </c>
      <c r="AQ19" s="6" t="e">
        <f t="shared" si="10"/>
        <v>#N/A</v>
      </c>
      <c r="AR19" s="331" t="e">
        <f>IF(AQ19&lt;=1,"Rara vez",VLOOKUP(AQ19,[11]Listas!$L$69:$M$73,2,0))</f>
        <v>#N/A</v>
      </c>
      <c r="AS19" s="6" t="e">
        <f t="shared" si="11"/>
        <v>#N/A</v>
      </c>
      <c r="AT19" s="331" t="e">
        <f t="shared" si="12"/>
        <v>#N/A</v>
      </c>
      <c r="AU19" s="331" t="e">
        <f>INDEX([11]Listas!$O$69:$Q$73,MATCH(AR19,[11]Listas!$M$69:$M$73,0),MATCH(AT19,[11]Listas!$O$67:$Q$67,0))</f>
        <v>#N/A</v>
      </c>
      <c r="AV19" s="330"/>
      <c r="AW19" s="686"/>
      <c r="AX19" s="691"/>
      <c r="AY19" s="691"/>
      <c r="AZ19" s="12"/>
      <c r="BA19" s="12"/>
      <c r="BB19" s="685"/>
      <c r="BC19" s="12"/>
      <c r="BD19" s="12" t="s">
        <v>2343</v>
      </c>
      <c r="BE19" s="685"/>
      <c r="BF19" s="12"/>
      <c r="BG19" s="12"/>
      <c r="BH19" s="227"/>
      <c r="BI19" s="227"/>
      <c r="BJ19" s="685"/>
      <c r="BK19" s="228"/>
      <c r="BL19" s="228"/>
    </row>
    <row r="20" spans="1:64" s="3" customFormat="1" ht="108" hidden="1" customHeight="1">
      <c r="A20" s="332"/>
      <c r="B20" s="2805"/>
      <c r="C20" s="2806"/>
      <c r="D20" s="2807"/>
      <c r="E20" s="691"/>
      <c r="F20" s="2808"/>
      <c r="G20" s="2809"/>
      <c r="H20" s="2810"/>
      <c r="I20" s="2805"/>
      <c r="J20" s="2806"/>
      <c r="K20" s="2807"/>
      <c r="L20" s="330"/>
      <c r="M20" s="50"/>
      <c r="N20" s="32"/>
      <c r="O20" s="6" t="e">
        <f>VLOOKUP(L20,[11]Listas!$M$69:$N$73,2,0)</f>
        <v>#N/A</v>
      </c>
      <c r="P20" s="6"/>
      <c r="Q20" s="6" t="e">
        <f>HLOOKUP(M20,[11]Listas!$O$67:$Q$68,2,0)</f>
        <v>#N/A</v>
      </c>
      <c r="R20" s="331" t="e">
        <f>INDEX([11]Listas!$O$69:$Q$73,MATCH(L20,[11]Listas!$M$69:$M$73,0),MATCH(M20,[11]Listas!$O$67:$Q$67,0))</f>
        <v>#N/A</v>
      </c>
      <c r="S20" s="2805"/>
      <c r="T20" s="2806"/>
      <c r="U20" s="2807"/>
      <c r="V20" s="329"/>
      <c r="W20" s="329"/>
      <c r="X20" s="329"/>
      <c r="Y20" s="329"/>
      <c r="Z20" s="329"/>
      <c r="AA20" s="329"/>
      <c r="AB20" s="329"/>
      <c r="AC20" s="329"/>
      <c r="AD20" s="329"/>
      <c r="AE20" s="329"/>
      <c r="AF20" s="33"/>
      <c r="AG20" s="6">
        <f>IF(Y20="SI",15,0)</f>
        <v>0</v>
      </c>
      <c r="AH20" s="6">
        <f>IF(Z20="SI",5,0)</f>
        <v>0</v>
      </c>
      <c r="AI20" s="6">
        <f>IF(AA20="SI",15,0)</f>
        <v>0</v>
      </c>
      <c r="AJ20" s="6">
        <f>IF(AB20="SI",10,0)</f>
        <v>0</v>
      </c>
      <c r="AK20" s="6">
        <f>IF(AC20="SI",15,0)</f>
        <v>0</v>
      </c>
      <c r="AL20" s="6">
        <f>IF(AD20="SI",10,0)</f>
        <v>0</v>
      </c>
      <c r="AM20" s="6">
        <f>IF(AE20="SI",30,0)</f>
        <v>0</v>
      </c>
      <c r="AN20" s="6">
        <f>SUM(AG20+AH20+AI20+AJ20+AK20+AL20+AM20)</f>
        <v>0</v>
      </c>
      <c r="AO20" s="6">
        <f>IF(AN20&lt;=50,0,IF(AN20&gt;=76,2,1))</f>
        <v>0</v>
      </c>
      <c r="AP20" s="331" t="str">
        <f>CONCATENATE(AN20,"- disminuye ",AO20)</f>
        <v>0- disminuye 0</v>
      </c>
      <c r="AQ20" s="6" t="e">
        <f>IF(V20="SI",O20-AO20,O20)</f>
        <v>#N/A</v>
      </c>
      <c r="AR20" s="331" t="e">
        <f>IF(AQ20&lt;=1,"Rara vez",VLOOKUP(AQ20,[11]Listas!$L$69:$M$73,2,0))</f>
        <v>#N/A</v>
      </c>
      <c r="AS20" s="6" t="e">
        <f>IF(W20="SI",Q20-AO20,Q20)</f>
        <v>#N/A</v>
      </c>
      <c r="AT20" s="331" t="e">
        <f>IF(AS20&lt;=9,"Moderado",IF(AS20=20,"Catastrófico",IF(AS20=18,"Moderado","Mayor")))</f>
        <v>#N/A</v>
      </c>
      <c r="AU20" s="331" t="e">
        <f>INDEX([11]Listas!$O$69:$Q$73,MATCH(AR20,[11]Listas!$M$69:$M$73,0),MATCH(AT20,[11]Listas!$O$67:$Q$67,0))</f>
        <v>#N/A</v>
      </c>
      <c r="AV20" s="330"/>
      <c r="AW20" s="686"/>
      <c r="AX20" s="691"/>
      <c r="AY20" s="691"/>
      <c r="AZ20" s="12"/>
      <c r="BA20" s="12"/>
      <c r="BB20" s="685"/>
      <c r="BC20" s="12"/>
      <c r="BD20" s="12" t="s">
        <v>2343</v>
      </c>
      <c r="BE20" s="685"/>
      <c r="BF20" s="12"/>
      <c r="BG20" s="12"/>
      <c r="BH20" s="227"/>
      <c r="BI20" s="227"/>
      <c r="BJ20" s="685"/>
      <c r="BK20" s="228"/>
      <c r="BL20" s="228"/>
    </row>
    <row r="21" spans="1:64" s="3" customFormat="1" ht="108" hidden="1" customHeight="1">
      <c r="A21" s="332"/>
      <c r="B21" s="2805"/>
      <c r="C21" s="2806"/>
      <c r="D21" s="2807"/>
      <c r="E21" s="691"/>
      <c r="F21" s="2808"/>
      <c r="G21" s="2809"/>
      <c r="H21" s="2810"/>
      <c r="I21" s="2805"/>
      <c r="J21" s="2806"/>
      <c r="K21" s="2807"/>
      <c r="L21" s="330"/>
      <c r="M21" s="50"/>
      <c r="N21" s="32"/>
      <c r="O21" s="6" t="e">
        <f>VLOOKUP(L21,[11]Listas!$M$69:$N$73,2,0)</f>
        <v>#N/A</v>
      </c>
      <c r="P21" s="6"/>
      <c r="Q21" s="6" t="e">
        <f>HLOOKUP(M21,[11]Listas!$O$67:$Q$68,2,0)</f>
        <v>#N/A</v>
      </c>
      <c r="R21" s="331" t="e">
        <f>INDEX([11]Listas!$O$69:$Q$73,MATCH(L21,[11]Listas!$M$69:$M$73,0),MATCH(M21,[11]Listas!$O$67:$Q$67,0))</f>
        <v>#N/A</v>
      </c>
      <c r="S21" s="2805"/>
      <c r="T21" s="2806"/>
      <c r="U21" s="2807"/>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vez",VLOOKUP(AQ21,[11]Listas!$L$69:$M$73,2,0))</f>
        <v>#N/A</v>
      </c>
      <c r="AS21" s="6" t="e">
        <f t="shared" si="11"/>
        <v>#N/A</v>
      </c>
      <c r="AT21" s="331" t="e">
        <f t="shared" si="12"/>
        <v>#N/A</v>
      </c>
      <c r="AU21" s="331" t="e">
        <f>INDEX([11]Listas!$O$69:$Q$73,MATCH(AR21,[11]Listas!$M$69:$M$73,0),MATCH(AT21,[11]Listas!$O$67:$Q$67,0))</f>
        <v>#N/A</v>
      </c>
      <c r="AV21" s="330"/>
      <c r="AW21" s="686"/>
      <c r="AX21" s="691"/>
      <c r="AY21" s="691"/>
      <c r="AZ21" s="12"/>
      <c r="BA21" s="12"/>
      <c r="BB21" s="685"/>
      <c r="BC21" s="12"/>
      <c r="BD21" s="12" t="s">
        <v>2343</v>
      </c>
      <c r="BE21" s="685"/>
      <c r="BF21" s="12"/>
      <c r="BG21" s="12"/>
      <c r="BH21" s="227"/>
      <c r="BI21" s="227"/>
      <c r="BJ21" s="685"/>
      <c r="BK21" s="228"/>
      <c r="BL21" s="228"/>
    </row>
    <row r="22" spans="1:64" ht="6.75" customHeight="1">
      <c r="A22" s="2"/>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1:64" ht="15" customHeight="1">
      <c r="A23" s="317"/>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1:64" s="22" customFormat="1" ht="19.5" customHeight="1">
      <c r="A24" s="10"/>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4" t="s">
        <v>172</v>
      </c>
      <c r="AS24" s="2804"/>
      <c r="AT24" s="2804"/>
      <c r="AU24" s="2804"/>
      <c r="AV24" s="2804"/>
      <c r="AW24" s="2804"/>
      <c r="AX24" s="65"/>
      <c r="AY24" s="65"/>
      <c r="AZ24" s="68"/>
      <c r="BA24" s="68"/>
      <c r="BB24" s="92"/>
      <c r="BC24" s="68"/>
      <c r="BD24" s="68"/>
      <c r="BE24" s="92"/>
      <c r="BF24" s="68"/>
      <c r="BG24" s="68"/>
      <c r="BH24" s="230"/>
      <c r="BI24" s="230"/>
      <c r="BJ24" s="92"/>
      <c r="BK24" s="210"/>
      <c r="BL24" s="210"/>
    </row>
    <row r="25" spans="1:64" s="22" customFormat="1" ht="25.5" customHeight="1">
      <c r="A25" s="11"/>
      <c r="B25" s="2794" t="s">
        <v>173</v>
      </c>
      <c r="C25" s="2795"/>
      <c r="D25" s="2795"/>
      <c r="E25" s="2795"/>
      <c r="F25" s="2795"/>
      <c r="G25" s="2795"/>
      <c r="H25" s="2796"/>
      <c r="I25" s="2794" t="s">
        <v>2447</v>
      </c>
      <c r="J25" s="2795"/>
      <c r="K25" s="2795"/>
      <c r="L25" s="2795"/>
      <c r="M25" s="2795"/>
      <c r="N25" s="2795"/>
      <c r="O25" s="2795"/>
      <c r="P25" s="2795"/>
      <c r="Q25" s="2795"/>
      <c r="R25" s="2795"/>
      <c r="S25" s="2795"/>
      <c r="T25" s="2795"/>
      <c r="U25" s="2796"/>
      <c r="V25" s="2794" t="s">
        <v>2448</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68"/>
      <c r="BA25" s="68"/>
      <c r="BB25" s="92"/>
      <c r="BC25" s="68"/>
      <c r="BD25" s="68"/>
      <c r="BE25" s="92"/>
      <c r="BF25" s="68"/>
      <c r="BG25" s="68"/>
      <c r="BH25" s="230"/>
      <c r="BI25" s="230"/>
      <c r="BJ25" s="92"/>
      <c r="BK25" s="210"/>
      <c r="BL25" s="210"/>
    </row>
    <row r="26" spans="1:64" s="22" customFormat="1" ht="25.5" customHeight="1">
      <c r="A26" s="11"/>
      <c r="B26" s="2794" t="s">
        <v>168</v>
      </c>
      <c r="C26" s="2795"/>
      <c r="D26" s="2795"/>
      <c r="E26" s="2795"/>
      <c r="F26" s="2795"/>
      <c r="G26" s="2795"/>
      <c r="H26" s="2796"/>
      <c r="I26" s="2794" t="s">
        <v>1137</v>
      </c>
      <c r="J26" s="2795"/>
      <c r="K26" s="2795"/>
      <c r="L26" s="2795"/>
      <c r="M26" s="2795"/>
      <c r="N26" s="2795"/>
      <c r="O26" s="2795"/>
      <c r="P26" s="2795"/>
      <c r="Q26" s="2795"/>
      <c r="R26" s="2795"/>
      <c r="S26" s="2795"/>
      <c r="T26" s="2795"/>
      <c r="U26" s="2796"/>
      <c r="V26" s="2794" t="s">
        <v>930</v>
      </c>
      <c r="W26" s="2795"/>
      <c r="X26" s="2795"/>
      <c r="Y26" s="2795"/>
      <c r="Z26" s="2795"/>
      <c r="AA26" s="2795"/>
      <c r="AB26" s="2795"/>
      <c r="AC26" s="2795"/>
      <c r="AD26" s="2795"/>
      <c r="AE26" s="2795"/>
      <c r="AF26" s="2795"/>
      <c r="AG26" s="2795"/>
      <c r="AH26" s="2795"/>
      <c r="AI26" s="2795"/>
      <c r="AJ26" s="2795"/>
      <c r="AK26" s="2795"/>
      <c r="AL26" s="2795"/>
      <c r="AM26" s="2795"/>
      <c r="AN26" s="2795"/>
      <c r="AO26" s="2795"/>
      <c r="AP26" s="2796"/>
      <c r="AQ26" s="12"/>
      <c r="AR26" s="2800"/>
      <c r="AS26" s="2800"/>
      <c r="AT26" s="2800"/>
      <c r="AU26" s="2800"/>
      <c r="AV26" s="2800"/>
      <c r="AW26" s="2800"/>
      <c r="AX26" s="65"/>
      <c r="AY26" s="65"/>
      <c r="AZ26" s="68"/>
      <c r="BA26" s="68"/>
      <c r="BB26" s="92"/>
      <c r="BC26" s="68"/>
      <c r="BD26" s="68"/>
      <c r="BE26" s="92"/>
      <c r="BF26" s="68"/>
      <c r="BG26" s="68"/>
      <c r="BH26" s="230"/>
      <c r="BI26" s="230"/>
      <c r="BJ26" s="92"/>
      <c r="BK26" s="210"/>
      <c r="BL26" s="210"/>
    </row>
    <row r="27" spans="1:64" ht="25.5" customHeight="1">
      <c r="A27" s="11"/>
      <c r="B27" s="2794"/>
      <c r="C27" s="2795"/>
      <c r="D27" s="2795"/>
      <c r="E27" s="2795"/>
      <c r="F27" s="2795"/>
      <c r="G27" s="2795"/>
      <c r="H27" s="2796"/>
      <c r="I27" s="2794"/>
      <c r="J27" s="2795"/>
      <c r="K27" s="2795"/>
      <c r="L27" s="2795"/>
      <c r="M27" s="2795"/>
      <c r="N27" s="2795"/>
      <c r="O27" s="2795"/>
      <c r="P27" s="2795"/>
      <c r="Q27" s="2795"/>
      <c r="R27" s="2795"/>
      <c r="S27" s="2795"/>
      <c r="T27" s="2795"/>
      <c r="U27" s="2796"/>
      <c r="V27" s="2794"/>
      <c r="W27" s="2795"/>
      <c r="X27" s="2795"/>
      <c r="Y27" s="2795"/>
      <c r="Z27" s="2795"/>
      <c r="AA27" s="2795"/>
      <c r="AB27" s="2795"/>
      <c r="AC27" s="2795"/>
      <c r="AD27" s="2795"/>
      <c r="AE27" s="2795"/>
      <c r="AF27" s="2795"/>
      <c r="AG27" s="2795"/>
      <c r="AH27" s="2795"/>
      <c r="AI27" s="2795"/>
      <c r="AJ27" s="2795"/>
      <c r="AK27" s="2795"/>
      <c r="AL27" s="2795"/>
      <c r="AM27" s="2795"/>
      <c r="AN27" s="2795"/>
      <c r="AO27" s="2795"/>
      <c r="AP27" s="2796"/>
      <c r="AQ27" s="12"/>
      <c r="AR27" s="2800"/>
      <c r="AS27" s="2800"/>
      <c r="AT27" s="2800"/>
      <c r="AU27" s="2800"/>
      <c r="AV27" s="2800"/>
      <c r="AW27" s="2800"/>
      <c r="AX27" s="65"/>
      <c r="AY27" s="65"/>
      <c r="AZ27" s="68"/>
      <c r="BA27" s="68"/>
      <c r="BB27" s="92"/>
      <c r="BC27" s="68"/>
      <c r="BD27" s="68"/>
      <c r="BE27" s="92"/>
      <c r="BF27" s="68"/>
      <c r="BG27" s="68"/>
      <c r="BH27" s="230"/>
      <c r="BI27" s="230"/>
      <c r="BJ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2918"/>
      <c r="K29" s="2918"/>
      <c r="L29" s="2918"/>
      <c r="M29" s="2918"/>
      <c r="N29" s="2918"/>
      <c r="O29" s="312"/>
      <c r="P29" s="312"/>
      <c r="Q29" s="312"/>
      <c r="R29" s="1405"/>
      <c r="S29" s="1405"/>
      <c r="T29" s="1405"/>
      <c r="U29" s="1405"/>
      <c r="V29" s="1405"/>
      <c r="W29" s="1349"/>
      <c r="X29" s="1349"/>
      <c r="Y29" s="19"/>
      <c r="Z29" s="19"/>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2918"/>
      <c r="K30" s="2918"/>
      <c r="L30" s="2918"/>
      <c r="M30" s="2918"/>
      <c r="N30" s="2918"/>
      <c r="O30" s="312"/>
      <c r="P30" s="312"/>
      <c r="Q30" s="312"/>
      <c r="R30" s="1405"/>
      <c r="S30" s="1405"/>
      <c r="T30" s="1405"/>
      <c r="U30" s="1405"/>
      <c r="V30" s="1405"/>
      <c r="W30" s="1349"/>
      <c r="X30" s="1349"/>
      <c r="Y30" s="19"/>
      <c r="Z30" s="19"/>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2">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2">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2">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2">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2">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2">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2">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2">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2">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2">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2">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2">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2">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1:62">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c r="AZ94" s="68"/>
      <c r="BA94" s="68"/>
      <c r="BB94" s="92"/>
      <c r="BC94" s="68"/>
      <c r="BD94" s="68"/>
      <c r="BE94" s="92"/>
      <c r="BF94" s="68"/>
      <c r="BG94" s="68"/>
      <c r="BH94" s="230"/>
      <c r="BI94" s="230"/>
      <c r="BJ94" s="92"/>
    </row>
    <row r="95" spans="1:62">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2">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1:64">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ht="11.25">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1:64" ht="11.25">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c r="AZ105" s="231"/>
      <c r="BA105" s="231"/>
      <c r="BB105" s="231"/>
      <c r="BC105" s="231"/>
      <c r="BD105" s="231"/>
      <c r="BE105" s="231"/>
      <c r="BF105" s="231"/>
      <c r="BG105" s="231"/>
      <c r="BH105" s="231"/>
      <c r="BI105" s="231"/>
      <c r="BJ105" s="231"/>
      <c r="BK105" s="231"/>
      <c r="BL105" s="231"/>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1:49">
      <c r="A119" s="13"/>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row r="120" spans="1:49">
      <c r="A120" s="13"/>
      <c r="B120" s="13"/>
      <c r="C120" s="13"/>
      <c r="D120" s="13"/>
      <c r="E120" s="14"/>
      <c r="F120" s="13"/>
      <c r="G120" s="13"/>
      <c r="H120" s="13"/>
      <c r="I120" s="13"/>
      <c r="J120" s="13"/>
      <c r="K120" s="13"/>
      <c r="L120" s="15"/>
      <c r="M120" s="15"/>
      <c r="N120" s="15"/>
      <c r="O120" s="15"/>
      <c r="P120" s="15"/>
      <c r="Q120" s="15"/>
      <c r="R120" s="15"/>
      <c r="S120" s="15"/>
      <c r="T120" s="15"/>
      <c r="U120" s="15"/>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5"/>
      <c r="AW120" s="15"/>
    </row>
  </sheetData>
  <sheetProtection formatCells="0" formatColumns="0" formatRows="0" insertRows="0" deleteRows="0" sort="0" autoFilter="0" pivotTables="0"/>
  <mergeCells count="102">
    <mergeCell ref="J29:N29"/>
    <mergeCell ref="R29:V29"/>
    <mergeCell ref="W29:X29"/>
    <mergeCell ref="J30:N30"/>
    <mergeCell ref="R30:V30"/>
    <mergeCell ref="W30:X30"/>
    <mergeCell ref="B26:H26"/>
    <mergeCell ref="I26:U26"/>
    <mergeCell ref="V26:AP26"/>
    <mergeCell ref="AR26:AW26"/>
    <mergeCell ref="B27:H27"/>
    <mergeCell ref="I27:U27"/>
    <mergeCell ref="V27:AP27"/>
    <mergeCell ref="AR27:AW27"/>
    <mergeCell ref="V24:AP24"/>
    <mergeCell ref="AR24:AW24"/>
    <mergeCell ref="B25:H25"/>
    <mergeCell ref="I25:U25"/>
    <mergeCell ref="V25:AP25"/>
    <mergeCell ref="AR25:AW25"/>
    <mergeCell ref="B21:D21"/>
    <mergeCell ref="F21:H21"/>
    <mergeCell ref="I21:K21"/>
    <mergeCell ref="S21:U21"/>
    <mergeCell ref="B23:U23"/>
    <mergeCell ref="B24:H24"/>
    <mergeCell ref="I24:U24"/>
    <mergeCell ref="B19:D19"/>
    <mergeCell ref="F19:H19"/>
    <mergeCell ref="I19:K19"/>
    <mergeCell ref="S19:U19"/>
    <mergeCell ref="B20:D20"/>
    <mergeCell ref="F20:H20"/>
    <mergeCell ref="I20:K20"/>
    <mergeCell ref="S20:U20"/>
    <mergeCell ref="B17:D17"/>
    <mergeCell ref="F17:H17"/>
    <mergeCell ref="I17:K17"/>
    <mergeCell ref="S17:U17"/>
    <mergeCell ref="B18:D18"/>
    <mergeCell ref="F18:H18"/>
    <mergeCell ref="I18:K18"/>
    <mergeCell ref="S18:U18"/>
    <mergeCell ref="B15:D15"/>
    <mergeCell ref="F15:H15"/>
    <mergeCell ref="I15:K15"/>
    <mergeCell ref="S15:U15"/>
    <mergeCell ref="B16:D16"/>
    <mergeCell ref="F16:H16"/>
    <mergeCell ref="I16:K16"/>
    <mergeCell ref="B13:D13"/>
    <mergeCell ref="F13:H13"/>
    <mergeCell ref="I13:K13"/>
    <mergeCell ref="S13:U13"/>
    <mergeCell ref="B14:D14"/>
    <mergeCell ref="F14:H14"/>
    <mergeCell ref="I14:K14"/>
    <mergeCell ref="S14:U14"/>
    <mergeCell ref="B11:D11"/>
    <mergeCell ref="F11:H11"/>
    <mergeCell ref="I11:K11"/>
    <mergeCell ref="S11:U11"/>
    <mergeCell ref="B12:D12"/>
    <mergeCell ref="F12:H12"/>
    <mergeCell ref="I12:K12"/>
    <mergeCell ref="S12:U12"/>
    <mergeCell ref="B9:D9"/>
    <mergeCell ref="F9:H9"/>
    <mergeCell ref="I9:K9"/>
    <mergeCell ref="S9:U9"/>
    <mergeCell ref="B10:D10"/>
    <mergeCell ref="F10:H10"/>
    <mergeCell ref="I10:K10"/>
    <mergeCell ref="S10:U10"/>
    <mergeCell ref="BF7:BJ7"/>
    <mergeCell ref="B8:K8"/>
    <mergeCell ref="L8:R8"/>
    <mergeCell ref="S8:AV8"/>
    <mergeCell ref="AW8:AZ8"/>
    <mergeCell ref="BF8:BJ8"/>
    <mergeCell ref="B6:C6"/>
    <mergeCell ref="D6:H6"/>
    <mergeCell ref="I6:K6"/>
    <mergeCell ref="L6:U6"/>
    <mergeCell ref="V6:Z6"/>
    <mergeCell ref="AA6:BA6"/>
    <mergeCell ref="BD3:BE3"/>
    <mergeCell ref="A4:D4"/>
    <mergeCell ref="E4:U4"/>
    <mergeCell ref="V4:AB4"/>
    <mergeCell ref="BB4:BC4"/>
    <mergeCell ref="BD4:BE4"/>
    <mergeCell ref="A1:AB1"/>
    <mergeCell ref="AC1:AU4"/>
    <mergeCell ref="BB1:BE1"/>
    <mergeCell ref="A2:AB2"/>
    <mergeCell ref="BB2:BC2"/>
    <mergeCell ref="BD2:BE2"/>
    <mergeCell ref="A3:D3"/>
    <mergeCell ref="E3:U3"/>
    <mergeCell ref="V3:AB3"/>
    <mergeCell ref="BB3:BC3"/>
  </mergeCells>
  <dataValidations count="8">
    <dataValidation type="list" allowBlank="1" showInputMessage="1" showErrorMessage="1" sqref="BE10:BE21">
      <formula1>Efectividad</formula1>
    </dataValidation>
    <dataValidation type="list" allowBlank="1" showInputMessage="1" sqref="AV10:AV21">
      <formula1>Periodo</formula1>
    </dataValidation>
    <dataValidation type="list" showInputMessage="1" showErrorMessage="1" sqref="V10:AF21">
      <formula1>Efectividad</formula1>
    </dataValidation>
    <dataValidation showInputMessage="1" showErrorMessage="1" sqref="AG10:AT21"/>
    <dataValidation type="list" allowBlank="1" showInputMessage="1" showErrorMessage="1" sqref="M10:N21">
      <formula1>Impacto</formula1>
    </dataValidation>
    <dataValidation type="list" showInputMessage="1" showErrorMessage="1" sqref="L10:L21">
      <formula1>Probabilidad</formula1>
    </dataValidation>
    <dataValidation type="list" sqref="BD4:BE4">
      <formula1>Monitoreo</formula1>
    </dataValidation>
    <dataValidation type="list" allowBlank="1" showInputMessage="1" showErrorMessage="1" sqref="L6">
      <formula1>Proceso</formula1>
    </dataValidation>
  </dataValidations>
  <printOptions horizontalCentered="1" verticalCentered="1"/>
  <pageMargins left="3.937007874015748E-2" right="3.937007874015748E-2" top="0.74803149606299213" bottom="0.35433070866141736" header="0.31496062992125984" footer="0.31496062992125984"/>
  <pageSetup paperSize="14" scale="44" orientation="landscape" r:id="rId1"/>
  <headerFooter>
    <oddFooter>&amp;L&amp;"Segoe UI,Normal"&amp;9Formato: FO-AC-07 Versión: 3&amp;C&amp;"Segoe UI,Normal"&amp;9Página &amp;P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BL118"/>
  <sheetViews>
    <sheetView showGridLines="0" zoomScaleNormal="100" zoomScaleSheetLayoutView="115" workbookViewId="0">
      <pane xSplit="4" ySplit="9" topLeftCell="E10" activePane="bottomRight" state="frozen"/>
      <selection pane="topRight" activeCell="E1" sqref="E1"/>
      <selection pane="bottomLeft" activeCell="A10" sqref="A10"/>
      <selection pane="bottomRight" sqref="A1:AB1"/>
    </sheetView>
  </sheetViews>
  <sheetFormatPr baseColWidth="10" defaultRowHeight="15"/>
  <cols>
    <col min="1" max="1" width="1.140625" style="16" customWidth="1"/>
    <col min="2" max="4" width="5.42578125" style="16" customWidth="1"/>
    <col min="5" max="5" width="7.28515625" style="17" customWidth="1"/>
    <col min="6" max="7" width="4.5703125" style="16" customWidth="1"/>
    <col min="8" max="8" width="22.28515625" style="16" customWidth="1"/>
    <col min="9" max="10" width="4.5703125" style="16" customWidth="1"/>
    <col min="11" max="11" width="17.8554687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0" width="7.140625" style="18" customWidth="1"/>
    <col min="21" max="21" width="28.28515625" style="18" customWidth="1"/>
    <col min="22" max="28" width="4.28515625" style="17" customWidth="1"/>
    <col min="29" max="31" width="4.7109375" style="17" customWidth="1"/>
    <col min="32" max="32" width="4.28515625" style="17" hidden="1" customWidth="1"/>
    <col min="33" max="39" width="2.7109375" style="17" hidden="1" customWidth="1"/>
    <col min="40" max="40" width="5.140625" style="17" hidden="1" customWidth="1"/>
    <col min="41" max="41" width="0.5703125" style="17" hidden="1" customWidth="1"/>
    <col min="42" max="42" width="4.7109375" style="17" hidden="1" customWidth="1"/>
    <col min="43" max="43" width="5.140625" style="17" hidden="1" customWidth="1"/>
    <col min="44" max="44" width="4.7109375" style="17" customWidth="1"/>
    <col min="45" max="45" width="5.140625" style="17" hidden="1" customWidth="1"/>
    <col min="46" max="47" width="4.7109375" style="17" customWidth="1"/>
    <col min="48" max="48" width="4.7109375" style="18" customWidth="1"/>
    <col min="49" max="49" width="24.42578125" style="18" customWidth="1"/>
    <col min="50" max="50" width="27.28515625" style="21" customWidth="1"/>
    <col min="51" max="51" width="9.85546875" style="21" customWidth="1"/>
    <col min="52" max="52" width="30.85546875" style="210" customWidth="1"/>
    <col min="53" max="53" width="38.42578125" style="210" customWidth="1"/>
    <col min="54" max="54" width="13" style="210" customWidth="1"/>
    <col min="55" max="55" width="19.5703125" style="210" customWidth="1"/>
    <col min="56" max="56" width="42.7109375" style="210" customWidth="1"/>
    <col min="57" max="57" width="10.5703125" style="210" customWidth="1"/>
    <col min="58" max="58" width="31.5703125" style="210" customWidth="1"/>
    <col min="59" max="59" width="16.140625" style="210" customWidth="1"/>
    <col min="60" max="61" width="9.28515625" style="210" customWidth="1"/>
    <col min="62" max="62" width="11.140625" style="210" customWidth="1"/>
    <col min="63" max="63" width="2.140625" style="210" customWidth="1"/>
    <col min="64" max="64" width="11.42578125" style="210"/>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858" t="str">
        <f>UPPER([27]Control!A2)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22">
        <v>2019</v>
      </c>
      <c r="BA2" s="208"/>
      <c r="BB2" s="2830" t="s">
        <v>138</v>
      </c>
      <c r="BC2" s="2831"/>
      <c r="BD2" s="2861" t="str">
        <f>L6</f>
        <v>GESTIÓN PREDIAL</v>
      </c>
      <c r="BE2" s="2862"/>
      <c r="BF2" s="586"/>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1:64" ht="15.75" customHeight="1" thickBot="1">
      <c r="A4" s="2832" t="str">
        <f>[27]Control!A4</f>
        <v>FO-PE-05</v>
      </c>
      <c r="B4" s="2833"/>
      <c r="C4" s="2833"/>
      <c r="D4" s="2834"/>
      <c r="E4" s="2835" t="str">
        <f>[27]Control!C4</f>
        <v>Planeación Estratégica</v>
      </c>
      <c r="F4" s="2833"/>
      <c r="G4" s="2833"/>
      <c r="H4" s="2833"/>
      <c r="I4" s="2833"/>
      <c r="J4" s="2833"/>
      <c r="K4" s="2833"/>
      <c r="L4" s="2833"/>
      <c r="M4" s="2833"/>
      <c r="N4" s="2833"/>
      <c r="O4" s="2833"/>
      <c r="P4" s="2833"/>
      <c r="Q4" s="2833"/>
      <c r="R4" s="2833"/>
      <c r="S4" s="2833"/>
      <c r="T4" s="2833"/>
      <c r="U4" s="2834"/>
      <c r="V4" s="2835">
        <f>[27]Control!H4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524">
        <v>43587</v>
      </c>
      <c r="BA4" s="208"/>
      <c r="BB4" s="2836" t="s">
        <v>3780</v>
      </c>
      <c r="BC4" s="2837"/>
      <c r="BD4" s="2282" t="s">
        <v>4006</v>
      </c>
      <c r="BE4" s="2282"/>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842" t="s">
        <v>133</v>
      </c>
      <c r="M6" s="2843"/>
      <c r="N6" s="2843"/>
      <c r="O6" s="2843"/>
      <c r="P6" s="2843"/>
      <c r="Q6" s="2843"/>
      <c r="R6" s="2843"/>
      <c r="S6" s="2843"/>
      <c r="T6" s="2843"/>
      <c r="U6" s="2844"/>
      <c r="V6" s="2845" t="s">
        <v>59</v>
      </c>
      <c r="W6" s="2845"/>
      <c r="X6" s="2845"/>
      <c r="Y6" s="2845"/>
      <c r="Z6" s="2845"/>
      <c r="AA6" s="2827" t="s">
        <v>970</v>
      </c>
      <c r="AB6" s="2828"/>
      <c r="AC6" s="2828"/>
      <c r="AD6" s="2828"/>
      <c r="AE6" s="2828"/>
      <c r="AF6" s="2828"/>
      <c r="AG6" s="2828"/>
      <c r="AH6" s="2828"/>
      <c r="AI6" s="2828"/>
      <c r="AJ6" s="2828"/>
      <c r="AK6" s="2828"/>
      <c r="AL6" s="2828"/>
      <c r="AM6" s="2828"/>
      <c r="AN6" s="2828"/>
      <c r="AO6" s="2828"/>
      <c r="AP6" s="2828"/>
      <c r="AQ6" s="2828"/>
      <c r="AR6" s="2828"/>
      <c r="AS6" s="2828"/>
      <c r="AT6" s="2828"/>
      <c r="AU6" s="2828"/>
      <c r="AV6" s="2828"/>
      <c r="AW6" s="2828"/>
      <c r="AX6" s="2828"/>
      <c r="AY6" s="2828"/>
      <c r="AZ6" s="2828"/>
      <c r="BA6" s="2829"/>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86.25"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1:64" s="3" customFormat="1" ht="216.75" customHeight="1">
      <c r="A10" s="332"/>
      <c r="B10" s="2919" t="s">
        <v>3359</v>
      </c>
      <c r="C10" s="2920"/>
      <c r="D10" s="2921"/>
      <c r="E10" s="843" t="s">
        <v>43</v>
      </c>
      <c r="F10" s="2925" t="s">
        <v>3360</v>
      </c>
      <c r="G10" s="2926"/>
      <c r="H10" s="2927"/>
      <c r="I10" s="2928" t="s">
        <v>3361</v>
      </c>
      <c r="J10" s="2929"/>
      <c r="K10" s="2930"/>
      <c r="L10" s="330" t="s">
        <v>283</v>
      </c>
      <c r="M10" s="50" t="s">
        <v>287</v>
      </c>
      <c r="N10" s="32"/>
      <c r="O10" s="6">
        <f>VLOOKUP(L10,[27]Listas!$M$69:$N$73,2,0)</f>
        <v>1</v>
      </c>
      <c r="P10" s="6"/>
      <c r="Q10" s="6">
        <f>HLOOKUP(M10,[27]Listas!$O$67:$Q$68,2,0)</f>
        <v>20</v>
      </c>
      <c r="R10" s="331" t="str">
        <f>INDEX([27]Listas!$O$69:$Q$73,MATCH(L10,[27]Listas!$M$69:$M$73,0),MATCH(M10,[27]Listas!$O$67:$Q$67,0))</f>
        <v>20
MODERADA</v>
      </c>
      <c r="S10" s="2928" t="s">
        <v>3362</v>
      </c>
      <c r="T10" s="2929"/>
      <c r="U10" s="2930"/>
      <c r="V10" s="329" t="s">
        <v>65</v>
      </c>
      <c r="W10" s="329" t="s">
        <v>36</v>
      </c>
      <c r="X10" s="329" t="s">
        <v>36</v>
      </c>
      <c r="Y10" s="329" t="s">
        <v>65</v>
      </c>
      <c r="Z10" s="329" t="s">
        <v>65</v>
      </c>
      <c r="AA10" s="329" t="s">
        <v>36</v>
      </c>
      <c r="AB10" s="329" t="s">
        <v>65</v>
      </c>
      <c r="AC10" s="329" t="s">
        <v>65</v>
      </c>
      <c r="AD10" s="329" t="s">
        <v>65</v>
      </c>
      <c r="AE10" s="329" t="s">
        <v>65</v>
      </c>
      <c r="AF10" s="33"/>
      <c r="AG10" s="6">
        <f t="shared" ref="AG10:AG21" si="0">IF(Y10="SI",15,0)</f>
        <v>15</v>
      </c>
      <c r="AH10" s="6">
        <f t="shared" ref="AH10:AH21" si="1">IF(Z10="SI",5,0)</f>
        <v>5</v>
      </c>
      <c r="AI10" s="6">
        <f t="shared" ref="AI10:AI21" si="2">IF(AA10="SI",15,0)</f>
        <v>0</v>
      </c>
      <c r="AJ10" s="6">
        <f t="shared" ref="AJ10:AJ21" si="3">IF(AB10="SI",10,0)</f>
        <v>10</v>
      </c>
      <c r="AK10" s="6">
        <f t="shared" ref="AK10:AK21" si="4">IF(AC10="SI",15,0)</f>
        <v>15</v>
      </c>
      <c r="AL10" s="6">
        <f t="shared" ref="AL10:AL21" si="5">IF(AD10="SI",10,0)</f>
        <v>10</v>
      </c>
      <c r="AM10" s="6">
        <f t="shared" ref="AM10:AM21" si="6">IF(AE10="SI",30,0)</f>
        <v>30</v>
      </c>
      <c r="AN10" s="6">
        <f t="shared" ref="AN10:AN21" si="7">SUM(AG10+AH10+AI10+AJ10+AK10+AL10+AM10)</f>
        <v>85</v>
      </c>
      <c r="AO10" s="6">
        <f t="shared" ref="AO10:AO21" si="8">IF(AN10&lt;=50,0,IF(AN10&gt;=76,2,1))</f>
        <v>2</v>
      </c>
      <c r="AP10" s="331" t="str">
        <f t="shared" ref="AP10:AP21" si="9">CONCATENATE(AN10,"- disminuye ",AO10)</f>
        <v>85- disminuye 2</v>
      </c>
      <c r="AQ10" s="6">
        <f t="shared" ref="AQ10:AQ21" si="10">IF(V10="SI",O10-AO10,O10)</f>
        <v>-1</v>
      </c>
      <c r="AR10" s="331" t="str">
        <f>IF(AQ10&lt;=1,"Rara vez",VLOOKUP(AQ10,[27]Listas!$L$69:$M$73,2,0))</f>
        <v>Rara vez</v>
      </c>
      <c r="AS10" s="6">
        <f t="shared" ref="AS10:AS21" si="11">IF(W10="SI",Q10-AO10,Q10)</f>
        <v>20</v>
      </c>
      <c r="AT10" s="331" t="str">
        <f t="shared" ref="AT10:AT21" si="12">IF(AS10&lt;=9,"Moderado",IF(AS10=20,"Catastrófico",IF(AS10=18,"Moderado","Mayor")))</f>
        <v>Catastrófico</v>
      </c>
      <c r="AU10" s="331" t="str">
        <f>INDEX([27]Listas!$O$69:$Q$73,MATCH(AR10,[27]Listas!$M$69:$M$73,0),MATCH(AT10,[27]Listas!$O$67:$Q$67,0))</f>
        <v>20
MODERADA</v>
      </c>
      <c r="AV10" s="330" t="s">
        <v>271</v>
      </c>
      <c r="AW10" s="844" t="s">
        <v>3363</v>
      </c>
      <c r="AX10" s="525" t="s">
        <v>3364</v>
      </c>
      <c r="AY10" s="50" t="s">
        <v>3365</v>
      </c>
      <c r="AZ10" s="69" t="s">
        <v>3366</v>
      </c>
      <c r="BA10" s="839" t="s">
        <v>3367</v>
      </c>
      <c r="BB10" s="226">
        <v>0</v>
      </c>
      <c r="BC10" s="12" t="s">
        <v>4007</v>
      </c>
      <c r="BD10" s="12" t="s">
        <v>4008</v>
      </c>
      <c r="BE10" s="839" t="s">
        <v>36</v>
      </c>
      <c r="BF10" s="839" t="s">
        <v>2573</v>
      </c>
      <c r="BG10" s="839" t="s">
        <v>2573</v>
      </c>
      <c r="BH10" s="839" t="s">
        <v>2573</v>
      </c>
      <c r="BI10" s="839" t="s">
        <v>2573</v>
      </c>
      <c r="BJ10" s="839" t="s">
        <v>2573</v>
      </c>
      <c r="BK10" s="228"/>
      <c r="BL10" s="228"/>
    </row>
    <row r="11" spans="1:64" s="3" customFormat="1" ht="245.25" customHeight="1">
      <c r="A11" s="332">
        <v>0</v>
      </c>
      <c r="B11" s="2919" t="s">
        <v>3368</v>
      </c>
      <c r="C11" s="2920"/>
      <c r="D11" s="2921"/>
      <c r="E11" s="329" t="s">
        <v>44</v>
      </c>
      <c r="F11" s="2922" t="s">
        <v>3369</v>
      </c>
      <c r="G11" s="2923"/>
      <c r="H11" s="2924"/>
      <c r="I11" s="2919" t="s">
        <v>3370</v>
      </c>
      <c r="J11" s="2920"/>
      <c r="K11" s="2921"/>
      <c r="L11" s="49" t="s">
        <v>283</v>
      </c>
      <c r="M11" s="313" t="s">
        <v>287</v>
      </c>
      <c r="N11" s="526"/>
      <c r="O11" s="527">
        <f>VLOOKUP(L11,[27]Listas!$M$69:$N$73,2,0)</f>
        <v>1</v>
      </c>
      <c r="P11" s="527"/>
      <c r="Q11" s="527">
        <f>HLOOKUP(M11,[27]Listas!$O$67:$Q$68,2,0)</f>
        <v>20</v>
      </c>
      <c r="R11" s="528" t="str">
        <f>INDEX([27]Listas!$O$69:$Q$73,MATCH(L11,[27]Listas!$M$69:$M$73,0),MATCH(M11,[27]Listas!$O$67:$Q$67,0))</f>
        <v>20
MODERADA</v>
      </c>
      <c r="S11" s="2919" t="s">
        <v>3371</v>
      </c>
      <c r="T11" s="2920"/>
      <c r="U11" s="2921"/>
      <c r="V11" s="329" t="s">
        <v>65</v>
      </c>
      <c r="W11" s="329" t="s">
        <v>36</v>
      </c>
      <c r="X11" s="329" t="s">
        <v>36</v>
      </c>
      <c r="Y11" s="329" t="s">
        <v>65</v>
      </c>
      <c r="Z11" s="329" t="s">
        <v>65</v>
      </c>
      <c r="AA11" s="329" t="s">
        <v>36</v>
      </c>
      <c r="AB11" s="329" t="s">
        <v>65</v>
      </c>
      <c r="AC11" s="329" t="s">
        <v>65</v>
      </c>
      <c r="AD11" s="329" t="s">
        <v>65</v>
      </c>
      <c r="AE11" s="329" t="s">
        <v>65</v>
      </c>
      <c r="AF11" s="33"/>
      <c r="AG11" s="6">
        <f t="shared" si="0"/>
        <v>15</v>
      </c>
      <c r="AH11" s="6">
        <f t="shared" si="1"/>
        <v>5</v>
      </c>
      <c r="AI11" s="6">
        <f t="shared" si="2"/>
        <v>0</v>
      </c>
      <c r="AJ11" s="6">
        <f t="shared" si="3"/>
        <v>10</v>
      </c>
      <c r="AK11" s="6">
        <f t="shared" si="4"/>
        <v>15</v>
      </c>
      <c r="AL11" s="6">
        <f t="shared" si="5"/>
        <v>10</v>
      </c>
      <c r="AM11" s="6">
        <f t="shared" si="6"/>
        <v>30</v>
      </c>
      <c r="AN11" s="6">
        <f t="shared" si="7"/>
        <v>85</v>
      </c>
      <c r="AO11" s="6">
        <f t="shared" si="8"/>
        <v>2</v>
      </c>
      <c r="AP11" s="331" t="str">
        <f t="shared" si="9"/>
        <v>85- disminuye 2</v>
      </c>
      <c r="AQ11" s="6">
        <f t="shared" si="10"/>
        <v>-1</v>
      </c>
      <c r="AR11" s="331" t="str">
        <f>IF(AQ11&lt;=1,"Rara vez",VLOOKUP(AQ11,[27]Listas!$L$69:$M$73,2,0))</f>
        <v>Rara vez</v>
      </c>
      <c r="AS11" s="6">
        <f t="shared" si="11"/>
        <v>20</v>
      </c>
      <c r="AT11" s="331" t="str">
        <f t="shared" si="12"/>
        <v>Catastrófico</v>
      </c>
      <c r="AU11" s="331" t="str">
        <f>INDEX([27]Listas!$O$69:$Q$73,MATCH(AR11,[27]Listas!$M$69:$M$73,0),MATCH(AT11,[27]Listas!$O$67:$Q$67,0))</f>
        <v>20
MODERADA</v>
      </c>
      <c r="AV11" s="330" t="s">
        <v>271</v>
      </c>
      <c r="AW11" s="845" t="s">
        <v>3372</v>
      </c>
      <c r="AX11" s="405" t="s">
        <v>3373</v>
      </c>
      <c r="AY11" s="50" t="s">
        <v>3374</v>
      </c>
      <c r="AZ11" s="69" t="s">
        <v>3375</v>
      </c>
      <c r="BA11" s="839" t="s">
        <v>3376</v>
      </c>
      <c r="BB11" s="226">
        <v>0</v>
      </c>
      <c r="BC11" s="12" t="s">
        <v>4009</v>
      </c>
      <c r="BD11" s="12" t="s">
        <v>4008</v>
      </c>
      <c r="BE11" s="839" t="s">
        <v>36</v>
      </c>
      <c r="BF11" s="839" t="s">
        <v>2573</v>
      </c>
      <c r="BG11" s="839" t="s">
        <v>2573</v>
      </c>
      <c r="BH11" s="839" t="s">
        <v>2573</v>
      </c>
      <c r="BI11" s="839" t="s">
        <v>2573</v>
      </c>
      <c r="BJ11" s="839" t="s">
        <v>2573</v>
      </c>
      <c r="BK11" s="228"/>
      <c r="BL11" s="228"/>
    </row>
    <row r="12" spans="1:64" s="3" customFormat="1" ht="237" customHeight="1">
      <c r="A12" s="332"/>
      <c r="B12" s="2919" t="s">
        <v>3377</v>
      </c>
      <c r="C12" s="2920"/>
      <c r="D12" s="2921"/>
      <c r="E12" s="329" t="s">
        <v>45</v>
      </c>
      <c r="F12" s="2922" t="s">
        <v>3378</v>
      </c>
      <c r="G12" s="2923"/>
      <c r="H12" s="2924"/>
      <c r="I12" s="2919" t="s">
        <v>3379</v>
      </c>
      <c r="J12" s="2920"/>
      <c r="K12" s="2921"/>
      <c r="L12" s="49" t="s">
        <v>283</v>
      </c>
      <c r="M12" s="313" t="s">
        <v>287</v>
      </c>
      <c r="N12" s="526"/>
      <c r="O12" s="527">
        <f>VLOOKUP(L12,[27]Listas!$M$69:$N$73,2,0)</f>
        <v>1</v>
      </c>
      <c r="P12" s="527"/>
      <c r="Q12" s="527">
        <f>HLOOKUP(M12,[27]Listas!$O$67:$Q$68,2,0)</f>
        <v>20</v>
      </c>
      <c r="R12" s="528" t="str">
        <f>INDEX([27]Listas!$O$69:$Q$73,MATCH(L12,[27]Listas!$M$69:$M$73,0),MATCH(M12,[27]Listas!$O$67:$Q$67,0))</f>
        <v>20
MODERADA</v>
      </c>
      <c r="S12" s="2919" t="s">
        <v>3380</v>
      </c>
      <c r="T12" s="2920"/>
      <c r="U12" s="2921"/>
      <c r="V12" s="329" t="s">
        <v>65</v>
      </c>
      <c r="W12" s="329" t="s">
        <v>36</v>
      </c>
      <c r="X12" s="329" t="s">
        <v>36</v>
      </c>
      <c r="Y12" s="329" t="s">
        <v>65</v>
      </c>
      <c r="Z12" s="329" t="s">
        <v>65</v>
      </c>
      <c r="AA12" s="329" t="s">
        <v>36</v>
      </c>
      <c r="AB12" s="329" t="s">
        <v>65</v>
      </c>
      <c r="AC12" s="329" t="s">
        <v>65</v>
      </c>
      <c r="AD12" s="329" t="s">
        <v>65</v>
      </c>
      <c r="AE12" s="329" t="s">
        <v>65</v>
      </c>
      <c r="AF12" s="33"/>
      <c r="AG12" s="6">
        <f>IF(Y12="SI",15,0)</f>
        <v>15</v>
      </c>
      <c r="AH12" s="6">
        <f>IF(Z12="SI",5,0)</f>
        <v>5</v>
      </c>
      <c r="AI12" s="6">
        <f>IF(AA12="SI",15,0)</f>
        <v>0</v>
      </c>
      <c r="AJ12" s="6">
        <f>IF(AB12="SI",10,0)</f>
        <v>10</v>
      </c>
      <c r="AK12" s="6">
        <f>IF(AC12="SI",15,0)</f>
        <v>15</v>
      </c>
      <c r="AL12" s="6">
        <f>IF(AD12="SI",10,0)</f>
        <v>10</v>
      </c>
      <c r="AM12" s="6">
        <f>IF(AE12="SI",30,0)</f>
        <v>30</v>
      </c>
      <c r="AN12" s="6">
        <f>SUM(AG12+AH12+AI12+AJ12+AK12+AL12+AM12)</f>
        <v>85</v>
      </c>
      <c r="AO12" s="6">
        <f>IF(AN12&lt;=50,0,IF(AN12&gt;=76,2,1))</f>
        <v>2</v>
      </c>
      <c r="AP12" s="331" t="str">
        <f>CONCATENATE(AN12,"- disminuye ",AO12)</f>
        <v>85- disminuye 2</v>
      </c>
      <c r="AQ12" s="6">
        <f>IF(V12="SI",O12-AO12,O12)</f>
        <v>-1</v>
      </c>
      <c r="AR12" s="331" t="str">
        <f>IF(AQ12&lt;=1,"Rara vez",VLOOKUP(AQ12,[27]Listas!$L$69:$M$73,2,0))</f>
        <v>Rara vez</v>
      </c>
      <c r="AS12" s="6">
        <f>IF(W12="SI",Q12-AO12,Q12)</f>
        <v>20</v>
      </c>
      <c r="AT12" s="331" t="str">
        <f>IF(AS12&lt;=9,"Moderado",IF(AS12=20,"Catastrófico",IF(AS12=18,"Moderado","Mayor")))</f>
        <v>Catastrófico</v>
      </c>
      <c r="AU12" s="331" t="str">
        <f>INDEX([27]Listas!$O$69:$Q$73,MATCH(AR12,[27]Listas!$M$69:$M$73,0),MATCH(AT12,[27]Listas!$O$67:$Q$67,0))</f>
        <v>20
MODERADA</v>
      </c>
      <c r="AV12" s="330" t="s">
        <v>271</v>
      </c>
      <c r="AW12" s="845" t="s">
        <v>3381</v>
      </c>
      <c r="AX12" s="405" t="s">
        <v>3373</v>
      </c>
      <c r="AY12" s="313" t="s">
        <v>3382</v>
      </c>
      <c r="AZ12" s="69" t="s">
        <v>3375</v>
      </c>
      <c r="BA12" s="839" t="s">
        <v>3383</v>
      </c>
      <c r="BB12" s="226">
        <v>0</v>
      </c>
      <c r="BC12" s="12" t="s">
        <v>4009</v>
      </c>
      <c r="BD12" s="12" t="s">
        <v>4008</v>
      </c>
      <c r="BE12" s="839" t="s">
        <v>36</v>
      </c>
      <c r="BF12" s="839" t="s">
        <v>2573</v>
      </c>
      <c r="BG12" s="839" t="s">
        <v>2573</v>
      </c>
      <c r="BH12" s="839" t="s">
        <v>2573</v>
      </c>
      <c r="BI12" s="839" t="s">
        <v>2573</v>
      </c>
      <c r="BJ12" s="839" t="s">
        <v>2573</v>
      </c>
      <c r="BK12" s="228"/>
      <c r="BL12" s="228"/>
    </row>
    <row r="13" spans="1:64" s="3" customFormat="1" ht="108" hidden="1" customHeight="1">
      <c r="A13" s="332"/>
      <c r="B13" s="2805"/>
      <c r="C13" s="2806"/>
      <c r="D13" s="2807"/>
      <c r="E13" s="843"/>
      <c r="F13" s="2808"/>
      <c r="G13" s="2809"/>
      <c r="H13" s="2810"/>
      <c r="I13" s="2805"/>
      <c r="J13" s="2806"/>
      <c r="K13" s="2807"/>
      <c r="L13" s="330"/>
      <c r="M13" s="50"/>
      <c r="N13" s="32"/>
      <c r="O13" s="6" t="e">
        <f>VLOOKUP(L13,[27]Listas!$M$69:$N$73,2,0)</f>
        <v>#N/A</v>
      </c>
      <c r="P13" s="6"/>
      <c r="Q13" s="6" t="e">
        <f>HLOOKUP(M13,[27]Listas!$O$67:$Q$68,2,0)</f>
        <v>#N/A</v>
      </c>
      <c r="R13" s="331" t="e">
        <f>INDEX([27]Listas!$O$69:$Q$73,MATCH(L13,[27]Listas!$M$69:$M$73,0),MATCH(M13,[27]Listas!$O$67:$Q$67,0))</f>
        <v>#N/A</v>
      </c>
      <c r="S13" s="2805"/>
      <c r="T13" s="2806"/>
      <c r="U13" s="2807"/>
      <c r="V13" s="329"/>
      <c r="W13" s="329"/>
      <c r="X13" s="329"/>
      <c r="Y13" s="329"/>
      <c r="Z13" s="329"/>
      <c r="AA13" s="329"/>
      <c r="AB13" s="329"/>
      <c r="AC13" s="329"/>
      <c r="AD13" s="329"/>
      <c r="AE13" s="329"/>
      <c r="AF13" s="33"/>
      <c r="AG13" s="6">
        <f>IF(Y13="SI",15,0)</f>
        <v>0</v>
      </c>
      <c r="AH13" s="6">
        <f>IF(Z13="SI",5,0)</f>
        <v>0</v>
      </c>
      <c r="AI13" s="6">
        <f>IF(AA13="SI",15,0)</f>
        <v>0</v>
      </c>
      <c r="AJ13" s="6">
        <f>IF(AB13="SI",10,0)</f>
        <v>0</v>
      </c>
      <c r="AK13" s="6">
        <f>IF(AC13="SI",15,0)</f>
        <v>0</v>
      </c>
      <c r="AL13" s="6">
        <f>IF(AD13="SI",10,0)</f>
        <v>0</v>
      </c>
      <c r="AM13" s="6">
        <f>IF(AE13="SI",30,0)</f>
        <v>0</v>
      </c>
      <c r="AN13" s="6">
        <f>SUM(AG13+AH13+AI13+AJ13+AK13+AL13+AM13)</f>
        <v>0</v>
      </c>
      <c r="AO13" s="6">
        <f>IF(AN13&lt;=50,0,IF(AN13&gt;=76,2,1))</f>
        <v>0</v>
      </c>
      <c r="AP13" s="331" t="str">
        <f>CONCATENATE(AN13,"- disminuye ",AO13)</f>
        <v>0- disminuye 0</v>
      </c>
      <c r="AQ13" s="6" t="e">
        <f>IF(V13="SI",O13-AO13,O13)</f>
        <v>#N/A</v>
      </c>
      <c r="AR13" s="331" t="e">
        <f>IF(AQ13&lt;=1,"Rara vez",VLOOKUP(AQ13,[27]Listas!$L$69:$M$73,2,0))</f>
        <v>#N/A</v>
      </c>
      <c r="AS13" s="6" t="e">
        <f>IF(W13="SI",Q13-AO13,Q13)</f>
        <v>#N/A</v>
      </c>
      <c r="AT13" s="331" t="e">
        <f>IF(AS13&lt;=9,"Moderado",IF(AS13=20,"Catastrófico",IF(AS13=18,"Moderado","Mayor")))</f>
        <v>#N/A</v>
      </c>
      <c r="AU13" s="331" t="e">
        <f>INDEX([27]Listas!$O$69:$Q$73,MATCH(AR13,[27]Listas!$M$69:$M$73,0),MATCH(AT13,[27]Listas!$O$67:$Q$67,0))</f>
        <v>#N/A</v>
      </c>
      <c r="AV13" s="330"/>
      <c r="AW13" s="826"/>
      <c r="AX13" s="843"/>
      <c r="AY13" s="843"/>
      <c r="AZ13" s="12"/>
      <c r="BA13" s="12"/>
      <c r="BB13" s="839"/>
      <c r="BC13" s="12"/>
      <c r="BD13" s="12" t="s">
        <v>2343</v>
      </c>
      <c r="BE13" s="839"/>
      <c r="BF13" s="12"/>
      <c r="BG13" s="12"/>
      <c r="BH13" s="227"/>
      <c r="BI13" s="227"/>
      <c r="BJ13" s="839"/>
      <c r="BK13" s="228"/>
      <c r="BL13" s="228"/>
    </row>
    <row r="14" spans="1:64" s="3" customFormat="1" ht="108" hidden="1" customHeight="1">
      <c r="A14" s="332"/>
      <c r="B14" s="2805"/>
      <c r="C14" s="2806"/>
      <c r="D14" s="2807"/>
      <c r="E14" s="843"/>
      <c r="F14" s="2808"/>
      <c r="G14" s="2809"/>
      <c r="H14" s="2810"/>
      <c r="I14" s="2805"/>
      <c r="J14" s="2806"/>
      <c r="K14" s="2807"/>
      <c r="L14" s="330"/>
      <c r="M14" s="50"/>
      <c r="N14" s="32"/>
      <c r="O14" s="6" t="e">
        <f>VLOOKUP(L14,[27]Listas!$M$69:$N$73,2,0)</f>
        <v>#N/A</v>
      </c>
      <c r="P14" s="6"/>
      <c r="Q14" s="6" t="e">
        <f>HLOOKUP(M14,[27]Listas!$O$67:$Q$68,2,0)</f>
        <v>#N/A</v>
      </c>
      <c r="R14" s="331" t="e">
        <f>INDEX([27]Listas!$O$69:$Q$73,MATCH(L14,[27]Listas!$M$69:$M$73,0),MATCH(M14,[27]Listas!$O$67:$Q$67,0))</f>
        <v>#N/A</v>
      </c>
      <c r="S14" s="2805"/>
      <c r="T14" s="2806"/>
      <c r="U14" s="2807"/>
      <c r="V14" s="329"/>
      <c r="W14" s="329"/>
      <c r="X14" s="329"/>
      <c r="Y14" s="329"/>
      <c r="Z14" s="329"/>
      <c r="AA14" s="329"/>
      <c r="AB14" s="329"/>
      <c r="AC14" s="329"/>
      <c r="AD14" s="329"/>
      <c r="AE14" s="329"/>
      <c r="AF14" s="33"/>
      <c r="AG14" s="6">
        <f>IF(Y14="SI",15,0)</f>
        <v>0</v>
      </c>
      <c r="AH14" s="6">
        <f>IF(Z14="SI",5,0)</f>
        <v>0</v>
      </c>
      <c r="AI14" s="6">
        <f>IF(AA14="SI",15,0)</f>
        <v>0</v>
      </c>
      <c r="AJ14" s="6">
        <f>IF(AB14="SI",10,0)</f>
        <v>0</v>
      </c>
      <c r="AK14" s="6">
        <f>IF(AC14="SI",15,0)</f>
        <v>0</v>
      </c>
      <c r="AL14" s="6">
        <f>IF(AD14="SI",10,0)</f>
        <v>0</v>
      </c>
      <c r="AM14" s="6">
        <f>IF(AE14="SI",30,0)</f>
        <v>0</v>
      </c>
      <c r="AN14" s="6">
        <f>SUM(AG14+AH14+AI14+AJ14+AK14+AL14+AM14)</f>
        <v>0</v>
      </c>
      <c r="AO14" s="6">
        <f>IF(AN14&lt;=50,0,IF(AN14&gt;=76,2,1))</f>
        <v>0</v>
      </c>
      <c r="AP14" s="331" t="str">
        <f>CONCATENATE(AN14,"- disminuye ",AO14)</f>
        <v>0- disminuye 0</v>
      </c>
      <c r="AQ14" s="6" t="e">
        <f>IF(V14="SI",O14-AO14,O14)</f>
        <v>#N/A</v>
      </c>
      <c r="AR14" s="331" t="e">
        <f>IF(AQ14&lt;=1,"Rara vez",VLOOKUP(AQ14,[27]Listas!$L$69:$M$73,2,0))</f>
        <v>#N/A</v>
      </c>
      <c r="AS14" s="6" t="e">
        <f>IF(W14="SI",Q14-AO14,Q14)</f>
        <v>#N/A</v>
      </c>
      <c r="AT14" s="331" t="e">
        <f>IF(AS14&lt;=9,"Moderado",IF(AS14=20,"Catastrófico",IF(AS14=18,"Moderado","Mayor")))</f>
        <v>#N/A</v>
      </c>
      <c r="AU14" s="331" t="e">
        <f>INDEX([27]Listas!$O$69:$Q$73,MATCH(AR14,[27]Listas!$M$69:$M$73,0),MATCH(AT14,[27]Listas!$O$67:$Q$67,0))</f>
        <v>#N/A</v>
      </c>
      <c r="AV14" s="330"/>
      <c r="AW14" s="826"/>
      <c r="AX14" s="843"/>
      <c r="AY14" s="843"/>
      <c r="AZ14" s="12"/>
      <c r="BA14" s="12"/>
      <c r="BB14" s="839"/>
      <c r="BC14" s="12"/>
      <c r="BD14" s="12" t="s">
        <v>2343</v>
      </c>
      <c r="BE14" s="839"/>
      <c r="BF14" s="12"/>
      <c r="BG14" s="12"/>
      <c r="BH14" s="227"/>
      <c r="BI14" s="227"/>
      <c r="BJ14" s="839"/>
      <c r="BK14" s="228"/>
      <c r="BL14" s="228"/>
    </row>
    <row r="15" spans="1:64" s="3" customFormat="1" ht="108" hidden="1" customHeight="1">
      <c r="A15" s="332"/>
      <c r="B15" s="2805"/>
      <c r="C15" s="2806"/>
      <c r="D15" s="2807"/>
      <c r="E15" s="843"/>
      <c r="F15" s="2808"/>
      <c r="G15" s="2809"/>
      <c r="H15" s="2810"/>
      <c r="I15" s="2805"/>
      <c r="J15" s="2806"/>
      <c r="K15" s="2807"/>
      <c r="L15" s="330"/>
      <c r="M15" s="50"/>
      <c r="N15" s="32"/>
      <c r="O15" s="6" t="e">
        <f>VLOOKUP(L15,[27]Listas!$M$69:$N$73,2,0)</f>
        <v>#N/A</v>
      </c>
      <c r="P15" s="6"/>
      <c r="Q15" s="6" t="e">
        <f>HLOOKUP(M15,[27]Listas!$O$67:$Q$68,2,0)</f>
        <v>#N/A</v>
      </c>
      <c r="R15" s="331" t="e">
        <f>INDEX([27]Listas!$O$69:$Q$73,MATCH(L15,[27]Listas!$M$69:$M$73,0),MATCH(M15,[27]Listas!$O$67:$Q$67,0))</f>
        <v>#N/A</v>
      </c>
      <c r="S15" s="2805"/>
      <c r="T15" s="2806"/>
      <c r="U15" s="2807"/>
      <c r="V15" s="329"/>
      <c r="W15" s="329"/>
      <c r="X15" s="329"/>
      <c r="Y15" s="329"/>
      <c r="Z15" s="329"/>
      <c r="AA15" s="329"/>
      <c r="AB15" s="329"/>
      <c r="AC15" s="329"/>
      <c r="AD15" s="329"/>
      <c r="AE15" s="329"/>
      <c r="AF15" s="33"/>
      <c r="AG15" s="6">
        <f t="shared" si="0"/>
        <v>0</v>
      </c>
      <c r="AH15" s="6">
        <f t="shared" si="1"/>
        <v>0</v>
      </c>
      <c r="AI15" s="6">
        <f t="shared" si="2"/>
        <v>0</v>
      </c>
      <c r="AJ15" s="6">
        <f t="shared" si="3"/>
        <v>0</v>
      </c>
      <c r="AK15" s="6">
        <f t="shared" si="4"/>
        <v>0</v>
      </c>
      <c r="AL15" s="6">
        <f t="shared" si="5"/>
        <v>0</v>
      </c>
      <c r="AM15" s="6">
        <f t="shared" si="6"/>
        <v>0</v>
      </c>
      <c r="AN15" s="6">
        <f t="shared" si="7"/>
        <v>0</v>
      </c>
      <c r="AO15" s="6">
        <f t="shared" si="8"/>
        <v>0</v>
      </c>
      <c r="AP15" s="331" t="str">
        <f t="shared" si="9"/>
        <v>0- disminuye 0</v>
      </c>
      <c r="AQ15" s="6" t="e">
        <f t="shared" si="10"/>
        <v>#N/A</v>
      </c>
      <c r="AR15" s="331" t="e">
        <f>IF(AQ15&lt;=1,"Rara vez",VLOOKUP(AQ15,[27]Listas!$L$69:$M$73,2,0))</f>
        <v>#N/A</v>
      </c>
      <c r="AS15" s="6" t="e">
        <f t="shared" si="11"/>
        <v>#N/A</v>
      </c>
      <c r="AT15" s="331" t="e">
        <f t="shared" si="12"/>
        <v>#N/A</v>
      </c>
      <c r="AU15" s="331" t="e">
        <f>INDEX([27]Listas!$O$69:$Q$73,MATCH(AR15,[27]Listas!$M$69:$M$73,0),MATCH(AT15,[27]Listas!$O$67:$Q$67,0))</f>
        <v>#N/A</v>
      </c>
      <c r="AV15" s="330"/>
      <c r="AW15" s="826"/>
      <c r="AX15" s="843"/>
      <c r="AY15" s="843"/>
      <c r="AZ15" s="12"/>
      <c r="BA15" s="12"/>
      <c r="BB15" s="839"/>
      <c r="BC15" s="12"/>
      <c r="BD15" s="12" t="s">
        <v>2343</v>
      </c>
      <c r="BE15" s="839"/>
      <c r="BF15" s="12"/>
      <c r="BG15" s="12"/>
      <c r="BH15" s="227"/>
      <c r="BI15" s="227"/>
      <c r="BJ15" s="839"/>
      <c r="BK15" s="228"/>
      <c r="BL15" s="228"/>
    </row>
    <row r="16" spans="1:64" s="3" customFormat="1" ht="108" hidden="1" customHeight="1">
      <c r="A16" s="332"/>
      <c r="B16" s="2805"/>
      <c r="C16" s="2806"/>
      <c r="D16" s="2807"/>
      <c r="E16" s="843"/>
      <c r="F16" s="2808"/>
      <c r="G16" s="2809"/>
      <c r="H16" s="2810"/>
      <c r="I16" s="2805"/>
      <c r="J16" s="2806"/>
      <c r="K16" s="2807"/>
      <c r="L16" s="330"/>
      <c r="M16" s="50"/>
      <c r="N16" s="32"/>
      <c r="O16" s="6" t="e">
        <f>VLOOKUP(L16,[27]Listas!$M$69:$N$73,2,0)</f>
        <v>#N/A</v>
      </c>
      <c r="P16" s="6"/>
      <c r="Q16" s="6" t="e">
        <f>HLOOKUP(M16,[27]Listas!$O$67:$Q$68,2,0)</f>
        <v>#N/A</v>
      </c>
      <c r="R16" s="331" t="e">
        <f>INDEX([27]Listas!$O$69:$Q$73,MATCH(L16,[27]Listas!$M$69:$M$73,0),MATCH(M16,[27]Listas!$O$67:$Q$67,0))</f>
        <v>#N/A</v>
      </c>
      <c r="S16" s="826"/>
      <c r="T16" s="827"/>
      <c r="U16" s="828"/>
      <c r="V16" s="329"/>
      <c r="W16" s="329"/>
      <c r="X16" s="329"/>
      <c r="Y16" s="329"/>
      <c r="Z16" s="329"/>
      <c r="AA16" s="329"/>
      <c r="AB16" s="329"/>
      <c r="AC16" s="329"/>
      <c r="AD16" s="329"/>
      <c r="AE16" s="329"/>
      <c r="AF16" s="33"/>
      <c r="AG16" s="6">
        <f t="shared" si="0"/>
        <v>0</v>
      </c>
      <c r="AH16" s="6">
        <f t="shared" si="1"/>
        <v>0</v>
      </c>
      <c r="AI16" s="6">
        <f t="shared" si="2"/>
        <v>0</v>
      </c>
      <c r="AJ16" s="6">
        <f t="shared" si="3"/>
        <v>0</v>
      </c>
      <c r="AK16" s="6">
        <f t="shared" si="4"/>
        <v>0</v>
      </c>
      <c r="AL16" s="6">
        <f t="shared" si="5"/>
        <v>0</v>
      </c>
      <c r="AM16" s="6">
        <f t="shared" si="6"/>
        <v>0</v>
      </c>
      <c r="AN16" s="6">
        <f t="shared" si="7"/>
        <v>0</v>
      </c>
      <c r="AO16" s="6">
        <f t="shared" si="8"/>
        <v>0</v>
      </c>
      <c r="AP16" s="331" t="str">
        <f t="shared" si="9"/>
        <v>0- disminuye 0</v>
      </c>
      <c r="AQ16" s="6" t="e">
        <f t="shared" si="10"/>
        <v>#N/A</v>
      </c>
      <c r="AR16" s="331" t="e">
        <f>IF(AQ16&lt;=1,"Rara vez",VLOOKUP(AQ16,[27]Listas!$L$69:$M$73,2,0))</f>
        <v>#N/A</v>
      </c>
      <c r="AS16" s="6" t="e">
        <f t="shared" si="11"/>
        <v>#N/A</v>
      </c>
      <c r="AT16" s="331" t="e">
        <f t="shared" si="12"/>
        <v>#N/A</v>
      </c>
      <c r="AU16" s="331" t="e">
        <f>INDEX([27]Listas!$O$69:$Q$73,MATCH(AR16,[27]Listas!$M$69:$M$73,0),MATCH(AT16,[27]Listas!$O$67:$Q$67,0))</f>
        <v>#N/A</v>
      </c>
      <c r="AV16" s="330"/>
      <c r="AW16" s="826"/>
      <c r="AX16" s="843"/>
      <c r="AY16" s="843"/>
      <c r="AZ16" s="12"/>
      <c r="BA16" s="12"/>
      <c r="BB16" s="839"/>
      <c r="BC16" s="12"/>
      <c r="BD16" s="12" t="s">
        <v>2343</v>
      </c>
      <c r="BE16" s="839"/>
      <c r="BF16" s="12"/>
      <c r="BG16" s="12"/>
      <c r="BH16" s="227"/>
      <c r="BI16" s="227"/>
      <c r="BJ16" s="839"/>
      <c r="BK16" s="228"/>
      <c r="BL16" s="228"/>
    </row>
    <row r="17" spans="1:64" s="3" customFormat="1" ht="108" hidden="1" customHeight="1">
      <c r="A17" s="332"/>
      <c r="B17" s="2805"/>
      <c r="C17" s="2806"/>
      <c r="D17" s="2807"/>
      <c r="E17" s="843"/>
      <c r="F17" s="2808"/>
      <c r="G17" s="2809"/>
      <c r="H17" s="2810"/>
      <c r="I17" s="2805"/>
      <c r="J17" s="2806"/>
      <c r="K17" s="2807"/>
      <c r="L17" s="330"/>
      <c r="M17" s="50"/>
      <c r="N17" s="32"/>
      <c r="O17" s="6" t="e">
        <f>VLOOKUP(L17,[27]Listas!$M$69:$N$73,2,0)</f>
        <v>#N/A</v>
      </c>
      <c r="P17" s="6"/>
      <c r="Q17" s="6" t="e">
        <f>HLOOKUP(M17,[27]Listas!$O$67:$Q$68,2,0)</f>
        <v>#N/A</v>
      </c>
      <c r="R17" s="331" t="e">
        <f>INDEX([27]Listas!$O$69:$Q$73,MATCH(L17,[27]Listas!$M$69:$M$73,0),MATCH(M17,[27]Listas!$O$67:$Q$67,0))</f>
        <v>#N/A</v>
      </c>
      <c r="S17" s="2805"/>
      <c r="T17" s="2806"/>
      <c r="U17" s="2807"/>
      <c r="V17" s="329"/>
      <c r="W17" s="329"/>
      <c r="X17" s="329"/>
      <c r="Y17" s="329"/>
      <c r="Z17" s="329"/>
      <c r="AA17" s="329"/>
      <c r="AB17" s="329"/>
      <c r="AC17" s="329"/>
      <c r="AD17" s="329"/>
      <c r="AE17" s="329"/>
      <c r="AF17" s="33"/>
      <c r="AG17" s="6">
        <f>IF(Y17="SI",15,0)</f>
        <v>0</v>
      </c>
      <c r="AH17" s="6">
        <f>IF(Z17="SI",5,0)</f>
        <v>0</v>
      </c>
      <c r="AI17" s="6">
        <f>IF(AA17="SI",15,0)</f>
        <v>0</v>
      </c>
      <c r="AJ17" s="6">
        <f>IF(AB17="SI",10,0)</f>
        <v>0</v>
      </c>
      <c r="AK17" s="6">
        <f>IF(AC17="SI",15,0)</f>
        <v>0</v>
      </c>
      <c r="AL17" s="6">
        <f>IF(AD17="SI",10,0)</f>
        <v>0</v>
      </c>
      <c r="AM17" s="6">
        <f>IF(AE17="SI",30,0)</f>
        <v>0</v>
      </c>
      <c r="AN17" s="6">
        <f>SUM(AG17+AH17+AI17+AJ17+AK17+AL17+AM17)</f>
        <v>0</v>
      </c>
      <c r="AO17" s="6">
        <f>IF(AN17&lt;=50,0,IF(AN17&gt;=76,2,1))</f>
        <v>0</v>
      </c>
      <c r="AP17" s="331" t="str">
        <f>CONCATENATE(AN17,"- disminuye ",AO17)</f>
        <v>0- disminuye 0</v>
      </c>
      <c r="AQ17" s="6" t="e">
        <f>IF(V17="SI",O17-AO17,O17)</f>
        <v>#N/A</v>
      </c>
      <c r="AR17" s="331" t="e">
        <f>IF(AQ17&lt;=1,"Rara vez",VLOOKUP(AQ17,[27]Listas!$L$69:$M$73,2,0))</f>
        <v>#N/A</v>
      </c>
      <c r="AS17" s="6" t="e">
        <f>IF(W17="SI",Q17-AO17,Q17)</f>
        <v>#N/A</v>
      </c>
      <c r="AT17" s="331" t="e">
        <f>IF(AS17&lt;=9,"Moderado",IF(AS17=20,"Catastrófico",IF(AS17=18,"Moderado","Mayor")))</f>
        <v>#N/A</v>
      </c>
      <c r="AU17" s="331" t="e">
        <f>INDEX([27]Listas!$O$69:$Q$73,MATCH(AR17,[27]Listas!$M$69:$M$73,0),MATCH(AT17,[27]Listas!$O$67:$Q$67,0))</f>
        <v>#N/A</v>
      </c>
      <c r="AV17" s="330"/>
      <c r="AW17" s="826"/>
      <c r="AX17" s="843"/>
      <c r="AY17" s="843"/>
      <c r="AZ17" s="12"/>
      <c r="BA17" s="12"/>
      <c r="BB17" s="839"/>
      <c r="BC17" s="12"/>
      <c r="BD17" s="12" t="s">
        <v>2343</v>
      </c>
      <c r="BE17" s="839"/>
      <c r="BF17" s="12"/>
      <c r="BG17" s="12"/>
      <c r="BH17" s="227"/>
      <c r="BI17" s="227"/>
      <c r="BJ17" s="839"/>
      <c r="BK17" s="228"/>
      <c r="BL17" s="228"/>
    </row>
    <row r="18" spans="1:64" s="3" customFormat="1" ht="108" hidden="1" customHeight="1">
      <c r="A18" s="332"/>
      <c r="B18" s="2805"/>
      <c r="C18" s="2806"/>
      <c r="D18" s="2807"/>
      <c r="E18" s="843"/>
      <c r="F18" s="2808"/>
      <c r="G18" s="2809"/>
      <c r="H18" s="2810"/>
      <c r="I18" s="2805"/>
      <c r="J18" s="2806"/>
      <c r="K18" s="2807"/>
      <c r="L18" s="330"/>
      <c r="M18" s="50"/>
      <c r="N18" s="32"/>
      <c r="O18" s="6" t="e">
        <f>VLOOKUP(L18,[27]Listas!$M$69:$N$73,2,0)</f>
        <v>#N/A</v>
      </c>
      <c r="P18" s="6"/>
      <c r="Q18" s="6" t="e">
        <f>HLOOKUP(M18,[27]Listas!$O$67:$Q$68,2,0)</f>
        <v>#N/A</v>
      </c>
      <c r="R18" s="331" t="e">
        <f>INDEX([27]Listas!$O$69:$Q$73,MATCH(L18,[27]Listas!$M$69:$M$73,0),MATCH(M18,[27]Listas!$O$67:$Q$67,0))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vez",VLOOKUP(AQ18,[27]Listas!$L$69:$M$73,2,0))</f>
        <v>#N/A</v>
      </c>
      <c r="AS18" s="6" t="e">
        <f t="shared" si="11"/>
        <v>#N/A</v>
      </c>
      <c r="AT18" s="331" t="e">
        <f t="shared" si="12"/>
        <v>#N/A</v>
      </c>
      <c r="AU18" s="331" t="e">
        <f>INDEX([27]Listas!$O$69:$Q$73,MATCH(AR18,[27]Listas!$M$69:$M$73,0),MATCH(AT18,[27]Listas!$O$67:$Q$67,0))</f>
        <v>#N/A</v>
      </c>
      <c r="AV18" s="330"/>
      <c r="AW18" s="826"/>
      <c r="AX18" s="843"/>
      <c r="AY18" s="843"/>
      <c r="AZ18" s="12"/>
      <c r="BA18" s="12"/>
      <c r="BB18" s="839"/>
      <c r="BC18" s="12"/>
      <c r="BD18" s="12" t="s">
        <v>2343</v>
      </c>
      <c r="BE18" s="839"/>
      <c r="BF18" s="12"/>
      <c r="BG18" s="12"/>
      <c r="BH18" s="227"/>
      <c r="BI18" s="227"/>
      <c r="BJ18" s="839"/>
      <c r="BK18" s="228"/>
      <c r="BL18" s="228"/>
    </row>
    <row r="19" spans="1:64" s="3" customFormat="1" ht="108" hidden="1" customHeight="1">
      <c r="A19" s="332"/>
      <c r="B19" s="2805"/>
      <c r="C19" s="2806"/>
      <c r="D19" s="2807"/>
      <c r="E19" s="843"/>
      <c r="F19" s="2808"/>
      <c r="G19" s="2809"/>
      <c r="H19" s="2810"/>
      <c r="I19" s="2805"/>
      <c r="J19" s="2806"/>
      <c r="K19" s="2807"/>
      <c r="L19" s="330"/>
      <c r="M19" s="50"/>
      <c r="N19" s="32"/>
      <c r="O19" s="6" t="e">
        <f>VLOOKUP(L19,[27]Listas!$M$69:$N$73,2,0)</f>
        <v>#N/A</v>
      </c>
      <c r="P19" s="6"/>
      <c r="Q19" s="6" t="e">
        <f>HLOOKUP(M19,[27]Listas!$O$67:$Q$68,2,0)</f>
        <v>#N/A</v>
      </c>
      <c r="R19" s="331" t="e">
        <f>INDEX([27]Listas!$O$69:$Q$73,MATCH(L19,[27]Listas!$M$69:$M$73,0),MATCH(M19,[27]Listas!$O$67:$Q$67,0))</f>
        <v>#N/A</v>
      </c>
      <c r="S19" s="2805"/>
      <c r="T19" s="2806"/>
      <c r="U19" s="2807"/>
      <c r="V19" s="329"/>
      <c r="W19" s="329"/>
      <c r="X19" s="329"/>
      <c r="Y19" s="329"/>
      <c r="Z19" s="329"/>
      <c r="AA19" s="329"/>
      <c r="AB19" s="329"/>
      <c r="AC19" s="329"/>
      <c r="AD19" s="329"/>
      <c r="AE19" s="329"/>
      <c r="AF19" s="33"/>
      <c r="AG19" s="6">
        <f t="shared" si="0"/>
        <v>0</v>
      </c>
      <c r="AH19" s="6">
        <f t="shared" si="1"/>
        <v>0</v>
      </c>
      <c r="AI19" s="6">
        <f t="shared" si="2"/>
        <v>0</v>
      </c>
      <c r="AJ19" s="6">
        <f t="shared" si="3"/>
        <v>0</v>
      </c>
      <c r="AK19" s="6">
        <f t="shared" si="4"/>
        <v>0</v>
      </c>
      <c r="AL19" s="6">
        <f t="shared" si="5"/>
        <v>0</v>
      </c>
      <c r="AM19" s="6">
        <f t="shared" si="6"/>
        <v>0</v>
      </c>
      <c r="AN19" s="6">
        <f t="shared" si="7"/>
        <v>0</v>
      </c>
      <c r="AO19" s="6">
        <f t="shared" si="8"/>
        <v>0</v>
      </c>
      <c r="AP19" s="331" t="str">
        <f t="shared" si="9"/>
        <v>0- disminuye 0</v>
      </c>
      <c r="AQ19" s="6" t="e">
        <f t="shared" si="10"/>
        <v>#N/A</v>
      </c>
      <c r="AR19" s="331" t="e">
        <f>IF(AQ19&lt;=1,"Rara vez",VLOOKUP(AQ19,[27]Listas!$L$69:$M$73,2,0))</f>
        <v>#N/A</v>
      </c>
      <c r="AS19" s="6" t="e">
        <f t="shared" si="11"/>
        <v>#N/A</v>
      </c>
      <c r="AT19" s="331" t="e">
        <f t="shared" si="12"/>
        <v>#N/A</v>
      </c>
      <c r="AU19" s="331" t="e">
        <f>INDEX([27]Listas!$O$69:$Q$73,MATCH(AR19,[27]Listas!$M$69:$M$73,0),MATCH(AT19,[27]Listas!$O$67:$Q$67,0))</f>
        <v>#N/A</v>
      </c>
      <c r="AV19" s="330"/>
      <c r="AW19" s="826"/>
      <c r="AX19" s="843"/>
      <c r="AY19" s="843"/>
      <c r="AZ19" s="12"/>
      <c r="BA19" s="12"/>
      <c r="BB19" s="839"/>
      <c r="BC19" s="12"/>
      <c r="BD19" s="12" t="s">
        <v>2343</v>
      </c>
      <c r="BE19" s="839"/>
      <c r="BF19" s="12"/>
      <c r="BG19" s="12"/>
      <c r="BH19" s="227"/>
      <c r="BI19" s="227"/>
      <c r="BJ19" s="839"/>
      <c r="BK19" s="228"/>
      <c r="BL19" s="228"/>
    </row>
    <row r="20" spans="1:64" s="3" customFormat="1" ht="108" hidden="1" customHeight="1">
      <c r="A20" s="332"/>
      <c r="B20" s="2805"/>
      <c r="C20" s="2806"/>
      <c r="D20" s="2807"/>
      <c r="E20" s="843"/>
      <c r="F20" s="2808"/>
      <c r="G20" s="2809"/>
      <c r="H20" s="2810"/>
      <c r="I20" s="2805"/>
      <c r="J20" s="2806"/>
      <c r="K20" s="2807"/>
      <c r="L20" s="330"/>
      <c r="M20" s="50"/>
      <c r="N20" s="32"/>
      <c r="O20" s="6" t="e">
        <f>VLOOKUP(L20,[27]Listas!$M$69:$N$73,2,0)</f>
        <v>#N/A</v>
      </c>
      <c r="P20" s="6"/>
      <c r="Q20" s="6" t="e">
        <f>HLOOKUP(M20,[27]Listas!$O$67:$Q$68,2,0)</f>
        <v>#N/A</v>
      </c>
      <c r="R20" s="331" t="e">
        <f>INDEX([27]Listas!$O$69:$Q$73,MATCH(L20,[27]Listas!$M$69:$M$73,0),MATCH(M20,[27]Listas!$O$67:$Q$67,0))</f>
        <v>#N/A</v>
      </c>
      <c r="S20" s="2805"/>
      <c r="T20" s="2806"/>
      <c r="U20" s="2807"/>
      <c r="V20" s="329"/>
      <c r="W20" s="329"/>
      <c r="X20" s="329"/>
      <c r="Y20" s="329"/>
      <c r="Z20" s="329"/>
      <c r="AA20" s="329"/>
      <c r="AB20" s="329"/>
      <c r="AC20" s="329"/>
      <c r="AD20" s="329"/>
      <c r="AE20" s="329"/>
      <c r="AF20" s="33"/>
      <c r="AG20" s="6">
        <f>IF(Y20="SI",15,0)</f>
        <v>0</v>
      </c>
      <c r="AH20" s="6">
        <f>IF(Z20="SI",5,0)</f>
        <v>0</v>
      </c>
      <c r="AI20" s="6">
        <f>IF(AA20="SI",15,0)</f>
        <v>0</v>
      </c>
      <c r="AJ20" s="6">
        <f>IF(AB20="SI",10,0)</f>
        <v>0</v>
      </c>
      <c r="AK20" s="6">
        <f>IF(AC20="SI",15,0)</f>
        <v>0</v>
      </c>
      <c r="AL20" s="6">
        <f>IF(AD20="SI",10,0)</f>
        <v>0</v>
      </c>
      <c r="AM20" s="6">
        <f>IF(AE20="SI",30,0)</f>
        <v>0</v>
      </c>
      <c r="AN20" s="6">
        <f>SUM(AG20+AH20+AI20+AJ20+AK20+AL20+AM20)</f>
        <v>0</v>
      </c>
      <c r="AO20" s="6">
        <f>IF(AN20&lt;=50,0,IF(AN20&gt;=76,2,1))</f>
        <v>0</v>
      </c>
      <c r="AP20" s="331" t="str">
        <f>CONCATENATE(AN20,"- disminuye ",AO20)</f>
        <v>0- disminuye 0</v>
      </c>
      <c r="AQ20" s="6" t="e">
        <f>IF(V20="SI",O20-AO20,O20)</f>
        <v>#N/A</v>
      </c>
      <c r="AR20" s="331" t="e">
        <f>IF(AQ20&lt;=1,"Rara vez",VLOOKUP(AQ20,[27]Listas!$L$69:$M$73,2,0))</f>
        <v>#N/A</v>
      </c>
      <c r="AS20" s="6" t="e">
        <f>IF(W20="SI",Q20-AO20,Q20)</f>
        <v>#N/A</v>
      </c>
      <c r="AT20" s="331" t="e">
        <f>IF(AS20&lt;=9,"Moderado",IF(AS20=20,"Catastrófico",IF(AS20=18,"Moderado","Mayor")))</f>
        <v>#N/A</v>
      </c>
      <c r="AU20" s="331" t="e">
        <f>INDEX([27]Listas!$O$69:$Q$73,MATCH(AR20,[27]Listas!$M$69:$M$73,0),MATCH(AT20,[27]Listas!$O$67:$Q$67,0))</f>
        <v>#N/A</v>
      </c>
      <c r="AV20" s="330"/>
      <c r="AW20" s="826"/>
      <c r="AX20" s="843"/>
      <c r="AY20" s="843"/>
      <c r="AZ20" s="12"/>
      <c r="BA20" s="12"/>
      <c r="BB20" s="839"/>
      <c r="BC20" s="12"/>
      <c r="BD20" s="12" t="s">
        <v>2343</v>
      </c>
      <c r="BE20" s="839"/>
      <c r="BF20" s="12"/>
      <c r="BG20" s="12"/>
      <c r="BH20" s="227"/>
      <c r="BI20" s="227"/>
      <c r="BJ20" s="839"/>
      <c r="BK20" s="228"/>
      <c r="BL20" s="228"/>
    </row>
    <row r="21" spans="1:64" s="3" customFormat="1" ht="108" hidden="1" customHeight="1">
      <c r="A21" s="332"/>
      <c r="B21" s="2805"/>
      <c r="C21" s="2806"/>
      <c r="D21" s="2807"/>
      <c r="E21" s="843"/>
      <c r="F21" s="2808"/>
      <c r="G21" s="2809"/>
      <c r="H21" s="2810"/>
      <c r="I21" s="2805"/>
      <c r="J21" s="2806"/>
      <c r="K21" s="2807"/>
      <c r="L21" s="330"/>
      <c r="M21" s="50"/>
      <c r="N21" s="32"/>
      <c r="O21" s="6" t="e">
        <f>VLOOKUP(L21,[27]Listas!$M$69:$N$73,2,0)</f>
        <v>#N/A</v>
      </c>
      <c r="P21" s="6"/>
      <c r="Q21" s="6" t="e">
        <f>HLOOKUP(M21,[27]Listas!$O$67:$Q$68,2,0)</f>
        <v>#N/A</v>
      </c>
      <c r="R21" s="331" t="e">
        <f>INDEX([27]Listas!$O$69:$Q$73,MATCH(L21,[27]Listas!$M$69:$M$73,0),MATCH(M21,[27]Listas!$O$67:$Q$67,0))</f>
        <v>#N/A</v>
      </c>
      <c r="S21" s="2805"/>
      <c r="T21" s="2806"/>
      <c r="U21" s="2807"/>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vez",VLOOKUP(AQ21,[27]Listas!$L$69:$M$73,2,0))</f>
        <v>#N/A</v>
      </c>
      <c r="AS21" s="6" t="e">
        <f t="shared" si="11"/>
        <v>#N/A</v>
      </c>
      <c r="AT21" s="331" t="e">
        <f t="shared" si="12"/>
        <v>#N/A</v>
      </c>
      <c r="AU21" s="331" t="e">
        <f>INDEX([27]Listas!$O$69:$Q$73,MATCH(AR21,[27]Listas!$M$69:$M$73,0),MATCH(AT21,[27]Listas!$O$67:$Q$67,0))</f>
        <v>#N/A</v>
      </c>
      <c r="AV21" s="330"/>
      <c r="AW21" s="826"/>
      <c r="AX21" s="843"/>
      <c r="AY21" s="843"/>
      <c r="AZ21" s="12"/>
      <c r="BA21" s="12"/>
      <c r="BB21" s="839"/>
      <c r="BC21" s="12"/>
      <c r="BD21" s="12" t="s">
        <v>2343</v>
      </c>
      <c r="BE21" s="839"/>
      <c r="BF21" s="12"/>
      <c r="BG21" s="12"/>
      <c r="BH21" s="227"/>
      <c r="BI21" s="227"/>
      <c r="BJ21" s="839"/>
      <c r="BK21" s="228"/>
      <c r="BL21" s="228"/>
    </row>
    <row r="22" spans="1:64" ht="6.75" customHeight="1">
      <c r="A22" s="2"/>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1:64" ht="15" customHeight="1">
      <c r="A23" s="317"/>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1:64" s="22" customFormat="1" ht="19.5" customHeight="1">
      <c r="A24" s="10"/>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4" t="s">
        <v>172</v>
      </c>
      <c r="AS24" s="2804"/>
      <c r="AT24" s="2804"/>
      <c r="AU24" s="2804"/>
      <c r="AV24" s="2804"/>
      <c r="AW24" s="2804"/>
      <c r="AX24" s="65"/>
      <c r="AY24" s="65"/>
      <c r="AZ24" s="68"/>
      <c r="BA24" s="68"/>
      <c r="BB24" s="92"/>
      <c r="BC24" s="68"/>
      <c r="BD24" s="68"/>
      <c r="BE24" s="92"/>
      <c r="BF24" s="68"/>
      <c r="BG24" s="68"/>
      <c r="BH24" s="230"/>
      <c r="BI24" s="230"/>
      <c r="BJ24" s="92"/>
      <c r="BK24" s="210"/>
      <c r="BL24" s="210"/>
    </row>
    <row r="25" spans="1:64" s="22" customFormat="1" ht="25.5" customHeight="1">
      <c r="A25" s="11"/>
      <c r="B25" s="2794" t="s">
        <v>134</v>
      </c>
      <c r="C25" s="2795"/>
      <c r="D25" s="2795"/>
      <c r="E25" s="2795"/>
      <c r="F25" s="2795"/>
      <c r="G25" s="2795"/>
      <c r="H25" s="2796"/>
      <c r="I25" s="2797" t="s">
        <v>223</v>
      </c>
      <c r="J25" s="2798"/>
      <c r="K25" s="2798"/>
      <c r="L25" s="2798"/>
      <c r="M25" s="2798"/>
      <c r="N25" s="2798"/>
      <c r="O25" s="2798"/>
      <c r="P25" s="2798"/>
      <c r="Q25" s="2798"/>
      <c r="R25" s="2798"/>
      <c r="S25" s="2798"/>
      <c r="T25" s="2798"/>
      <c r="U25" s="2799"/>
      <c r="V25" s="2794" t="s">
        <v>398</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68"/>
      <c r="BA25" s="68"/>
      <c r="BB25" s="92"/>
      <c r="BC25" s="68"/>
      <c r="BD25" s="68"/>
      <c r="BE25" s="92"/>
      <c r="BF25" s="68"/>
      <c r="BG25" s="68"/>
      <c r="BH25" s="230"/>
      <c r="BI25" s="230"/>
      <c r="BJ25" s="92"/>
      <c r="BK25" s="210"/>
      <c r="BL25" s="210"/>
    </row>
    <row r="26" spans="1:64">
      <c r="A26" s="13"/>
      <c r="B26" s="13"/>
      <c r="C26" s="13"/>
      <c r="D26" s="13"/>
      <c r="E26" s="14"/>
      <c r="F26" s="13"/>
      <c r="G26" s="13"/>
      <c r="H26" s="13"/>
      <c r="I26" s="13"/>
      <c r="J26" s="13"/>
      <c r="K26" s="13"/>
      <c r="L26" s="15"/>
      <c r="M26" s="15"/>
      <c r="N26" s="15"/>
      <c r="O26" s="15"/>
      <c r="P26" s="15"/>
      <c r="Q26" s="15"/>
      <c r="R26" s="15"/>
      <c r="S26" s="15"/>
      <c r="T26" s="15"/>
      <c r="U26" s="15"/>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5"/>
      <c r="AW26" s="15"/>
      <c r="AZ26" s="68"/>
      <c r="BA26" s="68"/>
      <c r="BB26" s="92"/>
      <c r="BC26" s="68"/>
      <c r="BD26" s="68"/>
      <c r="BE26" s="92"/>
      <c r="BF26" s="68"/>
      <c r="BG26" s="68"/>
      <c r="BH26" s="230"/>
      <c r="BI26" s="230"/>
      <c r="BJ26" s="92"/>
    </row>
    <row r="27" spans="1:64">
      <c r="A27" s="13"/>
      <c r="B27" s="13"/>
      <c r="C27" s="13"/>
      <c r="D27" s="13"/>
      <c r="E27" s="14"/>
      <c r="F27" s="13"/>
      <c r="G27" s="13"/>
      <c r="H27" s="13"/>
      <c r="I27" s="13"/>
      <c r="J27" s="13"/>
      <c r="K27" s="13"/>
      <c r="L27" s="15"/>
      <c r="M27" s="15"/>
      <c r="N27" s="15"/>
      <c r="O27" s="15"/>
      <c r="P27" s="15"/>
      <c r="Q27" s="15"/>
      <c r="R27" s="15"/>
      <c r="S27" s="15"/>
      <c r="T27" s="15"/>
      <c r="U27" s="15"/>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5"/>
      <c r="AW27" s="15"/>
      <c r="AZ27" s="68"/>
      <c r="BA27" s="68"/>
      <c r="BB27" s="92"/>
      <c r="BC27" s="68"/>
      <c r="BD27" s="68"/>
      <c r="BE27" s="92"/>
      <c r="BF27" s="68"/>
      <c r="BG27" s="68"/>
      <c r="BH27" s="230"/>
      <c r="BI27" s="230"/>
      <c r="BJ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4">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4">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4">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4">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4">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4">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4">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4">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4">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4">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4">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4">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4">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row>
    <row r="94" spans="1:64">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row>
    <row r="95" spans="1:64">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4" ht="11.25">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c r="AZ96" s="231"/>
      <c r="BA96" s="231"/>
      <c r="BB96" s="231"/>
      <c r="BC96" s="231"/>
      <c r="BD96" s="231"/>
      <c r="BE96" s="231"/>
      <c r="BF96" s="231"/>
      <c r="BG96" s="231"/>
      <c r="BH96" s="231"/>
      <c r="BI96" s="231"/>
      <c r="BJ96" s="231"/>
      <c r="BK96" s="231"/>
      <c r="BL96" s="231"/>
    </row>
    <row r="97" spans="1:64" ht="11.25">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c r="AZ97" s="231"/>
      <c r="BA97" s="231"/>
      <c r="BB97" s="231"/>
      <c r="BC97" s="231"/>
      <c r="BD97" s="231"/>
      <c r="BE97" s="231"/>
      <c r="BF97" s="231"/>
      <c r="BG97" s="231"/>
      <c r="BH97" s="231"/>
      <c r="BI97" s="231"/>
      <c r="BJ97" s="231"/>
      <c r="BK97" s="231"/>
      <c r="BL97" s="231"/>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row>
    <row r="105" spans="1:64">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sheetData>
  <sheetProtection formatCells="0" formatColumns="0" formatRows="0" insertRows="0" deleteRows="0" sort="0" autoFilter="0" pivotTables="0"/>
  <mergeCells count="88">
    <mergeCell ref="A1:AB1"/>
    <mergeCell ref="AC1:AU4"/>
    <mergeCell ref="BB1:BE1"/>
    <mergeCell ref="A2:AB2"/>
    <mergeCell ref="BB2:BC2"/>
    <mergeCell ref="BD2:BE2"/>
    <mergeCell ref="A3:D3"/>
    <mergeCell ref="E3:U3"/>
    <mergeCell ref="V3:AB3"/>
    <mergeCell ref="BB3:BC3"/>
    <mergeCell ref="AA6:BA6"/>
    <mergeCell ref="BD3:BE3"/>
    <mergeCell ref="A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B13:D13"/>
    <mergeCell ref="F13:H13"/>
    <mergeCell ref="I13:K13"/>
    <mergeCell ref="S13:U13"/>
    <mergeCell ref="B14:D14"/>
    <mergeCell ref="F14:H14"/>
    <mergeCell ref="I14:K14"/>
    <mergeCell ref="S14:U14"/>
    <mergeCell ref="B15:D15"/>
    <mergeCell ref="F15:H15"/>
    <mergeCell ref="I15:K15"/>
    <mergeCell ref="S15:U15"/>
    <mergeCell ref="B16:D16"/>
    <mergeCell ref="F16:H16"/>
    <mergeCell ref="I16:K16"/>
    <mergeCell ref="B17:D17"/>
    <mergeCell ref="F17:H17"/>
    <mergeCell ref="I17:K17"/>
    <mergeCell ref="S17:U17"/>
    <mergeCell ref="B18:D18"/>
    <mergeCell ref="F18:H18"/>
    <mergeCell ref="I18:K18"/>
    <mergeCell ref="S18:U18"/>
    <mergeCell ref="B19:D19"/>
    <mergeCell ref="F19:H19"/>
    <mergeCell ref="I19:K19"/>
    <mergeCell ref="S19:U19"/>
    <mergeCell ref="B20:D20"/>
    <mergeCell ref="F20:H20"/>
    <mergeCell ref="I20:K20"/>
    <mergeCell ref="S20:U20"/>
    <mergeCell ref="B21:D21"/>
    <mergeCell ref="F21:H21"/>
    <mergeCell ref="I21:K21"/>
    <mergeCell ref="S21:U21"/>
    <mergeCell ref="B23:U23"/>
    <mergeCell ref="V24:AP24"/>
    <mergeCell ref="AR24:AW24"/>
    <mergeCell ref="B25:H25"/>
    <mergeCell ref="I25:U25"/>
    <mergeCell ref="V25:AP25"/>
    <mergeCell ref="AR25:AW25"/>
    <mergeCell ref="B24:H24"/>
    <mergeCell ref="I24:U24"/>
  </mergeCells>
  <dataValidations count="8">
    <dataValidation type="list" allowBlank="1" showInputMessage="1" showErrorMessage="1" sqref="L6">
      <formula1>Proceso</formula1>
    </dataValidation>
    <dataValidation type="list" sqref="BD4:BE4">
      <formula1>Monitoreo</formula1>
    </dataValidation>
    <dataValidation type="list" showInputMessage="1" showErrorMessage="1" sqref="L10:L21">
      <formula1>Probabilidad</formula1>
    </dataValidation>
    <dataValidation type="list" allowBlank="1" showInputMessage="1" showErrorMessage="1" sqref="M10:N21">
      <formula1>Impacto</formula1>
    </dataValidation>
    <dataValidation showInputMessage="1" showErrorMessage="1" sqref="AG10:AT21"/>
    <dataValidation type="list" showInputMessage="1" showErrorMessage="1" sqref="V10:AF21">
      <formula1>Efectividad</formula1>
    </dataValidation>
    <dataValidation type="list" allowBlank="1" showInputMessage="1" sqref="AV10:AV21">
      <formula1>Periodo</formula1>
    </dataValidation>
    <dataValidation type="list" allowBlank="1" showInputMessage="1" showErrorMessage="1" sqref="BE10:BE21">
      <formula1>Efectividad</formula1>
    </dataValidation>
  </dataValidations>
  <printOptions horizontalCentered="1" verticalCentered="1"/>
  <pageMargins left="1.1023622047244095" right="0.70866141732283472" top="0.74803149606299213" bottom="0.74803149606299213" header="0.31496062992125984" footer="0.31496062992125984"/>
  <pageSetup paperSize="5" scale="46" fitToHeight="0" orientation="landscape" r:id="rId1"/>
  <headerFooter>
    <oddFooter>&amp;L&amp;"Segoe UI,Normal"&amp;9Formato: FO-AC-07 Versión: 3&amp;C&amp;"Segoe UI,Normal"&amp;9Página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97"/>
  <sheetViews>
    <sheetView zoomScale="145" zoomScaleNormal="145" workbookViewId="0">
      <selection activeCell="X66" sqref="X66"/>
    </sheetView>
  </sheetViews>
  <sheetFormatPr baseColWidth="10" defaultRowHeight="11.25"/>
  <cols>
    <col min="1" max="1" width="11.42578125" style="61"/>
    <col min="2" max="2" width="40.85546875" style="61" customWidth="1"/>
    <col min="3" max="4" width="5.140625" style="61" customWidth="1"/>
    <col min="5" max="6" width="8.28515625" style="61" customWidth="1"/>
    <col min="7" max="7" width="5.28515625" style="62" customWidth="1"/>
    <col min="8" max="8" width="9.5703125" style="61" customWidth="1"/>
    <col min="9" max="9" width="7.140625" style="61" customWidth="1"/>
    <col min="10" max="10" width="8.28515625" style="61" customWidth="1"/>
    <col min="11" max="11" width="5.140625" style="61" customWidth="1"/>
    <col min="12" max="12" width="9.140625" style="61" customWidth="1"/>
    <col min="13" max="13" width="4.7109375" style="61" customWidth="1"/>
    <col min="14" max="14" width="3.140625" style="61" customWidth="1"/>
    <col min="15" max="15" width="2.5703125" style="61" customWidth="1"/>
    <col min="16" max="16" width="3.140625" style="61" customWidth="1"/>
    <col min="17" max="17" width="13" style="61" customWidth="1"/>
    <col min="18" max="18" width="4" style="61" customWidth="1"/>
    <col min="19" max="19" width="10.7109375" style="61" customWidth="1"/>
    <col min="20" max="20" width="4.28515625" style="61" customWidth="1"/>
    <col min="21" max="21" width="11.140625" style="61" customWidth="1"/>
    <col min="22" max="22" width="4.28515625" style="61" customWidth="1"/>
    <col min="23" max="23" width="10.28515625" style="61" customWidth="1"/>
    <col min="24" max="24" width="4" style="61" customWidth="1"/>
    <col min="25" max="25" width="38.42578125" style="61" customWidth="1"/>
    <col min="26" max="27" width="5.42578125" style="61" customWidth="1"/>
    <col min="28" max="29" width="7.28515625" style="61" hidden="1" customWidth="1"/>
    <col min="30" max="30" width="5.5703125" style="61" customWidth="1"/>
    <col min="31" max="31" width="10.42578125" style="61" customWidth="1"/>
    <col min="32" max="33" width="7.28515625" style="61" hidden="1" customWidth="1"/>
    <col min="34" max="34" width="5.5703125" style="61" customWidth="1"/>
    <col min="35" max="35" width="10.42578125" style="61" customWidth="1"/>
    <col min="36" max="36" width="11.42578125" style="61"/>
    <col min="37" max="37" width="4.140625" style="61" customWidth="1"/>
    <col min="38" max="38" width="3.28515625" style="61" customWidth="1"/>
    <col min="39" max="39" width="4.140625" style="61" customWidth="1"/>
    <col min="40" max="40" width="11.42578125" style="61"/>
    <col min="41" max="41" width="4.28515625" style="61" customWidth="1"/>
    <col min="42" max="42" width="11.42578125" style="61"/>
    <col min="43" max="43" width="4" style="61" customWidth="1"/>
    <col min="44" max="16384" width="11.42578125" style="61"/>
  </cols>
  <sheetData>
    <row r="1" spans="1:36" ht="15" customHeight="1">
      <c r="N1" s="181">
        <v>16</v>
      </c>
      <c r="O1" s="182" t="s">
        <v>1508</v>
      </c>
      <c r="P1" s="183">
        <v>25</v>
      </c>
      <c r="Q1" s="143" t="s">
        <v>2298</v>
      </c>
      <c r="R1" s="147"/>
      <c r="S1" s="147"/>
      <c r="T1" s="147"/>
      <c r="U1" s="147"/>
      <c r="V1" s="147"/>
      <c r="W1" s="147"/>
      <c r="X1" s="147"/>
      <c r="Y1" s="64"/>
      <c r="Z1" s="64"/>
      <c r="AA1" s="64"/>
      <c r="AB1" s="64"/>
      <c r="AC1" s="64"/>
      <c r="AD1" s="147"/>
      <c r="AE1" s="147"/>
    </row>
    <row r="2" spans="1:36" ht="15" customHeight="1">
      <c r="N2" s="188">
        <v>10</v>
      </c>
      <c r="O2" s="189" t="s">
        <v>1508</v>
      </c>
      <c r="P2" s="190">
        <v>15</v>
      </c>
      <c r="Q2" s="142" t="s">
        <v>2297</v>
      </c>
      <c r="R2" s="147"/>
      <c r="S2" s="147"/>
      <c r="T2" s="147"/>
      <c r="U2" s="147"/>
      <c r="V2" s="147"/>
      <c r="W2" s="147"/>
      <c r="X2" s="147"/>
      <c r="Y2" s="64"/>
      <c r="Z2" s="64"/>
      <c r="AA2" s="64"/>
      <c r="AB2" s="64"/>
      <c r="AC2" s="64"/>
      <c r="AD2" s="147"/>
      <c r="AE2" s="147"/>
    </row>
    <row r="3" spans="1:36" ht="15" customHeight="1">
      <c r="N3" s="181">
        <v>4</v>
      </c>
      <c r="O3" s="182" t="s">
        <v>1508</v>
      </c>
      <c r="P3" s="183">
        <v>9</v>
      </c>
      <c r="Q3" s="141" t="s">
        <v>2296</v>
      </c>
      <c r="R3" s="147"/>
      <c r="S3" s="147"/>
      <c r="T3" s="147"/>
      <c r="U3" s="147"/>
      <c r="V3" s="147"/>
      <c r="W3" s="147"/>
      <c r="X3" s="147"/>
      <c r="Y3" s="64"/>
      <c r="Z3" s="64"/>
      <c r="AA3" s="64"/>
      <c r="AB3" s="64"/>
      <c r="AC3" s="64"/>
      <c r="AD3" s="147"/>
      <c r="AE3" s="147"/>
    </row>
    <row r="4" spans="1:36" ht="15" customHeight="1">
      <c r="B4" s="149" t="s">
        <v>2307</v>
      </c>
      <c r="N4" s="184">
        <v>1</v>
      </c>
      <c r="O4" s="185" t="s">
        <v>1508</v>
      </c>
      <c r="P4" s="191">
        <v>3</v>
      </c>
      <c r="Q4" s="140" t="s">
        <v>2295</v>
      </c>
      <c r="R4" s="180"/>
      <c r="S4" s="180"/>
      <c r="T4" s="180"/>
      <c r="U4" s="180"/>
      <c r="V4" s="180"/>
      <c r="W4" s="180"/>
      <c r="X4" s="180"/>
      <c r="Y4" s="64"/>
      <c r="Z4" s="64"/>
      <c r="AA4" s="64"/>
      <c r="AB4" s="64"/>
      <c r="AC4" s="64"/>
      <c r="AD4" s="180"/>
      <c r="AE4" s="180"/>
    </row>
    <row r="5" spans="1:36">
      <c r="N5" s="186"/>
      <c r="O5" s="186"/>
      <c r="P5" s="186"/>
      <c r="Q5" s="187"/>
    </row>
    <row r="6" spans="1:36">
      <c r="B6" s="61" t="s">
        <v>2277</v>
      </c>
      <c r="C6" s="61" t="s">
        <v>2290</v>
      </c>
      <c r="E6" s="61" t="s">
        <v>2285</v>
      </c>
      <c r="F6" s="61" t="s">
        <v>2286</v>
      </c>
      <c r="G6" s="62" t="s">
        <v>2291</v>
      </c>
      <c r="H6" s="61" t="s">
        <v>2292</v>
      </c>
      <c r="I6" s="61" t="s">
        <v>2287</v>
      </c>
      <c r="J6" s="61" t="s">
        <v>2288</v>
      </c>
      <c r="K6" s="61" t="s">
        <v>2293</v>
      </c>
      <c r="L6" s="61" t="s">
        <v>2294</v>
      </c>
      <c r="N6" s="186"/>
      <c r="O6" s="186"/>
      <c r="P6" s="186"/>
      <c r="Q6" s="187"/>
    </row>
    <row r="7" spans="1:36" ht="33.75">
      <c r="B7" s="157" t="s">
        <v>140</v>
      </c>
      <c r="C7" s="157" t="s">
        <v>2302</v>
      </c>
      <c r="D7" s="148" t="s">
        <v>4272</v>
      </c>
      <c r="E7" s="148" t="s">
        <v>2303</v>
      </c>
      <c r="F7" s="148" t="s">
        <v>2299</v>
      </c>
      <c r="G7" s="1174" t="s">
        <v>2300</v>
      </c>
      <c r="H7" s="1174"/>
      <c r="I7" s="148" t="s">
        <v>2303</v>
      </c>
      <c r="J7" s="148" t="s">
        <v>2299</v>
      </c>
      <c r="K7" s="1174" t="s">
        <v>2301</v>
      </c>
      <c r="L7" s="1174"/>
      <c r="N7" s="186"/>
      <c r="O7" s="186"/>
      <c r="P7" s="186"/>
      <c r="Q7" s="187"/>
    </row>
    <row r="8" spans="1:36" ht="16.5" customHeight="1">
      <c r="A8" s="61">
        <v>-1</v>
      </c>
      <c r="B8" s="163" t="s">
        <v>1919</v>
      </c>
      <c r="C8" s="1134">
        <v>2</v>
      </c>
      <c r="D8" s="62">
        <v>-1</v>
      </c>
      <c r="E8" s="164">
        <v>4</v>
      </c>
      <c r="F8" s="164">
        <v>3</v>
      </c>
      <c r="G8" s="164">
        <f t="shared" ref="G8:G29" si="0">E8*F8</f>
        <v>12</v>
      </c>
      <c r="H8" s="165" t="s">
        <v>2297</v>
      </c>
      <c r="I8" s="164">
        <v>3</v>
      </c>
      <c r="J8" s="164">
        <v>2</v>
      </c>
      <c r="K8" s="164">
        <f t="shared" ref="K8:K29" si="1">I8*J8</f>
        <v>6</v>
      </c>
      <c r="L8" s="166" t="s">
        <v>2296</v>
      </c>
      <c r="Y8" s="1175" t="s">
        <v>64</v>
      </c>
      <c r="Z8" s="1175" t="s">
        <v>274</v>
      </c>
      <c r="AA8" s="1120"/>
      <c r="AB8" s="499"/>
      <c r="AC8" s="1124">
        <f>VLOOKUP(Y8,[68]Listas!$D$6:$E$10,2,0)</f>
        <v>3</v>
      </c>
      <c r="AD8" s="1124">
        <f>HLOOKUP(Z8,[68]Listas!$F$4:$J$5,2,0)</f>
        <v>3</v>
      </c>
      <c r="AE8" s="1177" t="str">
        <f>INDEX([68]Listas!$F$6:$J$10,MATCH(Y8,[68]Listas!$D$6:$D$10,0),MATCH(Z8,[68]Listas!$F$4:$J$4,0))</f>
        <v>9
MODERADO</v>
      </c>
      <c r="AI8" s="61">
        <v>3</v>
      </c>
      <c r="AJ8" s="61">
        <v>3</v>
      </c>
    </row>
    <row r="9" spans="1:36" ht="16.5" customHeight="1">
      <c r="A9" s="61">
        <v>-2</v>
      </c>
      <c r="B9" s="144" t="s">
        <v>1918</v>
      </c>
      <c r="C9" s="1135">
        <v>4</v>
      </c>
      <c r="D9" s="62">
        <v>-2</v>
      </c>
      <c r="E9" s="146">
        <v>3</v>
      </c>
      <c r="F9" s="146">
        <v>3.75</v>
      </c>
      <c r="G9" s="146">
        <f t="shared" si="0"/>
        <v>11.25</v>
      </c>
      <c r="H9" s="159" t="s">
        <v>2297</v>
      </c>
      <c r="I9" s="146">
        <v>1</v>
      </c>
      <c r="J9" s="146">
        <v>3.25</v>
      </c>
      <c r="K9" s="146">
        <f t="shared" si="1"/>
        <v>3.25</v>
      </c>
      <c r="L9" s="162" t="s">
        <v>2295</v>
      </c>
      <c r="Y9" s="1176"/>
      <c r="Z9" s="1176"/>
      <c r="AA9" s="1121"/>
      <c r="AB9" s="499"/>
      <c r="AC9" s="1124" t="e">
        <f>VLOOKUP(Y9,[68]Listas!$D$6:$E$10,2,0)</f>
        <v>#N/A</v>
      </c>
      <c r="AD9" s="1124" t="e">
        <f>HLOOKUP(Z9,[68]Listas!$F$4:$J$5,2,0)</f>
        <v>#N/A</v>
      </c>
      <c r="AE9" s="1178"/>
      <c r="AI9" s="61">
        <v>4</v>
      </c>
      <c r="AJ9" s="61">
        <v>3</v>
      </c>
    </row>
    <row r="10" spans="1:36" ht="16.5" customHeight="1">
      <c r="B10" s="144" t="s">
        <v>1926</v>
      </c>
      <c r="C10" s="1135">
        <v>4</v>
      </c>
      <c r="D10" s="62" t="s">
        <v>4273</v>
      </c>
      <c r="E10" s="146">
        <v>3.5</v>
      </c>
      <c r="F10" s="146">
        <v>3</v>
      </c>
      <c r="G10" s="146">
        <f t="shared" si="0"/>
        <v>10.5</v>
      </c>
      <c r="H10" s="159" t="s">
        <v>2297</v>
      </c>
      <c r="I10" s="146">
        <v>2.5</v>
      </c>
      <c r="J10" s="146">
        <v>2.25</v>
      </c>
      <c r="K10" s="146">
        <f t="shared" si="1"/>
        <v>5.625</v>
      </c>
      <c r="L10" s="161" t="s">
        <v>2296</v>
      </c>
      <c r="Y10" s="1176"/>
      <c r="Z10" s="1176"/>
      <c r="AA10" s="1121"/>
      <c r="AB10" s="499"/>
      <c r="AC10" s="1124" t="e">
        <f>VLOOKUP(Y10,[68]Listas!$D$6:$E$10,2,0)</f>
        <v>#N/A</v>
      </c>
      <c r="AD10" s="1124" t="e">
        <f>HLOOKUP(Z10,[68]Listas!$F$4:$J$5,2,0)</f>
        <v>#N/A</v>
      </c>
      <c r="AE10" s="1178"/>
      <c r="AI10" s="61">
        <v>5</v>
      </c>
      <c r="AJ10" s="61">
        <v>3</v>
      </c>
    </row>
    <row r="11" spans="1:36" ht="16.5" customHeight="1">
      <c r="B11" s="144" t="s">
        <v>1912</v>
      </c>
      <c r="C11" s="1135">
        <v>3</v>
      </c>
      <c r="D11" s="62" t="s">
        <v>4273</v>
      </c>
      <c r="E11" s="146">
        <v>3.3333333333333335</v>
      </c>
      <c r="F11" s="146">
        <v>3</v>
      </c>
      <c r="G11" s="146">
        <f t="shared" si="0"/>
        <v>10</v>
      </c>
      <c r="H11" s="160" t="s">
        <v>2296</v>
      </c>
      <c r="I11" s="146">
        <v>1.6666666666666667</v>
      </c>
      <c r="J11" s="146">
        <v>2.3333333333333335</v>
      </c>
      <c r="K11" s="146">
        <f t="shared" si="1"/>
        <v>3.8888888888888893</v>
      </c>
      <c r="L11" s="161" t="s">
        <v>2296</v>
      </c>
      <c r="Y11" s="1176"/>
      <c r="Z11" s="1176"/>
      <c r="AA11" s="1121"/>
      <c r="AB11" s="499"/>
      <c r="AC11" s="1124" t="e">
        <f>VLOOKUP(Y11,[68]Listas!$D$6:$E$10,2,0)</f>
        <v>#N/A</v>
      </c>
      <c r="AD11" s="1124" t="e">
        <f>HLOOKUP(Z11,[68]Listas!$F$4:$J$5,2,0)</f>
        <v>#N/A</v>
      </c>
      <c r="AE11" s="1178"/>
    </row>
    <row r="12" spans="1:36" ht="16.5" customHeight="1">
      <c r="A12" s="61">
        <v>-4</v>
      </c>
      <c r="B12" s="144" t="s">
        <v>2158</v>
      </c>
      <c r="C12" s="1135">
        <v>4</v>
      </c>
      <c r="D12" s="62">
        <v>-4</v>
      </c>
      <c r="E12" s="146">
        <v>3</v>
      </c>
      <c r="F12" s="146">
        <v>3.3</v>
      </c>
      <c r="G12" s="146">
        <f t="shared" si="0"/>
        <v>9.8999999999999986</v>
      </c>
      <c r="H12" s="160" t="s">
        <v>2296</v>
      </c>
      <c r="I12" s="146">
        <v>2.2999999999999998</v>
      </c>
      <c r="J12" s="146">
        <v>2.6</v>
      </c>
      <c r="K12" s="146">
        <f t="shared" si="1"/>
        <v>5.9799999999999995</v>
      </c>
      <c r="L12" s="162" t="s">
        <v>2295</v>
      </c>
      <c r="Y12" s="1176"/>
      <c r="Z12" s="1176"/>
      <c r="AA12" s="1121"/>
      <c r="AB12" s="499"/>
      <c r="AC12" s="1124" t="e">
        <f>VLOOKUP(Y12,[68]Listas!$D$6:$E$10,2,0)</f>
        <v>#N/A</v>
      </c>
      <c r="AD12" s="1124" t="e">
        <f>HLOOKUP(Z12,[68]Listas!$F$4:$J$5,2,0)</f>
        <v>#N/A</v>
      </c>
      <c r="AE12" s="1178"/>
    </row>
    <row r="13" spans="1:36" ht="16.5" customHeight="1">
      <c r="B13" s="144" t="s">
        <v>1921</v>
      </c>
      <c r="C13" s="1135">
        <v>5</v>
      </c>
      <c r="D13" s="62" t="s">
        <v>4273</v>
      </c>
      <c r="E13" s="146">
        <v>3</v>
      </c>
      <c r="F13" s="146">
        <v>3.2</v>
      </c>
      <c r="G13" s="146">
        <f t="shared" si="0"/>
        <v>9.6000000000000014</v>
      </c>
      <c r="H13" s="160" t="s">
        <v>2296</v>
      </c>
      <c r="I13" s="146">
        <v>2</v>
      </c>
      <c r="J13" s="146">
        <v>2.8</v>
      </c>
      <c r="K13" s="146">
        <f t="shared" si="1"/>
        <v>5.6</v>
      </c>
      <c r="L13" s="161" t="s">
        <v>2296</v>
      </c>
      <c r="Y13" s="1122" t="s">
        <v>37</v>
      </c>
      <c r="Z13" s="1122" t="s">
        <v>274</v>
      </c>
      <c r="AA13" s="1120"/>
      <c r="AB13" s="499"/>
      <c r="AC13" s="1124">
        <f>VLOOKUP(Y13,[68]Listas!$D$6:$E$10,2,0)</f>
        <v>5</v>
      </c>
      <c r="AD13" s="1124">
        <f>HLOOKUP(Z13,[68]Listas!$F$4:$J$5,2,0)</f>
        <v>3</v>
      </c>
      <c r="AE13" s="1123" t="str">
        <f>INDEX([68]Listas!$F$6:$J$10,MATCH(Y13,[68]Listas!$D$6:$D$10,0),MATCH(Z13,[68]Listas!$F$4:$J$4,0))</f>
        <v>15
ALTO</v>
      </c>
    </row>
    <row r="14" spans="1:36" ht="16.5" customHeight="1">
      <c r="A14" s="61">
        <v>2</v>
      </c>
      <c r="B14" s="144" t="s">
        <v>1917</v>
      </c>
      <c r="C14" s="1135">
        <v>4</v>
      </c>
      <c r="D14" s="62">
        <v>2</v>
      </c>
      <c r="E14" s="146">
        <v>3</v>
      </c>
      <c r="F14" s="146">
        <v>3</v>
      </c>
      <c r="G14" s="146">
        <f t="shared" si="0"/>
        <v>9</v>
      </c>
      <c r="H14" s="160" t="s">
        <v>2296</v>
      </c>
      <c r="I14" s="146">
        <v>2</v>
      </c>
      <c r="J14" s="146">
        <v>2</v>
      </c>
      <c r="K14" s="146">
        <f t="shared" si="1"/>
        <v>4</v>
      </c>
      <c r="L14" s="162" t="s">
        <v>2295</v>
      </c>
    </row>
    <row r="15" spans="1:36" ht="16.5" customHeight="1">
      <c r="B15" s="144" t="s">
        <v>1925</v>
      </c>
      <c r="C15" s="1135">
        <v>10</v>
      </c>
      <c r="D15" s="62" t="s">
        <v>4273</v>
      </c>
      <c r="E15" s="146">
        <v>3.3</v>
      </c>
      <c r="F15" s="146">
        <v>2.6</v>
      </c>
      <c r="G15" s="146">
        <f t="shared" si="0"/>
        <v>8.58</v>
      </c>
      <c r="H15" s="160" t="s">
        <v>2296</v>
      </c>
      <c r="I15" s="146">
        <v>2.1</v>
      </c>
      <c r="J15" s="146">
        <v>2.1</v>
      </c>
      <c r="K15" s="146">
        <f t="shared" si="1"/>
        <v>4.41</v>
      </c>
      <c r="L15" s="161" t="s">
        <v>2296</v>
      </c>
    </row>
    <row r="16" spans="1:36" ht="16.5" customHeight="1">
      <c r="A16" s="61">
        <v>-1</v>
      </c>
      <c r="B16" s="144" t="s">
        <v>1920</v>
      </c>
      <c r="C16" s="1135">
        <v>5</v>
      </c>
      <c r="D16" s="62">
        <v>-1</v>
      </c>
      <c r="E16" s="146">
        <v>3.3333333333333335</v>
      </c>
      <c r="F16" s="146">
        <v>2.5</v>
      </c>
      <c r="G16" s="146">
        <f t="shared" si="0"/>
        <v>8.3333333333333339</v>
      </c>
      <c r="H16" s="160" t="s">
        <v>2296</v>
      </c>
      <c r="I16" s="146">
        <v>2.5</v>
      </c>
      <c r="J16" s="146">
        <v>1.5</v>
      </c>
      <c r="K16" s="146">
        <f t="shared" si="1"/>
        <v>3.75</v>
      </c>
      <c r="L16" s="161" t="s">
        <v>2296</v>
      </c>
    </row>
    <row r="17" spans="1:12" ht="16.5" customHeight="1">
      <c r="A17" s="61">
        <v>-2</v>
      </c>
      <c r="B17" s="151" t="s">
        <v>2306</v>
      </c>
      <c r="C17" s="1136">
        <v>10</v>
      </c>
      <c r="D17" s="62">
        <v>-2</v>
      </c>
      <c r="E17" s="153">
        <v>2.6</v>
      </c>
      <c r="F17" s="153">
        <v>3.2</v>
      </c>
      <c r="G17" s="153">
        <f t="shared" si="0"/>
        <v>8.32</v>
      </c>
      <c r="H17" s="160" t="s">
        <v>2296</v>
      </c>
      <c r="I17" s="153">
        <v>1.25</v>
      </c>
      <c r="J17" s="153">
        <v>2.8</v>
      </c>
      <c r="K17" s="153">
        <f t="shared" si="1"/>
        <v>3.5</v>
      </c>
      <c r="L17" s="176" t="s">
        <v>2295</v>
      </c>
    </row>
    <row r="18" spans="1:12" ht="16.5" customHeight="1">
      <c r="A18" s="61">
        <v>-1</v>
      </c>
      <c r="B18" s="144" t="s">
        <v>1931</v>
      </c>
      <c r="C18" s="1135">
        <v>2</v>
      </c>
      <c r="D18" s="62">
        <v>-1</v>
      </c>
      <c r="E18" s="146">
        <v>3</v>
      </c>
      <c r="F18" s="146">
        <v>2.6666666666666665</v>
      </c>
      <c r="G18" s="146">
        <f t="shared" si="0"/>
        <v>8</v>
      </c>
      <c r="H18" s="160" t="s">
        <v>2296</v>
      </c>
      <c r="I18" s="146">
        <v>1.6666666666666667</v>
      </c>
      <c r="J18" s="146">
        <v>1.6666666666666667</v>
      </c>
      <c r="K18" s="146">
        <f t="shared" si="1"/>
        <v>2.7777777777777781</v>
      </c>
      <c r="L18" s="162" t="s">
        <v>2295</v>
      </c>
    </row>
    <row r="19" spans="1:12" ht="16.5" customHeight="1">
      <c r="B19" s="144" t="s">
        <v>1915</v>
      </c>
      <c r="C19" s="1135">
        <v>3</v>
      </c>
      <c r="D19" s="62" t="s">
        <v>4273</v>
      </c>
      <c r="E19" s="146">
        <v>3.3333333333333335</v>
      </c>
      <c r="F19" s="146">
        <v>2.3333333333333335</v>
      </c>
      <c r="G19" s="146">
        <f t="shared" si="0"/>
        <v>7.7777777777777786</v>
      </c>
      <c r="H19" s="160" t="s">
        <v>2296</v>
      </c>
      <c r="I19" s="146">
        <v>2.3333333333333335</v>
      </c>
      <c r="J19" s="146">
        <v>1.3333333333333333</v>
      </c>
      <c r="K19" s="146">
        <f t="shared" si="1"/>
        <v>3.1111111111111112</v>
      </c>
      <c r="L19" s="161" t="s">
        <v>2296</v>
      </c>
    </row>
    <row r="20" spans="1:12" ht="16.5" customHeight="1">
      <c r="B20" s="144" t="s">
        <v>1911</v>
      </c>
      <c r="C20" s="1135">
        <v>5</v>
      </c>
      <c r="D20" s="62" t="s">
        <v>4273</v>
      </c>
      <c r="E20" s="146">
        <v>3.8</v>
      </c>
      <c r="F20" s="146">
        <v>2</v>
      </c>
      <c r="G20" s="146">
        <f t="shared" si="0"/>
        <v>7.6</v>
      </c>
      <c r="H20" s="160" t="s">
        <v>2296</v>
      </c>
      <c r="I20" s="146">
        <v>2.6</v>
      </c>
      <c r="J20" s="146">
        <v>1.2</v>
      </c>
      <c r="K20" s="146">
        <f t="shared" si="1"/>
        <v>3.12</v>
      </c>
      <c r="L20" s="161" t="s">
        <v>2296</v>
      </c>
    </row>
    <row r="21" spans="1:12" ht="16.5" customHeight="1">
      <c r="A21" s="61">
        <v>-1</v>
      </c>
      <c r="B21" s="144" t="s">
        <v>1922</v>
      </c>
      <c r="C21" s="1135">
        <v>6</v>
      </c>
      <c r="D21" s="62">
        <v>-1</v>
      </c>
      <c r="E21" s="146">
        <v>3.2857142857142856</v>
      </c>
      <c r="F21" s="146">
        <v>2.2857142857142856</v>
      </c>
      <c r="G21" s="146">
        <f t="shared" si="0"/>
        <v>7.5102040816326525</v>
      </c>
      <c r="H21" s="160" t="s">
        <v>2296</v>
      </c>
      <c r="I21" s="146">
        <v>2.1428571428571428</v>
      </c>
      <c r="J21" s="146">
        <v>2.1428571428571428</v>
      </c>
      <c r="K21" s="146">
        <f t="shared" si="1"/>
        <v>4.5918367346938771</v>
      </c>
      <c r="L21" s="161" t="s">
        <v>2296</v>
      </c>
    </row>
    <row r="22" spans="1:12" ht="16.5" customHeight="1">
      <c r="B22" s="144" t="s">
        <v>1910</v>
      </c>
      <c r="C22" s="1135">
        <v>2</v>
      </c>
      <c r="D22" s="62" t="s">
        <v>4273</v>
      </c>
      <c r="E22" s="146">
        <v>2.5</v>
      </c>
      <c r="F22" s="146">
        <v>3</v>
      </c>
      <c r="G22" s="146">
        <f t="shared" si="0"/>
        <v>7.5</v>
      </c>
      <c r="H22" s="160" t="s">
        <v>2296</v>
      </c>
      <c r="I22" s="146">
        <v>2</v>
      </c>
      <c r="J22" s="146">
        <v>2</v>
      </c>
      <c r="K22" s="146">
        <f t="shared" si="1"/>
        <v>4</v>
      </c>
      <c r="L22" s="161" t="s">
        <v>2296</v>
      </c>
    </row>
    <row r="23" spans="1:12" ht="16.5" customHeight="1">
      <c r="A23" s="61">
        <v>-3</v>
      </c>
      <c r="B23" s="144" t="s">
        <v>1928</v>
      </c>
      <c r="C23" s="1135">
        <v>4</v>
      </c>
      <c r="D23" s="62">
        <v>-3</v>
      </c>
      <c r="E23" s="146">
        <v>2.5</v>
      </c>
      <c r="F23" s="146">
        <v>2.75</v>
      </c>
      <c r="G23" s="146">
        <f t="shared" si="0"/>
        <v>6.875</v>
      </c>
      <c r="H23" s="160" t="s">
        <v>2296</v>
      </c>
      <c r="I23" s="146">
        <v>1</v>
      </c>
      <c r="J23" s="146">
        <v>2.25</v>
      </c>
      <c r="K23" s="146">
        <f t="shared" si="1"/>
        <v>2.25</v>
      </c>
      <c r="L23" s="162" t="s">
        <v>2295</v>
      </c>
    </row>
    <row r="24" spans="1:12" ht="16.5" customHeight="1">
      <c r="A24" s="61">
        <v>-3</v>
      </c>
      <c r="B24" s="144" t="s">
        <v>2304</v>
      </c>
      <c r="C24" s="1135">
        <v>11</v>
      </c>
      <c r="D24" s="62">
        <v>-3</v>
      </c>
      <c r="E24" s="146">
        <v>2.4285714285714284</v>
      </c>
      <c r="F24" s="146">
        <v>2.7142857142857144</v>
      </c>
      <c r="G24" s="146">
        <f t="shared" si="0"/>
        <v>6.5918367346938771</v>
      </c>
      <c r="H24" s="160" t="s">
        <v>2296</v>
      </c>
      <c r="I24" s="146">
        <v>1.0714285714285714</v>
      </c>
      <c r="J24" s="146">
        <v>1.3571428571428572</v>
      </c>
      <c r="K24" s="146">
        <f t="shared" si="1"/>
        <v>1.4540816326530612</v>
      </c>
      <c r="L24" s="162" t="s">
        <v>2295</v>
      </c>
    </row>
    <row r="25" spans="1:12" ht="16.5" customHeight="1">
      <c r="B25" s="144" t="s">
        <v>1913</v>
      </c>
      <c r="C25" s="1135">
        <v>3</v>
      </c>
      <c r="D25" s="62" t="s">
        <v>4273</v>
      </c>
      <c r="E25" s="146">
        <v>2.6666666666666665</v>
      </c>
      <c r="F25" s="146">
        <v>2.3333333333333335</v>
      </c>
      <c r="G25" s="146">
        <f t="shared" si="0"/>
        <v>6.2222222222222223</v>
      </c>
      <c r="H25" s="160" t="s">
        <v>2296</v>
      </c>
      <c r="I25" s="146">
        <v>1.6666666666666667</v>
      </c>
      <c r="J25" s="146">
        <v>2.3333333333333335</v>
      </c>
      <c r="K25" s="146">
        <f t="shared" si="1"/>
        <v>3.8888888888888893</v>
      </c>
      <c r="L25" s="161" t="s">
        <v>2296</v>
      </c>
    </row>
    <row r="26" spans="1:12" ht="16.5" customHeight="1">
      <c r="B26" s="144" t="s">
        <v>1916</v>
      </c>
      <c r="C26" s="1135">
        <v>1</v>
      </c>
      <c r="D26" s="62" t="s">
        <v>4273</v>
      </c>
      <c r="E26" s="146">
        <v>3</v>
      </c>
      <c r="F26" s="146">
        <v>2</v>
      </c>
      <c r="G26" s="146">
        <f t="shared" si="0"/>
        <v>6</v>
      </c>
      <c r="H26" s="160" t="s">
        <v>2296</v>
      </c>
      <c r="I26" s="146">
        <v>1</v>
      </c>
      <c r="J26" s="146">
        <v>2</v>
      </c>
      <c r="K26" s="146">
        <f t="shared" si="1"/>
        <v>2</v>
      </c>
      <c r="L26" s="162" t="s">
        <v>2295</v>
      </c>
    </row>
    <row r="27" spans="1:12" ht="16.5" customHeight="1">
      <c r="A27" s="61">
        <v>-2</v>
      </c>
      <c r="B27" s="144" t="s">
        <v>1924</v>
      </c>
      <c r="C27" s="1135">
        <v>5</v>
      </c>
      <c r="D27" s="62">
        <v>-2</v>
      </c>
      <c r="E27" s="146">
        <v>2.4285714285714284</v>
      </c>
      <c r="F27" s="146">
        <v>2.1428571428571428</v>
      </c>
      <c r="G27" s="146">
        <f t="shared" si="0"/>
        <v>5.204081632653061</v>
      </c>
      <c r="H27" s="160" t="s">
        <v>2296</v>
      </c>
      <c r="I27" s="146">
        <v>1.4285714285714286</v>
      </c>
      <c r="J27" s="146">
        <v>1.4285714285714286</v>
      </c>
      <c r="K27" s="146">
        <f t="shared" si="1"/>
        <v>2.0408163265306123</v>
      </c>
      <c r="L27" s="162" t="s">
        <v>2295</v>
      </c>
    </row>
    <row r="28" spans="1:12" ht="16.5" customHeight="1">
      <c r="B28" s="144" t="s">
        <v>1923</v>
      </c>
      <c r="C28" s="1135">
        <v>11</v>
      </c>
      <c r="D28" s="62" t="s">
        <v>4273</v>
      </c>
      <c r="E28" s="146">
        <v>2.1818181818181817</v>
      </c>
      <c r="F28" s="146">
        <v>2.3636363636363638</v>
      </c>
      <c r="G28" s="146">
        <f t="shared" si="0"/>
        <v>5.1570247933884295</v>
      </c>
      <c r="H28" s="160" t="s">
        <v>2296</v>
      </c>
      <c r="I28" s="146">
        <v>1.2727272727272727</v>
      </c>
      <c r="J28" s="146">
        <v>1</v>
      </c>
      <c r="K28" s="146">
        <f t="shared" si="1"/>
        <v>1.2727272727272727</v>
      </c>
      <c r="L28" s="162" t="s">
        <v>2295</v>
      </c>
    </row>
    <row r="29" spans="1:12" ht="16.5" customHeight="1">
      <c r="A29" s="61">
        <v>-1</v>
      </c>
      <c r="B29" s="144" t="s">
        <v>2305</v>
      </c>
      <c r="C29" s="1135">
        <v>8</v>
      </c>
      <c r="D29" s="62">
        <v>-1</v>
      </c>
      <c r="E29" s="146">
        <v>2.5555555555555554</v>
      </c>
      <c r="F29" s="146">
        <v>2</v>
      </c>
      <c r="G29" s="146">
        <f t="shared" si="0"/>
        <v>5.1111111111111107</v>
      </c>
      <c r="H29" s="160" t="s">
        <v>2296</v>
      </c>
      <c r="I29" s="146">
        <v>1.5555555555555556</v>
      </c>
      <c r="J29" s="146">
        <v>1.3333333333333333</v>
      </c>
      <c r="K29" s="146">
        <f t="shared" si="1"/>
        <v>2.074074074074074</v>
      </c>
      <c r="L29" s="162" t="s">
        <v>2295</v>
      </c>
    </row>
    <row r="30" spans="1:12" ht="16.5" customHeight="1">
      <c r="B30" s="154" t="s">
        <v>2278</v>
      </c>
      <c r="C30" s="155">
        <v>112</v>
      </c>
      <c r="D30" s="155">
        <v>-19</v>
      </c>
      <c r="E30" s="156">
        <f>AVERAGE(E8:E29)</f>
        <v>2.9884953430407974</v>
      </c>
      <c r="F30" s="156">
        <f>AVERAGE(F8:F29)</f>
        <v>2.6881739472648571</v>
      </c>
      <c r="G30" s="156">
        <f>AVERAGE(G8:G29)</f>
        <v>8.0469359857642022</v>
      </c>
      <c r="H30" s="177" t="s">
        <v>2296</v>
      </c>
      <c r="I30" s="156">
        <f>AVERAGE(I8:I29)</f>
        <v>1.8206578774760593</v>
      </c>
      <c r="J30" s="156">
        <f>AVERAGE(J8:J29)</f>
        <v>1.9853896103896107</v>
      </c>
      <c r="K30" s="156">
        <f>AVERAGE(K8:K29)</f>
        <v>3.5720546685157077</v>
      </c>
      <c r="L30" s="178" t="s">
        <v>2295</v>
      </c>
    </row>
    <row r="32" spans="1:12">
      <c r="B32" s="61">
        <v>2018</v>
      </c>
      <c r="C32" s="61">
        <v>131</v>
      </c>
    </row>
    <row r="33" spans="2:40" ht="12" customHeight="1">
      <c r="B33" s="61">
        <v>2019</v>
      </c>
      <c r="C33" s="61">
        <v>112</v>
      </c>
      <c r="D33" s="61">
        <f>C32-C33</f>
        <v>19</v>
      </c>
      <c r="S33" s="194"/>
      <c r="T33" s="1169">
        <v>2018</v>
      </c>
      <c r="U33" s="1169"/>
      <c r="V33" s="1169" t="s">
        <v>2316</v>
      </c>
      <c r="W33" s="1169"/>
      <c r="AK33" s="181">
        <v>51</v>
      </c>
      <c r="AL33" s="182" t="s">
        <v>1508</v>
      </c>
      <c r="AM33" s="183">
        <v>100</v>
      </c>
      <c r="AN33" s="143" t="s">
        <v>2298</v>
      </c>
    </row>
    <row r="34" spans="2:40" ht="12" customHeight="1">
      <c r="S34" s="195" t="s">
        <v>2313</v>
      </c>
      <c r="T34" s="1170">
        <v>131</v>
      </c>
      <c r="U34" s="1170"/>
      <c r="V34" s="1171">
        <v>144</v>
      </c>
      <c r="W34" s="1171"/>
      <c r="AK34" s="188">
        <v>26</v>
      </c>
      <c r="AL34" s="182" t="s">
        <v>1508</v>
      </c>
      <c r="AM34" s="190">
        <v>50</v>
      </c>
      <c r="AN34" s="142" t="s">
        <v>2297</v>
      </c>
    </row>
    <row r="35" spans="2:40" ht="12" customHeight="1">
      <c r="S35" s="195" t="s">
        <v>2314</v>
      </c>
      <c r="T35" s="196">
        <v>6.9</v>
      </c>
      <c r="U35" s="197" t="s">
        <v>2296</v>
      </c>
      <c r="V35" s="158">
        <v>10.199999999999999</v>
      </c>
      <c r="W35" s="142" t="s">
        <v>2297</v>
      </c>
      <c r="AK35" s="181">
        <v>11</v>
      </c>
      <c r="AL35" s="182" t="s">
        <v>1508</v>
      </c>
      <c r="AM35" s="183">
        <v>25</v>
      </c>
      <c r="AN35" s="141" t="s">
        <v>2296</v>
      </c>
    </row>
    <row r="36" spans="2:40" ht="12" customHeight="1">
      <c r="S36" s="195" t="s">
        <v>2315</v>
      </c>
      <c r="T36" s="196">
        <v>2.8</v>
      </c>
      <c r="U36" s="198" t="s">
        <v>2295</v>
      </c>
      <c r="V36" s="158">
        <v>6.3</v>
      </c>
      <c r="W36" s="141" t="s">
        <v>2296</v>
      </c>
      <c r="AK36" s="184">
        <v>5</v>
      </c>
      <c r="AL36" s="182" t="s">
        <v>1508</v>
      </c>
      <c r="AM36" s="191">
        <v>10</v>
      </c>
      <c r="AN36" s="140" t="s">
        <v>2295</v>
      </c>
    </row>
    <row r="39" spans="2:40" ht="18">
      <c r="Y39" s="150" t="s">
        <v>2186</v>
      </c>
    </row>
    <row r="41" spans="2:40">
      <c r="Y41" s="61" t="s">
        <v>2277</v>
      </c>
      <c r="Z41" s="61" t="s">
        <v>2279</v>
      </c>
      <c r="AB41" s="61" t="s">
        <v>2285</v>
      </c>
      <c r="AC41" s="61" t="s">
        <v>2286</v>
      </c>
      <c r="AD41" s="62" t="s">
        <v>2291</v>
      </c>
      <c r="AE41" s="61" t="s">
        <v>2292</v>
      </c>
      <c r="AF41" s="61" t="s">
        <v>2287</v>
      </c>
      <c r="AG41" s="61" t="s">
        <v>2288</v>
      </c>
      <c r="AH41" s="61" t="s">
        <v>2293</v>
      </c>
      <c r="AI41" s="61" t="s">
        <v>2294</v>
      </c>
    </row>
    <row r="42" spans="2:40" ht="22.5">
      <c r="Y42" s="179" t="s">
        <v>140</v>
      </c>
      <c r="Z42" s="1119" t="s">
        <v>4274</v>
      </c>
      <c r="AA42" s="1119" t="s">
        <v>4275</v>
      </c>
      <c r="AB42" s="1119" t="s">
        <v>2303</v>
      </c>
      <c r="AC42" s="1119" t="s">
        <v>2299</v>
      </c>
      <c r="AD42" s="1172" t="s">
        <v>2300</v>
      </c>
      <c r="AE42" s="1172"/>
      <c r="AF42" s="1119" t="s">
        <v>2303</v>
      </c>
      <c r="AG42" s="1119" t="s">
        <v>2299</v>
      </c>
      <c r="AH42" s="1172" t="s">
        <v>2301</v>
      </c>
      <c r="AI42" s="1173"/>
      <c r="AK42" s="192"/>
      <c r="AL42" s="192"/>
      <c r="AM42" s="192"/>
      <c r="AN42" s="192"/>
    </row>
    <row r="43" spans="2:40" ht="15">
      <c r="Y43" s="144" t="s">
        <v>1922</v>
      </c>
      <c r="Z43" s="145">
        <v>1</v>
      </c>
      <c r="AA43" s="1135">
        <v>1</v>
      </c>
      <c r="AB43" s="146">
        <v>2</v>
      </c>
      <c r="AC43" s="146">
        <v>20</v>
      </c>
      <c r="AD43" s="146">
        <f t="shared" ref="AD43:AD66" si="2">AB43*AC43</f>
        <v>40</v>
      </c>
      <c r="AE43" s="167" t="s">
        <v>2312</v>
      </c>
      <c r="AF43" s="146">
        <v>1</v>
      </c>
      <c r="AG43" s="146">
        <v>20</v>
      </c>
      <c r="AH43" s="146">
        <f t="shared" ref="AH43:AH66" si="3">AF43*AG43</f>
        <v>20</v>
      </c>
      <c r="AI43" s="168" t="s">
        <v>2311</v>
      </c>
      <c r="AK43" s="193"/>
      <c r="AL43" s="193"/>
      <c r="AM43" s="192"/>
      <c r="AN43" s="321"/>
    </row>
    <row r="44" spans="2:40" ht="15">
      <c r="Y44" s="144" t="s">
        <v>2308</v>
      </c>
      <c r="Z44" s="145">
        <v>1</v>
      </c>
      <c r="AA44" s="1135">
        <v>1</v>
      </c>
      <c r="AB44" s="146">
        <v>2</v>
      </c>
      <c r="AC44" s="146">
        <v>20</v>
      </c>
      <c r="AD44" s="146">
        <f t="shared" si="2"/>
        <v>40</v>
      </c>
      <c r="AE44" s="167" t="s">
        <v>2312</v>
      </c>
      <c r="AF44" s="146">
        <v>1</v>
      </c>
      <c r="AG44" s="146">
        <v>5</v>
      </c>
      <c r="AH44" s="146">
        <f t="shared" si="3"/>
        <v>5</v>
      </c>
      <c r="AI44" s="169" t="s">
        <v>1094</v>
      </c>
      <c r="AK44" s="193"/>
      <c r="AL44" s="193"/>
      <c r="AM44" s="192"/>
      <c r="AN44" s="321"/>
    </row>
    <row r="45" spans="2:40" ht="15">
      <c r="R45" s="199"/>
      <c r="Y45" s="144" t="s">
        <v>1920</v>
      </c>
      <c r="Z45" s="145">
        <v>5</v>
      </c>
      <c r="AA45" s="1135">
        <v>5</v>
      </c>
      <c r="AB45" s="146">
        <v>1.8</v>
      </c>
      <c r="AC45" s="146">
        <v>20</v>
      </c>
      <c r="AD45" s="146">
        <f t="shared" si="2"/>
        <v>36</v>
      </c>
      <c r="AE45" s="167" t="s">
        <v>2312</v>
      </c>
      <c r="AF45" s="146">
        <v>1</v>
      </c>
      <c r="AG45" s="146">
        <v>20</v>
      </c>
      <c r="AH45" s="146">
        <f t="shared" si="3"/>
        <v>20</v>
      </c>
      <c r="AI45" s="168" t="s">
        <v>2311</v>
      </c>
      <c r="AK45" s="193"/>
      <c r="AL45" s="193"/>
      <c r="AM45" s="192"/>
      <c r="AN45" s="321"/>
    </row>
    <row r="46" spans="2:40" ht="15">
      <c r="R46" s="199"/>
      <c r="Y46" s="144" t="s">
        <v>2310</v>
      </c>
      <c r="Z46" s="145">
        <v>5</v>
      </c>
      <c r="AA46" s="1135">
        <v>5</v>
      </c>
      <c r="AB46" s="146">
        <v>2.6</v>
      </c>
      <c r="AC46" s="146">
        <v>12</v>
      </c>
      <c r="AD46" s="146">
        <f t="shared" si="2"/>
        <v>31.200000000000003</v>
      </c>
      <c r="AE46" s="167" t="s">
        <v>2312</v>
      </c>
      <c r="AF46" s="146">
        <v>1.4</v>
      </c>
      <c r="AG46" s="146">
        <v>5</v>
      </c>
      <c r="AH46" s="146">
        <f t="shared" si="3"/>
        <v>7</v>
      </c>
      <c r="AI46" s="169" t="s">
        <v>1094</v>
      </c>
      <c r="AK46" s="193"/>
      <c r="AL46" s="193"/>
      <c r="AM46" s="192"/>
      <c r="AN46" s="321"/>
    </row>
    <row r="47" spans="2:40">
      <c r="R47" s="199"/>
      <c r="Y47" s="144" t="s">
        <v>1918</v>
      </c>
      <c r="Z47" s="145">
        <v>3</v>
      </c>
      <c r="AA47" s="1135">
        <v>3</v>
      </c>
      <c r="AB47" s="146">
        <v>1.3333333333333333</v>
      </c>
      <c r="AC47" s="146">
        <v>20</v>
      </c>
      <c r="AD47" s="146">
        <f t="shared" si="2"/>
        <v>26.666666666666664</v>
      </c>
      <c r="AE47" s="170" t="s">
        <v>2311</v>
      </c>
      <c r="AF47" s="146">
        <v>1</v>
      </c>
      <c r="AG47" s="146">
        <v>10</v>
      </c>
      <c r="AH47" s="146">
        <f t="shared" si="3"/>
        <v>10</v>
      </c>
      <c r="AI47" s="168" t="s">
        <v>2311</v>
      </c>
    </row>
    <row r="48" spans="2:40">
      <c r="R48" s="199"/>
      <c r="Y48" s="144" t="s">
        <v>1924</v>
      </c>
      <c r="Z48" s="145">
        <v>2</v>
      </c>
      <c r="AA48" s="1135">
        <v>2</v>
      </c>
      <c r="AB48" s="146">
        <v>2.5</v>
      </c>
      <c r="AC48" s="146">
        <v>10</v>
      </c>
      <c r="AD48" s="146">
        <f t="shared" si="2"/>
        <v>25</v>
      </c>
      <c r="AE48" s="170" t="s">
        <v>2311</v>
      </c>
      <c r="AF48" s="146">
        <v>1</v>
      </c>
      <c r="AG48" s="146">
        <v>5</v>
      </c>
      <c r="AH48" s="146">
        <f t="shared" si="3"/>
        <v>5</v>
      </c>
      <c r="AI48" s="169" t="s">
        <v>1094</v>
      </c>
    </row>
    <row r="49" spans="18:35">
      <c r="R49" s="199"/>
      <c r="Y49" s="144" t="s">
        <v>1911</v>
      </c>
      <c r="Z49" s="145">
        <v>2</v>
      </c>
      <c r="AA49" s="1135">
        <v>2</v>
      </c>
      <c r="AB49" s="146">
        <v>1.5</v>
      </c>
      <c r="AC49" s="146">
        <v>15</v>
      </c>
      <c r="AD49" s="146">
        <f t="shared" si="2"/>
        <v>22.5</v>
      </c>
      <c r="AE49" s="170" t="s">
        <v>2311</v>
      </c>
      <c r="AF49" s="146">
        <v>1</v>
      </c>
      <c r="AG49" s="146">
        <v>5</v>
      </c>
      <c r="AH49" s="146">
        <f t="shared" si="3"/>
        <v>5</v>
      </c>
      <c r="AI49" s="169" t="s">
        <v>1094</v>
      </c>
    </row>
    <row r="50" spans="18:35">
      <c r="R50" s="199"/>
      <c r="Y50" s="144" t="s">
        <v>1928</v>
      </c>
      <c r="Z50" s="145">
        <v>7</v>
      </c>
      <c r="AA50" s="1135">
        <v>7</v>
      </c>
      <c r="AB50" s="146">
        <v>1.4285714285714286</v>
      </c>
      <c r="AC50" s="146">
        <v>15.714285714285714</v>
      </c>
      <c r="AD50" s="146">
        <f t="shared" si="2"/>
        <v>22.448979591836736</v>
      </c>
      <c r="AE50" s="170" t="s">
        <v>2311</v>
      </c>
      <c r="AF50" s="146">
        <v>1</v>
      </c>
      <c r="AG50" s="146">
        <v>12.142857142857142</v>
      </c>
      <c r="AH50" s="146">
        <f t="shared" si="3"/>
        <v>12.142857142857142</v>
      </c>
      <c r="AI50" s="169" t="s">
        <v>1094</v>
      </c>
    </row>
    <row r="51" spans="18:35">
      <c r="R51" s="199"/>
      <c r="Y51" s="144" t="s">
        <v>1921</v>
      </c>
      <c r="Z51" s="145">
        <v>7</v>
      </c>
      <c r="AA51" s="1135">
        <v>7</v>
      </c>
      <c r="AB51" s="146">
        <v>1.5714285714285714</v>
      </c>
      <c r="AC51" s="146">
        <v>12.857142857142858</v>
      </c>
      <c r="AD51" s="146">
        <f t="shared" si="2"/>
        <v>20.204081632653061</v>
      </c>
      <c r="AE51" s="170" t="s">
        <v>2311</v>
      </c>
      <c r="AF51" s="146">
        <v>1</v>
      </c>
      <c r="AG51" s="146">
        <v>12.142857142857142</v>
      </c>
      <c r="AH51" s="146">
        <f t="shared" si="3"/>
        <v>12.142857142857142</v>
      </c>
      <c r="AI51" s="169" t="s">
        <v>1094</v>
      </c>
    </row>
    <row r="52" spans="18:35">
      <c r="R52" s="199"/>
      <c r="Y52" s="144" t="s">
        <v>2158</v>
      </c>
      <c r="Z52" s="145">
        <v>2</v>
      </c>
      <c r="AA52" s="1135">
        <v>2</v>
      </c>
      <c r="AB52" s="146">
        <v>2</v>
      </c>
      <c r="AC52" s="146">
        <v>10</v>
      </c>
      <c r="AD52" s="146">
        <f t="shared" si="2"/>
        <v>20</v>
      </c>
      <c r="AE52" s="170" t="s">
        <v>2311</v>
      </c>
      <c r="AF52" s="146">
        <v>1.5</v>
      </c>
      <c r="AG52" s="146">
        <v>10</v>
      </c>
      <c r="AH52" s="146">
        <f t="shared" si="3"/>
        <v>15</v>
      </c>
      <c r="AI52" s="168" t="s">
        <v>2311</v>
      </c>
    </row>
    <row r="53" spans="18:35">
      <c r="R53" s="199"/>
      <c r="X53" s="61">
        <v>-1</v>
      </c>
      <c r="Y53" s="144" t="s">
        <v>1910</v>
      </c>
      <c r="Z53" s="145">
        <v>2</v>
      </c>
      <c r="AA53" s="1137">
        <v>1</v>
      </c>
      <c r="AB53" s="146">
        <v>2</v>
      </c>
      <c r="AC53" s="146">
        <v>10</v>
      </c>
      <c r="AD53" s="146">
        <f t="shared" si="2"/>
        <v>20</v>
      </c>
      <c r="AE53" s="170" t="s">
        <v>2311</v>
      </c>
      <c r="AF53" s="146">
        <v>1</v>
      </c>
      <c r="AG53" s="146">
        <v>8</v>
      </c>
      <c r="AH53" s="146">
        <f t="shared" si="3"/>
        <v>8</v>
      </c>
      <c r="AI53" s="171" t="s">
        <v>1094</v>
      </c>
    </row>
    <row r="54" spans="18:35">
      <c r="R54" s="199"/>
      <c r="Y54" s="144" t="s">
        <v>1916</v>
      </c>
      <c r="Z54" s="145">
        <v>2</v>
      </c>
      <c r="AA54" s="1135">
        <v>2</v>
      </c>
      <c r="AB54" s="146">
        <v>1</v>
      </c>
      <c r="AC54" s="146">
        <v>15</v>
      </c>
      <c r="AD54" s="146">
        <f t="shared" si="2"/>
        <v>15</v>
      </c>
      <c r="AE54" s="170" t="s">
        <v>2311</v>
      </c>
      <c r="AF54" s="146">
        <v>1</v>
      </c>
      <c r="AG54" s="146">
        <v>15</v>
      </c>
      <c r="AH54" s="146">
        <f t="shared" si="3"/>
        <v>15</v>
      </c>
      <c r="AI54" s="168" t="s">
        <v>2311</v>
      </c>
    </row>
    <row r="55" spans="18:35">
      <c r="Y55" s="144" t="s">
        <v>1912</v>
      </c>
      <c r="Z55" s="145">
        <v>2</v>
      </c>
      <c r="AA55" s="1135">
        <v>2</v>
      </c>
      <c r="AB55" s="146">
        <v>2</v>
      </c>
      <c r="AC55" s="146">
        <v>7.5</v>
      </c>
      <c r="AD55" s="146">
        <f t="shared" si="2"/>
        <v>15</v>
      </c>
      <c r="AE55" s="170" t="s">
        <v>2311</v>
      </c>
      <c r="AF55" s="146">
        <v>1</v>
      </c>
      <c r="AG55" s="146">
        <v>7.5</v>
      </c>
      <c r="AH55" s="146">
        <f t="shared" si="3"/>
        <v>7.5</v>
      </c>
      <c r="AI55" s="169" t="s">
        <v>1094</v>
      </c>
    </row>
    <row r="56" spans="18:35">
      <c r="X56" s="61">
        <v>-1</v>
      </c>
      <c r="Y56" s="144" t="s">
        <v>2309</v>
      </c>
      <c r="Z56" s="145">
        <v>6</v>
      </c>
      <c r="AA56" s="1137">
        <v>5</v>
      </c>
      <c r="AB56" s="146">
        <v>1</v>
      </c>
      <c r="AC56" s="146">
        <v>13</v>
      </c>
      <c r="AD56" s="146">
        <f t="shared" si="2"/>
        <v>13</v>
      </c>
      <c r="AE56" s="170" t="s">
        <v>2311</v>
      </c>
      <c r="AF56" s="146">
        <v>1</v>
      </c>
      <c r="AG56" s="146">
        <v>12</v>
      </c>
      <c r="AH56" s="146">
        <f t="shared" si="3"/>
        <v>12</v>
      </c>
      <c r="AI56" s="170" t="s">
        <v>2311</v>
      </c>
    </row>
    <row r="57" spans="18:35">
      <c r="Y57" s="144" t="s">
        <v>1919</v>
      </c>
      <c r="Z57" s="145">
        <v>5</v>
      </c>
      <c r="AA57" s="1135">
        <v>5</v>
      </c>
      <c r="AB57" s="146">
        <v>1.4</v>
      </c>
      <c r="AC57" s="146">
        <v>9</v>
      </c>
      <c r="AD57" s="146">
        <f t="shared" si="2"/>
        <v>12.6</v>
      </c>
      <c r="AE57" s="171" t="s">
        <v>1094</v>
      </c>
      <c r="AF57" s="146">
        <v>1.2</v>
      </c>
      <c r="AG57" s="146">
        <v>9</v>
      </c>
      <c r="AH57" s="146">
        <f t="shared" si="3"/>
        <v>10.799999999999999</v>
      </c>
      <c r="AI57" s="169" t="s">
        <v>1094</v>
      </c>
    </row>
    <row r="58" spans="18:35">
      <c r="R58" s="199"/>
      <c r="Y58" s="144" t="s">
        <v>1923</v>
      </c>
      <c r="Z58" s="145">
        <v>4</v>
      </c>
      <c r="AA58" s="1135">
        <v>4</v>
      </c>
      <c r="AB58" s="146">
        <v>1.25</v>
      </c>
      <c r="AC58" s="146">
        <v>10</v>
      </c>
      <c r="AD58" s="146">
        <f t="shared" si="2"/>
        <v>12.5</v>
      </c>
      <c r="AE58" s="171" t="s">
        <v>1094</v>
      </c>
      <c r="AF58" s="146">
        <v>1</v>
      </c>
      <c r="AG58" s="146">
        <v>6.25</v>
      </c>
      <c r="AH58" s="146">
        <f t="shared" si="3"/>
        <v>6.25</v>
      </c>
      <c r="AI58" s="169" t="s">
        <v>1094</v>
      </c>
    </row>
    <row r="59" spans="18:35">
      <c r="R59" s="199"/>
      <c r="Y59" s="144" t="s">
        <v>1925</v>
      </c>
      <c r="Z59" s="145">
        <v>7</v>
      </c>
      <c r="AA59" s="1135">
        <v>7</v>
      </c>
      <c r="AB59" s="146">
        <v>1.1428571428571428</v>
      </c>
      <c r="AC59" s="146">
        <v>10</v>
      </c>
      <c r="AD59" s="146">
        <f t="shared" si="2"/>
        <v>11.428571428571427</v>
      </c>
      <c r="AE59" s="171" t="s">
        <v>1094</v>
      </c>
      <c r="AF59" s="146">
        <v>1</v>
      </c>
      <c r="AG59" s="146">
        <v>7.8571428571428568</v>
      </c>
      <c r="AH59" s="146">
        <f t="shared" si="3"/>
        <v>7.8571428571428568</v>
      </c>
      <c r="AI59" s="169" t="s">
        <v>1094</v>
      </c>
    </row>
    <row r="60" spans="18:35">
      <c r="R60" s="199"/>
      <c r="Y60" s="144" t="s">
        <v>2306</v>
      </c>
      <c r="Z60" s="145">
        <v>4</v>
      </c>
      <c r="AA60" s="1135">
        <v>4</v>
      </c>
      <c r="AB60" s="146">
        <v>1.25</v>
      </c>
      <c r="AC60" s="146">
        <v>8.75</v>
      </c>
      <c r="AD60" s="146">
        <f t="shared" si="2"/>
        <v>10.9375</v>
      </c>
      <c r="AE60" s="171" t="s">
        <v>1094</v>
      </c>
      <c r="AF60" s="146">
        <v>1</v>
      </c>
      <c r="AG60" s="146">
        <v>6.25</v>
      </c>
      <c r="AH60" s="146">
        <f t="shared" si="3"/>
        <v>6.25</v>
      </c>
      <c r="AI60" s="169" t="s">
        <v>1094</v>
      </c>
    </row>
    <row r="61" spans="18:35">
      <c r="R61" s="199"/>
      <c r="Y61" s="144" t="s">
        <v>1931</v>
      </c>
      <c r="Z61" s="145">
        <v>1</v>
      </c>
      <c r="AA61" s="1135">
        <v>1</v>
      </c>
      <c r="AB61" s="146">
        <v>1</v>
      </c>
      <c r="AC61" s="146">
        <v>10</v>
      </c>
      <c r="AD61" s="146">
        <f t="shared" si="2"/>
        <v>10</v>
      </c>
      <c r="AE61" s="171" t="s">
        <v>1094</v>
      </c>
      <c r="AF61" s="146">
        <v>1</v>
      </c>
      <c r="AG61" s="146">
        <v>10</v>
      </c>
      <c r="AH61" s="146">
        <f t="shared" si="3"/>
        <v>10</v>
      </c>
      <c r="AI61" s="169" t="s">
        <v>1094</v>
      </c>
    </row>
    <row r="62" spans="18:35">
      <c r="R62" s="199"/>
      <c r="Y62" s="144" t="s">
        <v>1913</v>
      </c>
      <c r="Z62" s="145">
        <v>1</v>
      </c>
      <c r="AA62" s="1135">
        <v>1</v>
      </c>
      <c r="AB62" s="146">
        <v>1</v>
      </c>
      <c r="AC62" s="146">
        <v>10</v>
      </c>
      <c r="AD62" s="146">
        <f t="shared" si="2"/>
        <v>10</v>
      </c>
      <c r="AE62" s="171" t="s">
        <v>1094</v>
      </c>
      <c r="AF62" s="146">
        <v>1</v>
      </c>
      <c r="AG62" s="146">
        <v>10</v>
      </c>
      <c r="AH62" s="146">
        <f t="shared" si="3"/>
        <v>10</v>
      </c>
      <c r="AI62" s="169" t="s">
        <v>1094</v>
      </c>
    </row>
    <row r="63" spans="18:35">
      <c r="R63" s="199"/>
      <c r="X63" s="61">
        <v>-2</v>
      </c>
      <c r="Y63" s="144" t="s">
        <v>2305</v>
      </c>
      <c r="Z63" s="145">
        <v>9</v>
      </c>
      <c r="AA63" s="1137">
        <v>7</v>
      </c>
      <c r="AB63" s="146">
        <v>1</v>
      </c>
      <c r="AC63" s="146">
        <v>10</v>
      </c>
      <c r="AD63" s="146">
        <f t="shared" si="2"/>
        <v>10</v>
      </c>
      <c r="AE63" s="171" t="s">
        <v>1094</v>
      </c>
      <c r="AF63" s="146">
        <v>1</v>
      </c>
      <c r="AG63" s="146">
        <v>8</v>
      </c>
      <c r="AH63" s="146">
        <f t="shared" si="3"/>
        <v>8</v>
      </c>
      <c r="AI63" s="169" t="s">
        <v>1094</v>
      </c>
    </row>
    <row r="64" spans="18:35">
      <c r="R64" s="199"/>
      <c r="Y64" s="144" t="s">
        <v>1917</v>
      </c>
      <c r="Z64" s="145">
        <v>6</v>
      </c>
      <c r="AA64" s="1135">
        <v>6</v>
      </c>
      <c r="AB64" s="146">
        <v>1</v>
      </c>
      <c r="AC64" s="146">
        <v>9.1666666666666661</v>
      </c>
      <c r="AD64" s="146">
        <f t="shared" si="2"/>
        <v>9.1666666666666661</v>
      </c>
      <c r="AE64" s="171" t="s">
        <v>1094</v>
      </c>
      <c r="AF64" s="146">
        <v>1</v>
      </c>
      <c r="AG64" s="146">
        <v>9.1666666666666661</v>
      </c>
      <c r="AH64" s="146">
        <f t="shared" si="3"/>
        <v>9.1666666666666661</v>
      </c>
      <c r="AI64" s="169" t="s">
        <v>1094</v>
      </c>
    </row>
    <row r="65" spans="17:44">
      <c r="R65" s="199"/>
      <c r="Y65" s="151" t="s">
        <v>1926</v>
      </c>
      <c r="Z65" s="152">
        <v>2</v>
      </c>
      <c r="AA65" s="1136">
        <v>2</v>
      </c>
      <c r="AB65" s="153">
        <v>1</v>
      </c>
      <c r="AC65" s="153">
        <v>5</v>
      </c>
      <c r="AD65" s="153">
        <f t="shared" si="2"/>
        <v>5</v>
      </c>
      <c r="AE65" s="172" t="s">
        <v>1094</v>
      </c>
      <c r="AF65" s="153">
        <v>1</v>
      </c>
      <c r="AG65" s="153">
        <v>5</v>
      </c>
      <c r="AH65" s="153">
        <f t="shared" si="3"/>
        <v>5</v>
      </c>
      <c r="AI65" s="173" t="s">
        <v>1094</v>
      </c>
    </row>
    <row r="66" spans="17:44">
      <c r="R66" s="199"/>
      <c r="X66" s="61">
        <v>-4</v>
      </c>
      <c r="Y66" s="154" t="s">
        <v>2278</v>
      </c>
      <c r="Z66" s="155">
        <v>86</v>
      </c>
      <c r="AA66" s="155">
        <v>82</v>
      </c>
      <c r="AB66" s="156">
        <v>1.6511627906976745</v>
      </c>
      <c r="AC66" s="156">
        <v>11.369047619047619</v>
      </c>
      <c r="AD66" s="156">
        <f t="shared" si="2"/>
        <v>18.772148394241416</v>
      </c>
      <c r="AE66" s="174" t="s">
        <v>2311</v>
      </c>
      <c r="AF66" s="156">
        <v>1.069767441860465</v>
      </c>
      <c r="AG66" s="156">
        <v>8.9534883720930232</v>
      </c>
      <c r="AH66" s="156">
        <f t="shared" si="3"/>
        <v>9.5781503515413728</v>
      </c>
      <c r="AI66" s="175" t="s">
        <v>1094</v>
      </c>
    </row>
    <row r="67" spans="17:44">
      <c r="Q67" s="60"/>
      <c r="S67" s="60"/>
    </row>
    <row r="68" spans="17:44">
      <c r="Q68" s="60"/>
      <c r="R68" s="60"/>
      <c r="S68" s="60"/>
    </row>
    <row r="69" spans="17:44">
      <c r="AN69" s="194"/>
      <c r="AO69" s="1169">
        <v>2018</v>
      </c>
      <c r="AP69" s="1169"/>
      <c r="AQ69" s="1169" t="s">
        <v>2316</v>
      </c>
      <c r="AR69" s="1169"/>
    </row>
    <row r="70" spans="17:44" ht="12">
      <c r="AN70" s="195" t="s">
        <v>2313</v>
      </c>
      <c r="AO70" s="1170">
        <v>86</v>
      </c>
      <c r="AP70" s="1170"/>
      <c r="AQ70" s="1171">
        <v>78</v>
      </c>
      <c r="AR70" s="1171"/>
    </row>
    <row r="71" spans="17:44" ht="12">
      <c r="AN71" s="195" t="s">
        <v>2314</v>
      </c>
      <c r="AO71" s="196">
        <v>18.8</v>
      </c>
      <c r="AP71" s="197" t="s">
        <v>2296</v>
      </c>
      <c r="AQ71" s="158">
        <v>26.3</v>
      </c>
      <c r="AR71" s="197" t="s">
        <v>2296</v>
      </c>
    </row>
    <row r="72" spans="17:44" ht="12">
      <c r="AN72" s="195" t="s">
        <v>2315</v>
      </c>
      <c r="AO72" s="196">
        <v>9.6</v>
      </c>
      <c r="AP72" s="198" t="s">
        <v>1094</v>
      </c>
      <c r="AQ72" s="158">
        <v>12.7</v>
      </c>
      <c r="AR72" s="197" t="s">
        <v>2296</v>
      </c>
    </row>
    <row r="75" spans="17:44">
      <c r="Z75" s="61">
        <v>2017</v>
      </c>
    </row>
    <row r="76" spans="17:44">
      <c r="Z76" s="61">
        <v>2</v>
      </c>
    </row>
    <row r="77" spans="17:44">
      <c r="Z77" s="61">
        <v>2</v>
      </c>
    </row>
    <row r="78" spans="17:44">
      <c r="Z78" s="61">
        <v>2</v>
      </c>
    </row>
    <row r="79" spans="17:44">
      <c r="Z79" s="61">
        <v>1</v>
      </c>
    </row>
    <row r="80" spans="17:44">
      <c r="Z80" s="61">
        <v>1</v>
      </c>
    </row>
    <row r="81" spans="26:26">
      <c r="Z81" s="61">
        <v>2</v>
      </c>
    </row>
    <row r="82" spans="26:26">
      <c r="Z82" s="61">
        <v>1</v>
      </c>
    </row>
    <row r="83" spans="26:26">
      <c r="Z83" s="61">
        <v>7</v>
      </c>
    </row>
    <row r="84" spans="26:26">
      <c r="Z84" s="61">
        <v>2</v>
      </c>
    </row>
    <row r="85" spans="26:26">
      <c r="Z85" s="61">
        <v>3</v>
      </c>
    </row>
    <row r="86" spans="26:26">
      <c r="Z86" s="61">
        <v>5</v>
      </c>
    </row>
    <row r="87" spans="26:26">
      <c r="Z87" s="61">
        <v>7</v>
      </c>
    </row>
    <row r="88" spans="26:26">
      <c r="Z88" s="61">
        <v>1</v>
      </c>
    </row>
    <row r="89" spans="26:26">
      <c r="Z89" s="61">
        <v>1</v>
      </c>
    </row>
    <row r="90" spans="26:26">
      <c r="Z90" s="61">
        <v>7</v>
      </c>
    </row>
    <row r="91" spans="26:26">
      <c r="Z91" s="61">
        <v>2</v>
      </c>
    </row>
    <row r="92" spans="26:26">
      <c r="Z92" s="61">
        <v>4</v>
      </c>
    </row>
    <row r="93" spans="26:26">
      <c r="Z93" s="61">
        <v>2</v>
      </c>
    </row>
    <row r="94" spans="26:26">
      <c r="Z94" s="61">
        <v>4</v>
      </c>
    </row>
    <row r="95" spans="26:26">
      <c r="Z95" s="61">
        <v>9</v>
      </c>
    </row>
    <row r="96" spans="26:26">
      <c r="Z96" s="61">
        <v>2</v>
      </c>
    </row>
    <row r="97" spans="26:26">
      <c r="Z97" s="61">
        <v>11</v>
      </c>
    </row>
  </sheetData>
  <autoFilter ref="B6:L30"/>
  <mergeCells count="15">
    <mergeCell ref="G7:H7"/>
    <mergeCell ref="K7:L7"/>
    <mergeCell ref="Y8:Y12"/>
    <mergeCell ref="Z8:Z12"/>
    <mergeCell ref="AE8:AE12"/>
    <mergeCell ref="T33:U33"/>
    <mergeCell ref="V33:W33"/>
    <mergeCell ref="AO70:AP70"/>
    <mergeCell ref="AQ70:AR70"/>
    <mergeCell ref="T34:U34"/>
    <mergeCell ref="V34:W34"/>
    <mergeCell ref="AD42:AE42"/>
    <mergeCell ref="AH42:AI42"/>
    <mergeCell ref="AO69:AP69"/>
    <mergeCell ref="AQ69:AR69"/>
  </mergeCells>
  <dataValidations count="2">
    <dataValidation type="list" allowBlank="1" showInputMessage="1" showErrorMessage="1" sqref="Y13 Y8">
      <formula1>PROBAB</formula1>
    </dataValidation>
    <dataValidation type="list" allowBlank="1" showInputMessage="1" showErrorMessage="1" sqref="Z13:AA13 Z8:AA8">
      <formula1>Impacto</formula1>
    </dataValidation>
  </dataValidation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BL119"/>
  <sheetViews>
    <sheetView showGridLines="0" view="pageBreakPreview" zoomScaleNormal="100" zoomScaleSheetLayoutView="100" workbookViewId="0">
      <selection activeCell="L6" sqref="L6:U6"/>
    </sheetView>
  </sheetViews>
  <sheetFormatPr baseColWidth="10" defaultRowHeight="15"/>
  <cols>
    <col min="1" max="1" width="1.140625" style="16" customWidth="1"/>
    <col min="2" max="4" width="5.42578125" style="16" customWidth="1"/>
    <col min="5" max="5" width="7.28515625" style="17" customWidth="1"/>
    <col min="6" max="10" width="4.5703125" style="16" customWidth="1"/>
    <col min="11" max="11" width="13.85546875" style="16" customWidth="1"/>
    <col min="12" max="13" width="3.28515625" style="18"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0" width="7.140625" style="18" customWidth="1"/>
    <col min="21" max="21" width="17.710937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customWidth="1"/>
    <col min="45" max="45" width="5.140625" style="17" hidden="1" customWidth="1"/>
    <col min="46" max="46" width="3.28515625" style="17" customWidth="1"/>
    <col min="47" max="47" width="4.28515625" style="17" customWidth="1"/>
    <col min="48" max="48" width="4.28515625" style="18" customWidth="1"/>
    <col min="49" max="49" width="36.5703125" style="18" customWidth="1"/>
    <col min="50" max="50" width="21.5703125" style="21" customWidth="1"/>
    <col min="51" max="51" width="5" style="21" customWidth="1"/>
    <col min="52" max="52" width="20.140625" style="210" customWidth="1"/>
    <col min="53" max="53" width="25.5703125" style="210" customWidth="1"/>
    <col min="54" max="54" width="14.7109375" style="210" customWidth="1"/>
    <col min="55" max="55" width="40.7109375" style="210" customWidth="1"/>
    <col min="56" max="56" width="42.7109375" style="210" customWidth="1"/>
    <col min="57" max="57" width="5.85546875" style="210" customWidth="1"/>
    <col min="58" max="58" width="13.5703125" style="210" customWidth="1"/>
    <col min="59" max="61" width="10" style="210" customWidth="1"/>
    <col min="62" max="62" width="10.28515625" style="210" customWidth="1"/>
    <col min="63" max="63" width="2.140625" style="210" customWidth="1"/>
    <col min="64" max="64" width="11.42578125" style="210"/>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858" t="str">
        <f>UPPER([25]Control!A2)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428">
        <v>2019</v>
      </c>
      <c r="BA2" s="208"/>
      <c r="BB2" s="2830" t="s">
        <v>138</v>
      </c>
      <c r="BC2" s="2831"/>
      <c r="BD2" s="2861" t="str">
        <f>L6</f>
        <v>EJECUCIÓN DE OBRAS</v>
      </c>
      <c r="BE2" s="2862"/>
      <c r="BF2" s="586"/>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1:64" ht="15.75" customHeight="1" thickBot="1">
      <c r="A4" s="2832" t="str">
        <f>[25]Control!A4</f>
        <v>FO-PE-05</v>
      </c>
      <c r="B4" s="2833"/>
      <c r="C4" s="2833"/>
      <c r="D4" s="2834"/>
      <c r="E4" s="2835" t="str">
        <f>[25]Control!C4</f>
        <v>Planeación Estratégica</v>
      </c>
      <c r="F4" s="2833"/>
      <c r="G4" s="2833"/>
      <c r="H4" s="2833"/>
      <c r="I4" s="2833"/>
      <c r="J4" s="2833"/>
      <c r="K4" s="2833"/>
      <c r="L4" s="2833"/>
      <c r="M4" s="2833"/>
      <c r="N4" s="2833"/>
      <c r="O4" s="2833"/>
      <c r="P4" s="2833"/>
      <c r="Q4" s="2833"/>
      <c r="R4" s="2833"/>
      <c r="S4" s="2833"/>
      <c r="T4" s="2833"/>
      <c r="U4" s="2834"/>
      <c r="V4" s="2835">
        <f>[25]Control!H4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410" t="s">
        <v>3195</v>
      </c>
      <c r="BA4" s="208"/>
      <c r="BB4" s="2836">
        <v>43709</v>
      </c>
      <c r="BC4" s="2837"/>
      <c r="BD4" s="2838" t="s">
        <v>3911</v>
      </c>
      <c r="BE4" s="2838"/>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842" t="s">
        <v>35</v>
      </c>
      <c r="M6" s="2843"/>
      <c r="N6" s="2843"/>
      <c r="O6" s="2843"/>
      <c r="P6" s="2843"/>
      <c r="Q6" s="2843"/>
      <c r="R6" s="2843"/>
      <c r="S6" s="2843"/>
      <c r="T6" s="2843"/>
      <c r="U6" s="2844"/>
      <c r="V6" s="2845" t="s">
        <v>59</v>
      </c>
      <c r="W6" s="2845"/>
      <c r="X6" s="2845"/>
      <c r="Y6" s="2845"/>
      <c r="Z6" s="2845"/>
      <c r="AA6" s="2827" t="s">
        <v>310</v>
      </c>
      <c r="AB6" s="2828"/>
      <c r="AC6" s="2828"/>
      <c r="AD6" s="2828"/>
      <c r="AE6" s="2828"/>
      <c r="AF6" s="2828"/>
      <c r="AG6" s="2828"/>
      <c r="AH6" s="2828"/>
      <c r="AI6" s="2828"/>
      <c r="AJ6" s="2828"/>
      <c r="AK6" s="2828"/>
      <c r="AL6" s="2828"/>
      <c r="AM6" s="2828"/>
      <c r="AN6" s="2828"/>
      <c r="AO6" s="2828"/>
      <c r="AP6" s="2828"/>
      <c r="AQ6" s="2828"/>
      <c r="AR6" s="2828"/>
      <c r="AS6" s="2828"/>
      <c r="AT6" s="2828"/>
      <c r="AU6" s="2828"/>
      <c r="AV6" s="2828"/>
      <c r="AW6" s="2828"/>
      <c r="AX6" s="2828"/>
      <c r="AY6" s="2828"/>
      <c r="AZ6" s="2828"/>
      <c r="BA6" s="2829"/>
      <c r="BB6" s="213"/>
      <c r="BC6" s="212"/>
      <c r="BD6" s="213"/>
      <c r="BE6" s="213"/>
      <c r="BF6" s="213"/>
      <c r="BG6" s="213"/>
      <c r="BH6" s="213"/>
      <c r="BI6" s="213"/>
      <c r="BJ6" s="213"/>
      <c r="BK6" s="213"/>
      <c r="BL6" s="213"/>
    </row>
    <row r="7" spans="1:64" s="3" customFormat="1" ht="9.75"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1:64" s="3" customFormat="1" ht="212.25" customHeight="1">
      <c r="A10" s="332"/>
      <c r="B10" s="2805" t="s">
        <v>533</v>
      </c>
      <c r="C10" s="2806"/>
      <c r="D10" s="2807"/>
      <c r="E10" s="59" t="s">
        <v>1980</v>
      </c>
      <c r="F10" s="2808" t="s">
        <v>508</v>
      </c>
      <c r="G10" s="2809"/>
      <c r="H10" s="2810"/>
      <c r="I10" s="2805" t="s">
        <v>878</v>
      </c>
      <c r="J10" s="2806"/>
      <c r="K10" s="2807"/>
      <c r="L10" s="330" t="s">
        <v>283</v>
      </c>
      <c r="M10" s="50" t="s">
        <v>270</v>
      </c>
      <c r="N10" s="32"/>
      <c r="O10" s="6">
        <f>VLOOKUP(L10,[25]Listas!$M$69:$N$73,2,0)</f>
        <v>1</v>
      </c>
      <c r="P10" s="6"/>
      <c r="Q10" s="6">
        <f>HLOOKUP(M10,[25]Listas!$O$67:$Q$68,2,0)</f>
        <v>10</v>
      </c>
      <c r="R10" s="331" t="str">
        <f>INDEX([25]Listas!$O$69:$Q$73,MATCH(L10,[25]Listas!$M$69:$M$73,0),MATCH(M10,[25]Listas!$O$67:$Q$67,0))</f>
        <v>10
BAJA</v>
      </c>
      <c r="S10" s="2805" t="s">
        <v>3912</v>
      </c>
      <c r="T10" s="2806"/>
      <c r="U10" s="2807"/>
      <c r="V10" s="329" t="s">
        <v>65</v>
      </c>
      <c r="W10" s="329" t="s">
        <v>65</v>
      </c>
      <c r="X10" s="329" t="s">
        <v>65</v>
      </c>
      <c r="Y10" s="329" t="s">
        <v>65</v>
      </c>
      <c r="Z10" s="329" t="s">
        <v>65</v>
      </c>
      <c r="AA10" s="329" t="s">
        <v>36</v>
      </c>
      <c r="AB10" s="329" t="s">
        <v>65</v>
      </c>
      <c r="AC10" s="329" t="s">
        <v>65</v>
      </c>
      <c r="AD10" s="329" t="s">
        <v>65</v>
      </c>
      <c r="AE10" s="329" t="s">
        <v>65</v>
      </c>
      <c r="AF10" s="33"/>
      <c r="AG10" s="6">
        <f t="shared" ref="AG10:AG21" si="0">IF(Y10="SI",15,0)</f>
        <v>15</v>
      </c>
      <c r="AH10" s="6">
        <f t="shared" ref="AH10:AH21" si="1">IF(Z10="SI",5,0)</f>
        <v>5</v>
      </c>
      <c r="AI10" s="6">
        <f t="shared" ref="AI10:AI21" si="2">IF(AA10="SI",15,0)</f>
        <v>0</v>
      </c>
      <c r="AJ10" s="6">
        <f t="shared" ref="AJ10:AJ21" si="3">IF(AB10="SI",10,0)</f>
        <v>10</v>
      </c>
      <c r="AK10" s="6">
        <f t="shared" ref="AK10:AK21" si="4">IF(AC10="SI",15,0)</f>
        <v>15</v>
      </c>
      <c r="AL10" s="6">
        <f t="shared" ref="AL10:AL21" si="5">IF(AD10="SI",10,0)</f>
        <v>10</v>
      </c>
      <c r="AM10" s="6">
        <f t="shared" ref="AM10:AM21" si="6">IF(AE10="SI",30,0)</f>
        <v>30</v>
      </c>
      <c r="AN10" s="6">
        <f t="shared" ref="AN10:AN21" si="7">SUM(AG10+AH10+AI10+AJ10+AK10+AL10+AM10)</f>
        <v>85</v>
      </c>
      <c r="AO10" s="6">
        <f t="shared" ref="AO10:AO21" si="8">IF(AN10&lt;=50,0,IF(AN10&gt;=76,2,1))</f>
        <v>2</v>
      </c>
      <c r="AP10" s="331" t="str">
        <f t="shared" ref="AP10:AP21" si="9">CONCATENATE(AN10,"- disminuye ",AO10)</f>
        <v>85- disminuye 2</v>
      </c>
      <c r="AQ10" s="6">
        <f t="shared" ref="AQ10:AQ21" si="10">IF(V10="SI",O10-AO10,O10)</f>
        <v>-1</v>
      </c>
      <c r="AR10" s="331" t="str">
        <f>IF(AQ10&lt;=1,"Rara vez",VLOOKUP(AQ10,[25]Listas!$L$69:$M$73,2,0))</f>
        <v>Rara vez</v>
      </c>
      <c r="AS10" s="6">
        <f t="shared" ref="AS10:AS21" si="11">IF(W10="SI",Q10-AO10,Q10)</f>
        <v>8</v>
      </c>
      <c r="AT10" s="331" t="str">
        <f t="shared" ref="AT10:AT21" si="12">IF(AS10&lt;=9,"Moderado",IF(AS10=20,"Catastrófico",IF(AS10=18,"Moderado","Mayor")))</f>
        <v>Moderado</v>
      </c>
      <c r="AU10" s="331" t="str">
        <f>INDEX([25]Listas!$O$69:$Q$73,MATCH(AR10,[25]Listas!$M$69:$M$73,0),MATCH(AT10,[25]Listas!$O$67:$Q$67,0))</f>
        <v>5
BAJA</v>
      </c>
      <c r="AV10" s="330" t="s">
        <v>271</v>
      </c>
      <c r="AW10" s="826" t="s">
        <v>1871</v>
      </c>
      <c r="AX10" s="843" t="s">
        <v>879</v>
      </c>
      <c r="AY10" s="330" t="s">
        <v>3196</v>
      </c>
      <c r="AZ10" s="12" t="s">
        <v>3197</v>
      </c>
      <c r="BA10" s="12" t="s">
        <v>3198</v>
      </c>
      <c r="BB10" s="226" t="s">
        <v>2573</v>
      </c>
      <c r="BC10" s="12" t="s">
        <v>3390</v>
      </c>
      <c r="BD10" s="12" t="s">
        <v>3913</v>
      </c>
      <c r="BE10" s="839" t="s">
        <v>36</v>
      </c>
      <c r="BF10" s="839" t="s">
        <v>2573</v>
      </c>
      <c r="BG10" s="839" t="s">
        <v>2573</v>
      </c>
      <c r="BH10" s="227"/>
      <c r="BI10" s="227"/>
      <c r="BJ10" s="839" t="s">
        <v>2573</v>
      </c>
      <c r="BK10" s="228"/>
      <c r="BL10" s="228"/>
    </row>
    <row r="11" spans="1:64" s="3" customFormat="1" ht="242.25" customHeight="1">
      <c r="A11" s="332"/>
      <c r="B11" s="2805" t="s">
        <v>506</v>
      </c>
      <c r="C11" s="2806"/>
      <c r="D11" s="2807"/>
      <c r="E11" s="59" t="s">
        <v>1981</v>
      </c>
      <c r="F11" s="2808" t="s">
        <v>509</v>
      </c>
      <c r="G11" s="2809"/>
      <c r="H11" s="2810"/>
      <c r="I11" s="2805" t="s">
        <v>880</v>
      </c>
      <c r="J11" s="2806"/>
      <c r="K11" s="2807"/>
      <c r="L11" s="330" t="s">
        <v>283</v>
      </c>
      <c r="M11" s="50" t="s">
        <v>287</v>
      </c>
      <c r="N11" s="32"/>
      <c r="O11" s="6">
        <f>VLOOKUP(L11,[25]Listas!$M$69:$N$73,2,0)</f>
        <v>1</v>
      </c>
      <c r="P11" s="6"/>
      <c r="Q11" s="6">
        <f>HLOOKUP(M11,[25]Listas!$O$67:$Q$68,2,0)</f>
        <v>20</v>
      </c>
      <c r="R11" s="331" t="str">
        <f>INDEX([25]Listas!$O$69:$Q$73,MATCH(L11,[25]Listas!$M$69:$M$73,0),MATCH(M11,[25]Listas!$O$67:$Q$67,0))</f>
        <v>20
MODERADA</v>
      </c>
      <c r="S11" s="2805" t="s">
        <v>3914</v>
      </c>
      <c r="T11" s="2806"/>
      <c r="U11" s="2807"/>
      <c r="V11" s="329" t="s">
        <v>65</v>
      </c>
      <c r="W11" s="329" t="s">
        <v>65</v>
      </c>
      <c r="X11" s="329" t="s">
        <v>36</v>
      </c>
      <c r="Y11" s="329" t="s">
        <v>65</v>
      </c>
      <c r="Z11" s="329" t="s">
        <v>65</v>
      </c>
      <c r="AA11" s="329" t="s">
        <v>36</v>
      </c>
      <c r="AB11" s="329" t="s">
        <v>65</v>
      </c>
      <c r="AC11" s="329" t="s">
        <v>65</v>
      </c>
      <c r="AD11" s="329" t="s">
        <v>65</v>
      </c>
      <c r="AE11" s="329" t="s">
        <v>65</v>
      </c>
      <c r="AF11" s="33"/>
      <c r="AG11" s="6">
        <f t="shared" si="0"/>
        <v>15</v>
      </c>
      <c r="AH11" s="6">
        <f t="shared" si="1"/>
        <v>5</v>
      </c>
      <c r="AI11" s="6">
        <f t="shared" si="2"/>
        <v>0</v>
      </c>
      <c r="AJ11" s="6">
        <f t="shared" si="3"/>
        <v>10</v>
      </c>
      <c r="AK11" s="6">
        <f t="shared" si="4"/>
        <v>15</v>
      </c>
      <c r="AL11" s="6">
        <f t="shared" si="5"/>
        <v>10</v>
      </c>
      <c r="AM11" s="6">
        <f t="shared" si="6"/>
        <v>30</v>
      </c>
      <c r="AN11" s="6">
        <f t="shared" si="7"/>
        <v>85</v>
      </c>
      <c r="AO11" s="6">
        <f t="shared" si="8"/>
        <v>2</v>
      </c>
      <c r="AP11" s="331" t="str">
        <f t="shared" si="9"/>
        <v>85- disminuye 2</v>
      </c>
      <c r="AQ11" s="6">
        <f t="shared" si="10"/>
        <v>-1</v>
      </c>
      <c r="AR11" s="331" t="str">
        <f>IF(AQ11&lt;=1,"Rara vez",VLOOKUP(AQ11,[25]Listas!$L$69:$M$73,2,0))</f>
        <v>Rara vez</v>
      </c>
      <c r="AS11" s="6">
        <f t="shared" si="11"/>
        <v>18</v>
      </c>
      <c r="AT11" s="331" t="str">
        <f t="shared" si="12"/>
        <v>Moderado</v>
      </c>
      <c r="AU11" s="331" t="str">
        <f>INDEX([25]Listas!$O$69:$Q$73,MATCH(AR11,[25]Listas!$M$69:$M$73,0),MATCH(AT11,[25]Listas!$O$67:$Q$67,0))</f>
        <v>5
BAJA</v>
      </c>
      <c r="AV11" s="330" t="s">
        <v>271</v>
      </c>
      <c r="AW11" s="826" t="s">
        <v>1872</v>
      </c>
      <c r="AX11" s="843" t="s">
        <v>3915</v>
      </c>
      <c r="AY11" s="330" t="s">
        <v>3196</v>
      </c>
      <c r="AZ11" s="12" t="s">
        <v>3197</v>
      </c>
      <c r="BA11" s="12" t="s">
        <v>3199</v>
      </c>
      <c r="BB11" s="839" t="s">
        <v>2573</v>
      </c>
      <c r="BC11" s="12" t="s">
        <v>3916</v>
      </c>
      <c r="BD11" s="12" t="s">
        <v>3913</v>
      </c>
      <c r="BE11" s="839" t="s">
        <v>36</v>
      </c>
      <c r="BF11" s="839" t="s">
        <v>2573</v>
      </c>
      <c r="BG11" s="839" t="s">
        <v>2573</v>
      </c>
      <c r="BH11" s="227"/>
      <c r="BI11" s="227"/>
      <c r="BJ11" s="839" t="s">
        <v>2573</v>
      </c>
      <c r="BK11" s="228"/>
      <c r="BL11" s="228"/>
    </row>
    <row r="12" spans="1:64" s="3" customFormat="1" ht="204" customHeight="1">
      <c r="A12" s="332"/>
      <c r="B12" s="2805" t="s">
        <v>534</v>
      </c>
      <c r="C12" s="2806"/>
      <c r="D12" s="2807"/>
      <c r="E12" s="59" t="s">
        <v>1982</v>
      </c>
      <c r="F12" s="2808" t="s">
        <v>600</v>
      </c>
      <c r="G12" s="2809"/>
      <c r="H12" s="2810"/>
      <c r="I12" s="2805" t="s">
        <v>881</v>
      </c>
      <c r="J12" s="2806"/>
      <c r="K12" s="2807"/>
      <c r="L12" s="330" t="s">
        <v>283</v>
      </c>
      <c r="M12" s="50" t="s">
        <v>270</v>
      </c>
      <c r="N12" s="32"/>
      <c r="O12" s="6">
        <f>VLOOKUP(L12,[25]Listas!$M$69:$N$73,2,0)</f>
        <v>1</v>
      </c>
      <c r="P12" s="6"/>
      <c r="Q12" s="6">
        <f>HLOOKUP(M12,[25]Listas!$O$67:$Q$68,2,0)</f>
        <v>10</v>
      </c>
      <c r="R12" s="331" t="str">
        <f>INDEX([25]Listas!$O$69:$Q$73,MATCH(L12,[25]Listas!$M$69:$M$73,0),MATCH(M12,[25]Listas!$O$67:$Q$67,0))</f>
        <v>10
BAJA</v>
      </c>
      <c r="S12" s="2805" t="s">
        <v>3917</v>
      </c>
      <c r="T12" s="2806"/>
      <c r="U12" s="2807"/>
      <c r="V12" s="329" t="s">
        <v>65</v>
      </c>
      <c r="W12" s="329" t="s">
        <v>65</v>
      </c>
      <c r="X12" s="329" t="s">
        <v>65</v>
      </c>
      <c r="Y12" s="329" t="s">
        <v>65</v>
      </c>
      <c r="Z12" s="329" t="s">
        <v>65</v>
      </c>
      <c r="AA12" s="329" t="s">
        <v>36</v>
      </c>
      <c r="AB12" s="329" t="s">
        <v>65</v>
      </c>
      <c r="AC12" s="329" t="s">
        <v>65</v>
      </c>
      <c r="AD12" s="329" t="s">
        <v>65</v>
      </c>
      <c r="AE12" s="329" t="s">
        <v>65</v>
      </c>
      <c r="AF12" s="33"/>
      <c r="AG12" s="6">
        <f>IF(Y12="SI",15,0)</f>
        <v>15</v>
      </c>
      <c r="AH12" s="6">
        <f>IF(Z12="SI",5,0)</f>
        <v>5</v>
      </c>
      <c r="AI12" s="6">
        <f>IF(AA12="SI",15,0)</f>
        <v>0</v>
      </c>
      <c r="AJ12" s="6">
        <f>IF(AB12="SI",10,0)</f>
        <v>10</v>
      </c>
      <c r="AK12" s="6">
        <f>IF(AC12="SI",15,0)</f>
        <v>15</v>
      </c>
      <c r="AL12" s="6">
        <f>IF(AD12="SI",10,0)</f>
        <v>10</v>
      </c>
      <c r="AM12" s="6">
        <f>IF(AE12="SI",30,0)</f>
        <v>30</v>
      </c>
      <c r="AN12" s="6">
        <f>SUM(AG12+AH12+AI12+AJ12+AK12+AL12+AM12)</f>
        <v>85</v>
      </c>
      <c r="AO12" s="6">
        <f>IF(AN12&lt;=50,0,IF(AN12&gt;=76,2,1))</f>
        <v>2</v>
      </c>
      <c r="AP12" s="331" t="str">
        <f>CONCATENATE(AN12,"- disminuye ",AO12)</f>
        <v>85- disminuye 2</v>
      </c>
      <c r="AQ12" s="6">
        <f>IF(V12="SI",O12-AO12,O12)</f>
        <v>-1</v>
      </c>
      <c r="AR12" s="331" t="str">
        <f>IF(AQ12&lt;=1,"Rara vez",VLOOKUP(AQ12,[25]Listas!$L$69:$M$73,2,0))</f>
        <v>Rara vez</v>
      </c>
      <c r="AS12" s="6">
        <f>IF(W12="SI",Q12-AO12,Q12)</f>
        <v>8</v>
      </c>
      <c r="AT12" s="331" t="str">
        <f>IF(AS12&lt;=9,"Moderado",IF(AS12=20,"Catastrófico",IF(AS12=18,"Moderado","Mayor")))</f>
        <v>Moderado</v>
      </c>
      <c r="AU12" s="331" t="str">
        <f>INDEX([25]Listas!$O$69:$Q$73,MATCH(AR12,[25]Listas!$M$69:$M$73,0),MATCH(AT12,[25]Listas!$O$67:$Q$67,0))</f>
        <v>5
BAJA</v>
      </c>
      <c r="AV12" s="330" t="s">
        <v>271</v>
      </c>
      <c r="AW12" s="826" t="s">
        <v>1873</v>
      </c>
      <c r="AX12" s="843" t="s">
        <v>1874</v>
      </c>
      <c r="AY12" s="330" t="s">
        <v>3196</v>
      </c>
      <c r="AZ12" s="12" t="s">
        <v>3197</v>
      </c>
      <c r="BA12" s="12" t="s">
        <v>3200</v>
      </c>
      <c r="BB12" s="839" t="s">
        <v>3918</v>
      </c>
      <c r="BC12" s="12" t="s">
        <v>3919</v>
      </c>
      <c r="BD12" s="12" t="s">
        <v>3913</v>
      </c>
      <c r="BE12" s="839" t="s">
        <v>36</v>
      </c>
      <c r="BF12" s="839" t="s">
        <v>2573</v>
      </c>
      <c r="BG12" s="839" t="s">
        <v>2573</v>
      </c>
      <c r="BH12" s="227"/>
      <c r="BI12" s="227"/>
      <c r="BJ12" s="839" t="s">
        <v>2573</v>
      </c>
      <c r="BK12" s="228"/>
      <c r="BL12" s="228"/>
    </row>
    <row r="13" spans="1:64" s="3" customFormat="1" ht="216.75" customHeight="1">
      <c r="A13" s="332"/>
      <c r="B13" s="2805" t="s">
        <v>1875</v>
      </c>
      <c r="C13" s="2806"/>
      <c r="D13" s="2807"/>
      <c r="E13" s="59" t="s">
        <v>1983</v>
      </c>
      <c r="F13" s="2808" t="s">
        <v>601</v>
      </c>
      <c r="G13" s="2809"/>
      <c r="H13" s="2810"/>
      <c r="I13" s="2805" t="s">
        <v>882</v>
      </c>
      <c r="J13" s="2806"/>
      <c r="K13" s="2807"/>
      <c r="L13" s="330" t="s">
        <v>286</v>
      </c>
      <c r="M13" s="50" t="s">
        <v>287</v>
      </c>
      <c r="N13" s="32"/>
      <c r="O13" s="6">
        <f>VLOOKUP(L13,[25]Listas!$M$69:$N$73,2,0)</f>
        <v>2</v>
      </c>
      <c r="P13" s="6"/>
      <c r="Q13" s="6">
        <f>HLOOKUP(M13,[25]Listas!$O$67:$Q$68,2,0)</f>
        <v>20</v>
      </c>
      <c r="R13" s="331" t="str">
        <f>INDEX([25]Listas!$O$69:$Q$73,MATCH(L13,[25]Listas!$M$69:$M$73,0),MATCH(M13,[25]Listas!$O$67:$Q$67,0))</f>
        <v>40
ALTA</v>
      </c>
      <c r="S13" s="2805" t="s">
        <v>3920</v>
      </c>
      <c r="T13" s="2806"/>
      <c r="U13" s="2807"/>
      <c r="V13" s="329" t="s">
        <v>65</v>
      </c>
      <c r="W13" s="329" t="s">
        <v>65</v>
      </c>
      <c r="X13" s="329" t="s">
        <v>65</v>
      </c>
      <c r="Y13" s="329" t="s">
        <v>65</v>
      </c>
      <c r="Z13" s="329" t="s">
        <v>65</v>
      </c>
      <c r="AA13" s="329" t="s">
        <v>36</v>
      </c>
      <c r="AB13" s="329" t="s">
        <v>65</v>
      </c>
      <c r="AC13" s="329" t="s">
        <v>65</v>
      </c>
      <c r="AD13" s="329" t="s">
        <v>65</v>
      </c>
      <c r="AE13" s="329" t="s">
        <v>65</v>
      </c>
      <c r="AF13" s="33"/>
      <c r="AG13" s="6">
        <f>IF(Y13="SI",15,0)</f>
        <v>15</v>
      </c>
      <c r="AH13" s="6">
        <f>IF(Z13="SI",5,0)</f>
        <v>5</v>
      </c>
      <c r="AI13" s="6">
        <f>IF(AA13="SI",15,0)</f>
        <v>0</v>
      </c>
      <c r="AJ13" s="6">
        <f>IF(AB13="SI",10,0)</f>
        <v>10</v>
      </c>
      <c r="AK13" s="6">
        <f>IF(AC13="SI",15,0)</f>
        <v>15</v>
      </c>
      <c r="AL13" s="6">
        <f>IF(AD13="SI",10,0)</f>
        <v>10</v>
      </c>
      <c r="AM13" s="6">
        <f>IF(AE13="SI",30,0)</f>
        <v>30</v>
      </c>
      <c r="AN13" s="6">
        <f>SUM(AG13+AH13+AI13+AJ13+AK13+AL13+AM13)</f>
        <v>85</v>
      </c>
      <c r="AO13" s="6">
        <f>IF(AN13&lt;=50,0,IF(AN13&gt;=76,2,1))</f>
        <v>2</v>
      </c>
      <c r="AP13" s="331" t="str">
        <f>CONCATENATE(AN13,"- disminuye ",AO13)</f>
        <v>85- disminuye 2</v>
      </c>
      <c r="AQ13" s="6">
        <f>IF(V13="SI",O13-AO13,O13)</f>
        <v>0</v>
      </c>
      <c r="AR13" s="331" t="str">
        <f>IF(AQ13&lt;=1,"Rara vez",VLOOKUP(AQ13,[25]Listas!$L$69:$M$73,2,0))</f>
        <v>Rara vez</v>
      </c>
      <c r="AS13" s="6">
        <f>IF(W13="SI",Q13-AO13,Q13)</f>
        <v>18</v>
      </c>
      <c r="AT13" s="331" t="str">
        <f>IF(AS13&lt;=9,"Moderado",IF(AS13=20,"Catastrófico",IF(AS13=18,"Moderado","Mayor")))</f>
        <v>Moderado</v>
      </c>
      <c r="AU13" s="331" t="str">
        <f>INDEX([25]Listas!$O$69:$Q$73,MATCH(AR13,[25]Listas!$M$69:$M$73,0),MATCH(AT13,[25]Listas!$O$67:$Q$67,0))</f>
        <v>5
BAJA</v>
      </c>
      <c r="AV13" s="330" t="s">
        <v>271</v>
      </c>
      <c r="AW13" s="826" t="s">
        <v>883</v>
      </c>
      <c r="AX13" s="843" t="s">
        <v>510</v>
      </c>
      <c r="AY13" s="330" t="s">
        <v>3196</v>
      </c>
      <c r="AZ13" s="12" t="s">
        <v>3197</v>
      </c>
      <c r="BA13" s="12" t="s">
        <v>3921</v>
      </c>
      <c r="BB13" s="839" t="s">
        <v>2573</v>
      </c>
      <c r="BC13" s="12" t="s">
        <v>3417</v>
      </c>
      <c r="BD13" s="12" t="s">
        <v>3913</v>
      </c>
      <c r="BE13" s="839" t="s">
        <v>36</v>
      </c>
      <c r="BF13" s="839" t="s">
        <v>2573</v>
      </c>
      <c r="BG13" s="839" t="s">
        <v>2573</v>
      </c>
      <c r="BH13" s="227"/>
      <c r="BI13" s="227"/>
      <c r="BJ13" s="839" t="s">
        <v>2573</v>
      </c>
      <c r="BK13" s="228"/>
      <c r="BL13" s="228"/>
    </row>
    <row r="14" spans="1:64" s="3" customFormat="1" ht="216.75" customHeight="1">
      <c r="A14" s="332"/>
      <c r="B14" s="2805" t="s">
        <v>507</v>
      </c>
      <c r="C14" s="2806"/>
      <c r="D14" s="2807"/>
      <c r="E14" s="59" t="s">
        <v>1984</v>
      </c>
      <c r="F14" s="2808" t="s">
        <v>602</v>
      </c>
      <c r="G14" s="2809"/>
      <c r="H14" s="2810"/>
      <c r="I14" s="2805" t="s">
        <v>884</v>
      </c>
      <c r="J14" s="2806"/>
      <c r="K14" s="2807"/>
      <c r="L14" s="330" t="s">
        <v>283</v>
      </c>
      <c r="M14" s="50" t="s">
        <v>270</v>
      </c>
      <c r="N14" s="32"/>
      <c r="O14" s="6">
        <f>VLOOKUP(L14,[25]Listas!$M$69:$N$73,2,0)</f>
        <v>1</v>
      </c>
      <c r="P14" s="6"/>
      <c r="Q14" s="6">
        <f>HLOOKUP(M14,[25]Listas!$O$67:$Q$68,2,0)</f>
        <v>10</v>
      </c>
      <c r="R14" s="331" t="str">
        <f>INDEX([25]Listas!$O$69:$Q$73,MATCH(L14,[25]Listas!$M$69:$M$73,0),MATCH(M14,[25]Listas!$O$67:$Q$67,0))</f>
        <v>10
BAJA</v>
      </c>
      <c r="S14" s="2805" t="s">
        <v>3922</v>
      </c>
      <c r="T14" s="2806"/>
      <c r="U14" s="2807"/>
      <c r="V14" s="329" t="s">
        <v>65</v>
      </c>
      <c r="W14" s="329" t="s">
        <v>65</v>
      </c>
      <c r="X14" s="329" t="s">
        <v>65</v>
      </c>
      <c r="Y14" s="329" t="s">
        <v>65</v>
      </c>
      <c r="Z14" s="329" t="s">
        <v>65</v>
      </c>
      <c r="AA14" s="329" t="s">
        <v>36</v>
      </c>
      <c r="AB14" s="329" t="s">
        <v>65</v>
      </c>
      <c r="AC14" s="329" t="s">
        <v>65</v>
      </c>
      <c r="AD14" s="329" t="s">
        <v>65</v>
      </c>
      <c r="AE14" s="329" t="s">
        <v>65</v>
      </c>
      <c r="AF14" s="33"/>
      <c r="AG14" s="6">
        <f>IF(Y14="SI",15,0)</f>
        <v>15</v>
      </c>
      <c r="AH14" s="6">
        <f>IF(Z14="SI",5,0)</f>
        <v>5</v>
      </c>
      <c r="AI14" s="6">
        <f>IF(AA14="SI",15,0)</f>
        <v>0</v>
      </c>
      <c r="AJ14" s="6">
        <f>IF(AB14="SI",10,0)</f>
        <v>10</v>
      </c>
      <c r="AK14" s="6">
        <f>IF(AC14="SI",15,0)</f>
        <v>15</v>
      </c>
      <c r="AL14" s="6">
        <f>IF(AD14="SI",10,0)</f>
        <v>10</v>
      </c>
      <c r="AM14" s="6">
        <f>IF(AE14="SI",30,0)</f>
        <v>30</v>
      </c>
      <c r="AN14" s="6">
        <f>SUM(AG14+AH14+AI14+AJ14+AK14+AL14+AM14)</f>
        <v>85</v>
      </c>
      <c r="AO14" s="6">
        <f>IF(AN14&lt;=50,0,IF(AN14&gt;=76,2,1))</f>
        <v>2</v>
      </c>
      <c r="AP14" s="331" t="str">
        <f>CONCATENATE(AN14,"- disminuye ",AO14)</f>
        <v>85- disminuye 2</v>
      </c>
      <c r="AQ14" s="6">
        <f>IF(V14="SI",O14-AO14,O14)</f>
        <v>-1</v>
      </c>
      <c r="AR14" s="331" t="str">
        <f>IF(AQ14&lt;=1,"Rara vez",VLOOKUP(AQ14,[25]Listas!$L$69:$M$73,2,0))</f>
        <v>Rara vez</v>
      </c>
      <c r="AS14" s="6">
        <f>IF(W14="SI",Q14-AO14,Q14)</f>
        <v>8</v>
      </c>
      <c r="AT14" s="331" t="str">
        <f>IF(AS14&lt;=9,"Moderado",IF(AS14=20,"Catastrófico",IF(AS14=18,"Moderado","Mayor")))</f>
        <v>Moderado</v>
      </c>
      <c r="AU14" s="331" t="str">
        <f>INDEX([25]Listas!$O$69:$Q$73,MATCH(AR14,[25]Listas!$M$69:$M$73,0),MATCH(AT14,[25]Listas!$O$67:$Q$67,0))</f>
        <v>5
BAJA</v>
      </c>
      <c r="AV14" s="330" t="s">
        <v>271</v>
      </c>
      <c r="AW14" s="826" t="s">
        <v>862</v>
      </c>
      <c r="AX14" s="843" t="s">
        <v>1876</v>
      </c>
      <c r="AY14" s="330" t="s">
        <v>3196</v>
      </c>
      <c r="AZ14" s="12" t="s">
        <v>3197</v>
      </c>
      <c r="BA14" s="12" t="s">
        <v>3923</v>
      </c>
      <c r="BB14" s="839" t="s">
        <v>3924</v>
      </c>
      <c r="BC14" s="12" t="s">
        <v>3925</v>
      </c>
      <c r="BD14" s="12" t="s">
        <v>3913</v>
      </c>
      <c r="BE14" s="839" t="s">
        <v>36</v>
      </c>
      <c r="BF14" s="839" t="s">
        <v>2573</v>
      </c>
      <c r="BG14" s="839" t="s">
        <v>2573</v>
      </c>
      <c r="BH14" s="227"/>
      <c r="BI14" s="227"/>
      <c r="BJ14" s="839" t="s">
        <v>2573</v>
      </c>
      <c r="BK14" s="228"/>
      <c r="BL14" s="228"/>
    </row>
    <row r="15" spans="1:64" s="3" customFormat="1" ht="108" hidden="1" customHeight="1">
      <c r="A15" s="332"/>
      <c r="B15" s="2805"/>
      <c r="C15" s="2806"/>
      <c r="D15" s="2807"/>
      <c r="E15" s="843"/>
      <c r="F15" s="2808"/>
      <c r="G15" s="2809"/>
      <c r="H15" s="2810"/>
      <c r="I15" s="2805"/>
      <c r="J15" s="2806"/>
      <c r="K15" s="2807"/>
      <c r="L15" s="330"/>
      <c r="M15" s="50"/>
      <c r="N15" s="32"/>
      <c r="O15" s="6" t="e">
        <f>VLOOKUP(L15,[25]Listas!$M$69:$N$73,2,0)</f>
        <v>#N/A</v>
      </c>
      <c r="P15" s="6"/>
      <c r="Q15" s="6" t="e">
        <f>HLOOKUP(M15,[25]Listas!$O$67:$Q$68,2,0)</f>
        <v>#N/A</v>
      </c>
      <c r="R15" s="331" t="e">
        <f>INDEX([25]Listas!$O$69:$Q$73,MATCH(L15,[25]Listas!$M$69:$M$73,0),MATCH(M15,[25]Listas!$O$67:$Q$67,0))</f>
        <v>#N/A</v>
      </c>
      <c r="S15" s="2805"/>
      <c r="T15" s="2806"/>
      <c r="U15" s="2807"/>
      <c r="V15" s="329"/>
      <c r="W15" s="329"/>
      <c r="X15" s="329"/>
      <c r="Y15" s="329"/>
      <c r="Z15" s="329"/>
      <c r="AA15" s="329"/>
      <c r="AB15" s="329"/>
      <c r="AC15" s="329"/>
      <c r="AD15" s="329"/>
      <c r="AE15" s="329"/>
      <c r="AF15" s="33"/>
      <c r="AG15" s="6">
        <f t="shared" si="0"/>
        <v>0</v>
      </c>
      <c r="AH15" s="6">
        <f t="shared" si="1"/>
        <v>0</v>
      </c>
      <c r="AI15" s="6">
        <f t="shared" si="2"/>
        <v>0</v>
      </c>
      <c r="AJ15" s="6">
        <f t="shared" si="3"/>
        <v>0</v>
      </c>
      <c r="AK15" s="6">
        <f t="shared" si="4"/>
        <v>0</v>
      </c>
      <c r="AL15" s="6">
        <f t="shared" si="5"/>
        <v>0</v>
      </c>
      <c r="AM15" s="6">
        <f t="shared" si="6"/>
        <v>0</v>
      </c>
      <c r="AN15" s="6">
        <f t="shared" si="7"/>
        <v>0</v>
      </c>
      <c r="AO15" s="6">
        <f t="shared" si="8"/>
        <v>0</v>
      </c>
      <c r="AP15" s="331" t="str">
        <f t="shared" si="9"/>
        <v>0- disminuye 0</v>
      </c>
      <c r="AQ15" s="6" t="e">
        <f t="shared" si="10"/>
        <v>#N/A</v>
      </c>
      <c r="AR15" s="331" t="e">
        <f>IF(AQ15&lt;=1,"Rara vez",VLOOKUP(AQ15,[25]Listas!$L$69:$M$73,2,0))</f>
        <v>#N/A</v>
      </c>
      <c r="AS15" s="6" t="e">
        <f t="shared" si="11"/>
        <v>#N/A</v>
      </c>
      <c r="AT15" s="331" t="e">
        <f t="shared" si="12"/>
        <v>#N/A</v>
      </c>
      <c r="AU15" s="331" t="e">
        <f>INDEX([25]Listas!$O$69:$Q$73,MATCH(AR15,[25]Listas!$M$69:$M$73,0),MATCH(AT15,[25]Listas!$O$67:$Q$67,0))</f>
        <v>#N/A</v>
      </c>
      <c r="AV15" s="330"/>
      <c r="AW15" s="826"/>
      <c r="AX15" s="843"/>
      <c r="AY15" s="843"/>
      <c r="AZ15" s="12"/>
      <c r="BA15" s="12"/>
      <c r="BB15" s="839"/>
      <c r="BC15" s="12"/>
      <c r="BD15" s="12" t="s">
        <v>2343</v>
      </c>
      <c r="BE15" s="839"/>
      <c r="BF15" s="12"/>
      <c r="BG15" s="12"/>
      <c r="BH15" s="227"/>
      <c r="BI15" s="227"/>
      <c r="BJ15" s="839"/>
      <c r="BK15" s="228"/>
      <c r="BL15" s="228"/>
    </row>
    <row r="16" spans="1:64" s="3" customFormat="1" ht="108" hidden="1" customHeight="1">
      <c r="A16" s="332"/>
      <c r="B16" s="2805"/>
      <c r="C16" s="2806"/>
      <c r="D16" s="2807"/>
      <c r="E16" s="843"/>
      <c r="F16" s="2808"/>
      <c r="G16" s="2809"/>
      <c r="H16" s="2810"/>
      <c r="I16" s="2805"/>
      <c r="J16" s="2806"/>
      <c r="K16" s="2807"/>
      <c r="L16" s="330"/>
      <c r="M16" s="50"/>
      <c r="N16" s="32"/>
      <c r="O16" s="6" t="e">
        <f>VLOOKUP(L16,[25]Listas!$M$69:$N$73,2,0)</f>
        <v>#N/A</v>
      </c>
      <c r="P16" s="6"/>
      <c r="Q16" s="6" t="e">
        <f>HLOOKUP(M16,[25]Listas!$O$67:$Q$68,2,0)</f>
        <v>#N/A</v>
      </c>
      <c r="R16" s="331" t="e">
        <f>INDEX([25]Listas!$O$69:$Q$73,MATCH(L16,[25]Listas!$M$69:$M$73,0),MATCH(M16,[25]Listas!$O$67:$Q$67,0))</f>
        <v>#N/A</v>
      </c>
      <c r="S16" s="826"/>
      <c r="T16" s="827"/>
      <c r="U16" s="828"/>
      <c r="V16" s="329"/>
      <c r="W16" s="329"/>
      <c r="X16" s="329"/>
      <c r="Y16" s="329"/>
      <c r="Z16" s="329"/>
      <c r="AA16" s="329"/>
      <c r="AB16" s="329"/>
      <c r="AC16" s="329"/>
      <c r="AD16" s="329"/>
      <c r="AE16" s="329"/>
      <c r="AF16" s="33"/>
      <c r="AG16" s="6">
        <f t="shared" si="0"/>
        <v>0</v>
      </c>
      <c r="AH16" s="6">
        <f t="shared" si="1"/>
        <v>0</v>
      </c>
      <c r="AI16" s="6">
        <f t="shared" si="2"/>
        <v>0</v>
      </c>
      <c r="AJ16" s="6">
        <f t="shared" si="3"/>
        <v>0</v>
      </c>
      <c r="AK16" s="6">
        <f t="shared" si="4"/>
        <v>0</v>
      </c>
      <c r="AL16" s="6">
        <f t="shared" si="5"/>
        <v>0</v>
      </c>
      <c r="AM16" s="6">
        <f t="shared" si="6"/>
        <v>0</v>
      </c>
      <c r="AN16" s="6">
        <f t="shared" si="7"/>
        <v>0</v>
      </c>
      <c r="AO16" s="6">
        <f t="shared" si="8"/>
        <v>0</v>
      </c>
      <c r="AP16" s="331" t="str">
        <f t="shared" si="9"/>
        <v>0- disminuye 0</v>
      </c>
      <c r="AQ16" s="6" t="e">
        <f t="shared" si="10"/>
        <v>#N/A</v>
      </c>
      <c r="AR16" s="331" t="e">
        <f>IF(AQ16&lt;=1,"Rara vez",VLOOKUP(AQ16,[25]Listas!$L$69:$M$73,2,0))</f>
        <v>#N/A</v>
      </c>
      <c r="AS16" s="6" t="e">
        <f t="shared" si="11"/>
        <v>#N/A</v>
      </c>
      <c r="AT16" s="331" t="e">
        <f t="shared" si="12"/>
        <v>#N/A</v>
      </c>
      <c r="AU16" s="331" t="e">
        <f>INDEX([25]Listas!$O$69:$Q$73,MATCH(AR16,[25]Listas!$M$69:$M$73,0),MATCH(AT16,[25]Listas!$O$67:$Q$67,0))</f>
        <v>#N/A</v>
      </c>
      <c r="AV16" s="330"/>
      <c r="AW16" s="826"/>
      <c r="AX16" s="843"/>
      <c r="AY16" s="843"/>
      <c r="AZ16" s="12"/>
      <c r="BA16" s="12"/>
      <c r="BB16" s="839"/>
      <c r="BC16" s="12"/>
      <c r="BD16" s="12" t="s">
        <v>2343</v>
      </c>
      <c r="BE16" s="839"/>
      <c r="BF16" s="12"/>
      <c r="BG16" s="12"/>
      <c r="BH16" s="227"/>
      <c r="BI16" s="227"/>
      <c r="BJ16" s="839"/>
      <c r="BK16" s="228"/>
      <c r="BL16" s="228"/>
    </row>
    <row r="17" spans="1:64" s="3" customFormat="1" ht="108" hidden="1" customHeight="1">
      <c r="A17" s="332"/>
      <c r="B17" s="2805"/>
      <c r="C17" s="2806"/>
      <c r="D17" s="2807"/>
      <c r="E17" s="843"/>
      <c r="F17" s="2808"/>
      <c r="G17" s="2809"/>
      <c r="H17" s="2810"/>
      <c r="I17" s="2805"/>
      <c r="J17" s="2806"/>
      <c r="K17" s="2807"/>
      <c r="L17" s="330"/>
      <c r="M17" s="50"/>
      <c r="N17" s="32"/>
      <c r="O17" s="6" t="e">
        <f>VLOOKUP(L17,[25]Listas!$M$69:$N$73,2,0)</f>
        <v>#N/A</v>
      </c>
      <c r="P17" s="6"/>
      <c r="Q17" s="6" t="e">
        <f>HLOOKUP(M17,[25]Listas!$O$67:$Q$68,2,0)</f>
        <v>#N/A</v>
      </c>
      <c r="R17" s="331" t="e">
        <f>INDEX([25]Listas!$O$69:$Q$73,MATCH(L17,[25]Listas!$M$69:$M$73,0),MATCH(M17,[25]Listas!$O$67:$Q$67,0))</f>
        <v>#N/A</v>
      </c>
      <c r="S17" s="2805"/>
      <c r="T17" s="2806"/>
      <c r="U17" s="2807"/>
      <c r="V17" s="329"/>
      <c r="W17" s="329"/>
      <c r="X17" s="329"/>
      <c r="Y17" s="329"/>
      <c r="Z17" s="329"/>
      <c r="AA17" s="329"/>
      <c r="AB17" s="329"/>
      <c r="AC17" s="329"/>
      <c r="AD17" s="329"/>
      <c r="AE17" s="329"/>
      <c r="AF17" s="33"/>
      <c r="AG17" s="6">
        <f>IF(Y17="SI",15,0)</f>
        <v>0</v>
      </c>
      <c r="AH17" s="6">
        <f>IF(Z17="SI",5,0)</f>
        <v>0</v>
      </c>
      <c r="AI17" s="6">
        <f>IF(AA17="SI",15,0)</f>
        <v>0</v>
      </c>
      <c r="AJ17" s="6">
        <f>IF(AB17="SI",10,0)</f>
        <v>0</v>
      </c>
      <c r="AK17" s="6">
        <f>IF(AC17="SI",15,0)</f>
        <v>0</v>
      </c>
      <c r="AL17" s="6">
        <f>IF(AD17="SI",10,0)</f>
        <v>0</v>
      </c>
      <c r="AM17" s="6">
        <f>IF(AE17="SI",30,0)</f>
        <v>0</v>
      </c>
      <c r="AN17" s="6">
        <f>SUM(AG17+AH17+AI17+AJ17+AK17+AL17+AM17)</f>
        <v>0</v>
      </c>
      <c r="AO17" s="6">
        <f>IF(AN17&lt;=50,0,IF(AN17&gt;=76,2,1))</f>
        <v>0</v>
      </c>
      <c r="AP17" s="331" t="str">
        <f>CONCATENATE(AN17,"- disminuye ",AO17)</f>
        <v>0- disminuye 0</v>
      </c>
      <c r="AQ17" s="6" t="e">
        <f>IF(V17="SI",O17-AO17,O17)</f>
        <v>#N/A</v>
      </c>
      <c r="AR17" s="331" t="e">
        <f>IF(AQ17&lt;=1,"Rara vez",VLOOKUP(AQ17,[25]Listas!$L$69:$M$73,2,0))</f>
        <v>#N/A</v>
      </c>
      <c r="AS17" s="6" t="e">
        <f>IF(W17="SI",Q17-AO17,Q17)</f>
        <v>#N/A</v>
      </c>
      <c r="AT17" s="331" t="e">
        <f>IF(AS17&lt;=9,"Moderado",IF(AS17=20,"Catastrófico",IF(AS17=18,"Moderado","Mayor")))</f>
        <v>#N/A</v>
      </c>
      <c r="AU17" s="331" t="e">
        <f>INDEX([25]Listas!$O$69:$Q$73,MATCH(AR17,[25]Listas!$M$69:$M$73,0),MATCH(AT17,[25]Listas!$O$67:$Q$67,0))</f>
        <v>#N/A</v>
      </c>
      <c r="AV17" s="330"/>
      <c r="AW17" s="826"/>
      <c r="AX17" s="843"/>
      <c r="AY17" s="843"/>
      <c r="AZ17" s="12"/>
      <c r="BA17" s="12"/>
      <c r="BB17" s="839"/>
      <c r="BC17" s="12"/>
      <c r="BD17" s="12" t="s">
        <v>2343</v>
      </c>
      <c r="BE17" s="839"/>
      <c r="BF17" s="12"/>
      <c r="BG17" s="12"/>
      <c r="BH17" s="227"/>
      <c r="BI17" s="227"/>
      <c r="BJ17" s="839"/>
      <c r="BK17" s="228"/>
      <c r="BL17" s="228"/>
    </row>
    <row r="18" spans="1:64" s="3" customFormat="1" ht="108" hidden="1" customHeight="1">
      <c r="A18" s="332"/>
      <c r="B18" s="2805"/>
      <c r="C18" s="2806"/>
      <c r="D18" s="2807"/>
      <c r="E18" s="843"/>
      <c r="F18" s="2808"/>
      <c r="G18" s="2809"/>
      <c r="H18" s="2810"/>
      <c r="I18" s="2805"/>
      <c r="J18" s="2806"/>
      <c r="K18" s="2807"/>
      <c r="L18" s="330"/>
      <c r="M18" s="50"/>
      <c r="N18" s="32"/>
      <c r="O18" s="6" t="e">
        <f>VLOOKUP(L18,[25]Listas!$M$69:$N$73,2,0)</f>
        <v>#N/A</v>
      </c>
      <c r="P18" s="6"/>
      <c r="Q18" s="6" t="e">
        <f>HLOOKUP(M18,[25]Listas!$O$67:$Q$68,2,0)</f>
        <v>#N/A</v>
      </c>
      <c r="R18" s="331" t="e">
        <f>INDEX([25]Listas!$O$69:$Q$73,MATCH(L18,[25]Listas!$M$69:$M$73,0),MATCH(M18,[25]Listas!$O$67:$Q$67,0))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vez",VLOOKUP(AQ18,[25]Listas!$L$69:$M$73,2,0))</f>
        <v>#N/A</v>
      </c>
      <c r="AS18" s="6" t="e">
        <f t="shared" si="11"/>
        <v>#N/A</v>
      </c>
      <c r="AT18" s="331" t="e">
        <f t="shared" si="12"/>
        <v>#N/A</v>
      </c>
      <c r="AU18" s="331" t="e">
        <f>INDEX([25]Listas!$O$69:$Q$73,MATCH(AR18,[25]Listas!$M$69:$M$73,0),MATCH(AT18,[25]Listas!$O$67:$Q$67,0))</f>
        <v>#N/A</v>
      </c>
      <c r="AV18" s="330"/>
      <c r="AW18" s="826"/>
      <c r="AX18" s="843"/>
      <c r="AY18" s="843"/>
      <c r="AZ18" s="12"/>
      <c r="BA18" s="12"/>
      <c r="BB18" s="839"/>
      <c r="BC18" s="12"/>
      <c r="BD18" s="12" t="s">
        <v>2343</v>
      </c>
      <c r="BE18" s="839"/>
      <c r="BF18" s="12"/>
      <c r="BG18" s="12"/>
      <c r="BH18" s="227"/>
      <c r="BI18" s="227"/>
      <c r="BJ18" s="839"/>
      <c r="BK18" s="228"/>
      <c r="BL18" s="228"/>
    </row>
    <row r="19" spans="1:64" s="3" customFormat="1" ht="108" hidden="1" customHeight="1">
      <c r="A19" s="332"/>
      <c r="B19" s="2805"/>
      <c r="C19" s="2806"/>
      <c r="D19" s="2807"/>
      <c r="E19" s="843"/>
      <c r="F19" s="2808"/>
      <c r="G19" s="2809"/>
      <c r="H19" s="2810"/>
      <c r="I19" s="2805"/>
      <c r="J19" s="2806"/>
      <c r="K19" s="2807"/>
      <c r="L19" s="330"/>
      <c r="M19" s="50"/>
      <c r="N19" s="32"/>
      <c r="O19" s="6" t="e">
        <f>VLOOKUP(L19,[25]Listas!$M$69:$N$73,2,0)</f>
        <v>#N/A</v>
      </c>
      <c r="P19" s="6"/>
      <c r="Q19" s="6" t="e">
        <f>HLOOKUP(M19,[25]Listas!$O$67:$Q$68,2,0)</f>
        <v>#N/A</v>
      </c>
      <c r="R19" s="331" t="e">
        <f>INDEX([25]Listas!$O$69:$Q$73,MATCH(L19,[25]Listas!$M$69:$M$73,0),MATCH(M19,[25]Listas!$O$67:$Q$67,0))</f>
        <v>#N/A</v>
      </c>
      <c r="S19" s="2805"/>
      <c r="T19" s="2806"/>
      <c r="U19" s="2807"/>
      <c r="V19" s="329"/>
      <c r="W19" s="329"/>
      <c r="X19" s="329"/>
      <c r="Y19" s="329"/>
      <c r="Z19" s="329"/>
      <c r="AA19" s="329"/>
      <c r="AB19" s="329"/>
      <c r="AC19" s="329"/>
      <c r="AD19" s="329"/>
      <c r="AE19" s="329"/>
      <c r="AF19" s="33"/>
      <c r="AG19" s="6">
        <f t="shared" si="0"/>
        <v>0</v>
      </c>
      <c r="AH19" s="6">
        <f t="shared" si="1"/>
        <v>0</v>
      </c>
      <c r="AI19" s="6">
        <f t="shared" si="2"/>
        <v>0</v>
      </c>
      <c r="AJ19" s="6">
        <f t="shared" si="3"/>
        <v>0</v>
      </c>
      <c r="AK19" s="6">
        <f t="shared" si="4"/>
        <v>0</v>
      </c>
      <c r="AL19" s="6">
        <f t="shared" si="5"/>
        <v>0</v>
      </c>
      <c r="AM19" s="6">
        <f t="shared" si="6"/>
        <v>0</v>
      </c>
      <c r="AN19" s="6">
        <f t="shared" si="7"/>
        <v>0</v>
      </c>
      <c r="AO19" s="6">
        <f t="shared" si="8"/>
        <v>0</v>
      </c>
      <c r="AP19" s="331" t="str">
        <f t="shared" si="9"/>
        <v>0- disminuye 0</v>
      </c>
      <c r="AQ19" s="6" t="e">
        <f t="shared" si="10"/>
        <v>#N/A</v>
      </c>
      <c r="AR19" s="331" t="e">
        <f>IF(AQ19&lt;=1,"Rara vez",VLOOKUP(AQ19,[25]Listas!$L$69:$M$73,2,0))</f>
        <v>#N/A</v>
      </c>
      <c r="AS19" s="6" t="e">
        <f t="shared" si="11"/>
        <v>#N/A</v>
      </c>
      <c r="AT19" s="331" t="e">
        <f t="shared" si="12"/>
        <v>#N/A</v>
      </c>
      <c r="AU19" s="331" t="e">
        <f>INDEX([25]Listas!$O$69:$Q$73,MATCH(AR19,[25]Listas!$M$69:$M$73,0),MATCH(AT19,[25]Listas!$O$67:$Q$67,0))</f>
        <v>#N/A</v>
      </c>
      <c r="AV19" s="330"/>
      <c r="AW19" s="826"/>
      <c r="AX19" s="843"/>
      <c r="AY19" s="843"/>
      <c r="AZ19" s="12"/>
      <c r="BA19" s="12"/>
      <c r="BB19" s="839"/>
      <c r="BC19" s="12"/>
      <c r="BD19" s="12" t="s">
        <v>2343</v>
      </c>
      <c r="BE19" s="839"/>
      <c r="BF19" s="12"/>
      <c r="BG19" s="12"/>
      <c r="BH19" s="227"/>
      <c r="BI19" s="227"/>
      <c r="BJ19" s="839"/>
      <c r="BK19" s="228"/>
      <c r="BL19" s="228"/>
    </row>
    <row r="20" spans="1:64" s="3" customFormat="1" ht="108" hidden="1" customHeight="1">
      <c r="A20" s="332"/>
      <c r="B20" s="2805"/>
      <c r="C20" s="2806"/>
      <c r="D20" s="2807"/>
      <c r="E20" s="843"/>
      <c r="F20" s="2808"/>
      <c r="G20" s="2809"/>
      <c r="H20" s="2810"/>
      <c r="I20" s="2805"/>
      <c r="J20" s="2806"/>
      <c r="K20" s="2807"/>
      <c r="L20" s="330"/>
      <c r="M20" s="50"/>
      <c r="N20" s="32"/>
      <c r="O20" s="6" t="e">
        <f>VLOOKUP(L20,[25]Listas!$M$69:$N$73,2,0)</f>
        <v>#N/A</v>
      </c>
      <c r="P20" s="6"/>
      <c r="Q20" s="6" t="e">
        <f>HLOOKUP(M20,[25]Listas!$O$67:$Q$68,2,0)</f>
        <v>#N/A</v>
      </c>
      <c r="R20" s="331" t="e">
        <f>INDEX([25]Listas!$O$69:$Q$73,MATCH(L20,[25]Listas!$M$69:$M$73,0),MATCH(M20,[25]Listas!$O$67:$Q$67,0))</f>
        <v>#N/A</v>
      </c>
      <c r="S20" s="2805"/>
      <c r="T20" s="2806"/>
      <c r="U20" s="2807"/>
      <c r="V20" s="329"/>
      <c r="W20" s="329"/>
      <c r="X20" s="329"/>
      <c r="Y20" s="329"/>
      <c r="Z20" s="329"/>
      <c r="AA20" s="329"/>
      <c r="AB20" s="329"/>
      <c r="AC20" s="329"/>
      <c r="AD20" s="329"/>
      <c r="AE20" s="329"/>
      <c r="AF20" s="33"/>
      <c r="AG20" s="6">
        <f>IF(Y20="SI",15,0)</f>
        <v>0</v>
      </c>
      <c r="AH20" s="6">
        <f>IF(Z20="SI",5,0)</f>
        <v>0</v>
      </c>
      <c r="AI20" s="6">
        <f>IF(AA20="SI",15,0)</f>
        <v>0</v>
      </c>
      <c r="AJ20" s="6">
        <f>IF(AB20="SI",10,0)</f>
        <v>0</v>
      </c>
      <c r="AK20" s="6">
        <f>IF(AC20="SI",15,0)</f>
        <v>0</v>
      </c>
      <c r="AL20" s="6">
        <f>IF(AD20="SI",10,0)</f>
        <v>0</v>
      </c>
      <c r="AM20" s="6">
        <f>IF(AE20="SI",30,0)</f>
        <v>0</v>
      </c>
      <c r="AN20" s="6">
        <f>SUM(AG20+AH20+AI20+AJ20+AK20+AL20+AM20)</f>
        <v>0</v>
      </c>
      <c r="AO20" s="6">
        <f>IF(AN20&lt;=50,0,IF(AN20&gt;=76,2,1))</f>
        <v>0</v>
      </c>
      <c r="AP20" s="331" t="str">
        <f>CONCATENATE(AN20,"- disminuye ",AO20)</f>
        <v>0- disminuye 0</v>
      </c>
      <c r="AQ20" s="6" t="e">
        <f>IF(V20="SI",O20-AO20,O20)</f>
        <v>#N/A</v>
      </c>
      <c r="AR20" s="331" t="e">
        <f>IF(AQ20&lt;=1,"Rara vez",VLOOKUP(AQ20,[25]Listas!$L$69:$M$73,2,0))</f>
        <v>#N/A</v>
      </c>
      <c r="AS20" s="6" t="e">
        <f>IF(W20="SI",Q20-AO20,Q20)</f>
        <v>#N/A</v>
      </c>
      <c r="AT20" s="331" t="e">
        <f>IF(AS20&lt;=9,"Moderado",IF(AS20=20,"Catastrófico",IF(AS20=18,"Moderado","Mayor")))</f>
        <v>#N/A</v>
      </c>
      <c r="AU20" s="331" t="e">
        <f>INDEX([25]Listas!$O$69:$Q$73,MATCH(AR20,[25]Listas!$M$69:$M$73,0),MATCH(AT20,[25]Listas!$O$67:$Q$67,0))</f>
        <v>#N/A</v>
      </c>
      <c r="AV20" s="330"/>
      <c r="AW20" s="826"/>
      <c r="AX20" s="843"/>
      <c r="AY20" s="843"/>
      <c r="AZ20" s="12"/>
      <c r="BA20" s="12"/>
      <c r="BB20" s="839"/>
      <c r="BC20" s="12"/>
      <c r="BD20" s="12" t="s">
        <v>2343</v>
      </c>
      <c r="BE20" s="839"/>
      <c r="BF20" s="12"/>
      <c r="BG20" s="12"/>
      <c r="BH20" s="227"/>
      <c r="BI20" s="227"/>
      <c r="BJ20" s="839"/>
      <c r="BK20" s="228"/>
      <c r="BL20" s="228"/>
    </row>
    <row r="21" spans="1:64" s="3" customFormat="1" ht="108" hidden="1" customHeight="1">
      <c r="A21" s="332"/>
      <c r="B21" s="2805"/>
      <c r="C21" s="2806"/>
      <c r="D21" s="2807"/>
      <c r="E21" s="843"/>
      <c r="F21" s="2808"/>
      <c r="G21" s="2809"/>
      <c r="H21" s="2810"/>
      <c r="I21" s="2805"/>
      <c r="J21" s="2806"/>
      <c r="K21" s="2807"/>
      <c r="L21" s="330"/>
      <c r="M21" s="50"/>
      <c r="N21" s="32"/>
      <c r="O21" s="6" t="e">
        <f>VLOOKUP(L21,[25]Listas!$M$69:$N$73,2,0)</f>
        <v>#N/A</v>
      </c>
      <c r="P21" s="6"/>
      <c r="Q21" s="6" t="e">
        <f>HLOOKUP(M21,[25]Listas!$O$67:$Q$68,2,0)</f>
        <v>#N/A</v>
      </c>
      <c r="R21" s="331" t="e">
        <f>INDEX([25]Listas!$O$69:$Q$73,MATCH(L21,[25]Listas!$M$69:$M$73,0),MATCH(M21,[25]Listas!$O$67:$Q$67,0))</f>
        <v>#N/A</v>
      </c>
      <c r="S21" s="2805"/>
      <c r="T21" s="2806"/>
      <c r="U21" s="2807"/>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vez",VLOOKUP(AQ21,[25]Listas!$L$69:$M$73,2,0))</f>
        <v>#N/A</v>
      </c>
      <c r="AS21" s="6" t="e">
        <f t="shared" si="11"/>
        <v>#N/A</v>
      </c>
      <c r="AT21" s="331" t="e">
        <f t="shared" si="12"/>
        <v>#N/A</v>
      </c>
      <c r="AU21" s="331" t="e">
        <f>INDEX([25]Listas!$O$69:$Q$73,MATCH(AR21,[25]Listas!$M$69:$M$73,0),MATCH(AT21,[25]Listas!$O$67:$Q$67,0))</f>
        <v>#N/A</v>
      </c>
      <c r="AV21" s="330"/>
      <c r="AW21" s="826"/>
      <c r="AX21" s="843"/>
      <c r="AY21" s="843"/>
      <c r="AZ21" s="12"/>
      <c r="BA21" s="12"/>
      <c r="BB21" s="839"/>
      <c r="BC21" s="12"/>
      <c r="BD21" s="12" t="s">
        <v>2343</v>
      </c>
      <c r="BE21" s="839"/>
      <c r="BF21" s="12"/>
      <c r="BG21" s="12"/>
      <c r="BH21" s="227"/>
      <c r="BI21" s="227"/>
      <c r="BJ21" s="839"/>
      <c r="BK21" s="228"/>
      <c r="BL21" s="228"/>
    </row>
    <row r="22" spans="1:64" ht="6.75" customHeight="1">
      <c r="A22" s="2"/>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1:64" ht="15" customHeight="1">
      <c r="A23" s="317"/>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1:64" s="22" customFormat="1" ht="19.5" customHeight="1">
      <c r="A24" s="10"/>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4" t="s">
        <v>172</v>
      </c>
      <c r="AS24" s="2804"/>
      <c r="AT24" s="2804"/>
      <c r="AU24" s="2804"/>
      <c r="AV24" s="2804"/>
      <c r="AW24" s="2804"/>
      <c r="AX24" s="65"/>
      <c r="AY24" s="65"/>
      <c r="AZ24" s="68"/>
      <c r="BA24" s="68"/>
      <c r="BB24" s="92"/>
      <c r="BC24" s="68"/>
      <c r="BD24" s="68"/>
      <c r="BE24" s="92"/>
      <c r="BF24" s="68"/>
      <c r="BG24" s="68"/>
      <c r="BH24" s="230"/>
      <c r="BI24" s="230"/>
      <c r="BJ24" s="92"/>
      <c r="BK24" s="210"/>
      <c r="BL24" s="210"/>
    </row>
    <row r="25" spans="1:64" s="22" customFormat="1" ht="42" customHeight="1">
      <c r="A25" s="11"/>
      <c r="B25" s="2794" t="s">
        <v>288</v>
      </c>
      <c r="C25" s="2795"/>
      <c r="D25" s="2795"/>
      <c r="E25" s="2795"/>
      <c r="F25" s="2795"/>
      <c r="G25" s="2795"/>
      <c r="H25" s="2796"/>
      <c r="I25" s="2797" t="s">
        <v>597</v>
      </c>
      <c r="J25" s="2798"/>
      <c r="K25" s="2798"/>
      <c r="L25" s="2798"/>
      <c r="M25" s="2798"/>
      <c r="N25" s="2798"/>
      <c r="O25" s="2798"/>
      <c r="P25" s="2798"/>
      <c r="Q25" s="2798"/>
      <c r="R25" s="2798"/>
      <c r="S25" s="2798"/>
      <c r="T25" s="2798"/>
      <c r="U25" s="2799"/>
      <c r="V25" s="2794" t="s">
        <v>166</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92" t="s">
        <v>3201</v>
      </c>
      <c r="BA25" s="68"/>
      <c r="BB25" s="92"/>
      <c r="BC25" s="68"/>
      <c r="BD25" s="68"/>
      <c r="BE25" s="92"/>
      <c r="BF25" s="68"/>
      <c r="BG25" s="68"/>
      <c r="BH25" s="230"/>
      <c r="BI25" s="230"/>
      <c r="BJ25" s="92"/>
      <c r="BK25" s="210"/>
      <c r="BL25" s="210"/>
    </row>
    <row r="26" spans="1:64" s="22" customFormat="1" ht="42" customHeight="1">
      <c r="A26" s="11"/>
      <c r="B26" s="2794" t="s">
        <v>311</v>
      </c>
      <c r="C26" s="2795"/>
      <c r="D26" s="2795"/>
      <c r="E26" s="2795"/>
      <c r="F26" s="2795"/>
      <c r="G26" s="2795"/>
      <c r="H26" s="2796"/>
      <c r="I26" s="2797" t="s">
        <v>3191</v>
      </c>
      <c r="J26" s="2798"/>
      <c r="K26" s="2798"/>
      <c r="L26" s="2798"/>
      <c r="M26" s="2798"/>
      <c r="N26" s="2798"/>
      <c r="O26" s="2798"/>
      <c r="P26" s="2798"/>
      <c r="Q26" s="2798"/>
      <c r="R26" s="2798"/>
      <c r="S26" s="2798"/>
      <c r="T26" s="2798"/>
      <c r="U26" s="2799"/>
      <c r="V26" s="2794" t="s">
        <v>3192</v>
      </c>
      <c r="W26" s="2795"/>
      <c r="X26" s="2795"/>
      <c r="Y26" s="2795"/>
      <c r="Z26" s="2795"/>
      <c r="AA26" s="2795"/>
      <c r="AB26" s="2795"/>
      <c r="AC26" s="2795"/>
      <c r="AD26" s="2795"/>
      <c r="AE26" s="2795"/>
      <c r="AF26" s="2795"/>
      <c r="AG26" s="2795"/>
      <c r="AH26" s="2795"/>
      <c r="AI26" s="2795"/>
      <c r="AJ26" s="2795"/>
      <c r="AK26" s="2795"/>
      <c r="AL26" s="2795"/>
      <c r="AM26" s="2795"/>
      <c r="AN26" s="2795"/>
      <c r="AO26" s="2795"/>
      <c r="AP26" s="2796"/>
      <c r="AQ26" s="12"/>
      <c r="AR26" s="2800"/>
      <c r="AS26" s="2800"/>
      <c r="AT26" s="2800"/>
      <c r="AU26" s="2800"/>
      <c r="AV26" s="2800"/>
      <c r="AW26" s="2800"/>
      <c r="AX26" s="65"/>
      <c r="AY26" s="65"/>
      <c r="AZ26" s="68"/>
      <c r="BA26" s="68"/>
      <c r="BB26" s="92"/>
      <c r="BC26" s="68"/>
      <c r="BD26" s="68"/>
      <c r="BE26" s="92"/>
      <c r="BF26" s="68"/>
      <c r="BG26" s="68"/>
      <c r="BH26" s="230"/>
      <c r="BI26" s="230"/>
      <c r="BJ26" s="92"/>
      <c r="BK26" s="210"/>
      <c r="BL26" s="210"/>
    </row>
    <row r="27" spans="1:64">
      <c r="A27" s="13"/>
      <c r="B27" s="13"/>
      <c r="C27" s="13"/>
      <c r="D27" s="13"/>
      <c r="E27" s="14"/>
      <c r="F27" s="13"/>
      <c r="G27" s="13"/>
      <c r="H27" s="13"/>
      <c r="I27" s="13"/>
      <c r="J27" s="13"/>
      <c r="K27" s="13"/>
      <c r="L27" s="15"/>
      <c r="M27" s="15"/>
      <c r="N27" s="15"/>
      <c r="O27" s="15"/>
      <c r="P27" s="15"/>
      <c r="Q27" s="15"/>
      <c r="R27" s="15"/>
      <c r="S27" s="15"/>
      <c r="T27" s="15"/>
      <c r="U27" s="15"/>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5"/>
      <c r="AW27" s="15"/>
      <c r="AZ27" s="68"/>
      <c r="BA27" s="68"/>
      <c r="BB27" s="92"/>
      <c r="BC27" s="68"/>
      <c r="BD27" s="68"/>
      <c r="BE27" s="92"/>
      <c r="BF27" s="68"/>
      <c r="BG27" s="68"/>
      <c r="BH27" s="230"/>
      <c r="BI27" s="230"/>
      <c r="BJ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2">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2">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2">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2">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2">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2">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2">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2">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2">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2">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2">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2">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2">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1:62">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row>
    <row r="95" spans="1:62">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2">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1:64" ht="11.25">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c r="AZ97" s="231"/>
      <c r="BA97" s="231"/>
      <c r="BB97" s="231"/>
      <c r="BC97" s="231"/>
      <c r="BD97" s="231"/>
      <c r="BE97" s="231"/>
      <c r="BF97" s="231"/>
      <c r="BG97" s="231"/>
      <c r="BH97" s="231"/>
      <c r="BI97" s="231"/>
      <c r="BJ97" s="231"/>
      <c r="BK97" s="231"/>
      <c r="BL97" s="231"/>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ht="11.25">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1:64">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1:49">
      <c r="A119" s="13"/>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sheetData>
  <sheetProtection formatCells="0" formatColumns="0" formatRows="0" insertRows="0" deleteRows="0" sort="0" autoFilter="0" pivotTables="0"/>
  <mergeCells count="92">
    <mergeCell ref="A1:AB1"/>
    <mergeCell ref="AC1:AU4"/>
    <mergeCell ref="BB1:BE1"/>
    <mergeCell ref="A2:AB2"/>
    <mergeCell ref="BB2:BC2"/>
    <mergeCell ref="BD2:BE2"/>
    <mergeCell ref="A3:D3"/>
    <mergeCell ref="E3:U3"/>
    <mergeCell ref="V3:AB3"/>
    <mergeCell ref="BB3:BC3"/>
    <mergeCell ref="AA6:BA6"/>
    <mergeCell ref="BD3:BE3"/>
    <mergeCell ref="A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B13:D13"/>
    <mergeCell ref="F13:H13"/>
    <mergeCell ref="I13:K13"/>
    <mergeCell ref="S13:U13"/>
    <mergeCell ref="B14:D14"/>
    <mergeCell ref="F14:H14"/>
    <mergeCell ref="I14:K14"/>
    <mergeCell ref="S14:U14"/>
    <mergeCell ref="B15:D15"/>
    <mergeCell ref="F15:H15"/>
    <mergeCell ref="I15:K15"/>
    <mergeCell ref="S15:U15"/>
    <mergeCell ref="B16:D16"/>
    <mergeCell ref="F16:H16"/>
    <mergeCell ref="I16:K16"/>
    <mergeCell ref="B17:D17"/>
    <mergeCell ref="F17:H17"/>
    <mergeCell ref="I17:K17"/>
    <mergeCell ref="S17:U17"/>
    <mergeCell ref="B18:D18"/>
    <mergeCell ref="F18:H18"/>
    <mergeCell ref="I18:K18"/>
    <mergeCell ref="S18:U18"/>
    <mergeCell ref="B19:D19"/>
    <mergeCell ref="F19:H19"/>
    <mergeCell ref="I19:K19"/>
    <mergeCell ref="S19:U19"/>
    <mergeCell ref="B20:D20"/>
    <mergeCell ref="F20:H20"/>
    <mergeCell ref="I20:K20"/>
    <mergeCell ref="S20:U20"/>
    <mergeCell ref="B21:D21"/>
    <mergeCell ref="F21:H21"/>
    <mergeCell ref="I21:K21"/>
    <mergeCell ref="S21:U21"/>
    <mergeCell ref="B23:U23"/>
    <mergeCell ref="B26:H26"/>
    <mergeCell ref="I26:U26"/>
    <mergeCell ref="V26:AP26"/>
    <mergeCell ref="AR26:AW26"/>
    <mergeCell ref="V24:AP24"/>
    <mergeCell ref="AR24:AW24"/>
    <mergeCell ref="B25:H25"/>
    <mergeCell ref="I25:U25"/>
    <mergeCell ref="V25:AP25"/>
    <mergeCell ref="AR25:AW25"/>
    <mergeCell ref="B24:H24"/>
    <mergeCell ref="I24:U24"/>
  </mergeCells>
  <dataValidations count="8">
    <dataValidation type="list" allowBlank="1" showInputMessage="1" showErrorMessage="1" sqref="L6">
      <formula1>Proceso</formula1>
    </dataValidation>
    <dataValidation type="list" sqref="BD4:BE4">
      <formula1>Monitoreo</formula1>
    </dataValidation>
    <dataValidation type="list" showInputMessage="1" showErrorMessage="1" sqref="L10:L21">
      <formula1>Probabilidad</formula1>
    </dataValidation>
    <dataValidation type="list" allowBlank="1" showInputMessage="1" showErrorMessage="1" sqref="M10:N21">
      <formula1>Impacto</formula1>
    </dataValidation>
    <dataValidation showInputMessage="1" showErrorMessage="1" sqref="AG10:AT21"/>
    <dataValidation type="list" showInputMessage="1" showErrorMessage="1" sqref="V10:AF21">
      <formula1>Efectividad</formula1>
    </dataValidation>
    <dataValidation type="list" allowBlank="1" showInputMessage="1" sqref="AV10:AV21">
      <formula1>Periodo</formula1>
    </dataValidation>
    <dataValidation type="list" allowBlank="1" showInputMessage="1" showErrorMessage="1" sqref="BE10:BE21">
      <formula1>Efectividad</formula1>
    </dataValidation>
  </dataValidations>
  <printOptions horizontalCentered="1"/>
  <pageMargins left="0.23622047244094491" right="0.23622047244094491" top="0.35433070866141736" bottom="0.35433070866141736" header="0.31496062992125984" footer="0.31496062992125984"/>
  <pageSetup paperSize="14" scale="38" fitToHeight="0" orientation="landscape" r:id="rId1"/>
  <headerFooter>
    <oddFooter>&amp;L&amp;"Segoe UI,Normal"&amp;9Formato: FO-AC-07 Versión: 3&amp;C&amp;"Segoe UI,Normal"&amp;9Página &amp;P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19"/>
  <sheetViews>
    <sheetView showGridLines="0" zoomScaleNormal="100" zoomScaleSheetLayoutView="115" workbookViewId="0">
      <selection sqref="A1:AB1"/>
    </sheetView>
  </sheetViews>
  <sheetFormatPr baseColWidth="10" defaultColWidth="11.42578125" defaultRowHeight="15"/>
  <cols>
    <col min="1" max="1" width="1.140625" style="16" customWidth="1"/>
    <col min="2" max="3" width="5.42578125" style="16" customWidth="1"/>
    <col min="4" max="4" width="10.7109375" style="16" customWidth="1"/>
    <col min="5" max="5" width="7.140625" style="17" customWidth="1"/>
    <col min="6" max="6" width="4.5703125" style="16" customWidth="1"/>
    <col min="7" max="7" width="7.28515625" style="16" customWidth="1"/>
    <col min="8" max="8" width="1" style="16" customWidth="1"/>
    <col min="9" max="10" width="4.5703125" style="16" customWidth="1"/>
    <col min="11" max="11" width="7.2851562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0" width="7.140625" style="18" customWidth="1"/>
    <col min="21" max="21" width="70.2851562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3.425781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28.7109375" style="18" customWidth="1"/>
    <col min="50" max="50" width="14.42578125" style="21" customWidth="1"/>
    <col min="51" max="51" width="4.28515625" style="21" customWidth="1"/>
    <col min="52" max="52" width="18.85546875" style="210" customWidth="1"/>
    <col min="53" max="53" width="19.140625" style="210" customWidth="1"/>
    <col min="54" max="54" width="6.140625" style="210" customWidth="1"/>
    <col min="55" max="55" width="37.28515625" style="210" customWidth="1"/>
    <col min="56" max="56" width="23" style="210" customWidth="1"/>
    <col min="57" max="57" width="9.28515625" style="210" customWidth="1"/>
    <col min="58" max="58" width="31.5703125" style="210" customWidth="1"/>
    <col min="59" max="59" width="16.140625" style="210" customWidth="1"/>
    <col min="60" max="61" width="9.28515625" style="210" customWidth="1"/>
    <col min="62" max="62" width="11.140625" style="210" customWidth="1"/>
    <col min="63" max="63" width="2.140625" style="210" customWidth="1"/>
    <col min="64" max="64" width="11.42578125" style="210"/>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858" t="str">
        <f>UPPER([14]Control!A2)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22">
        <v>2019</v>
      </c>
      <c r="BA2" s="208"/>
      <c r="BB2" s="2830" t="s">
        <v>138</v>
      </c>
      <c r="BC2" s="2831"/>
      <c r="BD2" s="2901" t="str">
        <f>L6</f>
        <v>CONSERVACIÓN DE INFRAESTRUCTURA</v>
      </c>
      <c r="BE2" s="2902"/>
      <c r="BF2" s="208"/>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1:64" ht="15.75" customHeight="1" thickBot="1">
      <c r="A4" s="2832" t="str">
        <f>[14]Control!A4</f>
        <v>FO-PE-05</v>
      </c>
      <c r="B4" s="2833"/>
      <c r="C4" s="2833"/>
      <c r="D4" s="2834"/>
      <c r="E4" s="2835" t="str">
        <f>[14]Control!C4</f>
        <v>Planeación Estratégica</v>
      </c>
      <c r="F4" s="2833"/>
      <c r="G4" s="2833"/>
      <c r="H4" s="2833"/>
      <c r="I4" s="2833"/>
      <c r="J4" s="2833"/>
      <c r="K4" s="2833"/>
      <c r="L4" s="2833"/>
      <c r="M4" s="2833"/>
      <c r="N4" s="2833"/>
      <c r="O4" s="2833"/>
      <c r="P4" s="2833"/>
      <c r="Q4" s="2833"/>
      <c r="R4" s="2833"/>
      <c r="S4" s="2833"/>
      <c r="T4" s="2833"/>
      <c r="U4" s="2834"/>
      <c r="V4" s="2835">
        <f>[14]Control!H4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232">
        <v>43444</v>
      </c>
      <c r="BA4" s="208"/>
      <c r="BB4" s="2836">
        <v>43707</v>
      </c>
      <c r="BC4" s="2837"/>
      <c r="BD4" s="2838" t="s">
        <v>500</v>
      </c>
      <c r="BE4" s="2838"/>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s="228"/>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842" t="s">
        <v>125</v>
      </c>
      <c r="M6" s="2843"/>
      <c r="N6" s="2843"/>
      <c r="O6" s="2843"/>
      <c r="P6" s="2843"/>
      <c r="Q6" s="2843"/>
      <c r="R6" s="2843"/>
      <c r="S6" s="2843"/>
      <c r="T6" s="2843"/>
      <c r="U6" s="2844"/>
      <c r="V6" s="2845" t="s">
        <v>59</v>
      </c>
      <c r="W6" s="2845"/>
      <c r="X6" s="2845"/>
      <c r="Y6" s="2845"/>
      <c r="Z6" s="2845"/>
      <c r="AA6" s="2933" t="s">
        <v>399</v>
      </c>
      <c r="AB6" s="2934"/>
      <c r="AC6" s="2934"/>
      <c r="AD6" s="2934"/>
      <c r="AE6" s="2934"/>
      <c r="AF6" s="2934"/>
      <c r="AG6" s="2934"/>
      <c r="AH6" s="2934"/>
      <c r="AI6" s="2934"/>
      <c r="AJ6" s="2934"/>
      <c r="AK6" s="2934"/>
      <c r="AL6" s="2934"/>
      <c r="AM6" s="2934"/>
      <c r="AN6" s="2934"/>
      <c r="AO6" s="2934"/>
      <c r="AP6" s="2934"/>
      <c r="AQ6" s="2934"/>
      <c r="AR6" s="2934"/>
      <c r="AS6" s="2934"/>
      <c r="AT6" s="2934"/>
      <c r="AU6" s="2934"/>
      <c r="AV6" s="2934"/>
      <c r="AW6" s="2934"/>
      <c r="AX6" s="2934"/>
      <c r="AY6" s="2934"/>
      <c r="AZ6" s="2934"/>
      <c r="BA6" s="2935"/>
      <c r="BB6" s="885"/>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886"/>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887"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1008" t="s">
        <v>268</v>
      </c>
      <c r="AX9" s="30" t="s">
        <v>269</v>
      </c>
      <c r="AY9" s="222" t="s">
        <v>62</v>
      </c>
      <c r="AZ9" s="223" t="s">
        <v>2327</v>
      </c>
      <c r="BA9" s="224" t="s">
        <v>2328</v>
      </c>
      <c r="BB9" s="1006" t="s">
        <v>2329</v>
      </c>
      <c r="BC9" s="224" t="s">
        <v>2330</v>
      </c>
      <c r="BD9" s="406" t="s">
        <v>2331</v>
      </c>
      <c r="BE9" s="406" t="s">
        <v>2332</v>
      </c>
      <c r="BF9" s="406" t="s">
        <v>2333</v>
      </c>
      <c r="BG9" s="406" t="s">
        <v>2334</v>
      </c>
      <c r="BH9" s="406" t="s">
        <v>2335</v>
      </c>
      <c r="BI9" s="406" t="s">
        <v>2336</v>
      </c>
      <c r="BJ9" s="406" t="s">
        <v>2337</v>
      </c>
      <c r="BK9" s="225"/>
      <c r="BL9" s="102"/>
    </row>
    <row r="10" spans="1:64" s="3" customFormat="1" ht="244.9" customHeight="1">
      <c r="A10" s="332"/>
      <c r="B10" s="1908" t="s">
        <v>2664</v>
      </c>
      <c r="C10" s="1908"/>
      <c r="D10" s="1908"/>
      <c r="E10" s="1039" t="s">
        <v>18</v>
      </c>
      <c r="F10" s="2931" t="s">
        <v>2665</v>
      </c>
      <c r="G10" s="2931"/>
      <c r="H10" s="2931"/>
      <c r="I10" s="2932" t="s">
        <v>2666</v>
      </c>
      <c r="J10" s="1908"/>
      <c r="K10" s="1908"/>
      <c r="L10" s="330" t="s">
        <v>283</v>
      </c>
      <c r="M10" s="50" t="s">
        <v>287</v>
      </c>
      <c r="N10" s="32"/>
      <c r="O10" s="6">
        <f>VLOOKUP(L10,[14]Listas!$M$69:$N$73,2,0)</f>
        <v>1</v>
      </c>
      <c r="P10" s="6"/>
      <c r="Q10" s="6">
        <f>HLOOKUP(M10,[14]Listas!$O$67:$Q$68,2,0)</f>
        <v>20</v>
      </c>
      <c r="R10" s="331" t="str">
        <f>INDEX([14]Listas!$O$69:$Q$73,MATCH(L10,[14]Listas!$M$69:$M$73,0),MATCH(M10,[14]Listas!$O$67:$Q$67,0))</f>
        <v>20
MODERADA</v>
      </c>
      <c r="S10" s="1908" t="s">
        <v>2667</v>
      </c>
      <c r="T10" s="1908"/>
      <c r="U10" s="1908"/>
      <c r="V10" s="329" t="s">
        <v>65</v>
      </c>
      <c r="W10" s="329" t="s">
        <v>65</v>
      </c>
      <c r="X10" s="329" t="s">
        <v>65</v>
      </c>
      <c r="Y10" s="329" t="s">
        <v>65</v>
      </c>
      <c r="Z10" s="329" t="s">
        <v>65</v>
      </c>
      <c r="AA10" s="329" t="s">
        <v>36</v>
      </c>
      <c r="AB10" s="329" t="s">
        <v>65</v>
      </c>
      <c r="AC10" s="329" t="s">
        <v>65</v>
      </c>
      <c r="AD10" s="329" t="s">
        <v>65</v>
      </c>
      <c r="AE10" s="329" t="s">
        <v>65</v>
      </c>
      <c r="AF10" s="33"/>
      <c r="AG10" s="6">
        <f t="shared" ref="AG10:AG20" si="0">IF(Y10="SI",15,0)</f>
        <v>15</v>
      </c>
      <c r="AH10" s="6">
        <f t="shared" ref="AH10:AH20" si="1">IF(Z10="SI",5,0)</f>
        <v>5</v>
      </c>
      <c r="AI10" s="6">
        <f t="shared" ref="AI10:AI20" si="2">IF(AA10="SI",15,0)</f>
        <v>0</v>
      </c>
      <c r="AJ10" s="6">
        <f t="shared" ref="AJ10:AJ20" si="3">IF(AB10="SI",10,0)</f>
        <v>10</v>
      </c>
      <c r="AK10" s="6">
        <f t="shared" ref="AK10:AK20" si="4">IF(AC10="SI",15,0)</f>
        <v>15</v>
      </c>
      <c r="AL10" s="6">
        <f t="shared" ref="AL10:AL20" si="5">IF(AD10="SI",10,0)</f>
        <v>10</v>
      </c>
      <c r="AM10" s="6">
        <f t="shared" ref="AM10:AM20" si="6">IF(AE10="SI",30,0)</f>
        <v>30</v>
      </c>
      <c r="AN10" s="6">
        <f t="shared" ref="AN10:AN20" si="7">SUM(AG10+AH10+AI10+AJ10+AK10+AL10+AM10)</f>
        <v>85</v>
      </c>
      <c r="AO10" s="6">
        <f t="shared" ref="AO10:AO20" si="8">IF(AN10&lt;=50,0,IF(AN10&gt;=76,2,1))</f>
        <v>2</v>
      </c>
      <c r="AP10" s="331" t="str">
        <f t="shared" ref="AP10:AP20" si="9">CONCATENATE(AN10,"- disminuye ",AO10)</f>
        <v>85- disminuye 2</v>
      </c>
      <c r="AQ10" s="6">
        <f t="shared" ref="AQ10:AQ20" si="10">IF(V10="SI",O10-AO10,O10)</f>
        <v>-1</v>
      </c>
      <c r="AR10" s="331" t="str">
        <f>IF(AQ10&lt;=1,"Rara vez",VLOOKUP(AQ10,[14]Listas!$L$69:$M$73,2,0))</f>
        <v>Rara vez</v>
      </c>
      <c r="AS10" s="6">
        <f t="shared" ref="AS10:AS20" si="11">IF(W10="SI",Q10-AO10,Q10)</f>
        <v>18</v>
      </c>
      <c r="AT10" s="331" t="str">
        <f t="shared" ref="AT10:AT20" si="12">IF(AS10&lt;=9,"Moderado",IF(AS10=20,"Catastrófico",IF(AS10=18,"Moderado","Mayor")))</f>
        <v>Moderado</v>
      </c>
      <c r="AU10" s="331" t="str">
        <f>INDEX([14]Listas!$O$69:$Q$73,MATCH(AR10,[14]Listas!$M$69:$M$73,0),MATCH(AT10,[14]Listas!$O$67:$Q$67,0))</f>
        <v>5
BAJA</v>
      </c>
      <c r="AV10" s="330" t="s">
        <v>275</v>
      </c>
      <c r="AW10" s="355" t="s">
        <v>2668</v>
      </c>
      <c r="AX10" s="1038" t="s">
        <v>535</v>
      </c>
      <c r="AY10" s="59" t="s">
        <v>225</v>
      </c>
      <c r="AZ10" s="12" t="s">
        <v>2669</v>
      </c>
      <c r="BA10" s="12" t="s">
        <v>2670</v>
      </c>
      <c r="BB10" s="226" t="s">
        <v>3427</v>
      </c>
      <c r="BC10" s="12" t="s">
        <v>4138</v>
      </c>
      <c r="BD10" s="12" t="s">
        <v>3419</v>
      </c>
      <c r="BE10" s="1007" t="s">
        <v>36</v>
      </c>
      <c r="BF10" s="12"/>
      <c r="BG10" s="12"/>
      <c r="BH10" s="227"/>
      <c r="BI10" s="227"/>
      <c r="BJ10" s="1007"/>
      <c r="BK10" s="228"/>
      <c r="BL10" s="228"/>
    </row>
    <row r="11" spans="1:64" s="3" customFormat="1" ht="409.6" customHeight="1">
      <c r="A11" s="332"/>
      <c r="B11" s="1908" t="s">
        <v>2671</v>
      </c>
      <c r="C11" s="1908"/>
      <c r="D11" s="1908"/>
      <c r="E11" s="1039" t="s">
        <v>20</v>
      </c>
      <c r="F11" s="2931" t="s">
        <v>972</v>
      </c>
      <c r="G11" s="2931"/>
      <c r="H11" s="2931"/>
      <c r="I11" s="2805" t="s">
        <v>2672</v>
      </c>
      <c r="J11" s="2806"/>
      <c r="K11" s="2807"/>
      <c r="L11" s="330" t="s">
        <v>64</v>
      </c>
      <c r="M11" s="50" t="s">
        <v>287</v>
      </c>
      <c r="N11" s="32"/>
      <c r="O11" s="6">
        <f>VLOOKUP(L11,[14]Listas!$M$69:$N$73,2,0)</f>
        <v>3</v>
      </c>
      <c r="P11" s="6"/>
      <c r="Q11" s="6">
        <f>HLOOKUP(M11,[14]Listas!$O$67:$Q$68,2,0)</f>
        <v>20</v>
      </c>
      <c r="R11" s="331" t="str">
        <f>INDEX([14]Listas!$O$69:$Q$73,MATCH(L11,[14]Listas!$M$69:$M$73,0),MATCH(M11,[14]Listas!$O$67:$Q$67,0))</f>
        <v>60
EXTREMO</v>
      </c>
      <c r="S11" s="2932" t="s">
        <v>2673</v>
      </c>
      <c r="T11" s="1908"/>
      <c r="U11" s="1908"/>
      <c r="V11" s="329" t="s">
        <v>65</v>
      </c>
      <c r="W11" s="329" t="s">
        <v>65</v>
      </c>
      <c r="X11" s="329" t="s">
        <v>65</v>
      </c>
      <c r="Y11" s="329" t="s">
        <v>65</v>
      </c>
      <c r="Z11" s="329" t="s">
        <v>65</v>
      </c>
      <c r="AA11" s="329" t="s">
        <v>36</v>
      </c>
      <c r="AB11" s="329" t="s">
        <v>65</v>
      </c>
      <c r="AC11" s="329" t="s">
        <v>65</v>
      </c>
      <c r="AD11" s="329" t="s">
        <v>65</v>
      </c>
      <c r="AE11" s="329" t="s">
        <v>65</v>
      </c>
      <c r="AF11" s="33"/>
      <c r="AG11" s="6">
        <f t="shared" si="0"/>
        <v>15</v>
      </c>
      <c r="AH11" s="6">
        <f t="shared" si="1"/>
        <v>5</v>
      </c>
      <c r="AI11" s="6">
        <f t="shared" si="2"/>
        <v>0</v>
      </c>
      <c r="AJ11" s="6">
        <f t="shared" si="3"/>
        <v>10</v>
      </c>
      <c r="AK11" s="6">
        <f t="shared" si="4"/>
        <v>15</v>
      </c>
      <c r="AL11" s="6">
        <f t="shared" si="5"/>
        <v>10</v>
      </c>
      <c r="AM11" s="6">
        <f t="shared" si="6"/>
        <v>30</v>
      </c>
      <c r="AN11" s="6">
        <f t="shared" si="7"/>
        <v>85</v>
      </c>
      <c r="AO11" s="6">
        <f t="shared" si="8"/>
        <v>2</v>
      </c>
      <c r="AP11" s="331" t="str">
        <f t="shared" si="9"/>
        <v>85- disminuye 2</v>
      </c>
      <c r="AQ11" s="6">
        <f t="shared" si="10"/>
        <v>1</v>
      </c>
      <c r="AR11" s="331" t="str">
        <f>IF(AQ11&lt;=1,"Rara vez",VLOOKUP(AQ11,[14]Listas!$L$69:$M$73,2,0))</f>
        <v>Rara vez</v>
      </c>
      <c r="AS11" s="6">
        <f t="shared" si="11"/>
        <v>18</v>
      </c>
      <c r="AT11" s="331" t="str">
        <f t="shared" si="12"/>
        <v>Moderado</v>
      </c>
      <c r="AU11" s="331" t="str">
        <f>INDEX([14]Listas!$O$69:$Q$73,MATCH(AR11,[14]Listas!$M$69:$M$73,0),MATCH(AT11,[14]Listas!$O$67:$Q$67,0))</f>
        <v>5
BAJA</v>
      </c>
      <c r="AV11" s="330" t="s">
        <v>271</v>
      </c>
      <c r="AW11" s="1037" t="s">
        <v>3445</v>
      </c>
      <c r="AX11" s="1038" t="s">
        <v>2674</v>
      </c>
      <c r="AY11" s="59" t="s">
        <v>225</v>
      </c>
      <c r="AZ11" s="12" t="s">
        <v>2675</v>
      </c>
      <c r="BA11" s="12" t="s">
        <v>2676</v>
      </c>
      <c r="BB11" s="226" t="s">
        <v>3446</v>
      </c>
      <c r="BC11" s="12" t="s">
        <v>4139</v>
      </c>
      <c r="BD11" s="12" t="s">
        <v>3419</v>
      </c>
      <c r="BE11" s="1007" t="s">
        <v>36</v>
      </c>
      <c r="BF11" s="12"/>
      <c r="BG11" s="12"/>
      <c r="BH11" s="227"/>
      <c r="BI11" s="227"/>
      <c r="BJ11" s="1007"/>
      <c r="BK11" s="228"/>
      <c r="BL11" s="228"/>
    </row>
    <row r="12" spans="1:64" s="3" customFormat="1" ht="370.15" customHeight="1">
      <c r="A12" s="332"/>
      <c r="B12" s="1908" t="s">
        <v>2677</v>
      </c>
      <c r="C12" s="1908"/>
      <c r="D12" s="1908"/>
      <c r="E12" s="1039" t="s">
        <v>21</v>
      </c>
      <c r="F12" s="2931" t="s">
        <v>165</v>
      </c>
      <c r="G12" s="2931"/>
      <c r="H12" s="2931"/>
      <c r="I12" s="2805" t="s">
        <v>2678</v>
      </c>
      <c r="J12" s="2806"/>
      <c r="K12" s="2807"/>
      <c r="L12" s="330" t="s">
        <v>64</v>
      </c>
      <c r="M12" s="50" t="s">
        <v>274</v>
      </c>
      <c r="N12" s="32"/>
      <c r="O12" s="6">
        <f>VLOOKUP(L12,[14]Listas!$M$69:$N$73,2,0)</f>
        <v>3</v>
      </c>
      <c r="P12" s="6"/>
      <c r="Q12" s="6">
        <f>HLOOKUP(M12,[14]Listas!$O$67:$Q$68,2,0)</f>
        <v>5</v>
      </c>
      <c r="R12" s="331" t="str">
        <f>INDEX([14]Listas!$O$69:$Q$73,MATCH(L12,[14]Listas!$M$69:$M$73,0),MATCH(M12,[14]Listas!$O$67:$Q$67,0))</f>
        <v>15
MDOERADA</v>
      </c>
      <c r="S12" s="1924" t="s">
        <v>2679</v>
      </c>
      <c r="T12" s="1924"/>
      <c r="U12" s="1924"/>
      <c r="V12" s="329" t="s">
        <v>65</v>
      </c>
      <c r="W12" s="329" t="s">
        <v>65</v>
      </c>
      <c r="X12" s="329" t="s">
        <v>65</v>
      </c>
      <c r="Y12" s="329" t="s">
        <v>65</v>
      </c>
      <c r="Z12" s="329" t="s">
        <v>65</v>
      </c>
      <c r="AA12" s="329" t="s">
        <v>36</v>
      </c>
      <c r="AB12" s="329" t="s">
        <v>65</v>
      </c>
      <c r="AC12" s="329" t="s">
        <v>65</v>
      </c>
      <c r="AD12" s="329" t="s">
        <v>65</v>
      </c>
      <c r="AE12" s="329" t="s">
        <v>65</v>
      </c>
      <c r="AF12" s="33"/>
      <c r="AG12" s="6">
        <f t="shared" si="0"/>
        <v>15</v>
      </c>
      <c r="AH12" s="6">
        <f t="shared" si="1"/>
        <v>5</v>
      </c>
      <c r="AI12" s="6">
        <f t="shared" si="2"/>
        <v>0</v>
      </c>
      <c r="AJ12" s="6">
        <f t="shared" si="3"/>
        <v>10</v>
      </c>
      <c r="AK12" s="6">
        <f t="shared" si="4"/>
        <v>15</v>
      </c>
      <c r="AL12" s="6">
        <f t="shared" si="5"/>
        <v>10</v>
      </c>
      <c r="AM12" s="6">
        <f t="shared" si="6"/>
        <v>30</v>
      </c>
      <c r="AN12" s="6">
        <f t="shared" si="7"/>
        <v>85</v>
      </c>
      <c r="AO12" s="6">
        <f t="shared" si="8"/>
        <v>2</v>
      </c>
      <c r="AP12" s="331" t="str">
        <f t="shared" si="9"/>
        <v>85- disminuye 2</v>
      </c>
      <c r="AQ12" s="6">
        <f t="shared" si="10"/>
        <v>1</v>
      </c>
      <c r="AR12" s="331" t="str">
        <f>IF(AQ12&lt;=1,"Rara vez",VLOOKUP(AQ12,[14]Listas!$L$69:$M$73,2,0))</f>
        <v>Rara vez</v>
      </c>
      <c r="AS12" s="6">
        <f t="shared" si="11"/>
        <v>3</v>
      </c>
      <c r="AT12" s="331" t="str">
        <f t="shared" si="12"/>
        <v>Moderado</v>
      </c>
      <c r="AU12" s="331" t="str">
        <f>INDEX([14]Listas!$O$69:$Q$73,MATCH(AR12,[14]Listas!$M$69:$M$73,0),MATCH(AT12,[14]Listas!$O$67:$Q$67,0))</f>
        <v>5
BAJA</v>
      </c>
      <c r="AV12" s="330" t="s">
        <v>271</v>
      </c>
      <c r="AW12" s="355" t="s">
        <v>2680</v>
      </c>
      <c r="AX12" s="356" t="s">
        <v>2681</v>
      </c>
      <c r="AY12" s="59" t="s">
        <v>225</v>
      </c>
      <c r="AZ12" s="12" t="s">
        <v>2682</v>
      </c>
      <c r="BA12" s="12" t="s">
        <v>2683</v>
      </c>
      <c r="BB12" s="226" t="s">
        <v>4140</v>
      </c>
      <c r="BC12" s="12" t="s">
        <v>4141</v>
      </c>
      <c r="BD12" s="12" t="s">
        <v>3419</v>
      </c>
      <c r="BE12" s="1007" t="s">
        <v>36</v>
      </c>
      <c r="BF12" s="12"/>
      <c r="BG12" s="12"/>
      <c r="BH12" s="227"/>
      <c r="BI12" s="227"/>
      <c r="BJ12" s="1007"/>
      <c r="BK12" s="228"/>
      <c r="BL12" s="228"/>
    </row>
    <row r="13" spans="1:64" s="3" customFormat="1" ht="394.9" customHeight="1">
      <c r="A13" s="332"/>
      <c r="B13" s="2805" t="s">
        <v>2684</v>
      </c>
      <c r="C13" s="2806"/>
      <c r="D13" s="2807"/>
      <c r="E13" s="1039" t="s">
        <v>22</v>
      </c>
      <c r="F13" s="2931" t="s">
        <v>2685</v>
      </c>
      <c r="G13" s="2931"/>
      <c r="H13" s="2931"/>
      <c r="I13" s="2805" t="s">
        <v>866</v>
      </c>
      <c r="J13" s="2806"/>
      <c r="K13" s="2807"/>
      <c r="L13" s="330" t="s">
        <v>64</v>
      </c>
      <c r="M13" s="50" t="s">
        <v>287</v>
      </c>
      <c r="N13" s="32"/>
      <c r="O13" s="6">
        <f>VLOOKUP(L13,[14]Listas!$M$69:$N$73,2,0)</f>
        <v>3</v>
      </c>
      <c r="P13" s="6"/>
      <c r="Q13" s="6">
        <f>HLOOKUP(M13,[14]Listas!$O$67:$Q$68,2,0)</f>
        <v>20</v>
      </c>
      <c r="R13" s="331" t="str">
        <f>INDEX([14]Listas!$O$69:$Q$73,MATCH(L13,[14]Listas!$M$69:$M$73,0),MATCH(M13,[14]Listas!$O$67:$Q$67,0))</f>
        <v>60
EXTREMO</v>
      </c>
      <c r="S13" s="1908" t="s">
        <v>2686</v>
      </c>
      <c r="T13" s="1908"/>
      <c r="U13" s="1908"/>
      <c r="V13" s="329" t="s">
        <v>65</v>
      </c>
      <c r="W13" s="329" t="s">
        <v>65</v>
      </c>
      <c r="X13" s="329" t="s">
        <v>36</v>
      </c>
      <c r="Y13" s="329" t="s">
        <v>65</v>
      </c>
      <c r="Z13" s="329" t="s">
        <v>65</v>
      </c>
      <c r="AA13" s="329" t="s">
        <v>36</v>
      </c>
      <c r="AB13" s="329" t="s">
        <v>65</v>
      </c>
      <c r="AC13" s="329" t="s">
        <v>65</v>
      </c>
      <c r="AD13" s="329" t="s">
        <v>65</v>
      </c>
      <c r="AE13" s="329" t="s">
        <v>65</v>
      </c>
      <c r="AF13" s="33"/>
      <c r="AG13" s="6">
        <f>IF(Y13="SI",15,0)</f>
        <v>15</v>
      </c>
      <c r="AH13" s="6">
        <f>IF(Z13="SI",5,0)</f>
        <v>5</v>
      </c>
      <c r="AI13" s="6">
        <f>IF(AA13="SI",15,0)</f>
        <v>0</v>
      </c>
      <c r="AJ13" s="6">
        <f>IF(AB13="SI",10,0)</f>
        <v>10</v>
      </c>
      <c r="AK13" s="6">
        <f>IF(AC13="SI",15,0)</f>
        <v>15</v>
      </c>
      <c r="AL13" s="6">
        <f>IF(AD13="SI",10,0)</f>
        <v>10</v>
      </c>
      <c r="AM13" s="6">
        <f>IF(AE13="SI",30,0)</f>
        <v>30</v>
      </c>
      <c r="AN13" s="6">
        <f>SUM(AG13+AH13+AI13+AJ13+AK13+AL13+AM13)</f>
        <v>85</v>
      </c>
      <c r="AO13" s="6">
        <f>IF(AN13&lt;=50,0,IF(AN13&gt;=76,2,1))</f>
        <v>2</v>
      </c>
      <c r="AP13" s="331" t="str">
        <f>CONCATENATE(AN13,"- disminuye ",AO13)</f>
        <v>85- disminuye 2</v>
      </c>
      <c r="AQ13" s="6">
        <f>IF(V13="SI",O13-AO13,O13)</f>
        <v>1</v>
      </c>
      <c r="AR13" s="331" t="str">
        <f>IF(AQ13&lt;=1,"Rara vez",VLOOKUP(AQ13,[14]Listas!$L$69:$M$73,2,0))</f>
        <v>Rara vez</v>
      </c>
      <c r="AS13" s="6">
        <f>IF(W13="SI",Q13-AO13,Q13)</f>
        <v>18</v>
      </c>
      <c r="AT13" s="331" t="str">
        <f>IF(AS13&lt;=9,"Moderado",IF(AS13=20,"Catastrófico",IF(AS13=18,"Moderado","Mayor")))</f>
        <v>Moderado</v>
      </c>
      <c r="AU13" s="331" t="str">
        <f>INDEX([14]Listas!$O$69:$Q$73,MATCH(AR13,[14]Listas!$M$69:$M$73,0),MATCH(AT13,[14]Listas!$O$67:$Q$67,0))</f>
        <v>5
BAJA</v>
      </c>
      <c r="AV13" s="330" t="s">
        <v>271</v>
      </c>
      <c r="AW13" s="1037" t="s">
        <v>2687</v>
      </c>
      <c r="AX13" s="1038" t="s">
        <v>536</v>
      </c>
      <c r="AY13" s="59" t="s">
        <v>225</v>
      </c>
      <c r="AZ13" s="12" t="s">
        <v>2688</v>
      </c>
      <c r="BA13" s="316" t="s">
        <v>4142</v>
      </c>
      <c r="BB13" s="1007" t="s">
        <v>4143</v>
      </c>
      <c r="BC13" s="12" t="s">
        <v>4144</v>
      </c>
      <c r="BD13" s="12" t="s">
        <v>3447</v>
      </c>
      <c r="BE13" s="1007" t="s">
        <v>36</v>
      </c>
      <c r="BF13" s="12"/>
      <c r="BG13" s="12"/>
      <c r="BH13" s="227"/>
      <c r="BI13" s="227"/>
      <c r="BJ13" s="1007"/>
      <c r="BK13" s="228"/>
      <c r="BL13" s="228"/>
    </row>
    <row r="14" spans="1:64" s="3" customFormat="1" ht="341.45" customHeight="1">
      <c r="A14" s="332"/>
      <c r="B14" s="1908" t="s">
        <v>2689</v>
      </c>
      <c r="C14" s="1908"/>
      <c r="D14" s="1908"/>
      <c r="E14" s="1039" t="s">
        <v>24</v>
      </c>
      <c r="F14" s="2931" t="s">
        <v>2690</v>
      </c>
      <c r="G14" s="2931"/>
      <c r="H14" s="2931"/>
      <c r="I14" s="2805" t="s">
        <v>2691</v>
      </c>
      <c r="J14" s="2806"/>
      <c r="K14" s="2807"/>
      <c r="L14" s="330" t="s">
        <v>64</v>
      </c>
      <c r="M14" s="50" t="s">
        <v>274</v>
      </c>
      <c r="N14" s="32"/>
      <c r="O14" s="6">
        <f>VLOOKUP(L14,[14]Listas!$M$69:$N$73,2,0)</f>
        <v>3</v>
      </c>
      <c r="P14" s="6"/>
      <c r="Q14" s="6">
        <f>HLOOKUP(M14,[14]Listas!$O$67:$Q$68,2,0)</f>
        <v>5</v>
      </c>
      <c r="R14" s="331" t="str">
        <f>INDEX([14]Listas!$O$69:$Q$73,MATCH(L14,[14]Listas!$M$69:$M$73,0),MATCH(M14,[14]Listas!$O$67:$Q$67,0))</f>
        <v>15
MDOERADA</v>
      </c>
      <c r="S14" s="1908" t="s">
        <v>2692</v>
      </c>
      <c r="T14" s="1908"/>
      <c r="U14" s="1908"/>
      <c r="V14" s="329" t="s">
        <v>65</v>
      </c>
      <c r="W14" s="329" t="s">
        <v>65</v>
      </c>
      <c r="X14" s="329" t="s">
        <v>65</v>
      </c>
      <c r="Y14" s="329" t="s">
        <v>65</v>
      </c>
      <c r="Z14" s="329" t="s">
        <v>65</v>
      </c>
      <c r="AA14" s="329" t="s">
        <v>36</v>
      </c>
      <c r="AB14" s="329" t="s">
        <v>65</v>
      </c>
      <c r="AC14" s="329" t="s">
        <v>65</v>
      </c>
      <c r="AD14" s="329" t="s">
        <v>65</v>
      </c>
      <c r="AE14" s="329" t="s">
        <v>65</v>
      </c>
      <c r="AF14" s="33"/>
      <c r="AG14" s="6">
        <f t="shared" si="0"/>
        <v>15</v>
      </c>
      <c r="AH14" s="6">
        <f t="shared" si="1"/>
        <v>5</v>
      </c>
      <c r="AI14" s="6">
        <f t="shared" si="2"/>
        <v>0</v>
      </c>
      <c r="AJ14" s="6">
        <f t="shared" si="3"/>
        <v>10</v>
      </c>
      <c r="AK14" s="6">
        <f t="shared" si="4"/>
        <v>15</v>
      </c>
      <c r="AL14" s="6">
        <f t="shared" si="5"/>
        <v>10</v>
      </c>
      <c r="AM14" s="6">
        <f t="shared" si="6"/>
        <v>30</v>
      </c>
      <c r="AN14" s="6">
        <f t="shared" si="7"/>
        <v>85</v>
      </c>
      <c r="AO14" s="6">
        <f t="shared" si="8"/>
        <v>2</v>
      </c>
      <c r="AP14" s="331" t="str">
        <f t="shared" si="9"/>
        <v>85- disminuye 2</v>
      </c>
      <c r="AQ14" s="6">
        <f t="shared" si="10"/>
        <v>1</v>
      </c>
      <c r="AR14" s="331" t="str">
        <f>IF(AQ14&lt;=1,"Rara vez",VLOOKUP(AQ14,[14]Listas!$L$69:$M$73,2,0))</f>
        <v>Rara vez</v>
      </c>
      <c r="AS14" s="6">
        <f t="shared" si="11"/>
        <v>3</v>
      </c>
      <c r="AT14" s="331" t="str">
        <f t="shared" si="12"/>
        <v>Moderado</v>
      </c>
      <c r="AU14" s="331" t="str">
        <f>INDEX([14]Listas!$O$69:$Q$73,MATCH(AR14,[14]Listas!$M$69:$M$73,0),MATCH(AT14,[14]Listas!$O$67:$Q$67,0))</f>
        <v>5
BAJA</v>
      </c>
      <c r="AV14" s="330" t="s">
        <v>271</v>
      </c>
      <c r="AW14" s="355" t="s">
        <v>2693</v>
      </c>
      <c r="AX14" s="1038" t="s">
        <v>603</v>
      </c>
      <c r="AY14" s="59" t="s">
        <v>225</v>
      </c>
      <c r="AZ14" s="12" t="s">
        <v>2694</v>
      </c>
      <c r="BA14" s="316" t="s">
        <v>2695</v>
      </c>
      <c r="BB14" s="1007" t="s">
        <v>4145</v>
      </c>
      <c r="BC14" s="12" t="s">
        <v>4146</v>
      </c>
      <c r="BD14" s="12" t="s">
        <v>3419</v>
      </c>
      <c r="BE14" s="1007" t="s">
        <v>36</v>
      </c>
      <c r="BF14" s="12"/>
      <c r="BG14" s="12"/>
      <c r="BH14" s="227"/>
      <c r="BI14" s="227"/>
      <c r="BJ14" s="1007"/>
      <c r="BK14" s="228"/>
      <c r="BL14" s="228"/>
    </row>
    <row r="15" spans="1:64" s="3" customFormat="1" ht="108" hidden="1" customHeight="1">
      <c r="A15" s="332"/>
      <c r="B15" s="2805"/>
      <c r="C15" s="2806"/>
      <c r="D15" s="2807"/>
      <c r="E15" s="1038"/>
      <c r="F15" s="2808"/>
      <c r="G15" s="2809"/>
      <c r="H15" s="2810"/>
      <c r="I15" s="2805"/>
      <c r="J15" s="2806"/>
      <c r="K15" s="2807"/>
      <c r="L15" s="330"/>
      <c r="M15" s="50"/>
      <c r="N15" s="32"/>
      <c r="O15" s="6" t="e">
        <f>VLOOKUP(L15,[14]Listas!$M$69:$N$73,2,0)</f>
        <v>#N/A</v>
      </c>
      <c r="P15" s="6"/>
      <c r="Q15" s="6" t="e">
        <f>HLOOKUP(M15,[14]Listas!$O$67:$Q$68,2,0)</f>
        <v>#N/A</v>
      </c>
      <c r="R15" s="331" t="e">
        <f>INDEX([14]Listas!$O$69:$Q$73,MATCH(L15,[14]Listas!$M$69:$M$73,0),MATCH(M15,[14]Listas!$O$67:$Q$67,0))</f>
        <v>#N/A</v>
      </c>
      <c r="S15" s="2805"/>
      <c r="T15" s="2806"/>
      <c r="U15" s="2807"/>
      <c r="V15" s="329"/>
      <c r="W15" s="329"/>
      <c r="X15" s="329"/>
      <c r="Y15" s="329"/>
      <c r="Z15" s="329"/>
      <c r="AA15" s="329"/>
      <c r="AB15" s="329"/>
      <c r="AC15" s="329"/>
      <c r="AD15" s="329"/>
      <c r="AE15" s="329"/>
      <c r="AF15" s="33"/>
      <c r="AG15" s="6">
        <f t="shared" si="0"/>
        <v>0</v>
      </c>
      <c r="AH15" s="6">
        <f t="shared" si="1"/>
        <v>0</v>
      </c>
      <c r="AI15" s="6">
        <f t="shared" si="2"/>
        <v>0</v>
      </c>
      <c r="AJ15" s="6">
        <f t="shared" si="3"/>
        <v>0</v>
      </c>
      <c r="AK15" s="6">
        <f t="shared" si="4"/>
        <v>0</v>
      </c>
      <c r="AL15" s="6">
        <f t="shared" si="5"/>
        <v>0</v>
      </c>
      <c r="AM15" s="6">
        <f t="shared" si="6"/>
        <v>0</v>
      </c>
      <c r="AN15" s="6">
        <f t="shared" si="7"/>
        <v>0</v>
      </c>
      <c r="AO15" s="6">
        <f t="shared" si="8"/>
        <v>0</v>
      </c>
      <c r="AP15" s="331" t="str">
        <f t="shared" si="9"/>
        <v>0- disminuye 0</v>
      </c>
      <c r="AQ15" s="6" t="e">
        <f t="shared" si="10"/>
        <v>#N/A</v>
      </c>
      <c r="AR15" s="331" t="e">
        <f>IF(AQ15&lt;=1,"Rara vez",VLOOKUP(AQ15,[14]Listas!$L$69:$M$73,2,0))</f>
        <v>#N/A</v>
      </c>
      <c r="AS15" s="6" t="e">
        <f t="shared" si="11"/>
        <v>#N/A</v>
      </c>
      <c r="AT15" s="331" t="e">
        <f t="shared" si="12"/>
        <v>#N/A</v>
      </c>
      <c r="AU15" s="331" t="e">
        <f>INDEX([14]Listas!$O$69:$Q$73,MATCH(AR15,[14]Listas!$M$69:$M$73,0),MATCH(AT15,[14]Listas!$O$67:$Q$67,0))</f>
        <v>#N/A</v>
      </c>
      <c r="AV15" s="330"/>
      <c r="AW15" s="1009"/>
      <c r="AX15" s="1038"/>
      <c r="AY15" s="1038"/>
      <c r="AZ15" s="12"/>
      <c r="BA15" s="12"/>
      <c r="BB15" s="1007"/>
      <c r="BC15" s="12"/>
      <c r="BD15" s="12" t="s">
        <v>2343</v>
      </c>
      <c r="BE15" s="1007"/>
      <c r="BF15" s="12"/>
      <c r="BG15" s="12"/>
      <c r="BH15" s="227"/>
      <c r="BI15" s="227"/>
      <c r="BJ15" s="1007"/>
      <c r="BK15" s="228"/>
      <c r="BL15" s="228"/>
    </row>
    <row r="16" spans="1:64" s="3" customFormat="1" ht="108" hidden="1" customHeight="1">
      <c r="A16" s="332"/>
      <c r="B16" s="2805"/>
      <c r="C16" s="2806"/>
      <c r="D16" s="2807"/>
      <c r="E16" s="1038"/>
      <c r="F16" s="2808"/>
      <c r="G16" s="2809"/>
      <c r="H16" s="2810"/>
      <c r="I16" s="2805"/>
      <c r="J16" s="2806"/>
      <c r="K16" s="2807"/>
      <c r="L16" s="330"/>
      <c r="M16" s="50"/>
      <c r="N16" s="32"/>
      <c r="O16" s="6" t="e">
        <f>VLOOKUP(L16,[14]Listas!$M$69:$N$73,2,0)</f>
        <v>#N/A</v>
      </c>
      <c r="P16" s="6"/>
      <c r="Q16" s="6" t="e">
        <f>HLOOKUP(M16,[14]Listas!$O$67:$Q$68,2,0)</f>
        <v>#N/A</v>
      </c>
      <c r="R16" s="331" t="e">
        <f>INDEX([14]Listas!$O$69:$Q$73,MATCH(L16,[14]Listas!$M$69:$M$73,0),MATCH(M16,[14]Listas!$O$67:$Q$67,0))</f>
        <v>#N/A</v>
      </c>
      <c r="S16" s="2805"/>
      <c r="T16" s="2806"/>
      <c r="U16" s="2807"/>
      <c r="V16" s="329"/>
      <c r="W16" s="329"/>
      <c r="X16" s="329"/>
      <c r="Y16" s="329"/>
      <c r="Z16" s="329"/>
      <c r="AA16" s="329"/>
      <c r="AB16" s="329"/>
      <c r="AC16" s="329"/>
      <c r="AD16" s="329"/>
      <c r="AE16" s="329"/>
      <c r="AF16" s="33"/>
      <c r="AG16" s="6">
        <f t="shared" si="0"/>
        <v>0</v>
      </c>
      <c r="AH16" s="6">
        <f t="shared" si="1"/>
        <v>0</v>
      </c>
      <c r="AI16" s="6">
        <f t="shared" si="2"/>
        <v>0</v>
      </c>
      <c r="AJ16" s="6">
        <f t="shared" si="3"/>
        <v>0</v>
      </c>
      <c r="AK16" s="6">
        <f t="shared" si="4"/>
        <v>0</v>
      </c>
      <c r="AL16" s="6">
        <f t="shared" si="5"/>
        <v>0</v>
      </c>
      <c r="AM16" s="6">
        <f t="shared" si="6"/>
        <v>0</v>
      </c>
      <c r="AN16" s="6">
        <f t="shared" si="7"/>
        <v>0</v>
      </c>
      <c r="AO16" s="6">
        <f t="shared" si="8"/>
        <v>0</v>
      </c>
      <c r="AP16" s="331" t="str">
        <f t="shared" si="9"/>
        <v>0- disminuye 0</v>
      </c>
      <c r="AQ16" s="6" t="e">
        <f t="shared" si="10"/>
        <v>#N/A</v>
      </c>
      <c r="AR16" s="331" t="e">
        <f>IF(AQ16&lt;=1,"Rara vez",VLOOKUP(AQ16,[14]Listas!$L$69:$M$73,2,0))</f>
        <v>#N/A</v>
      </c>
      <c r="AS16" s="6" t="e">
        <f t="shared" si="11"/>
        <v>#N/A</v>
      </c>
      <c r="AT16" s="331" t="e">
        <f t="shared" si="12"/>
        <v>#N/A</v>
      </c>
      <c r="AU16" s="331" t="e">
        <f>INDEX([14]Listas!$O$69:$Q$73,MATCH(AR16,[14]Listas!$M$69:$M$73,0),MATCH(AT16,[14]Listas!$O$67:$Q$67,0))</f>
        <v>#N/A</v>
      </c>
      <c r="AV16" s="330"/>
      <c r="AW16" s="1009"/>
      <c r="AX16" s="1038"/>
      <c r="AY16" s="1038"/>
      <c r="AZ16" s="12"/>
      <c r="BA16" s="12"/>
      <c r="BB16" s="1007"/>
      <c r="BC16" s="12"/>
      <c r="BD16" s="12" t="s">
        <v>2343</v>
      </c>
      <c r="BE16" s="1007"/>
      <c r="BF16" s="12"/>
      <c r="BG16" s="12"/>
      <c r="BH16" s="227"/>
      <c r="BI16" s="227"/>
      <c r="BJ16" s="1007"/>
      <c r="BK16" s="228"/>
      <c r="BL16" s="228"/>
    </row>
    <row r="17" spans="1:64" s="3" customFormat="1" ht="108" hidden="1" customHeight="1">
      <c r="A17" s="332"/>
      <c r="B17" s="2805"/>
      <c r="C17" s="2806"/>
      <c r="D17" s="2807"/>
      <c r="E17" s="1038"/>
      <c r="F17" s="2808"/>
      <c r="G17" s="2809"/>
      <c r="H17" s="2810"/>
      <c r="I17" s="2805"/>
      <c r="J17" s="2806"/>
      <c r="K17" s="2807"/>
      <c r="L17" s="330"/>
      <c r="M17" s="50"/>
      <c r="N17" s="32"/>
      <c r="O17" s="6" t="e">
        <f>VLOOKUP(L17,[14]Listas!$M$69:$N$73,2,0)</f>
        <v>#N/A</v>
      </c>
      <c r="P17" s="6"/>
      <c r="Q17" s="6" t="e">
        <f>HLOOKUP(M17,[14]Listas!$O$67:$Q$68,2,0)</f>
        <v>#N/A</v>
      </c>
      <c r="R17" s="331" t="e">
        <f>INDEX([14]Listas!$O$69:$Q$73,MATCH(L17,[14]Listas!$M$69:$M$73,0),MATCH(M17,[14]Listas!$O$67:$Q$67,0))</f>
        <v>#N/A</v>
      </c>
      <c r="S17" s="2805"/>
      <c r="T17" s="2806"/>
      <c r="U17" s="2807"/>
      <c r="V17" s="329"/>
      <c r="W17" s="329"/>
      <c r="X17" s="329"/>
      <c r="Y17" s="329"/>
      <c r="Z17" s="329"/>
      <c r="AA17" s="329"/>
      <c r="AB17" s="329"/>
      <c r="AC17" s="329"/>
      <c r="AD17" s="329"/>
      <c r="AE17" s="329"/>
      <c r="AF17" s="33"/>
      <c r="AG17" s="6">
        <f>IF(Y17="SI",15,0)</f>
        <v>0</v>
      </c>
      <c r="AH17" s="6">
        <f>IF(Z17="SI",5,0)</f>
        <v>0</v>
      </c>
      <c r="AI17" s="6">
        <f>IF(AA17="SI",15,0)</f>
        <v>0</v>
      </c>
      <c r="AJ17" s="6">
        <f>IF(AB17="SI",10,0)</f>
        <v>0</v>
      </c>
      <c r="AK17" s="6">
        <f>IF(AC17="SI",15,0)</f>
        <v>0</v>
      </c>
      <c r="AL17" s="6">
        <f>IF(AD17="SI",10,0)</f>
        <v>0</v>
      </c>
      <c r="AM17" s="6">
        <f>IF(AE17="SI",30,0)</f>
        <v>0</v>
      </c>
      <c r="AN17" s="6">
        <f>SUM(AG17+AH17+AI17+AJ17+AK17+AL17+AM17)</f>
        <v>0</v>
      </c>
      <c r="AO17" s="6">
        <f>IF(AN17&lt;=50,0,IF(AN17&gt;=76,2,1))</f>
        <v>0</v>
      </c>
      <c r="AP17" s="331" t="str">
        <f>CONCATENATE(AN17,"- disminuye ",AO17)</f>
        <v>0- disminuye 0</v>
      </c>
      <c r="AQ17" s="6" t="e">
        <f>IF(V17="SI",O17-AO17,O17)</f>
        <v>#N/A</v>
      </c>
      <c r="AR17" s="331" t="e">
        <f>IF(AQ17&lt;=1,"Rara vez",VLOOKUP(AQ17,[14]Listas!$L$69:$M$73,2,0))</f>
        <v>#N/A</v>
      </c>
      <c r="AS17" s="6" t="e">
        <f>IF(W17="SI",Q17-AO17,Q17)</f>
        <v>#N/A</v>
      </c>
      <c r="AT17" s="331" t="e">
        <f>IF(AS17&lt;=9,"Moderado",IF(AS17=20,"Catastrófico",IF(AS17=18,"Moderado","Mayor")))</f>
        <v>#N/A</v>
      </c>
      <c r="AU17" s="331" t="e">
        <f>INDEX([14]Listas!$O$69:$Q$73,MATCH(AR17,[14]Listas!$M$69:$M$73,0),MATCH(AT17,[14]Listas!$O$67:$Q$67,0))</f>
        <v>#N/A</v>
      </c>
      <c r="AV17" s="330"/>
      <c r="AW17" s="1009"/>
      <c r="AX17" s="1038"/>
      <c r="AY17" s="1038"/>
      <c r="AZ17" s="12"/>
      <c r="BA17" s="12"/>
      <c r="BB17" s="1007"/>
      <c r="BC17" s="12"/>
      <c r="BD17" s="12" t="s">
        <v>2343</v>
      </c>
      <c r="BE17" s="1007"/>
      <c r="BF17" s="12"/>
      <c r="BG17" s="12"/>
      <c r="BH17" s="227"/>
      <c r="BI17" s="227"/>
      <c r="BJ17" s="1007"/>
      <c r="BK17" s="228"/>
      <c r="BL17" s="228"/>
    </row>
    <row r="18" spans="1:64" s="3" customFormat="1" ht="108" hidden="1" customHeight="1">
      <c r="A18" s="332"/>
      <c r="B18" s="2805"/>
      <c r="C18" s="2806"/>
      <c r="D18" s="2807"/>
      <c r="E18" s="1038"/>
      <c r="F18" s="2808"/>
      <c r="G18" s="2809"/>
      <c r="H18" s="2810"/>
      <c r="I18" s="2805"/>
      <c r="J18" s="2806"/>
      <c r="K18" s="2807"/>
      <c r="L18" s="330"/>
      <c r="M18" s="50"/>
      <c r="N18" s="32"/>
      <c r="O18" s="6" t="e">
        <f>VLOOKUP(L18,[14]Listas!$M$69:$N$73,2,0)</f>
        <v>#N/A</v>
      </c>
      <c r="P18" s="6"/>
      <c r="Q18" s="6" t="e">
        <f>HLOOKUP(M18,[14]Listas!$O$67:$Q$68,2,0)</f>
        <v>#N/A</v>
      </c>
      <c r="R18" s="331" t="e">
        <f>INDEX([14]Listas!$O$69:$Q$73,MATCH(L18,[14]Listas!$M$69:$M$73,0),MATCH(M18,[14]Listas!$O$67:$Q$67,0))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vez",VLOOKUP(AQ18,[14]Listas!$L$69:$M$73,2,0))</f>
        <v>#N/A</v>
      </c>
      <c r="AS18" s="6" t="e">
        <f t="shared" si="11"/>
        <v>#N/A</v>
      </c>
      <c r="AT18" s="331" t="e">
        <f t="shared" si="12"/>
        <v>#N/A</v>
      </c>
      <c r="AU18" s="331" t="e">
        <f>INDEX([14]Listas!$O$69:$Q$73,MATCH(AR18,[14]Listas!$M$69:$M$73,0),MATCH(AT18,[14]Listas!$O$67:$Q$67,0))</f>
        <v>#N/A</v>
      </c>
      <c r="AV18" s="330"/>
      <c r="AW18" s="1009"/>
      <c r="AX18" s="1038"/>
      <c r="AY18" s="1038"/>
      <c r="AZ18" s="12"/>
      <c r="BA18" s="12"/>
      <c r="BB18" s="1007"/>
      <c r="BC18" s="12"/>
      <c r="BD18" s="12" t="s">
        <v>2343</v>
      </c>
      <c r="BE18" s="1007"/>
      <c r="BF18" s="12"/>
      <c r="BG18" s="12"/>
      <c r="BH18" s="227"/>
      <c r="BI18" s="227"/>
      <c r="BJ18" s="1007"/>
      <c r="BK18" s="228"/>
      <c r="BL18" s="228"/>
    </row>
    <row r="19" spans="1:64" s="3" customFormat="1" ht="108" hidden="1" customHeight="1">
      <c r="A19" s="332"/>
      <c r="B19" s="2805"/>
      <c r="C19" s="2806"/>
      <c r="D19" s="2807"/>
      <c r="E19" s="1038"/>
      <c r="F19" s="2808"/>
      <c r="G19" s="2809"/>
      <c r="H19" s="2810"/>
      <c r="I19" s="2805"/>
      <c r="J19" s="2806"/>
      <c r="K19" s="2807"/>
      <c r="L19" s="330"/>
      <c r="M19" s="50"/>
      <c r="N19" s="32"/>
      <c r="O19" s="6" t="e">
        <f>VLOOKUP(L19,[14]Listas!$M$69:$N$73,2,0)</f>
        <v>#N/A</v>
      </c>
      <c r="P19" s="6"/>
      <c r="Q19" s="6" t="e">
        <f>HLOOKUP(M19,[14]Listas!$O$67:$Q$68,2,0)</f>
        <v>#N/A</v>
      </c>
      <c r="R19" s="331" t="e">
        <f>INDEX([14]Listas!$O$69:$Q$73,MATCH(L19,[14]Listas!$M$69:$M$73,0),MATCH(M19,[14]Listas!$O$67:$Q$67,0))</f>
        <v>#N/A</v>
      </c>
      <c r="S19" s="2805"/>
      <c r="T19" s="2806"/>
      <c r="U19" s="2807"/>
      <c r="V19" s="329"/>
      <c r="W19" s="329"/>
      <c r="X19" s="329"/>
      <c r="Y19" s="329"/>
      <c r="Z19" s="329"/>
      <c r="AA19" s="329"/>
      <c r="AB19" s="329"/>
      <c r="AC19" s="329"/>
      <c r="AD19" s="329"/>
      <c r="AE19" s="329"/>
      <c r="AF19" s="33"/>
      <c r="AG19" s="6">
        <f>IF(Y19="SI",15,0)</f>
        <v>0</v>
      </c>
      <c r="AH19" s="6">
        <f>IF(Z19="SI",5,0)</f>
        <v>0</v>
      </c>
      <c r="AI19" s="6">
        <f>IF(AA19="SI",15,0)</f>
        <v>0</v>
      </c>
      <c r="AJ19" s="6">
        <f>IF(AB19="SI",10,0)</f>
        <v>0</v>
      </c>
      <c r="AK19" s="6">
        <f>IF(AC19="SI",15,0)</f>
        <v>0</v>
      </c>
      <c r="AL19" s="6">
        <f>IF(AD19="SI",10,0)</f>
        <v>0</v>
      </c>
      <c r="AM19" s="6">
        <f>IF(AE19="SI",30,0)</f>
        <v>0</v>
      </c>
      <c r="AN19" s="6">
        <f>SUM(AG19+AH19+AI19+AJ19+AK19+AL19+AM19)</f>
        <v>0</v>
      </c>
      <c r="AO19" s="6">
        <f>IF(AN19&lt;=50,0,IF(AN19&gt;=76,2,1))</f>
        <v>0</v>
      </c>
      <c r="AP19" s="331" t="str">
        <f>CONCATENATE(AN19,"- disminuye ",AO19)</f>
        <v>0- disminuye 0</v>
      </c>
      <c r="AQ19" s="6" t="e">
        <f>IF(V19="SI",O19-AO19,O19)</f>
        <v>#N/A</v>
      </c>
      <c r="AR19" s="331" t="e">
        <f>IF(AQ19&lt;=1,"Rara vez",VLOOKUP(AQ19,[14]Listas!$L$69:$M$73,2,0))</f>
        <v>#N/A</v>
      </c>
      <c r="AS19" s="6" t="e">
        <f>IF(W19="SI",Q19-AO19,Q19)</f>
        <v>#N/A</v>
      </c>
      <c r="AT19" s="331" t="e">
        <f>IF(AS19&lt;=9,"Moderado",IF(AS19=20,"Catastrófico",IF(AS19=18,"Moderado","Mayor")))</f>
        <v>#N/A</v>
      </c>
      <c r="AU19" s="331" t="e">
        <f>INDEX([14]Listas!$O$69:$Q$73,MATCH(AR19,[14]Listas!$M$69:$M$73,0),MATCH(AT19,[14]Listas!$O$67:$Q$67,0))</f>
        <v>#N/A</v>
      </c>
      <c r="AV19" s="330"/>
      <c r="AW19" s="1009"/>
      <c r="AX19" s="1038"/>
      <c r="AY19" s="1038"/>
      <c r="AZ19" s="12"/>
      <c r="BA19" s="12"/>
      <c r="BB19" s="1007"/>
      <c r="BC19" s="12"/>
      <c r="BD19" s="12" t="s">
        <v>2343</v>
      </c>
      <c r="BE19" s="1007"/>
      <c r="BF19" s="12"/>
      <c r="BG19" s="12"/>
      <c r="BH19" s="227"/>
      <c r="BI19" s="227"/>
      <c r="BJ19" s="1007"/>
      <c r="BK19" s="228"/>
      <c r="BL19" s="228"/>
    </row>
    <row r="20" spans="1:64" s="3" customFormat="1" ht="16.899999999999999" hidden="1" customHeight="1">
      <c r="A20" s="332"/>
      <c r="B20" s="2805"/>
      <c r="C20" s="2806"/>
      <c r="D20" s="2807"/>
      <c r="E20" s="1038"/>
      <c r="F20" s="2808"/>
      <c r="G20" s="2809"/>
      <c r="H20" s="2810"/>
      <c r="I20" s="2805"/>
      <c r="J20" s="2806"/>
      <c r="K20" s="2807"/>
      <c r="L20" s="330"/>
      <c r="M20" s="50"/>
      <c r="N20" s="32"/>
      <c r="O20" s="6" t="e">
        <f>VLOOKUP(L20,[14]Listas!$M$69:$N$73,2,0)</f>
        <v>#N/A</v>
      </c>
      <c r="P20" s="6"/>
      <c r="Q20" s="6" t="e">
        <f>HLOOKUP(M20,[14]Listas!$O$67:$Q$68,2,0)</f>
        <v>#N/A</v>
      </c>
      <c r="R20" s="331" t="e">
        <f>INDEX([14]Listas!$O$69:$Q$73,MATCH(L20,[14]Listas!$M$69:$M$73,0),MATCH(M20,[14]Listas!$O$67:$Q$67,0))</f>
        <v>#N/A</v>
      </c>
      <c r="S20" s="2805"/>
      <c r="T20" s="2806"/>
      <c r="U20" s="2807"/>
      <c r="V20" s="329"/>
      <c r="W20" s="329"/>
      <c r="X20" s="329"/>
      <c r="Y20" s="329"/>
      <c r="Z20" s="329"/>
      <c r="AA20" s="329"/>
      <c r="AB20" s="329"/>
      <c r="AC20" s="329"/>
      <c r="AD20" s="329"/>
      <c r="AE20" s="329"/>
      <c r="AF20" s="33"/>
      <c r="AG20" s="6">
        <f t="shared" si="0"/>
        <v>0</v>
      </c>
      <c r="AH20" s="6">
        <f t="shared" si="1"/>
        <v>0</v>
      </c>
      <c r="AI20" s="6">
        <f t="shared" si="2"/>
        <v>0</v>
      </c>
      <c r="AJ20" s="6">
        <f t="shared" si="3"/>
        <v>0</v>
      </c>
      <c r="AK20" s="6">
        <f t="shared" si="4"/>
        <v>0</v>
      </c>
      <c r="AL20" s="6">
        <f t="shared" si="5"/>
        <v>0</v>
      </c>
      <c r="AM20" s="6">
        <f t="shared" si="6"/>
        <v>0</v>
      </c>
      <c r="AN20" s="6">
        <f t="shared" si="7"/>
        <v>0</v>
      </c>
      <c r="AO20" s="6">
        <f t="shared" si="8"/>
        <v>0</v>
      </c>
      <c r="AP20" s="331" t="str">
        <f t="shared" si="9"/>
        <v>0- disminuye 0</v>
      </c>
      <c r="AQ20" s="6" t="e">
        <f t="shared" si="10"/>
        <v>#N/A</v>
      </c>
      <c r="AR20" s="331" t="e">
        <f>IF(AQ20&lt;=1,"Rara vez",VLOOKUP(AQ20,[14]Listas!$L$69:$M$73,2,0))</f>
        <v>#N/A</v>
      </c>
      <c r="AS20" s="6" t="e">
        <f t="shared" si="11"/>
        <v>#N/A</v>
      </c>
      <c r="AT20" s="331" t="e">
        <f t="shared" si="12"/>
        <v>#N/A</v>
      </c>
      <c r="AU20" s="331" t="e">
        <f>INDEX([14]Listas!$O$69:$Q$73,MATCH(AR20,[14]Listas!$M$69:$M$73,0),MATCH(AT20,[14]Listas!$O$67:$Q$67,0))</f>
        <v>#N/A</v>
      </c>
      <c r="AV20" s="330"/>
      <c r="AW20" s="1009"/>
      <c r="AX20" s="1038"/>
      <c r="AY20" s="1038"/>
      <c r="AZ20" s="12"/>
      <c r="BA20" s="12"/>
      <c r="BB20" s="1007"/>
      <c r="BC20" s="12"/>
      <c r="BD20" s="12" t="s">
        <v>2343</v>
      </c>
      <c r="BE20" s="1007"/>
      <c r="BF20" s="12"/>
      <c r="BG20" s="12"/>
      <c r="BH20" s="227"/>
      <c r="BI20" s="227"/>
      <c r="BJ20" s="1007"/>
      <c r="BK20" s="228"/>
      <c r="BL20" s="228"/>
    </row>
    <row r="21" spans="1:64" ht="6.6" customHeight="1">
      <c r="A21" s="2"/>
      <c r="B21" s="7"/>
      <c r="C21" s="7"/>
      <c r="D21" s="7"/>
      <c r="E21" s="4"/>
      <c r="F21" s="7"/>
      <c r="G21" s="7"/>
      <c r="H21" s="7"/>
      <c r="I21" s="7"/>
      <c r="J21" s="7"/>
      <c r="K21" s="7"/>
      <c r="L21" s="4"/>
      <c r="M21" s="4"/>
      <c r="N21" s="4"/>
      <c r="O21" s="4"/>
      <c r="P21" s="4"/>
      <c r="Q21" s="4"/>
      <c r="R21" s="4"/>
      <c r="S21" s="7"/>
      <c r="T21" s="7"/>
      <c r="U21" s="7"/>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7"/>
      <c r="AW21" s="7"/>
      <c r="AX21" s="229"/>
      <c r="AY21" s="229"/>
      <c r="AZ21" s="68"/>
      <c r="BA21" s="68"/>
      <c r="BB21" s="92"/>
      <c r="BC21" s="68"/>
      <c r="BD21" s="68"/>
      <c r="BE21" s="92"/>
      <c r="BF21" s="68"/>
      <c r="BG21" s="68"/>
      <c r="BH21" s="230"/>
      <c r="BI21" s="230"/>
      <c r="BJ21" s="92"/>
    </row>
    <row r="22" spans="1:64" ht="15" customHeight="1">
      <c r="A22" s="317"/>
      <c r="B22" s="2811" t="s">
        <v>277</v>
      </c>
      <c r="C22" s="2811"/>
      <c r="D22" s="2811"/>
      <c r="E22" s="2811"/>
      <c r="F22" s="2811"/>
      <c r="G22" s="2811"/>
      <c r="H22" s="2811"/>
      <c r="I22" s="2811"/>
      <c r="J22" s="2811"/>
      <c r="K22" s="2811"/>
      <c r="L22" s="2811"/>
      <c r="M22" s="2811"/>
      <c r="N22" s="2811"/>
      <c r="O22" s="2811"/>
      <c r="P22" s="2811"/>
      <c r="Q22" s="2811"/>
      <c r="R22" s="2811"/>
      <c r="S22" s="2811"/>
      <c r="T22" s="2811"/>
      <c r="U22" s="2811"/>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4"/>
      <c r="AV22" s="9"/>
      <c r="AW22" s="9"/>
      <c r="AX22" s="65"/>
      <c r="AY22" s="65"/>
      <c r="AZ22" s="68"/>
      <c r="BA22" s="68"/>
      <c r="BB22" s="92"/>
      <c r="BC22" s="68"/>
      <c r="BD22" s="68"/>
      <c r="BE22" s="92"/>
      <c r="BF22" s="68"/>
      <c r="BG22" s="68"/>
      <c r="BH22" s="230"/>
      <c r="BI22" s="230"/>
      <c r="BJ22" s="92"/>
    </row>
    <row r="23" spans="1:64" s="22" customFormat="1" ht="19.5" customHeight="1">
      <c r="A23" s="10"/>
      <c r="B23" s="2801" t="s">
        <v>278</v>
      </c>
      <c r="C23" s="2802"/>
      <c r="D23" s="2802"/>
      <c r="E23" s="2802"/>
      <c r="F23" s="2802"/>
      <c r="G23" s="2802"/>
      <c r="H23" s="2803"/>
      <c r="I23" s="2801" t="s">
        <v>279</v>
      </c>
      <c r="J23" s="2802"/>
      <c r="K23" s="2802"/>
      <c r="L23" s="2802"/>
      <c r="M23" s="2802"/>
      <c r="N23" s="2802"/>
      <c r="O23" s="2802"/>
      <c r="P23" s="2802"/>
      <c r="Q23" s="2802"/>
      <c r="R23" s="2802"/>
      <c r="S23" s="2802"/>
      <c r="T23" s="2802"/>
      <c r="U23" s="2803"/>
      <c r="V23" s="2801" t="s">
        <v>171</v>
      </c>
      <c r="W23" s="2802"/>
      <c r="X23" s="2802"/>
      <c r="Y23" s="2802"/>
      <c r="Z23" s="2802"/>
      <c r="AA23" s="2802"/>
      <c r="AB23" s="2802"/>
      <c r="AC23" s="2802"/>
      <c r="AD23" s="2802"/>
      <c r="AE23" s="2802"/>
      <c r="AF23" s="2802"/>
      <c r="AG23" s="2802"/>
      <c r="AH23" s="2802"/>
      <c r="AI23" s="2802"/>
      <c r="AJ23" s="2802"/>
      <c r="AK23" s="2802"/>
      <c r="AL23" s="2802"/>
      <c r="AM23" s="2802"/>
      <c r="AN23" s="2802"/>
      <c r="AO23" s="2802"/>
      <c r="AP23" s="2803"/>
      <c r="AQ23" s="34" t="s">
        <v>172</v>
      </c>
      <c r="AR23" s="2804" t="s">
        <v>172</v>
      </c>
      <c r="AS23" s="2804"/>
      <c r="AT23" s="2804"/>
      <c r="AU23" s="2804"/>
      <c r="AV23" s="2804"/>
      <c r="AW23" s="2804"/>
      <c r="AX23" s="65"/>
      <c r="AY23" s="65"/>
      <c r="AZ23" s="68"/>
      <c r="BA23" s="68"/>
      <c r="BB23" s="92"/>
      <c r="BC23" s="68"/>
      <c r="BD23" s="68"/>
      <c r="BE23" s="92"/>
      <c r="BF23" s="68"/>
      <c r="BG23" s="68"/>
      <c r="BH23" s="230"/>
      <c r="BI23" s="230"/>
      <c r="BJ23" s="92"/>
      <c r="BK23" s="210"/>
      <c r="BL23" s="210"/>
    </row>
    <row r="24" spans="1:64" s="22" customFormat="1" ht="25.5" customHeight="1">
      <c r="A24" s="11"/>
      <c r="B24" s="2800" t="s">
        <v>184</v>
      </c>
      <c r="C24" s="2800"/>
      <c r="D24" s="2800"/>
      <c r="E24" s="2800"/>
      <c r="F24" s="2800"/>
      <c r="G24" s="2800"/>
      <c r="H24" s="2800"/>
      <c r="I24" s="2794" t="s">
        <v>2696</v>
      </c>
      <c r="J24" s="2795"/>
      <c r="K24" s="2795"/>
      <c r="L24" s="2795"/>
      <c r="M24" s="2795"/>
      <c r="N24" s="2795"/>
      <c r="O24" s="2795"/>
      <c r="P24" s="2795"/>
      <c r="Q24" s="2795"/>
      <c r="R24" s="2795"/>
      <c r="S24" s="2795"/>
      <c r="T24" s="2795"/>
      <c r="U24" s="2796"/>
      <c r="V24" s="2794" t="s">
        <v>166</v>
      </c>
      <c r="W24" s="2795"/>
      <c r="X24" s="2795"/>
      <c r="Y24" s="2795"/>
      <c r="Z24" s="2795"/>
      <c r="AA24" s="2795"/>
      <c r="AB24" s="2795"/>
      <c r="AC24" s="2795"/>
      <c r="AD24" s="2795"/>
      <c r="AE24" s="2795"/>
      <c r="AF24" s="2795"/>
      <c r="AG24" s="2795"/>
      <c r="AH24" s="2795"/>
      <c r="AI24" s="2795"/>
      <c r="AJ24" s="2795"/>
      <c r="AK24" s="2795"/>
      <c r="AL24" s="2795"/>
      <c r="AM24" s="2795"/>
      <c r="AN24" s="2795"/>
      <c r="AO24" s="2795"/>
      <c r="AP24" s="2796"/>
      <c r="AQ24" s="12"/>
      <c r="AR24" s="2800"/>
      <c r="AS24" s="2800"/>
      <c r="AT24" s="2800"/>
      <c r="AU24" s="2800"/>
      <c r="AV24" s="2800"/>
      <c r="AW24" s="2800"/>
      <c r="AX24" s="65"/>
      <c r="AY24" s="65"/>
      <c r="AZ24" s="68"/>
      <c r="BA24" s="68"/>
      <c r="BB24" s="92"/>
      <c r="BC24" s="68"/>
      <c r="BD24" s="68"/>
      <c r="BE24" s="92"/>
      <c r="BF24" s="68"/>
      <c r="BG24" s="68"/>
      <c r="BH24" s="230"/>
      <c r="BI24" s="230"/>
      <c r="BJ24" s="92"/>
      <c r="BK24" s="210"/>
      <c r="BL24" s="210"/>
    </row>
    <row r="25" spans="1:64" s="22" customFormat="1" ht="25.5" customHeight="1">
      <c r="A25" s="11"/>
      <c r="B25" s="2800" t="s">
        <v>225</v>
      </c>
      <c r="C25" s="2800"/>
      <c r="D25" s="2800"/>
      <c r="E25" s="2800"/>
      <c r="F25" s="2800"/>
      <c r="G25" s="2800"/>
      <c r="H25" s="2800"/>
      <c r="I25" s="2794" t="s">
        <v>3448</v>
      </c>
      <c r="J25" s="2795"/>
      <c r="K25" s="2795"/>
      <c r="L25" s="2795"/>
      <c r="M25" s="2795"/>
      <c r="N25" s="2795"/>
      <c r="O25" s="2795"/>
      <c r="P25" s="2795"/>
      <c r="Q25" s="2795"/>
      <c r="R25" s="2795"/>
      <c r="S25" s="2795"/>
      <c r="T25" s="2795"/>
      <c r="U25" s="2796"/>
      <c r="V25" s="2794" t="s">
        <v>3449</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68"/>
      <c r="BA25" s="68"/>
      <c r="BB25" s="92"/>
      <c r="BC25" s="68"/>
      <c r="BD25" s="68"/>
      <c r="BE25" s="92"/>
      <c r="BF25" s="68"/>
      <c r="BG25" s="68"/>
      <c r="BH25" s="230"/>
      <c r="BI25" s="230"/>
      <c r="BJ25" s="92"/>
      <c r="BK25" s="210"/>
      <c r="BL25" s="210"/>
    </row>
    <row r="26" spans="1:64" ht="25.5" customHeight="1">
      <c r="A26" s="11"/>
      <c r="B26" s="2794"/>
      <c r="C26" s="2795"/>
      <c r="D26" s="2795"/>
      <c r="E26" s="2795"/>
      <c r="F26" s="2795"/>
      <c r="G26" s="2795"/>
      <c r="H26" s="2796"/>
      <c r="I26" s="2794"/>
      <c r="J26" s="2795"/>
      <c r="K26" s="2795"/>
      <c r="L26" s="2795"/>
      <c r="M26" s="2795"/>
      <c r="N26" s="2795"/>
      <c r="O26" s="2795"/>
      <c r="P26" s="2795"/>
      <c r="Q26" s="2795"/>
      <c r="R26" s="2795"/>
      <c r="S26" s="2795"/>
      <c r="T26" s="2795"/>
      <c r="U26" s="2796"/>
      <c r="V26" s="2794"/>
      <c r="W26" s="2795"/>
      <c r="X26" s="2795"/>
      <c r="Y26" s="2795"/>
      <c r="Z26" s="2795"/>
      <c r="AA26" s="2795"/>
      <c r="AB26" s="2795"/>
      <c r="AC26" s="2795"/>
      <c r="AD26" s="2795"/>
      <c r="AE26" s="2795"/>
      <c r="AF26" s="2795"/>
      <c r="AG26" s="2795"/>
      <c r="AH26" s="2795"/>
      <c r="AI26" s="2795"/>
      <c r="AJ26" s="2795"/>
      <c r="AK26" s="2795"/>
      <c r="AL26" s="2795"/>
      <c r="AM26" s="2795"/>
      <c r="AN26" s="2795"/>
      <c r="AO26" s="2795"/>
      <c r="AP26" s="2796"/>
      <c r="AQ26" s="12"/>
      <c r="AR26" s="2800"/>
      <c r="AS26" s="2800"/>
      <c r="AT26" s="2800"/>
      <c r="AU26" s="2800"/>
      <c r="AV26" s="2800"/>
      <c r="AW26" s="2800"/>
      <c r="AX26" s="65"/>
      <c r="AY26" s="65"/>
      <c r="AZ26" s="68"/>
      <c r="BA26" s="68"/>
      <c r="BB26" s="92"/>
      <c r="BC26" s="68"/>
      <c r="BD26" s="68"/>
      <c r="BE26" s="92"/>
      <c r="BF26" s="68"/>
      <c r="BG26" s="68"/>
      <c r="BH26" s="230"/>
      <c r="BI26" s="230"/>
      <c r="BJ26" s="92"/>
    </row>
    <row r="27" spans="1:64">
      <c r="A27" s="13"/>
      <c r="B27" s="13"/>
      <c r="C27" s="13"/>
      <c r="D27" s="13"/>
      <c r="E27" s="14"/>
      <c r="F27" s="13"/>
      <c r="G27" s="13"/>
      <c r="H27" s="13"/>
      <c r="I27" s="13"/>
      <c r="J27" s="13"/>
      <c r="K27" s="13"/>
      <c r="L27" s="15"/>
      <c r="M27" s="15"/>
      <c r="N27" s="15"/>
      <c r="O27" s="15"/>
      <c r="P27" s="15"/>
      <c r="Q27" s="15"/>
      <c r="R27" s="15"/>
      <c r="S27" s="15"/>
      <c r="T27" s="15"/>
      <c r="U27" s="15"/>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5"/>
      <c r="AW27" s="15"/>
      <c r="AZ27" s="68"/>
      <c r="BA27" s="68"/>
      <c r="BB27" s="92"/>
      <c r="BC27" s="68"/>
      <c r="BD27" s="68"/>
      <c r="BE27" s="92"/>
      <c r="BF27" s="68"/>
      <c r="BG27" s="68"/>
      <c r="BH27" s="230"/>
      <c r="BI27" s="230"/>
      <c r="BJ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2">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2">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2">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2">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2">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2">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2">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2">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2">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2">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2">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2">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2">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1:62">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row>
    <row r="95" spans="1:62">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2">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1:64" ht="11.25">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c r="AZ97" s="231"/>
      <c r="BA97" s="231"/>
      <c r="BB97" s="231"/>
      <c r="BC97" s="231"/>
      <c r="BD97" s="231"/>
      <c r="BE97" s="231"/>
      <c r="BF97" s="231"/>
      <c r="BG97" s="231"/>
      <c r="BH97" s="231"/>
      <c r="BI97" s="231"/>
      <c r="BJ97" s="231"/>
      <c r="BK97" s="231"/>
      <c r="BL97" s="231"/>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ht="11.25">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1:64">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1:49">
      <c r="A119" s="13"/>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sheetData>
  <sheetProtection formatCells="0" formatColumns="0" formatRows="0" insertRows="0" deleteRows="0" sort="0" autoFilter="0" pivotTables="0"/>
  <mergeCells count="93">
    <mergeCell ref="A1:AB1"/>
    <mergeCell ref="AC1:AU4"/>
    <mergeCell ref="BB1:BE1"/>
    <mergeCell ref="A2:AB2"/>
    <mergeCell ref="BB2:BC2"/>
    <mergeCell ref="BD2:BE2"/>
    <mergeCell ref="A3:D3"/>
    <mergeCell ref="E3:U3"/>
    <mergeCell ref="V3:AB3"/>
    <mergeCell ref="BB3:BC3"/>
    <mergeCell ref="AA6:BA6"/>
    <mergeCell ref="BD3:BE3"/>
    <mergeCell ref="A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B13:D13"/>
    <mergeCell ref="F13:H13"/>
    <mergeCell ref="I13:K13"/>
    <mergeCell ref="S13:U13"/>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S14:U14"/>
    <mergeCell ref="B16:D16"/>
    <mergeCell ref="F16:H16"/>
    <mergeCell ref="I16:K16"/>
    <mergeCell ref="S16:U16"/>
    <mergeCell ref="B15:D15"/>
    <mergeCell ref="F15:H15"/>
    <mergeCell ref="I15:K15"/>
    <mergeCell ref="S15:U15"/>
    <mergeCell ref="B19:D19"/>
    <mergeCell ref="F19:H19"/>
    <mergeCell ref="I19:K19"/>
    <mergeCell ref="B14:D14"/>
    <mergeCell ref="F14:H14"/>
    <mergeCell ref="I14:K14"/>
    <mergeCell ref="B26:H26"/>
    <mergeCell ref="I26:U26"/>
    <mergeCell ref="B23:H23"/>
    <mergeCell ref="B22:U22"/>
    <mergeCell ref="B17:D17"/>
    <mergeCell ref="F17:H17"/>
    <mergeCell ref="I17:K17"/>
    <mergeCell ref="S17:U17"/>
    <mergeCell ref="B18:D18"/>
    <mergeCell ref="F18:H18"/>
    <mergeCell ref="I18:K18"/>
    <mergeCell ref="S18:U18"/>
    <mergeCell ref="B20:D20"/>
    <mergeCell ref="F20:H20"/>
    <mergeCell ref="I20:K20"/>
    <mergeCell ref="S20:U20"/>
    <mergeCell ref="B25:H25"/>
    <mergeCell ref="I25:U25"/>
    <mergeCell ref="V25:AP25"/>
    <mergeCell ref="AR25:AW25"/>
    <mergeCell ref="B24:H24"/>
    <mergeCell ref="I24:U24"/>
    <mergeCell ref="V24:AP24"/>
    <mergeCell ref="AR24:AW24"/>
    <mergeCell ref="I23:U23"/>
    <mergeCell ref="S19:U19"/>
    <mergeCell ref="V26:AP26"/>
    <mergeCell ref="AR26:AW26"/>
    <mergeCell ref="AR23:AW23"/>
    <mergeCell ref="V23:AP23"/>
  </mergeCells>
  <dataValidations count="8">
    <dataValidation type="list" allowBlank="1" showInputMessage="1" showErrorMessage="1" sqref="BE10:BE20">
      <formula1>Efectividad</formula1>
    </dataValidation>
    <dataValidation type="list" allowBlank="1" showInputMessage="1" sqref="AV10:AV20">
      <formula1>Periodo</formula1>
    </dataValidation>
    <dataValidation type="list" showInputMessage="1" showErrorMessage="1" sqref="V10:AF20">
      <formula1>Efectividad</formula1>
    </dataValidation>
    <dataValidation showInputMessage="1" showErrorMessage="1" sqref="AG10:AT20"/>
    <dataValidation type="list" allowBlank="1" showInputMessage="1" showErrorMessage="1" sqref="M10:N20">
      <formula1>Impacto</formula1>
    </dataValidation>
    <dataValidation type="list" showInputMessage="1" showErrorMessage="1" sqref="L10:L20">
      <formula1>Probabilidad</formula1>
    </dataValidation>
    <dataValidation type="list" sqref="BD4:BE4">
      <formula1>Monitoreo</formula1>
    </dataValidation>
    <dataValidation type="list" allowBlank="1" showInputMessage="1" showErrorMessage="1" sqref="L6">
      <formula1>Proceso</formula1>
    </dataValidation>
  </dataValidations>
  <printOptions horizontalCentered="1"/>
  <pageMargins left="0.82677165354330717" right="0.43307086614173229" top="0.74803149606299213" bottom="0.35433070866141736" header="0.31496062992125984" footer="0.31496062992125984"/>
  <pageSetup paperSize="5" scale="45" orientation="landscape" r:id="rId1"/>
  <headerFooter>
    <oddFooter>&amp;L&amp;"Segoe UI,Normal"&amp;9Formato: FO-AC-07 Versión: 3&amp;C&amp;"Segoe UI,Normal"&amp;9Página &amp;P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113"/>
  <sheetViews>
    <sheetView showGridLines="0" view="pageBreakPreview" zoomScaleNormal="100" zoomScaleSheetLayoutView="100" workbookViewId="0">
      <selection activeCell="A2" sqref="A2:AB2"/>
    </sheetView>
  </sheetViews>
  <sheetFormatPr baseColWidth="10" defaultRowHeight="15"/>
  <cols>
    <col min="1" max="1" width="1.140625" style="16" customWidth="1"/>
    <col min="2" max="4" width="6.28515625" style="16" customWidth="1"/>
    <col min="5" max="5" width="7.28515625" style="17" customWidth="1"/>
    <col min="6" max="8" width="6.7109375" style="16" customWidth="1"/>
    <col min="9" max="11" width="6"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1" width="11.7109375" style="18" customWidth="1"/>
    <col min="22" max="22" width="2.7109375" style="17" customWidth="1"/>
    <col min="23" max="23" width="3.140625" style="17" customWidth="1"/>
    <col min="24" max="24" width="3.28515625" style="17" customWidth="1"/>
    <col min="25" max="25" width="2.85546875" style="17" customWidth="1"/>
    <col min="26" max="26" width="2.7109375" style="17" customWidth="1"/>
    <col min="27" max="27" width="3.28515625" style="17" customWidth="1"/>
    <col min="28"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11.5703125" style="18" customWidth="1"/>
    <col min="50" max="50" width="22.5703125" style="21" customWidth="1"/>
    <col min="51" max="51" width="5" style="21" customWidth="1"/>
    <col min="52" max="52" width="27.5703125" style="210" customWidth="1"/>
    <col min="53" max="53" width="13.28515625" style="210" customWidth="1"/>
    <col min="54" max="54" width="6.140625" style="210" hidden="1" customWidth="1"/>
    <col min="55" max="56" width="38.7109375" style="210" hidden="1" customWidth="1"/>
    <col min="57" max="57" width="5.85546875" style="210" hidden="1" customWidth="1"/>
    <col min="58" max="58" width="6.140625" style="210" customWidth="1"/>
    <col min="59" max="60" width="38.7109375" style="210" customWidth="1"/>
    <col min="61" max="61" width="5.85546875" style="210" customWidth="1"/>
    <col min="62" max="62" width="31.5703125" style="210" hidden="1" customWidth="1"/>
    <col min="63" max="63" width="16.140625" style="210" hidden="1" customWidth="1"/>
    <col min="64" max="65" width="9.28515625" style="210" hidden="1" customWidth="1"/>
    <col min="66" max="66" width="11.140625" style="210" hidden="1" customWidth="1"/>
    <col min="67" max="67" width="46.28515625" style="210" hidden="1" customWidth="1"/>
    <col min="68" max="68" width="11.42578125" style="210" customWidth="1"/>
    <col min="69" max="16384" width="11.42578125" style="20"/>
  </cols>
  <sheetData>
    <row r="1" spans="1:68"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855" t="s">
        <v>2320</v>
      </c>
      <c r="BG1" s="2856"/>
      <c r="BH1" s="2856"/>
      <c r="BI1" s="2857"/>
      <c r="BJ1" s="208"/>
      <c r="BK1" s="208"/>
    </row>
    <row r="2" spans="1:68" ht="15" customHeight="1">
      <c r="A2" s="2858" t="str">
        <f>UPPER([13]Control!A2)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85">
        <v>2019</v>
      </c>
      <c r="BA2" s="208"/>
      <c r="BB2" s="2830" t="s">
        <v>138</v>
      </c>
      <c r="BC2" s="2831"/>
      <c r="BD2" s="2901" t="str">
        <f>L6</f>
        <v>CONSERVACIÓN DE INFRAESTRUCTURA</v>
      </c>
      <c r="BE2" s="2902"/>
      <c r="BF2" s="2830" t="s">
        <v>138</v>
      </c>
      <c r="BG2" s="2831"/>
      <c r="BH2" s="2901" t="s">
        <v>125</v>
      </c>
      <c r="BI2" s="2902"/>
      <c r="BJ2" s="208"/>
      <c r="BK2" s="208"/>
    </row>
    <row r="3" spans="1:68"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830" t="s">
        <v>2322</v>
      </c>
      <c r="BG3" s="2831"/>
      <c r="BH3" s="2830" t="s">
        <v>2323</v>
      </c>
      <c r="BI3" s="2831"/>
      <c r="BJ3" s="208"/>
      <c r="BK3" s="208"/>
    </row>
    <row r="4" spans="1:68" ht="15.75" customHeight="1" thickBot="1">
      <c r="A4" s="2832" t="str">
        <f>[13]Control!A4</f>
        <v>FO-PE-05</v>
      </c>
      <c r="B4" s="2833"/>
      <c r="C4" s="2833"/>
      <c r="D4" s="2834"/>
      <c r="E4" s="2835" t="str">
        <f>[13]Control!C4</f>
        <v>Planeación Estratégica</v>
      </c>
      <c r="F4" s="2833"/>
      <c r="G4" s="2833"/>
      <c r="H4" s="2833"/>
      <c r="I4" s="2833"/>
      <c r="J4" s="2833"/>
      <c r="K4" s="2833"/>
      <c r="L4" s="2833"/>
      <c r="M4" s="2833"/>
      <c r="N4" s="2833"/>
      <c r="O4" s="2833"/>
      <c r="P4" s="2833"/>
      <c r="Q4" s="2833"/>
      <c r="R4" s="2833"/>
      <c r="S4" s="2833"/>
      <c r="T4" s="2833"/>
      <c r="U4" s="2834"/>
      <c r="V4" s="2835" t="str">
        <f>[13]Control!H4</f>
        <v>5.0</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543">
        <v>43448</v>
      </c>
      <c r="BA4" s="208"/>
      <c r="BB4" s="2982">
        <v>43585</v>
      </c>
      <c r="BC4" s="2982"/>
      <c r="BD4" s="2972" t="s">
        <v>342</v>
      </c>
      <c r="BE4" s="2972"/>
      <c r="BF4" s="2982">
        <v>43708</v>
      </c>
      <c r="BG4" s="2982"/>
      <c r="BH4" s="2972" t="s">
        <v>3679</v>
      </c>
      <c r="BI4" s="2972"/>
      <c r="BJ4" s="208"/>
      <c r="BK4" s="208"/>
    </row>
    <row r="5" spans="1:68"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c r="BG5"/>
      <c r="BH5"/>
      <c r="BI5"/>
      <c r="BJ5" s="212"/>
      <c r="BK5" s="212"/>
      <c r="BL5" s="45"/>
      <c r="BM5" s="45"/>
      <c r="BN5" s="45"/>
      <c r="BO5" s="45"/>
      <c r="BP5" s="45"/>
    </row>
    <row r="6" spans="1:68" s="3" customFormat="1" ht="45.75" customHeight="1">
      <c r="A6" s="2"/>
      <c r="B6" s="2839" t="s">
        <v>57</v>
      </c>
      <c r="C6" s="2840"/>
      <c r="D6" s="2973" t="s">
        <v>58</v>
      </c>
      <c r="E6" s="2974"/>
      <c r="F6" s="2974"/>
      <c r="G6" s="2974"/>
      <c r="H6" s="2975"/>
      <c r="I6" s="2839" t="s">
        <v>138</v>
      </c>
      <c r="J6" s="2841"/>
      <c r="K6" s="2840"/>
      <c r="L6" s="2976" t="s">
        <v>125</v>
      </c>
      <c r="M6" s="2977"/>
      <c r="N6" s="2977"/>
      <c r="O6" s="2977"/>
      <c r="P6" s="2977"/>
      <c r="Q6" s="2977"/>
      <c r="R6" s="2977"/>
      <c r="S6" s="2977"/>
      <c r="T6" s="2977"/>
      <c r="U6" s="2978"/>
      <c r="V6" s="2845" t="s">
        <v>59</v>
      </c>
      <c r="W6" s="2845"/>
      <c r="X6" s="2845"/>
      <c r="Y6" s="2845"/>
      <c r="Z6" s="2845"/>
      <c r="AA6" s="2979" t="s">
        <v>3052</v>
      </c>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1"/>
      <c r="BB6" s="213"/>
      <c r="BC6" s="212"/>
      <c r="BD6" s="213"/>
      <c r="BE6" s="213"/>
      <c r="BF6" s="213"/>
      <c r="BG6" s="212"/>
      <c r="BH6" s="213"/>
      <c r="BI6" s="213"/>
      <c r="BJ6" s="213"/>
      <c r="BK6" s="213"/>
      <c r="BL6" s="213"/>
      <c r="BM6" s="213"/>
      <c r="BN6" s="213"/>
      <c r="BO6" s="213"/>
      <c r="BP6" s="213"/>
    </row>
    <row r="7" spans="1:68"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15"/>
      <c r="BG7" s="216"/>
      <c r="BH7" s="216"/>
      <c r="BI7" s="217"/>
      <c r="BJ7" s="2815"/>
      <c r="BK7" s="2815"/>
      <c r="BL7" s="2815"/>
      <c r="BM7" s="2815"/>
      <c r="BN7" s="2815"/>
      <c r="BO7" s="63"/>
      <c r="BP7" s="63"/>
    </row>
    <row r="8" spans="1:68"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3615</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19" t="s">
        <v>2325</v>
      </c>
      <c r="BG8" s="220"/>
      <c r="BH8" s="220"/>
      <c r="BI8" s="221"/>
      <c r="BJ8" s="2826" t="s">
        <v>2326</v>
      </c>
      <c r="BK8" s="2826"/>
      <c r="BL8" s="2826"/>
      <c r="BM8" s="2826"/>
      <c r="BN8" s="2826"/>
      <c r="BO8" s="213"/>
      <c r="BP8" s="213"/>
    </row>
    <row r="9" spans="1:68" s="67" customFormat="1" ht="69" customHeight="1">
      <c r="A9" s="5"/>
      <c r="B9" s="2812" t="s">
        <v>61</v>
      </c>
      <c r="C9" s="2813"/>
      <c r="D9" s="2814"/>
      <c r="E9" s="30" t="s">
        <v>139</v>
      </c>
      <c r="F9" s="2812" t="s">
        <v>3053</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386" t="s">
        <v>2327</v>
      </c>
      <c r="BA9" s="387" t="s">
        <v>2328</v>
      </c>
      <c r="BB9" s="544" t="s">
        <v>2329</v>
      </c>
      <c r="BC9" s="104" t="s">
        <v>2330</v>
      </c>
      <c r="BD9" s="544" t="s">
        <v>2331</v>
      </c>
      <c r="BE9" s="544" t="s">
        <v>2332</v>
      </c>
      <c r="BF9" s="544" t="s">
        <v>2329</v>
      </c>
      <c r="BG9" s="104" t="s">
        <v>2330</v>
      </c>
      <c r="BH9" s="544" t="s">
        <v>2331</v>
      </c>
      <c r="BI9" s="544" t="s">
        <v>2332</v>
      </c>
      <c r="BJ9" s="406" t="s">
        <v>2333</v>
      </c>
      <c r="BK9" s="406" t="s">
        <v>2334</v>
      </c>
      <c r="BL9" s="406" t="s">
        <v>2335</v>
      </c>
      <c r="BM9" s="406" t="s">
        <v>2336</v>
      </c>
      <c r="BN9" s="406" t="s">
        <v>2337</v>
      </c>
      <c r="BO9" s="225"/>
      <c r="BP9" s="102"/>
    </row>
    <row r="10" spans="1:68" s="3" customFormat="1" ht="394.5" customHeight="1">
      <c r="A10" s="332"/>
      <c r="B10" s="2966" t="s">
        <v>312</v>
      </c>
      <c r="C10" s="2967"/>
      <c r="D10" s="2968"/>
      <c r="E10" s="388" t="s">
        <v>313</v>
      </c>
      <c r="F10" s="2963" t="s">
        <v>314</v>
      </c>
      <c r="G10" s="2964"/>
      <c r="H10" s="2965"/>
      <c r="I10" s="2969" t="s">
        <v>315</v>
      </c>
      <c r="J10" s="2970"/>
      <c r="K10" s="2971"/>
      <c r="L10" s="389" t="s">
        <v>283</v>
      </c>
      <c r="M10" s="390" t="s">
        <v>274</v>
      </c>
      <c r="N10" s="391"/>
      <c r="O10" s="392">
        <f>VLOOKUP(L10,[13]Listas!$M$69:$N$73,2,0)</f>
        <v>1</v>
      </c>
      <c r="P10" s="392"/>
      <c r="Q10" s="392">
        <f>HLOOKUP(M10,[13]Listas!$O$67:$Q$68,2,0)</f>
        <v>5</v>
      </c>
      <c r="R10" s="393" t="str">
        <f>INDEX([13]Listas!$O$69:$Q$73,MATCH(L10,[13]Listas!$M$69:$M$73,0),MATCH(M10,[13]Listas!$O$67:$Q$67,0))</f>
        <v>5
BAJA</v>
      </c>
      <c r="S10" s="2960" t="s">
        <v>316</v>
      </c>
      <c r="T10" s="2961"/>
      <c r="U10" s="2962"/>
      <c r="V10" s="394" t="s">
        <v>65</v>
      </c>
      <c r="W10" s="394" t="s">
        <v>36</v>
      </c>
      <c r="X10" s="394" t="s">
        <v>65</v>
      </c>
      <c r="Y10" s="394" t="s">
        <v>65</v>
      </c>
      <c r="Z10" s="394" t="s">
        <v>65</v>
      </c>
      <c r="AA10" s="394" t="s">
        <v>36</v>
      </c>
      <c r="AB10" s="394" t="s">
        <v>65</v>
      </c>
      <c r="AC10" s="394" t="s">
        <v>65</v>
      </c>
      <c r="AD10" s="394" t="s">
        <v>65</v>
      </c>
      <c r="AE10" s="394" t="s">
        <v>65</v>
      </c>
      <c r="AF10" s="395"/>
      <c r="AG10" s="392">
        <f t="shared" ref="AG10:AG14" si="0">IF(Y10="SI",15,0)</f>
        <v>15</v>
      </c>
      <c r="AH10" s="392">
        <f t="shared" ref="AH10:AH14" si="1">IF(Z10="SI",5,0)</f>
        <v>5</v>
      </c>
      <c r="AI10" s="392">
        <f t="shared" ref="AI10:AI14" si="2">IF(AA10="SI",15,0)</f>
        <v>0</v>
      </c>
      <c r="AJ10" s="392">
        <f t="shared" ref="AJ10:AJ14" si="3">IF(AB10="SI",10,0)</f>
        <v>10</v>
      </c>
      <c r="AK10" s="392">
        <f t="shared" ref="AK10:AK14" si="4">IF(AC10="SI",15,0)</f>
        <v>15</v>
      </c>
      <c r="AL10" s="392">
        <f t="shared" ref="AL10:AL14" si="5">IF(AD10="SI",10,0)</f>
        <v>10</v>
      </c>
      <c r="AM10" s="392">
        <f t="shared" ref="AM10:AM14" si="6">IF(AE10="SI",30,0)</f>
        <v>30</v>
      </c>
      <c r="AN10" s="392">
        <f t="shared" ref="AN10:AN14" si="7">SUM(AG10+AH10+AI10+AJ10+AK10+AL10+AM10)</f>
        <v>85</v>
      </c>
      <c r="AO10" s="392">
        <f t="shared" ref="AO10:AO14" si="8">IF(AN10&lt;=50,0,IF(AN10&gt;=76,2,1))</f>
        <v>2</v>
      </c>
      <c r="AP10" s="393" t="str">
        <f t="shared" ref="AP10:AP14" si="9">CONCATENATE(AN10,"- disminuye ",AO10)</f>
        <v>85- disminuye 2</v>
      </c>
      <c r="AQ10" s="392">
        <f t="shared" ref="AQ10:AQ14" si="10">IF(V10="SI",O10-AO10,O10)</f>
        <v>-1</v>
      </c>
      <c r="AR10" s="393" t="str">
        <f>IF(AQ10&lt;=1,"Rara vez",VLOOKUP(AQ10,[13]Listas!$L$69:$M$73,2,0))</f>
        <v>Rara vez</v>
      </c>
      <c r="AS10" s="392">
        <f t="shared" ref="AS10:AS14" si="11">IF(W10="SI",Q10-AO10,Q10)</f>
        <v>5</v>
      </c>
      <c r="AT10" s="393" t="str">
        <f t="shared" ref="AT10:AT14" si="12">IF(AS10&lt;=9,"Moderado",IF(AS10=20,"Catastrófico",IF(AS10=18,"Moderado","Mayor")))</f>
        <v>Moderado</v>
      </c>
      <c r="AU10" s="393" t="str">
        <f>INDEX([13]Listas!$O$69:$Q$73,MATCH(AR10,[13]Listas!$M$69:$M$73,0),MATCH(AT10,[13]Listas!$O$67:$Q$67,0))</f>
        <v>5
BAJA</v>
      </c>
      <c r="AV10" s="389" t="s">
        <v>271</v>
      </c>
      <c r="AW10" s="396" t="s">
        <v>317</v>
      </c>
      <c r="AX10" s="397" t="s">
        <v>159</v>
      </c>
      <c r="AY10" s="95" t="s">
        <v>604</v>
      </c>
      <c r="AZ10" s="545" t="s">
        <v>3054</v>
      </c>
      <c r="BA10" s="398" t="s">
        <v>3430</v>
      </c>
      <c r="BB10" s="969">
        <f>(6/6)*100%</f>
        <v>1</v>
      </c>
      <c r="BC10" s="398" t="s">
        <v>3450</v>
      </c>
      <c r="BD10" s="547" t="s">
        <v>3451</v>
      </c>
      <c r="BE10" s="402" t="s">
        <v>36</v>
      </c>
      <c r="BF10" s="546">
        <f>(6/6)*100%</f>
        <v>1</v>
      </c>
      <c r="BG10" s="398" t="s">
        <v>3450</v>
      </c>
      <c r="BH10" s="547" t="s">
        <v>3904</v>
      </c>
      <c r="BI10" s="402" t="s">
        <v>36</v>
      </c>
      <c r="BJ10" s="12"/>
      <c r="BK10" s="12"/>
      <c r="BL10" s="227"/>
      <c r="BM10" s="227"/>
      <c r="BN10" s="839"/>
      <c r="BO10" s="970" t="s">
        <v>3681</v>
      </c>
      <c r="BP10" s="228"/>
    </row>
    <row r="11" spans="1:68" s="3" customFormat="1" ht="253.5" customHeight="1">
      <c r="A11" s="332"/>
      <c r="B11" s="2960" t="s">
        <v>537</v>
      </c>
      <c r="C11" s="2961"/>
      <c r="D11" s="2962"/>
      <c r="E11" s="399" t="s">
        <v>230</v>
      </c>
      <c r="F11" s="2963" t="s">
        <v>160</v>
      </c>
      <c r="G11" s="2964"/>
      <c r="H11" s="2965"/>
      <c r="I11" s="2954" t="s">
        <v>315</v>
      </c>
      <c r="J11" s="2955"/>
      <c r="K11" s="2956"/>
      <c r="L11" s="389" t="s">
        <v>309</v>
      </c>
      <c r="M11" s="390" t="s">
        <v>274</v>
      </c>
      <c r="N11" s="391"/>
      <c r="O11" s="392">
        <f>VLOOKUP(L11,[13]Listas!$M$69:$N$73,2,0)</f>
        <v>4</v>
      </c>
      <c r="P11" s="392"/>
      <c r="Q11" s="392">
        <f>HLOOKUP(M11,[13]Listas!$O$67:$Q$68,2,0)</f>
        <v>5</v>
      </c>
      <c r="R11" s="393" t="str">
        <f>INDEX([13]Listas!$O$69:$Q$73,MATCH(L11,[13]Listas!$M$69:$M$73,0),MATCH(M11,[13]Listas!$O$67:$Q$67,0))</f>
        <v>20
MODERADA</v>
      </c>
      <c r="S11" s="2960" t="s">
        <v>318</v>
      </c>
      <c r="T11" s="2961"/>
      <c r="U11" s="2962"/>
      <c r="V11" s="394" t="s">
        <v>65</v>
      </c>
      <c r="W11" s="394" t="s">
        <v>36</v>
      </c>
      <c r="X11" s="394" t="s">
        <v>36</v>
      </c>
      <c r="Y11" s="394" t="s">
        <v>65</v>
      </c>
      <c r="Z11" s="394" t="s">
        <v>65</v>
      </c>
      <c r="AA11" s="394" t="s">
        <v>36</v>
      </c>
      <c r="AB11" s="394" t="s">
        <v>65</v>
      </c>
      <c r="AC11" s="394" t="s">
        <v>65</v>
      </c>
      <c r="AD11" s="394" t="s">
        <v>65</v>
      </c>
      <c r="AE11" s="394" t="s">
        <v>65</v>
      </c>
      <c r="AF11" s="395"/>
      <c r="AG11" s="392">
        <f>IF(Y11="SI",15,0)</f>
        <v>15</v>
      </c>
      <c r="AH11" s="392">
        <f>IF(Z11="SI",5,0)</f>
        <v>5</v>
      </c>
      <c r="AI11" s="392">
        <f>IF(AA11="SI",15,0)</f>
        <v>0</v>
      </c>
      <c r="AJ11" s="392">
        <f>IF(AB11="SI",10,0)</f>
        <v>10</v>
      </c>
      <c r="AK11" s="392">
        <f>IF(AC11="SI",15,0)</f>
        <v>15</v>
      </c>
      <c r="AL11" s="392">
        <f>IF(AD11="SI",10,0)</f>
        <v>10</v>
      </c>
      <c r="AM11" s="392">
        <f>IF(AE11="SI",30,0)</f>
        <v>30</v>
      </c>
      <c r="AN11" s="392">
        <f>SUM(AG11+AH11+AI11+AJ11+AK11+AL11+AM11)</f>
        <v>85</v>
      </c>
      <c r="AO11" s="392">
        <f>IF(AN11&lt;=50,0,IF(AN11&gt;=76,2,1))</f>
        <v>2</v>
      </c>
      <c r="AP11" s="393" t="str">
        <f>CONCATENATE(AN11,"- disminuye ",AO11)</f>
        <v>85- disminuye 2</v>
      </c>
      <c r="AQ11" s="392">
        <f>IF(V11="SI",O11-AO11,O11)</f>
        <v>2</v>
      </c>
      <c r="AR11" s="393" t="str">
        <f>IF(AQ11&lt;=1,"Rara vez",VLOOKUP(AQ11,[13]Listas!$L$69:$M$73,2,0))</f>
        <v>Improbable</v>
      </c>
      <c r="AS11" s="392">
        <f>IF(W11="SI",Q11-AO11,Q11)</f>
        <v>5</v>
      </c>
      <c r="AT11" s="393" t="str">
        <f>IF(AS11&lt;=9,"Moderado",IF(AS11=20,"Catastrófico",IF(AS11=18,"Moderado","Mayor")))</f>
        <v>Moderado</v>
      </c>
      <c r="AU11" s="393" t="str">
        <f>INDEX([13]Listas!$O$69:$Q$73,MATCH(AR11,[13]Listas!$M$69:$M$73,0),MATCH(AT11,[13]Listas!$O$67:$Q$67,0))</f>
        <v>10
BAJA</v>
      </c>
      <c r="AV11" s="389" t="s">
        <v>271</v>
      </c>
      <c r="AW11" s="400" t="s">
        <v>317</v>
      </c>
      <c r="AX11" s="846" t="s">
        <v>319</v>
      </c>
      <c r="AY11" s="94" t="s">
        <v>605</v>
      </c>
      <c r="AZ11" s="545" t="s">
        <v>3055</v>
      </c>
      <c r="BA11" s="401" t="s">
        <v>3430</v>
      </c>
      <c r="BB11" s="969">
        <f>(8/8)*100%</f>
        <v>1</v>
      </c>
      <c r="BC11" s="398" t="s">
        <v>3452</v>
      </c>
      <c r="BD11" s="547" t="s">
        <v>3453</v>
      </c>
      <c r="BE11" s="402" t="s">
        <v>36</v>
      </c>
      <c r="BF11" s="546">
        <f>(6/6)*100%</f>
        <v>1</v>
      </c>
      <c r="BG11" s="398" t="s">
        <v>3905</v>
      </c>
      <c r="BH11" s="547" t="s">
        <v>3906</v>
      </c>
      <c r="BI11" s="402" t="s">
        <v>36</v>
      </c>
      <c r="BJ11" s="12"/>
      <c r="BK11" s="12"/>
      <c r="BL11" s="227"/>
      <c r="BM11" s="227"/>
      <c r="BN11" s="839"/>
      <c r="BO11" s="970" t="s">
        <v>3907</v>
      </c>
      <c r="BP11" s="228"/>
    </row>
    <row r="12" spans="1:68" s="3" customFormat="1" ht="285.75" customHeight="1">
      <c r="A12" s="332"/>
      <c r="B12" s="2950" t="s">
        <v>162</v>
      </c>
      <c r="C12" s="2950"/>
      <c r="D12" s="2950"/>
      <c r="E12" s="399" t="s">
        <v>231</v>
      </c>
      <c r="F12" s="2951" t="s">
        <v>163</v>
      </c>
      <c r="G12" s="2952"/>
      <c r="H12" s="2953"/>
      <c r="I12" s="2954" t="s">
        <v>323</v>
      </c>
      <c r="J12" s="2955"/>
      <c r="K12" s="2956"/>
      <c r="L12" s="389" t="s">
        <v>283</v>
      </c>
      <c r="M12" s="390" t="s">
        <v>270</v>
      </c>
      <c r="N12" s="391"/>
      <c r="O12" s="392">
        <f>VLOOKUP(L12,[13]Listas!$M$69:$N$73,2,0)</f>
        <v>1</v>
      </c>
      <c r="P12" s="392"/>
      <c r="Q12" s="392">
        <f>HLOOKUP(M12,[13]Listas!$O$67:$Q$68,2,0)</f>
        <v>10</v>
      </c>
      <c r="R12" s="393" t="str">
        <f>INDEX([13]Listas!$O$69:$Q$73,MATCH(L12,[13]Listas!$M$69:$M$73,0),MATCH(M12,[13]Listas!$O$67:$Q$67,0))</f>
        <v>10
BAJA</v>
      </c>
      <c r="S12" s="2957" t="s">
        <v>164</v>
      </c>
      <c r="T12" s="2958"/>
      <c r="U12" s="2959"/>
      <c r="V12" s="394" t="s">
        <v>65</v>
      </c>
      <c r="W12" s="394" t="s">
        <v>36</v>
      </c>
      <c r="X12" s="394" t="s">
        <v>36</v>
      </c>
      <c r="Y12" s="394" t="s">
        <v>65</v>
      </c>
      <c r="Z12" s="394" t="s">
        <v>65</v>
      </c>
      <c r="AA12" s="394" t="s">
        <v>36</v>
      </c>
      <c r="AB12" s="394" t="s">
        <v>65</v>
      </c>
      <c r="AC12" s="394" t="s">
        <v>65</v>
      </c>
      <c r="AD12" s="394" t="s">
        <v>65</v>
      </c>
      <c r="AE12" s="394" t="s">
        <v>65</v>
      </c>
      <c r="AF12" s="395"/>
      <c r="AG12" s="392">
        <f>IF(Y12="SI",15,0)</f>
        <v>15</v>
      </c>
      <c r="AH12" s="392">
        <f>IF(Z12="SI",5,0)</f>
        <v>5</v>
      </c>
      <c r="AI12" s="392">
        <f>IF(AA12="SI",15,0)</f>
        <v>0</v>
      </c>
      <c r="AJ12" s="392">
        <f>IF(AB12="SI",10,0)</f>
        <v>10</v>
      </c>
      <c r="AK12" s="392">
        <f>IF(AC12="SI",15,0)</f>
        <v>15</v>
      </c>
      <c r="AL12" s="392">
        <f>IF(AD12="SI",10,0)</f>
        <v>10</v>
      </c>
      <c r="AM12" s="392">
        <f>IF(AE12="SI",30,0)</f>
        <v>30</v>
      </c>
      <c r="AN12" s="392">
        <f>SUM(AG12+AH12+AI12+AJ12+AK12+AL12+AM12)</f>
        <v>85</v>
      </c>
      <c r="AO12" s="392">
        <f>IF(AN12&lt;=50,0,IF(AN12&gt;=76,2,1))</f>
        <v>2</v>
      </c>
      <c r="AP12" s="393" t="str">
        <f>CONCATENATE(AN12,"- disminuye ",AO12)</f>
        <v>85- disminuye 2</v>
      </c>
      <c r="AQ12" s="392">
        <f>IF(V12="SI",O12-AO12,O12)</f>
        <v>-1</v>
      </c>
      <c r="AR12" s="393" t="str">
        <f>IF(AQ12&lt;=1,"Rara vez",VLOOKUP(AQ12,[13]Listas!$L$69:$M$73,2,0))</f>
        <v>Rara vez</v>
      </c>
      <c r="AS12" s="392">
        <f>IF(W12="SI",Q12-AO12,Q12)</f>
        <v>10</v>
      </c>
      <c r="AT12" s="393" t="str">
        <f>IF(AS12&lt;=9,"Moderado",IF(AS12=20,"Catastrófico",IF(AS12=18,"Moderado","Mayor")))</f>
        <v>Mayor</v>
      </c>
      <c r="AU12" s="393" t="str">
        <f>INDEX([13]Listas!$O$69:$Q$73,MATCH(AR12,[13]Listas!$M$69:$M$73,0),MATCH(AT12,[13]Listas!$O$67:$Q$67,0))</f>
        <v>10
BAJA</v>
      </c>
      <c r="AV12" s="389" t="s">
        <v>271</v>
      </c>
      <c r="AW12" s="400" t="s">
        <v>317</v>
      </c>
      <c r="AX12" s="846" t="s">
        <v>324</v>
      </c>
      <c r="AY12" s="94" t="s">
        <v>605</v>
      </c>
      <c r="AZ12" s="545" t="s">
        <v>3056</v>
      </c>
      <c r="BA12" s="402" t="s">
        <v>3430</v>
      </c>
      <c r="BB12" s="969">
        <f>(6/6)*100%</f>
        <v>1</v>
      </c>
      <c r="BC12" s="401" t="s">
        <v>3454</v>
      </c>
      <c r="BD12" s="547" t="s">
        <v>3455</v>
      </c>
      <c r="BE12" s="402" t="s">
        <v>36</v>
      </c>
      <c r="BF12" s="546">
        <f>(6/6)*100%</f>
        <v>1</v>
      </c>
      <c r="BG12" s="401" t="s">
        <v>3454</v>
      </c>
      <c r="BH12" s="547" t="s">
        <v>3908</v>
      </c>
      <c r="BI12" s="402" t="s">
        <v>36</v>
      </c>
      <c r="BJ12" s="12"/>
      <c r="BK12" s="12"/>
      <c r="BL12" s="227"/>
      <c r="BM12" s="227"/>
      <c r="BN12" s="839"/>
      <c r="BO12" s="970" t="s">
        <v>3907</v>
      </c>
      <c r="BP12" s="228"/>
    </row>
    <row r="13" spans="1:68" s="3" customFormat="1" ht="247.5" customHeight="1">
      <c r="A13" s="332"/>
      <c r="B13" s="2950" t="s">
        <v>522</v>
      </c>
      <c r="C13" s="2950"/>
      <c r="D13" s="2950"/>
      <c r="E13" s="399" t="s">
        <v>320</v>
      </c>
      <c r="F13" s="2951" t="s">
        <v>161</v>
      </c>
      <c r="G13" s="2952"/>
      <c r="H13" s="2953"/>
      <c r="I13" s="2954" t="s">
        <v>321</v>
      </c>
      <c r="J13" s="2955"/>
      <c r="K13" s="2956"/>
      <c r="L13" s="389" t="s">
        <v>283</v>
      </c>
      <c r="M13" s="390" t="s">
        <v>274</v>
      </c>
      <c r="N13" s="391"/>
      <c r="O13" s="392">
        <f>VLOOKUP(L13,[13]Listas!$M$69:$N$73,2,0)</f>
        <v>1</v>
      </c>
      <c r="P13" s="392"/>
      <c r="Q13" s="392">
        <f>HLOOKUP(M13,[13]Listas!$O$67:$Q$68,2,0)</f>
        <v>5</v>
      </c>
      <c r="R13" s="393" t="str">
        <f>INDEX([13]Listas!$O$69:$Q$73,MATCH(L13,[13]Listas!$M$69:$M$73,0),MATCH(M13,[13]Listas!$O$67:$Q$67,0))</f>
        <v>5
BAJA</v>
      </c>
      <c r="S13" s="2957" t="s">
        <v>322</v>
      </c>
      <c r="T13" s="2958"/>
      <c r="U13" s="2959"/>
      <c r="V13" s="394" t="s">
        <v>65</v>
      </c>
      <c r="W13" s="394" t="s">
        <v>36</v>
      </c>
      <c r="X13" s="394" t="s">
        <v>36</v>
      </c>
      <c r="Y13" s="394" t="s">
        <v>65</v>
      </c>
      <c r="Z13" s="394" t="s">
        <v>65</v>
      </c>
      <c r="AA13" s="394" t="s">
        <v>36</v>
      </c>
      <c r="AB13" s="394" t="s">
        <v>65</v>
      </c>
      <c r="AC13" s="394" t="s">
        <v>65</v>
      </c>
      <c r="AD13" s="394" t="s">
        <v>65</v>
      </c>
      <c r="AE13" s="394" t="s">
        <v>65</v>
      </c>
      <c r="AF13" s="395"/>
      <c r="AG13" s="392">
        <f>IF(Y13="SI",15,0)</f>
        <v>15</v>
      </c>
      <c r="AH13" s="392">
        <f>IF(Z13="SI",5,0)</f>
        <v>5</v>
      </c>
      <c r="AI13" s="392">
        <f>IF(AA13="SI",15,0)</f>
        <v>0</v>
      </c>
      <c r="AJ13" s="392">
        <f>IF(AB13="SI",10,0)</f>
        <v>10</v>
      </c>
      <c r="AK13" s="392">
        <f>IF(AC13="SI",15,0)</f>
        <v>15</v>
      </c>
      <c r="AL13" s="392">
        <f>IF(AD13="SI",10,0)</f>
        <v>10</v>
      </c>
      <c r="AM13" s="392">
        <f>IF(AE13="SI",30,0)</f>
        <v>30</v>
      </c>
      <c r="AN13" s="392">
        <f>SUM(AG13+AH13+AI13+AJ13+AK13+AL13+AM13)</f>
        <v>85</v>
      </c>
      <c r="AO13" s="392">
        <f>IF(AN13&lt;=50,0,IF(AN13&gt;=76,2,1))</f>
        <v>2</v>
      </c>
      <c r="AP13" s="393" t="str">
        <f>CONCATENATE(AN13,"- disminuye ",AO13)</f>
        <v>85- disminuye 2</v>
      </c>
      <c r="AQ13" s="392">
        <f>IF(V13="SI",O13-AO13,O13)</f>
        <v>-1</v>
      </c>
      <c r="AR13" s="393" t="str">
        <f>IF(AQ13&lt;=1,"Rara vez",VLOOKUP(AQ13,[13]Listas!$L$69:$M$73,2,0))</f>
        <v>Rara vez</v>
      </c>
      <c r="AS13" s="392">
        <f>IF(W13="SI",Q13-AO13,Q13)</f>
        <v>5</v>
      </c>
      <c r="AT13" s="393" t="str">
        <f>IF(AS13&lt;=9,"Moderado",IF(AS13=20,"Catastrófico",IF(AS13=18,"Moderado","Mayor")))</f>
        <v>Moderado</v>
      </c>
      <c r="AU13" s="393" t="str">
        <f>INDEX([13]Listas!$O$69:$Q$73,MATCH(AR13,[13]Listas!$M$69:$M$73,0),MATCH(AT13,[13]Listas!$O$67:$Q$67,0))</f>
        <v>5
BAJA</v>
      </c>
      <c r="AV13" s="389" t="s">
        <v>271</v>
      </c>
      <c r="AW13" s="400" t="s">
        <v>317</v>
      </c>
      <c r="AX13" s="846" t="s">
        <v>3057</v>
      </c>
      <c r="AY13" s="94" t="s">
        <v>606</v>
      </c>
      <c r="AZ13" s="545" t="s">
        <v>3058</v>
      </c>
      <c r="BA13" s="402" t="s">
        <v>3430</v>
      </c>
      <c r="BB13" s="969">
        <f>(8/8)*100%</f>
        <v>1</v>
      </c>
      <c r="BC13" s="398" t="s">
        <v>3456</v>
      </c>
      <c r="BD13" s="547" t="s">
        <v>3457</v>
      </c>
      <c r="BE13" s="402" t="s">
        <v>36</v>
      </c>
      <c r="BF13" s="546">
        <f>(8/8)*100%</f>
        <v>1</v>
      </c>
      <c r="BG13" s="398" t="s">
        <v>3909</v>
      </c>
      <c r="BH13" s="547" t="s">
        <v>3910</v>
      </c>
      <c r="BI13" s="402" t="s">
        <v>36</v>
      </c>
      <c r="BJ13" s="12"/>
      <c r="BK13" s="12"/>
      <c r="BL13" s="227"/>
      <c r="BM13" s="227"/>
      <c r="BN13" s="839"/>
      <c r="BO13" s="970" t="s">
        <v>3683</v>
      </c>
      <c r="BP13" s="228"/>
    </row>
    <row r="14" spans="1:68" s="3" customFormat="1" ht="255.75" customHeight="1">
      <c r="A14" s="332"/>
      <c r="B14" s="2957" t="s">
        <v>523</v>
      </c>
      <c r="C14" s="2958"/>
      <c r="D14" s="2959"/>
      <c r="E14" s="399" t="s">
        <v>232</v>
      </c>
      <c r="F14" s="2951" t="s">
        <v>325</v>
      </c>
      <c r="G14" s="2952"/>
      <c r="H14" s="2953"/>
      <c r="I14" s="2954" t="s">
        <v>326</v>
      </c>
      <c r="J14" s="2955"/>
      <c r="K14" s="2956"/>
      <c r="L14" s="389" t="s">
        <v>283</v>
      </c>
      <c r="M14" s="390" t="s">
        <v>270</v>
      </c>
      <c r="N14" s="391"/>
      <c r="O14" s="392">
        <f>VLOOKUP(L14,[13]Listas!$M$69:$N$73,2,0)</f>
        <v>1</v>
      </c>
      <c r="P14" s="392"/>
      <c r="Q14" s="392">
        <f>HLOOKUP(M14,[13]Listas!$O$67:$Q$68,2,0)</f>
        <v>10</v>
      </c>
      <c r="R14" s="393" t="str">
        <f>INDEX([13]Listas!$O$69:$Q$73,MATCH(L14,[13]Listas!$M$69:$M$73,0),MATCH(M14,[13]Listas!$O$67:$Q$67,0))</f>
        <v>10
BAJA</v>
      </c>
      <c r="S14" s="2957" t="s">
        <v>3059</v>
      </c>
      <c r="T14" s="2958"/>
      <c r="U14" s="2959"/>
      <c r="V14" s="394" t="s">
        <v>65</v>
      </c>
      <c r="W14" s="394" t="s">
        <v>65</v>
      </c>
      <c r="X14" s="394" t="s">
        <v>65</v>
      </c>
      <c r="Y14" s="394" t="s">
        <v>65</v>
      </c>
      <c r="Z14" s="394" t="s">
        <v>65</v>
      </c>
      <c r="AA14" s="394" t="s">
        <v>36</v>
      </c>
      <c r="AB14" s="394" t="s">
        <v>65</v>
      </c>
      <c r="AC14" s="394" t="s">
        <v>65</v>
      </c>
      <c r="AD14" s="394" t="s">
        <v>65</v>
      </c>
      <c r="AE14" s="394" t="s">
        <v>65</v>
      </c>
      <c r="AF14" s="395"/>
      <c r="AG14" s="392">
        <f t="shared" si="0"/>
        <v>15</v>
      </c>
      <c r="AH14" s="392">
        <f t="shared" si="1"/>
        <v>5</v>
      </c>
      <c r="AI14" s="392">
        <f t="shared" si="2"/>
        <v>0</v>
      </c>
      <c r="AJ14" s="392">
        <f t="shared" si="3"/>
        <v>10</v>
      </c>
      <c r="AK14" s="392">
        <f t="shared" si="4"/>
        <v>15</v>
      </c>
      <c r="AL14" s="392">
        <f t="shared" si="5"/>
        <v>10</v>
      </c>
      <c r="AM14" s="392">
        <f t="shared" si="6"/>
        <v>30</v>
      </c>
      <c r="AN14" s="392">
        <f t="shared" si="7"/>
        <v>85</v>
      </c>
      <c r="AO14" s="392">
        <f t="shared" si="8"/>
        <v>2</v>
      </c>
      <c r="AP14" s="393" t="str">
        <f t="shared" si="9"/>
        <v>85- disminuye 2</v>
      </c>
      <c r="AQ14" s="392">
        <f t="shared" si="10"/>
        <v>-1</v>
      </c>
      <c r="AR14" s="393" t="str">
        <f>IF(AQ14&lt;=1,"Rara vez",VLOOKUP(AQ14,[13]Listas!$L$69:$M$73,2,0))</f>
        <v>Rara vez</v>
      </c>
      <c r="AS14" s="392">
        <f t="shared" si="11"/>
        <v>8</v>
      </c>
      <c r="AT14" s="393" t="str">
        <f t="shared" si="12"/>
        <v>Moderado</v>
      </c>
      <c r="AU14" s="393" t="str">
        <f>INDEX([13]Listas!$O$69:$Q$73,MATCH(AR14,[13]Listas!$M$69:$M$73,0),MATCH(AT14,[13]Listas!$O$67:$Q$67,0))</f>
        <v>5
BAJA</v>
      </c>
      <c r="AV14" s="389" t="s">
        <v>271</v>
      </c>
      <c r="AW14" s="400" t="s">
        <v>3060</v>
      </c>
      <c r="AX14" s="846" t="s">
        <v>327</v>
      </c>
      <c r="AY14" s="94" t="s">
        <v>864</v>
      </c>
      <c r="AZ14" s="545" t="s">
        <v>3061</v>
      </c>
      <c r="BA14" s="402" t="s">
        <v>3458</v>
      </c>
      <c r="BB14" s="969">
        <f>(4/4)*100%</f>
        <v>1</v>
      </c>
      <c r="BC14" s="401" t="s">
        <v>3439</v>
      </c>
      <c r="BD14" s="547" t="s">
        <v>3440</v>
      </c>
      <c r="BE14" s="402" t="s">
        <v>36</v>
      </c>
      <c r="BF14" s="546">
        <f>(16/16)*100%</f>
        <v>1</v>
      </c>
      <c r="BG14" s="401" t="s">
        <v>3688</v>
      </c>
      <c r="BH14" s="547" t="s">
        <v>3689</v>
      </c>
      <c r="BI14" s="402" t="s">
        <v>36</v>
      </c>
      <c r="BJ14" s="12"/>
      <c r="BK14" s="12"/>
      <c r="BL14" s="227"/>
      <c r="BM14" s="227"/>
      <c r="BN14" s="839"/>
      <c r="BO14" s="970" t="s">
        <v>3690</v>
      </c>
      <c r="BP14" s="228"/>
    </row>
    <row r="15" spans="1:68" ht="6.75" customHeight="1">
      <c r="A15" s="2"/>
      <c r="B15" s="7"/>
      <c r="C15" s="7"/>
      <c r="D15" s="7"/>
      <c r="E15" s="4"/>
      <c r="F15" s="7"/>
      <c r="G15" s="7"/>
      <c r="H15" s="7"/>
      <c r="I15" s="7"/>
      <c r="J15" s="7"/>
      <c r="K15" s="7"/>
      <c r="L15" s="4"/>
      <c r="M15" s="4"/>
      <c r="N15" s="4"/>
      <c r="O15" s="4"/>
      <c r="P15" s="4"/>
      <c r="Q15" s="4"/>
      <c r="R15" s="4"/>
      <c r="S15" s="7"/>
      <c r="T15" s="7"/>
      <c r="U15" s="7"/>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7"/>
      <c r="AW15" s="7"/>
      <c r="AX15" s="229"/>
      <c r="AY15" s="229"/>
      <c r="AZ15" s="68"/>
      <c r="BA15" s="68"/>
      <c r="BB15" s="92"/>
      <c r="BC15" s="68"/>
      <c r="BD15" s="68"/>
      <c r="BE15" s="92"/>
      <c r="BF15" s="92"/>
      <c r="BG15" s="68"/>
      <c r="BH15" s="68"/>
      <c r="BI15" s="92"/>
      <c r="BJ15" s="68"/>
      <c r="BK15" s="68"/>
      <c r="BL15" s="230"/>
      <c r="BM15" s="230"/>
      <c r="BN15" s="92"/>
    </row>
    <row r="16" spans="1:68" ht="15" customHeight="1">
      <c r="A16" s="317"/>
      <c r="B16" s="2811" t="s">
        <v>277</v>
      </c>
      <c r="C16" s="2811"/>
      <c r="D16" s="2811"/>
      <c r="E16" s="2811"/>
      <c r="F16" s="2811"/>
      <c r="G16" s="2811"/>
      <c r="H16" s="2811"/>
      <c r="I16" s="2811"/>
      <c r="J16" s="2811"/>
      <c r="K16" s="2811"/>
      <c r="L16" s="2811"/>
      <c r="M16" s="2811"/>
      <c r="N16" s="2811"/>
      <c r="O16" s="2811"/>
      <c r="P16" s="2811"/>
      <c r="Q16" s="2811"/>
      <c r="R16" s="2811"/>
      <c r="S16" s="2811"/>
      <c r="T16" s="2936"/>
      <c r="U16" s="2936"/>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4"/>
      <c r="AV16" s="9"/>
      <c r="AW16" s="9"/>
      <c r="AX16" s="65"/>
      <c r="AY16" s="65"/>
      <c r="AZ16" s="68"/>
      <c r="BA16" s="68"/>
      <c r="BB16" s="92"/>
      <c r="BC16" s="68"/>
      <c r="BD16" s="68"/>
      <c r="BE16" s="92"/>
      <c r="BF16" s="92"/>
      <c r="BG16" s="68"/>
      <c r="BH16" s="68"/>
      <c r="BI16" s="92"/>
      <c r="BJ16" s="68"/>
      <c r="BK16" s="68"/>
      <c r="BL16" s="230"/>
      <c r="BM16" s="230"/>
      <c r="BN16" s="92"/>
    </row>
    <row r="17" spans="1:68" s="22" customFormat="1" ht="37.5" customHeight="1">
      <c r="A17" s="10"/>
      <c r="B17" s="2804" t="s">
        <v>278</v>
      </c>
      <c r="C17" s="2804"/>
      <c r="D17" s="2801" t="s">
        <v>279</v>
      </c>
      <c r="E17" s="2802"/>
      <c r="F17" s="2802"/>
      <c r="G17" s="2802"/>
      <c r="H17" s="2803"/>
      <c r="I17" s="2804" t="s">
        <v>171</v>
      </c>
      <c r="J17" s="2804"/>
      <c r="K17" s="2804"/>
      <c r="L17" s="2804"/>
      <c r="M17" s="2804"/>
      <c r="N17" s="2804"/>
      <c r="O17" s="2804"/>
      <c r="P17" s="2804"/>
      <c r="Q17" s="2804"/>
      <c r="R17" s="2804"/>
      <c r="S17" s="2804"/>
      <c r="T17" s="2804" t="s">
        <v>172</v>
      </c>
      <c r="U17" s="2804"/>
      <c r="V17" s="2804"/>
      <c r="W17" s="2804"/>
      <c r="X17" s="2804"/>
      <c r="Y17" s="2804"/>
      <c r="Z17" s="2804"/>
      <c r="AA17" s="2804"/>
      <c r="AB17" s="2804"/>
      <c r="AC17" s="2804"/>
      <c r="AD17" s="2804"/>
      <c r="AE17" s="2804"/>
      <c r="AF17" s="2804"/>
      <c r="AG17" s="2804"/>
      <c r="AH17" s="2804"/>
      <c r="AI17" s="2804"/>
      <c r="AJ17" s="2804"/>
      <c r="AK17" s="2804"/>
      <c r="AL17" s="2804"/>
      <c r="AM17" s="2804"/>
      <c r="AN17" s="2804"/>
      <c r="AO17" s="2804"/>
      <c r="AP17" s="2804"/>
      <c r="AQ17" s="2804"/>
      <c r="AR17" s="2804"/>
      <c r="AS17" s="2804"/>
      <c r="AT17" s="2804"/>
      <c r="AU17" s="403"/>
      <c r="AV17" s="2937" t="s">
        <v>3459</v>
      </c>
      <c r="AW17" s="2938"/>
      <c r="AX17" s="2938"/>
      <c r="AY17" s="2938"/>
      <c r="AZ17" s="2938"/>
      <c r="BA17" s="2939"/>
      <c r="BB17" s="92"/>
      <c r="BC17" s="68"/>
      <c r="BD17" s="68"/>
      <c r="BE17" s="92"/>
      <c r="BF17" s="92"/>
      <c r="BG17" s="68"/>
      <c r="BH17" s="68"/>
      <c r="BI17" s="92"/>
      <c r="BJ17" s="68"/>
      <c r="BK17" s="68"/>
      <c r="BL17" s="230"/>
      <c r="BM17" s="230"/>
      <c r="BN17" s="92"/>
      <c r="BO17" s="210"/>
      <c r="BP17" s="210"/>
    </row>
    <row r="18" spans="1:68" s="22" customFormat="1" ht="71.25" customHeight="1">
      <c r="A18" s="11"/>
      <c r="B18" s="2946" t="s">
        <v>184</v>
      </c>
      <c r="C18" s="2946"/>
      <c r="D18" s="2947" t="s">
        <v>607</v>
      </c>
      <c r="E18" s="2948"/>
      <c r="F18" s="2948"/>
      <c r="G18" s="2948"/>
      <c r="H18" s="2949"/>
      <c r="I18" s="2946" t="s">
        <v>166</v>
      </c>
      <c r="J18" s="2946"/>
      <c r="K18" s="2946"/>
      <c r="L18" s="2946"/>
      <c r="M18" s="2946"/>
      <c r="N18" s="2946"/>
      <c r="O18" s="2946"/>
      <c r="P18" s="2946"/>
      <c r="Q18" s="2946"/>
      <c r="R18" s="2946"/>
      <c r="S18" s="2946"/>
      <c r="T18" s="2946"/>
      <c r="U18" s="2946"/>
      <c r="V18" s="2946"/>
      <c r="W18" s="2946"/>
      <c r="X18" s="2946"/>
      <c r="Y18" s="2946"/>
      <c r="Z18" s="2946"/>
      <c r="AA18" s="2946"/>
      <c r="AB18" s="2946"/>
      <c r="AC18" s="2946"/>
      <c r="AD18" s="2946"/>
      <c r="AE18" s="2946"/>
      <c r="AF18" s="2946"/>
      <c r="AG18" s="2946"/>
      <c r="AH18" s="2946"/>
      <c r="AI18" s="2946"/>
      <c r="AJ18" s="2946"/>
      <c r="AK18" s="2946"/>
      <c r="AL18" s="2946"/>
      <c r="AM18" s="2946"/>
      <c r="AN18" s="2946"/>
      <c r="AO18" s="2946"/>
      <c r="AP18" s="2946"/>
      <c r="AQ18" s="2946"/>
      <c r="AR18" s="2946"/>
      <c r="AS18" s="2946"/>
      <c r="AT18" s="2946"/>
      <c r="AU18" s="404"/>
      <c r="AV18" s="2940"/>
      <c r="AW18" s="2941"/>
      <c r="AX18" s="2941"/>
      <c r="AY18" s="2941"/>
      <c r="AZ18" s="2941"/>
      <c r="BA18" s="2942"/>
      <c r="BB18" s="92"/>
      <c r="BC18" s="68"/>
      <c r="BD18" s="68"/>
      <c r="BE18" s="92"/>
      <c r="BF18" s="92"/>
      <c r="BG18" s="68"/>
      <c r="BH18" s="68"/>
      <c r="BI18" s="92"/>
      <c r="BJ18" s="68"/>
      <c r="BK18" s="68"/>
      <c r="BL18" s="230"/>
      <c r="BM18" s="230"/>
      <c r="BN18" s="92"/>
      <c r="BO18" s="210"/>
      <c r="BP18" s="210"/>
    </row>
    <row r="19" spans="1:68" s="22" customFormat="1" ht="71.25" customHeight="1">
      <c r="A19" s="11"/>
      <c r="B19" s="2946" t="s">
        <v>224</v>
      </c>
      <c r="C19" s="2946"/>
      <c r="D19" s="2947" t="s">
        <v>657</v>
      </c>
      <c r="E19" s="2948"/>
      <c r="F19" s="2948"/>
      <c r="G19" s="2948"/>
      <c r="H19" s="2949"/>
      <c r="I19" s="2946" t="s">
        <v>167</v>
      </c>
      <c r="J19" s="2946"/>
      <c r="K19" s="2946"/>
      <c r="L19" s="2946"/>
      <c r="M19" s="2946"/>
      <c r="N19" s="2946"/>
      <c r="O19" s="2946"/>
      <c r="P19" s="2946"/>
      <c r="Q19" s="2946"/>
      <c r="R19" s="2946"/>
      <c r="S19" s="2946"/>
      <c r="T19" s="2946"/>
      <c r="U19" s="2946"/>
      <c r="V19" s="2946"/>
      <c r="W19" s="2946"/>
      <c r="X19" s="2946"/>
      <c r="Y19" s="2946"/>
      <c r="Z19" s="2946"/>
      <c r="AA19" s="2946"/>
      <c r="AB19" s="2946"/>
      <c r="AC19" s="2946"/>
      <c r="AD19" s="2946"/>
      <c r="AE19" s="2946"/>
      <c r="AF19" s="2946"/>
      <c r="AG19" s="2946"/>
      <c r="AH19" s="2946"/>
      <c r="AI19" s="2946"/>
      <c r="AJ19" s="2946"/>
      <c r="AK19" s="2946"/>
      <c r="AL19" s="2946"/>
      <c r="AM19" s="2946"/>
      <c r="AN19" s="2946"/>
      <c r="AO19" s="2946"/>
      <c r="AP19" s="2946"/>
      <c r="AQ19" s="2946"/>
      <c r="AR19" s="2946"/>
      <c r="AS19" s="2946"/>
      <c r="AT19" s="2946"/>
      <c r="AU19" s="404"/>
      <c r="AV19" s="2943"/>
      <c r="AW19" s="2944"/>
      <c r="AX19" s="2944"/>
      <c r="AY19" s="2944"/>
      <c r="AZ19" s="2944"/>
      <c r="BA19" s="2945"/>
      <c r="BB19" s="92"/>
      <c r="BC19" s="68"/>
      <c r="BD19" s="68"/>
      <c r="BE19" s="92"/>
      <c r="BF19" s="92"/>
      <c r="BG19" s="68"/>
      <c r="BH19" s="68"/>
      <c r="BI19" s="92"/>
      <c r="BJ19" s="68"/>
      <c r="BK19" s="68"/>
      <c r="BL19" s="230"/>
      <c r="BM19" s="230"/>
      <c r="BN19" s="92"/>
      <c r="BO19" s="210"/>
      <c r="BP19" s="210"/>
    </row>
    <row r="20" spans="1:68" ht="25.5" customHeight="1">
      <c r="A20" s="11"/>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5"/>
      <c r="AY20" s="65"/>
      <c r="AZ20" s="68"/>
      <c r="BA20" s="68"/>
      <c r="BB20" s="92"/>
      <c r="BC20" s="68"/>
      <c r="BD20" s="68"/>
      <c r="BE20" s="92"/>
      <c r="BF20" s="92"/>
      <c r="BG20" s="68"/>
      <c r="BH20" s="68"/>
      <c r="BI20" s="92"/>
      <c r="BJ20" s="68"/>
      <c r="BK20" s="68"/>
      <c r="BL20" s="230"/>
      <c r="BM20" s="230"/>
      <c r="BN20" s="92"/>
    </row>
    <row r="21" spans="1:68">
      <c r="A21" s="13"/>
      <c r="B21" s="13"/>
      <c r="C21" s="13"/>
      <c r="D21" s="13"/>
      <c r="E21" s="14"/>
      <c r="F21" s="13"/>
      <c r="G21" s="13"/>
      <c r="H21" s="13"/>
      <c r="I21" s="13"/>
      <c r="J21" s="13"/>
      <c r="K21" s="13"/>
      <c r="L21" s="15"/>
      <c r="M21" s="15"/>
      <c r="N21" s="15"/>
      <c r="O21" s="15"/>
      <c r="P21" s="15"/>
      <c r="Q21" s="15"/>
      <c r="R21" s="15"/>
      <c r="S21" s="15"/>
      <c r="T21" s="15"/>
      <c r="U21" s="15"/>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9"/>
      <c r="AV21" s="15"/>
      <c r="AW21" s="15"/>
      <c r="AZ21" s="68"/>
      <c r="BA21" s="68"/>
      <c r="BB21" s="92"/>
      <c r="BC21" s="68"/>
      <c r="BD21" s="68"/>
      <c r="BE21" s="92"/>
      <c r="BF21" s="92"/>
      <c r="BG21" s="68"/>
      <c r="BH21" s="68"/>
      <c r="BI21" s="92"/>
      <c r="BJ21" s="68"/>
      <c r="BK21" s="68"/>
      <c r="BL21" s="230"/>
      <c r="BM21" s="230"/>
      <c r="BN21" s="92"/>
    </row>
    <row r="22" spans="1:68">
      <c r="A22" s="13"/>
      <c r="B22" s="13"/>
      <c r="C22" s="13"/>
      <c r="D22" s="13"/>
      <c r="E22" s="14"/>
      <c r="F22" s="13"/>
      <c r="G22" s="13"/>
      <c r="H22" s="13"/>
      <c r="I22" s="13"/>
      <c r="J22" s="13"/>
      <c r="K22" s="13"/>
      <c r="L22" s="15"/>
      <c r="M22" s="15"/>
      <c r="N22" s="15"/>
      <c r="O22" s="15"/>
      <c r="P22" s="15"/>
      <c r="Q22" s="15"/>
      <c r="R22" s="15"/>
      <c r="S22" s="15"/>
      <c r="T22" s="15"/>
      <c r="U22" s="15"/>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5"/>
      <c r="AW22" s="15"/>
      <c r="AZ22" s="68"/>
      <c r="BA22" s="68"/>
      <c r="BB22" s="92"/>
      <c r="BC22" s="68"/>
      <c r="BD22" s="68"/>
      <c r="BE22" s="92"/>
      <c r="BF22" s="92"/>
      <c r="BG22" s="68"/>
      <c r="BH22" s="68"/>
      <c r="BI22" s="92"/>
      <c r="BJ22" s="68"/>
      <c r="BK22" s="68"/>
      <c r="BL22" s="230"/>
      <c r="BM22" s="230"/>
      <c r="BN22" s="92"/>
    </row>
    <row r="23" spans="1:68">
      <c r="A23" s="13"/>
      <c r="B23" s="13"/>
      <c r="C23" s="13"/>
      <c r="D23" s="13"/>
      <c r="E23" s="14"/>
      <c r="F23" s="13"/>
      <c r="G23" s="13"/>
      <c r="H23" s="13"/>
      <c r="I23" s="13"/>
      <c r="J23" s="13"/>
      <c r="K23" s="13"/>
      <c r="L23" s="15"/>
      <c r="M23" s="15"/>
      <c r="N23" s="15"/>
      <c r="O23" s="15"/>
      <c r="P23" s="15"/>
      <c r="Q23" s="15"/>
      <c r="R23" s="15"/>
      <c r="S23" s="15"/>
      <c r="T23" s="15"/>
      <c r="U23" s="15"/>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5"/>
      <c r="AW23" s="15"/>
      <c r="AZ23" s="68"/>
      <c r="BA23" s="68"/>
      <c r="BB23" s="92"/>
      <c r="BC23" s="68"/>
      <c r="BD23" s="68"/>
      <c r="BE23" s="92"/>
      <c r="BF23" s="92"/>
      <c r="BG23" s="68"/>
      <c r="BH23" s="68"/>
      <c r="BI23" s="92"/>
      <c r="BJ23" s="68"/>
      <c r="BK23" s="68"/>
      <c r="BL23" s="230"/>
      <c r="BM23" s="230"/>
      <c r="BN23" s="92"/>
    </row>
    <row r="24" spans="1:68">
      <c r="A24" s="13"/>
      <c r="B24" s="13"/>
      <c r="C24" s="13"/>
      <c r="D24" s="13"/>
      <c r="E24" s="14"/>
      <c r="F24" s="13"/>
      <c r="G24" s="13"/>
      <c r="H24" s="13"/>
      <c r="I24" s="13"/>
      <c r="J24" s="13"/>
      <c r="K24" s="13"/>
      <c r="L24" s="15"/>
      <c r="M24" s="15"/>
      <c r="N24" s="15"/>
      <c r="O24" s="15"/>
      <c r="P24" s="15"/>
      <c r="Q24" s="15"/>
      <c r="R24" s="15"/>
      <c r="S24" s="15"/>
      <c r="T24" s="15"/>
      <c r="U24" s="15"/>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5"/>
      <c r="AW24" s="15"/>
      <c r="AZ24" s="68"/>
      <c r="BA24" s="68"/>
      <c r="BB24" s="92"/>
      <c r="BC24" s="68"/>
      <c r="BD24" s="68"/>
      <c r="BE24" s="92"/>
      <c r="BF24" s="92"/>
      <c r="BG24" s="68"/>
      <c r="BH24" s="68"/>
      <c r="BI24" s="92"/>
      <c r="BJ24" s="68"/>
      <c r="BK24" s="68"/>
      <c r="BL24" s="230"/>
      <c r="BM24" s="230"/>
      <c r="BN24" s="92"/>
    </row>
    <row r="25" spans="1:68">
      <c r="A25" s="13"/>
      <c r="B25" s="13"/>
      <c r="C25" s="13"/>
      <c r="D25" s="13"/>
      <c r="E25" s="14"/>
      <c r="F25" s="13"/>
      <c r="G25" s="13"/>
      <c r="H25" s="13"/>
      <c r="I25" s="13"/>
      <c r="J25" s="13"/>
      <c r="K25" s="13"/>
      <c r="L25" s="15"/>
      <c r="M25" s="15"/>
      <c r="N25" s="15"/>
      <c r="O25" s="15"/>
      <c r="P25" s="15"/>
      <c r="Q25" s="15"/>
      <c r="R25" s="15"/>
      <c r="S25" s="15"/>
      <c r="T25" s="15"/>
      <c r="U25" s="15"/>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5"/>
      <c r="AW25" s="15"/>
      <c r="AZ25" s="68"/>
      <c r="BA25" s="68"/>
      <c r="BB25" s="92"/>
      <c r="BC25" s="68"/>
      <c r="BD25" s="68"/>
      <c r="BE25" s="92"/>
      <c r="BF25" s="92"/>
      <c r="BG25" s="68"/>
      <c r="BH25" s="68"/>
      <c r="BI25" s="92"/>
      <c r="BJ25" s="68"/>
      <c r="BK25" s="68"/>
      <c r="BL25" s="230"/>
      <c r="BM25" s="230"/>
      <c r="BN25" s="92"/>
    </row>
    <row r="26" spans="1:68">
      <c r="A26" s="13"/>
      <c r="B26" s="13"/>
      <c r="C26" s="13"/>
      <c r="D26" s="13"/>
      <c r="E26" s="14"/>
      <c r="F26" s="13"/>
      <c r="G26" s="13"/>
      <c r="H26" s="13"/>
      <c r="I26" s="13"/>
      <c r="J26" s="13"/>
      <c r="K26" s="13"/>
      <c r="L26" s="15"/>
      <c r="M26" s="15"/>
      <c r="N26" s="15"/>
      <c r="O26" s="15"/>
      <c r="P26" s="15"/>
      <c r="Q26" s="15"/>
      <c r="R26" s="15"/>
      <c r="S26" s="15"/>
      <c r="T26" s="15"/>
      <c r="U26" s="15"/>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5"/>
      <c r="AW26" s="15"/>
      <c r="AZ26" s="68"/>
      <c r="BA26" s="68"/>
      <c r="BB26" s="92"/>
      <c r="BC26" s="68"/>
      <c r="BD26" s="68"/>
      <c r="BE26" s="92"/>
      <c r="BF26" s="92"/>
      <c r="BG26" s="68"/>
      <c r="BH26" s="68"/>
      <c r="BI26" s="92"/>
      <c r="BJ26" s="68"/>
      <c r="BK26" s="68"/>
      <c r="BL26" s="230"/>
      <c r="BM26" s="230"/>
      <c r="BN26" s="92"/>
    </row>
    <row r="27" spans="1:68">
      <c r="A27" s="13"/>
      <c r="B27" s="13"/>
      <c r="C27" s="13"/>
      <c r="D27" s="13"/>
      <c r="E27" s="14"/>
      <c r="F27" s="13"/>
      <c r="G27" s="13"/>
      <c r="H27" s="13"/>
      <c r="I27" s="13"/>
      <c r="J27" s="13"/>
      <c r="K27" s="13"/>
      <c r="L27" s="15"/>
      <c r="M27" s="15"/>
      <c r="N27" s="15"/>
      <c r="O27" s="15"/>
      <c r="P27" s="15"/>
      <c r="Q27" s="15"/>
      <c r="R27" s="15"/>
      <c r="S27" s="15"/>
      <c r="T27" s="15"/>
      <c r="U27" s="15"/>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5"/>
      <c r="AW27" s="15"/>
      <c r="AZ27" s="68"/>
      <c r="BA27" s="68"/>
      <c r="BB27" s="92"/>
      <c r="BC27" s="68"/>
      <c r="BD27" s="68"/>
      <c r="BE27" s="92"/>
      <c r="BF27" s="92"/>
      <c r="BG27" s="68"/>
      <c r="BH27" s="68"/>
      <c r="BI27" s="92"/>
      <c r="BJ27" s="68"/>
      <c r="BK27" s="68"/>
      <c r="BL27" s="230"/>
      <c r="BM27" s="230"/>
      <c r="BN27" s="92"/>
    </row>
    <row r="28" spans="1:68">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92"/>
      <c r="BG28" s="68"/>
      <c r="BH28" s="68"/>
      <c r="BI28" s="92"/>
      <c r="BJ28" s="68"/>
      <c r="BK28" s="68"/>
      <c r="BL28" s="230"/>
      <c r="BM28" s="230"/>
      <c r="BN28" s="92"/>
    </row>
    <row r="29" spans="1:68">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92"/>
      <c r="BG29" s="68"/>
      <c r="BH29" s="68"/>
      <c r="BI29" s="92"/>
      <c r="BJ29" s="68"/>
      <c r="BK29" s="68"/>
      <c r="BL29" s="230"/>
      <c r="BM29" s="230"/>
      <c r="BN29" s="92"/>
    </row>
    <row r="30" spans="1:68">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92"/>
      <c r="BG30" s="68"/>
      <c r="BH30" s="68"/>
      <c r="BI30" s="92"/>
      <c r="BJ30" s="68"/>
      <c r="BK30" s="68"/>
      <c r="BL30" s="230"/>
      <c r="BM30" s="230"/>
      <c r="BN30" s="92"/>
    </row>
    <row r="31" spans="1:68">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92"/>
      <c r="BG31" s="68"/>
      <c r="BH31" s="68"/>
      <c r="BI31" s="92"/>
      <c r="BJ31" s="68"/>
      <c r="BK31" s="68"/>
      <c r="BL31" s="230"/>
      <c r="BM31" s="230"/>
      <c r="BN31" s="92"/>
    </row>
    <row r="32" spans="1:68">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92"/>
      <c r="BG32" s="68"/>
      <c r="BH32" s="68"/>
      <c r="BI32" s="92"/>
      <c r="BJ32" s="68"/>
      <c r="BK32" s="68"/>
      <c r="BL32" s="230"/>
      <c r="BM32" s="230"/>
      <c r="BN32" s="92"/>
    </row>
    <row r="33" spans="1:66">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92"/>
      <c r="BG33" s="68"/>
      <c r="BH33" s="68"/>
      <c r="BI33" s="92"/>
      <c r="BJ33" s="68"/>
      <c r="BK33" s="68"/>
      <c r="BL33" s="230"/>
      <c r="BM33" s="230"/>
      <c r="BN33" s="92"/>
    </row>
    <row r="34" spans="1:66">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92"/>
      <c r="BG34" s="68"/>
      <c r="BH34" s="68"/>
      <c r="BI34" s="92"/>
      <c r="BJ34" s="68"/>
      <c r="BK34" s="68"/>
      <c r="BL34" s="230"/>
      <c r="BM34" s="230"/>
      <c r="BN34" s="92"/>
    </row>
    <row r="35" spans="1:66">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92"/>
      <c r="BG35" s="68"/>
      <c r="BH35" s="68"/>
      <c r="BI35" s="92"/>
      <c r="BJ35" s="68"/>
      <c r="BK35" s="68"/>
      <c r="BL35" s="230"/>
      <c r="BM35" s="230"/>
      <c r="BN35" s="92"/>
    </row>
    <row r="36" spans="1:66">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92"/>
      <c r="BG36" s="68"/>
      <c r="BH36" s="68"/>
      <c r="BI36" s="92"/>
      <c r="BJ36" s="68"/>
      <c r="BK36" s="68"/>
      <c r="BL36" s="230"/>
      <c r="BM36" s="230"/>
      <c r="BN36" s="92"/>
    </row>
    <row r="37" spans="1:66">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92"/>
      <c r="BG37" s="68"/>
      <c r="BH37" s="68"/>
      <c r="BI37" s="92"/>
      <c r="BJ37" s="68"/>
      <c r="BK37" s="68"/>
      <c r="BL37" s="230"/>
      <c r="BM37" s="230"/>
      <c r="BN37" s="92"/>
    </row>
    <row r="38" spans="1:66">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92"/>
      <c r="BG38" s="68"/>
      <c r="BH38" s="68"/>
      <c r="BI38" s="92"/>
      <c r="BJ38" s="68"/>
      <c r="BK38" s="68"/>
      <c r="BL38" s="230"/>
      <c r="BM38" s="230"/>
      <c r="BN38" s="92"/>
    </row>
    <row r="39" spans="1:66">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92"/>
      <c r="BG39" s="68"/>
      <c r="BH39" s="68"/>
      <c r="BI39" s="92"/>
      <c r="BJ39" s="68"/>
      <c r="BK39" s="68"/>
      <c r="BL39" s="230"/>
      <c r="BM39" s="230"/>
      <c r="BN39" s="92"/>
    </row>
    <row r="40" spans="1:66">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92"/>
      <c r="BG40" s="68"/>
      <c r="BH40" s="68"/>
      <c r="BI40" s="92"/>
      <c r="BJ40" s="68"/>
      <c r="BK40" s="68"/>
      <c r="BL40" s="230"/>
      <c r="BM40" s="230"/>
      <c r="BN40" s="92"/>
    </row>
    <row r="41" spans="1:66">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92"/>
      <c r="BG41" s="68"/>
      <c r="BH41" s="68"/>
      <c r="BI41" s="92"/>
      <c r="BJ41" s="68"/>
      <c r="BK41" s="68"/>
      <c r="BL41" s="230"/>
      <c r="BM41" s="230"/>
      <c r="BN41" s="92"/>
    </row>
    <row r="42" spans="1:66">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92"/>
      <c r="BG42" s="68"/>
      <c r="BH42" s="68"/>
      <c r="BI42" s="92"/>
      <c r="BJ42" s="68"/>
      <c r="BK42" s="68"/>
      <c r="BL42" s="230"/>
      <c r="BM42" s="230"/>
      <c r="BN42" s="92"/>
    </row>
    <row r="43" spans="1:66">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92"/>
      <c r="BG43" s="68"/>
      <c r="BH43" s="68"/>
      <c r="BI43" s="92"/>
      <c r="BJ43" s="68"/>
      <c r="BK43" s="68"/>
      <c r="BL43" s="230"/>
      <c r="BM43" s="230"/>
      <c r="BN43" s="92"/>
    </row>
    <row r="44" spans="1:66">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92"/>
      <c r="BG44" s="68"/>
      <c r="BH44" s="68"/>
      <c r="BI44" s="92"/>
      <c r="BJ44" s="68"/>
      <c r="BK44" s="68"/>
      <c r="BL44" s="230"/>
      <c r="BM44" s="230"/>
      <c r="BN44" s="92"/>
    </row>
    <row r="45" spans="1:66">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92"/>
      <c r="BG45" s="68"/>
      <c r="BH45" s="68"/>
      <c r="BI45" s="92"/>
      <c r="BJ45" s="68"/>
      <c r="BK45" s="68"/>
      <c r="BL45" s="230"/>
      <c r="BM45" s="230"/>
      <c r="BN45" s="92"/>
    </row>
    <row r="46" spans="1:66">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92"/>
      <c r="BG46" s="68"/>
      <c r="BH46" s="68"/>
      <c r="BI46" s="92"/>
      <c r="BJ46" s="68"/>
      <c r="BK46" s="68"/>
      <c r="BL46" s="230"/>
      <c r="BM46" s="230"/>
      <c r="BN46" s="92"/>
    </row>
    <row r="47" spans="1:66">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92"/>
      <c r="BG47" s="68"/>
      <c r="BH47" s="68"/>
      <c r="BI47" s="92"/>
      <c r="BJ47" s="68"/>
      <c r="BK47" s="68"/>
      <c r="BL47" s="230"/>
      <c r="BM47" s="230"/>
      <c r="BN47" s="92"/>
    </row>
    <row r="48" spans="1:66">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92"/>
      <c r="BG48" s="68"/>
      <c r="BH48" s="68"/>
      <c r="BI48" s="92"/>
      <c r="BJ48" s="68"/>
      <c r="BK48" s="68"/>
      <c r="BL48" s="230"/>
      <c r="BM48" s="230"/>
      <c r="BN48" s="92"/>
    </row>
    <row r="49" spans="1:66">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92"/>
      <c r="BG49" s="68"/>
      <c r="BH49" s="68"/>
      <c r="BI49" s="92"/>
      <c r="BJ49" s="68"/>
      <c r="BK49" s="68"/>
      <c r="BL49" s="230"/>
      <c r="BM49" s="230"/>
      <c r="BN49" s="92"/>
    </row>
    <row r="50" spans="1:66">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92"/>
      <c r="BG50" s="68"/>
      <c r="BH50" s="68"/>
      <c r="BI50" s="92"/>
      <c r="BJ50" s="68"/>
      <c r="BK50" s="68"/>
      <c r="BL50" s="230"/>
      <c r="BM50" s="230"/>
      <c r="BN50" s="92"/>
    </row>
    <row r="51" spans="1:66">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92"/>
      <c r="BG51" s="68"/>
      <c r="BH51" s="68"/>
      <c r="BI51" s="92"/>
      <c r="BJ51" s="68"/>
      <c r="BK51" s="68"/>
      <c r="BL51" s="230"/>
      <c r="BM51" s="230"/>
      <c r="BN51" s="92"/>
    </row>
    <row r="52" spans="1:66">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92"/>
      <c r="BG52" s="68"/>
      <c r="BH52" s="68"/>
      <c r="BI52" s="92"/>
      <c r="BJ52" s="68"/>
      <c r="BK52" s="68"/>
      <c r="BL52" s="230"/>
      <c r="BM52" s="230"/>
      <c r="BN52" s="92"/>
    </row>
    <row r="53" spans="1:66">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92"/>
      <c r="BG53" s="68"/>
      <c r="BH53" s="68"/>
      <c r="BI53" s="92"/>
      <c r="BJ53" s="68"/>
      <c r="BK53" s="68"/>
      <c r="BL53" s="230"/>
      <c r="BM53" s="230"/>
      <c r="BN53" s="92"/>
    </row>
    <row r="54" spans="1:66">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92"/>
      <c r="BG54" s="68"/>
      <c r="BH54" s="68"/>
      <c r="BI54" s="92"/>
      <c r="BJ54" s="68"/>
      <c r="BK54" s="68"/>
      <c r="BL54" s="230"/>
      <c r="BM54" s="230"/>
      <c r="BN54" s="92"/>
    </row>
    <row r="55" spans="1:66">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92"/>
      <c r="BG55" s="68"/>
      <c r="BH55" s="68"/>
      <c r="BI55" s="92"/>
      <c r="BJ55" s="68"/>
      <c r="BK55" s="68"/>
      <c r="BL55" s="230"/>
      <c r="BM55" s="230"/>
      <c r="BN55" s="92"/>
    </row>
    <row r="56" spans="1:66">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92"/>
      <c r="BG56" s="68"/>
      <c r="BH56" s="68"/>
      <c r="BI56" s="92"/>
      <c r="BJ56" s="68"/>
      <c r="BK56" s="68"/>
      <c r="BL56" s="230"/>
      <c r="BM56" s="230"/>
      <c r="BN56" s="92"/>
    </row>
    <row r="57" spans="1:66">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92"/>
      <c r="BG57" s="68"/>
      <c r="BH57" s="68"/>
      <c r="BI57" s="92"/>
      <c r="BJ57" s="68"/>
      <c r="BK57" s="68"/>
      <c r="BL57" s="230"/>
      <c r="BM57" s="230"/>
      <c r="BN57" s="92"/>
    </row>
    <row r="58" spans="1:66">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92"/>
      <c r="BG58" s="68"/>
      <c r="BH58" s="68"/>
      <c r="BI58" s="92"/>
      <c r="BJ58" s="68"/>
      <c r="BK58" s="68"/>
      <c r="BL58" s="230"/>
      <c r="BM58" s="230"/>
      <c r="BN58" s="92"/>
    </row>
    <row r="59" spans="1:66">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92"/>
      <c r="BG59" s="68"/>
      <c r="BH59" s="68"/>
      <c r="BI59" s="92"/>
      <c r="BJ59" s="68"/>
      <c r="BK59" s="68"/>
      <c r="BL59" s="230"/>
      <c r="BM59" s="230"/>
      <c r="BN59" s="92"/>
    </row>
    <row r="60" spans="1:66">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92"/>
      <c r="BG60" s="68"/>
      <c r="BH60" s="68"/>
      <c r="BI60" s="92"/>
      <c r="BJ60" s="68"/>
      <c r="BK60" s="68"/>
      <c r="BL60" s="230"/>
      <c r="BM60" s="230"/>
      <c r="BN60" s="92"/>
    </row>
    <row r="61" spans="1:66">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92"/>
      <c r="BG61" s="68"/>
      <c r="BH61" s="68"/>
      <c r="BI61" s="92"/>
      <c r="BJ61" s="68"/>
      <c r="BK61" s="68"/>
      <c r="BL61" s="230"/>
      <c r="BM61" s="230"/>
      <c r="BN61" s="92"/>
    </row>
    <row r="62" spans="1:66">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92"/>
      <c r="BG62" s="68"/>
      <c r="BH62" s="68"/>
      <c r="BI62" s="92"/>
      <c r="BJ62" s="68"/>
      <c r="BK62" s="68"/>
      <c r="BL62" s="230"/>
      <c r="BM62" s="230"/>
      <c r="BN62" s="92"/>
    </row>
    <row r="63" spans="1:66">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92"/>
      <c r="BG63" s="68"/>
      <c r="BH63" s="68"/>
      <c r="BI63" s="92"/>
      <c r="BJ63" s="68"/>
      <c r="BK63" s="68"/>
      <c r="BL63" s="230"/>
      <c r="BM63" s="230"/>
      <c r="BN63" s="92"/>
    </row>
    <row r="64" spans="1:66">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92"/>
      <c r="BG64" s="68"/>
      <c r="BH64" s="68"/>
      <c r="BI64" s="92"/>
      <c r="BJ64" s="68"/>
      <c r="BK64" s="68"/>
      <c r="BL64" s="230"/>
      <c r="BM64" s="230"/>
      <c r="BN64" s="92"/>
    </row>
    <row r="65" spans="1:66">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92"/>
      <c r="BG65" s="68"/>
      <c r="BH65" s="68"/>
      <c r="BI65" s="92"/>
      <c r="BJ65" s="68"/>
      <c r="BK65" s="68"/>
      <c r="BL65" s="230"/>
      <c r="BM65" s="230"/>
      <c r="BN65" s="92"/>
    </row>
    <row r="66" spans="1:66">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92"/>
      <c r="BG66" s="68"/>
      <c r="BH66" s="68"/>
      <c r="BI66" s="92"/>
      <c r="BJ66" s="68"/>
      <c r="BK66" s="68"/>
      <c r="BL66" s="230"/>
      <c r="BM66" s="230"/>
      <c r="BN66" s="92"/>
    </row>
    <row r="67" spans="1:66">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92"/>
      <c r="BG67" s="68"/>
      <c r="BH67" s="68"/>
      <c r="BI67" s="92"/>
      <c r="BJ67" s="68"/>
      <c r="BK67" s="68"/>
      <c r="BL67" s="230"/>
      <c r="BM67" s="230"/>
      <c r="BN67" s="92"/>
    </row>
    <row r="68" spans="1:66">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92"/>
      <c r="BG68" s="68"/>
      <c r="BH68" s="68"/>
      <c r="BI68" s="92"/>
      <c r="BJ68" s="68"/>
      <c r="BK68" s="68"/>
      <c r="BL68" s="230"/>
      <c r="BM68" s="230"/>
      <c r="BN68" s="92"/>
    </row>
    <row r="69" spans="1:66">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92"/>
      <c r="BG69" s="68"/>
      <c r="BH69" s="68"/>
      <c r="BI69" s="92"/>
      <c r="BJ69" s="68"/>
      <c r="BK69" s="68"/>
      <c r="BL69" s="230"/>
      <c r="BM69" s="230"/>
      <c r="BN69" s="92"/>
    </row>
    <row r="70" spans="1:66">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92"/>
      <c r="BG70" s="68"/>
      <c r="BH70" s="68"/>
      <c r="BI70" s="92"/>
      <c r="BJ70" s="68"/>
      <c r="BK70" s="68"/>
      <c r="BL70" s="230"/>
      <c r="BM70" s="230"/>
      <c r="BN70" s="92"/>
    </row>
    <row r="71" spans="1:66">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92"/>
      <c r="BG71" s="68"/>
      <c r="BH71" s="68"/>
      <c r="BI71" s="92"/>
      <c r="BJ71" s="68"/>
      <c r="BK71" s="68"/>
      <c r="BL71" s="230"/>
      <c r="BM71" s="230"/>
      <c r="BN71" s="92"/>
    </row>
    <row r="72" spans="1:66">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92"/>
      <c r="BG72" s="68"/>
      <c r="BH72" s="68"/>
      <c r="BI72" s="92"/>
      <c r="BJ72" s="68"/>
      <c r="BK72" s="68"/>
      <c r="BL72" s="230"/>
      <c r="BM72" s="230"/>
      <c r="BN72" s="92"/>
    </row>
    <row r="73" spans="1:66">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92"/>
      <c r="BG73" s="68"/>
      <c r="BH73" s="68"/>
      <c r="BI73" s="92"/>
      <c r="BJ73" s="68"/>
      <c r="BK73" s="68"/>
      <c r="BL73" s="230"/>
      <c r="BM73" s="230"/>
      <c r="BN73" s="92"/>
    </row>
    <row r="74" spans="1:66">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92"/>
      <c r="BG74" s="68"/>
      <c r="BH74" s="68"/>
      <c r="BI74" s="92"/>
      <c r="BJ74" s="68"/>
      <c r="BK74" s="68"/>
      <c r="BL74" s="230"/>
      <c r="BM74" s="230"/>
      <c r="BN74" s="92"/>
    </row>
    <row r="75" spans="1:66">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92"/>
      <c r="BG75" s="68"/>
      <c r="BH75" s="68"/>
      <c r="BI75" s="92"/>
      <c r="BJ75" s="68"/>
      <c r="BK75" s="68"/>
      <c r="BL75" s="230"/>
      <c r="BM75" s="230"/>
      <c r="BN75" s="92"/>
    </row>
    <row r="76" spans="1:66">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92"/>
      <c r="BG76" s="68"/>
      <c r="BH76" s="68"/>
      <c r="BI76" s="92"/>
      <c r="BJ76" s="68"/>
      <c r="BK76" s="68"/>
      <c r="BL76" s="230"/>
      <c r="BM76" s="230"/>
      <c r="BN76" s="92"/>
    </row>
    <row r="77" spans="1:66">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92"/>
      <c r="BG77" s="68"/>
      <c r="BH77" s="68"/>
      <c r="BI77" s="92"/>
      <c r="BJ77" s="68"/>
      <c r="BK77" s="68"/>
      <c r="BL77" s="230"/>
      <c r="BM77" s="230"/>
      <c r="BN77" s="92"/>
    </row>
    <row r="78" spans="1:66">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92"/>
      <c r="BG78" s="68"/>
      <c r="BH78" s="68"/>
      <c r="BI78" s="92"/>
      <c r="BJ78" s="68"/>
      <c r="BK78" s="68"/>
      <c r="BL78" s="230"/>
      <c r="BM78" s="230"/>
      <c r="BN78" s="92"/>
    </row>
    <row r="79" spans="1:66">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92"/>
      <c r="BG79" s="68"/>
      <c r="BH79" s="68"/>
      <c r="BI79" s="92"/>
      <c r="BJ79" s="68"/>
      <c r="BK79" s="68"/>
      <c r="BL79" s="230"/>
      <c r="BM79" s="230"/>
      <c r="BN79" s="92"/>
    </row>
    <row r="80" spans="1:66">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92"/>
      <c r="BG80" s="68"/>
      <c r="BH80" s="68"/>
      <c r="BI80" s="92"/>
      <c r="BJ80" s="68"/>
      <c r="BK80" s="68"/>
      <c r="BL80" s="230"/>
      <c r="BM80" s="230"/>
      <c r="BN80" s="92"/>
    </row>
    <row r="81" spans="1:68">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92"/>
      <c r="BG81" s="68"/>
      <c r="BH81" s="68"/>
      <c r="BI81" s="92"/>
      <c r="BJ81" s="68"/>
      <c r="BK81" s="68"/>
      <c r="BL81" s="230"/>
      <c r="BM81" s="230"/>
      <c r="BN81" s="92"/>
    </row>
    <row r="82" spans="1:68">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92"/>
      <c r="BG82" s="68"/>
      <c r="BH82" s="68"/>
      <c r="BI82" s="92"/>
      <c r="BJ82" s="68"/>
      <c r="BK82" s="68"/>
      <c r="BL82" s="230"/>
      <c r="BM82" s="230"/>
      <c r="BN82" s="92"/>
    </row>
    <row r="83" spans="1:68">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92"/>
      <c r="BG83" s="68"/>
      <c r="BH83" s="68"/>
      <c r="BI83" s="92"/>
      <c r="BJ83" s="68"/>
      <c r="BK83" s="68"/>
      <c r="BL83" s="230"/>
      <c r="BM83" s="230"/>
      <c r="BN83" s="92"/>
    </row>
    <row r="84" spans="1:68">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92"/>
      <c r="BG84" s="68"/>
      <c r="BH84" s="68"/>
      <c r="BI84" s="92"/>
      <c r="BJ84" s="68"/>
      <c r="BK84" s="68"/>
      <c r="BL84" s="230"/>
      <c r="BM84" s="230"/>
      <c r="BN84" s="92"/>
    </row>
    <row r="85" spans="1:68">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92"/>
      <c r="BG85" s="68"/>
      <c r="BH85" s="68"/>
      <c r="BI85" s="92"/>
      <c r="BJ85" s="68"/>
      <c r="BK85" s="68"/>
      <c r="BL85" s="230"/>
      <c r="BM85" s="230"/>
      <c r="BN85" s="92"/>
    </row>
    <row r="86" spans="1:68">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92"/>
      <c r="BG86" s="68"/>
      <c r="BH86" s="68"/>
      <c r="BI86" s="92"/>
      <c r="BJ86" s="68"/>
      <c r="BK86" s="68"/>
      <c r="BL86" s="230"/>
      <c r="BM86" s="230"/>
      <c r="BN86" s="92"/>
    </row>
    <row r="87" spans="1:68">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92"/>
      <c r="BG87" s="68"/>
      <c r="BH87" s="68"/>
      <c r="BI87" s="92"/>
      <c r="BJ87" s="68"/>
      <c r="BK87" s="68"/>
      <c r="BL87" s="230"/>
      <c r="BM87" s="230"/>
      <c r="BN87" s="92"/>
    </row>
    <row r="88" spans="1:68">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row>
    <row r="89" spans="1:68">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row>
    <row r="90" spans="1:68">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row>
    <row r="91" spans="1:68" ht="11.25">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231"/>
      <c r="BA91" s="231"/>
      <c r="BB91" s="231"/>
      <c r="BC91" s="231"/>
      <c r="BD91" s="231"/>
      <c r="BE91" s="231"/>
      <c r="BF91" s="231"/>
      <c r="BG91" s="231"/>
      <c r="BH91" s="231"/>
      <c r="BI91" s="231"/>
      <c r="BJ91" s="231"/>
      <c r="BK91" s="231"/>
      <c r="BL91" s="231"/>
      <c r="BM91" s="231"/>
      <c r="BN91" s="231"/>
      <c r="BO91" s="231"/>
      <c r="BP91" s="231"/>
    </row>
    <row r="92" spans="1:68" ht="11.25">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231"/>
      <c r="BA92" s="231"/>
      <c r="BB92" s="231"/>
      <c r="BC92" s="231"/>
      <c r="BD92" s="231"/>
      <c r="BE92" s="231"/>
      <c r="BF92" s="231"/>
      <c r="BG92" s="231"/>
      <c r="BH92" s="231"/>
      <c r="BI92" s="231"/>
      <c r="BJ92" s="231"/>
      <c r="BK92" s="231"/>
      <c r="BL92" s="231"/>
      <c r="BM92" s="231"/>
      <c r="BN92" s="231"/>
      <c r="BO92" s="231"/>
      <c r="BP92" s="231"/>
    </row>
    <row r="93" spans="1:68" ht="11.25">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231"/>
      <c r="BA93" s="231"/>
      <c r="BB93" s="231"/>
      <c r="BC93" s="231"/>
      <c r="BD93" s="231"/>
      <c r="BE93" s="231"/>
      <c r="BF93" s="231"/>
      <c r="BG93" s="231"/>
      <c r="BH93" s="231"/>
      <c r="BI93" s="231"/>
      <c r="BJ93" s="231"/>
      <c r="BK93" s="231"/>
      <c r="BL93" s="231"/>
      <c r="BM93" s="231"/>
      <c r="BN93" s="231"/>
      <c r="BO93" s="231"/>
      <c r="BP93" s="231"/>
    </row>
    <row r="94" spans="1:68" ht="11.25">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c r="AZ94" s="231"/>
      <c r="BA94" s="231"/>
      <c r="BB94" s="231"/>
      <c r="BC94" s="231"/>
      <c r="BD94" s="231"/>
      <c r="BE94" s="231"/>
      <c r="BF94" s="231"/>
      <c r="BG94" s="231"/>
      <c r="BH94" s="231"/>
      <c r="BI94" s="231"/>
      <c r="BJ94" s="231"/>
      <c r="BK94" s="231"/>
      <c r="BL94" s="231"/>
      <c r="BM94" s="231"/>
      <c r="BN94" s="231"/>
      <c r="BO94" s="231"/>
      <c r="BP94" s="231"/>
    </row>
    <row r="95" spans="1:68" ht="11.25">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c r="AZ95" s="231"/>
      <c r="BA95" s="231"/>
      <c r="BB95" s="231"/>
      <c r="BC95" s="231"/>
      <c r="BD95" s="231"/>
      <c r="BE95" s="231"/>
      <c r="BF95" s="231"/>
      <c r="BG95" s="231"/>
      <c r="BH95" s="231"/>
      <c r="BI95" s="231"/>
      <c r="BJ95" s="231"/>
      <c r="BK95" s="231"/>
      <c r="BL95" s="231"/>
      <c r="BM95" s="231"/>
      <c r="BN95" s="231"/>
      <c r="BO95" s="231"/>
      <c r="BP95" s="231"/>
    </row>
    <row r="96" spans="1:68" ht="11.25">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c r="AZ96" s="231"/>
      <c r="BA96" s="231"/>
      <c r="BB96" s="231"/>
      <c r="BC96" s="231"/>
      <c r="BD96" s="231"/>
      <c r="BE96" s="231"/>
      <c r="BF96" s="231"/>
      <c r="BG96" s="231"/>
      <c r="BH96" s="231"/>
      <c r="BI96" s="231"/>
      <c r="BJ96" s="231"/>
      <c r="BK96" s="231"/>
      <c r="BL96" s="231"/>
      <c r="BM96" s="231"/>
      <c r="BN96" s="231"/>
      <c r="BO96" s="231"/>
      <c r="BP96" s="231"/>
    </row>
    <row r="97" spans="1:68" ht="11.25">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c r="AZ97" s="231"/>
      <c r="BA97" s="231"/>
      <c r="BB97" s="231"/>
      <c r="BC97" s="231"/>
      <c r="BD97" s="231"/>
      <c r="BE97" s="231"/>
      <c r="BF97" s="231"/>
      <c r="BG97" s="231"/>
      <c r="BH97" s="231"/>
      <c r="BI97" s="231"/>
      <c r="BJ97" s="231"/>
      <c r="BK97" s="231"/>
      <c r="BL97" s="231"/>
      <c r="BM97" s="231"/>
      <c r="BN97" s="231"/>
      <c r="BO97" s="231"/>
      <c r="BP97" s="231"/>
    </row>
    <row r="98" spans="1:68"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c r="BM98" s="231"/>
      <c r="BN98" s="231"/>
      <c r="BO98" s="231"/>
      <c r="BP98" s="231"/>
    </row>
    <row r="99" spans="1:68">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row>
    <row r="100" spans="1:68">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row>
    <row r="101" spans="1:68">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row>
    <row r="102" spans="1:68">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row>
    <row r="103" spans="1:68">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row>
    <row r="104" spans="1:68">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row>
    <row r="105" spans="1:68">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row>
    <row r="106" spans="1:68">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8">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8">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8">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8">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8">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8">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sheetData>
  <sheetProtection formatCells="0" formatColumns="0" formatRows="0" insertRows="0" deleteRows="0" sort="0" autoFilter="0" pivotTables="0"/>
  <mergeCells count="73">
    <mergeCell ref="BH3:BI3"/>
    <mergeCell ref="A1:AB1"/>
    <mergeCell ref="AC1:AU4"/>
    <mergeCell ref="BB1:BE1"/>
    <mergeCell ref="BF1:BI1"/>
    <mergeCell ref="A2:AB2"/>
    <mergeCell ref="BB2:BC2"/>
    <mergeCell ref="BD2:BE2"/>
    <mergeCell ref="BF2:BG2"/>
    <mergeCell ref="BH2:BI2"/>
    <mergeCell ref="A3:D3"/>
    <mergeCell ref="E3:U3"/>
    <mergeCell ref="V3:AB3"/>
    <mergeCell ref="BB3:BC3"/>
    <mergeCell ref="BD3:BE3"/>
    <mergeCell ref="BF3:BG3"/>
    <mergeCell ref="BH4:BI4"/>
    <mergeCell ref="B6:C6"/>
    <mergeCell ref="D6:H6"/>
    <mergeCell ref="I6:K6"/>
    <mergeCell ref="L6:U6"/>
    <mergeCell ref="V6:Z6"/>
    <mergeCell ref="AA6:BA6"/>
    <mergeCell ref="A4:D4"/>
    <mergeCell ref="E4:U4"/>
    <mergeCell ref="V4:AB4"/>
    <mergeCell ref="BB4:BC4"/>
    <mergeCell ref="BD4:BE4"/>
    <mergeCell ref="BF4:BG4"/>
    <mergeCell ref="BJ7:BN7"/>
    <mergeCell ref="B8:K8"/>
    <mergeCell ref="L8:R8"/>
    <mergeCell ref="S8:AV8"/>
    <mergeCell ref="AW8:AZ8"/>
    <mergeCell ref="BJ8:BN8"/>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B13:D13"/>
    <mergeCell ref="F13:H13"/>
    <mergeCell ref="I13:K13"/>
    <mergeCell ref="S13:U13"/>
    <mergeCell ref="B14:D14"/>
    <mergeCell ref="F14:H14"/>
    <mergeCell ref="I14:K14"/>
    <mergeCell ref="S14:U14"/>
    <mergeCell ref="AV17:BA19"/>
    <mergeCell ref="B18:C18"/>
    <mergeCell ref="D18:H18"/>
    <mergeCell ref="I18:S18"/>
    <mergeCell ref="T18:AT18"/>
    <mergeCell ref="B19:C19"/>
    <mergeCell ref="D19:H19"/>
    <mergeCell ref="I19:S19"/>
    <mergeCell ref="T19:AT19"/>
    <mergeCell ref="B16:U16"/>
    <mergeCell ref="B17:C17"/>
    <mergeCell ref="D17:H17"/>
    <mergeCell ref="I17:S17"/>
    <mergeCell ref="T17:AT17"/>
  </mergeCells>
  <dataValidations count="8">
    <dataValidation type="list" allowBlank="1" showInputMessage="1" showErrorMessage="1" sqref="BE10:BE14 BI10:BI14">
      <formula1>Efectividad</formula1>
    </dataValidation>
    <dataValidation type="list" allowBlank="1" showInputMessage="1" sqref="AV10:AV14">
      <formula1>Periodo</formula1>
    </dataValidation>
    <dataValidation type="list" showInputMessage="1" showErrorMessage="1" sqref="V10:AF14">
      <formula1>Efectividad</formula1>
    </dataValidation>
    <dataValidation showInputMessage="1" showErrorMessage="1" sqref="AG10:AT14"/>
    <dataValidation type="list" allowBlank="1" showInputMessage="1" showErrorMessage="1" sqref="M10:N14">
      <formula1>Impacto</formula1>
    </dataValidation>
    <dataValidation type="list" showInputMessage="1" showErrorMessage="1" sqref="L10:L14">
      <formula1>Probabilidad</formula1>
    </dataValidation>
    <dataValidation type="list" sqref="BD4:BE4 BH4:BI4">
      <formula1>Monitoreo</formula1>
    </dataValidation>
    <dataValidation type="list" allowBlank="1" showInputMessage="1" showErrorMessage="1" sqref="L6">
      <formula1>Proceso</formula1>
    </dataValidation>
  </dataValidations>
  <printOptions horizontalCentered="1"/>
  <pageMargins left="0.19685039370078741" right="0.43307086614173229" top="0.74803149606299213" bottom="0.35433070866141736" header="0.31496062992125984" footer="0.31496062992125984"/>
  <pageSetup paperSize="14" scale="48" fitToHeight="2" orientation="landscape" r:id="rId1"/>
  <headerFooter>
    <oddFooter>&amp;L&amp;"Segoe UI,Normal"&amp;9Formato: FO-AC-07 Versión: 3&amp;C&amp;"Segoe UI,Normal"&amp;9Página &amp;P</oddFooter>
  </headerFooter>
  <rowBreaks count="1" manualBreakCount="1">
    <brk id="12" max="60"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20"/>
  <sheetViews>
    <sheetView showGridLines="0" view="pageBreakPreview" zoomScaleNormal="70" zoomScaleSheetLayoutView="100" workbookViewId="0">
      <pane ySplit="9" topLeftCell="A10" activePane="bottomLeft" state="frozen"/>
      <selection activeCell="BA1" sqref="BA1"/>
      <selection pane="bottomLeft" sqref="A1:AB1"/>
    </sheetView>
  </sheetViews>
  <sheetFormatPr baseColWidth="10" defaultRowHeight="15"/>
  <cols>
    <col min="1" max="1" width="1.140625" style="16" customWidth="1"/>
    <col min="2" max="3" width="5.42578125" style="16" customWidth="1"/>
    <col min="4" max="4" width="15.5703125" style="16" customWidth="1"/>
    <col min="5" max="5" width="7.28515625" style="17" customWidth="1"/>
    <col min="6" max="7" width="4.5703125" style="16" customWidth="1"/>
    <col min="8" max="8" width="22" style="16" customWidth="1"/>
    <col min="9" max="11" width="4.570312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0" width="7.140625" style="18" customWidth="1"/>
    <col min="21" max="21" width="38.710937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28.28515625" style="18" customWidth="1"/>
    <col min="50" max="50" width="41.85546875" style="21" customWidth="1"/>
    <col min="51" max="51" width="4.7109375" style="21" customWidth="1"/>
    <col min="52" max="52" width="23.140625" style="210" customWidth="1"/>
    <col min="53" max="53" width="42" style="210" customWidth="1"/>
    <col min="54" max="54" width="6.140625" style="210" customWidth="1"/>
    <col min="55" max="55" width="52.7109375" style="210" customWidth="1"/>
    <col min="56" max="56" width="42.7109375" style="210" customWidth="1"/>
    <col min="57" max="57" width="5.85546875" style="210" customWidth="1"/>
    <col min="58" max="58" width="31.5703125" style="210" customWidth="1"/>
    <col min="59" max="59" width="16.140625" style="210" customWidth="1"/>
    <col min="60" max="61" width="9.28515625" style="210" customWidth="1"/>
    <col min="62" max="62" width="11.140625" style="210" customWidth="1"/>
    <col min="63" max="63" width="2.140625" style="210" customWidth="1"/>
    <col min="64" max="64" width="11.42578125" style="210"/>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858" t="str">
        <f>UPPER([10]Control!A2)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22">
        <v>2019</v>
      </c>
      <c r="BA2" s="208"/>
      <c r="BB2" s="2830" t="s">
        <v>138</v>
      </c>
      <c r="BC2" s="2831"/>
      <c r="BD2" s="2861" t="str">
        <f>L6</f>
        <v>GESTIÓN CONTRACTUAL</v>
      </c>
      <c r="BE2" s="2862"/>
      <c r="BF2" s="586"/>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1:64" ht="15.75" customHeight="1" thickBot="1">
      <c r="A4" s="2832" t="str">
        <f>[10]Control!A4</f>
        <v>FO-PE-05</v>
      </c>
      <c r="B4" s="2833"/>
      <c r="C4" s="2833"/>
      <c r="D4" s="2834"/>
      <c r="E4" s="2835" t="str">
        <f>[10]Control!C4</f>
        <v>Planeación Estratégica</v>
      </c>
      <c r="F4" s="2833"/>
      <c r="G4" s="2833"/>
      <c r="H4" s="2833"/>
      <c r="I4" s="2833"/>
      <c r="J4" s="2833"/>
      <c r="K4" s="2833"/>
      <c r="L4" s="2833"/>
      <c r="M4" s="2833"/>
      <c r="N4" s="2833"/>
      <c r="O4" s="2833"/>
      <c r="P4" s="2833"/>
      <c r="Q4" s="2833"/>
      <c r="R4" s="2833"/>
      <c r="S4" s="2833"/>
      <c r="T4" s="2833"/>
      <c r="U4" s="2834"/>
      <c r="V4" s="2835">
        <f>[10]Control!H4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548">
        <v>43581</v>
      </c>
      <c r="BA4" s="208"/>
      <c r="BB4" s="2836">
        <v>43708</v>
      </c>
      <c r="BC4" s="2837"/>
      <c r="BD4" s="2838" t="s">
        <v>3679</v>
      </c>
      <c r="BE4" s="2838"/>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48.75" customHeight="1">
      <c r="A6" s="2"/>
      <c r="B6" s="2839" t="s">
        <v>57</v>
      </c>
      <c r="C6" s="2840"/>
      <c r="D6" s="2805" t="s">
        <v>58</v>
      </c>
      <c r="E6" s="2806"/>
      <c r="F6" s="2806"/>
      <c r="G6" s="2806"/>
      <c r="H6" s="2807"/>
      <c r="I6" s="2839" t="s">
        <v>138</v>
      </c>
      <c r="J6" s="2841"/>
      <c r="K6" s="2840"/>
      <c r="L6" s="2842" t="s">
        <v>90</v>
      </c>
      <c r="M6" s="2843"/>
      <c r="N6" s="2843"/>
      <c r="O6" s="2843"/>
      <c r="P6" s="2843"/>
      <c r="Q6" s="2843"/>
      <c r="R6" s="2843"/>
      <c r="S6" s="2843"/>
      <c r="T6" s="2843"/>
      <c r="U6" s="2844"/>
      <c r="V6" s="2845" t="s">
        <v>59</v>
      </c>
      <c r="W6" s="2845"/>
      <c r="X6" s="2845"/>
      <c r="Y6" s="2845"/>
      <c r="Z6" s="2845"/>
      <c r="AA6" s="2827" t="s">
        <v>11</v>
      </c>
      <c r="AB6" s="2828"/>
      <c r="AC6" s="2828"/>
      <c r="AD6" s="2828"/>
      <c r="AE6" s="2828"/>
      <c r="AF6" s="2828"/>
      <c r="AG6" s="2828"/>
      <c r="AH6" s="2828"/>
      <c r="AI6" s="2828"/>
      <c r="AJ6" s="2828"/>
      <c r="AK6" s="2828"/>
      <c r="AL6" s="2828"/>
      <c r="AM6" s="2828"/>
      <c r="AN6" s="2828"/>
      <c r="AO6" s="2828"/>
      <c r="AP6" s="2828"/>
      <c r="AQ6" s="2828"/>
      <c r="AR6" s="2828"/>
      <c r="AS6" s="2828"/>
      <c r="AT6" s="2828"/>
      <c r="AU6" s="2828"/>
      <c r="AV6" s="2828"/>
      <c r="AW6" s="2828"/>
      <c r="AX6" s="2828"/>
      <c r="AY6" s="2828"/>
      <c r="AZ6" s="2828"/>
      <c r="BA6" s="2829"/>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1:64" s="3" customFormat="1" ht="373.5" customHeight="1">
      <c r="A10" s="332"/>
      <c r="B10" s="2805" t="s">
        <v>2821</v>
      </c>
      <c r="C10" s="2806"/>
      <c r="D10" s="2807"/>
      <c r="E10" s="843" t="s">
        <v>328</v>
      </c>
      <c r="F10" s="2808" t="s">
        <v>2822</v>
      </c>
      <c r="G10" s="2809"/>
      <c r="H10" s="2810"/>
      <c r="I10" s="2805" t="s">
        <v>2823</v>
      </c>
      <c r="J10" s="2806"/>
      <c r="K10" s="2807"/>
      <c r="L10" s="330" t="s">
        <v>283</v>
      </c>
      <c r="M10" s="50" t="s">
        <v>270</v>
      </c>
      <c r="N10" s="32"/>
      <c r="O10" s="6">
        <f>VLOOKUP(L10,[10]Listas!$M$69:$N$73,2,0)</f>
        <v>1</v>
      </c>
      <c r="P10" s="6"/>
      <c r="Q10" s="6">
        <f>HLOOKUP(M10,[10]Listas!$O$67:$Q$68,2,0)</f>
        <v>10</v>
      </c>
      <c r="R10" s="331" t="str">
        <f>INDEX([10]Listas!$O$69:$Q$73,MATCH(L10,[10]Listas!$M$69:$M$73,0),MATCH(M10,[10]Listas!$O$67:$Q$67,0))</f>
        <v>10
BAJA</v>
      </c>
      <c r="S10" s="2805" t="s">
        <v>3466</v>
      </c>
      <c r="T10" s="2806"/>
      <c r="U10" s="2807"/>
      <c r="V10" s="329" t="s">
        <v>65</v>
      </c>
      <c r="W10" s="329" t="s">
        <v>36</v>
      </c>
      <c r="X10" s="329" t="s">
        <v>36</v>
      </c>
      <c r="Y10" s="329" t="s">
        <v>65</v>
      </c>
      <c r="Z10" s="329" t="s">
        <v>65</v>
      </c>
      <c r="AA10" s="329" t="s">
        <v>65</v>
      </c>
      <c r="AB10" s="329" t="s">
        <v>65</v>
      </c>
      <c r="AC10" s="329" t="s">
        <v>65</v>
      </c>
      <c r="AD10" s="329" t="s">
        <v>65</v>
      </c>
      <c r="AE10" s="329" t="s">
        <v>65</v>
      </c>
      <c r="AF10" s="33"/>
      <c r="AG10" s="6">
        <f t="shared" ref="AG10:AG21" si="0">IF(Y10="SI",15,0)</f>
        <v>15</v>
      </c>
      <c r="AH10" s="6">
        <f t="shared" ref="AH10:AH21" si="1">IF(Z10="SI",5,0)</f>
        <v>5</v>
      </c>
      <c r="AI10" s="6">
        <f t="shared" ref="AI10:AI21" si="2">IF(AA10="SI",15,0)</f>
        <v>15</v>
      </c>
      <c r="AJ10" s="6">
        <f t="shared" ref="AJ10:AJ21" si="3">IF(AB10="SI",10,0)</f>
        <v>10</v>
      </c>
      <c r="AK10" s="6">
        <f t="shared" ref="AK10:AK21" si="4">IF(AC10="SI",15,0)</f>
        <v>15</v>
      </c>
      <c r="AL10" s="6">
        <f t="shared" ref="AL10:AL21" si="5">IF(AD10="SI",10,0)</f>
        <v>10</v>
      </c>
      <c r="AM10" s="6">
        <f t="shared" ref="AM10:AM21" si="6">IF(AE10="SI",30,0)</f>
        <v>30</v>
      </c>
      <c r="AN10" s="6">
        <f t="shared" ref="AN10:AN21" si="7">SUM(AG10+AH10+AI10+AJ10+AK10+AL10+AM10)</f>
        <v>100</v>
      </c>
      <c r="AO10" s="6">
        <f t="shared" ref="AO10:AO21" si="8">IF(AN10&lt;=50,0,IF(AN10&gt;=76,2,1))</f>
        <v>2</v>
      </c>
      <c r="AP10" s="331" t="str">
        <f t="shared" ref="AP10:AP21" si="9">CONCATENATE(AN10,"- disminuye ",AO10)</f>
        <v>100- disminuye 2</v>
      </c>
      <c r="AQ10" s="6">
        <f t="shared" ref="AQ10:AQ21" si="10">IF(V10="SI",O10-AO10,O10)</f>
        <v>-1</v>
      </c>
      <c r="AR10" s="331" t="str">
        <f>IF(AQ10&lt;=1,"Rara vez",VLOOKUP(AQ10,[10]Listas!$L$69:$M$73,2,0))</f>
        <v>Rara vez</v>
      </c>
      <c r="AS10" s="6">
        <f t="shared" ref="AS10:AS21" si="11">IF(W10="SI",Q10-AO10,Q10)</f>
        <v>10</v>
      </c>
      <c r="AT10" s="331" t="str">
        <f t="shared" ref="AT10:AT21" si="12">IF(AS10&lt;=9,"Moderado",IF(AS10=20,"Catastrófico",IF(AS10=18,"Moderado","Mayor")))</f>
        <v>Mayor</v>
      </c>
      <c r="AU10" s="331" t="str">
        <f>INDEX([10]Listas!$O$69:$Q$73,MATCH(AR10,[10]Listas!$M$69:$M$73,0),MATCH(AT10,[10]Listas!$O$67:$Q$67,0))</f>
        <v>10
BAJA</v>
      </c>
      <c r="AV10" s="330" t="s">
        <v>271</v>
      </c>
      <c r="AW10" s="826" t="s">
        <v>2824</v>
      </c>
      <c r="AX10" s="843" t="s">
        <v>2825</v>
      </c>
      <c r="AY10" s="843" t="s">
        <v>12</v>
      </c>
      <c r="AZ10" s="12" t="s">
        <v>2826</v>
      </c>
      <c r="BA10" s="12" t="s">
        <v>2827</v>
      </c>
      <c r="BB10" s="226" t="s">
        <v>3467</v>
      </c>
      <c r="BC10" s="69" t="s">
        <v>3986</v>
      </c>
      <c r="BD10" s="988" t="s">
        <v>2343</v>
      </c>
      <c r="BE10" s="839" t="s">
        <v>36</v>
      </c>
      <c r="BF10" s="12"/>
      <c r="BG10" s="12"/>
      <c r="BH10" s="227"/>
      <c r="BI10" s="227"/>
      <c r="BJ10" s="839"/>
      <c r="BK10" s="228"/>
      <c r="BL10" s="228"/>
    </row>
    <row r="11" spans="1:64" s="3" customFormat="1" ht="197.25" customHeight="1">
      <c r="A11" s="332"/>
      <c r="B11" s="2805" t="s">
        <v>2828</v>
      </c>
      <c r="C11" s="2806"/>
      <c r="D11" s="2807"/>
      <c r="E11" s="843" t="s">
        <v>329</v>
      </c>
      <c r="F11" s="2808" t="s">
        <v>524</v>
      </c>
      <c r="G11" s="2809"/>
      <c r="H11" s="2810"/>
      <c r="I11" s="2805" t="s">
        <v>2829</v>
      </c>
      <c r="J11" s="2806"/>
      <c r="K11" s="2807"/>
      <c r="L11" s="330" t="s">
        <v>283</v>
      </c>
      <c r="M11" s="50" t="s">
        <v>270</v>
      </c>
      <c r="N11" s="32"/>
      <c r="O11" s="6">
        <f>VLOOKUP(L11,[10]Listas!$M$69:$N$73,2,0)</f>
        <v>1</v>
      </c>
      <c r="P11" s="6"/>
      <c r="Q11" s="6">
        <f>HLOOKUP(M11,[10]Listas!$O$67:$Q$68,2,0)</f>
        <v>10</v>
      </c>
      <c r="R11" s="331" t="str">
        <f>INDEX([10]Listas!$O$69:$Q$73,MATCH(L11,[10]Listas!$M$69:$M$73,0),MATCH(M11,[10]Listas!$O$67:$Q$67,0))</f>
        <v>10
BAJA</v>
      </c>
      <c r="S11" s="2805" t="s">
        <v>1878</v>
      </c>
      <c r="T11" s="2806"/>
      <c r="U11" s="2807"/>
      <c r="V11" s="329" t="s">
        <v>65</v>
      </c>
      <c r="W11" s="329" t="s">
        <v>36</v>
      </c>
      <c r="X11" s="329" t="s">
        <v>36</v>
      </c>
      <c r="Y11" s="329" t="s">
        <v>65</v>
      </c>
      <c r="Z11" s="329" t="s">
        <v>65</v>
      </c>
      <c r="AA11" s="329" t="s">
        <v>65</v>
      </c>
      <c r="AB11" s="329" t="s">
        <v>65</v>
      </c>
      <c r="AC11" s="329" t="s">
        <v>65</v>
      </c>
      <c r="AD11" s="329" t="s">
        <v>65</v>
      </c>
      <c r="AE11" s="329" t="s">
        <v>65</v>
      </c>
      <c r="AF11" s="33"/>
      <c r="AG11" s="6">
        <f t="shared" si="0"/>
        <v>15</v>
      </c>
      <c r="AH11" s="6">
        <f t="shared" si="1"/>
        <v>5</v>
      </c>
      <c r="AI11" s="6">
        <f t="shared" si="2"/>
        <v>15</v>
      </c>
      <c r="AJ11" s="6">
        <f t="shared" si="3"/>
        <v>10</v>
      </c>
      <c r="AK11" s="6">
        <f t="shared" si="4"/>
        <v>15</v>
      </c>
      <c r="AL11" s="6">
        <f t="shared" si="5"/>
        <v>10</v>
      </c>
      <c r="AM11" s="6">
        <f t="shared" si="6"/>
        <v>30</v>
      </c>
      <c r="AN11" s="6">
        <f t="shared" si="7"/>
        <v>100</v>
      </c>
      <c r="AO11" s="6">
        <f t="shared" si="8"/>
        <v>2</v>
      </c>
      <c r="AP11" s="331" t="str">
        <f t="shared" si="9"/>
        <v>100- disminuye 2</v>
      </c>
      <c r="AQ11" s="6">
        <f t="shared" si="10"/>
        <v>-1</v>
      </c>
      <c r="AR11" s="331" t="str">
        <f>IF(AQ11&lt;=1,"Rara vez",VLOOKUP(AQ11,[10]Listas!$L$69:$M$73,2,0))</f>
        <v>Rara vez</v>
      </c>
      <c r="AS11" s="6">
        <f t="shared" si="11"/>
        <v>10</v>
      </c>
      <c r="AT11" s="331" t="str">
        <f t="shared" si="12"/>
        <v>Mayor</v>
      </c>
      <c r="AU11" s="331" t="str">
        <f>INDEX([10]Listas!$O$69:$Q$73,MATCH(AR11,[10]Listas!$M$69:$M$73,0),MATCH(AT11,[10]Listas!$O$67:$Q$67,0))</f>
        <v>10
BAJA</v>
      </c>
      <c r="AV11" s="330" t="s">
        <v>271</v>
      </c>
      <c r="AW11" s="826" t="s">
        <v>401</v>
      </c>
      <c r="AX11" s="843" t="s">
        <v>2830</v>
      </c>
      <c r="AY11" s="843" t="s">
        <v>12</v>
      </c>
      <c r="AZ11" s="12" t="s">
        <v>2831</v>
      </c>
      <c r="BA11" s="12" t="s">
        <v>2832</v>
      </c>
      <c r="BB11" s="839">
        <f>19/19*100</f>
        <v>100</v>
      </c>
      <c r="BC11" s="69" t="s">
        <v>3987</v>
      </c>
      <c r="BD11" s="988" t="s">
        <v>2343</v>
      </c>
      <c r="BE11" s="839" t="s">
        <v>36</v>
      </c>
      <c r="BF11" s="12"/>
      <c r="BG11" s="12"/>
      <c r="BH11" s="227"/>
      <c r="BI11" s="227"/>
      <c r="BJ11" s="839"/>
      <c r="BK11" s="228"/>
      <c r="BL11" s="228"/>
    </row>
    <row r="12" spans="1:64" s="3" customFormat="1" ht="175.5" customHeight="1">
      <c r="A12" s="332"/>
      <c r="B12" s="2805" t="s">
        <v>2833</v>
      </c>
      <c r="C12" s="2806"/>
      <c r="D12" s="2807"/>
      <c r="E12" s="843" t="s">
        <v>330</v>
      </c>
      <c r="F12" s="2808" t="s">
        <v>331</v>
      </c>
      <c r="G12" s="2809"/>
      <c r="H12" s="2810"/>
      <c r="I12" s="2805" t="s">
        <v>2834</v>
      </c>
      <c r="J12" s="2806"/>
      <c r="K12" s="2807"/>
      <c r="L12" s="330" t="s">
        <v>286</v>
      </c>
      <c r="M12" s="50" t="s">
        <v>270</v>
      </c>
      <c r="N12" s="32"/>
      <c r="O12" s="6">
        <f>VLOOKUP(L12,[10]Listas!$M$69:$N$73,2,0)</f>
        <v>2</v>
      </c>
      <c r="P12" s="6"/>
      <c r="Q12" s="6">
        <f>HLOOKUP(M12,[10]Listas!$O$67:$Q$68,2,0)</f>
        <v>10</v>
      </c>
      <c r="R12" s="331" t="str">
        <f>INDEX([10]Listas!$O$69:$Q$73,MATCH(L12,[10]Listas!$M$69:$M$73,0),MATCH(M12,[10]Listas!$O$67:$Q$67,0))</f>
        <v>20
MODERADA</v>
      </c>
      <c r="S12" s="2805" t="s">
        <v>3988</v>
      </c>
      <c r="T12" s="2806"/>
      <c r="U12" s="2807"/>
      <c r="V12" s="329" t="s">
        <v>65</v>
      </c>
      <c r="W12" s="329" t="s">
        <v>65</v>
      </c>
      <c r="X12" s="329" t="s">
        <v>36</v>
      </c>
      <c r="Y12" s="329" t="s">
        <v>65</v>
      </c>
      <c r="Z12" s="329" t="s">
        <v>65</v>
      </c>
      <c r="AA12" s="329" t="s">
        <v>36</v>
      </c>
      <c r="AB12" s="329" t="s">
        <v>65</v>
      </c>
      <c r="AC12" s="329" t="s">
        <v>65</v>
      </c>
      <c r="AD12" s="329" t="s">
        <v>65</v>
      </c>
      <c r="AE12" s="329" t="s">
        <v>65</v>
      </c>
      <c r="AF12" s="33"/>
      <c r="AG12" s="6">
        <f>IF(Y12="SI",15,0)</f>
        <v>15</v>
      </c>
      <c r="AH12" s="6">
        <f>IF(Z12="SI",5,0)</f>
        <v>5</v>
      </c>
      <c r="AI12" s="6">
        <f>IF(AA12="SI",15,0)</f>
        <v>0</v>
      </c>
      <c r="AJ12" s="6">
        <f>IF(AB12="SI",10,0)</f>
        <v>10</v>
      </c>
      <c r="AK12" s="6">
        <f>IF(AC12="SI",15,0)</f>
        <v>15</v>
      </c>
      <c r="AL12" s="6">
        <f>IF(AD12="SI",10,0)</f>
        <v>10</v>
      </c>
      <c r="AM12" s="6">
        <f>IF(AE12="SI",30,0)</f>
        <v>30</v>
      </c>
      <c r="AN12" s="6">
        <f>SUM(AG12+AH12+AI12+AJ12+AK12+AL12+AM12)</f>
        <v>85</v>
      </c>
      <c r="AO12" s="6">
        <f>IF(AN12&lt;=50,0,IF(AN12&gt;=76,2,1))</f>
        <v>2</v>
      </c>
      <c r="AP12" s="331" t="str">
        <f>CONCATENATE(AN12,"- disminuye ",AO12)</f>
        <v>85- disminuye 2</v>
      </c>
      <c r="AQ12" s="6">
        <f>IF(V12="SI",O12-AO12,O12)</f>
        <v>0</v>
      </c>
      <c r="AR12" s="331" t="str">
        <f>IF(AQ12&lt;=1,"Rara vez",VLOOKUP(AQ12,[10]Listas!$L$69:$M$73,2,0))</f>
        <v>Rara vez</v>
      </c>
      <c r="AS12" s="6">
        <f>IF(W12="SI",Q12-AO12,Q12)</f>
        <v>8</v>
      </c>
      <c r="AT12" s="331" t="str">
        <f>IF(AS12&lt;=9,"Moderado",IF(AS12=20,"Catastrófico",IF(AS12=18,"Moderado","Mayor")))</f>
        <v>Moderado</v>
      </c>
      <c r="AU12" s="331" t="str">
        <f>INDEX([10]Listas!$O$69:$Q$73,MATCH(AR12,[10]Listas!$M$69:$M$73,0),MATCH(AT12,[10]Listas!$O$67:$Q$67,0))</f>
        <v>5
BAJA</v>
      </c>
      <c r="AV12" s="330" t="s">
        <v>271</v>
      </c>
      <c r="AW12" s="826" t="s">
        <v>3468</v>
      </c>
      <c r="AX12" s="843" t="s">
        <v>1879</v>
      </c>
      <c r="AY12" s="843" t="s">
        <v>12</v>
      </c>
      <c r="AZ12" s="12" t="s">
        <v>2835</v>
      </c>
      <c r="BA12" s="12" t="s">
        <v>2836</v>
      </c>
      <c r="BB12" s="839">
        <f>0/25*100</f>
        <v>0</v>
      </c>
      <c r="BC12" s="69" t="s">
        <v>3989</v>
      </c>
      <c r="BD12" s="988" t="s">
        <v>3990</v>
      </c>
      <c r="BE12" s="839" t="s">
        <v>36</v>
      </c>
      <c r="BF12" s="12"/>
      <c r="BG12" s="12"/>
      <c r="BH12" s="227"/>
      <c r="BI12" s="227"/>
      <c r="BJ12" s="839"/>
      <c r="BK12" s="228"/>
      <c r="BL12" s="228"/>
    </row>
    <row r="13" spans="1:64" s="3" customFormat="1" ht="142.5" customHeight="1">
      <c r="A13" s="332"/>
      <c r="B13" s="2805" t="s">
        <v>332</v>
      </c>
      <c r="C13" s="2806"/>
      <c r="D13" s="2807"/>
      <c r="E13" s="843" t="s">
        <v>233</v>
      </c>
      <c r="F13" s="2983" t="s">
        <v>333</v>
      </c>
      <c r="G13" s="2984"/>
      <c r="H13" s="2985"/>
      <c r="I13" s="2805" t="s">
        <v>2837</v>
      </c>
      <c r="J13" s="2806"/>
      <c r="K13" s="2807"/>
      <c r="L13" s="330" t="s">
        <v>283</v>
      </c>
      <c r="M13" s="50" t="s">
        <v>287</v>
      </c>
      <c r="N13" s="32"/>
      <c r="O13" s="6">
        <f>VLOOKUP(L13,[10]Listas!$M$69:$N$73,2,0)</f>
        <v>1</v>
      </c>
      <c r="P13" s="6"/>
      <c r="Q13" s="6">
        <f>HLOOKUP(M13,[10]Listas!$O$67:$Q$68,2,0)</f>
        <v>20</v>
      </c>
      <c r="R13" s="331" t="str">
        <f>INDEX([10]Listas!$O$69:$Q$73,MATCH(L13,[10]Listas!$M$69:$M$73,0),MATCH(M13,[10]Listas!$O$67:$Q$67,0))</f>
        <v>20
MODERADA</v>
      </c>
      <c r="S13" s="2805" t="s">
        <v>3469</v>
      </c>
      <c r="T13" s="2806"/>
      <c r="U13" s="2807"/>
      <c r="V13" s="329" t="s">
        <v>65</v>
      </c>
      <c r="W13" s="329" t="s">
        <v>36</v>
      </c>
      <c r="X13" s="329" t="s">
        <v>36</v>
      </c>
      <c r="Y13" s="329" t="s">
        <v>65</v>
      </c>
      <c r="Z13" s="329" t="s">
        <v>65</v>
      </c>
      <c r="AA13" s="329" t="s">
        <v>36</v>
      </c>
      <c r="AB13" s="329" t="s">
        <v>65</v>
      </c>
      <c r="AC13" s="329" t="s">
        <v>65</v>
      </c>
      <c r="AD13" s="329" t="s">
        <v>65</v>
      </c>
      <c r="AE13" s="329" t="s">
        <v>65</v>
      </c>
      <c r="AF13" s="33"/>
      <c r="AG13" s="6">
        <f>IF(Y13="SI",15,0)</f>
        <v>15</v>
      </c>
      <c r="AH13" s="6">
        <f>IF(Z13="SI",5,0)</f>
        <v>5</v>
      </c>
      <c r="AI13" s="6">
        <f>IF(AA13="SI",15,0)</f>
        <v>0</v>
      </c>
      <c r="AJ13" s="6">
        <f>IF(AB13="SI",10,0)</f>
        <v>10</v>
      </c>
      <c r="AK13" s="6">
        <f>IF(AC13="SI",15,0)</f>
        <v>15</v>
      </c>
      <c r="AL13" s="6">
        <f>IF(AD13="SI",10,0)</f>
        <v>10</v>
      </c>
      <c r="AM13" s="6">
        <f>IF(AE13="SI",30,0)</f>
        <v>30</v>
      </c>
      <c r="AN13" s="6">
        <f>SUM(AG13+AH13+AI13+AJ13+AK13+AL13+AM13)</f>
        <v>85</v>
      </c>
      <c r="AO13" s="6">
        <f>IF(AN13&lt;=50,0,IF(AN13&gt;=76,2,1))</f>
        <v>2</v>
      </c>
      <c r="AP13" s="331" t="str">
        <f>CONCATENATE(AN13,"- disminuye ",AO13)</f>
        <v>85- disminuye 2</v>
      </c>
      <c r="AQ13" s="6">
        <f>IF(V13="SI",O13-AO13,O13)</f>
        <v>-1</v>
      </c>
      <c r="AR13" s="331" t="str">
        <f>IF(AQ13&lt;=1,"Rara vez",VLOOKUP(AQ13,[10]Listas!$L$69:$M$73,2,0))</f>
        <v>Rara vez</v>
      </c>
      <c r="AS13" s="6">
        <f>IF(W13="SI",Q13-AO13,Q13)</f>
        <v>20</v>
      </c>
      <c r="AT13" s="331" t="str">
        <f>IF(AS13&lt;=9,"Moderado",IF(AS13=20,"Catastrófico",IF(AS13=18,"Moderado","Mayor")))</f>
        <v>Catastrófico</v>
      </c>
      <c r="AU13" s="331" t="str">
        <f>INDEX([10]Listas!$O$69:$Q$73,MATCH(AR13,[10]Listas!$M$69:$M$73,0),MATCH(AT13,[10]Listas!$O$67:$Q$67,0))</f>
        <v>20
MODERADA</v>
      </c>
      <c r="AV13" s="330" t="s">
        <v>271</v>
      </c>
      <c r="AW13" s="826" t="s">
        <v>861</v>
      </c>
      <c r="AX13" s="843" t="s">
        <v>860</v>
      </c>
      <c r="AY13" s="843" t="s">
        <v>12</v>
      </c>
      <c r="AZ13" s="12" t="s">
        <v>2838</v>
      </c>
      <c r="BA13" s="12" t="s">
        <v>2839</v>
      </c>
      <c r="BB13" s="839">
        <v>1</v>
      </c>
      <c r="BC13" s="69" t="s">
        <v>3991</v>
      </c>
      <c r="BD13" s="12" t="s">
        <v>2343</v>
      </c>
      <c r="BE13" s="839" t="s">
        <v>36</v>
      </c>
      <c r="BF13" s="12"/>
      <c r="BG13" s="12"/>
      <c r="BH13" s="227"/>
      <c r="BI13" s="227"/>
      <c r="BJ13" s="839"/>
      <c r="BK13" s="228"/>
      <c r="BL13" s="228"/>
    </row>
    <row r="14" spans="1:64" s="3" customFormat="1" ht="157.5" customHeight="1">
      <c r="A14" s="332"/>
      <c r="B14" s="2805" t="s">
        <v>2840</v>
      </c>
      <c r="C14" s="2806"/>
      <c r="D14" s="2807"/>
      <c r="E14" s="843" t="s">
        <v>234</v>
      </c>
      <c r="F14" s="2983" t="s">
        <v>608</v>
      </c>
      <c r="G14" s="2984"/>
      <c r="H14" s="2985"/>
      <c r="I14" s="2805" t="s">
        <v>2841</v>
      </c>
      <c r="J14" s="2806"/>
      <c r="K14" s="2807"/>
      <c r="L14" s="330" t="s">
        <v>286</v>
      </c>
      <c r="M14" s="50" t="s">
        <v>270</v>
      </c>
      <c r="N14" s="32"/>
      <c r="O14" s="6">
        <f>VLOOKUP(L14,[10]Listas!$M$69:$N$73,2,0)</f>
        <v>2</v>
      </c>
      <c r="P14" s="6"/>
      <c r="Q14" s="6">
        <f>HLOOKUP(M14,[10]Listas!$O$67:$Q$68,2,0)</f>
        <v>10</v>
      </c>
      <c r="R14" s="331" t="str">
        <f>INDEX([10]Listas!$O$69:$Q$73,MATCH(L14,[10]Listas!$M$69:$M$73,0),MATCH(M14,[10]Listas!$O$67:$Q$67,0))</f>
        <v>20
MODERADA</v>
      </c>
      <c r="S14" s="2805" t="s">
        <v>2842</v>
      </c>
      <c r="T14" s="2806"/>
      <c r="U14" s="2807"/>
      <c r="V14" s="329" t="s">
        <v>65</v>
      </c>
      <c r="W14" s="329" t="s">
        <v>36</v>
      </c>
      <c r="X14" s="329" t="s">
        <v>36</v>
      </c>
      <c r="Y14" s="329" t="s">
        <v>65</v>
      </c>
      <c r="Z14" s="329" t="s">
        <v>65</v>
      </c>
      <c r="AA14" s="329" t="s">
        <v>36</v>
      </c>
      <c r="AB14" s="329" t="s">
        <v>65</v>
      </c>
      <c r="AC14" s="329" t="s">
        <v>65</v>
      </c>
      <c r="AD14" s="329" t="s">
        <v>65</v>
      </c>
      <c r="AE14" s="329" t="s">
        <v>65</v>
      </c>
      <c r="AF14" s="33"/>
      <c r="AG14" s="6">
        <f>IF(Y14="SI",15,0)</f>
        <v>15</v>
      </c>
      <c r="AH14" s="6">
        <f>IF(Z14="SI",5,0)</f>
        <v>5</v>
      </c>
      <c r="AI14" s="6">
        <f>IF(AA14="SI",15,0)</f>
        <v>0</v>
      </c>
      <c r="AJ14" s="6">
        <f>IF(AB14="SI",10,0)</f>
        <v>10</v>
      </c>
      <c r="AK14" s="6">
        <f>IF(AC14="SI",15,0)</f>
        <v>15</v>
      </c>
      <c r="AL14" s="6">
        <f>IF(AD14="SI",10,0)</f>
        <v>10</v>
      </c>
      <c r="AM14" s="6">
        <f>IF(AE14="SI",30,0)</f>
        <v>30</v>
      </c>
      <c r="AN14" s="6">
        <f>SUM(AG14+AH14+AI14+AJ14+AK14+AL14+AM14)</f>
        <v>85</v>
      </c>
      <c r="AO14" s="6">
        <f>IF(AN14&lt;=50,0,IF(AN14&gt;=76,2,1))</f>
        <v>2</v>
      </c>
      <c r="AP14" s="331" t="str">
        <f>CONCATENATE(AN14,"- disminuye ",AO14)</f>
        <v>85- disminuye 2</v>
      </c>
      <c r="AQ14" s="6">
        <f>IF(V14="SI",O14-AO14,O14)</f>
        <v>0</v>
      </c>
      <c r="AR14" s="331" t="str">
        <f>IF(AQ14&lt;=1,"Rara vez",VLOOKUP(AQ14,[10]Listas!$L$69:$M$73,2,0))</f>
        <v>Rara vez</v>
      </c>
      <c r="AS14" s="6">
        <f>IF(W14="SI",Q14-AO14,Q14)</f>
        <v>10</v>
      </c>
      <c r="AT14" s="331" t="str">
        <f>IF(AS14&lt;=9,"Moderado",IF(AS14=20,"Catastrófico",IF(AS14=18,"Moderado","Mayor")))</f>
        <v>Mayor</v>
      </c>
      <c r="AU14" s="331" t="str">
        <f>INDEX([10]Listas!$O$69:$Q$73,MATCH(AR14,[10]Listas!$M$69:$M$73,0),MATCH(AT14,[10]Listas!$O$67:$Q$67,0))</f>
        <v>10
BAJA</v>
      </c>
      <c r="AV14" s="330" t="s">
        <v>275</v>
      </c>
      <c r="AW14" s="826" t="s">
        <v>276</v>
      </c>
      <c r="AX14" s="843" t="s">
        <v>1880</v>
      </c>
      <c r="AY14" s="843" t="s">
        <v>34</v>
      </c>
      <c r="AZ14" s="12" t="s">
        <v>2843</v>
      </c>
      <c r="BA14" s="12" t="s">
        <v>2844</v>
      </c>
      <c r="BB14" s="226">
        <v>0</v>
      </c>
      <c r="BC14" s="69" t="s">
        <v>3992</v>
      </c>
      <c r="BD14" s="12" t="s">
        <v>2343</v>
      </c>
      <c r="BE14" s="839" t="s">
        <v>36</v>
      </c>
      <c r="BF14" s="12"/>
      <c r="BG14" s="12"/>
      <c r="BH14" s="227"/>
      <c r="BI14" s="227"/>
      <c r="BJ14" s="839"/>
      <c r="BK14" s="228"/>
      <c r="BL14" s="228"/>
    </row>
    <row r="15" spans="1:64" s="3" customFormat="1" ht="194.25" customHeight="1">
      <c r="A15" s="332"/>
      <c r="B15" s="2805" t="s">
        <v>942</v>
      </c>
      <c r="C15" s="2806"/>
      <c r="D15" s="2807"/>
      <c r="E15" s="843" t="s">
        <v>235</v>
      </c>
      <c r="F15" s="2983" t="s">
        <v>334</v>
      </c>
      <c r="G15" s="2984"/>
      <c r="H15" s="2985"/>
      <c r="I15" s="2805" t="s">
        <v>2845</v>
      </c>
      <c r="J15" s="2806"/>
      <c r="K15" s="2807"/>
      <c r="L15" s="330" t="s">
        <v>286</v>
      </c>
      <c r="M15" s="50" t="s">
        <v>270</v>
      </c>
      <c r="N15" s="32"/>
      <c r="O15" s="6">
        <f>VLOOKUP(L15,[10]Listas!$M$69:$N$73,2,0)</f>
        <v>2</v>
      </c>
      <c r="P15" s="6"/>
      <c r="Q15" s="6">
        <f>HLOOKUP(M15,[10]Listas!$O$67:$Q$68,2,0)</f>
        <v>10</v>
      </c>
      <c r="R15" s="331" t="str">
        <f>INDEX([10]Listas!$O$69:$Q$73,MATCH(L15,[10]Listas!$M$69:$M$73,0),MATCH(M15,[10]Listas!$O$67:$Q$67,0))</f>
        <v>20
MODERADA</v>
      </c>
      <c r="S15" s="2805" t="s">
        <v>2846</v>
      </c>
      <c r="T15" s="2806"/>
      <c r="U15" s="2807"/>
      <c r="V15" s="329" t="s">
        <v>65</v>
      </c>
      <c r="W15" s="329" t="s">
        <v>36</v>
      </c>
      <c r="X15" s="329" t="s">
        <v>36</v>
      </c>
      <c r="Y15" s="329" t="s">
        <v>65</v>
      </c>
      <c r="Z15" s="329" t="s">
        <v>65</v>
      </c>
      <c r="AA15" s="329" t="s">
        <v>36</v>
      </c>
      <c r="AB15" s="329" t="s">
        <v>65</v>
      </c>
      <c r="AC15" s="329" t="s">
        <v>65</v>
      </c>
      <c r="AD15" s="329" t="s">
        <v>65</v>
      </c>
      <c r="AE15" s="329" t="s">
        <v>65</v>
      </c>
      <c r="AF15" s="33"/>
      <c r="AG15" s="6">
        <f t="shared" si="0"/>
        <v>15</v>
      </c>
      <c r="AH15" s="6">
        <f t="shared" si="1"/>
        <v>5</v>
      </c>
      <c r="AI15" s="6">
        <f t="shared" si="2"/>
        <v>0</v>
      </c>
      <c r="AJ15" s="6">
        <f t="shared" si="3"/>
        <v>10</v>
      </c>
      <c r="AK15" s="6">
        <f t="shared" si="4"/>
        <v>15</v>
      </c>
      <c r="AL15" s="6">
        <f t="shared" si="5"/>
        <v>10</v>
      </c>
      <c r="AM15" s="6">
        <f t="shared" si="6"/>
        <v>30</v>
      </c>
      <c r="AN15" s="6">
        <f t="shared" si="7"/>
        <v>85</v>
      </c>
      <c r="AO15" s="6">
        <f t="shared" si="8"/>
        <v>2</v>
      </c>
      <c r="AP15" s="331" t="str">
        <f t="shared" si="9"/>
        <v>85- disminuye 2</v>
      </c>
      <c r="AQ15" s="6">
        <f t="shared" si="10"/>
        <v>0</v>
      </c>
      <c r="AR15" s="331" t="str">
        <f>IF(AQ15&lt;=1,"Rara vez",VLOOKUP(AQ15,[10]Listas!$L$69:$M$73,2,0))</f>
        <v>Rara vez</v>
      </c>
      <c r="AS15" s="6">
        <f t="shared" si="11"/>
        <v>10</v>
      </c>
      <c r="AT15" s="331" t="str">
        <f t="shared" si="12"/>
        <v>Mayor</v>
      </c>
      <c r="AU15" s="331" t="str">
        <f>INDEX([10]Listas!$O$69:$Q$73,MATCH(AR15,[10]Listas!$M$69:$M$73,0),MATCH(AT15,[10]Listas!$O$67:$Q$67,0))</f>
        <v>10
BAJA</v>
      </c>
      <c r="AV15" s="330" t="s">
        <v>271</v>
      </c>
      <c r="AW15" s="826" t="s">
        <v>2847</v>
      </c>
      <c r="AX15" s="843" t="s">
        <v>335</v>
      </c>
      <c r="AY15" s="843" t="s">
        <v>34</v>
      </c>
      <c r="AZ15" s="12" t="s">
        <v>2843</v>
      </c>
      <c r="BA15" s="12" t="s">
        <v>2848</v>
      </c>
      <c r="BB15" s="839">
        <v>0</v>
      </c>
      <c r="BC15" s="69" t="s">
        <v>3993</v>
      </c>
      <c r="BD15" s="12" t="s">
        <v>2343</v>
      </c>
      <c r="BE15" s="839" t="s">
        <v>36</v>
      </c>
      <c r="BF15" s="12"/>
      <c r="BG15" s="12"/>
      <c r="BH15" s="227"/>
      <c r="BI15" s="227"/>
      <c r="BJ15" s="839"/>
      <c r="BK15" s="228"/>
      <c r="BL15" s="228"/>
    </row>
    <row r="16" spans="1:64" s="3" customFormat="1" ht="205.5" customHeight="1">
      <c r="A16" s="332"/>
      <c r="B16" s="2805" t="s">
        <v>609</v>
      </c>
      <c r="C16" s="2806"/>
      <c r="D16" s="2807"/>
      <c r="E16" s="843" t="s">
        <v>336</v>
      </c>
      <c r="F16" s="2983" t="s">
        <v>337</v>
      </c>
      <c r="G16" s="2984"/>
      <c r="H16" s="2985"/>
      <c r="I16" s="2805" t="s">
        <v>526</v>
      </c>
      <c r="J16" s="2806"/>
      <c r="K16" s="2807"/>
      <c r="L16" s="330" t="s">
        <v>286</v>
      </c>
      <c r="M16" s="50" t="s">
        <v>287</v>
      </c>
      <c r="N16" s="32"/>
      <c r="O16" s="6">
        <f>VLOOKUP(L16,[10]Listas!$M$69:$N$73,2,0)</f>
        <v>2</v>
      </c>
      <c r="P16" s="6"/>
      <c r="Q16" s="6">
        <f>HLOOKUP(M16,[10]Listas!$O$67:$Q$68,2,0)</f>
        <v>20</v>
      </c>
      <c r="R16" s="331" t="str">
        <f>INDEX([10]Listas!$O$69:$Q$73,MATCH(L16,[10]Listas!$M$69:$M$73,0),MATCH(M16,[10]Listas!$O$67:$Q$67,0))</f>
        <v>40
ALTA</v>
      </c>
      <c r="S16" s="2805" t="s">
        <v>1881</v>
      </c>
      <c r="T16" s="2806"/>
      <c r="U16" s="2807"/>
      <c r="V16" s="329" t="s">
        <v>65</v>
      </c>
      <c r="W16" s="329" t="s">
        <v>36</v>
      </c>
      <c r="X16" s="329" t="s">
        <v>36</v>
      </c>
      <c r="Y16" s="329" t="s">
        <v>65</v>
      </c>
      <c r="Z16" s="329" t="s">
        <v>65</v>
      </c>
      <c r="AA16" s="329" t="s">
        <v>36</v>
      </c>
      <c r="AB16" s="329" t="s">
        <v>65</v>
      </c>
      <c r="AC16" s="329" t="s">
        <v>65</v>
      </c>
      <c r="AD16" s="329" t="s">
        <v>65</v>
      </c>
      <c r="AE16" s="329" t="s">
        <v>65</v>
      </c>
      <c r="AF16" s="33"/>
      <c r="AG16" s="6">
        <f t="shared" si="0"/>
        <v>15</v>
      </c>
      <c r="AH16" s="6">
        <f t="shared" si="1"/>
        <v>5</v>
      </c>
      <c r="AI16" s="6">
        <f t="shared" si="2"/>
        <v>0</v>
      </c>
      <c r="AJ16" s="6">
        <f t="shared" si="3"/>
        <v>10</v>
      </c>
      <c r="AK16" s="6">
        <f t="shared" si="4"/>
        <v>15</v>
      </c>
      <c r="AL16" s="6">
        <f t="shared" si="5"/>
        <v>10</v>
      </c>
      <c r="AM16" s="6">
        <f t="shared" si="6"/>
        <v>30</v>
      </c>
      <c r="AN16" s="6">
        <f t="shared" si="7"/>
        <v>85</v>
      </c>
      <c r="AO16" s="6">
        <f t="shared" si="8"/>
        <v>2</v>
      </c>
      <c r="AP16" s="331" t="str">
        <f t="shared" si="9"/>
        <v>85- disminuye 2</v>
      </c>
      <c r="AQ16" s="6">
        <f t="shared" si="10"/>
        <v>0</v>
      </c>
      <c r="AR16" s="331" t="str">
        <f>IF(AQ16&lt;=1,"Rara vez",VLOOKUP(AQ16,[10]Listas!$L$69:$M$73,2,0))</f>
        <v>Rara vez</v>
      </c>
      <c r="AS16" s="6">
        <f t="shared" si="11"/>
        <v>20</v>
      </c>
      <c r="AT16" s="331" t="str">
        <f t="shared" si="12"/>
        <v>Catastrófico</v>
      </c>
      <c r="AU16" s="331" t="str">
        <f>INDEX([10]Listas!$O$69:$Q$73,MATCH(AR16,[10]Listas!$M$69:$M$73,0),MATCH(AT16,[10]Listas!$O$67:$Q$67,0))</f>
        <v>20
MODERADA</v>
      </c>
      <c r="AV16" s="330" t="s">
        <v>275</v>
      </c>
      <c r="AW16" s="826" t="s">
        <v>1882</v>
      </c>
      <c r="AX16" s="843" t="s">
        <v>1883</v>
      </c>
      <c r="AY16" s="843" t="s">
        <v>34</v>
      </c>
      <c r="AZ16" s="12" t="s">
        <v>2843</v>
      </c>
      <c r="BA16" s="12" t="s">
        <v>2849</v>
      </c>
      <c r="BB16" s="839">
        <v>0</v>
      </c>
      <c r="BC16" s="69" t="s">
        <v>3994</v>
      </c>
      <c r="BD16" s="12" t="s">
        <v>2343</v>
      </c>
      <c r="BE16" s="839" t="s">
        <v>36</v>
      </c>
      <c r="BF16" s="12"/>
      <c r="BG16" s="12"/>
      <c r="BH16" s="227"/>
      <c r="BI16" s="227"/>
      <c r="BJ16" s="839"/>
      <c r="BK16" s="228"/>
      <c r="BL16" s="228"/>
    </row>
    <row r="17" spans="1:64" s="3" customFormat="1" ht="108" hidden="1" customHeight="1">
      <c r="A17" s="332"/>
      <c r="B17" s="2805"/>
      <c r="C17" s="2806"/>
      <c r="D17" s="2807"/>
      <c r="E17" s="843"/>
      <c r="F17" s="2808"/>
      <c r="G17" s="2809"/>
      <c r="H17" s="2810"/>
      <c r="I17" s="2805"/>
      <c r="J17" s="2806"/>
      <c r="K17" s="2807"/>
      <c r="L17" s="330"/>
      <c r="M17" s="50"/>
      <c r="N17" s="32"/>
      <c r="O17" s="6" t="e">
        <f>VLOOKUP(L17,[10]Listas!$M$69:$N$73,2,0)</f>
        <v>#N/A</v>
      </c>
      <c r="P17" s="6"/>
      <c r="Q17" s="6" t="e">
        <f>HLOOKUP(M17,[10]Listas!$O$67:$Q$68,2,0)</f>
        <v>#N/A</v>
      </c>
      <c r="R17" s="331" t="e">
        <f>INDEX([10]Listas!$O$69:$Q$73,MATCH(L17,[10]Listas!$M$69:$M$73,0),MATCH(M17,[10]Listas!$O$67:$Q$67,0))</f>
        <v>#N/A</v>
      </c>
      <c r="S17" s="2805"/>
      <c r="T17" s="2806"/>
      <c r="U17" s="2807"/>
      <c r="V17" s="329"/>
      <c r="W17" s="329"/>
      <c r="X17" s="329"/>
      <c r="Y17" s="329"/>
      <c r="Z17" s="329"/>
      <c r="AA17" s="329"/>
      <c r="AB17" s="329"/>
      <c r="AC17" s="329"/>
      <c r="AD17" s="329"/>
      <c r="AE17" s="329"/>
      <c r="AF17" s="33"/>
      <c r="AG17" s="6">
        <f>IF(Y17="SI",15,0)</f>
        <v>0</v>
      </c>
      <c r="AH17" s="6">
        <f>IF(Z17="SI",5,0)</f>
        <v>0</v>
      </c>
      <c r="AI17" s="6">
        <f>IF(AA17="SI",15,0)</f>
        <v>0</v>
      </c>
      <c r="AJ17" s="6">
        <f>IF(AB17="SI",10,0)</f>
        <v>0</v>
      </c>
      <c r="AK17" s="6">
        <f>IF(AC17="SI",15,0)</f>
        <v>0</v>
      </c>
      <c r="AL17" s="6">
        <f>IF(AD17="SI",10,0)</f>
        <v>0</v>
      </c>
      <c r="AM17" s="6">
        <f>IF(AE17="SI",30,0)</f>
        <v>0</v>
      </c>
      <c r="AN17" s="6">
        <f>SUM(AG17+AH17+AI17+AJ17+AK17+AL17+AM17)</f>
        <v>0</v>
      </c>
      <c r="AO17" s="6">
        <f>IF(AN17&lt;=50,0,IF(AN17&gt;=76,2,1))</f>
        <v>0</v>
      </c>
      <c r="AP17" s="331" t="str">
        <f>CONCATENATE(AN17,"- disminuye ",AO17)</f>
        <v>0- disminuye 0</v>
      </c>
      <c r="AQ17" s="6" t="e">
        <f>IF(V17="SI",O17-AO17,O17)</f>
        <v>#N/A</v>
      </c>
      <c r="AR17" s="331" t="e">
        <f>IF(AQ17&lt;=1,"Rara vez",VLOOKUP(AQ17,[10]Listas!$L$69:$M$73,2,0))</f>
        <v>#N/A</v>
      </c>
      <c r="AS17" s="6" t="e">
        <f>IF(W17="SI",Q17-AO17,Q17)</f>
        <v>#N/A</v>
      </c>
      <c r="AT17" s="331" t="e">
        <f>IF(AS17&lt;=9,"Moderado",IF(AS17=20,"Catastrófico",IF(AS17=18,"Moderado","Mayor")))</f>
        <v>#N/A</v>
      </c>
      <c r="AU17" s="331" t="e">
        <f>INDEX([10]Listas!$O$69:$Q$73,MATCH(AR17,[10]Listas!$M$69:$M$73,0),MATCH(AT17,[10]Listas!$O$67:$Q$67,0))</f>
        <v>#N/A</v>
      </c>
      <c r="AV17" s="330"/>
      <c r="AW17" s="826"/>
      <c r="AX17" s="843"/>
      <c r="AY17" s="843"/>
      <c r="AZ17" s="12"/>
      <c r="BA17" s="12"/>
      <c r="BB17" s="839"/>
      <c r="BC17" s="12"/>
      <c r="BD17" s="12" t="s">
        <v>2343</v>
      </c>
      <c r="BE17" s="839"/>
      <c r="BF17" s="12"/>
      <c r="BG17" s="12"/>
      <c r="BH17" s="227"/>
      <c r="BI17" s="227"/>
      <c r="BJ17" s="839"/>
      <c r="BK17" s="228"/>
      <c r="BL17" s="228"/>
    </row>
    <row r="18" spans="1:64" s="3" customFormat="1" ht="108" hidden="1" customHeight="1">
      <c r="A18" s="332"/>
      <c r="B18" s="2805"/>
      <c r="C18" s="2806"/>
      <c r="D18" s="2807"/>
      <c r="E18" s="843"/>
      <c r="F18" s="2808"/>
      <c r="G18" s="2809"/>
      <c r="H18" s="2810"/>
      <c r="I18" s="2805"/>
      <c r="J18" s="2806"/>
      <c r="K18" s="2807"/>
      <c r="L18" s="330"/>
      <c r="M18" s="50"/>
      <c r="N18" s="32"/>
      <c r="O18" s="6" t="e">
        <f>VLOOKUP(L18,[10]Listas!$M$69:$N$73,2,0)</f>
        <v>#N/A</v>
      </c>
      <c r="P18" s="6"/>
      <c r="Q18" s="6" t="e">
        <f>HLOOKUP(M18,[10]Listas!$O$67:$Q$68,2,0)</f>
        <v>#N/A</v>
      </c>
      <c r="R18" s="331" t="e">
        <f>INDEX([10]Listas!$O$69:$Q$73,MATCH(L18,[10]Listas!$M$69:$M$73,0),MATCH(M18,[10]Listas!$O$67:$Q$67,0))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vez",VLOOKUP(AQ18,[10]Listas!$L$69:$M$73,2,0))</f>
        <v>#N/A</v>
      </c>
      <c r="AS18" s="6" t="e">
        <f t="shared" si="11"/>
        <v>#N/A</v>
      </c>
      <c r="AT18" s="331" t="e">
        <f t="shared" si="12"/>
        <v>#N/A</v>
      </c>
      <c r="AU18" s="331" t="e">
        <f>INDEX([10]Listas!$O$69:$Q$73,MATCH(AR18,[10]Listas!$M$69:$M$73,0),MATCH(AT18,[10]Listas!$O$67:$Q$67,0))</f>
        <v>#N/A</v>
      </c>
      <c r="AV18" s="330"/>
      <c r="AW18" s="826"/>
      <c r="AX18" s="843"/>
      <c r="AY18" s="843"/>
      <c r="AZ18" s="12"/>
      <c r="BA18" s="12"/>
      <c r="BB18" s="839"/>
      <c r="BC18" s="12"/>
      <c r="BD18" s="12" t="s">
        <v>2343</v>
      </c>
      <c r="BE18" s="839"/>
      <c r="BF18" s="12"/>
      <c r="BG18" s="12"/>
      <c r="BH18" s="227"/>
      <c r="BI18" s="227"/>
      <c r="BJ18" s="839"/>
      <c r="BK18" s="228"/>
      <c r="BL18" s="228"/>
    </row>
    <row r="19" spans="1:64" s="3" customFormat="1" ht="108" hidden="1" customHeight="1">
      <c r="A19" s="332"/>
      <c r="B19" s="2805"/>
      <c r="C19" s="2806"/>
      <c r="D19" s="2807"/>
      <c r="E19" s="843"/>
      <c r="F19" s="2808"/>
      <c r="G19" s="2809"/>
      <c r="H19" s="2810"/>
      <c r="I19" s="2805"/>
      <c r="J19" s="2806"/>
      <c r="K19" s="2807"/>
      <c r="L19" s="330"/>
      <c r="M19" s="50"/>
      <c r="N19" s="32"/>
      <c r="O19" s="6" t="e">
        <f>VLOOKUP(L19,[10]Listas!$M$69:$N$73,2,0)</f>
        <v>#N/A</v>
      </c>
      <c r="P19" s="6"/>
      <c r="Q19" s="6" t="e">
        <f>HLOOKUP(M19,[10]Listas!$O$67:$Q$68,2,0)</f>
        <v>#N/A</v>
      </c>
      <c r="R19" s="331" t="e">
        <f>INDEX([10]Listas!$O$69:$Q$73,MATCH(L19,[10]Listas!$M$69:$M$73,0),MATCH(M19,[10]Listas!$O$67:$Q$67,0))</f>
        <v>#N/A</v>
      </c>
      <c r="S19" s="2805"/>
      <c r="T19" s="2806"/>
      <c r="U19" s="2807"/>
      <c r="V19" s="329"/>
      <c r="W19" s="329"/>
      <c r="X19" s="329"/>
      <c r="Y19" s="329"/>
      <c r="Z19" s="329"/>
      <c r="AA19" s="329"/>
      <c r="AB19" s="329"/>
      <c r="AC19" s="329"/>
      <c r="AD19" s="329"/>
      <c r="AE19" s="329"/>
      <c r="AF19" s="33"/>
      <c r="AG19" s="6">
        <f t="shared" si="0"/>
        <v>0</v>
      </c>
      <c r="AH19" s="6">
        <f t="shared" si="1"/>
        <v>0</v>
      </c>
      <c r="AI19" s="6">
        <f t="shared" si="2"/>
        <v>0</v>
      </c>
      <c r="AJ19" s="6">
        <f t="shared" si="3"/>
        <v>0</v>
      </c>
      <c r="AK19" s="6">
        <f t="shared" si="4"/>
        <v>0</v>
      </c>
      <c r="AL19" s="6">
        <f t="shared" si="5"/>
        <v>0</v>
      </c>
      <c r="AM19" s="6">
        <f t="shared" si="6"/>
        <v>0</v>
      </c>
      <c r="AN19" s="6">
        <f t="shared" si="7"/>
        <v>0</v>
      </c>
      <c r="AO19" s="6">
        <f t="shared" si="8"/>
        <v>0</v>
      </c>
      <c r="AP19" s="331" t="str">
        <f t="shared" si="9"/>
        <v>0- disminuye 0</v>
      </c>
      <c r="AQ19" s="6" t="e">
        <f t="shared" si="10"/>
        <v>#N/A</v>
      </c>
      <c r="AR19" s="331" t="e">
        <f>IF(AQ19&lt;=1,"Rara vez",VLOOKUP(AQ19,[10]Listas!$L$69:$M$73,2,0))</f>
        <v>#N/A</v>
      </c>
      <c r="AS19" s="6" t="e">
        <f t="shared" si="11"/>
        <v>#N/A</v>
      </c>
      <c r="AT19" s="331" t="e">
        <f t="shared" si="12"/>
        <v>#N/A</v>
      </c>
      <c r="AU19" s="331" t="e">
        <f>INDEX([10]Listas!$O$69:$Q$73,MATCH(AR19,[10]Listas!$M$69:$M$73,0),MATCH(AT19,[10]Listas!$O$67:$Q$67,0))</f>
        <v>#N/A</v>
      </c>
      <c r="AV19" s="330"/>
      <c r="AW19" s="826"/>
      <c r="AX19" s="843"/>
      <c r="AY19" s="843"/>
      <c r="AZ19" s="12"/>
      <c r="BA19" s="12"/>
      <c r="BB19" s="839"/>
      <c r="BC19" s="12"/>
      <c r="BD19" s="12" t="s">
        <v>2343</v>
      </c>
      <c r="BE19" s="839"/>
      <c r="BF19" s="12"/>
      <c r="BG19" s="12"/>
      <c r="BH19" s="227"/>
      <c r="BI19" s="227"/>
      <c r="BJ19" s="839"/>
      <c r="BK19" s="228"/>
      <c r="BL19" s="228"/>
    </row>
    <row r="20" spans="1:64" s="3" customFormat="1" ht="108" hidden="1" customHeight="1">
      <c r="A20" s="332"/>
      <c r="B20" s="2805"/>
      <c r="C20" s="2806"/>
      <c r="D20" s="2807"/>
      <c r="E20" s="843"/>
      <c r="F20" s="2808"/>
      <c r="G20" s="2809"/>
      <c r="H20" s="2810"/>
      <c r="I20" s="2805"/>
      <c r="J20" s="2806"/>
      <c r="K20" s="2807"/>
      <c r="L20" s="330"/>
      <c r="M20" s="50"/>
      <c r="N20" s="32"/>
      <c r="O20" s="6" t="e">
        <f>VLOOKUP(L20,[10]Listas!$M$69:$N$73,2,0)</f>
        <v>#N/A</v>
      </c>
      <c r="P20" s="6"/>
      <c r="Q20" s="6" t="e">
        <f>HLOOKUP(M20,[10]Listas!$O$67:$Q$68,2,0)</f>
        <v>#N/A</v>
      </c>
      <c r="R20" s="331" t="e">
        <f>INDEX([10]Listas!$O$69:$Q$73,MATCH(L20,[10]Listas!$M$69:$M$73,0),MATCH(M20,[10]Listas!$O$67:$Q$67,0))</f>
        <v>#N/A</v>
      </c>
      <c r="S20" s="2805"/>
      <c r="T20" s="2806"/>
      <c r="U20" s="2807"/>
      <c r="V20" s="329"/>
      <c r="W20" s="329"/>
      <c r="X20" s="329"/>
      <c r="Y20" s="329"/>
      <c r="Z20" s="329"/>
      <c r="AA20" s="329"/>
      <c r="AB20" s="329"/>
      <c r="AC20" s="329"/>
      <c r="AD20" s="329"/>
      <c r="AE20" s="329"/>
      <c r="AF20" s="33"/>
      <c r="AG20" s="6">
        <f>IF(Y20="SI",15,0)</f>
        <v>0</v>
      </c>
      <c r="AH20" s="6">
        <f>IF(Z20="SI",5,0)</f>
        <v>0</v>
      </c>
      <c r="AI20" s="6">
        <f>IF(AA20="SI",15,0)</f>
        <v>0</v>
      </c>
      <c r="AJ20" s="6">
        <f>IF(AB20="SI",10,0)</f>
        <v>0</v>
      </c>
      <c r="AK20" s="6">
        <f>IF(AC20="SI",15,0)</f>
        <v>0</v>
      </c>
      <c r="AL20" s="6">
        <f>IF(AD20="SI",10,0)</f>
        <v>0</v>
      </c>
      <c r="AM20" s="6">
        <f>IF(AE20="SI",30,0)</f>
        <v>0</v>
      </c>
      <c r="AN20" s="6">
        <f>SUM(AG20+AH20+AI20+AJ20+AK20+AL20+AM20)</f>
        <v>0</v>
      </c>
      <c r="AO20" s="6">
        <f>IF(AN20&lt;=50,0,IF(AN20&gt;=76,2,1))</f>
        <v>0</v>
      </c>
      <c r="AP20" s="331" t="str">
        <f>CONCATENATE(AN20,"- disminuye ",AO20)</f>
        <v>0- disminuye 0</v>
      </c>
      <c r="AQ20" s="6" t="e">
        <f>IF(V20="SI",O20-AO20,O20)</f>
        <v>#N/A</v>
      </c>
      <c r="AR20" s="331" t="e">
        <f>IF(AQ20&lt;=1,"Rara vez",VLOOKUP(AQ20,[10]Listas!$L$69:$M$73,2,0))</f>
        <v>#N/A</v>
      </c>
      <c r="AS20" s="6" t="e">
        <f>IF(W20="SI",Q20-AO20,Q20)</f>
        <v>#N/A</v>
      </c>
      <c r="AT20" s="331" t="e">
        <f>IF(AS20&lt;=9,"Moderado",IF(AS20=20,"Catastrófico",IF(AS20=18,"Moderado","Mayor")))</f>
        <v>#N/A</v>
      </c>
      <c r="AU20" s="331" t="e">
        <f>INDEX([10]Listas!$O$69:$Q$73,MATCH(AR20,[10]Listas!$M$69:$M$73,0),MATCH(AT20,[10]Listas!$O$67:$Q$67,0))</f>
        <v>#N/A</v>
      </c>
      <c r="AV20" s="330"/>
      <c r="AW20" s="826"/>
      <c r="AX20" s="843"/>
      <c r="AY20" s="843"/>
      <c r="AZ20" s="12"/>
      <c r="BA20" s="12"/>
      <c r="BB20" s="839"/>
      <c r="BC20" s="12"/>
      <c r="BD20" s="12" t="s">
        <v>2343</v>
      </c>
      <c r="BE20" s="839"/>
      <c r="BF20" s="12"/>
      <c r="BG20" s="12"/>
      <c r="BH20" s="227"/>
      <c r="BI20" s="227"/>
      <c r="BJ20" s="839"/>
      <c r="BK20" s="228"/>
      <c r="BL20" s="228"/>
    </row>
    <row r="21" spans="1:64" s="3" customFormat="1" ht="108" hidden="1" customHeight="1">
      <c r="A21" s="332"/>
      <c r="B21" s="2805"/>
      <c r="C21" s="2806"/>
      <c r="D21" s="2807"/>
      <c r="E21" s="843"/>
      <c r="F21" s="2808"/>
      <c r="G21" s="2809"/>
      <c r="H21" s="2810"/>
      <c r="I21" s="2805"/>
      <c r="J21" s="2806"/>
      <c r="K21" s="2807"/>
      <c r="L21" s="330"/>
      <c r="M21" s="50"/>
      <c r="N21" s="32"/>
      <c r="O21" s="6" t="e">
        <f>VLOOKUP(L21,[10]Listas!$M$69:$N$73,2,0)</f>
        <v>#N/A</v>
      </c>
      <c r="P21" s="6"/>
      <c r="Q21" s="6" t="e">
        <f>HLOOKUP(M21,[10]Listas!$O$67:$Q$68,2,0)</f>
        <v>#N/A</v>
      </c>
      <c r="R21" s="331" t="e">
        <f>INDEX([10]Listas!$O$69:$Q$73,MATCH(L21,[10]Listas!$M$69:$M$73,0),MATCH(M21,[10]Listas!$O$67:$Q$67,0))</f>
        <v>#N/A</v>
      </c>
      <c r="S21" s="2805"/>
      <c r="T21" s="2806"/>
      <c r="U21" s="2807"/>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vez",VLOOKUP(AQ21,[10]Listas!$L$69:$M$73,2,0))</f>
        <v>#N/A</v>
      </c>
      <c r="AS21" s="6" t="e">
        <f t="shared" si="11"/>
        <v>#N/A</v>
      </c>
      <c r="AT21" s="331" t="e">
        <f t="shared" si="12"/>
        <v>#N/A</v>
      </c>
      <c r="AU21" s="331" t="e">
        <f>INDEX([10]Listas!$O$69:$Q$73,MATCH(AR21,[10]Listas!$M$69:$M$73,0),MATCH(AT21,[10]Listas!$O$67:$Q$67,0))</f>
        <v>#N/A</v>
      </c>
      <c r="AV21" s="330"/>
      <c r="AW21" s="826"/>
      <c r="AX21" s="843"/>
      <c r="AY21" s="843"/>
      <c r="AZ21" s="12"/>
      <c r="BA21" s="12"/>
      <c r="BB21" s="839"/>
      <c r="BC21" s="12"/>
      <c r="BD21" s="12" t="s">
        <v>2343</v>
      </c>
      <c r="BE21" s="839"/>
      <c r="BF21" s="12"/>
      <c r="BG21" s="12"/>
      <c r="BH21" s="227"/>
      <c r="BI21" s="227"/>
      <c r="BJ21" s="839"/>
      <c r="BK21" s="228"/>
      <c r="BL21" s="228"/>
    </row>
    <row r="22" spans="1:64" ht="6.75" customHeight="1">
      <c r="A22" s="2"/>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1:64" ht="15" customHeight="1">
      <c r="A23" s="317"/>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1:64" s="22" customFormat="1" ht="19.5" customHeight="1">
      <c r="A24" s="10"/>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4" t="s">
        <v>172</v>
      </c>
      <c r="AS24" s="2804"/>
      <c r="AT24" s="2804"/>
      <c r="AU24" s="2804"/>
      <c r="AV24" s="2804"/>
      <c r="AW24" s="2804"/>
      <c r="AX24" s="65"/>
      <c r="AY24" s="65"/>
      <c r="AZ24" s="68"/>
      <c r="BA24" s="68"/>
      <c r="BB24" s="92"/>
      <c r="BC24" s="68"/>
      <c r="BD24" s="68"/>
      <c r="BE24" s="92"/>
      <c r="BF24" s="68"/>
      <c r="BG24" s="68"/>
      <c r="BH24" s="230"/>
      <c r="BI24" s="230"/>
      <c r="BJ24" s="92"/>
      <c r="BK24" s="210"/>
      <c r="BL24" s="210"/>
    </row>
    <row r="25" spans="1:64" s="22" customFormat="1" ht="25.5" customHeight="1">
      <c r="A25" s="11"/>
      <c r="B25" s="2794" t="s">
        <v>562</v>
      </c>
      <c r="C25" s="2795"/>
      <c r="D25" s="2795"/>
      <c r="E25" s="2795"/>
      <c r="F25" s="2795"/>
      <c r="G25" s="2795"/>
      <c r="H25" s="2796"/>
      <c r="I25" s="2794" t="s">
        <v>1884</v>
      </c>
      <c r="J25" s="2795"/>
      <c r="K25" s="2795"/>
      <c r="L25" s="2795"/>
      <c r="M25" s="2795"/>
      <c r="N25" s="2795"/>
      <c r="O25" s="2795"/>
      <c r="P25" s="2795"/>
      <c r="Q25" s="2795"/>
      <c r="R25" s="2795"/>
      <c r="S25" s="2795"/>
      <c r="T25" s="2795"/>
      <c r="U25" s="2796"/>
      <c r="V25" s="2794" t="s">
        <v>1288</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68"/>
      <c r="BA25" s="68"/>
      <c r="BB25" s="92"/>
      <c r="BC25" s="68"/>
      <c r="BD25" s="68"/>
      <c r="BE25" s="92"/>
      <c r="BF25" s="68"/>
      <c r="BG25" s="68"/>
      <c r="BH25" s="230"/>
      <c r="BI25" s="230"/>
      <c r="BJ25" s="92"/>
      <c r="BK25" s="210"/>
      <c r="BL25" s="210"/>
    </row>
    <row r="26" spans="1:64" s="22" customFormat="1" ht="25.5" customHeight="1">
      <c r="A26" s="11"/>
      <c r="B26" s="2794" t="s">
        <v>557</v>
      </c>
      <c r="C26" s="2795"/>
      <c r="D26" s="2795"/>
      <c r="E26" s="2795"/>
      <c r="F26" s="2795"/>
      <c r="G26" s="2795"/>
      <c r="H26" s="2796"/>
      <c r="I26" s="2794" t="s">
        <v>943</v>
      </c>
      <c r="J26" s="2795"/>
      <c r="K26" s="2795"/>
      <c r="L26" s="2795"/>
      <c r="M26" s="2795"/>
      <c r="N26" s="2795"/>
      <c r="O26" s="2795"/>
      <c r="P26" s="2795"/>
      <c r="Q26" s="2795"/>
      <c r="R26" s="2795"/>
      <c r="S26" s="2795"/>
      <c r="T26" s="2795"/>
      <c r="U26" s="2796"/>
      <c r="V26" s="2794" t="s">
        <v>400</v>
      </c>
      <c r="W26" s="2795"/>
      <c r="X26" s="2795"/>
      <c r="Y26" s="2795"/>
      <c r="Z26" s="2795"/>
      <c r="AA26" s="2795"/>
      <c r="AB26" s="2795"/>
      <c r="AC26" s="2795"/>
      <c r="AD26" s="2795"/>
      <c r="AE26" s="2795"/>
      <c r="AF26" s="2795"/>
      <c r="AG26" s="2795"/>
      <c r="AH26" s="2795"/>
      <c r="AI26" s="2795"/>
      <c r="AJ26" s="2795"/>
      <c r="AK26" s="2795"/>
      <c r="AL26" s="2795"/>
      <c r="AM26" s="2795"/>
      <c r="AN26" s="2795"/>
      <c r="AO26" s="2795"/>
      <c r="AP26" s="2796"/>
      <c r="AQ26" s="12"/>
      <c r="AR26" s="2800"/>
      <c r="AS26" s="2800"/>
      <c r="AT26" s="2800"/>
      <c r="AU26" s="2800"/>
      <c r="AV26" s="2800"/>
      <c r="AW26" s="2800"/>
      <c r="AX26" s="65"/>
      <c r="AY26" s="65"/>
      <c r="AZ26" s="68"/>
      <c r="BA26" s="68"/>
      <c r="BB26" s="92"/>
      <c r="BC26" s="68"/>
      <c r="BD26" s="68"/>
      <c r="BE26" s="92"/>
      <c r="BF26" s="68"/>
      <c r="BG26" s="68"/>
      <c r="BH26" s="230"/>
      <c r="BI26" s="230"/>
      <c r="BJ26" s="92"/>
      <c r="BK26" s="210"/>
      <c r="BL26" s="210"/>
    </row>
    <row r="27" spans="1:64" ht="25.5" customHeight="1">
      <c r="A27" s="11"/>
      <c r="B27" s="2794" t="s">
        <v>402</v>
      </c>
      <c r="C27" s="2795"/>
      <c r="D27" s="2795"/>
      <c r="E27" s="2795"/>
      <c r="F27" s="2795"/>
      <c r="G27" s="2795"/>
      <c r="H27" s="2796"/>
      <c r="I27" s="2794" t="s">
        <v>1885</v>
      </c>
      <c r="J27" s="2795"/>
      <c r="K27" s="2795"/>
      <c r="L27" s="2795"/>
      <c r="M27" s="2795"/>
      <c r="N27" s="2795"/>
      <c r="O27" s="2795"/>
      <c r="P27" s="2795"/>
      <c r="Q27" s="2795"/>
      <c r="R27" s="2795"/>
      <c r="S27" s="2795"/>
      <c r="T27" s="2795"/>
      <c r="U27" s="2796"/>
      <c r="V27" s="2794" t="s">
        <v>941</v>
      </c>
      <c r="W27" s="2795"/>
      <c r="X27" s="2795"/>
      <c r="Y27" s="2795"/>
      <c r="Z27" s="2795"/>
      <c r="AA27" s="2795"/>
      <c r="AB27" s="2795"/>
      <c r="AC27" s="2795"/>
      <c r="AD27" s="2795"/>
      <c r="AE27" s="2795"/>
      <c r="AF27" s="2795"/>
      <c r="AG27" s="2795"/>
      <c r="AH27" s="2795"/>
      <c r="AI27" s="2795"/>
      <c r="AJ27" s="2795"/>
      <c r="AK27" s="2795"/>
      <c r="AL27" s="2795"/>
      <c r="AM27" s="2795"/>
      <c r="AN27" s="2795"/>
      <c r="AO27" s="2795"/>
      <c r="AP27" s="2796"/>
      <c r="AQ27" s="12"/>
      <c r="AR27" s="2800"/>
      <c r="AS27" s="2800"/>
      <c r="AT27" s="2800"/>
      <c r="AU27" s="2800"/>
      <c r="AV27" s="2800"/>
      <c r="AW27" s="2800"/>
      <c r="AX27" s="65"/>
      <c r="AY27" s="65"/>
      <c r="AZ27" s="68"/>
      <c r="BA27" s="68"/>
      <c r="BB27" s="92"/>
      <c r="BC27" s="68"/>
      <c r="BD27" s="68"/>
      <c r="BE27" s="92"/>
      <c r="BF27" s="68"/>
      <c r="BG27" s="68"/>
      <c r="BH27" s="230"/>
      <c r="BI27" s="230"/>
      <c r="BJ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2">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2">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2">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2">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2">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2">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2">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2">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2">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2">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2">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2">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2">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1:62">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c r="AZ94" s="68"/>
      <c r="BA94" s="68"/>
      <c r="BB94" s="92"/>
      <c r="BC94" s="68"/>
      <c r="BD94" s="68"/>
      <c r="BE94" s="92"/>
      <c r="BF94" s="68"/>
      <c r="BG94" s="68"/>
      <c r="BH94" s="230"/>
      <c r="BI94" s="230"/>
      <c r="BJ94" s="92"/>
    </row>
    <row r="95" spans="1:62">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2">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1:64">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ht="11.25">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1:64" ht="11.25">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c r="AZ105" s="231"/>
      <c r="BA105" s="231"/>
      <c r="BB105" s="231"/>
      <c r="BC105" s="231"/>
      <c r="BD105" s="231"/>
      <c r="BE105" s="231"/>
      <c r="BF105" s="231"/>
      <c r="BG105" s="231"/>
      <c r="BH105" s="231"/>
      <c r="BI105" s="231"/>
      <c r="BJ105" s="231"/>
      <c r="BK105" s="231"/>
      <c r="BL105" s="231"/>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1:49">
      <c r="A119" s="13"/>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row r="120" spans="1:49">
      <c r="A120" s="13"/>
      <c r="B120" s="13"/>
      <c r="C120" s="13"/>
      <c r="D120" s="13"/>
      <c r="E120" s="14"/>
      <c r="F120" s="13"/>
      <c r="G120" s="13"/>
      <c r="H120" s="13"/>
      <c r="I120" s="13"/>
      <c r="J120" s="13"/>
      <c r="K120" s="13"/>
      <c r="L120" s="15"/>
      <c r="M120" s="15"/>
      <c r="N120" s="15"/>
      <c r="O120" s="15"/>
      <c r="P120" s="15"/>
      <c r="Q120" s="15"/>
      <c r="R120" s="15"/>
      <c r="S120" s="15"/>
      <c r="T120" s="15"/>
      <c r="U120" s="15"/>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5"/>
      <c r="AW120" s="15"/>
    </row>
  </sheetData>
  <sheetProtection formatCells="0" formatColumns="0" formatRows="0" insertRows="0" deleteRows="0" sort="0" autoFilter="0" pivotTables="0"/>
  <mergeCells count="97">
    <mergeCell ref="A1:AB1"/>
    <mergeCell ref="AC1:AU4"/>
    <mergeCell ref="BB1:BE1"/>
    <mergeCell ref="A2:AB2"/>
    <mergeCell ref="BB2:BC2"/>
    <mergeCell ref="BD2:BE2"/>
    <mergeCell ref="A3:D3"/>
    <mergeCell ref="E3:U3"/>
    <mergeCell ref="V3:AB3"/>
    <mergeCell ref="BB3:BC3"/>
    <mergeCell ref="AA6:BA6"/>
    <mergeCell ref="BD3:BE3"/>
    <mergeCell ref="A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B13:D13"/>
    <mergeCell ref="F13:H13"/>
    <mergeCell ref="I13:K13"/>
    <mergeCell ref="S13:U13"/>
    <mergeCell ref="B14:D14"/>
    <mergeCell ref="F14:H14"/>
    <mergeCell ref="I14:K14"/>
    <mergeCell ref="S14:U14"/>
    <mergeCell ref="B15:D15"/>
    <mergeCell ref="F15:H15"/>
    <mergeCell ref="I15:K15"/>
    <mergeCell ref="S15:U15"/>
    <mergeCell ref="B16:D16"/>
    <mergeCell ref="F16:H16"/>
    <mergeCell ref="I16:K16"/>
    <mergeCell ref="S16:U16"/>
    <mergeCell ref="B17:D17"/>
    <mergeCell ref="F17:H17"/>
    <mergeCell ref="I17:K17"/>
    <mergeCell ref="S17:U17"/>
    <mergeCell ref="B18:D18"/>
    <mergeCell ref="F18:H18"/>
    <mergeCell ref="I18:K18"/>
    <mergeCell ref="S18:U18"/>
    <mergeCell ref="B19:D19"/>
    <mergeCell ref="F19:H19"/>
    <mergeCell ref="I19:K19"/>
    <mergeCell ref="S19:U19"/>
    <mergeCell ref="B20:D20"/>
    <mergeCell ref="F20:H20"/>
    <mergeCell ref="I20:K20"/>
    <mergeCell ref="S20:U20"/>
    <mergeCell ref="B21:D21"/>
    <mergeCell ref="F21:H21"/>
    <mergeCell ref="I21:K21"/>
    <mergeCell ref="S21:U21"/>
    <mergeCell ref="B23:U23"/>
    <mergeCell ref="V24:AP24"/>
    <mergeCell ref="AR24:AW24"/>
    <mergeCell ref="B25:H25"/>
    <mergeCell ref="I25:U25"/>
    <mergeCell ref="V25:AP25"/>
    <mergeCell ref="AR25:AW25"/>
    <mergeCell ref="B24:H24"/>
    <mergeCell ref="I24:U24"/>
    <mergeCell ref="B26:H26"/>
    <mergeCell ref="I26:U26"/>
    <mergeCell ref="V26:AP26"/>
    <mergeCell ref="AR26:AW26"/>
    <mergeCell ref="B27:H27"/>
    <mergeCell ref="I27:U27"/>
    <mergeCell ref="V27:AP27"/>
    <mergeCell ref="AR27:AW27"/>
  </mergeCells>
  <dataValidations count="8">
    <dataValidation type="list" allowBlank="1" showInputMessage="1" showErrorMessage="1" sqref="BE10:BE21">
      <formula1>Efectividad</formula1>
    </dataValidation>
    <dataValidation type="list" allowBlank="1" showInputMessage="1" sqref="AV10:AV21">
      <formula1>Periodo</formula1>
    </dataValidation>
    <dataValidation type="list" showInputMessage="1" showErrorMessage="1" sqref="V10:AF21">
      <formula1>Efectividad</formula1>
    </dataValidation>
    <dataValidation showInputMessage="1" showErrorMessage="1" sqref="AG10:AT21"/>
    <dataValidation type="list" allowBlank="1" showInputMessage="1" showErrorMessage="1" sqref="M10:N21">
      <formula1>Impacto</formula1>
    </dataValidation>
    <dataValidation type="list" showInputMessage="1" showErrorMessage="1" sqref="L10:L21">
      <formula1>Probabilidad</formula1>
    </dataValidation>
    <dataValidation type="list" sqref="BD4:BE4">
      <formula1>Monitoreo</formula1>
    </dataValidation>
    <dataValidation type="list" allowBlank="1" showInputMessage="1" showErrorMessage="1" sqref="L6">
      <formula1>Proceso</formula1>
    </dataValidation>
  </dataValidations>
  <printOptions horizontalCentered="1" verticalCentered="1"/>
  <pageMargins left="0.23622047244094491" right="0.23622047244094491" top="0.74803149606299213" bottom="0.35433070866141736" header="0.31496062992125984" footer="0.31496062992125984"/>
  <pageSetup paperSize="14" scale="48" orientation="landscape" r:id="rId1"/>
  <headerFooter>
    <oddFooter>&amp;L&amp;"Segoe UI,Normal"&amp;9Formato: FO-AC-07 Versión: 3&amp;C&amp;"Segoe UI,Normal"&amp;9Página &amp;P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120"/>
  <sheetViews>
    <sheetView showGridLines="0" zoomScaleNormal="100" zoomScaleSheetLayoutView="115" workbookViewId="0">
      <selection activeCell="L6" sqref="L6:U6"/>
    </sheetView>
  </sheetViews>
  <sheetFormatPr baseColWidth="10" defaultRowHeight="15"/>
  <cols>
    <col min="1" max="1" width="1.140625" style="16" customWidth="1"/>
    <col min="2" max="4" width="5.42578125" style="16" customWidth="1"/>
    <col min="5" max="5" width="7.28515625" style="17" customWidth="1"/>
    <col min="6" max="11" width="4.570312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1" width="7.14062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12.85546875" style="18" customWidth="1"/>
    <col min="50" max="50" width="10.7109375" style="21" customWidth="1"/>
    <col min="51" max="51" width="5.5703125" style="21" customWidth="1"/>
    <col min="52" max="52" width="26.28515625" style="210" customWidth="1"/>
    <col min="53" max="53" width="32.28515625" style="210" customWidth="1"/>
    <col min="54" max="54" width="6.140625" style="210" customWidth="1"/>
    <col min="55" max="55" width="19.5703125" style="210" customWidth="1"/>
    <col min="56" max="56" width="27.140625" style="210" customWidth="1"/>
    <col min="57" max="57" width="5.85546875" style="210" customWidth="1"/>
    <col min="58" max="58" width="31.5703125" style="210" customWidth="1"/>
    <col min="59" max="59" width="16.140625" style="210" customWidth="1"/>
    <col min="60" max="61" width="9.28515625" style="210" customWidth="1"/>
    <col min="62" max="62" width="11.140625" style="210" customWidth="1"/>
    <col min="63" max="63" width="2.140625" style="210" customWidth="1"/>
    <col min="64" max="64" width="11.42578125" style="210"/>
    <col min="65" max="256" width="11.42578125" style="20"/>
    <col min="257" max="257" width="1.140625" style="20" customWidth="1"/>
    <col min="258" max="260" width="5.42578125" style="20" customWidth="1"/>
    <col min="261" max="261" width="7.28515625" style="20" customWidth="1"/>
    <col min="262" max="267" width="4.5703125" style="20" customWidth="1"/>
    <col min="268" max="269" width="3.28515625" style="20" bestFit="1" customWidth="1"/>
    <col min="270" max="273" width="0" style="20" hidden="1" customWidth="1"/>
    <col min="274" max="274" width="4.28515625" style="20" customWidth="1"/>
    <col min="275" max="277" width="7.140625" style="20" customWidth="1"/>
    <col min="278" max="280" width="2.7109375" style="20" customWidth="1"/>
    <col min="281" max="281" width="2.85546875" style="20" customWidth="1"/>
    <col min="282" max="287" width="2.7109375" style="20" customWidth="1"/>
    <col min="288" max="297" width="0" style="20" hidden="1" customWidth="1"/>
    <col min="298" max="298" width="4.28515625" style="20" customWidth="1"/>
    <col min="299" max="299" width="0" style="20" hidden="1" customWidth="1"/>
    <col min="300" max="300" width="3.28515625" style="20" bestFit="1" customWidth="1"/>
    <col min="301" max="301" width="0" style="20" hidden="1" customWidth="1"/>
    <col min="302" max="302" width="3.28515625" style="20" bestFit="1" customWidth="1"/>
    <col min="303" max="304" width="4.28515625" style="20" customWidth="1"/>
    <col min="305" max="305" width="12.85546875" style="20" customWidth="1"/>
    <col min="306" max="306" width="10.7109375" style="20" customWidth="1"/>
    <col min="307" max="307" width="5.5703125" style="20" customWidth="1"/>
    <col min="308" max="308" width="26.28515625" style="20" customWidth="1"/>
    <col min="309" max="309" width="32.28515625" style="20" customWidth="1"/>
    <col min="310" max="310" width="6.140625" style="20" customWidth="1"/>
    <col min="311" max="311" width="19.5703125" style="20" customWidth="1"/>
    <col min="312" max="312" width="27.140625" style="20" customWidth="1"/>
    <col min="313" max="313" width="5.85546875" style="20" customWidth="1"/>
    <col min="314" max="314" width="31.5703125" style="20" customWidth="1"/>
    <col min="315" max="315" width="16.140625" style="20" customWidth="1"/>
    <col min="316" max="317" width="9.28515625" style="20" customWidth="1"/>
    <col min="318" max="318" width="11.140625" style="20" customWidth="1"/>
    <col min="319" max="319" width="2.140625" style="20" customWidth="1"/>
    <col min="320" max="512" width="11.42578125" style="20"/>
    <col min="513" max="513" width="1.140625" style="20" customWidth="1"/>
    <col min="514" max="516" width="5.42578125" style="20" customWidth="1"/>
    <col min="517" max="517" width="7.28515625" style="20" customWidth="1"/>
    <col min="518" max="523" width="4.5703125" style="20" customWidth="1"/>
    <col min="524" max="525" width="3.28515625" style="20" bestFit="1" customWidth="1"/>
    <col min="526" max="529" width="0" style="20" hidden="1" customWidth="1"/>
    <col min="530" max="530" width="4.28515625" style="20" customWidth="1"/>
    <col min="531" max="533" width="7.140625" style="20" customWidth="1"/>
    <col min="534" max="536" width="2.7109375" style="20" customWidth="1"/>
    <col min="537" max="537" width="2.85546875" style="20" customWidth="1"/>
    <col min="538" max="543" width="2.7109375" style="20" customWidth="1"/>
    <col min="544" max="553" width="0" style="20" hidden="1" customWidth="1"/>
    <col min="554" max="554" width="4.28515625" style="20" customWidth="1"/>
    <col min="555" max="555" width="0" style="20" hidden="1" customWidth="1"/>
    <col min="556" max="556" width="3.28515625" style="20" bestFit="1" customWidth="1"/>
    <col min="557" max="557" width="0" style="20" hidden="1" customWidth="1"/>
    <col min="558" max="558" width="3.28515625" style="20" bestFit="1" customWidth="1"/>
    <col min="559" max="560" width="4.28515625" style="20" customWidth="1"/>
    <col min="561" max="561" width="12.85546875" style="20" customWidth="1"/>
    <col min="562" max="562" width="10.7109375" style="20" customWidth="1"/>
    <col min="563" max="563" width="5.5703125" style="20" customWidth="1"/>
    <col min="564" max="564" width="26.28515625" style="20" customWidth="1"/>
    <col min="565" max="565" width="32.28515625" style="20" customWidth="1"/>
    <col min="566" max="566" width="6.140625" style="20" customWidth="1"/>
    <col min="567" max="567" width="19.5703125" style="20" customWidth="1"/>
    <col min="568" max="568" width="27.140625" style="20" customWidth="1"/>
    <col min="569" max="569" width="5.85546875" style="20" customWidth="1"/>
    <col min="570" max="570" width="31.5703125" style="20" customWidth="1"/>
    <col min="571" max="571" width="16.140625" style="20" customWidth="1"/>
    <col min="572" max="573" width="9.28515625" style="20" customWidth="1"/>
    <col min="574" max="574" width="11.140625" style="20" customWidth="1"/>
    <col min="575" max="575" width="2.140625" style="20" customWidth="1"/>
    <col min="576" max="768" width="11.42578125" style="20"/>
    <col min="769" max="769" width="1.140625" style="20" customWidth="1"/>
    <col min="770" max="772" width="5.42578125" style="20" customWidth="1"/>
    <col min="773" max="773" width="7.28515625" style="20" customWidth="1"/>
    <col min="774" max="779" width="4.5703125" style="20" customWidth="1"/>
    <col min="780" max="781" width="3.28515625" style="20" bestFit="1" customWidth="1"/>
    <col min="782" max="785" width="0" style="20" hidden="1" customWidth="1"/>
    <col min="786" max="786" width="4.28515625" style="20" customWidth="1"/>
    <col min="787" max="789" width="7.140625" style="20" customWidth="1"/>
    <col min="790" max="792" width="2.7109375" style="20" customWidth="1"/>
    <col min="793" max="793" width="2.85546875" style="20" customWidth="1"/>
    <col min="794" max="799" width="2.7109375" style="20" customWidth="1"/>
    <col min="800" max="809" width="0" style="20" hidden="1" customWidth="1"/>
    <col min="810" max="810" width="4.28515625" style="20" customWidth="1"/>
    <col min="811" max="811" width="0" style="20" hidden="1" customWidth="1"/>
    <col min="812" max="812" width="3.28515625" style="20" bestFit="1" customWidth="1"/>
    <col min="813" max="813" width="0" style="20" hidden="1" customWidth="1"/>
    <col min="814" max="814" width="3.28515625" style="20" bestFit="1" customWidth="1"/>
    <col min="815" max="816" width="4.28515625" style="20" customWidth="1"/>
    <col min="817" max="817" width="12.85546875" style="20" customWidth="1"/>
    <col min="818" max="818" width="10.7109375" style="20" customWidth="1"/>
    <col min="819" max="819" width="5.5703125" style="20" customWidth="1"/>
    <col min="820" max="820" width="26.28515625" style="20" customWidth="1"/>
    <col min="821" max="821" width="32.28515625" style="20" customWidth="1"/>
    <col min="822" max="822" width="6.140625" style="20" customWidth="1"/>
    <col min="823" max="823" width="19.5703125" style="20" customWidth="1"/>
    <col min="824" max="824" width="27.140625" style="20" customWidth="1"/>
    <col min="825" max="825" width="5.85546875" style="20" customWidth="1"/>
    <col min="826" max="826" width="31.5703125" style="20" customWidth="1"/>
    <col min="827" max="827" width="16.140625" style="20" customWidth="1"/>
    <col min="828" max="829" width="9.28515625" style="20" customWidth="1"/>
    <col min="830" max="830" width="11.140625" style="20" customWidth="1"/>
    <col min="831" max="831" width="2.140625" style="20" customWidth="1"/>
    <col min="832" max="1024" width="11.42578125" style="20"/>
    <col min="1025" max="1025" width="1.140625" style="20" customWidth="1"/>
    <col min="1026" max="1028" width="5.42578125" style="20" customWidth="1"/>
    <col min="1029" max="1029" width="7.28515625" style="20" customWidth="1"/>
    <col min="1030" max="1035" width="4.5703125" style="20" customWidth="1"/>
    <col min="1036" max="1037" width="3.28515625" style="20" bestFit="1" customWidth="1"/>
    <col min="1038" max="1041" width="0" style="20" hidden="1" customWidth="1"/>
    <col min="1042" max="1042" width="4.28515625" style="20" customWidth="1"/>
    <col min="1043" max="1045" width="7.140625" style="20" customWidth="1"/>
    <col min="1046" max="1048" width="2.7109375" style="20" customWidth="1"/>
    <col min="1049" max="1049" width="2.85546875" style="20" customWidth="1"/>
    <col min="1050" max="1055" width="2.7109375" style="20" customWidth="1"/>
    <col min="1056" max="1065" width="0" style="20" hidden="1" customWidth="1"/>
    <col min="1066" max="1066" width="4.28515625" style="20" customWidth="1"/>
    <col min="1067" max="1067" width="0" style="20" hidden="1" customWidth="1"/>
    <col min="1068" max="1068" width="3.28515625" style="20" bestFit="1" customWidth="1"/>
    <col min="1069" max="1069" width="0" style="20" hidden="1" customWidth="1"/>
    <col min="1070" max="1070" width="3.28515625" style="20" bestFit="1" customWidth="1"/>
    <col min="1071" max="1072" width="4.28515625" style="20" customWidth="1"/>
    <col min="1073" max="1073" width="12.85546875" style="20" customWidth="1"/>
    <col min="1074" max="1074" width="10.7109375" style="20" customWidth="1"/>
    <col min="1075" max="1075" width="5.5703125" style="20" customWidth="1"/>
    <col min="1076" max="1076" width="26.28515625" style="20" customWidth="1"/>
    <col min="1077" max="1077" width="32.28515625" style="20" customWidth="1"/>
    <col min="1078" max="1078" width="6.140625" style="20" customWidth="1"/>
    <col min="1079" max="1079" width="19.5703125" style="20" customWidth="1"/>
    <col min="1080" max="1080" width="27.140625" style="20" customWidth="1"/>
    <col min="1081" max="1081" width="5.85546875" style="20" customWidth="1"/>
    <col min="1082" max="1082" width="31.5703125" style="20" customWidth="1"/>
    <col min="1083" max="1083" width="16.140625" style="20" customWidth="1"/>
    <col min="1084" max="1085" width="9.28515625" style="20" customWidth="1"/>
    <col min="1086" max="1086" width="11.140625" style="20" customWidth="1"/>
    <col min="1087" max="1087" width="2.140625" style="20" customWidth="1"/>
    <col min="1088" max="1280" width="11.42578125" style="20"/>
    <col min="1281" max="1281" width="1.140625" style="20" customWidth="1"/>
    <col min="1282" max="1284" width="5.42578125" style="20" customWidth="1"/>
    <col min="1285" max="1285" width="7.28515625" style="20" customWidth="1"/>
    <col min="1286" max="1291" width="4.5703125" style="20" customWidth="1"/>
    <col min="1292" max="1293" width="3.28515625" style="20" bestFit="1" customWidth="1"/>
    <col min="1294" max="1297" width="0" style="20" hidden="1" customWidth="1"/>
    <col min="1298" max="1298" width="4.28515625" style="20" customWidth="1"/>
    <col min="1299" max="1301" width="7.140625" style="20" customWidth="1"/>
    <col min="1302" max="1304" width="2.7109375" style="20" customWidth="1"/>
    <col min="1305" max="1305" width="2.85546875" style="20" customWidth="1"/>
    <col min="1306" max="1311" width="2.7109375" style="20" customWidth="1"/>
    <col min="1312" max="1321" width="0" style="20" hidden="1" customWidth="1"/>
    <col min="1322" max="1322" width="4.28515625" style="20" customWidth="1"/>
    <col min="1323" max="1323" width="0" style="20" hidden="1" customWidth="1"/>
    <col min="1324" max="1324" width="3.28515625" style="20" bestFit="1" customWidth="1"/>
    <col min="1325" max="1325" width="0" style="20" hidden="1" customWidth="1"/>
    <col min="1326" max="1326" width="3.28515625" style="20" bestFit="1" customWidth="1"/>
    <col min="1327" max="1328" width="4.28515625" style="20" customWidth="1"/>
    <col min="1329" max="1329" width="12.85546875" style="20" customWidth="1"/>
    <col min="1330" max="1330" width="10.7109375" style="20" customWidth="1"/>
    <col min="1331" max="1331" width="5.5703125" style="20" customWidth="1"/>
    <col min="1332" max="1332" width="26.28515625" style="20" customWidth="1"/>
    <col min="1333" max="1333" width="32.28515625" style="20" customWidth="1"/>
    <col min="1334" max="1334" width="6.140625" style="20" customWidth="1"/>
    <col min="1335" max="1335" width="19.5703125" style="20" customWidth="1"/>
    <col min="1336" max="1336" width="27.140625" style="20" customWidth="1"/>
    <col min="1337" max="1337" width="5.85546875" style="20" customWidth="1"/>
    <col min="1338" max="1338" width="31.5703125" style="20" customWidth="1"/>
    <col min="1339" max="1339" width="16.140625" style="20" customWidth="1"/>
    <col min="1340" max="1341" width="9.28515625" style="20" customWidth="1"/>
    <col min="1342" max="1342" width="11.140625" style="20" customWidth="1"/>
    <col min="1343" max="1343" width="2.140625" style="20" customWidth="1"/>
    <col min="1344" max="1536" width="11.42578125" style="20"/>
    <col min="1537" max="1537" width="1.140625" style="20" customWidth="1"/>
    <col min="1538" max="1540" width="5.42578125" style="20" customWidth="1"/>
    <col min="1541" max="1541" width="7.28515625" style="20" customWidth="1"/>
    <col min="1542" max="1547" width="4.5703125" style="20" customWidth="1"/>
    <col min="1548" max="1549" width="3.28515625" style="20" bestFit="1" customWidth="1"/>
    <col min="1550" max="1553" width="0" style="20" hidden="1" customWidth="1"/>
    <col min="1554" max="1554" width="4.28515625" style="20" customWidth="1"/>
    <col min="1555" max="1557" width="7.140625" style="20" customWidth="1"/>
    <col min="1558" max="1560" width="2.7109375" style="20" customWidth="1"/>
    <col min="1561" max="1561" width="2.85546875" style="20" customWidth="1"/>
    <col min="1562" max="1567" width="2.7109375" style="20" customWidth="1"/>
    <col min="1568" max="1577" width="0" style="20" hidden="1" customWidth="1"/>
    <col min="1578" max="1578" width="4.28515625" style="20" customWidth="1"/>
    <col min="1579" max="1579" width="0" style="20" hidden="1" customWidth="1"/>
    <col min="1580" max="1580" width="3.28515625" style="20" bestFit="1" customWidth="1"/>
    <col min="1581" max="1581" width="0" style="20" hidden="1" customWidth="1"/>
    <col min="1582" max="1582" width="3.28515625" style="20" bestFit="1" customWidth="1"/>
    <col min="1583" max="1584" width="4.28515625" style="20" customWidth="1"/>
    <col min="1585" max="1585" width="12.85546875" style="20" customWidth="1"/>
    <col min="1586" max="1586" width="10.7109375" style="20" customWidth="1"/>
    <col min="1587" max="1587" width="5.5703125" style="20" customWidth="1"/>
    <col min="1588" max="1588" width="26.28515625" style="20" customWidth="1"/>
    <col min="1589" max="1589" width="32.28515625" style="20" customWidth="1"/>
    <col min="1590" max="1590" width="6.140625" style="20" customWidth="1"/>
    <col min="1591" max="1591" width="19.5703125" style="20" customWidth="1"/>
    <col min="1592" max="1592" width="27.140625" style="20" customWidth="1"/>
    <col min="1593" max="1593" width="5.85546875" style="20" customWidth="1"/>
    <col min="1594" max="1594" width="31.5703125" style="20" customWidth="1"/>
    <col min="1595" max="1595" width="16.140625" style="20" customWidth="1"/>
    <col min="1596" max="1597" width="9.28515625" style="20" customWidth="1"/>
    <col min="1598" max="1598" width="11.140625" style="20" customWidth="1"/>
    <col min="1599" max="1599" width="2.140625" style="20" customWidth="1"/>
    <col min="1600" max="1792" width="11.42578125" style="20"/>
    <col min="1793" max="1793" width="1.140625" style="20" customWidth="1"/>
    <col min="1794" max="1796" width="5.42578125" style="20" customWidth="1"/>
    <col min="1797" max="1797" width="7.28515625" style="20" customWidth="1"/>
    <col min="1798" max="1803" width="4.5703125" style="20" customWidth="1"/>
    <col min="1804" max="1805" width="3.28515625" style="20" bestFit="1" customWidth="1"/>
    <col min="1806" max="1809" width="0" style="20" hidden="1" customWidth="1"/>
    <col min="1810" max="1810" width="4.28515625" style="20" customWidth="1"/>
    <col min="1811" max="1813" width="7.140625" style="20" customWidth="1"/>
    <col min="1814" max="1816" width="2.7109375" style="20" customWidth="1"/>
    <col min="1817" max="1817" width="2.85546875" style="20" customWidth="1"/>
    <col min="1818" max="1823" width="2.7109375" style="20" customWidth="1"/>
    <col min="1824" max="1833" width="0" style="20" hidden="1" customWidth="1"/>
    <col min="1834" max="1834" width="4.28515625" style="20" customWidth="1"/>
    <col min="1835" max="1835" width="0" style="20" hidden="1" customWidth="1"/>
    <col min="1836" max="1836" width="3.28515625" style="20" bestFit="1" customWidth="1"/>
    <col min="1837" max="1837" width="0" style="20" hidden="1" customWidth="1"/>
    <col min="1838" max="1838" width="3.28515625" style="20" bestFit="1" customWidth="1"/>
    <col min="1839" max="1840" width="4.28515625" style="20" customWidth="1"/>
    <col min="1841" max="1841" width="12.85546875" style="20" customWidth="1"/>
    <col min="1842" max="1842" width="10.7109375" style="20" customWidth="1"/>
    <col min="1843" max="1843" width="5.5703125" style="20" customWidth="1"/>
    <col min="1844" max="1844" width="26.28515625" style="20" customWidth="1"/>
    <col min="1845" max="1845" width="32.28515625" style="20" customWidth="1"/>
    <col min="1846" max="1846" width="6.140625" style="20" customWidth="1"/>
    <col min="1847" max="1847" width="19.5703125" style="20" customWidth="1"/>
    <col min="1848" max="1848" width="27.140625" style="20" customWidth="1"/>
    <col min="1849" max="1849" width="5.85546875" style="20" customWidth="1"/>
    <col min="1850" max="1850" width="31.5703125" style="20" customWidth="1"/>
    <col min="1851" max="1851" width="16.140625" style="20" customWidth="1"/>
    <col min="1852" max="1853" width="9.28515625" style="20" customWidth="1"/>
    <col min="1854" max="1854" width="11.140625" style="20" customWidth="1"/>
    <col min="1855" max="1855" width="2.140625" style="20" customWidth="1"/>
    <col min="1856" max="2048" width="11.42578125" style="20"/>
    <col min="2049" max="2049" width="1.140625" style="20" customWidth="1"/>
    <col min="2050" max="2052" width="5.42578125" style="20" customWidth="1"/>
    <col min="2053" max="2053" width="7.28515625" style="20" customWidth="1"/>
    <col min="2054" max="2059" width="4.5703125" style="20" customWidth="1"/>
    <col min="2060" max="2061" width="3.28515625" style="20" bestFit="1" customWidth="1"/>
    <col min="2062" max="2065" width="0" style="20" hidden="1" customWidth="1"/>
    <col min="2066" max="2066" width="4.28515625" style="20" customWidth="1"/>
    <col min="2067" max="2069" width="7.140625" style="20" customWidth="1"/>
    <col min="2070" max="2072" width="2.7109375" style="20" customWidth="1"/>
    <col min="2073" max="2073" width="2.85546875" style="20" customWidth="1"/>
    <col min="2074" max="2079" width="2.7109375" style="20" customWidth="1"/>
    <col min="2080" max="2089" width="0" style="20" hidden="1" customWidth="1"/>
    <col min="2090" max="2090" width="4.28515625" style="20" customWidth="1"/>
    <col min="2091" max="2091" width="0" style="20" hidden="1" customWidth="1"/>
    <col min="2092" max="2092" width="3.28515625" style="20" bestFit="1" customWidth="1"/>
    <col min="2093" max="2093" width="0" style="20" hidden="1" customWidth="1"/>
    <col min="2094" max="2094" width="3.28515625" style="20" bestFit="1" customWidth="1"/>
    <col min="2095" max="2096" width="4.28515625" style="20" customWidth="1"/>
    <col min="2097" max="2097" width="12.85546875" style="20" customWidth="1"/>
    <col min="2098" max="2098" width="10.7109375" style="20" customWidth="1"/>
    <col min="2099" max="2099" width="5.5703125" style="20" customWidth="1"/>
    <col min="2100" max="2100" width="26.28515625" style="20" customWidth="1"/>
    <col min="2101" max="2101" width="32.28515625" style="20" customWidth="1"/>
    <col min="2102" max="2102" width="6.140625" style="20" customWidth="1"/>
    <col min="2103" max="2103" width="19.5703125" style="20" customWidth="1"/>
    <col min="2104" max="2104" width="27.140625" style="20" customWidth="1"/>
    <col min="2105" max="2105" width="5.85546875" style="20" customWidth="1"/>
    <col min="2106" max="2106" width="31.5703125" style="20" customWidth="1"/>
    <col min="2107" max="2107" width="16.140625" style="20" customWidth="1"/>
    <col min="2108" max="2109" width="9.28515625" style="20" customWidth="1"/>
    <col min="2110" max="2110" width="11.140625" style="20" customWidth="1"/>
    <col min="2111" max="2111" width="2.140625" style="20" customWidth="1"/>
    <col min="2112" max="2304" width="11.42578125" style="20"/>
    <col min="2305" max="2305" width="1.140625" style="20" customWidth="1"/>
    <col min="2306" max="2308" width="5.42578125" style="20" customWidth="1"/>
    <col min="2309" max="2309" width="7.28515625" style="20" customWidth="1"/>
    <col min="2310" max="2315" width="4.5703125" style="20" customWidth="1"/>
    <col min="2316" max="2317" width="3.28515625" style="20" bestFit="1" customWidth="1"/>
    <col min="2318" max="2321" width="0" style="20" hidden="1" customWidth="1"/>
    <col min="2322" max="2322" width="4.28515625" style="20" customWidth="1"/>
    <col min="2323" max="2325" width="7.140625" style="20" customWidth="1"/>
    <col min="2326" max="2328" width="2.7109375" style="20" customWidth="1"/>
    <col min="2329" max="2329" width="2.85546875" style="20" customWidth="1"/>
    <col min="2330" max="2335" width="2.7109375" style="20" customWidth="1"/>
    <col min="2336" max="2345" width="0" style="20" hidden="1" customWidth="1"/>
    <col min="2346" max="2346" width="4.28515625" style="20" customWidth="1"/>
    <col min="2347" max="2347" width="0" style="20" hidden="1" customWidth="1"/>
    <col min="2348" max="2348" width="3.28515625" style="20" bestFit="1" customWidth="1"/>
    <col min="2349" max="2349" width="0" style="20" hidden="1" customWidth="1"/>
    <col min="2350" max="2350" width="3.28515625" style="20" bestFit="1" customWidth="1"/>
    <col min="2351" max="2352" width="4.28515625" style="20" customWidth="1"/>
    <col min="2353" max="2353" width="12.85546875" style="20" customWidth="1"/>
    <col min="2354" max="2354" width="10.7109375" style="20" customWidth="1"/>
    <col min="2355" max="2355" width="5.5703125" style="20" customWidth="1"/>
    <col min="2356" max="2356" width="26.28515625" style="20" customWidth="1"/>
    <col min="2357" max="2357" width="32.28515625" style="20" customWidth="1"/>
    <col min="2358" max="2358" width="6.140625" style="20" customWidth="1"/>
    <col min="2359" max="2359" width="19.5703125" style="20" customWidth="1"/>
    <col min="2360" max="2360" width="27.140625" style="20" customWidth="1"/>
    <col min="2361" max="2361" width="5.85546875" style="20" customWidth="1"/>
    <col min="2362" max="2362" width="31.5703125" style="20" customWidth="1"/>
    <col min="2363" max="2363" width="16.140625" style="20" customWidth="1"/>
    <col min="2364" max="2365" width="9.28515625" style="20" customWidth="1"/>
    <col min="2366" max="2366" width="11.140625" style="20" customWidth="1"/>
    <col min="2367" max="2367" width="2.140625" style="20" customWidth="1"/>
    <col min="2368" max="2560" width="11.42578125" style="20"/>
    <col min="2561" max="2561" width="1.140625" style="20" customWidth="1"/>
    <col min="2562" max="2564" width="5.42578125" style="20" customWidth="1"/>
    <col min="2565" max="2565" width="7.28515625" style="20" customWidth="1"/>
    <col min="2566" max="2571" width="4.5703125" style="20" customWidth="1"/>
    <col min="2572" max="2573" width="3.28515625" style="20" bestFit="1" customWidth="1"/>
    <col min="2574" max="2577" width="0" style="20" hidden="1" customWidth="1"/>
    <col min="2578" max="2578" width="4.28515625" style="20" customWidth="1"/>
    <col min="2579" max="2581" width="7.140625" style="20" customWidth="1"/>
    <col min="2582" max="2584" width="2.7109375" style="20" customWidth="1"/>
    <col min="2585" max="2585" width="2.85546875" style="20" customWidth="1"/>
    <col min="2586" max="2591" width="2.7109375" style="20" customWidth="1"/>
    <col min="2592" max="2601" width="0" style="20" hidden="1" customWidth="1"/>
    <col min="2602" max="2602" width="4.28515625" style="20" customWidth="1"/>
    <col min="2603" max="2603" width="0" style="20" hidden="1" customWidth="1"/>
    <col min="2604" max="2604" width="3.28515625" style="20" bestFit="1" customWidth="1"/>
    <col min="2605" max="2605" width="0" style="20" hidden="1" customWidth="1"/>
    <col min="2606" max="2606" width="3.28515625" style="20" bestFit="1" customWidth="1"/>
    <col min="2607" max="2608" width="4.28515625" style="20" customWidth="1"/>
    <col min="2609" max="2609" width="12.85546875" style="20" customWidth="1"/>
    <col min="2610" max="2610" width="10.7109375" style="20" customWidth="1"/>
    <col min="2611" max="2611" width="5.5703125" style="20" customWidth="1"/>
    <col min="2612" max="2612" width="26.28515625" style="20" customWidth="1"/>
    <col min="2613" max="2613" width="32.28515625" style="20" customWidth="1"/>
    <col min="2614" max="2614" width="6.140625" style="20" customWidth="1"/>
    <col min="2615" max="2615" width="19.5703125" style="20" customWidth="1"/>
    <col min="2616" max="2616" width="27.140625" style="20" customWidth="1"/>
    <col min="2617" max="2617" width="5.85546875" style="20" customWidth="1"/>
    <col min="2618" max="2618" width="31.5703125" style="20" customWidth="1"/>
    <col min="2619" max="2619" width="16.140625" style="20" customWidth="1"/>
    <col min="2620" max="2621" width="9.28515625" style="20" customWidth="1"/>
    <col min="2622" max="2622" width="11.140625" style="20" customWidth="1"/>
    <col min="2623" max="2623" width="2.140625" style="20" customWidth="1"/>
    <col min="2624" max="2816" width="11.42578125" style="20"/>
    <col min="2817" max="2817" width="1.140625" style="20" customWidth="1"/>
    <col min="2818" max="2820" width="5.42578125" style="20" customWidth="1"/>
    <col min="2821" max="2821" width="7.28515625" style="20" customWidth="1"/>
    <col min="2822" max="2827" width="4.5703125" style="20" customWidth="1"/>
    <col min="2828" max="2829" width="3.28515625" style="20" bestFit="1" customWidth="1"/>
    <col min="2830" max="2833" width="0" style="20" hidden="1" customWidth="1"/>
    <col min="2834" max="2834" width="4.28515625" style="20" customWidth="1"/>
    <col min="2835" max="2837" width="7.140625" style="20" customWidth="1"/>
    <col min="2838" max="2840" width="2.7109375" style="20" customWidth="1"/>
    <col min="2841" max="2841" width="2.85546875" style="20" customWidth="1"/>
    <col min="2842" max="2847" width="2.7109375" style="20" customWidth="1"/>
    <col min="2848" max="2857" width="0" style="20" hidden="1" customWidth="1"/>
    <col min="2858" max="2858" width="4.28515625" style="20" customWidth="1"/>
    <col min="2859" max="2859" width="0" style="20" hidden="1" customWidth="1"/>
    <col min="2860" max="2860" width="3.28515625" style="20" bestFit="1" customWidth="1"/>
    <col min="2861" max="2861" width="0" style="20" hidden="1" customWidth="1"/>
    <col min="2862" max="2862" width="3.28515625" style="20" bestFit="1" customWidth="1"/>
    <col min="2863" max="2864" width="4.28515625" style="20" customWidth="1"/>
    <col min="2865" max="2865" width="12.85546875" style="20" customWidth="1"/>
    <col min="2866" max="2866" width="10.7109375" style="20" customWidth="1"/>
    <col min="2867" max="2867" width="5.5703125" style="20" customWidth="1"/>
    <col min="2868" max="2868" width="26.28515625" style="20" customWidth="1"/>
    <col min="2869" max="2869" width="32.28515625" style="20" customWidth="1"/>
    <col min="2870" max="2870" width="6.140625" style="20" customWidth="1"/>
    <col min="2871" max="2871" width="19.5703125" style="20" customWidth="1"/>
    <col min="2872" max="2872" width="27.140625" style="20" customWidth="1"/>
    <col min="2873" max="2873" width="5.85546875" style="20" customWidth="1"/>
    <col min="2874" max="2874" width="31.5703125" style="20" customWidth="1"/>
    <col min="2875" max="2875" width="16.140625" style="20" customWidth="1"/>
    <col min="2876" max="2877" width="9.28515625" style="20" customWidth="1"/>
    <col min="2878" max="2878" width="11.140625" style="20" customWidth="1"/>
    <col min="2879" max="2879" width="2.140625" style="20" customWidth="1"/>
    <col min="2880" max="3072" width="11.42578125" style="20"/>
    <col min="3073" max="3073" width="1.140625" style="20" customWidth="1"/>
    <col min="3074" max="3076" width="5.42578125" style="20" customWidth="1"/>
    <col min="3077" max="3077" width="7.28515625" style="20" customWidth="1"/>
    <col min="3078" max="3083" width="4.5703125" style="20" customWidth="1"/>
    <col min="3084" max="3085" width="3.28515625" style="20" bestFit="1" customWidth="1"/>
    <col min="3086" max="3089" width="0" style="20" hidden="1" customWidth="1"/>
    <col min="3090" max="3090" width="4.28515625" style="20" customWidth="1"/>
    <col min="3091" max="3093" width="7.140625" style="20" customWidth="1"/>
    <col min="3094" max="3096" width="2.7109375" style="20" customWidth="1"/>
    <col min="3097" max="3097" width="2.85546875" style="20" customWidth="1"/>
    <col min="3098" max="3103" width="2.7109375" style="20" customWidth="1"/>
    <col min="3104" max="3113" width="0" style="20" hidden="1" customWidth="1"/>
    <col min="3114" max="3114" width="4.28515625" style="20" customWidth="1"/>
    <col min="3115" max="3115" width="0" style="20" hidden="1" customWidth="1"/>
    <col min="3116" max="3116" width="3.28515625" style="20" bestFit="1" customWidth="1"/>
    <col min="3117" max="3117" width="0" style="20" hidden="1" customWidth="1"/>
    <col min="3118" max="3118" width="3.28515625" style="20" bestFit="1" customWidth="1"/>
    <col min="3119" max="3120" width="4.28515625" style="20" customWidth="1"/>
    <col min="3121" max="3121" width="12.85546875" style="20" customWidth="1"/>
    <col min="3122" max="3122" width="10.7109375" style="20" customWidth="1"/>
    <col min="3123" max="3123" width="5.5703125" style="20" customWidth="1"/>
    <col min="3124" max="3124" width="26.28515625" style="20" customWidth="1"/>
    <col min="3125" max="3125" width="32.28515625" style="20" customWidth="1"/>
    <col min="3126" max="3126" width="6.140625" style="20" customWidth="1"/>
    <col min="3127" max="3127" width="19.5703125" style="20" customWidth="1"/>
    <col min="3128" max="3128" width="27.140625" style="20" customWidth="1"/>
    <col min="3129" max="3129" width="5.85546875" style="20" customWidth="1"/>
    <col min="3130" max="3130" width="31.5703125" style="20" customWidth="1"/>
    <col min="3131" max="3131" width="16.140625" style="20" customWidth="1"/>
    <col min="3132" max="3133" width="9.28515625" style="20" customWidth="1"/>
    <col min="3134" max="3134" width="11.140625" style="20" customWidth="1"/>
    <col min="3135" max="3135" width="2.140625" style="20" customWidth="1"/>
    <col min="3136" max="3328" width="11.42578125" style="20"/>
    <col min="3329" max="3329" width="1.140625" style="20" customWidth="1"/>
    <col min="3330" max="3332" width="5.42578125" style="20" customWidth="1"/>
    <col min="3333" max="3333" width="7.28515625" style="20" customWidth="1"/>
    <col min="3334" max="3339" width="4.5703125" style="20" customWidth="1"/>
    <col min="3340" max="3341" width="3.28515625" style="20" bestFit="1" customWidth="1"/>
    <col min="3342" max="3345" width="0" style="20" hidden="1" customWidth="1"/>
    <col min="3346" max="3346" width="4.28515625" style="20" customWidth="1"/>
    <col min="3347" max="3349" width="7.140625" style="20" customWidth="1"/>
    <col min="3350" max="3352" width="2.7109375" style="20" customWidth="1"/>
    <col min="3353" max="3353" width="2.85546875" style="20" customWidth="1"/>
    <col min="3354" max="3359" width="2.7109375" style="20" customWidth="1"/>
    <col min="3360" max="3369" width="0" style="20" hidden="1" customWidth="1"/>
    <col min="3370" max="3370" width="4.28515625" style="20" customWidth="1"/>
    <col min="3371" max="3371" width="0" style="20" hidden="1" customWidth="1"/>
    <col min="3372" max="3372" width="3.28515625" style="20" bestFit="1" customWidth="1"/>
    <col min="3373" max="3373" width="0" style="20" hidden="1" customWidth="1"/>
    <col min="3374" max="3374" width="3.28515625" style="20" bestFit="1" customWidth="1"/>
    <col min="3375" max="3376" width="4.28515625" style="20" customWidth="1"/>
    <col min="3377" max="3377" width="12.85546875" style="20" customWidth="1"/>
    <col min="3378" max="3378" width="10.7109375" style="20" customWidth="1"/>
    <col min="3379" max="3379" width="5.5703125" style="20" customWidth="1"/>
    <col min="3380" max="3380" width="26.28515625" style="20" customWidth="1"/>
    <col min="3381" max="3381" width="32.28515625" style="20" customWidth="1"/>
    <col min="3382" max="3382" width="6.140625" style="20" customWidth="1"/>
    <col min="3383" max="3383" width="19.5703125" style="20" customWidth="1"/>
    <col min="3384" max="3384" width="27.140625" style="20" customWidth="1"/>
    <col min="3385" max="3385" width="5.85546875" style="20" customWidth="1"/>
    <col min="3386" max="3386" width="31.5703125" style="20" customWidth="1"/>
    <col min="3387" max="3387" width="16.140625" style="20" customWidth="1"/>
    <col min="3388" max="3389" width="9.28515625" style="20" customWidth="1"/>
    <col min="3390" max="3390" width="11.140625" style="20" customWidth="1"/>
    <col min="3391" max="3391" width="2.140625" style="20" customWidth="1"/>
    <col min="3392" max="3584" width="11.42578125" style="20"/>
    <col min="3585" max="3585" width="1.140625" style="20" customWidth="1"/>
    <col min="3586" max="3588" width="5.42578125" style="20" customWidth="1"/>
    <col min="3589" max="3589" width="7.28515625" style="20" customWidth="1"/>
    <col min="3590" max="3595" width="4.5703125" style="20" customWidth="1"/>
    <col min="3596" max="3597" width="3.28515625" style="20" bestFit="1" customWidth="1"/>
    <col min="3598" max="3601" width="0" style="20" hidden="1" customWidth="1"/>
    <col min="3602" max="3602" width="4.28515625" style="20" customWidth="1"/>
    <col min="3603" max="3605" width="7.140625" style="20" customWidth="1"/>
    <col min="3606" max="3608" width="2.7109375" style="20" customWidth="1"/>
    <col min="3609" max="3609" width="2.85546875" style="20" customWidth="1"/>
    <col min="3610" max="3615" width="2.7109375" style="20" customWidth="1"/>
    <col min="3616" max="3625" width="0" style="20" hidden="1" customWidth="1"/>
    <col min="3626" max="3626" width="4.28515625" style="20" customWidth="1"/>
    <col min="3627" max="3627" width="0" style="20" hidden="1" customWidth="1"/>
    <col min="3628" max="3628" width="3.28515625" style="20" bestFit="1" customWidth="1"/>
    <col min="3629" max="3629" width="0" style="20" hidden="1" customWidth="1"/>
    <col min="3630" max="3630" width="3.28515625" style="20" bestFit="1" customWidth="1"/>
    <col min="3631" max="3632" width="4.28515625" style="20" customWidth="1"/>
    <col min="3633" max="3633" width="12.85546875" style="20" customWidth="1"/>
    <col min="3634" max="3634" width="10.7109375" style="20" customWidth="1"/>
    <col min="3635" max="3635" width="5.5703125" style="20" customWidth="1"/>
    <col min="3636" max="3636" width="26.28515625" style="20" customWidth="1"/>
    <col min="3637" max="3637" width="32.28515625" style="20" customWidth="1"/>
    <col min="3638" max="3638" width="6.140625" style="20" customWidth="1"/>
    <col min="3639" max="3639" width="19.5703125" style="20" customWidth="1"/>
    <col min="3640" max="3640" width="27.140625" style="20" customWidth="1"/>
    <col min="3641" max="3641" width="5.85546875" style="20" customWidth="1"/>
    <col min="3642" max="3642" width="31.5703125" style="20" customWidth="1"/>
    <col min="3643" max="3643" width="16.140625" style="20" customWidth="1"/>
    <col min="3644" max="3645" width="9.28515625" style="20" customWidth="1"/>
    <col min="3646" max="3646" width="11.140625" style="20" customWidth="1"/>
    <col min="3647" max="3647" width="2.140625" style="20" customWidth="1"/>
    <col min="3648" max="3840" width="11.42578125" style="20"/>
    <col min="3841" max="3841" width="1.140625" style="20" customWidth="1"/>
    <col min="3842" max="3844" width="5.42578125" style="20" customWidth="1"/>
    <col min="3845" max="3845" width="7.28515625" style="20" customWidth="1"/>
    <col min="3846" max="3851" width="4.5703125" style="20" customWidth="1"/>
    <col min="3852" max="3853" width="3.28515625" style="20" bestFit="1" customWidth="1"/>
    <col min="3854" max="3857" width="0" style="20" hidden="1" customWidth="1"/>
    <col min="3858" max="3858" width="4.28515625" style="20" customWidth="1"/>
    <col min="3859" max="3861" width="7.140625" style="20" customWidth="1"/>
    <col min="3862" max="3864" width="2.7109375" style="20" customWidth="1"/>
    <col min="3865" max="3865" width="2.85546875" style="20" customWidth="1"/>
    <col min="3866" max="3871" width="2.7109375" style="20" customWidth="1"/>
    <col min="3872" max="3881" width="0" style="20" hidden="1" customWidth="1"/>
    <col min="3882" max="3882" width="4.28515625" style="20" customWidth="1"/>
    <col min="3883" max="3883" width="0" style="20" hidden="1" customWidth="1"/>
    <col min="3884" max="3884" width="3.28515625" style="20" bestFit="1" customWidth="1"/>
    <col min="3885" max="3885" width="0" style="20" hidden="1" customWidth="1"/>
    <col min="3886" max="3886" width="3.28515625" style="20" bestFit="1" customWidth="1"/>
    <col min="3887" max="3888" width="4.28515625" style="20" customWidth="1"/>
    <col min="3889" max="3889" width="12.85546875" style="20" customWidth="1"/>
    <col min="3890" max="3890" width="10.7109375" style="20" customWidth="1"/>
    <col min="3891" max="3891" width="5.5703125" style="20" customWidth="1"/>
    <col min="3892" max="3892" width="26.28515625" style="20" customWidth="1"/>
    <col min="3893" max="3893" width="32.28515625" style="20" customWidth="1"/>
    <col min="3894" max="3894" width="6.140625" style="20" customWidth="1"/>
    <col min="3895" max="3895" width="19.5703125" style="20" customWidth="1"/>
    <col min="3896" max="3896" width="27.140625" style="20" customWidth="1"/>
    <col min="3897" max="3897" width="5.85546875" style="20" customWidth="1"/>
    <col min="3898" max="3898" width="31.5703125" style="20" customWidth="1"/>
    <col min="3899" max="3899" width="16.140625" style="20" customWidth="1"/>
    <col min="3900" max="3901" width="9.28515625" style="20" customWidth="1"/>
    <col min="3902" max="3902" width="11.140625" style="20" customWidth="1"/>
    <col min="3903" max="3903" width="2.140625" style="20" customWidth="1"/>
    <col min="3904" max="4096" width="11.42578125" style="20"/>
    <col min="4097" max="4097" width="1.140625" style="20" customWidth="1"/>
    <col min="4098" max="4100" width="5.42578125" style="20" customWidth="1"/>
    <col min="4101" max="4101" width="7.28515625" style="20" customWidth="1"/>
    <col min="4102" max="4107" width="4.5703125" style="20" customWidth="1"/>
    <col min="4108" max="4109" width="3.28515625" style="20" bestFit="1" customWidth="1"/>
    <col min="4110" max="4113" width="0" style="20" hidden="1" customWidth="1"/>
    <col min="4114" max="4114" width="4.28515625" style="20" customWidth="1"/>
    <col min="4115" max="4117" width="7.140625" style="20" customWidth="1"/>
    <col min="4118" max="4120" width="2.7109375" style="20" customWidth="1"/>
    <col min="4121" max="4121" width="2.85546875" style="20" customWidth="1"/>
    <col min="4122" max="4127" width="2.7109375" style="20" customWidth="1"/>
    <col min="4128" max="4137" width="0" style="20" hidden="1" customWidth="1"/>
    <col min="4138" max="4138" width="4.28515625" style="20" customWidth="1"/>
    <col min="4139" max="4139" width="0" style="20" hidden="1" customWidth="1"/>
    <col min="4140" max="4140" width="3.28515625" style="20" bestFit="1" customWidth="1"/>
    <col min="4141" max="4141" width="0" style="20" hidden="1" customWidth="1"/>
    <col min="4142" max="4142" width="3.28515625" style="20" bestFit="1" customWidth="1"/>
    <col min="4143" max="4144" width="4.28515625" style="20" customWidth="1"/>
    <col min="4145" max="4145" width="12.85546875" style="20" customWidth="1"/>
    <col min="4146" max="4146" width="10.7109375" style="20" customWidth="1"/>
    <col min="4147" max="4147" width="5.5703125" style="20" customWidth="1"/>
    <col min="4148" max="4148" width="26.28515625" style="20" customWidth="1"/>
    <col min="4149" max="4149" width="32.28515625" style="20" customWidth="1"/>
    <col min="4150" max="4150" width="6.140625" style="20" customWidth="1"/>
    <col min="4151" max="4151" width="19.5703125" style="20" customWidth="1"/>
    <col min="4152" max="4152" width="27.140625" style="20" customWidth="1"/>
    <col min="4153" max="4153" width="5.85546875" style="20" customWidth="1"/>
    <col min="4154" max="4154" width="31.5703125" style="20" customWidth="1"/>
    <col min="4155" max="4155" width="16.140625" style="20" customWidth="1"/>
    <col min="4156" max="4157" width="9.28515625" style="20" customWidth="1"/>
    <col min="4158" max="4158" width="11.140625" style="20" customWidth="1"/>
    <col min="4159" max="4159" width="2.140625" style="20" customWidth="1"/>
    <col min="4160" max="4352" width="11.42578125" style="20"/>
    <col min="4353" max="4353" width="1.140625" style="20" customWidth="1"/>
    <col min="4354" max="4356" width="5.42578125" style="20" customWidth="1"/>
    <col min="4357" max="4357" width="7.28515625" style="20" customWidth="1"/>
    <col min="4358" max="4363" width="4.5703125" style="20" customWidth="1"/>
    <col min="4364" max="4365" width="3.28515625" style="20" bestFit="1" customWidth="1"/>
    <col min="4366" max="4369" width="0" style="20" hidden="1" customWidth="1"/>
    <col min="4370" max="4370" width="4.28515625" style="20" customWidth="1"/>
    <col min="4371" max="4373" width="7.140625" style="20" customWidth="1"/>
    <col min="4374" max="4376" width="2.7109375" style="20" customWidth="1"/>
    <col min="4377" max="4377" width="2.85546875" style="20" customWidth="1"/>
    <col min="4378" max="4383" width="2.7109375" style="20" customWidth="1"/>
    <col min="4384" max="4393" width="0" style="20" hidden="1" customWidth="1"/>
    <col min="4394" max="4394" width="4.28515625" style="20" customWidth="1"/>
    <col min="4395" max="4395" width="0" style="20" hidden="1" customWidth="1"/>
    <col min="4396" max="4396" width="3.28515625" style="20" bestFit="1" customWidth="1"/>
    <col min="4397" max="4397" width="0" style="20" hidden="1" customWidth="1"/>
    <col min="4398" max="4398" width="3.28515625" style="20" bestFit="1" customWidth="1"/>
    <col min="4399" max="4400" width="4.28515625" style="20" customWidth="1"/>
    <col min="4401" max="4401" width="12.85546875" style="20" customWidth="1"/>
    <col min="4402" max="4402" width="10.7109375" style="20" customWidth="1"/>
    <col min="4403" max="4403" width="5.5703125" style="20" customWidth="1"/>
    <col min="4404" max="4404" width="26.28515625" style="20" customWidth="1"/>
    <col min="4405" max="4405" width="32.28515625" style="20" customWidth="1"/>
    <col min="4406" max="4406" width="6.140625" style="20" customWidth="1"/>
    <col min="4407" max="4407" width="19.5703125" style="20" customWidth="1"/>
    <col min="4408" max="4408" width="27.140625" style="20" customWidth="1"/>
    <col min="4409" max="4409" width="5.85546875" style="20" customWidth="1"/>
    <col min="4410" max="4410" width="31.5703125" style="20" customWidth="1"/>
    <col min="4411" max="4411" width="16.140625" style="20" customWidth="1"/>
    <col min="4412" max="4413" width="9.28515625" style="20" customWidth="1"/>
    <col min="4414" max="4414" width="11.140625" style="20" customWidth="1"/>
    <col min="4415" max="4415" width="2.140625" style="20" customWidth="1"/>
    <col min="4416" max="4608" width="11.42578125" style="20"/>
    <col min="4609" max="4609" width="1.140625" style="20" customWidth="1"/>
    <col min="4610" max="4612" width="5.42578125" style="20" customWidth="1"/>
    <col min="4613" max="4613" width="7.28515625" style="20" customWidth="1"/>
    <col min="4614" max="4619" width="4.5703125" style="20" customWidth="1"/>
    <col min="4620" max="4621" width="3.28515625" style="20" bestFit="1" customWidth="1"/>
    <col min="4622" max="4625" width="0" style="20" hidden="1" customWidth="1"/>
    <col min="4626" max="4626" width="4.28515625" style="20" customWidth="1"/>
    <col min="4627" max="4629" width="7.140625" style="20" customWidth="1"/>
    <col min="4630" max="4632" width="2.7109375" style="20" customWidth="1"/>
    <col min="4633" max="4633" width="2.85546875" style="20" customWidth="1"/>
    <col min="4634" max="4639" width="2.7109375" style="20" customWidth="1"/>
    <col min="4640" max="4649" width="0" style="20" hidden="1" customWidth="1"/>
    <col min="4650" max="4650" width="4.28515625" style="20" customWidth="1"/>
    <col min="4651" max="4651" width="0" style="20" hidden="1" customWidth="1"/>
    <col min="4652" max="4652" width="3.28515625" style="20" bestFit="1" customWidth="1"/>
    <col min="4653" max="4653" width="0" style="20" hidden="1" customWidth="1"/>
    <col min="4654" max="4654" width="3.28515625" style="20" bestFit="1" customWidth="1"/>
    <col min="4655" max="4656" width="4.28515625" style="20" customWidth="1"/>
    <col min="4657" max="4657" width="12.85546875" style="20" customWidth="1"/>
    <col min="4658" max="4658" width="10.7109375" style="20" customWidth="1"/>
    <col min="4659" max="4659" width="5.5703125" style="20" customWidth="1"/>
    <col min="4660" max="4660" width="26.28515625" style="20" customWidth="1"/>
    <col min="4661" max="4661" width="32.28515625" style="20" customWidth="1"/>
    <col min="4662" max="4662" width="6.140625" style="20" customWidth="1"/>
    <col min="4663" max="4663" width="19.5703125" style="20" customWidth="1"/>
    <col min="4664" max="4664" width="27.140625" style="20" customWidth="1"/>
    <col min="4665" max="4665" width="5.85546875" style="20" customWidth="1"/>
    <col min="4666" max="4666" width="31.5703125" style="20" customWidth="1"/>
    <col min="4667" max="4667" width="16.140625" style="20" customWidth="1"/>
    <col min="4668" max="4669" width="9.28515625" style="20" customWidth="1"/>
    <col min="4670" max="4670" width="11.140625" style="20" customWidth="1"/>
    <col min="4671" max="4671" width="2.140625" style="20" customWidth="1"/>
    <col min="4672" max="4864" width="11.42578125" style="20"/>
    <col min="4865" max="4865" width="1.140625" style="20" customWidth="1"/>
    <col min="4866" max="4868" width="5.42578125" style="20" customWidth="1"/>
    <col min="4869" max="4869" width="7.28515625" style="20" customWidth="1"/>
    <col min="4870" max="4875" width="4.5703125" style="20" customWidth="1"/>
    <col min="4876" max="4877" width="3.28515625" style="20" bestFit="1" customWidth="1"/>
    <col min="4878" max="4881" width="0" style="20" hidden="1" customWidth="1"/>
    <col min="4882" max="4882" width="4.28515625" style="20" customWidth="1"/>
    <col min="4883" max="4885" width="7.140625" style="20" customWidth="1"/>
    <col min="4886" max="4888" width="2.7109375" style="20" customWidth="1"/>
    <col min="4889" max="4889" width="2.85546875" style="20" customWidth="1"/>
    <col min="4890" max="4895" width="2.7109375" style="20" customWidth="1"/>
    <col min="4896" max="4905" width="0" style="20" hidden="1" customWidth="1"/>
    <col min="4906" max="4906" width="4.28515625" style="20" customWidth="1"/>
    <col min="4907" max="4907" width="0" style="20" hidden="1" customWidth="1"/>
    <col min="4908" max="4908" width="3.28515625" style="20" bestFit="1" customWidth="1"/>
    <col min="4909" max="4909" width="0" style="20" hidden="1" customWidth="1"/>
    <col min="4910" max="4910" width="3.28515625" style="20" bestFit="1" customWidth="1"/>
    <col min="4911" max="4912" width="4.28515625" style="20" customWidth="1"/>
    <col min="4913" max="4913" width="12.85546875" style="20" customWidth="1"/>
    <col min="4914" max="4914" width="10.7109375" style="20" customWidth="1"/>
    <col min="4915" max="4915" width="5.5703125" style="20" customWidth="1"/>
    <col min="4916" max="4916" width="26.28515625" style="20" customWidth="1"/>
    <col min="4917" max="4917" width="32.28515625" style="20" customWidth="1"/>
    <col min="4918" max="4918" width="6.140625" style="20" customWidth="1"/>
    <col min="4919" max="4919" width="19.5703125" style="20" customWidth="1"/>
    <col min="4920" max="4920" width="27.140625" style="20" customWidth="1"/>
    <col min="4921" max="4921" width="5.85546875" style="20" customWidth="1"/>
    <col min="4922" max="4922" width="31.5703125" style="20" customWidth="1"/>
    <col min="4923" max="4923" width="16.140625" style="20" customWidth="1"/>
    <col min="4924" max="4925" width="9.28515625" style="20" customWidth="1"/>
    <col min="4926" max="4926" width="11.140625" style="20" customWidth="1"/>
    <col min="4927" max="4927" width="2.140625" style="20" customWidth="1"/>
    <col min="4928" max="5120" width="11.42578125" style="20"/>
    <col min="5121" max="5121" width="1.140625" style="20" customWidth="1"/>
    <col min="5122" max="5124" width="5.42578125" style="20" customWidth="1"/>
    <col min="5125" max="5125" width="7.28515625" style="20" customWidth="1"/>
    <col min="5126" max="5131" width="4.5703125" style="20" customWidth="1"/>
    <col min="5132" max="5133" width="3.28515625" style="20" bestFit="1" customWidth="1"/>
    <col min="5134" max="5137" width="0" style="20" hidden="1" customWidth="1"/>
    <col min="5138" max="5138" width="4.28515625" style="20" customWidth="1"/>
    <col min="5139" max="5141" width="7.140625" style="20" customWidth="1"/>
    <col min="5142" max="5144" width="2.7109375" style="20" customWidth="1"/>
    <col min="5145" max="5145" width="2.85546875" style="20" customWidth="1"/>
    <col min="5146" max="5151" width="2.7109375" style="20" customWidth="1"/>
    <col min="5152" max="5161" width="0" style="20" hidden="1" customWidth="1"/>
    <col min="5162" max="5162" width="4.28515625" style="20" customWidth="1"/>
    <col min="5163" max="5163" width="0" style="20" hidden="1" customWidth="1"/>
    <col min="5164" max="5164" width="3.28515625" style="20" bestFit="1" customWidth="1"/>
    <col min="5165" max="5165" width="0" style="20" hidden="1" customWidth="1"/>
    <col min="5166" max="5166" width="3.28515625" style="20" bestFit="1" customWidth="1"/>
    <col min="5167" max="5168" width="4.28515625" style="20" customWidth="1"/>
    <col min="5169" max="5169" width="12.85546875" style="20" customWidth="1"/>
    <col min="5170" max="5170" width="10.7109375" style="20" customWidth="1"/>
    <col min="5171" max="5171" width="5.5703125" style="20" customWidth="1"/>
    <col min="5172" max="5172" width="26.28515625" style="20" customWidth="1"/>
    <col min="5173" max="5173" width="32.28515625" style="20" customWidth="1"/>
    <col min="5174" max="5174" width="6.140625" style="20" customWidth="1"/>
    <col min="5175" max="5175" width="19.5703125" style="20" customWidth="1"/>
    <col min="5176" max="5176" width="27.140625" style="20" customWidth="1"/>
    <col min="5177" max="5177" width="5.85546875" style="20" customWidth="1"/>
    <col min="5178" max="5178" width="31.5703125" style="20" customWidth="1"/>
    <col min="5179" max="5179" width="16.140625" style="20" customWidth="1"/>
    <col min="5180" max="5181" width="9.28515625" style="20" customWidth="1"/>
    <col min="5182" max="5182" width="11.140625" style="20" customWidth="1"/>
    <col min="5183" max="5183" width="2.140625" style="20" customWidth="1"/>
    <col min="5184" max="5376" width="11.42578125" style="20"/>
    <col min="5377" max="5377" width="1.140625" style="20" customWidth="1"/>
    <col min="5378" max="5380" width="5.42578125" style="20" customWidth="1"/>
    <col min="5381" max="5381" width="7.28515625" style="20" customWidth="1"/>
    <col min="5382" max="5387" width="4.5703125" style="20" customWidth="1"/>
    <col min="5388" max="5389" width="3.28515625" style="20" bestFit="1" customWidth="1"/>
    <col min="5390" max="5393" width="0" style="20" hidden="1" customWidth="1"/>
    <col min="5394" max="5394" width="4.28515625" style="20" customWidth="1"/>
    <col min="5395" max="5397" width="7.140625" style="20" customWidth="1"/>
    <col min="5398" max="5400" width="2.7109375" style="20" customWidth="1"/>
    <col min="5401" max="5401" width="2.85546875" style="20" customWidth="1"/>
    <col min="5402" max="5407" width="2.7109375" style="20" customWidth="1"/>
    <col min="5408" max="5417" width="0" style="20" hidden="1" customWidth="1"/>
    <col min="5418" max="5418" width="4.28515625" style="20" customWidth="1"/>
    <col min="5419" max="5419" width="0" style="20" hidden="1" customWidth="1"/>
    <col min="5420" max="5420" width="3.28515625" style="20" bestFit="1" customWidth="1"/>
    <col min="5421" max="5421" width="0" style="20" hidden="1" customWidth="1"/>
    <col min="5422" max="5422" width="3.28515625" style="20" bestFit="1" customWidth="1"/>
    <col min="5423" max="5424" width="4.28515625" style="20" customWidth="1"/>
    <col min="5425" max="5425" width="12.85546875" style="20" customWidth="1"/>
    <col min="5426" max="5426" width="10.7109375" style="20" customWidth="1"/>
    <col min="5427" max="5427" width="5.5703125" style="20" customWidth="1"/>
    <col min="5428" max="5428" width="26.28515625" style="20" customWidth="1"/>
    <col min="5429" max="5429" width="32.28515625" style="20" customWidth="1"/>
    <col min="5430" max="5430" width="6.140625" style="20" customWidth="1"/>
    <col min="5431" max="5431" width="19.5703125" style="20" customWidth="1"/>
    <col min="5432" max="5432" width="27.140625" style="20" customWidth="1"/>
    <col min="5433" max="5433" width="5.85546875" style="20" customWidth="1"/>
    <col min="5434" max="5434" width="31.5703125" style="20" customWidth="1"/>
    <col min="5435" max="5435" width="16.140625" style="20" customWidth="1"/>
    <col min="5436" max="5437" width="9.28515625" style="20" customWidth="1"/>
    <col min="5438" max="5438" width="11.140625" style="20" customWidth="1"/>
    <col min="5439" max="5439" width="2.140625" style="20" customWidth="1"/>
    <col min="5440" max="5632" width="11.42578125" style="20"/>
    <col min="5633" max="5633" width="1.140625" style="20" customWidth="1"/>
    <col min="5634" max="5636" width="5.42578125" style="20" customWidth="1"/>
    <col min="5637" max="5637" width="7.28515625" style="20" customWidth="1"/>
    <col min="5638" max="5643" width="4.5703125" style="20" customWidth="1"/>
    <col min="5644" max="5645" width="3.28515625" style="20" bestFit="1" customWidth="1"/>
    <col min="5646" max="5649" width="0" style="20" hidden="1" customWidth="1"/>
    <col min="5650" max="5650" width="4.28515625" style="20" customWidth="1"/>
    <col min="5651" max="5653" width="7.140625" style="20" customWidth="1"/>
    <col min="5654" max="5656" width="2.7109375" style="20" customWidth="1"/>
    <col min="5657" max="5657" width="2.85546875" style="20" customWidth="1"/>
    <col min="5658" max="5663" width="2.7109375" style="20" customWidth="1"/>
    <col min="5664" max="5673" width="0" style="20" hidden="1" customWidth="1"/>
    <col min="5674" max="5674" width="4.28515625" style="20" customWidth="1"/>
    <col min="5675" max="5675" width="0" style="20" hidden="1" customWidth="1"/>
    <col min="5676" max="5676" width="3.28515625" style="20" bestFit="1" customWidth="1"/>
    <col min="5677" max="5677" width="0" style="20" hidden="1" customWidth="1"/>
    <col min="5678" max="5678" width="3.28515625" style="20" bestFit="1" customWidth="1"/>
    <col min="5679" max="5680" width="4.28515625" style="20" customWidth="1"/>
    <col min="5681" max="5681" width="12.85546875" style="20" customWidth="1"/>
    <col min="5682" max="5682" width="10.7109375" style="20" customWidth="1"/>
    <col min="5683" max="5683" width="5.5703125" style="20" customWidth="1"/>
    <col min="5684" max="5684" width="26.28515625" style="20" customWidth="1"/>
    <col min="5685" max="5685" width="32.28515625" style="20" customWidth="1"/>
    <col min="5686" max="5686" width="6.140625" style="20" customWidth="1"/>
    <col min="5687" max="5687" width="19.5703125" style="20" customWidth="1"/>
    <col min="5688" max="5688" width="27.140625" style="20" customWidth="1"/>
    <col min="5689" max="5689" width="5.85546875" style="20" customWidth="1"/>
    <col min="5690" max="5690" width="31.5703125" style="20" customWidth="1"/>
    <col min="5691" max="5691" width="16.140625" style="20" customWidth="1"/>
    <col min="5692" max="5693" width="9.28515625" style="20" customWidth="1"/>
    <col min="5694" max="5694" width="11.140625" style="20" customWidth="1"/>
    <col min="5695" max="5695" width="2.140625" style="20" customWidth="1"/>
    <col min="5696" max="5888" width="11.42578125" style="20"/>
    <col min="5889" max="5889" width="1.140625" style="20" customWidth="1"/>
    <col min="5890" max="5892" width="5.42578125" style="20" customWidth="1"/>
    <col min="5893" max="5893" width="7.28515625" style="20" customWidth="1"/>
    <col min="5894" max="5899" width="4.5703125" style="20" customWidth="1"/>
    <col min="5900" max="5901" width="3.28515625" style="20" bestFit="1" customWidth="1"/>
    <col min="5902" max="5905" width="0" style="20" hidden="1" customWidth="1"/>
    <col min="5906" max="5906" width="4.28515625" style="20" customWidth="1"/>
    <col min="5907" max="5909" width="7.140625" style="20" customWidth="1"/>
    <col min="5910" max="5912" width="2.7109375" style="20" customWidth="1"/>
    <col min="5913" max="5913" width="2.85546875" style="20" customWidth="1"/>
    <col min="5914" max="5919" width="2.7109375" style="20" customWidth="1"/>
    <col min="5920" max="5929" width="0" style="20" hidden="1" customWidth="1"/>
    <col min="5930" max="5930" width="4.28515625" style="20" customWidth="1"/>
    <col min="5931" max="5931" width="0" style="20" hidden="1" customWidth="1"/>
    <col min="5932" max="5932" width="3.28515625" style="20" bestFit="1" customWidth="1"/>
    <col min="5933" max="5933" width="0" style="20" hidden="1" customWidth="1"/>
    <col min="5934" max="5934" width="3.28515625" style="20" bestFit="1" customWidth="1"/>
    <col min="5935" max="5936" width="4.28515625" style="20" customWidth="1"/>
    <col min="5937" max="5937" width="12.85546875" style="20" customWidth="1"/>
    <col min="5938" max="5938" width="10.7109375" style="20" customWidth="1"/>
    <col min="5939" max="5939" width="5.5703125" style="20" customWidth="1"/>
    <col min="5940" max="5940" width="26.28515625" style="20" customWidth="1"/>
    <col min="5941" max="5941" width="32.28515625" style="20" customWidth="1"/>
    <col min="5942" max="5942" width="6.140625" style="20" customWidth="1"/>
    <col min="5943" max="5943" width="19.5703125" style="20" customWidth="1"/>
    <col min="5944" max="5944" width="27.140625" style="20" customWidth="1"/>
    <col min="5945" max="5945" width="5.85546875" style="20" customWidth="1"/>
    <col min="5946" max="5946" width="31.5703125" style="20" customWidth="1"/>
    <col min="5947" max="5947" width="16.140625" style="20" customWidth="1"/>
    <col min="5948" max="5949" width="9.28515625" style="20" customWidth="1"/>
    <col min="5950" max="5950" width="11.140625" style="20" customWidth="1"/>
    <col min="5951" max="5951" width="2.140625" style="20" customWidth="1"/>
    <col min="5952" max="6144" width="11.42578125" style="20"/>
    <col min="6145" max="6145" width="1.140625" style="20" customWidth="1"/>
    <col min="6146" max="6148" width="5.42578125" style="20" customWidth="1"/>
    <col min="6149" max="6149" width="7.28515625" style="20" customWidth="1"/>
    <col min="6150" max="6155" width="4.5703125" style="20" customWidth="1"/>
    <col min="6156" max="6157" width="3.28515625" style="20" bestFit="1" customWidth="1"/>
    <col min="6158" max="6161" width="0" style="20" hidden="1" customWidth="1"/>
    <col min="6162" max="6162" width="4.28515625" style="20" customWidth="1"/>
    <col min="6163" max="6165" width="7.140625" style="20" customWidth="1"/>
    <col min="6166" max="6168" width="2.7109375" style="20" customWidth="1"/>
    <col min="6169" max="6169" width="2.85546875" style="20" customWidth="1"/>
    <col min="6170" max="6175" width="2.7109375" style="20" customWidth="1"/>
    <col min="6176" max="6185" width="0" style="20" hidden="1" customWidth="1"/>
    <col min="6186" max="6186" width="4.28515625" style="20" customWidth="1"/>
    <col min="6187" max="6187" width="0" style="20" hidden="1" customWidth="1"/>
    <col min="6188" max="6188" width="3.28515625" style="20" bestFit="1" customWidth="1"/>
    <col min="6189" max="6189" width="0" style="20" hidden="1" customWidth="1"/>
    <col min="6190" max="6190" width="3.28515625" style="20" bestFit="1" customWidth="1"/>
    <col min="6191" max="6192" width="4.28515625" style="20" customWidth="1"/>
    <col min="6193" max="6193" width="12.85546875" style="20" customWidth="1"/>
    <col min="6194" max="6194" width="10.7109375" style="20" customWidth="1"/>
    <col min="6195" max="6195" width="5.5703125" style="20" customWidth="1"/>
    <col min="6196" max="6196" width="26.28515625" style="20" customWidth="1"/>
    <col min="6197" max="6197" width="32.28515625" style="20" customWidth="1"/>
    <col min="6198" max="6198" width="6.140625" style="20" customWidth="1"/>
    <col min="6199" max="6199" width="19.5703125" style="20" customWidth="1"/>
    <col min="6200" max="6200" width="27.140625" style="20" customWidth="1"/>
    <col min="6201" max="6201" width="5.85546875" style="20" customWidth="1"/>
    <col min="6202" max="6202" width="31.5703125" style="20" customWidth="1"/>
    <col min="6203" max="6203" width="16.140625" style="20" customWidth="1"/>
    <col min="6204" max="6205" width="9.28515625" style="20" customWidth="1"/>
    <col min="6206" max="6206" width="11.140625" style="20" customWidth="1"/>
    <col min="6207" max="6207" width="2.140625" style="20" customWidth="1"/>
    <col min="6208" max="6400" width="11.42578125" style="20"/>
    <col min="6401" max="6401" width="1.140625" style="20" customWidth="1"/>
    <col min="6402" max="6404" width="5.42578125" style="20" customWidth="1"/>
    <col min="6405" max="6405" width="7.28515625" style="20" customWidth="1"/>
    <col min="6406" max="6411" width="4.5703125" style="20" customWidth="1"/>
    <col min="6412" max="6413" width="3.28515625" style="20" bestFit="1" customWidth="1"/>
    <col min="6414" max="6417" width="0" style="20" hidden="1" customWidth="1"/>
    <col min="6418" max="6418" width="4.28515625" style="20" customWidth="1"/>
    <col min="6419" max="6421" width="7.140625" style="20" customWidth="1"/>
    <col min="6422" max="6424" width="2.7109375" style="20" customWidth="1"/>
    <col min="6425" max="6425" width="2.85546875" style="20" customWidth="1"/>
    <col min="6426" max="6431" width="2.7109375" style="20" customWidth="1"/>
    <col min="6432" max="6441" width="0" style="20" hidden="1" customWidth="1"/>
    <col min="6442" max="6442" width="4.28515625" style="20" customWidth="1"/>
    <col min="6443" max="6443" width="0" style="20" hidden="1" customWidth="1"/>
    <col min="6444" max="6444" width="3.28515625" style="20" bestFit="1" customWidth="1"/>
    <col min="6445" max="6445" width="0" style="20" hidden="1" customWidth="1"/>
    <col min="6446" max="6446" width="3.28515625" style="20" bestFit="1" customWidth="1"/>
    <col min="6447" max="6448" width="4.28515625" style="20" customWidth="1"/>
    <col min="6449" max="6449" width="12.85546875" style="20" customWidth="1"/>
    <col min="6450" max="6450" width="10.7109375" style="20" customWidth="1"/>
    <col min="6451" max="6451" width="5.5703125" style="20" customWidth="1"/>
    <col min="6452" max="6452" width="26.28515625" style="20" customWidth="1"/>
    <col min="6453" max="6453" width="32.28515625" style="20" customWidth="1"/>
    <col min="6454" max="6454" width="6.140625" style="20" customWidth="1"/>
    <col min="6455" max="6455" width="19.5703125" style="20" customWidth="1"/>
    <col min="6456" max="6456" width="27.140625" style="20" customWidth="1"/>
    <col min="6457" max="6457" width="5.85546875" style="20" customWidth="1"/>
    <col min="6458" max="6458" width="31.5703125" style="20" customWidth="1"/>
    <col min="6459" max="6459" width="16.140625" style="20" customWidth="1"/>
    <col min="6460" max="6461" width="9.28515625" style="20" customWidth="1"/>
    <col min="6462" max="6462" width="11.140625" style="20" customWidth="1"/>
    <col min="6463" max="6463" width="2.140625" style="20" customWidth="1"/>
    <col min="6464" max="6656" width="11.42578125" style="20"/>
    <col min="6657" max="6657" width="1.140625" style="20" customWidth="1"/>
    <col min="6658" max="6660" width="5.42578125" style="20" customWidth="1"/>
    <col min="6661" max="6661" width="7.28515625" style="20" customWidth="1"/>
    <col min="6662" max="6667" width="4.5703125" style="20" customWidth="1"/>
    <col min="6668" max="6669" width="3.28515625" style="20" bestFit="1" customWidth="1"/>
    <col min="6670" max="6673" width="0" style="20" hidden="1" customWidth="1"/>
    <col min="6674" max="6674" width="4.28515625" style="20" customWidth="1"/>
    <col min="6675" max="6677" width="7.140625" style="20" customWidth="1"/>
    <col min="6678" max="6680" width="2.7109375" style="20" customWidth="1"/>
    <col min="6681" max="6681" width="2.85546875" style="20" customWidth="1"/>
    <col min="6682" max="6687" width="2.7109375" style="20" customWidth="1"/>
    <col min="6688" max="6697" width="0" style="20" hidden="1" customWidth="1"/>
    <col min="6698" max="6698" width="4.28515625" style="20" customWidth="1"/>
    <col min="6699" max="6699" width="0" style="20" hidden="1" customWidth="1"/>
    <col min="6700" max="6700" width="3.28515625" style="20" bestFit="1" customWidth="1"/>
    <col min="6701" max="6701" width="0" style="20" hidden="1" customWidth="1"/>
    <col min="6702" max="6702" width="3.28515625" style="20" bestFit="1" customWidth="1"/>
    <col min="6703" max="6704" width="4.28515625" style="20" customWidth="1"/>
    <col min="6705" max="6705" width="12.85546875" style="20" customWidth="1"/>
    <col min="6706" max="6706" width="10.7109375" style="20" customWidth="1"/>
    <col min="6707" max="6707" width="5.5703125" style="20" customWidth="1"/>
    <col min="6708" max="6708" width="26.28515625" style="20" customWidth="1"/>
    <col min="6709" max="6709" width="32.28515625" style="20" customWidth="1"/>
    <col min="6710" max="6710" width="6.140625" style="20" customWidth="1"/>
    <col min="6711" max="6711" width="19.5703125" style="20" customWidth="1"/>
    <col min="6712" max="6712" width="27.140625" style="20" customWidth="1"/>
    <col min="6713" max="6713" width="5.85546875" style="20" customWidth="1"/>
    <col min="6714" max="6714" width="31.5703125" style="20" customWidth="1"/>
    <col min="6715" max="6715" width="16.140625" style="20" customWidth="1"/>
    <col min="6716" max="6717" width="9.28515625" style="20" customWidth="1"/>
    <col min="6718" max="6718" width="11.140625" style="20" customWidth="1"/>
    <col min="6719" max="6719" width="2.140625" style="20" customWidth="1"/>
    <col min="6720" max="6912" width="11.42578125" style="20"/>
    <col min="6913" max="6913" width="1.140625" style="20" customWidth="1"/>
    <col min="6914" max="6916" width="5.42578125" style="20" customWidth="1"/>
    <col min="6917" max="6917" width="7.28515625" style="20" customWidth="1"/>
    <col min="6918" max="6923" width="4.5703125" style="20" customWidth="1"/>
    <col min="6924" max="6925" width="3.28515625" style="20" bestFit="1" customWidth="1"/>
    <col min="6926" max="6929" width="0" style="20" hidden="1" customWidth="1"/>
    <col min="6930" max="6930" width="4.28515625" style="20" customWidth="1"/>
    <col min="6931" max="6933" width="7.140625" style="20" customWidth="1"/>
    <col min="6934" max="6936" width="2.7109375" style="20" customWidth="1"/>
    <col min="6937" max="6937" width="2.85546875" style="20" customWidth="1"/>
    <col min="6938" max="6943" width="2.7109375" style="20" customWidth="1"/>
    <col min="6944" max="6953" width="0" style="20" hidden="1" customWidth="1"/>
    <col min="6954" max="6954" width="4.28515625" style="20" customWidth="1"/>
    <col min="6955" max="6955" width="0" style="20" hidden="1" customWidth="1"/>
    <col min="6956" max="6956" width="3.28515625" style="20" bestFit="1" customWidth="1"/>
    <col min="6957" max="6957" width="0" style="20" hidden="1" customWidth="1"/>
    <col min="6958" max="6958" width="3.28515625" style="20" bestFit="1" customWidth="1"/>
    <col min="6959" max="6960" width="4.28515625" style="20" customWidth="1"/>
    <col min="6961" max="6961" width="12.85546875" style="20" customWidth="1"/>
    <col min="6962" max="6962" width="10.7109375" style="20" customWidth="1"/>
    <col min="6963" max="6963" width="5.5703125" style="20" customWidth="1"/>
    <col min="6964" max="6964" width="26.28515625" style="20" customWidth="1"/>
    <col min="6965" max="6965" width="32.28515625" style="20" customWidth="1"/>
    <col min="6966" max="6966" width="6.140625" style="20" customWidth="1"/>
    <col min="6967" max="6967" width="19.5703125" style="20" customWidth="1"/>
    <col min="6968" max="6968" width="27.140625" style="20" customWidth="1"/>
    <col min="6969" max="6969" width="5.85546875" style="20" customWidth="1"/>
    <col min="6970" max="6970" width="31.5703125" style="20" customWidth="1"/>
    <col min="6971" max="6971" width="16.140625" style="20" customWidth="1"/>
    <col min="6972" max="6973" width="9.28515625" style="20" customWidth="1"/>
    <col min="6974" max="6974" width="11.140625" style="20" customWidth="1"/>
    <col min="6975" max="6975" width="2.140625" style="20" customWidth="1"/>
    <col min="6976" max="7168" width="11.42578125" style="20"/>
    <col min="7169" max="7169" width="1.140625" style="20" customWidth="1"/>
    <col min="7170" max="7172" width="5.42578125" style="20" customWidth="1"/>
    <col min="7173" max="7173" width="7.28515625" style="20" customWidth="1"/>
    <col min="7174" max="7179" width="4.5703125" style="20" customWidth="1"/>
    <col min="7180" max="7181" width="3.28515625" style="20" bestFit="1" customWidth="1"/>
    <col min="7182" max="7185" width="0" style="20" hidden="1" customWidth="1"/>
    <col min="7186" max="7186" width="4.28515625" style="20" customWidth="1"/>
    <col min="7187" max="7189" width="7.140625" style="20" customWidth="1"/>
    <col min="7190" max="7192" width="2.7109375" style="20" customWidth="1"/>
    <col min="7193" max="7193" width="2.85546875" style="20" customWidth="1"/>
    <col min="7194" max="7199" width="2.7109375" style="20" customWidth="1"/>
    <col min="7200" max="7209" width="0" style="20" hidden="1" customWidth="1"/>
    <col min="7210" max="7210" width="4.28515625" style="20" customWidth="1"/>
    <col min="7211" max="7211" width="0" style="20" hidden="1" customWidth="1"/>
    <col min="7212" max="7212" width="3.28515625" style="20" bestFit="1" customWidth="1"/>
    <col min="7213" max="7213" width="0" style="20" hidden="1" customWidth="1"/>
    <col min="7214" max="7214" width="3.28515625" style="20" bestFit="1" customWidth="1"/>
    <col min="7215" max="7216" width="4.28515625" style="20" customWidth="1"/>
    <col min="7217" max="7217" width="12.85546875" style="20" customWidth="1"/>
    <col min="7218" max="7218" width="10.7109375" style="20" customWidth="1"/>
    <col min="7219" max="7219" width="5.5703125" style="20" customWidth="1"/>
    <col min="7220" max="7220" width="26.28515625" style="20" customWidth="1"/>
    <col min="7221" max="7221" width="32.28515625" style="20" customWidth="1"/>
    <col min="7222" max="7222" width="6.140625" style="20" customWidth="1"/>
    <col min="7223" max="7223" width="19.5703125" style="20" customWidth="1"/>
    <col min="7224" max="7224" width="27.140625" style="20" customWidth="1"/>
    <col min="7225" max="7225" width="5.85546875" style="20" customWidth="1"/>
    <col min="7226" max="7226" width="31.5703125" style="20" customWidth="1"/>
    <col min="7227" max="7227" width="16.140625" style="20" customWidth="1"/>
    <col min="7228" max="7229" width="9.28515625" style="20" customWidth="1"/>
    <col min="7230" max="7230" width="11.140625" style="20" customWidth="1"/>
    <col min="7231" max="7231" width="2.140625" style="20" customWidth="1"/>
    <col min="7232" max="7424" width="11.42578125" style="20"/>
    <col min="7425" max="7425" width="1.140625" style="20" customWidth="1"/>
    <col min="7426" max="7428" width="5.42578125" style="20" customWidth="1"/>
    <col min="7429" max="7429" width="7.28515625" style="20" customWidth="1"/>
    <col min="7430" max="7435" width="4.5703125" style="20" customWidth="1"/>
    <col min="7436" max="7437" width="3.28515625" style="20" bestFit="1" customWidth="1"/>
    <col min="7438" max="7441" width="0" style="20" hidden="1" customWidth="1"/>
    <col min="7442" max="7442" width="4.28515625" style="20" customWidth="1"/>
    <col min="7443" max="7445" width="7.140625" style="20" customWidth="1"/>
    <col min="7446" max="7448" width="2.7109375" style="20" customWidth="1"/>
    <col min="7449" max="7449" width="2.85546875" style="20" customWidth="1"/>
    <col min="7450" max="7455" width="2.7109375" style="20" customWidth="1"/>
    <col min="7456" max="7465" width="0" style="20" hidden="1" customWidth="1"/>
    <col min="7466" max="7466" width="4.28515625" style="20" customWidth="1"/>
    <col min="7467" max="7467" width="0" style="20" hidden="1" customWidth="1"/>
    <col min="7468" max="7468" width="3.28515625" style="20" bestFit="1" customWidth="1"/>
    <col min="7469" max="7469" width="0" style="20" hidden="1" customWidth="1"/>
    <col min="7470" max="7470" width="3.28515625" style="20" bestFit="1" customWidth="1"/>
    <col min="7471" max="7472" width="4.28515625" style="20" customWidth="1"/>
    <col min="7473" max="7473" width="12.85546875" style="20" customWidth="1"/>
    <col min="7474" max="7474" width="10.7109375" style="20" customWidth="1"/>
    <col min="7475" max="7475" width="5.5703125" style="20" customWidth="1"/>
    <col min="7476" max="7476" width="26.28515625" style="20" customWidth="1"/>
    <col min="7477" max="7477" width="32.28515625" style="20" customWidth="1"/>
    <col min="7478" max="7478" width="6.140625" style="20" customWidth="1"/>
    <col min="7479" max="7479" width="19.5703125" style="20" customWidth="1"/>
    <col min="7480" max="7480" width="27.140625" style="20" customWidth="1"/>
    <col min="7481" max="7481" width="5.85546875" style="20" customWidth="1"/>
    <col min="7482" max="7482" width="31.5703125" style="20" customWidth="1"/>
    <col min="7483" max="7483" width="16.140625" style="20" customWidth="1"/>
    <col min="7484" max="7485" width="9.28515625" style="20" customWidth="1"/>
    <col min="7486" max="7486" width="11.140625" style="20" customWidth="1"/>
    <col min="7487" max="7487" width="2.140625" style="20" customWidth="1"/>
    <col min="7488" max="7680" width="11.42578125" style="20"/>
    <col min="7681" max="7681" width="1.140625" style="20" customWidth="1"/>
    <col min="7682" max="7684" width="5.42578125" style="20" customWidth="1"/>
    <col min="7685" max="7685" width="7.28515625" style="20" customWidth="1"/>
    <col min="7686" max="7691" width="4.5703125" style="20" customWidth="1"/>
    <col min="7692" max="7693" width="3.28515625" style="20" bestFit="1" customWidth="1"/>
    <col min="7694" max="7697" width="0" style="20" hidden="1" customWidth="1"/>
    <col min="7698" max="7698" width="4.28515625" style="20" customWidth="1"/>
    <col min="7699" max="7701" width="7.140625" style="20" customWidth="1"/>
    <col min="7702" max="7704" width="2.7109375" style="20" customWidth="1"/>
    <col min="7705" max="7705" width="2.85546875" style="20" customWidth="1"/>
    <col min="7706" max="7711" width="2.7109375" style="20" customWidth="1"/>
    <col min="7712" max="7721" width="0" style="20" hidden="1" customWidth="1"/>
    <col min="7722" max="7722" width="4.28515625" style="20" customWidth="1"/>
    <col min="7723" max="7723" width="0" style="20" hidden="1" customWidth="1"/>
    <col min="7724" max="7724" width="3.28515625" style="20" bestFit="1" customWidth="1"/>
    <col min="7725" max="7725" width="0" style="20" hidden="1" customWidth="1"/>
    <col min="7726" max="7726" width="3.28515625" style="20" bestFit="1" customWidth="1"/>
    <col min="7727" max="7728" width="4.28515625" style="20" customWidth="1"/>
    <col min="7729" max="7729" width="12.85546875" style="20" customWidth="1"/>
    <col min="7730" max="7730" width="10.7109375" style="20" customWidth="1"/>
    <col min="7731" max="7731" width="5.5703125" style="20" customWidth="1"/>
    <col min="7732" max="7732" width="26.28515625" style="20" customWidth="1"/>
    <col min="7733" max="7733" width="32.28515625" style="20" customWidth="1"/>
    <col min="7734" max="7734" width="6.140625" style="20" customWidth="1"/>
    <col min="7735" max="7735" width="19.5703125" style="20" customWidth="1"/>
    <col min="7736" max="7736" width="27.140625" style="20" customWidth="1"/>
    <col min="7737" max="7737" width="5.85546875" style="20" customWidth="1"/>
    <col min="7738" max="7738" width="31.5703125" style="20" customWidth="1"/>
    <col min="7739" max="7739" width="16.140625" style="20" customWidth="1"/>
    <col min="7740" max="7741" width="9.28515625" style="20" customWidth="1"/>
    <col min="7742" max="7742" width="11.140625" style="20" customWidth="1"/>
    <col min="7743" max="7743" width="2.140625" style="20" customWidth="1"/>
    <col min="7744" max="7936" width="11.42578125" style="20"/>
    <col min="7937" max="7937" width="1.140625" style="20" customWidth="1"/>
    <col min="7938" max="7940" width="5.42578125" style="20" customWidth="1"/>
    <col min="7941" max="7941" width="7.28515625" style="20" customWidth="1"/>
    <col min="7942" max="7947" width="4.5703125" style="20" customWidth="1"/>
    <col min="7948" max="7949" width="3.28515625" style="20" bestFit="1" customWidth="1"/>
    <col min="7950" max="7953" width="0" style="20" hidden="1" customWidth="1"/>
    <col min="7954" max="7954" width="4.28515625" style="20" customWidth="1"/>
    <col min="7955" max="7957" width="7.140625" style="20" customWidth="1"/>
    <col min="7958" max="7960" width="2.7109375" style="20" customWidth="1"/>
    <col min="7961" max="7961" width="2.85546875" style="20" customWidth="1"/>
    <col min="7962" max="7967" width="2.7109375" style="20" customWidth="1"/>
    <col min="7968" max="7977" width="0" style="20" hidden="1" customWidth="1"/>
    <col min="7978" max="7978" width="4.28515625" style="20" customWidth="1"/>
    <col min="7979" max="7979" width="0" style="20" hidden="1" customWidth="1"/>
    <col min="7980" max="7980" width="3.28515625" style="20" bestFit="1" customWidth="1"/>
    <col min="7981" max="7981" width="0" style="20" hidden="1" customWidth="1"/>
    <col min="7982" max="7982" width="3.28515625" style="20" bestFit="1" customWidth="1"/>
    <col min="7983" max="7984" width="4.28515625" style="20" customWidth="1"/>
    <col min="7985" max="7985" width="12.85546875" style="20" customWidth="1"/>
    <col min="7986" max="7986" width="10.7109375" style="20" customWidth="1"/>
    <col min="7987" max="7987" width="5.5703125" style="20" customWidth="1"/>
    <col min="7988" max="7988" width="26.28515625" style="20" customWidth="1"/>
    <col min="7989" max="7989" width="32.28515625" style="20" customWidth="1"/>
    <col min="7990" max="7990" width="6.140625" style="20" customWidth="1"/>
    <col min="7991" max="7991" width="19.5703125" style="20" customWidth="1"/>
    <col min="7992" max="7992" width="27.140625" style="20" customWidth="1"/>
    <col min="7993" max="7993" width="5.85546875" style="20" customWidth="1"/>
    <col min="7994" max="7994" width="31.5703125" style="20" customWidth="1"/>
    <col min="7995" max="7995" width="16.140625" style="20" customWidth="1"/>
    <col min="7996" max="7997" width="9.28515625" style="20" customWidth="1"/>
    <col min="7998" max="7998" width="11.140625" style="20" customWidth="1"/>
    <col min="7999" max="7999" width="2.140625" style="20" customWidth="1"/>
    <col min="8000" max="8192" width="11.42578125" style="20"/>
    <col min="8193" max="8193" width="1.140625" style="20" customWidth="1"/>
    <col min="8194" max="8196" width="5.42578125" style="20" customWidth="1"/>
    <col min="8197" max="8197" width="7.28515625" style="20" customWidth="1"/>
    <col min="8198" max="8203" width="4.5703125" style="20" customWidth="1"/>
    <col min="8204" max="8205" width="3.28515625" style="20" bestFit="1" customWidth="1"/>
    <col min="8206" max="8209" width="0" style="20" hidden="1" customWidth="1"/>
    <col min="8210" max="8210" width="4.28515625" style="20" customWidth="1"/>
    <col min="8211" max="8213" width="7.140625" style="20" customWidth="1"/>
    <col min="8214" max="8216" width="2.7109375" style="20" customWidth="1"/>
    <col min="8217" max="8217" width="2.85546875" style="20" customWidth="1"/>
    <col min="8218" max="8223" width="2.7109375" style="20" customWidth="1"/>
    <col min="8224" max="8233" width="0" style="20" hidden="1" customWidth="1"/>
    <col min="8234" max="8234" width="4.28515625" style="20" customWidth="1"/>
    <col min="8235" max="8235" width="0" style="20" hidden="1" customWidth="1"/>
    <col min="8236" max="8236" width="3.28515625" style="20" bestFit="1" customWidth="1"/>
    <col min="8237" max="8237" width="0" style="20" hidden="1" customWidth="1"/>
    <col min="8238" max="8238" width="3.28515625" style="20" bestFit="1" customWidth="1"/>
    <col min="8239" max="8240" width="4.28515625" style="20" customWidth="1"/>
    <col min="8241" max="8241" width="12.85546875" style="20" customWidth="1"/>
    <col min="8242" max="8242" width="10.7109375" style="20" customWidth="1"/>
    <col min="8243" max="8243" width="5.5703125" style="20" customWidth="1"/>
    <col min="8244" max="8244" width="26.28515625" style="20" customWidth="1"/>
    <col min="8245" max="8245" width="32.28515625" style="20" customWidth="1"/>
    <col min="8246" max="8246" width="6.140625" style="20" customWidth="1"/>
    <col min="8247" max="8247" width="19.5703125" style="20" customWidth="1"/>
    <col min="8248" max="8248" width="27.140625" style="20" customWidth="1"/>
    <col min="8249" max="8249" width="5.85546875" style="20" customWidth="1"/>
    <col min="8250" max="8250" width="31.5703125" style="20" customWidth="1"/>
    <col min="8251" max="8251" width="16.140625" style="20" customWidth="1"/>
    <col min="8252" max="8253" width="9.28515625" style="20" customWidth="1"/>
    <col min="8254" max="8254" width="11.140625" style="20" customWidth="1"/>
    <col min="8255" max="8255" width="2.140625" style="20" customWidth="1"/>
    <col min="8256" max="8448" width="11.42578125" style="20"/>
    <col min="8449" max="8449" width="1.140625" style="20" customWidth="1"/>
    <col min="8450" max="8452" width="5.42578125" style="20" customWidth="1"/>
    <col min="8453" max="8453" width="7.28515625" style="20" customWidth="1"/>
    <col min="8454" max="8459" width="4.5703125" style="20" customWidth="1"/>
    <col min="8460" max="8461" width="3.28515625" style="20" bestFit="1" customWidth="1"/>
    <col min="8462" max="8465" width="0" style="20" hidden="1" customWidth="1"/>
    <col min="8466" max="8466" width="4.28515625" style="20" customWidth="1"/>
    <col min="8467" max="8469" width="7.140625" style="20" customWidth="1"/>
    <col min="8470" max="8472" width="2.7109375" style="20" customWidth="1"/>
    <col min="8473" max="8473" width="2.85546875" style="20" customWidth="1"/>
    <col min="8474" max="8479" width="2.7109375" style="20" customWidth="1"/>
    <col min="8480" max="8489" width="0" style="20" hidden="1" customWidth="1"/>
    <col min="8490" max="8490" width="4.28515625" style="20" customWidth="1"/>
    <col min="8491" max="8491" width="0" style="20" hidden="1" customWidth="1"/>
    <col min="8492" max="8492" width="3.28515625" style="20" bestFit="1" customWidth="1"/>
    <col min="8493" max="8493" width="0" style="20" hidden="1" customWidth="1"/>
    <col min="8494" max="8494" width="3.28515625" style="20" bestFit="1" customWidth="1"/>
    <col min="8495" max="8496" width="4.28515625" style="20" customWidth="1"/>
    <col min="8497" max="8497" width="12.85546875" style="20" customWidth="1"/>
    <col min="8498" max="8498" width="10.7109375" style="20" customWidth="1"/>
    <col min="8499" max="8499" width="5.5703125" style="20" customWidth="1"/>
    <col min="8500" max="8500" width="26.28515625" style="20" customWidth="1"/>
    <col min="8501" max="8501" width="32.28515625" style="20" customWidth="1"/>
    <col min="8502" max="8502" width="6.140625" style="20" customWidth="1"/>
    <col min="8503" max="8503" width="19.5703125" style="20" customWidth="1"/>
    <col min="8504" max="8504" width="27.140625" style="20" customWidth="1"/>
    <col min="8505" max="8505" width="5.85546875" style="20" customWidth="1"/>
    <col min="8506" max="8506" width="31.5703125" style="20" customWidth="1"/>
    <col min="8507" max="8507" width="16.140625" style="20" customWidth="1"/>
    <col min="8508" max="8509" width="9.28515625" style="20" customWidth="1"/>
    <col min="8510" max="8510" width="11.140625" style="20" customWidth="1"/>
    <col min="8511" max="8511" width="2.140625" style="20" customWidth="1"/>
    <col min="8512" max="8704" width="11.42578125" style="20"/>
    <col min="8705" max="8705" width="1.140625" style="20" customWidth="1"/>
    <col min="8706" max="8708" width="5.42578125" style="20" customWidth="1"/>
    <col min="8709" max="8709" width="7.28515625" style="20" customWidth="1"/>
    <col min="8710" max="8715" width="4.5703125" style="20" customWidth="1"/>
    <col min="8716" max="8717" width="3.28515625" style="20" bestFit="1" customWidth="1"/>
    <col min="8718" max="8721" width="0" style="20" hidden="1" customWidth="1"/>
    <col min="8722" max="8722" width="4.28515625" style="20" customWidth="1"/>
    <col min="8723" max="8725" width="7.140625" style="20" customWidth="1"/>
    <col min="8726" max="8728" width="2.7109375" style="20" customWidth="1"/>
    <col min="8729" max="8729" width="2.85546875" style="20" customWidth="1"/>
    <col min="8730" max="8735" width="2.7109375" style="20" customWidth="1"/>
    <col min="8736" max="8745" width="0" style="20" hidden="1" customWidth="1"/>
    <col min="8746" max="8746" width="4.28515625" style="20" customWidth="1"/>
    <col min="8747" max="8747" width="0" style="20" hidden="1" customWidth="1"/>
    <col min="8748" max="8748" width="3.28515625" style="20" bestFit="1" customWidth="1"/>
    <col min="8749" max="8749" width="0" style="20" hidden="1" customWidth="1"/>
    <col min="8750" max="8750" width="3.28515625" style="20" bestFit="1" customWidth="1"/>
    <col min="8751" max="8752" width="4.28515625" style="20" customWidth="1"/>
    <col min="8753" max="8753" width="12.85546875" style="20" customWidth="1"/>
    <col min="8754" max="8754" width="10.7109375" style="20" customWidth="1"/>
    <col min="8755" max="8755" width="5.5703125" style="20" customWidth="1"/>
    <col min="8756" max="8756" width="26.28515625" style="20" customWidth="1"/>
    <col min="8757" max="8757" width="32.28515625" style="20" customWidth="1"/>
    <col min="8758" max="8758" width="6.140625" style="20" customWidth="1"/>
    <col min="8759" max="8759" width="19.5703125" style="20" customWidth="1"/>
    <col min="8760" max="8760" width="27.140625" style="20" customWidth="1"/>
    <col min="8761" max="8761" width="5.85546875" style="20" customWidth="1"/>
    <col min="8762" max="8762" width="31.5703125" style="20" customWidth="1"/>
    <col min="8763" max="8763" width="16.140625" style="20" customWidth="1"/>
    <col min="8764" max="8765" width="9.28515625" style="20" customWidth="1"/>
    <col min="8766" max="8766" width="11.140625" style="20" customWidth="1"/>
    <col min="8767" max="8767" width="2.140625" style="20" customWidth="1"/>
    <col min="8768" max="8960" width="11.42578125" style="20"/>
    <col min="8961" max="8961" width="1.140625" style="20" customWidth="1"/>
    <col min="8962" max="8964" width="5.42578125" style="20" customWidth="1"/>
    <col min="8965" max="8965" width="7.28515625" style="20" customWidth="1"/>
    <col min="8966" max="8971" width="4.5703125" style="20" customWidth="1"/>
    <col min="8972" max="8973" width="3.28515625" style="20" bestFit="1" customWidth="1"/>
    <col min="8974" max="8977" width="0" style="20" hidden="1" customWidth="1"/>
    <col min="8978" max="8978" width="4.28515625" style="20" customWidth="1"/>
    <col min="8979" max="8981" width="7.140625" style="20" customWidth="1"/>
    <col min="8982" max="8984" width="2.7109375" style="20" customWidth="1"/>
    <col min="8985" max="8985" width="2.85546875" style="20" customWidth="1"/>
    <col min="8986" max="8991" width="2.7109375" style="20" customWidth="1"/>
    <col min="8992" max="9001" width="0" style="20" hidden="1" customWidth="1"/>
    <col min="9002" max="9002" width="4.28515625" style="20" customWidth="1"/>
    <col min="9003" max="9003" width="0" style="20" hidden="1" customWidth="1"/>
    <col min="9004" max="9004" width="3.28515625" style="20" bestFit="1" customWidth="1"/>
    <col min="9005" max="9005" width="0" style="20" hidden="1" customWidth="1"/>
    <col min="9006" max="9006" width="3.28515625" style="20" bestFit="1" customWidth="1"/>
    <col min="9007" max="9008" width="4.28515625" style="20" customWidth="1"/>
    <col min="9009" max="9009" width="12.85546875" style="20" customWidth="1"/>
    <col min="9010" max="9010" width="10.7109375" style="20" customWidth="1"/>
    <col min="9011" max="9011" width="5.5703125" style="20" customWidth="1"/>
    <col min="9012" max="9012" width="26.28515625" style="20" customWidth="1"/>
    <col min="9013" max="9013" width="32.28515625" style="20" customWidth="1"/>
    <col min="9014" max="9014" width="6.140625" style="20" customWidth="1"/>
    <col min="9015" max="9015" width="19.5703125" style="20" customWidth="1"/>
    <col min="9016" max="9016" width="27.140625" style="20" customWidth="1"/>
    <col min="9017" max="9017" width="5.85546875" style="20" customWidth="1"/>
    <col min="9018" max="9018" width="31.5703125" style="20" customWidth="1"/>
    <col min="9019" max="9019" width="16.140625" style="20" customWidth="1"/>
    <col min="9020" max="9021" width="9.28515625" style="20" customWidth="1"/>
    <col min="9022" max="9022" width="11.140625" style="20" customWidth="1"/>
    <col min="9023" max="9023" width="2.140625" style="20" customWidth="1"/>
    <col min="9024" max="9216" width="11.42578125" style="20"/>
    <col min="9217" max="9217" width="1.140625" style="20" customWidth="1"/>
    <col min="9218" max="9220" width="5.42578125" style="20" customWidth="1"/>
    <col min="9221" max="9221" width="7.28515625" style="20" customWidth="1"/>
    <col min="9222" max="9227" width="4.5703125" style="20" customWidth="1"/>
    <col min="9228" max="9229" width="3.28515625" style="20" bestFit="1" customWidth="1"/>
    <col min="9230" max="9233" width="0" style="20" hidden="1" customWidth="1"/>
    <col min="9234" max="9234" width="4.28515625" style="20" customWidth="1"/>
    <col min="9235" max="9237" width="7.140625" style="20" customWidth="1"/>
    <col min="9238" max="9240" width="2.7109375" style="20" customWidth="1"/>
    <col min="9241" max="9241" width="2.85546875" style="20" customWidth="1"/>
    <col min="9242" max="9247" width="2.7109375" style="20" customWidth="1"/>
    <col min="9248" max="9257" width="0" style="20" hidden="1" customWidth="1"/>
    <col min="9258" max="9258" width="4.28515625" style="20" customWidth="1"/>
    <col min="9259" max="9259" width="0" style="20" hidden="1" customWidth="1"/>
    <col min="9260" max="9260" width="3.28515625" style="20" bestFit="1" customWidth="1"/>
    <col min="9261" max="9261" width="0" style="20" hidden="1" customWidth="1"/>
    <col min="9262" max="9262" width="3.28515625" style="20" bestFit="1" customWidth="1"/>
    <col min="9263" max="9264" width="4.28515625" style="20" customWidth="1"/>
    <col min="9265" max="9265" width="12.85546875" style="20" customWidth="1"/>
    <col min="9266" max="9266" width="10.7109375" style="20" customWidth="1"/>
    <col min="9267" max="9267" width="5.5703125" style="20" customWidth="1"/>
    <col min="9268" max="9268" width="26.28515625" style="20" customWidth="1"/>
    <col min="9269" max="9269" width="32.28515625" style="20" customWidth="1"/>
    <col min="9270" max="9270" width="6.140625" style="20" customWidth="1"/>
    <col min="9271" max="9271" width="19.5703125" style="20" customWidth="1"/>
    <col min="9272" max="9272" width="27.140625" style="20" customWidth="1"/>
    <col min="9273" max="9273" width="5.85546875" style="20" customWidth="1"/>
    <col min="9274" max="9274" width="31.5703125" style="20" customWidth="1"/>
    <col min="9275" max="9275" width="16.140625" style="20" customWidth="1"/>
    <col min="9276" max="9277" width="9.28515625" style="20" customWidth="1"/>
    <col min="9278" max="9278" width="11.140625" style="20" customWidth="1"/>
    <col min="9279" max="9279" width="2.140625" style="20" customWidth="1"/>
    <col min="9280" max="9472" width="11.42578125" style="20"/>
    <col min="9473" max="9473" width="1.140625" style="20" customWidth="1"/>
    <col min="9474" max="9476" width="5.42578125" style="20" customWidth="1"/>
    <col min="9477" max="9477" width="7.28515625" style="20" customWidth="1"/>
    <col min="9478" max="9483" width="4.5703125" style="20" customWidth="1"/>
    <col min="9484" max="9485" width="3.28515625" style="20" bestFit="1" customWidth="1"/>
    <col min="9486" max="9489" width="0" style="20" hidden="1" customWidth="1"/>
    <col min="9490" max="9490" width="4.28515625" style="20" customWidth="1"/>
    <col min="9491" max="9493" width="7.140625" style="20" customWidth="1"/>
    <col min="9494" max="9496" width="2.7109375" style="20" customWidth="1"/>
    <col min="9497" max="9497" width="2.85546875" style="20" customWidth="1"/>
    <col min="9498" max="9503" width="2.7109375" style="20" customWidth="1"/>
    <col min="9504" max="9513" width="0" style="20" hidden="1" customWidth="1"/>
    <col min="9514" max="9514" width="4.28515625" style="20" customWidth="1"/>
    <col min="9515" max="9515" width="0" style="20" hidden="1" customWidth="1"/>
    <col min="9516" max="9516" width="3.28515625" style="20" bestFit="1" customWidth="1"/>
    <col min="9517" max="9517" width="0" style="20" hidden="1" customWidth="1"/>
    <col min="9518" max="9518" width="3.28515625" style="20" bestFit="1" customWidth="1"/>
    <col min="9519" max="9520" width="4.28515625" style="20" customWidth="1"/>
    <col min="9521" max="9521" width="12.85546875" style="20" customWidth="1"/>
    <col min="9522" max="9522" width="10.7109375" style="20" customWidth="1"/>
    <col min="9523" max="9523" width="5.5703125" style="20" customWidth="1"/>
    <col min="9524" max="9524" width="26.28515625" style="20" customWidth="1"/>
    <col min="9525" max="9525" width="32.28515625" style="20" customWidth="1"/>
    <col min="9526" max="9526" width="6.140625" style="20" customWidth="1"/>
    <col min="9527" max="9527" width="19.5703125" style="20" customWidth="1"/>
    <col min="9528" max="9528" width="27.140625" style="20" customWidth="1"/>
    <col min="9529" max="9529" width="5.85546875" style="20" customWidth="1"/>
    <col min="9530" max="9530" width="31.5703125" style="20" customWidth="1"/>
    <col min="9531" max="9531" width="16.140625" style="20" customWidth="1"/>
    <col min="9532" max="9533" width="9.28515625" style="20" customWidth="1"/>
    <col min="9534" max="9534" width="11.140625" style="20" customWidth="1"/>
    <col min="9535" max="9535" width="2.140625" style="20" customWidth="1"/>
    <col min="9536" max="9728" width="11.42578125" style="20"/>
    <col min="9729" max="9729" width="1.140625" style="20" customWidth="1"/>
    <col min="9730" max="9732" width="5.42578125" style="20" customWidth="1"/>
    <col min="9733" max="9733" width="7.28515625" style="20" customWidth="1"/>
    <col min="9734" max="9739" width="4.5703125" style="20" customWidth="1"/>
    <col min="9740" max="9741" width="3.28515625" style="20" bestFit="1" customWidth="1"/>
    <col min="9742" max="9745" width="0" style="20" hidden="1" customWidth="1"/>
    <col min="9746" max="9746" width="4.28515625" style="20" customWidth="1"/>
    <col min="9747" max="9749" width="7.140625" style="20" customWidth="1"/>
    <col min="9750" max="9752" width="2.7109375" style="20" customWidth="1"/>
    <col min="9753" max="9753" width="2.85546875" style="20" customWidth="1"/>
    <col min="9754" max="9759" width="2.7109375" style="20" customWidth="1"/>
    <col min="9760" max="9769" width="0" style="20" hidden="1" customWidth="1"/>
    <col min="9770" max="9770" width="4.28515625" style="20" customWidth="1"/>
    <col min="9771" max="9771" width="0" style="20" hidden="1" customWidth="1"/>
    <col min="9772" max="9772" width="3.28515625" style="20" bestFit="1" customWidth="1"/>
    <col min="9773" max="9773" width="0" style="20" hidden="1" customWidth="1"/>
    <col min="9774" max="9774" width="3.28515625" style="20" bestFit="1" customWidth="1"/>
    <col min="9775" max="9776" width="4.28515625" style="20" customWidth="1"/>
    <col min="9777" max="9777" width="12.85546875" style="20" customWidth="1"/>
    <col min="9778" max="9778" width="10.7109375" style="20" customWidth="1"/>
    <col min="9779" max="9779" width="5.5703125" style="20" customWidth="1"/>
    <col min="9780" max="9780" width="26.28515625" style="20" customWidth="1"/>
    <col min="9781" max="9781" width="32.28515625" style="20" customWidth="1"/>
    <col min="9782" max="9782" width="6.140625" style="20" customWidth="1"/>
    <col min="9783" max="9783" width="19.5703125" style="20" customWidth="1"/>
    <col min="9784" max="9784" width="27.140625" style="20" customWidth="1"/>
    <col min="9785" max="9785" width="5.85546875" style="20" customWidth="1"/>
    <col min="9786" max="9786" width="31.5703125" style="20" customWidth="1"/>
    <col min="9787" max="9787" width="16.140625" style="20" customWidth="1"/>
    <col min="9788" max="9789" width="9.28515625" style="20" customWidth="1"/>
    <col min="9790" max="9790" width="11.140625" style="20" customWidth="1"/>
    <col min="9791" max="9791" width="2.140625" style="20" customWidth="1"/>
    <col min="9792" max="9984" width="11.42578125" style="20"/>
    <col min="9985" max="9985" width="1.140625" style="20" customWidth="1"/>
    <col min="9986" max="9988" width="5.42578125" style="20" customWidth="1"/>
    <col min="9989" max="9989" width="7.28515625" style="20" customWidth="1"/>
    <col min="9990" max="9995" width="4.5703125" style="20" customWidth="1"/>
    <col min="9996" max="9997" width="3.28515625" style="20" bestFit="1" customWidth="1"/>
    <col min="9998" max="10001" width="0" style="20" hidden="1" customWidth="1"/>
    <col min="10002" max="10002" width="4.28515625" style="20" customWidth="1"/>
    <col min="10003" max="10005" width="7.140625" style="20" customWidth="1"/>
    <col min="10006" max="10008" width="2.7109375" style="20" customWidth="1"/>
    <col min="10009" max="10009" width="2.85546875" style="20" customWidth="1"/>
    <col min="10010" max="10015" width="2.7109375" style="20" customWidth="1"/>
    <col min="10016" max="10025" width="0" style="20" hidden="1" customWidth="1"/>
    <col min="10026" max="10026" width="4.28515625" style="20" customWidth="1"/>
    <col min="10027" max="10027" width="0" style="20" hidden="1" customWidth="1"/>
    <col min="10028" max="10028" width="3.28515625" style="20" bestFit="1" customWidth="1"/>
    <col min="10029" max="10029" width="0" style="20" hidden="1" customWidth="1"/>
    <col min="10030" max="10030" width="3.28515625" style="20" bestFit="1" customWidth="1"/>
    <col min="10031" max="10032" width="4.28515625" style="20" customWidth="1"/>
    <col min="10033" max="10033" width="12.85546875" style="20" customWidth="1"/>
    <col min="10034" max="10034" width="10.7109375" style="20" customWidth="1"/>
    <col min="10035" max="10035" width="5.5703125" style="20" customWidth="1"/>
    <col min="10036" max="10036" width="26.28515625" style="20" customWidth="1"/>
    <col min="10037" max="10037" width="32.28515625" style="20" customWidth="1"/>
    <col min="10038" max="10038" width="6.140625" style="20" customWidth="1"/>
    <col min="10039" max="10039" width="19.5703125" style="20" customWidth="1"/>
    <col min="10040" max="10040" width="27.140625" style="20" customWidth="1"/>
    <col min="10041" max="10041" width="5.85546875" style="20" customWidth="1"/>
    <col min="10042" max="10042" width="31.5703125" style="20" customWidth="1"/>
    <col min="10043" max="10043" width="16.140625" style="20" customWidth="1"/>
    <col min="10044" max="10045" width="9.28515625" style="20" customWidth="1"/>
    <col min="10046" max="10046" width="11.140625" style="20" customWidth="1"/>
    <col min="10047" max="10047" width="2.140625" style="20" customWidth="1"/>
    <col min="10048" max="10240" width="11.42578125" style="20"/>
    <col min="10241" max="10241" width="1.140625" style="20" customWidth="1"/>
    <col min="10242" max="10244" width="5.42578125" style="20" customWidth="1"/>
    <col min="10245" max="10245" width="7.28515625" style="20" customWidth="1"/>
    <col min="10246" max="10251" width="4.5703125" style="20" customWidth="1"/>
    <col min="10252" max="10253" width="3.28515625" style="20" bestFit="1" customWidth="1"/>
    <col min="10254" max="10257" width="0" style="20" hidden="1" customWidth="1"/>
    <col min="10258" max="10258" width="4.28515625" style="20" customWidth="1"/>
    <col min="10259" max="10261" width="7.140625" style="20" customWidth="1"/>
    <col min="10262" max="10264" width="2.7109375" style="20" customWidth="1"/>
    <col min="10265" max="10265" width="2.85546875" style="20" customWidth="1"/>
    <col min="10266" max="10271" width="2.7109375" style="20" customWidth="1"/>
    <col min="10272" max="10281" width="0" style="20" hidden="1" customWidth="1"/>
    <col min="10282" max="10282" width="4.28515625" style="20" customWidth="1"/>
    <col min="10283" max="10283" width="0" style="20" hidden="1" customWidth="1"/>
    <col min="10284" max="10284" width="3.28515625" style="20" bestFit="1" customWidth="1"/>
    <col min="10285" max="10285" width="0" style="20" hidden="1" customWidth="1"/>
    <col min="10286" max="10286" width="3.28515625" style="20" bestFit="1" customWidth="1"/>
    <col min="10287" max="10288" width="4.28515625" style="20" customWidth="1"/>
    <col min="10289" max="10289" width="12.85546875" style="20" customWidth="1"/>
    <col min="10290" max="10290" width="10.7109375" style="20" customWidth="1"/>
    <col min="10291" max="10291" width="5.5703125" style="20" customWidth="1"/>
    <col min="10292" max="10292" width="26.28515625" style="20" customWidth="1"/>
    <col min="10293" max="10293" width="32.28515625" style="20" customWidth="1"/>
    <col min="10294" max="10294" width="6.140625" style="20" customWidth="1"/>
    <col min="10295" max="10295" width="19.5703125" style="20" customWidth="1"/>
    <col min="10296" max="10296" width="27.140625" style="20" customWidth="1"/>
    <col min="10297" max="10297" width="5.85546875" style="20" customWidth="1"/>
    <col min="10298" max="10298" width="31.5703125" style="20" customWidth="1"/>
    <col min="10299" max="10299" width="16.140625" style="20" customWidth="1"/>
    <col min="10300" max="10301" width="9.28515625" style="20" customWidth="1"/>
    <col min="10302" max="10302" width="11.140625" style="20" customWidth="1"/>
    <col min="10303" max="10303" width="2.140625" style="20" customWidth="1"/>
    <col min="10304" max="10496" width="11.42578125" style="20"/>
    <col min="10497" max="10497" width="1.140625" style="20" customWidth="1"/>
    <col min="10498" max="10500" width="5.42578125" style="20" customWidth="1"/>
    <col min="10501" max="10501" width="7.28515625" style="20" customWidth="1"/>
    <col min="10502" max="10507" width="4.5703125" style="20" customWidth="1"/>
    <col min="10508" max="10509" width="3.28515625" style="20" bestFit="1" customWidth="1"/>
    <col min="10510" max="10513" width="0" style="20" hidden="1" customWidth="1"/>
    <col min="10514" max="10514" width="4.28515625" style="20" customWidth="1"/>
    <col min="10515" max="10517" width="7.140625" style="20" customWidth="1"/>
    <col min="10518" max="10520" width="2.7109375" style="20" customWidth="1"/>
    <col min="10521" max="10521" width="2.85546875" style="20" customWidth="1"/>
    <col min="10522" max="10527" width="2.7109375" style="20" customWidth="1"/>
    <col min="10528" max="10537" width="0" style="20" hidden="1" customWidth="1"/>
    <col min="10538" max="10538" width="4.28515625" style="20" customWidth="1"/>
    <col min="10539" max="10539" width="0" style="20" hidden="1" customWidth="1"/>
    <col min="10540" max="10540" width="3.28515625" style="20" bestFit="1" customWidth="1"/>
    <col min="10541" max="10541" width="0" style="20" hidden="1" customWidth="1"/>
    <col min="10542" max="10542" width="3.28515625" style="20" bestFit="1" customWidth="1"/>
    <col min="10543" max="10544" width="4.28515625" style="20" customWidth="1"/>
    <col min="10545" max="10545" width="12.85546875" style="20" customWidth="1"/>
    <col min="10546" max="10546" width="10.7109375" style="20" customWidth="1"/>
    <col min="10547" max="10547" width="5.5703125" style="20" customWidth="1"/>
    <col min="10548" max="10548" width="26.28515625" style="20" customWidth="1"/>
    <col min="10549" max="10549" width="32.28515625" style="20" customWidth="1"/>
    <col min="10550" max="10550" width="6.140625" style="20" customWidth="1"/>
    <col min="10551" max="10551" width="19.5703125" style="20" customWidth="1"/>
    <col min="10552" max="10552" width="27.140625" style="20" customWidth="1"/>
    <col min="10553" max="10553" width="5.85546875" style="20" customWidth="1"/>
    <col min="10554" max="10554" width="31.5703125" style="20" customWidth="1"/>
    <col min="10555" max="10555" width="16.140625" style="20" customWidth="1"/>
    <col min="10556" max="10557" width="9.28515625" style="20" customWidth="1"/>
    <col min="10558" max="10558" width="11.140625" style="20" customWidth="1"/>
    <col min="10559" max="10559" width="2.140625" style="20" customWidth="1"/>
    <col min="10560" max="10752" width="11.42578125" style="20"/>
    <col min="10753" max="10753" width="1.140625" style="20" customWidth="1"/>
    <col min="10754" max="10756" width="5.42578125" style="20" customWidth="1"/>
    <col min="10757" max="10757" width="7.28515625" style="20" customWidth="1"/>
    <col min="10758" max="10763" width="4.5703125" style="20" customWidth="1"/>
    <col min="10764" max="10765" width="3.28515625" style="20" bestFit="1" customWidth="1"/>
    <col min="10766" max="10769" width="0" style="20" hidden="1" customWidth="1"/>
    <col min="10770" max="10770" width="4.28515625" style="20" customWidth="1"/>
    <col min="10771" max="10773" width="7.140625" style="20" customWidth="1"/>
    <col min="10774" max="10776" width="2.7109375" style="20" customWidth="1"/>
    <col min="10777" max="10777" width="2.85546875" style="20" customWidth="1"/>
    <col min="10778" max="10783" width="2.7109375" style="20" customWidth="1"/>
    <col min="10784" max="10793" width="0" style="20" hidden="1" customWidth="1"/>
    <col min="10794" max="10794" width="4.28515625" style="20" customWidth="1"/>
    <col min="10795" max="10795" width="0" style="20" hidden="1" customWidth="1"/>
    <col min="10796" max="10796" width="3.28515625" style="20" bestFit="1" customWidth="1"/>
    <col min="10797" max="10797" width="0" style="20" hidden="1" customWidth="1"/>
    <col min="10798" max="10798" width="3.28515625" style="20" bestFit="1" customWidth="1"/>
    <col min="10799" max="10800" width="4.28515625" style="20" customWidth="1"/>
    <col min="10801" max="10801" width="12.85546875" style="20" customWidth="1"/>
    <col min="10802" max="10802" width="10.7109375" style="20" customWidth="1"/>
    <col min="10803" max="10803" width="5.5703125" style="20" customWidth="1"/>
    <col min="10804" max="10804" width="26.28515625" style="20" customWidth="1"/>
    <col min="10805" max="10805" width="32.28515625" style="20" customWidth="1"/>
    <col min="10806" max="10806" width="6.140625" style="20" customWidth="1"/>
    <col min="10807" max="10807" width="19.5703125" style="20" customWidth="1"/>
    <col min="10808" max="10808" width="27.140625" style="20" customWidth="1"/>
    <col min="10809" max="10809" width="5.85546875" style="20" customWidth="1"/>
    <col min="10810" max="10810" width="31.5703125" style="20" customWidth="1"/>
    <col min="10811" max="10811" width="16.140625" style="20" customWidth="1"/>
    <col min="10812" max="10813" width="9.28515625" style="20" customWidth="1"/>
    <col min="10814" max="10814" width="11.140625" style="20" customWidth="1"/>
    <col min="10815" max="10815" width="2.140625" style="20" customWidth="1"/>
    <col min="10816" max="11008" width="11.42578125" style="20"/>
    <col min="11009" max="11009" width="1.140625" style="20" customWidth="1"/>
    <col min="11010" max="11012" width="5.42578125" style="20" customWidth="1"/>
    <col min="11013" max="11013" width="7.28515625" style="20" customWidth="1"/>
    <col min="11014" max="11019" width="4.5703125" style="20" customWidth="1"/>
    <col min="11020" max="11021" width="3.28515625" style="20" bestFit="1" customWidth="1"/>
    <col min="11022" max="11025" width="0" style="20" hidden="1" customWidth="1"/>
    <col min="11026" max="11026" width="4.28515625" style="20" customWidth="1"/>
    <col min="11027" max="11029" width="7.140625" style="20" customWidth="1"/>
    <col min="11030" max="11032" width="2.7109375" style="20" customWidth="1"/>
    <col min="11033" max="11033" width="2.85546875" style="20" customWidth="1"/>
    <col min="11034" max="11039" width="2.7109375" style="20" customWidth="1"/>
    <col min="11040" max="11049" width="0" style="20" hidden="1" customWidth="1"/>
    <col min="11050" max="11050" width="4.28515625" style="20" customWidth="1"/>
    <col min="11051" max="11051" width="0" style="20" hidden="1" customWidth="1"/>
    <col min="11052" max="11052" width="3.28515625" style="20" bestFit="1" customWidth="1"/>
    <col min="11053" max="11053" width="0" style="20" hidden="1" customWidth="1"/>
    <col min="11054" max="11054" width="3.28515625" style="20" bestFit="1" customWidth="1"/>
    <col min="11055" max="11056" width="4.28515625" style="20" customWidth="1"/>
    <col min="11057" max="11057" width="12.85546875" style="20" customWidth="1"/>
    <col min="11058" max="11058" width="10.7109375" style="20" customWidth="1"/>
    <col min="11059" max="11059" width="5.5703125" style="20" customWidth="1"/>
    <col min="11060" max="11060" width="26.28515625" style="20" customWidth="1"/>
    <col min="11061" max="11061" width="32.28515625" style="20" customWidth="1"/>
    <col min="11062" max="11062" width="6.140625" style="20" customWidth="1"/>
    <col min="11063" max="11063" width="19.5703125" style="20" customWidth="1"/>
    <col min="11064" max="11064" width="27.140625" style="20" customWidth="1"/>
    <col min="11065" max="11065" width="5.85546875" style="20" customWidth="1"/>
    <col min="11066" max="11066" width="31.5703125" style="20" customWidth="1"/>
    <col min="11067" max="11067" width="16.140625" style="20" customWidth="1"/>
    <col min="11068" max="11069" width="9.28515625" style="20" customWidth="1"/>
    <col min="11070" max="11070" width="11.140625" style="20" customWidth="1"/>
    <col min="11071" max="11071" width="2.140625" style="20" customWidth="1"/>
    <col min="11072" max="11264" width="11.42578125" style="20"/>
    <col min="11265" max="11265" width="1.140625" style="20" customWidth="1"/>
    <col min="11266" max="11268" width="5.42578125" style="20" customWidth="1"/>
    <col min="11269" max="11269" width="7.28515625" style="20" customWidth="1"/>
    <col min="11270" max="11275" width="4.5703125" style="20" customWidth="1"/>
    <col min="11276" max="11277" width="3.28515625" style="20" bestFit="1" customWidth="1"/>
    <col min="11278" max="11281" width="0" style="20" hidden="1" customWidth="1"/>
    <col min="11282" max="11282" width="4.28515625" style="20" customWidth="1"/>
    <col min="11283" max="11285" width="7.140625" style="20" customWidth="1"/>
    <col min="11286" max="11288" width="2.7109375" style="20" customWidth="1"/>
    <col min="11289" max="11289" width="2.85546875" style="20" customWidth="1"/>
    <col min="11290" max="11295" width="2.7109375" style="20" customWidth="1"/>
    <col min="11296" max="11305" width="0" style="20" hidden="1" customWidth="1"/>
    <col min="11306" max="11306" width="4.28515625" style="20" customWidth="1"/>
    <col min="11307" max="11307" width="0" style="20" hidden="1" customWidth="1"/>
    <col min="11308" max="11308" width="3.28515625" style="20" bestFit="1" customWidth="1"/>
    <col min="11309" max="11309" width="0" style="20" hidden="1" customWidth="1"/>
    <col min="11310" max="11310" width="3.28515625" style="20" bestFit="1" customWidth="1"/>
    <col min="11311" max="11312" width="4.28515625" style="20" customWidth="1"/>
    <col min="11313" max="11313" width="12.85546875" style="20" customWidth="1"/>
    <col min="11314" max="11314" width="10.7109375" style="20" customWidth="1"/>
    <col min="11315" max="11315" width="5.5703125" style="20" customWidth="1"/>
    <col min="11316" max="11316" width="26.28515625" style="20" customWidth="1"/>
    <col min="11317" max="11317" width="32.28515625" style="20" customWidth="1"/>
    <col min="11318" max="11318" width="6.140625" style="20" customWidth="1"/>
    <col min="11319" max="11319" width="19.5703125" style="20" customWidth="1"/>
    <col min="11320" max="11320" width="27.140625" style="20" customWidth="1"/>
    <col min="11321" max="11321" width="5.85546875" style="20" customWidth="1"/>
    <col min="11322" max="11322" width="31.5703125" style="20" customWidth="1"/>
    <col min="11323" max="11323" width="16.140625" style="20" customWidth="1"/>
    <col min="11324" max="11325" width="9.28515625" style="20" customWidth="1"/>
    <col min="11326" max="11326" width="11.140625" style="20" customWidth="1"/>
    <col min="11327" max="11327" width="2.140625" style="20" customWidth="1"/>
    <col min="11328" max="11520" width="11.42578125" style="20"/>
    <col min="11521" max="11521" width="1.140625" style="20" customWidth="1"/>
    <col min="11522" max="11524" width="5.42578125" style="20" customWidth="1"/>
    <col min="11525" max="11525" width="7.28515625" style="20" customWidth="1"/>
    <col min="11526" max="11531" width="4.5703125" style="20" customWidth="1"/>
    <col min="11532" max="11533" width="3.28515625" style="20" bestFit="1" customWidth="1"/>
    <col min="11534" max="11537" width="0" style="20" hidden="1" customWidth="1"/>
    <col min="11538" max="11538" width="4.28515625" style="20" customWidth="1"/>
    <col min="11539" max="11541" width="7.140625" style="20" customWidth="1"/>
    <col min="11542" max="11544" width="2.7109375" style="20" customWidth="1"/>
    <col min="11545" max="11545" width="2.85546875" style="20" customWidth="1"/>
    <col min="11546" max="11551" width="2.7109375" style="20" customWidth="1"/>
    <col min="11552" max="11561" width="0" style="20" hidden="1" customWidth="1"/>
    <col min="11562" max="11562" width="4.28515625" style="20" customWidth="1"/>
    <col min="11563" max="11563" width="0" style="20" hidden="1" customWidth="1"/>
    <col min="11564" max="11564" width="3.28515625" style="20" bestFit="1" customWidth="1"/>
    <col min="11565" max="11565" width="0" style="20" hidden="1" customWidth="1"/>
    <col min="11566" max="11566" width="3.28515625" style="20" bestFit="1" customWidth="1"/>
    <col min="11567" max="11568" width="4.28515625" style="20" customWidth="1"/>
    <col min="11569" max="11569" width="12.85546875" style="20" customWidth="1"/>
    <col min="11570" max="11570" width="10.7109375" style="20" customWidth="1"/>
    <col min="11571" max="11571" width="5.5703125" style="20" customWidth="1"/>
    <col min="11572" max="11572" width="26.28515625" style="20" customWidth="1"/>
    <col min="11573" max="11573" width="32.28515625" style="20" customWidth="1"/>
    <col min="11574" max="11574" width="6.140625" style="20" customWidth="1"/>
    <col min="11575" max="11575" width="19.5703125" style="20" customWidth="1"/>
    <col min="11576" max="11576" width="27.140625" style="20" customWidth="1"/>
    <col min="11577" max="11577" width="5.85546875" style="20" customWidth="1"/>
    <col min="11578" max="11578" width="31.5703125" style="20" customWidth="1"/>
    <col min="11579" max="11579" width="16.140625" style="20" customWidth="1"/>
    <col min="11580" max="11581" width="9.28515625" style="20" customWidth="1"/>
    <col min="11582" max="11582" width="11.140625" style="20" customWidth="1"/>
    <col min="11583" max="11583" width="2.140625" style="20" customWidth="1"/>
    <col min="11584" max="11776" width="11.42578125" style="20"/>
    <col min="11777" max="11777" width="1.140625" style="20" customWidth="1"/>
    <col min="11778" max="11780" width="5.42578125" style="20" customWidth="1"/>
    <col min="11781" max="11781" width="7.28515625" style="20" customWidth="1"/>
    <col min="11782" max="11787" width="4.5703125" style="20" customWidth="1"/>
    <col min="11788" max="11789" width="3.28515625" style="20" bestFit="1" customWidth="1"/>
    <col min="11790" max="11793" width="0" style="20" hidden="1" customWidth="1"/>
    <col min="11794" max="11794" width="4.28515625" style="20" customWidth="1"/>
    <col min="11795" max="11797" width="7.140625" style="20" customWidth="1"/>
    <col min="11798" max="11800" width="2.7109375" style="20" customWidth="1"/>
    <col min="11801" max="11801" width="2.85546875" style="20" customWidth="1"/>
    <col min="11802" max="11807" width="2.7109375" style="20" customWidth="1"/>
    <col min="11808" max="11817" width="0" style="20" hidden="1" customWidth="1"/>
    <col min="11818" max="11818" width="4.28515625" style="20" customWidth="1"/>
    <col min="11819" max="11819" width="0" style="20" hidden="1" customWidth="1"/>
    <col min="11820" max="11820" width="3.28515625" style="20" bestFit="1" customWidth="1"/>
    <col min="11821" max="11821" width="0" style="20" hidden="1" customWidth="1"/>
    <col min="11822" max="11822" width="3.28515625" style="20" bestFit="1" customWidth="1"/>
    <col min="11823" max="11824" width="4.28515625" style="20" customWidth="1"/>
    <col min="11825" max="11825" width="12.85546875" style="20" customWidth="1"/>
    <col min="11826" max="11826" width="10.7109375" style="20" customWidth="1"/>
    <col min="11827" max="11827" width="5.5703125" style="20" customWidth="1"/>
    <col min="11828" max="11828" width="26.28515625" style="20" customWidth="1"/>
    <col min="11829" max="11829" width="32.28515625" style="20" customWidth="1"/>
    <col min="11830" max="11830" width="6.140625" style="20" customWidth="1"/>
    <col min="11831" max="11831" width="19.5703125" style="20" customWidth="1"/>
    <col min="11832" max="11832" width="27.140625" style="20" customWidth="1"/>
    <col min="11833" max="11833" width="5.85546875" style="20" customWidth="1"/>
    <col min="11834" max="11834" width="31.5703125" style="20" customWidth="1"/>
    <col min="11835" max="11835" width="16.140625" style="20" customWidth="1"/>
    <col min="11836" max="11837" width="9.28515625" style="20" customWidth="1"/>
    <col min="11838" max="11838" width="11.140625" style="20" customWidth="1"/>
    <col min="11839" max="11839" width="2.140625" style="20" customWidth="1"/>
    <col min="11840" max="12032" width="11.42578125" style="20"/>
    <col min="12033" max="12033" width="1.140625" style="20" customWidth="1"/>
    <col min="12034" max="12036" width="5.42578125" style="20" customWidth="1"/>
    <col min="12037" max="12037" width="7.28515625" style="20" customWidth="1"/>
    <col min="12038" max="12043" width="4.5703125" style="20" customWidth="1"/>
    <col min="12044" max="12045" width="3.28515625" style="20" bestFit="1" customWidth="1"/>
    <col min="12046" max="12049" width="0" style="20" hidden="1" customWidth="1"/>
    <col min="12050" max="12050" width="4.28515625" style="20" customWidth="1"/>
    <col min="12051" max="12053" width="7.140625" style="20" customWidth="1"/>
    <col min="12054" max="12056" width="2.7109375" style="20" customWidth="1"/>
    <col min="12057" max="12057" width="2.85546875" style="20" customWidth="1"/>
    <col min="12058" max="12063" width="2.7109375" style="20" customWidth="1"/>
    <col min="12064" max="12073" width="0" style="20" hidden="1" customWidth="1"/>
    <col min="12074" max="12074" width="4.28515625" style="20" customWidth="1"/>
    <col min="12075" max="12075" width="0" style="20" hidden="1" customWidth="1"/>
    <col min="12076" max="12076" width="3.28515625" style="20" bestFit="1" customWidth="1"/>
    <col min="12077" max="12077" width="0" style="20" hidden="1" customWidth="1"/>
    <col min="12078" max="12078" width="3.28515625" style="20" bestFit="1" customWidth="1"/>
    <col min="12079" max="12080" width="4.28515625" style="20" customWidth="1"/>
    <col min="12081" max="12081" width="12.85546875" style="20" customWidth="1"/>
    <col min="12082" max="12082" width="10.7109375" style="20" customWidth="1"/>
    <col min="12083" max="12083" width="5.5703125" style="20" customWidth="1"/>
    <col min="12084" max="12084" width="26.28515625" style="20" customWidth="1"/>
    <col min="12085" max="12085" width="32.28515625" style="20" customWidth="1"/>
    <col min="12086" max="12086" width="6.140625" style="20" customWidth="1"/>
    <col min="12087" max="12087" width="19.5703125" style="20" customWidth="1"/>
    <col min="12088" max="12088" width="27.140625" style="20" customWidth="1"/>
    <col min="12089" max="12089" width="5.85546875" style="20" customWidth="1"/>
    <col min="12090" max="12090" width="31.5703125" style="20" customWidth="1"/>
    <col min="12091" max="12091" width="16.140625" style="20" customWidth="1"/>
    <col min="12092" max="12093" width="9.28515625" style="20" customWidth="1"/>
    <col min="12094" max="12094" width="11.140625" style="20" customWidth="1"/>
    <col min="12095" max="12095" width="2.140625" style="20" customWidth="1"/>
    <col min="12096" max="12288" width="11.42578125" style="20"/>
    <col min="12289" max="12289" width="1.140625" style="20" customWidth="1"/>
    <col min="12290" max="12292" width="5.42578125" style="20" customWidth="1"/>
    <col min="12293" max="12293" width="7.28515625" style="20" customWidth="1"/>
    <col min="12294" max="12299" width="4.5703125" style="20" customWidth="1"/>
    <col min="12300" max="12301" width="3.28515625" style="20" bestFit="1" customWidth="1"/>
    <col min="12302" max="12305" width="0" style="20" hidden="1" customWidth="1"/>
    <col min="12306" max="12306" width="4.28515625" style="20" customWidth="1"/>
    <col min="12307" max="12309" width="7.140625" style="20" customWidth="1"/>
    <col min="12310" max="12312" width="2.7109375" style="20" customWidth="1"/>
    <col min="12313" max="12313" width="2.85546875" style="20" customWidth="1"/>
    <col min="12314" max="12319" width="2.7109375" style="20" customWidth="1"/>
    <col min="12320" max="12329" width="0" style="20" hidden="1" customWidth="1"/>
    <col min="12330" max="12330" width="4.28515625" style="20" customWidth="1"/>
    <col min="12331" max="12331" width="0" style="20" hidden="1" customWidth="1"/>
    <col min="12332" max="12332" width="3.28515625" style="20" bestFit="1" customWidth="1"/>
    <col min="12333" max="12333" width="0" style="20" hidden="1" customWidth="1"/>
    <col min="12334" max="12334" width="3.28515625" style="20" bestFit="1" customWidth="1"/>
    <col min="12335" max="12336" width="4.28515625" style="20" customWidth="1"/>
    <col min="12337" max="12337" width="12.85546875" style="20" customWidth="1"/>
    <col min="12338" max="12338" width="10.7109375" style="20" customWidth="1"/>
    <col min="12339" max="12339" width="5.5703125" style="20" customWidth="1"/>
    <col min="12340" max="12340" width="26.28515625" style="20" customWidth="1"/>
    <col min="12341" max="12341" width="32.28515625" style="20" customWidth="1"/>
    <col min="12342" max="12342" width="6.140625" style="20" customWidth="1"/>
    <col min="12343" max="12343" width="19.5703125" style="20" customWidth="1"/>
    <col min="12344" max="12344" width="27.140625" style="20" customWidth="1"/>
    <col min="12345" max="12345" width="5.85546875" style="20" customWidth="1"/>
    <col min="12346" max="12346" width="31.5703125" style="20" customWidth="1"/>
    <col min="12347" max="12347" width="16.140625" style="20" customWidth="1"/>
    <col min="12348" max="12349" width="9.28515625" style="20" customWidth="1"/>
    <col min="12350" max="12350" width="11.140625" style="20" customWidth="1"/>
    <col min="12351" max="12351" width="2.140625" style="20" customWidth="1"/>
    <col min="12352" max="12544" width="11.42578125" style="20"/>
    <col min="12545" max="12545" width="1.140625" style="20" customWidth="1"/>
    <col min="12546" max="12548" width="5.42578125" style="20" customWidth="1"/>
    <col min="12549" max="12549" width="7.28515625" style="20" customWidth="1"/>
    <col min="12550" max="12555" width="4.5703125" style="20" customWidth="1"/>
    <col min="12556" max="12557" width="3.28515625" style="20" bestFit="1" customWidth="1"/>
    <col min="12558" max="12561" width="0" style="20" hidden="1" customWidth="1"/>
    <col min="12562" max="12562" width="4.28515625" style="20" customWidth="1"/>
    <col min="12563" max="12565" width="7.140625" style="20" customWidth="1"/>
    <col min="12566" max="12568" width="2.7109375" style="20" customWidth="1"/>
    <col min="12569" max="12569" width="2.85546875" style="20" customWidth="1"/>
    <col min="12570" max="12575" width="2.7109375" style="20" customWidth="1"/>
    <col min="12576" max="12585" width="0" style="20" hidden="1" customWidth="1"/>
    <col min="12586" max="12586" width="4.28515625" style="20" customWidth="1"/>
    <col min="12587" max="12587" width="0" style="20" hidden="1" customWidth="1"/>
    <col min="12588" max="12588" width="3.28515625" style="20" bestFit="1" customWidth="1"/>
    <col min="12589" max="12589" width="0" style="20" hidden="1" customWidth="1"/>
    <col min="12590" max="12590" width="3.28515625" style="20" bestFit="1" customWidth="1"/>
    <col min="12591" max="12592" width="4.28515625" style="20" customWidth="1"/>
    <col min="12593" max="12593" width="12.85546875" style="20" customWidth="1"/>
    <col min="12594" max="12594" width="10.7109375" style="20" customWidth="1"/>
    <col min="12595" max="12595" width="5.5703125" style="20" customWidth="1"/>
    <col min="12596" max="12596" width="26.28515625" style="20" customWidth="1"/>
    <col min="12597" max="12597" width="32.28515625" style="20" customWidth="1"/>
    <col min="12598" max="12598" width="6.140625" style="20" customWidth="1"/>
    <col min="12599" max="12599" width="19.5703125" style="20" customWidth="1"/>
    <col min="12600" max="12600" width="27.140625" style="20" customWidth="1"/>
    <col min="12601" max="12601" width="5.85546875" style="20" customWidth="1"/>
    <col min="12602" max="12602" width="31.5703125" style="20" customWidth="1"/>
    <col min="12603" max="12603" width="16.140625" style="20" customWidth="1"/>
    <col min="12604" max="12605" width="9.28515625" style="20" customWidth="1"/>
    <col min="12606" max="12606" width="11.140625" style="20" customWidth="1"/>
    <col min="12607" max="12607" width="2.140625" style="20" customWidth="1"/>
    <col min="12608" max="12800" width="11.42578125" style="20"/>
    <col min="12801" max="12801" width="1.140625" style="20" customWidth="1"/>
    <col min="12802" max="12804" width="5.42578125" style="20" customWidth="1"/>
    <col min="12805" max="12805" width="7.28515625" style="20" customWidth="1"/>
    <col min="12806" max="12811" width="4.5703125" style="20" customWidth="1"/>
    <col min="12812" max="12813" width="3.28515625" style="20" bestFit="1" customWidth="1"/>
    <col min="12814" max="12817" width="0" style="20" hidden="1" customWidth="1"/>
    <col min="12818" max="12818" width="4.28515625" style="20" customWidth="1"/>
    <col min="12819" max="12821" width="7.140625" style="20" customWidth="1"/>
    <col min="12822" max="12824" width="2.7109375" style="20" customWidth="1"/>
    <col min="12825" max="12825" width="2.85546875" style="20" customWidth="1"/>
    <col min="12826" max="12831" width="2.7109375" style="20" customWidth="1"/>
    <col min="12832" max="12841" width="0" style="20" hidden="1" customWidth="1"/>
    <col min="12842" max="12842" width="4.28515625" style="20" customWidth="1"/>
    <col min="12843" max="12843" width="0" style="20" hidden="1" customWidth="1"/>
    <col min="12844" max="12844" width="3.28515625" style="20" bestFit="1" customWidth="1"/>
    <col min="12845" max="12845" width="0" style="20" hidden="1" customWidth="1"/>
    <col min="12846" max="12846" width="3.28515625" style="20" bestFit="1" customWidth="1"/>
    <col min="12847" max="12848" width="4.28515625" style="20" customWidth="1"/>
    <col min="12849" max="12849" width="12.85546875" style="20" customWidth="1"/>
    <col min="12850" max="12850" width="10.7109375" style="20" customWidth="1"/>
    <col min="12851" max="12851" width="5.5703125" style="20" customWidth="1"/>
    <col min="12852" max="12852" width="26.28515625" style="20" customWidth="1"/>
    <col min="12853" max="12853" width="32.28515625" style="20" customWidth="1"/>
    <col min="12854" max="12854" width="6.140625" style="20" customWidth="1"/>
    <col min="12855" max="12855" width="19.5703125" style="20" customWidth="1"/>
    <col min="12856" max="12856" width="27.140625" style="20" customWidth="1"/>
    <col min="12857" max="12857" width="5.85546875" style="20" customWidth="1"/>
    <col min="12858" max="12858" width="31.5703125" style="20" customWidth="1"/>
    <col min="12859" max="12859" width="16.140625" style="20" customWidth="1"/>
    <col min="12860" max="12861" width="9.28515625" style="20" customWidth="1"/>
    <col min="12862" max="12862" width="11.140625" style="20" customWidth="1"/>
    <col min="12863" max="12863" width="2.140625" style="20" customWidth="1"/>
    <col min="12864" max="13056" width="11.42578125" style="20"/>
    <col min="13057" max="13057" width="1.140625" style="20" customWidth="1"/>
    <col min="13058" max="13060" width="5.42578125" style="20" customWidth="1"/>
    <col min="13061" max="13061" width="7.28515625" style="20" customWidth="1"/>
    <col min="13062" max="13067" width="4.5703125" style="20" customWidth="1"/>
    <col min="13068" max="13069" width="3.28515625" style="20" bestFit="1" customWidth="1"/>
    <col min="13070" max="13073" width="0" style="20" hidden="1" customWidth="1"/>
    <col min="13074" max="13074" width="4.28515625" style="20" customWidth="1"/>
    <col min="13075" max="13077" width="7.140625" style="20" customWidth="1"/>
    <col min="13078" max="13080" width="2.7109375" style="20" customWidth="1"/>
    <col min="13081" max="13081" width="2.85546875" style="20" customWidth="1"/>
    <col min="13082" max="13087" width="2.7109375" style="20" customWidth="1"/>
    <col min="13088" max="13097" width="0" style="20" hidden="1" customWidth="1"/>
    <col min="13098" max="13098" width="4.28515625" style="20" customWidth="1"/>
    <col min="13099" max="13099" width="0" style="20" hidden="1" customWidth="1"/>
    <col min="13100" max="13100" width="3.28515625" style="20" bestFit="1" customWidth="1"/>
    <col min="13101" max="13101" width="0" style="20" hidden="1" customWidth="1"/>
    <col min="13102" max="13102" width="3.28515625" style="20" bestFit="1" customWidth="1"/>
    <col min="13103" max="13104" width="4.28515625" style="20" customWidth="1"/>
    <col min="13105" max="13105" width="12.85546875" style="20" customWidth="1"/>
    <col min="13106" max="13106" width="10.7109375" style="20" customWidth="1"/>
    <col min="13107" max="13107" width="5.5703125" style="20" customWidth="1"/>
    <col min="13108" max="13108" width="26.28515625" style="20" customWidth="1"/>
    <col min="13109" max="13109" width="32.28515625" style="20" customWidth="1"/>
    <col min="13110" max="13110" width="6.140625" style="20" customWidth="1"/>
    <col min="13111" max="13111" width="19.5703125" style="20" customWidth="1"/>
    <col min="13112" max="13112" width="27.140625" style="20" customWidth="1"/>
    <col min="13113" max="13113" width="5.85546875" style="20" customWidth="1"/>
    <col min="13114" max="13114" width="31.5703125" style="20" customWidth="1"/>
    <col min="13115" max="13115" width="16.140625" style="20" customWidth="1"/>
    <col min="13116" max="13117" width="9.28515625" style="20" customWidth="1"/>
    <col min="13118" max="13118" width="11.140625" style="20" customWidth="1"/>
    <col min="13119" max="13119" width="2.140625" style="20" customWidth="1"/>
    <col min="13120" max="13312" width="11.42578125" style="20"/>
    <col min="13313" max="13313" width="1.140625" style="20" customWidth="1"/>
    <col min="13314" max="13316" width="5.42578125" style="20" customWidth="1"/>
    <col min="13317" max="13317" width="7.28515625" style="20" customWidth="1"/>
    <col min="13318" max="13323" width="4.5703125" style="20" customWidth="1"/>
    <col min="13324" max="13325" width="3.28515625" style="20" bestFit="1" customWidth="1"/>
    <col min="13326" max="13329" width="0" style="20" hidden="1" customWidth="1"/>
    <col min="13330" max="13330" width="4.28515625" style="20" customWidth="1"/>
    <col min="13331" max="13333" width="7.140625" style="20" customWidth="1"/>
    <col min="13334" max="13336" width="2.7109375" style="20" customWidth="1"/>
    <col min="13337" max="13337" width="2.85546875" style="20" customWidth="1"/>
    <col min="13338" max="13343" width="2.7109375" style="20" customWidth="1"/>
    <col min="13344" max="13353" width="0" style="20" hidden="1" customWidth="1"/>
    <col min="13354" max="13354" width="4.28515625" style="20" customWidth="1"/>
    <col min="13355" max="13355" width="0" style="20" hidden="1" customWidth="1"/>
    <col min="13356" max="13356" width="3.28515625" style="20" bestFit="1" customWidth="1"/>
    <col min="13357" max="13357" width="0" style="20" hidden="1" customWidth="1"/>
    <col min="13358" max="13358" width="3.28515625" style="20" bestFit="1" customWidth="1"/>
    <col min="13359" max="13360" width="4.28515625" style="20" customWidth="1"/>
    <col min="13361" max="13361" width="12.85546875" style="20" customWidth="1"/>
    <col min="13362" max="13362" width="10.7109375" style="20" customWidth="1"/>
    <col min="13363" max="13363" width="5.5703125" style="20" customWidth="1"/>
    <col min="13364" max="13364" width="26.28515625" style="20" customWidth="1"/>
    <col min="13365" max="13365" width="32.28515625" style="20" customWidth="1"/>
    <col min="13366" max="13366" width="6.140625" style="20" customWidth="1"/>
    <col min="13367" max="13367" width="19.5703125" style="20" customWidth="1"/>
    <col min="13368" max="13368" width="27.140625" style="20" customWidth="1"/>
    <col min="13369" max="13369" width="5.85546875" style="20" customWidth="1"/>
    <col min="13370" max="13370" width="31.5703125" style="20" customWidth="1"/>
    <col min="13371" max="13371" width="16.140625" style="20" customWidth="1"/>
    <col min="13372" max="13373" width="9.28515625" style="20" customWidth="1"/>
    <col min="13374" max="13374" width="11.140625" style="20" customWidth="1"/>
    <col min="13375" max="13375" width="2.140625" style="20" customWidth="1"/>
    <col min="13376" max="13568" width="11.42578125" style="20"/>
    <col min="13569" max="13569" width="1.140625" style="20" customWidth="1"/>
    <col min="13570" max="13572" width="5.42578125" style="20" customWidth="1"/>
    <col min="13573" max="13573" width="7.28515625" style="20" customWidth="1"/>
    <col min="13574" max="13579" width="4.5703125" style="20" customWidth="1"/>
    <col min="13580" max="13581" width="3.28515625" style="20" bestFit="1" customWidth="1"/>
    <col min="13582" max="13585" width="0" style="20" hidden="1" customWidth="1"/>
    <col min="13586" max="13586" width="4.28515625" style="20" customWidth="1"/>
    <col min="13587" max="13589" width="7.140625" style="20" customWidth="1"/>
    <col min="13590" max="13592" width="2.7109375" style="20" customWidth="1"/>
    <col min="13593" max="13593" width="2.85546875" style="20" customWidth="1"/>
    <col min="13594" max="13599" width="2.7109375" style="20" customWidth="1"/>
    <col min="13600" max="13609" width="0" style="20" hidden="1" customWidth="1"/>
    <col min="13610" max="13610" width="4.28515625" style="20" customWidth="1"/>
    <col min="13611" max="13611" width="0" style="20" hidden="1" customWidth="1"/>
    <col min="13612" max="13612" width="3.28515625" style="20" bestFit="1" customWidth="1"/>
    <col min="13613" max="13613" width="0" style="20" hidden="1" customWidth="1"/>
    <col min="13614" max="13614" width="3.28515625" style="20" bestFit="1" customWidth="1"/>
    <col min="13615" max="13616" width="4.28515625" style="20" customWidth="1"/>
    <col min="13617" max="13617" width="12.85546875" style="20" customWidth="1"/>
    <col min="13618" max="13618" width="10.7109375" style="20" customWidth="1"/>
    <col min="13619" max="13619" width="5.5703125" style="20" customWidth="1"/>
    <col min="13620" max="13620" width="26.28515625" style="20" customWidth="1"/>
    <col min="13621" max="13621" width="32.28515625" style="20" customWidth="1"/>
    <col min="13622" max="13622" width="6.140625" style="20" customWidth="1"/>
    <col min="13623" max="13623" width="19.5703125" style="20" customWidth="1"/>
    <col min="13624" max="13624" width="27.140625" style="20" customWidth="1"/>
    <col min="13625" max="13625" width="5.85546875" style="20" customWidth="1"/>
    <col min="13626" max="13626" width="31.5703125" style="20" customWidth="1"/>
    <col min="13627" max="13627" width="16.140625" style="20" customWidth="1"/>
    <col min="13628" max="13629" width="9.28515625" style="20" customWidth="1"/>
    <col min="13630" max="13630" width="11.140625" style="20" customWidth="1"/>
    <col min="13631" max="13631" width="2.140625" style="20" customWidth="1"/>
    <col min="13632" max="13824" width="11.42578125" style="20"/>
    <col min="13825" max="13825" width="1.140625" style="20" customWidth="1"/>
    <col min="13826" max="13828" width="5.42578125" style="20" customWidth="1"/>
    <col min="13829" max="13829" width="7.28515625" style="20" customWidth="1"/>
    <col min="13830" max="13835" width="4.5703125" style="20" customWidth="1"/>
    <col min="13836" max="13837" width="3.28515625" style="20" bestFit="1" customWidth="1"/>
    <col min="13838" max="13841" width="0" style="20" hidden="1" customWidth="1"/>
    <col min="13842" max="13842" width="4.28515625" style="20" customWidth="1"/>
    <col min="13843" max="13845" width="7.140625" style="20" customWidth="1"/>
    <col min="13846" max="13848" width="2.7109375" style="20" customWidth="1"/>
    <col min="13849" max="13849" width="2.85546875" style="20" customWidth="1"/>
    <col min="13850" max="13855" width="2.7109375" style="20" customWidth="1"/>
    <col min="13856" max="13865" width="0" style="20" hidden="1" customWidth="1"/>
    <col min="13866" max="13866" width="4.28515625" style="20" customWidth="1"/>
    <col min="13867" max="13867" width="0" style="20" hidden="1" customWidth="1"/>
    <col min="13868" max="13868" width="3.28515625" style="20" bestFit="1" customWidth="1"/>
    <col min="13869" max="13869" width="0" style="20" hidden="1" customWidth="1"/>
    <col min="13870" max="13870" width="3.28515625" style="20" bestFit="1" customWidth="1"/>
    <col min="13871" max="13872" width="4.28515625" style="20" customWidth="1"/>
    <col min="13873" max="13873" width="12.85546875" style="20" customWidth="1"/>
    <col min="13874" max="13874" width="10.7109375" style="20" customWidth="1"/>
    <col min="13875" max="13875" width="5.5703125" style="20" customWidth="1"/>
    <col min="13876" max="13876" width="26.28515625" style="20" customWidth="1"/>
    <col min="13877" max="13877" width="32.28515625" style="20" customWidth="1"/>
    <col min="13878" max="13878" width="6.140625" style="20" customWidth="1"/>
    <col min="13879" max="13879" width="19.5703125" style="20" customWidth="1"/>
    <col min="13880" max="13880" width="27.140625" style="20" customWidth="1"/>
    <col min="13881" max="13881" width="5.85546875" style="20" customWidth="1"/>
    <col min="13882" max="13882" width="31.5703125" style="20" customWidth="1"/>
    <col min="13883" max="13883" width="16.140625" style="20" customWidth="1"/>
    <col min="13884" max="13885" width="9.28515625" style="20" customWidth="1"/>
    <col min="13886" max="13886" width="11.140625" style="20" customWidth="1"/>
    <col min="13887" max="13887" width="2.140625" style="20" customWidth="1"/>
    <col min="13888" max="14080" width="11.42578125" style="20"/>
    <col min="14081" max="14081" width="1.140625" style="20" customWidth="1"/>
    <col min="14082" max="14084" width="5.42578125" style="20" customWidth="1"/>
    <col min="14085" max="14085" width="7.28515625" style="20" customWidth="1"/>
    <col min="14086" max="14091" width="4.5703125" style="20" customWidth="1"/>
    <col min="14092" max="14093" width="3.28515625" style="20" bestFit="1" customWidth="1"/>
    <col min="14094" max="14097" width="0" style="20" hidden="1" customWidth="1"/>
    <col min="14098" max="14098" width="4.28515625" style="20" customWidth="1"/>
    <col min="14099" max="14101" width="7.140625" style="20" customWidth="1"/>
    <col min="14102" max="14104" width="2.7109375" style="20" customWidth="1"/>
    <col min="14105" max="14105" width="2.85546875" style="20" customWidth="1"/>
    <col min="14106" max="14111" width="2.7109375" style="20" customWidth="1"/>
    <col min="14112" max="14121" width="0" style="20" hidden="1" customWidth="1"/>
    <col min="14122" max="14122" width="4.28515625" style="20" customWidth="1"/>
    <col min="14123" max="14123" width="0" style="20" hidden="1" customWidth="1"/>
    <col min="14124" max="14124" width="3.28515625" style="20" bestFit="1" customWidth="1"/>
    <col min="14125" max="14125" width="0" style="20" hidden="1" customWidth="1"/>
    <col min="14126" max="14126" width="3.28515625" style="20" bestFit="1" customWidth="1"/>
    <col min="14127" max="14128" width="4.28515625" style="20" customWidth="1"/>
    <col min="14129" max="14129" width="12.85546875" style="20" customWidth="1"/>
    <col min="14130" max="14130" width="10.7109375" style="20" customWidth="1"/>
    <col min="14131" max="14131" width="5.5703125" style="20" customWidth="1"/>
    <col min="14132" max="14132" width="26.28515625" style="20" customWidth="1"/>
    <col min="14133" max="14133" width="32.28515625" style="20" customWidth="1"/>
    <col min="14134" max="14134" width="6.140625" style="20" customWidth="1"/>
    <col min="14135" max="14135" width="19.5703125" style="20" customWidth="1"/>
    <col min="14136" max="14136" width="27.140625" style="20" customWidth="1"/>
    <col min="14137" max="14137" width="5.85546875" style="20" customWidth="1"/>
    <col min="14138" max="14138" width="31.5703125" style="20" customWidth="1"/>
    <col min="14139" max="14139" width="16.140625" style="20" customWidth="1"/>
    <col min="14140" max="14141" width="9.28515625" style="20" customWidth="1"/>
    <col min="14142" max="14142" width="11.140625" style="20" customWidth="1"/>
    <col min="14143" max="14143" width="2.140625" style="20" customWidth="1"/>
    <col min="14144" max="14336" width="11.42578125" style="20"/>
    <col min="14337" max="14337" width="1.140625" style="20" customWidth="1"/>
    <col min="14338" max="14340" width="5.42578125" style="20" customWidth="1"/>
    <col min="14341" max="14341" width="7.28515625" style="20" customWidth="1"/>
    <col min="14342" max="14347" width="4.5703125" style="20" customWidth="1"/>
    <col min="14348" max="14349" width="3.28515625" style="20" bestFit="1" customWidth="1"/>
    <col min="14350" max="14353" width="0" style="20" hidden="1" customWidth="1"/>
    <col min="14354" max="14354" width="4.28515625" style="20" customWidth="1"/>
    <col min="14355" max="14357" width="7.140625" style="20" customWidth="1"/>
    <col min="14358" max="14360" width="2.7109375" style="20" customWidth="1"/>
    <col min="14361" max="14361" width="2.85546875" style="20" customWidth="1"/>
    <col min="14362" max="14367" width="2.7109375" style="20" customWidth="1"/>
    <col min="14368" max="14377" width="0" style="20" hidden="1" customWidth="1"/>
    <col min="14378" max="14378" width="4.28515625" style="20" customWidth="1"/>
    <col min="14379" max="14379" width="0" style="20" hidden="1" customWidth="1"/>
    <col min="14380" max="14380" width="3.28515625" style="20" bestFit="1" customWidth="1"/>
    <col min="14381" max="14381" width="0" style="20" hidden="1" customWidth="1"/>
    <col min="14382" max="14382" width="3.28515625" style="20" bestFit="1" customWidth="1"/>
    <col min="14383" max="14384" width="4.28515625" style="20" customWidth="1"/>
    <col min="14385" max="14385" width="12.85546875" style="20" customWidth="1"/>
    <col min="14386" max="14386" width="10.7109375" style="20" customWidth="1"/>
    <col min="14387" max="14387" width="5.5703125" style="20" customWidth="1"/>
    <col min="14388" max="14388" width="26.28515625" style="20" customWidth="1"/>
    <col min="14389" max="14389" width="32.28515625" style="20" customWidth="1"/>
    <col min="14390" max="14390" width="6.140625" style="20" customWidth="1"/>
    <col min="14391" max="14391" width="19.5703125" style="20" customWidth="1"/>
    <col min="14392" max="14392" width="27.140625" style="20" customWidth="1"/>
    <col min="14393" max="14393" width="5.85546875" style="20" customWidth="1"/>
    <col min="14394" max="14394" width="31.5703125" style="20" customWidth="1"/>
    <col min="14395" max="14395" width="16.140625" style="20" customWidth="1"/>
    <col min="14396" max="14397" width="9.28515625" style="20" customWidth="1"/>
    <col min="14398" max="14398" width="11.140625" style="20" customWidth="1"/>
    <col min="14399" max="14399" width="2.140625" style="20" customWidth="1"/>
    <col min="14400" max="14592" width="11.42578125" style="20"/>
    <col min="14593" max="14593" width="1.140625" style="20" customWidth="1"/>
    <col min="14594" max="14596" width="5.42578125" style="20" customWidth="1"/>
    <col min="14597" max="14597" width="7.28515625" style="20" customWidth="1"/>
    <col min="14598" max="14603" width="4.5703125" style="20" customWidth="1"/>
    <col min="14604" max="14605" width="3.28515625" style="20" bestFit="1" customWidth="1"/>
    <col min="14606" max="14609" width="0" style="20" hidden="1" customWidth="1"/>
    <col min="14610" max="14610" width="4.28515625" style="20" customWidth="1"/>
    <col min="14611" max="14613" width="7.140625" style="20" customWidth="1"/>
    <col min="14614" max="14616" width="2.7109375" style="20" customWidth="1"/>
    <col min="14617" max="14617" width="2.85546875" style="20" customWidth="1"/>
    <col min="14618" max="14623" width="2.7109375" style="20" customWidth="1"/>
    <col min="14624" max="14633" width="0" style="20" hidden="1" customWidth="1"/>
    <col min="14634" max="14634" width="4.28515625" style="20" customWidth="1"/>
    <col min="14635" max="14635" width="0" style="20" hidden="1" customWidth="1"/>
    <col min="14636" max="14636" width="3.28515625" style="20" bestFit="1" customWidth="1"/>
    <col min="14637" max="14637" width="0" style="20" hidden="1" customWidth="1"/>
    <col min="14638" max="14638" width="3.28515625" style="20" bestFit="1" customWidth="1"/>
    <col min="14639" max="14640" width="4.28515625" style="20" customWidth="1"/>
    <col min="14641" max="14641" width="12.85546875" style="20" customWidth="1"/>
    <col min="14642" max="14642" width="10.7109375" style="20" customWidth="1"/>
    <col min="14643" max="14643" width="5.5703125" style="20" customWidth="1"/>
    <col min="14644" max="14644" width="26.28515625" style="20" customWidth="1"/>
    <col min="14645" max="14645" width="32.28515625" style="20" customWidth="1"/>
    <col min="14646" max="14646" width="6.140625" style="20" customWidth="1"/>
    <col min="14647" max="14647" width="19.5703125" style="20" customWidth="1"/>
    <col min="14648" max="14648" width="27.140625" style="20" customWidth="1"/>
    <col min="14649" max="14649" width="5.85546875" style="20" customWidth="1"/>
    <col min="14650" max="14650" width="31.5703125" style="20" customWidth="1"/>
    <col min="14651" max="14651" width="16.140625" style="20" customWidth="1"/>
    <col min="14652" max="14653" width="9.28515625" style="20" customWidth="1"/>
    <col min="14654" max="14654" width="11.140625" style="20" customWidth="1"/>
    <col min="14655" max="14655" width="2.140625" style="20" customWidth="1"/>
    <col min="14656" max="14848" width="11.42578125" style="20"/>
    <col min="14849" max="14849" width="1.140625" style="20" customWidth="1"/>
    <col min="14850" max="14852" width="5.42578125" style="20" customWidth="1"/>
    <col min="14853" max="14853" width="7.28515625" style="20" customWidth="1"/>
    <col min="14854" max="14859" width="4.5703125" style="20" customWidth="1"/>
    <col min="14860" max="14861" width="3.28515625" style="20" bestFit="1" customWidth="1"/>
    <col min="14862" max="14865" width="0" style="20" hidden="1" customWidth="1"/>
    <col min="14866" max="14866" width="4.28515625" style="20" customWidth="1"/>
    <col min="14867" max="14869" width="7.140625" style="20" customWidth="1"/>
    <col min="14870" max="14872" width="2.7109375" style="20" customWidth="1"/>
    <col min="14873" max="14873" width="2.85546875" style="20" customWidth="1"/>
    <col min="14874" max="14879" width="2.7109375" style="20" customWidth="1"/>
    <col min="14880" max="14889" width="0" style="20" hidden="1" customWidth="1"/>
    <col min="14890" max="14890" width="4.28515625" style="20" customWidth="1"/>
    <col min="14891" max="14891" width="0" style="20" hidden="1" customWidth="1"/>
    <col min="14892" max="14892" width="3.28515625" style="20" bestFit="1" customWidth="1"/>
    <col min="14893" max="14893" width="0" style="20" hidden="1" customWidth="1"/>
    <col min="14894" max="14894" width="3.28515625" style="20" bestFit="1" customWidth="1"/>
    <col min="14895" max="14896" width="4.28515625" style="20" customWidth="1"/>
    <col min="14897" max="14897" width="12.85546875" style="20" customWidth="1"/>
    <col min="14898" max="14898" width="10.7109375" style="20" customWidth="1"/>
    <col min="14899" max="14899" width="5.5703125" style="20" customWidth="1"/>
    <col min="14900" max="14900" width="26.28515625" style="20" customWidth="1"/>
    <col min="14901" max="14901" width="32.28515625" style="20" customWidth="1"/>
    <col min="14902" max="14902" width="6.140625" style="20" customWidth="1"/>
    <col min="14903" max="14903" width="19.5703125" style="20" customWidth="1"/>
    <col min="14904" max="14904" width="27.140625" style="20" customWidth="1"/>
    <col min="14905" max="14905" width="5.85546875" style="20" customWidth="1"/>
    <col min="14906" max="14906" width="31.5703125" style="20" customWidth="1"/>
    <col min="14907" max="14907" width="16.140625" style="20" customWidth="1"/>
    <col min="14908" max="14909" width="9.28515625" style="20" customWidth="1"/>
    <col min="14910" max="14910" width="11.140625" style="20" customWidth="1"/>
    <col min="14911" max="14911" width="2.140625" style="20" customWidth="1"/>
    <col min="14912" max="15104" width="11.42578125" style="20"/>
    <col min="15105" max="15105" width="1.140625" style="20" customWidth="1"/>
    <col min="15106" max="15108" width="5.42578125" style="20" customWidth="1"/>
    <col min="15109" max="15109" width="7.28515625" style="20" customWidth="1"/>
    <col min="15110" max="15115" width="4.5703125" style="20" customWidth="1"/>
    <col min="15116" max="15117" width="3.28515625" style="20" bestFit="1" customWidth="1"/>
    <col min="15118" max="15121" width="0" style="20" hidden="1" customWidth="1"/>
    <col min="15122" max="15122" width="4.28515625" style="20" customWidth="1"/>
    <col min="15123" max="15125" width="7.140625" style="20" customWidth="1"/>
    <col min="15126" max="15128" width="2.7109375" style="20" customWidth="1"/>
    <col min="15129" max="15129" width="2.85546875" style="20" customWidth="1"/>
    <col min="15130" max="15135" width="2.7109375" style="20" customWidth="1"/>
    <col min="15136" max="15145" width="0" style="20" hidden="1" customWidth="1"/>
    <col min="15146" max="15146" width="4.28515625" style="20" customWidth="1"/>
    <col min="15147" max="15147" width="0" style="20" hidden="1" customWidth="1"/>
    <col min="15148" max="15148" width="3.28515625" style="20" bestFit="1" customWidth="1"/>
    <col min="15149" max="15149" width="0" style="20" hidden="1" customWidth="1"/>
    <col min="15150" max="15150" width="3.28515625" style="20" bestFit="1" customWidth="1"/>
    <col min="15151" max="15152" width="4.28515625" style="20" customWidth="1"/>
    <col min="15153" max="15153" width="12.85546875" style="20" customWidth="1"/>
    <col min="15154" max="15154" width="10.7109375" style="20" customWidth="1"/>
    <col min="15155" max="15155" width="5.5703125" style="20" customWidth="1"/>
    <col min="15156" max="15156" width="26.28515625" style="20" customWidth="1"/>
    <col min="15157" max="15157" width="32.28515625" style="20" customWidth="1"/>
    <col min="15158" max="15158" width="6.140625" style="20" customWidth="1"/>
    <col min="15159" max="15159" width="19.5703125" style="20" customWidth="1"/>
    <col min="15160" max="15160" width="27.140625" style="20" customWidth="1"/>
    <col min="15161" max="15161" width="5.85546875" style="20" customWidth="1"/>
    <col min="15162" max="15162" width="31.5703125" style="20" customWidth="1"/>
    <col min="15163" max="15163" width="16.140625" style="20" customWidth="1"/>
    <col min="15164" max="15165" width="9.28515625" style="20" customWidth="1"/>
    <col min="15166" max="15166" width="11.140625" style="20" customWidth="1"/>
    <col min="15167" max="15167" width="2.140625" style="20" customWidth="1"/>
    <col min="15168" max="15360" width="11.42578125" style="20"/>
    <col min="15361" max="15361" width="1.140625" style="20" customWidth="1"/>
    <col min="15362" max="15364" width="5.42578125" style="20" customWidth="1"/>
    <col min="15365" max="15365" width="7.28515625" style="20" customWidth="1"/>
    <col min="15366" max="15371" width="4.5703125" style="20" customWidth="1"/>
    <col min="15372" max="15373" width="3.28515625" style="20" bestFit="1" customWidth="1"/>
    <col min="15374" max="15377" width="0" style="20" hidden="1" customWidth="1"/>
    <col min="15378" max="15378" width="4.28515625" style="20" customWidth="1"/>
    <col min="15379" max="15381" width="7.140625" style="20" customWidth="1"/>
    <col min="15382" max="15384" width="2.7109375" style="20" customWidth="1"/>
    <col min="15385" max="15385" width="2.85546875" style="20" customWidth="1"/>
    <col min="15386" max="15391" width="2.7109375" style="20" customWidth="1"/>
    <col min="15392" max="15401" width="0" style="20" hidden="1" customWidth="1"/>
    <col min="15402" max="15402" width="4.28515625" style="20" customWidth="1"/>
    <col min="15403" max="15403" width="0" style="20" hidden="1" customWidth="1"/>
    <col min="15404" max="15404" width="3.28515625" style="20" bestFit="1" customWidth="1"/>
    <col min="15405" max="15405" width="0" style="20" hidden="1" customWidth="1"/>
    <col min="15406" max="15406" width="3.28515625" style="20" bestFit="1" customWidth="1"/>
    <col min="15407" max="15408" width="4.28515625" style="20" customWidth="1"/>
    <col min="15409" max="15409" width="12.85546875" style="20" customWidth="1"/>
    <col min="15410" max="15410" width="10.7109375" style="20" customWidth="1"/>
    <col min="15411" max="15411" width="5.5703125" style="20" customWidth="1"/>
    <col min="15412" max="15412" width="26.28515625" style="20" customWidth="1"/>
    <col min="15413" max="15413" width="32.28515625" style="20" customWidth="1"/>
    <col min="15414" max="15414" width="6.140625" style="20" customWidth="1"/>
    <col min="15415" max="15415" width="19.5703125" style="20" customWidth="1"/>
    <col min="15416" max="15416" width="27.140625" style="20" customWidth="1"/>
    <col min="15417" max="15417" width="5.85546875" style="20" customWidth="1"/>
    <col min="15418" max="15418" width="31.5703125" style="20" customWidth="1"/>
    <col min="15419" max="15419" width="16.140625" style="20" customWidth="1"/>
    <col min="15420" max="15421" width="9.28515625" style="20" customWidth="1"/>
    <col min="15422" max="15422" width="11.140625" style="20" customWidth="1"/>
    <col min="15423" max="15423" width="2.140625" style="20" customWidth="1"/>
    <col min="15424" max="15616" width="11.42578125" style="20"/>
    <col min="15617" max="15617" width="1.140625" style="20" customWidth="1"/>
    <col min="15618" max="15620" width="5.42578125" style="20" customWidth="1"/>
    <col min="15621" max="15621" width="7.28515625" style="20" customWidth="1"/>
    <col min="15622" max="15627" width="4.5703125" style="20" customWidth="1"/>
    <col min="15628" max="15629" width="3.28515625" style="20" bestFit="1" customWidth="1"/>
    <col min="15630" max="15633" width="0" style="20" hidden="1" customWidth="1"/>
    <col min="15634" max="15634" width="4.28515625" style="20" customWidth="1"/>
    <col min="15635" max="15637" width="7.140625" style="20" customWidth="1"/>
    <col min="15638" max="15640" width="2.7109375" style="20" customWidth="1"/>
    <col min="15641" max="15641" width="2.85546875" style="20" customWidth="1"/>
    <col min="15642" max="15647" width="2.7109375" style="20" customWidth="1"/>
    <col min="15648" max="15657" width="0" style="20" hidden="1" customWidth="1"/>
    <col min="15658" max="15658" width="4.28515625" style="20" customWidth="1"/>
    <col min="15659" max="15659" width="0" style="20" hidden="1" customWidth="1"/>
    <col min="15660" max="15660" width="3.28515625" style="20" bestFit="1" customWidth="1"/>
    <col min="15661" max="15661" width="0" style="20" hidden="1" customWidth="1"/>
    <col min="15662" max="15662" width="3.28515625" style="20" bestFit="1" customWidth="1"/>
    <col min="15663" max="15664" width="4.28515625" style="20" customWidth="1"/>
    <col min="15665" max="15665" width="12.85546875" style="20" customWidth="1"/>
    <col min="15666" max="15666" width="10.7109375" style="20" customWidth="1"/>
    <col min="15667" max="15667" width="5.5703125" style="20" customWidth="1"/>
    <col min="15668" max="15668" width="26.28515625" style="20" customWidth="1"/>
    <col min="15669" max="15669" width="32.28515625" style="20" customWidth="1"/>
    <col min="15670" max="15670" width="6.140625" style="20" customWidth="1"/>
    <col min="15671" max="15671" width="19.5703125" style="20" customWidth="1"/>
    <col min="15672" max="15672" width="27.140625" style="20" customWidth="1"/>
    <col min="15673" max="15673" width="5.85546875" style="20" customWidth="1"/>
    <col min="15674" max="15674" width="31.5703125" style="20" customWidth="1"/>
    <col min="15675" max="15675" width="16.140625" style="20" customWidth="1"/>
    <col min="15676" max="15677" width="9.28515625" style="20" customWidth="1"/>
    <col min="15678" max="15678" width="11.140625" style="20" customWidth="1"/>
    <col min="15679" max="15679" width="2.140625" style="20" customWidth="1"/>
    <col min="15680" max="15872" width="11.42578125" style="20"/>
    <col min="15873" max="15873" width="1.140625" style="20" customWidth="1"/>
    <col min="15874" max="15876" width="5.42578125" style="20" customWidth="1"/>
    <col min="15877" max="15877" width="7.28515625" style="20" customWidth="1"/>
    <col min="15878" max="15883" width="4.5703125" style="20" customWidth="1"/>
    <col min="15884" max="15885" width="3.28515625" style="20" bestFit="1" customWidth="1"/>
    <col min="15886" max="15889" width="0" style="20" hidden="1" customWidth="1"/>
    <col min="15890" max="15890" width="4.28515625" style="20" customWidth="1"/>
    <col min="15891" max="15893" width="7.140625" style="20" customWidth="1"/>
    <col min="15894" max="15896" width="2.7109375" style="20" customWidth="1"/>
    <col min="15897" max="15897" width="2.85546875" style="20" customWidth="1"/>
    <col min="15898" max="15903" width="2.7109375" style="20" customWidth="1"/>
    <col min="15904" max="15913" width="0" style="20" hidden="1" customWidth="1"/>
    <col min="15914" max="15914" width="4.28515625" style="20" customWidth="1"/>
    <col min="15915" max="15915" width="0" style="20" hidden="1" customWidth="1"/>
    <col min="15916" max="15916" width="3.28515625" style="20" bestFit="1" customWidth="1"/>
    <col min="15917" max="15917" width="0" style="20" hidden="1" customWidth="1"/>
    <col min="15918" max="15918" width="3.28515625" style="20" bestFit="1" customWidth="1"/>
    <col min="15919" max="15920" width="4.28515625" style="20" customWidth="1"/>
    <col min="15921" max="15921" width="12.85546875" style="20" customWidth="1"/>
    <col min="15922" max="15922" width="10.7109375" style="20" customWidth="1"/>
    <col min="15923" max="15923" width="5.5703125" style="20" customWidth="1"/>
    <col min="15924" max="15924" width="26.28515625" style="20" customWidth="1"/>
    <col min="15925" max="15925" width="32.28515625" style="20" customWidth="1"/>
    <col min="15926" max="15926" width="6.140625" style="20" customWidth="1"/>
    <col min="15927" max="15927" width="19.5703125" style="20" customWidth="1"/>
    <col min="15928" max="15928" width="27.140625" style="20" customWidth="1"/>
    <col min="15929" max="15929" width="5.85546875" style="20" customWidth="1"/>
    <col min="15930" max="15930" width="31.5703125" style="20" customWidth="1"/>
    <col min="15931" max="15931" width="16.140625" style="20" customWidth="1"/>
    <col min="15932" max="15933" width="9.28515625" style="20" customWidth="1"/>
    <col min="15934" max="15934" width="11.140625" style="20" customWidth="1"/>
    <col min="15935" max="15935" width="2.140625" style="20" customWidth="1"/>
    <col min="15936" max="16128" width="11.42578125" style="20"/>
    <col min="16129" max="16129" width="1.140625" style="20" customWidth="1"/>
    <col min="16130" max="16132" width="5.42578125" style="20" customWidth="1"/>
    <col min="16133" max="16133" width="7.28515625" style="20" customWidth="1"/>
    <col min="16134" max="16139" width="4.5703125" style="20" customWidth="1"/>
    <col min="16140" max="16141" width="3.28515625" style="20" bestFit="1" customWidth="1"/>
    <col min="16142" max="16145" width="0" style="20" hidden="1" customWidth="1"/>
    <col min="16146" max="16146" width="4.28515625" style="20" customWidth="1"/>
    <col min="16147" max="16149" width="7.140625" style="20" customWidth="1"/>
    <col min="16150" max="16152" width="2.7109375" style="20" customWidth="1"/>
    <col min="16153" max="16153" width="2.85546875" style="20" customWidth="1"/>
    <col min="16154" max="16159" width="2.7109375" style="20" customWidth="1"/>
    <col min="16160" max="16169" width="0" style="20" hidden="1" customWidth="1"/>
    <col min="16170" max="16170" width="4.28515625" style="20" customWidth="1"/>
    <col min="16171" max="16171" width="0" style="20" hidden="1" customWidth="1"/>
    <col min="16172" max="16172" width="3.28515625" style="20" bestFit="1" customWidth="1"/>
    <col min="16173" max="16173" width="0" style="20" hidden="1" customWidth="1"/>
    <col min="16174" max="16174" width="3.28515625" style="20" bestFit="1" customWidth="1"/>
    <col min="16175" max="16176" width="4.28515625" style="20" customWidth="1"/>
    <col min="16177" max="16177" width="12.85546875" style="20" customWidth="1"/>
    <col min="16178" max="16178" width="10.7109375" style="20" customWidth="1"/>
    <col min="16179" max="16179" width="5.5703125" style="20" customWidth="1"/>
    <col min="16180" max="16180" width="26.28515625" style="20" customWidth="1"/>
    <col min="16181" max="16181" width="32.28515625" style="20" customWidth="1"/>
    <col min="16182" max="16182" width="6.140625" style="20" customWidth="1"/>
    <col min="16183" max="16183" width="19.5703125" style="20" customWidth="1"/>
    <col min="16184" max="16184" width="27.140625" style="20" customWidth="1"/>
    <col min="16185" max="16185" width="5.85546875" style="20" customWidth="1"/>
    <col min="16186" max="16186" width="31.5703125" style="20" customWidth="1"/>
    <col min="16187" max="16187" width="16.140625" style="20" customWidth="1"/>
    <col min="16188" max="16189" width="9.28515625" style="20" customWidth="1"/>
    <col min="16190" max="16190" width="11.140625" style="20" customWidth="1"/>
    <col min="16191" max="16191" width="2.140625" style="20" customWidth="1"/>
    <col min="16192" max="16384" width="11.42578125" style="20"/>
  </cols>
  <sheetData>
    <row r="1" spans="1:64" s="3" customFormat="1" ht="11.25" customHeight="1">
      <c r="A1" s="2"/>
      <c r="B1" s="2880" t="s">
        <v>137</v>
      </c>
      <c r="C1" s="2881"/>
      <c r="D1" s="2881"/>
      <c r="E1" s="2881"/>
      <c r="F1" s="2881"/>
      <c r="G1" s="2881"/>
      <c r="H1" s="2881"/>
      <c r="I1" s="2881"/>
      <c r="J1" s="2881"/>
      <c r="K1" s="2881"/>
      <c r="L1" s="2881"/>
      <c r="M1" s="2881"/>
      <c r="N1" s="2881"/>
      <c r="O1" s="2881"/>
      <c r="P1" s="2881"/>
      <c r="Q1" s="2881"/>
      <c r="R1" s="2881"/>
      <c r="S1" s="2881"/>
      <c r="T1" s="2881"/>
      <c r="U1" s="2881"/>
      <c r="V1" s="2881"/>
      <c r="W1" s="2881"/>
      <c r="X1" s="2881"/>
      <c r="Y1" s="2881"/>
      <c r="Z1" s="2881"/>
      <c r="AA1" s="2881"/>
      <c r="AB1" s="2881"/>
      <c r="AC1" s="2881"/>
      <c r="AD1" s="2881"/>
      <c r="AE1" s="2881"/>
      <c r="AF1" s="2881"/>
      <c r="AG1" s="2881"/>
      <c r="AH1" s="2881"/>
      <c r="AI1" s="2881"/>
      <c r="AJ1" s="2881"/>
      <c r="AK1" s="2881"/>
      <c r="AL1" s="2881"/>
      <c r="AM1" s="2881"/>
      <c r="AN1" s="2881"/>
      <c r="AO1" s="2881"/>
      <c r="AP1" s="2881"/>
      <c r="AQ1" s="2881"/>
      <c r="AR1" s="2881"/>
      <c r="AS1" s="2881"/>
      <c r="AT1" s="2881"/>
      <c r="AU1" s="2882"/>
      <c r="AV1" s="2880"/>
      <c r="AW1" s="2881"/>
      <c r="AX1" s="2882"/>
      <c r="AY1" s="841"/>
      <c r="AZ1" s="209" t="s">
        <v>2319</v>
      </c>
      <c r="BA1"/>
      <c r="BB1" s="2855" t="s">
        <v>2320</v>
      </c>
      <c r="BC1" s="2856"/>
      <c r="BD1" s="2856"/>
      <c r="BE1" s="2857"/>
      <c r="BF1"/>
      <c r="BG1"/>
      <c r="BH1"/>
      <c r="BI1"/>
      <c r="BJ1"/>
      <c r="BK1"/>
      <c r="BL1"/>
    </row>
    <row r="2" spans="1:64" s="3" customFormat="1" ht="11.25" customHeight="1">
      <c r="A2" s="2"/>
      <c r="B2" s="2986" t="s">
        <v>55</v>
      </c>
      <c r="C2" s="2986"/>
      <c r="D2" s="2986"/>
      <c r="E2" s="2986"/>
      <c r="F2" s="2986"/>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2986"/>
      <c r="AO2" s="2986"/>
      <c r="AP2" s="2986"/>
      <c r="AQ2" s="2986"/>
      <c r="AR2" s="2986"/>
      <c r="AS2" s="2986"/>
      <c r="AT2" s="2986"/>
      <c r="AU2" s="2986"/>
      <c r="AV2" s="2883"/>
      <c r="AW2" s="2884"/>
      <c r="AX2" s="2885"/>
      <c r="AY2" s="841"/>
      <c r="AZ2" s="322">
        <v>2019</v>
      </c>
      <c r="BA2" s="45"/>
      <c r="BB2" s="2830" t="s">
        <v>138</v>
      </c>
      <c r="BC2" s="2831"/>
      <c r="BD2" s="2901" t="str">
        <f>L6</f>
        <v>GESTION LEGAL</v>
      </c>
      <c r="BE2" s="2902"/>
      <c r="BF2" s="45"/>
      <c r="BG2" s="45"/>
      <c r="BH2" s="45"/>
      <c r="BI2" s="45"/>
      <c r="BJ2" s="45"/>
      <c r="BK2" s="45"/>
      <c r="BL2" s="45"/>
    </row>
    <row r="3" spans="1:64" s="3" customFormat="1" ht="12" customHeight="1">
      <c r="A3" s="2"/>
      <c r="B3" s="2880" t="s">
        <v>139</v>
      </c>
      <c r="C3" s="2881"/>
      <c r="D3" s="2882"/>
      <c r="E3" s="2880" t="s">
        <v>140</v>
      </c>
      <c r="F3" s="2881"/>
      <c r="G3" s="2881"/>
      <c r="H3" s="2881"/>
      <c r="I3" s="2881"/>
      <c r="J3" s="2881"/>
      <c r="K3" s="2881"/>
      <c r="L3" s="2881"/>
      <c r="M3" s="2881"/>
      <c r="N3" s="2881"/>
      <c r="O3" s="2881"/>
      <c r="P3" s="2881"/>
      <c r="Q3" s="2881"/>
      <c r="R3" s="2881"/>
      <c r="S3" s="2881"/>
      <c r="T3" s="2881"/>
      <c r="U3" s="2881"/>
      <c r="V3" s="2881"/>
      <c r="W3" s="2881"/>
      <c r="X3" s="2881"/>
      <c r="Y3" s="2881"/>
      <c r="Z3" s="2882"/>
      <c r="AA3" s="2880" t="s">
        <v>141</v>
      </c>
      <c r="AB3" s="2881"/>
      <c r="AC3" s="2881"/>
      <c r="AD3" s="2881"/>
      <c r="AE3" s="2881"/>
      <c r="AF3" s="2881"/>
      <c r="AG3" s="2881"/>
      <c r="AH3" s="2881"/>
      <c r="AI3" s="2881"/>
      <c r="AJ3" s="2881"/>
      <c r="AK3" s="2881"/>
      <c r="AL3" s="2881"/>
      <c r="AM3" s="2881"/>
      <c r="AN3" s="2881"/>
      <c r="AO3" s="2881"/>
      <c r="AP3" s="2881"/>
      <c r="AQ3" s="2881"/>
      <c r="AR3" s="2881"/>
      <c r="AS3" s="2881"/>
      <c r="AT3" s="2881"/>
      <c r="AU3" s="2882"/>
      <c r="AV3" s="2883"/>
      <c r="AW3" s="2884"/>
      <c r="AX3" s="2885"/>
      <c r="AY3" s="841"/>
      <c r="AZ3" s="289" t="s">
        <v>2321</v>
      </c>
      <c r="BA3" s="45"/>
      <c r="BB3" s="2830" t="s">
        <v>2322</v>
      </c>
      <c r="BC3" s="2831"/>
      <c r="BD3" s="2830" t="s">
        <v>2323</v>
      </c>
      <c r="BE3" s="2831"/>
      <c r="BF3" s="212"/>
      <c r="BG3" s="212"/>
      <c r="BH3" s="45"/>
      <c r="BI3" s="45"/>
      <c r="BJ3" s="45"/>
      <c r="BK3" s="45"/>
      <c r="BL3" s="45"/>
    </row>
    <row r="4" spans="1:64" s="3" customFormat="1" ht="12" customHeight="1">
      <c r="A4" s="2"/>
      <c r="B4" s="2889" t="s">
        <v>56</v>
      </c>
      <c r="C4" s="2890"/>
      <c r="D4" s="2891"/>
      <c r="E4" s="2889" t="s">
        <v>142</v>
      </c>
      <c r="F4" s="2890"/>
      <c r="G4" s="2890"/>
      <c r="H4" s="2890"/>
      <c r="I4" s="2890"/>
      <c r="J4" s="2890"/>
      <c r="K4" s="2890"/>
      <c r="L4" s="2890"/>
      <c r="M4" s="2890"/>
      <c r="N4" s="2890"/>
      <c r="O4" s="2890"/>
      <c r="P4" s="2890"/>
      <c r="Q4" s="2890"/>
      <c r="R4" s="2890"/>
      <c r="S4" s="2890"/>
      <c r="T4" s="2890"/>
      <c r="U4" s="2890"/>
      <c r="V4" s="2890"/>
      <c r="W4" s="2890"/>
      <c r="X4" s="2890"/>
      <c r="Y4" s="2890"/>
      <c r="Z4" s="2891"/>
      <c r="AA4" s="2889">
        <v>5</v>
      </c>
      <c r="AB4" s="2890"/>
      <c r="AC4" s="2890"/>
      <c r="AD4" s="2890"/>
      <c r="AE4" s="2890"/>
      <c r="AF4" s="2890"/>
      <c r="AG4" s="2890"/>
      <c r="AH4" s="2890"/>
      <c r="AI4" s="2890"/>
      <c r="AJ4" s="2890"/>
      <c r="AK4" s="2890"/>
      <c r="AL4" s="2890"/>
      <c r="AM4" s="2890"/>
      <c r="AN4" s="2890"/>
      <c r="AO4" s="2890"/>
      <c r="AP4" s="2890"/>
      <c r="AQ4" s="2890"/>
      <c r="AR4" s="2890"/>
      <c r="AS4" s="2890"/>
      <c r="AT4" s="2890"/>
      <c r="AU4" s="2891"/>
      <c r="AV4" s="2886"/>
      <c r="AW4" s="2887"/>
      <c r="AX4" s="2888"/>
      <c r="AY4" s="841"/>
      <c r="AZ4" s="232">
        <v>43712</v>
      </c>
      <c r="BA4" s="45"/>
      <c r="BB4" s="2836">
        <v>43708</v>
      </c>
      <c r="BC4" s="2837"/>
      <c r="BD4" s="2282" t="s">
        <v>500</v>
      </c>
      <c r="BE4" s="2282"/>
      <c r="BF4" s="212"/>
      <c r="BG4" s="212"/>
      <c r="BH4" s="45"/>
      <c r="BI4" s="45"/>
      <c r="BJ4" s="45"/>
      <c r="BK4" s="45"/>
      <c r="BL4" s="45"/>
    </row>
    <row r="5" spans="1:64" s="3" customFormat="1" ht="6" customHeight="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842" t="s">
        <v>1300</v>
      </c>
      <c r="M6" s="2843"/>
      <c r="N6" s="2843"/>
      <c r="O6" s="2843"/>
      <c r="P6" s="2843"/>
      <c r="Q6" s="2843"/>
      <c r="R6" s="2843"/>
      <c r="S6" s="2843"/>
      <c r="T6" s="2843"/>
      <c r="U6" s="2844"/>
      <c r="V6" s="2845" t="s">
        <v>59</v>
      </c>
      <c r="W6" s="2845"/>
      <c r="X6" s="2845"/>
      <c r="Y6" s="2845"/>
      <c r="Z6" s="2845"/>
      <c r="AA6" s="2828" t="s">
        <v>11</v>
      </c>
      <c r="AB6" s="2828"/>
      <c r="AC6" s="2828"/>
      <c r="AD6" s="2828"/>
      <c r="AE6" s="2828"/>
      <c r="AF6" s="2828"/>
      <c r="AG6" s="2828"/>
      <c r="AH6" s="2828"/>
      <c r="AI6" s="2828"/>
      <c r="AJ6" s="2828"/>
      <c r="AK6" s="2828"/>
      <c r="AL6" s="2828"/>
      <c r="AM6" s="2828"/>
      <c r="AN6" s="2828"/>
      <c r="AO6" s="2828"/>
      <c r="AP6" s="2828"/>
      <c r="AQ6" s="2828"/>
      <c r="AR6" s="2828"/>
      <c r="AS6" s="2828"/>
      <c r="AT6" s="2828"/>
      <c r="AU6" s="2828"/>
      <c r="AV6" s="2828"/>
      <c r="AW6" s="2828"/>
      <c r="AX6" s="2829"/>
      <c r="AY6" s="334"/>
      <c r="AZ6" s="335"/>
      <c r="BA6" s="335"/>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5"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1:64" s="3" customFormat="1" ht="227.25" customHeight="1">
      <c r="A10" s="332"/>
      <c r="B10" s="2805" t="s">
        <v>1896</v>
      </c>
      <c r="C10" s="2806"/>
      <c r="D10" s="2807"/>
      <c r="E10" s="843" t="s">
        <v>338</v>
      </c>
      <c r="F10" s="2808" t="s">
        <v>856</v>
      </c>
      <c r="G10" s="2809"/>
      <c r="H10" s="2810"/>
      <c r="I10" s="2805" t="s">
        <v>2850</v>
      </c>
      <c r="J10" s="2806"/>
      <c r="K10" s="2807"/>
      <c r="L10" s="330" t="s">
        <v>286</v>
      </c>
      <c r="M10" s="50" t="s">
        <v>287</v>
      </c>
      <c r="N10" s="32"/>
      <c r="O10" s="6">
        <f>VLOOKUP(L10,[23]Listas!$M$69:$N$73,2,0)</f>
        <v>2</v>
      </c>
      <c r="P10" s="6"/>
      <c r="Q10" s="6">
        <f>HLOOKUP(M10,[23]Listas!$O$67:$Q$68,2,0)</f>
        <v>20</v>
      </c>
      <c r="R10" s="331" t="str">
        <f>INDEX([23]Listas!$O$69:$Q$73,MATCH(L10,[23]Listas!$M$69:$M$73,0),MATCH(M10,[23]Listas!$O$67:$Q$67,0))</f>
        <v>40
ALTA</v>
      </c>
      <c r="S10" s="2805" t="s">
        <v>2851</v>
      </c>
      <c r="T10" s="2806"/>
      <c r="U10" s="2807"/>
      <c r="V10" s="329" t="s">
        <v>65</v>
      </c>
      <c r="W10" s="329" t="s">
        <v>36</v>
      </c>
      <c r="X10" s="329" t="s">
        <v>36</v>
      </c>
      <c r="Y10" s="329" t="s">
        <v>65</v>
      </c>
      <c r="Z10" s="329" t="s">
        <v>65</v>
      </c>
      <c r="AA10" s="329" t="s">
        <v>36</v>
      </c>
      <c r="AB10" s="329" t="s">
        <v>65</v>
      </c>
      <c r="AC10" s="329" t="s">
        <v>65</v>
      </c>
      <c r="AD10" s="329" t="s">
        <v>65</v>
      </c>
      <c r="AE10" s="329" t="s">
        <v>65</v>
      </c>
      <c r="AF10" s="33"/>
      <c r="AG10" s="6">
        <f t="shared" ref="AG10:AG21" si="0">IF(Y10="SI",15,0)</f>
        <v>15</v>
      </c>
      <c r="AH10" s="6">
        <f t="shared" ref="AH10:AH21" si="1">IF(Z10="SI",5,0)</f>
        <v>5</v>
      </c>
      <c r="AI10" s="6">
        <f t="shared" ref="AI10:AI21" si="2">IF(AA10="SI",15,0)</f>
        <v>0</v>
      </c>
      <c r="AJ10" s="6">
        <f t="shared" ref="AJ10:AJ21" si="3">IF(AB10="SI",10,0)</f>
        <v>10</v>
      </c>
      <c r="AK10" s="6">
        <f t="shared" ref="AK10:AK21" si="4">IF(AC10="SI",15,0)</f>
        <v>15</v>
      </c>
      <c r="AL10" s="6">
        <f t="shared" ref="AL10:AL21" si="5">IF(AD10="SI",10,0)</f>
        <v>10</v>
      </c>
      <c r="AM10" s="6">
        <f t="shared" ref="AM10:AM21" si="6">IF(AE10="SI",30,0)</f>
        <v>30</v>
      </c>
      <c r="AN10" s="6">
        <f t="shared" ref="AN10:AN21" si="7">SUM(AG10+AH10+AI10+AJ10+AK10+AL10+AM10)</f>
        <v>85</v>
      </c>
      <c r="AO10" s="6">
        <f t="shared" ref="AO10:AO21" si="8">IF(AN10&lt;=50,0,IF(AN10&gt;=76,2,1))</f>
        <v>2</v>
      </c>
      <c r="AP10" s="331" t="str">
        <f t="shared" ref="AP10:AP21" si="9">CONCATENATE(AN10,"- disminuye ",AO10)</f>
        <v>85- disminuye 2</v>
      </c>
      <c r="AQ10" s="6">
        <f t="shared" ref="AQ10:AQ21" si="10">IF(V10="SI",O10-AO10,O10)</f>
        <v>0</v>
      </c>
      <c r="AR10" s="331" t="str">
        <f>IF(AQ10&lt;=1,"Rara vez",VLOOKUP(AQ10,[23]Listas!$L$69:$M$73,2,0))</f>
        <v>Rara vez</v>
      </c>
      <c r="AS10" s="6">
        <f t="shared" ref="AS10:AS21" si="11">IF(W10="SI",Q10-AO10,Q10)</f>
        <v>20</v>
      </c>
      <c r="AT10" s="331" t="str">
        <f t="shared" ref="AT10:AT21" si="12">IF(AS10&lt;=9,"Moderado",IF(AS10=20,"Catastrófico",IF(AS10=18,"Moderado","Mayor")))</f>
        <v>Catastrófico</v>
      </c>
      <c r="AU10" s="331" t="str">
        <f>INDEX([23]Listas!$O$69:$Q$73,MATCH(AR10,[23]Listas!$M$69:$M$73,0),MATCH(AT10,[23]Listas!$O$67:$Q$67,0))</f>
        <v>20
MODERADA</v>
      </c>
      <c r="AV10" s="330" t="s">
        <v>271</v>
      </c>
      <c r="AW10" s="826" t="s">
        <v>2852</v>
      </c>
      <c r="AX10" s="843" t="s">
        <v>2853</v>
      </c>
      <c r="AY10" s="843" t="s">
        <v>2854</v>
      </c>
      <c r="AZ10" s="12" t="s">
        <v>2855</v>
      </c>
      <c r="BA10" s="12" t="s">
        <v>2856</v>
      </c>
      <c r="BB10" s="226">
        <v>0</v>
      </c>
      <c r="BC10" s="12" t="s">
        <v>3487</v>
      </c>
      <c r="BD10" s="12" t="s">
        <v>4005</v>
      </c>
      <c r="BE10" s="839" t="s">
        <v>36</v>
      </c>
      <c r="BF10" s="12"/>
      <c r="BG10" s="12"/>
      <c r="BH10" s="227"/>
      <c r="BI10" s="227"/>
      <c r="BJ10" s="839"/>
      <c r="BK10" s="228"/>
      <c r="BL10" s="228"/>
    </row>
    <row r="11" spans="1:64" s="3" customFormat="1" ht="108" hidden="1" customHeight="1">
      <c r="A11" s="332"/>
      <c r="B11" s="2805"/>
      <c r="C11" s="2806"/>
      <c r="D11" s="2807"/>
      <c r="E11" s="843"/>
      <c r="F11" s="2808"/>
      <c r="G11" s="2809"/>
      <c r="H11" s="2810"/>
      <c r="I11" s="2805"/>
      <c r="J11" s="2806"/>
      <c r="K11" s="2807"/>
      <c r="L11" s="330"/>
      <c r="M11" s="50"/>
      <c r="N11" s="32"/>
      <c r="O11" s="6" t="e">
        <f>VLOOKUP(L11,[23]Listas!$M$69:$N$73,2,0)</f>
        <v>#N/A</v>
      </c>
      <c r="P11" s="6"/>
      <c r="Q11" s="6" t="e">
        <f>HLOOKUP(M11,[23]Listas!$O$67:$Q$68,2,0)</f>
        <v>#N/A</v>
      </c>
      <c r="R11" s="331" t="e">
        <f>INDEX([23]Listas!$O$69:$Q$73,MATCH(L11,[23]Listas!$M$69:$M$73,0),MATCH(M11,[23]Listas!$O$67:$Q$67,0))</f>
        <v>#N/A</v>
      </c>
      <c r="S11" s="2805"/>
      <c r="T11" s="2806"/>
      <c r="U11" s="2807"/>
      <c r="V11" s="329"/>
      <c r="W11" s="329"/>
      <c r="X11" s="329"/>
      <c r="Y11" s="329"/>
      <c r="Z11" s="329"/>
      <c r="AA11" s="329"/>
      <c r="AB11" s="329"/>
      <c r="AC11" s="329"/>
      <c r="AD11" s="329"/>
      <c r="AE11" s="329"/>
      <c r="AF11" s="33"/>
      <c r="AG11" s="6">
        <f t="shared" si="0"/>
        <v>0</v>
      </c>
      <c r="AH11" s="6">
        <f t="shared" si="1"/>
        <v>0</v>
      </c>
      <c r="AI11" s="6">
        <f t="shared" si="2"/>
        <v>0</v>
      </c>
      <c r="AJ11" s="6">
        <f t="shared" si="3"/>
        <v>0</v>
      </c>
      <c r="AK11" s="6">
        <f t="shared" si="4"/>
        <v>0</v>
      </c>
      <c r="AL11" s="6">
        <f t="shared" si="5"/>
        <v>0</v>
      </c>
      <c r="AM11" s="6">
        <f t="shared" si="6"/>
        <v>0</v>
      </c>
      <c r="AN11" s="6">
        <f t="shared" si="7"/>
        <v>0</v>
      </c>
      <c r="AO11" s="6">
        <f t="shared" si="8"/>
        <v>0</v>
      </c>
      <c r="AP11" s="331" t="str">
        <f t="shared" si="9"/>
        <v>0- disminuye 0</v>
      </c>
      <c r="AQ11" s="6" t="e">
        <f t="shared" si="10"/>
        <v>#N/A</v>
      </c>
      <c r="AR11" s="331" t="e">
        <f>IF(AQ11&lt;=1,"Rara vez",VLOOKUP(AQ11,[23]Listas!$L$69:$M$73,2,0))</f>
        <v>#N/A</v>
      </c>
      <c r="AS11" s="6" t="e">
        <f t="shared" si="11"/>
        <v>#N/A</v>
      </c>
      <c r="AT11" s="331" t="e">
        <f t="shared" si="12"/>
        <v>#N/A</v>
      </c>
      <c r="AU11" s="331" t="e">
        <f>INDEX([23]Listas!$O$69:$Q$73,MATCH(AR11,[23]Listas!$M$69:$M$73,0),MATCH(AT11,[23]Listas!$O$67:$Q$67,0))</f>
        <v>#N/A</v>
      </c>
      <c r="AV11" s="330"/>
      <c r="AW11" s="826"/>
      <c r="AX11" s="843"/>
      <c r="AY11" s="843"/>
      <c r="AZ11" s="12"/>
      <c r="BA11" s="12"/>
      <c r="BB11" s="839"/>
      <c r="BC11" s="12"/>
      <c r="BD11" s="12" t="s">
        <v>2343</v>
      </c>
      <c r="BE11" s="839"/>
      <c r="BF11" s="12"/>
      <c r="BG11" s="12"/>
      <c r="BH11" s="227"/>
      <c r="BI11" s="227"/>
      <c r="BJ11" s="839"/>
      <c r="BK11" s="228"/>
      <c r="BL11" s="228"/>
    </row>
    <row r="12" spans="1:64" s="3" customFormat="1" ht="108" hidden="1" customHeight="1">
      <c r="A12" s="332"/>
      <c r="B12" s="2805"/>
      <c r="C12" s="2806"/>
      <c r="D12" s="2807"/>
      <c r="E12" s="843"/>
      <c r="F12" s="2808"/>
      <c r="G12" s="2809"/>
      <c r="H12" s="2810"/>
      <c r="I12" s="2805"/>
      <c r="J12" s="2806"/>
      <c r="K12" s="2807"/>
      <c r="L12" s="330"/>
      <c r="M12" s="50"/>
      <c r="N12" s="32"/>
      <c r="O12" s="6" t="e">
        <f>VLOOKUP(L12,[23]Listas!$M$69:$N$73,2,0)</f>
        <v>#N/A</v>
      </c>
      <c r="P12" s="6"/>
      <c r="Q12" s="6" t="e">
        <f>HLOOKUP(M12,[23]Listas!$O$67:$Q$68,2,0)</f>
        <v>#N/A</v>
      </c>
      <c r="R12" s="331" t="e">
        <f>INDEX([23]Listas!$O$69:$Q$73,MATCH(L12,[23]Listas!$M$69:$M$73,0),MATCH(M12,[23]Listas!$O$67:$Q$67,0))</f>
        <v>#N/A</v>
      </c>
      <c r="S12" s="2805"/>
      <c r="T12" s="2806"/>
      <c r="U12" s="2807"/>
      <c r="V12" s="329"/>
      <c r="W12" s="329"/>
      <c r="X12" s="329"/>
      <c r="Y12" s="329"/>
      <c r="Z12" s="329"/>
      <c r="AA12" s="329"/>
      <c r="AB12" s="329"/>
      <c r="AC12" s="329"/>
      <c r="AD12" s="329"/>
      <c r="AE12" s="329"/>
      <c r="AF12" s="33"/>
      <c r="AG12" s="6">
        <f>IF(Y12="SI",15,0)</f>
        <v>0</v>
      </c>
      <c r="AH12" s="6">
        <f>IF(Z12="SI",5,0)</f>
        <v>0</v>
      </c>
      <c r="AI12" s="6">
        <f>IF(AA12="SI",15,0)</f>
        <v>0</v>
      </c>
      <c r="AJ12" s="6">
        <f>IF(AB12="SI",10,0)</f>
        <v>0</v>
      </c>
      <c r="AK12" s="6">
        <f>IF(AC12="SI",15,0)</f>
        <v>0</v>
      </c>
      <c r="AL12" s="6">
        <f>IF(AD12="SI",10,0)</f>
        <v>0</v>
      </c>
      <c r="AM12" s="6">
        <f>IF(AE12="SI",30,0)</f>
        <v>0</v>
      </c>
      <c r="AN12" s="6">
        <f>SUM(AG12+AH12+AI12+AJ12+AK12+AL12+AM12)</f>
        <v>0</v>
      </c>
      <c r="AO12" s="6">
        <f>IF(AN12&lt;=50,0,IF(AN12&gt;=76,2,1))</f>
        <v>0</v>
      </c>
      <c r="AP12" s="331" t="str">
        <f>CONCATENATE(AN12,"- disminuye ",AO12)</f>
        <v>0- disminuye 0</v>
      </c>
      <c r="AQ12" s="6" t="e">
        <f>IF(V12="SI",O12-AO12,O12)</f>
        <v>#N/A</v>
      </c>
      <c r="AR12" s="331" t="e">
        <f>IF(AQ12&lt;=1,"Rara vez",VLOOKUP(AQ12,[23]Listas!$L$69:$M$73,2,0))</f>
        <v>#N/A</v>
      </c>
      <c r="AS12" s="6" t="e">
        <f>IF(W12="SI",Q12-AO12,Q12)</f>
        <v>#N/A</v>
      </c>
      <c r="AT12" s="331" t="e">
        <f>IF(AS12&lt;=9,"Moderado",IF(AS12=20,"Catastrófico",IF(AS12=18,"Moderado","Mayor")))</f>
        <v>#N/A</v>
      </c>
      <c r="AU12" s="331" t="e">
        <f>INDEX([23]Listas!$O$69:$Q$73,MATCH(AR12,[23]Listas!$M$69:$M$73,0),MATCH(AT12,[23]Listas!$O$67:$Q$67,0))</f>
        <v>#N/A</v>
      </c>
      <c r="AV12" s="330"/>
      <c r="AW12" s="826"/>
      <c r="AX12" s="843"/>
      <c r="AY12" s="843"/>
      <c r="AZ12" s="12"/>
      <c r="BA12" s="12"/>
      <c r="BB12" s="839"/>
      <c r="BC12" s="12"/>
      <c r="BD12" s="12" t="s">
        <v>2343</v>
      </c>
      <c r="BE12" s="839"/>
      <c r="BF12" s="12"/>
      <c r="BG12" s="12"/>
      <c r="BH12" s="227"/>
      <c r="BI12" s="227"/>
      <c r="BJ12" s="839"/>
      <c r="BK12" s="228"/>
      <c r="BL12" s="228"/>
    </row>
    <row r="13" spans="1:64" s="3" customFormat="1" ht="108" hidden="1" customHeight="1">
      <c r="A13" s="332"/>
      <c r="B13" s="2805"/>
      <c r="C13" s="2806"/>
      <c r="D13" s="2807"/>
      <c r="E13" s="843"/>
      <c r="F13" s="2808"/>
      <c r="G13" s="2809"/>
      <c r="H13" s="2810"/>
      <c r="I13" s="2805"/>
      <c r="J13" s="2806"/>
      <c r="K13" s="2807"/>
      <c r="L13" s="330"/>
      <c r="M13" s="50"/>
      <c r="N13" s="32"/>
      <c r="O13" s="6" t="e">
        <f>VLOOKUP(L13,[23]Listas!$M$69:$N$73,2,0)</f>
        <v>#N/A</v>
      </c>
      <c r="P13" s="6"/>
      <c r="Q13" s="6" t="e">
        <f>HLOOKUP(M13,[23]Listas!$O$67:$Q$68,2,0)</f>
        <v>#N/A</v>
      </c>
      <c r="R13" s="331" t="e">
        <f>INDEX([23]Listas!$O$69:$Q$73,MATCH(L13,[23]Listas!$M$69:$M$73,0),MATCH(M13,[23]Listas!$O$67:$Q$67,0))</f>
        <v>#N/A</v>
      </c>
      <c r="S13" s="2805"/>
      <c r="T13" s="2806"/>
      <c r="U13" s="2807"/>
      <c r="V13" s="329"/>
      <c r="W13" s="329"/>
      <c r="X13" s="329"/>
      <c r="Y13" s="329"/>
      <c r="Z13" s="329"/>
      <c r="AA13" s="329"/>
      <c r="AB13" s="329"/>
      <c r="AC13" s="329"/>
      <c r="AD13" s="329"/>
      <c r="AE13" s="329"/>
      <c r="AF13" s="33"/>
      <c r="AG13" s="6">
        <f>IF(Y13="SI",15,0)</f>
        <v>0</v>
      </c>
      <c r="AH13" s="6">
        <f>IF(Z13="SI",5,0)</f>
        <v>0</v>
      </c>
      <c r="AI13" s="6">
        <f>IF(AA13="SI",15,0)</f>
        <v>0</v>
      </c>
      <c r="AJ13" s="6">
        <f>IF(AB13="SI",10,0)</f>
        <v>0</v>
      </c>
      <c r="AK13" s="6">
        <f>IF(AC13="SI",15,0)</f>
        <v>0</v>
      </c>
      <c r="AL13" s="6">
        <f>IF(AD13="SI",10,0)</f>
        <v>0</v>
      </c>
      <c r="AM13" s="6">
        <f>IF(AE13="SI",30,0)</f>
        <v>0</v>
      </c>
      <c r="AN13" s="6">
        <f>SUM(AG13+AH13+AI13+AJ13+AK13+AL13+AM13)</f>
        <v>0</v>
      </c>
      <c r="AO13" s="6">
        <f>IF(AN13&lt;=50,0,IF(AN13&gt;=76,2,1))</f>
        <v>0</v>
      </c>
      <c r="AP13" s="331" t="str">
        <f>CONCATENATE(AN13,"- disminuye ",AO13)</f>
        <v>0- disminuye 0</v>
      </c>
      <c r="AQ13" s="6" t="e">
        <f>IF(V13="SI",O13-AO13,O13)</f>
        <v>#N/A</v>
      </c>
      <c r="AR13" s="331" t="e">
        <f>IF(AQ13&lt;=1,"Rara vez",VLOOKUP(AQ13,[23]Listas!$L$69:$M$73,2,0))</f>
        <v>#N/A</v>
      </c>
      <c r="AS13" s="6" t="e">
        <f>IF(W13="SI",Q13-AO13,Q13)</f>
        <v>#N/A</v>
      </c>
      <c r="AT13" s="331" t="e">
        <f>IF(AS13&lt;=9,"Moderado",IF(AS13=20,"Catastrófico",IF(AS13=18,"Moderado","Mayor")))</f>
        <v>#N/A</v>
      </c>
      <c r="AU13" s="331" t="e">
        <f>INDEX([23]Listas!$O$69:$Q$73,MATCH(AR13,[23]Listas!$M$69:$M$73,0),MATCH(AT13,[23]Listas!$O$67:$Q$67,0))</f>
        <v>#N/A</v>
      </c>
      <c r="AV13" s="330"/>
      <c r="AW13" s="826"/>
      <c r="AX13" s="843"/>
      <c r="AY13" s="843"/>
      <c r="AZ13" s="12"/>
      <c r="BA13" s="12"/>
      <c r="BB13" s="839"/>
      <c r="BC13" s="12"/>
      <c r="BD13" s="12" t="s">
        <v>2343</v>
      </c>
      <c r="BE13" s="839"/>
      <c r="BF13" s="12"/>
      <c r="BG13" s="12"/>
      <c r="BH13" s="227"/>
      <c r="BI13" s="227"/>
      <c r="BJ13" s="839"/>
      <c r="BK13" s="228"/>
      <c r="BL13" s="228"/>
    </row>
    <row r="14" spans="1:64" s="3" customFormat="1" ht="108" hidden="1" customHeight="1">
      <c r="A14" s="332"/>
      <c r="B14" s="2805"/>
      <c r="C14" s="2806"/>
      <c r="D14" s="2807"/>
      <c r="E14" s="843"/>
      <c r="F14" s="2808"/>
      <c r="G14" s="2809"/>
      <c r="H14" s="2810"/>
      <c r="I14" s="2805"/>
      <c r="J14" s="2806"/>
      <c r="K14" s="2807"/>
      <c r="L14" s="330"/>
      <c r="M14" s="50"/>
      <c r="N14" s="32"/>
      <c r="O14" s="6" t="e">
        <f>VLOOKUP(L14,[23]Listas!$M$69:$N$73,2,0)</f>
        <v>#N/A</v>
      </c>
      <c r="P14" s="6"/>
      <c r="Q14" s="6" t="e">
        <f>HLOOKUP(M14,[23]Listas!$O$67:$Q$68,2,0)</f>
        <v>#N/A</v>
      </c>
      <c r="R14" s="331" t="e">
        <f>INDEX([23]Listas!$O$69:$Q$73,MATCH(L14,[23]Listas!$M$69:$M$73,0),MATCH(M14,[23]Listas!$O$67:$Q$67,0))</f>
        <v>#N/A</v>
      </c>
      <c r="S14" s="2805"/>
      <c r="T14" s="2806"/>
      <c r="U14" s="2807"/>
      <c r="V14" s="329"/>
      <c r="W14" s="329"/>
      <c r="X14" s="329"/>
      <c r="Y14" s="329"/>
      <c r="Z14" s="329"/>
      <c r="AA14" s="329"/>
      <c r="AB14" s="329"/>
      <c r="AC14" s="329"/>
      <c r="AD14" s="329"/>
      <c r="AE14" s="329"/>
      <c r="AF14" s="33"/>
      <c r="AG14" s="6">
        <f>IF(Y14="SI",15,0)</f>
        <v>0</v>
      </c>
      <c r="AH14" s="6">
        <f>IF(Z14="SI",5,0)</f>
        <v>0</v>
      </c>
      <c r="AI14" s="6">
        <f>IF(AA14="SI",15,0)</f>
        <v>0</v>
      </c>
      <c r="AJ14" s="6">
        <f>IF(AB14="SI",10,0)</f>
        <v>0</v>
      </c>
      <c r="AK14" s="6">
        <f>IF(AC14="SI",15,0)</f>
        <v>0</v>
      </c>
      <c r="AL14" s="6">
        <f>IF(AD14="SI",10,0)</f>
        <v>0</v>
      </c>
      <c r="AM14" s="6">
        <f>IF(AE14="SI",30,0)</f>
        <v>0</v>
      </c>
      <c r="AN14" s="6">
        <f>SUM(AG14+AH14+AI14+AJ14+AK14+AL14+AM14)</f>
        <v>0</v>
      </c>
      <c r="AO14" s="6">
        <f>IF(AN14&lt;=50,0,IF(AN14&gt;=76,2,1))</f>
        <v>0</v>
      </c>
      <c r="AP14" s="331" t="str">
        <f>CONCATENATE(AN14,"- disminuye ",AO14)</f>
        <v>0- disminuye 0</v>
      </c>
      <c r="AQ14" s="6" t="e">
        <f>IF(V14="SI",O14-AO14,O14)</f>
        <v>#N/A</v>
      </c>
      <c r="AR14" s="331" t="e">
        <f>IF(AQ14&lt;=1,"Rara vez",VLOOKUP(AQ14,[23]Listas!$L$69:$M$73,2,0))</f>
        <v>#N/A</v>
      </c>
      <c r="AS14" s="6" t="e">
        <f>IF(W14="SI",Q14-AO14,Q14)</f>
        <v>#N/A</v>
      </c>
      <c r="AT14" s="331" t="e">
        <f>IF(AS14&lt;=9,"Moderado",IF(AS14=20,"Catastrófico",IF(AS14=18,"Moderado","Mayor")))</f>
        <v>#N/A</v>
      </c>
      <c r="AU14" s="331" t="e">
        <f>INDEX([23]Listas!$O$69:$Q$73,MATCH(AR14,[23]Listas!$M$69:$M$73,0),MATCH(AT14,[23]Listas!$O$67:$Q$67,0))</f>
        <v>#N/A</v>
      </c>
      <c r="AV14" s="330"/>
      <c r="AW14" s="826"/>
      <c r="AX14" s="843"/>
      <c r="AY14" s="843"/>
      <c r="AZ14" s="12"/>
      <c r="BA14" s="12"/>
      <c r="BB14" s="839"/>
      <c r="BC14" s="12"/>
      <c r="BD14" s="12" t="s">
        <v>2343</v>
      </c>
      <c r="BE14" s="839"/>
      <c r="BF14" s="12"/>
      <c r="BG14" s="12"/>
      <c r="BH14" s="227"/>
      <c r="BI14" s="227"/>
      <c r="BJ14" s="839"/>
      <c r="BK14" s="228"/>
      <c r="BL14" s="228"/>
    </row>
    <row r="15" spans="1:64" s="3" customFormat="1" ht="108" hidden="1" customHeight="1">
      <c r="A15" s="332"/>
      <c r="B15" s="2805"/>
      <c r="C15" s="2806"/>
      <c r="D15" s="2807"/>
      <c r="E15" s="843"/>
      <c r="F15" s="2808"/>
      <c r="G15" s="2809"/>
      <c r="H15" s="2810"/>
      <c r="I15" s="2805"/>
      <c r="J15" s="2806"/>
      <c r="K15" s="2807"/>
      <c r="L15" s="330"/>
      <c r="M15" s="50"/>
      <c r="N15" s="32"/>
      <c r="O15" s="6" t="e">
        <f>VLOOKUP(L15,[23]Listas!$M$69:$N$73,2,0)</f>
        <v>#N/A</v>
      </c>
      <c r="P15" s="6"/>
      <c r="Q15" s="6" t="e">
        <f>HLOOKUP(M15,[23]Listas!$O$67:$Q$68,2,0)</f>
        <v>#N/A</v>
      </c>
      <c r="R15" s="331" t="e">
        <f>INDEX([23]Listas!$O$69:$Q$73,MATCH(L15,[23]Listas!$M$69:$M$73,0),MATCH(M15,[23]Listas!$O$67:$Q$67,0))</f>
        <v>#N/A</v>
      </c>
      <c r="S15" s="2805"/>
      <c r="T15" s="2806"/>
      <c r="U15" s="2807"/>
      <c r="V15" s="329"/>
      <c r="W15" s="329"/>
      <c r="X15" s="329"/>
      <c r="Y15" s="329"/>
      <c r="Z15" s="329"/>
      <c r="AA15" s="329"/>
      <c r="AB15" s="329"/>
      <c r="AC15" s="329"/>
      <c r="AD15" s="329"/>
      <c r="AE15" s="329"/>
      <c r="AF15" s="33"/>
      <c r="AG15" s="6">
        <f t="shared" si="0"/>
        <v>0</v>
      </c>
      <c r="AH15" s="6">
        <f t="shared" si="1"/>
        <v>0</v>
      </c>
      <c r="AI15" s="6">
        <f t="shared" si="2"/>
        <v>0</v>
      </c>
      <c r="AJ15" s="6">
        <f t="shared" si="3"/>
        <v>0</v>
      </c>
      <c r="AK15" s="6">
        <f t="shared" si="4"/>
        <v>0</v>
      </c>
      <c r="AL15" s="6">
        <f t="shared" si="5"/>
        <v>0</v>
      </c>
      <c r="AM15" s="6">
        <f t="shared" si="6"/>
        <v>0</v>
      </c>
      <c r="AN15" s="6">
        <f t="shared" si="7"/>
        <v>0</v>
      </c>
      <c r="AO15" s="6">
        <f t="shared" si="8"/>
        <v>0</v>
      </c>
      <c r="AP15" s="331" t="str">
        <f t="shared" si="9"/>
        <v>0- disminuye 0</v>
      </c>
      <c r="AQ15" s="6" t="e">
        <f t="shared" si="10"/>
        <v>#N/A</v>
      </c>
      <c r="AR15" s="331" t="e">
        <f>IF(AQ15&lt;=1,"Rara vez",VLOOKUP(AQ15,[23]Listas!$L$69:$M$73,2,0))</f>
        <v>#N/A</v>
      </c>
      <c r="AS15" s="6" t="e">
        <f t="shared" si="11"/>
        <v>#N/A</v>
      </c>
      <c r="AT15" s="331" t="e">
        <f t="shared" si="12"/>
        <v>#N/A</v>
      </c>
      <c r="AU15" s="331" t="e">
        <f>INDEX([23]Listas!$O$69:$Q$73,MATCH(AR15,[23]Listas!$M$69:$M$73,0),MATCH(AT15,[23]Listas!$O$67:$Q$67,0))</f>
        <v>#N/A</v>
      </c>
      <c r="AV15" s="330"/>
      <c r="AW15" s="826"/>
      <c r="AX15" s="843"/>
      <c r="AY15" s="843"/>
      <c r="AZ15" s="12"/>
      <c r="BA15" s="12"/>
      <c r="BB15" s="839"/>
      <c r="BC15" s="12"/>
      <c r="BD15" s="12" t="s">
        <v>2343</v>
      </c>
      <c r="BE15" s="839"/>
      <c r="BF15" s="12"/>
      <c r="BG15" s="12"/>
      <c r="BH15" s="227"/>
      <c r="BI15" s="227"/>
      <c r="BJ15" s="839"/>
      <c r="BK15" s="228"/>
      <c r="BL15" s="228"/>
    </row>
    <row r="16" spans="1:64" s="3" customFormat="1" ht="108" hidden="1" customHeight="1">
      <c r="A16" s="332"/>
      <c r="B16" s="2805"/>
      <c r="C16" s="2806"/>
      <c r="D16" s="2807"/>
      <c r="E16" s="843"/>
      <c r="F16" s="2808"/>
      <c r="G16" s="2809"/>
      <c r="H16" s="2810"/>
      <c r="I16" s="2805"/>
      <c r="J16" s="2806"/>
      <c r="K16" s="2807"/>
      <c r="L16" s="330"/>
      <c r="M16" s="50"/>
      <c r="N16" s="32"/>
      <c r="O16" s="6" t="e">
        <f>VLOOKUP(L16,[23]Listas!$M$69:$N$73,2,0)</f>
        <v>#N/A</v>
      </c>
      <c r="P16" s="6"/>
      <c r="Q16" s="6" t="e">
        <f>HLOOKUP(M16,[23]Listas!$O$67:$Q$68,2,0)</f>
        <v>#N/A</v>
      </c>
      <c r="R16" s="331" t="e">
        <f>INDEX([23]Listas!$O$69:$Q$73,MATCH(L16,[23]Listas!$M$69:$M$73,0),MATCH(M16,[23]Listas!$O$67:$Q$67,0))</f>
        <v>#N/A</v>
      </c>
      <c r="S16" s="826"/>
      <c r="T16" s="827"/>
      <c r="U16" s="828"/>
      <c r="V16" s="329"/>
      <c r="W16" s="329"/>
      <c r="X16" s="329"/>
      <c r="Y16" s="329"/>
      <c r="Z16" s="329"/>
      <c r="AA16" s="329"/>
      <c r="AB16" s="329"/>
      <c r="AC16" s="329"/>
      <c r="AD16" s="329"/>
      <c r="AE16" s="329"/>
      <c r="AF16" s="33"/>
      <c r="AG16" s="6">
        <f t="shared" si="0"/>
        <v>0</v>
      </c>
      <c r="AH16" s="6">
        <f t="shared" si="1"/>
        <v>0</v>
      </c>
      <c r="AI16" s="6">
        <f t="shared" si="2"/>
        <v>0</v>
      </c>
      <c r="AJ16" s="6">
        <f t="shared" si="3"/>
        <v>0</v>
      </c>
      <c r="AK16" s="6">
        <f t="shared" si="4"/>
        <v>0</v>
      </c>
      <c r="AL16" s="6">
        <f t="shared" si="5"/>
        <v>0</v>
      </c>
      <c r="AM16" s="6">
        <f t="shared" si="6"/>
        <v>0</v>
      </c>
      <c r="AN16" s="6">
        <f t="shared" si="7"/>
        <v>0</v>
      </c>
      <c r="AO16" s="6">
        <f t="shared" si="8"/>
        <v>0</v>
      </c>
      <c r="AP16" s="331" t="str">
        <f t="shared" si="9"/>
        <v>0- disminuye 0</v>
      </c>
      <c r="AQ16" s="6" t="e">
        <f t="shared" si="10"/>
        <v>#N/A</v>
      </c>
      <c r="AR16" s="331" t="e">
        <f>IF(AQ16&lt;=1,"Rara vez",VLOOKUP(AQ16,[23]Listas!$L$69:$M$73,2,0))</f>
        <v>#N/A</v>
      </c>
      <c r="AS16" s="6" t="e">
        <f t="shared" si="11"/>
        <v>#N/A</v>
      </c>
      <c r="AT16" s="331" t="e">
        <f t="shared" si="12"/>
        <v>#N/A</v>
      </c>
      <c r="AU16" s="331" t="e">
        <f>INDEX([23]Listas!$O$69:$Q$73,MATCH(AR16,[23]Listas!$M$69:$M$73,0),MATCH(AT16,[23]Listas!$O$67:$Q$67,0))</f>
        <v>#N/A</v>
      </c>
      <c r="AV16" s="330"/>
      <c r="AW16" s="826"/>
      <c r="AX16" s="843"/>
      <c r="AY16" s="843"/>
      <c r="AZ16" s="12"/>
      <c r="BA16" s="12"/>
      <c r="BB16" s="839"/>
      <c r="BC16" s="12"/>
      <c r="BD16" s="12" t="s">
        <v>2343</v>
      </c>
      <c r="BE16" s="839"/>
      <c r="BF16" s="12"/>
      <c r="BG16" s="12"/>
      <c r="BH16" s="227"/>
      <c r="BI16" s="227"/>
      <c r="BJ16" s="839"/>
      <c r="BK16" s="228"/>
      <c r="BL16" s="228"/>
    </row>
    <row r="17" spans="1:64" s="3" customFormat="1" ht="108" hidden="1" customHeight="1">
      <c r="A17" s="332"/>
      <c r="B17" s="2805"/>
      <c r="C17" s="2806"/>
      <c r="D17" s="2807"/>
      <c r="E17" s="843"/>
      <c r="F17" s="2808"/>
      <c r="G17" s="2809"/>
      <c r="H17" s="2810"/>
      <c r="I17" s="2805"/>
      <c r="J17" s="2806"/>
      <c r="K17" s="2807"/>
      <c r="L17" s="330"/>
      <c r="M17" s="50"/>
      <c r="N17" s="32"/>
      <c r="O17" s="6" t="e">
        <f>VLOOKUP(L17,[23]Listas!$M$69:$N$73,2,0)</f>
        <v>#N/A</v>
      </c>
      <c r="P17" s="6"/>
      <c r="Q17" s="6" t="e">
        <f>HLOOKUP(M17,[23]Listas!$O$67:$Q$68,2,0)</f>
        <v>#N/A</v>
      </c>
      <c r="R17" s="331" t="e">
        <f>INDEX([23]Listas!$O$69:$Q$73,MATCH(L17,[23]Listas!$M$69:$M$73,0),MATCH(M17,[23]Listas!$O$67:$Q$67,0))</f>
        <v>#N/A</v>
      </c>
      <c r="S17" s="2805"/>
      <c r="T17" s="2806"/>
      <c r="U17" s="2807"/>
      <c r="V17" s="329"/>
      <c r="W17" s="329"/>
      <c r="X17" s="329"/>
      <c r="Y17" s="329"/>
      <c r="Z17" s="329"/>
      <c r="AA17" s="329"/>
      <c r="AB17" s="329"/>
      <c r="AC17" s="329"/>
      <c r="AD17" s="329"/>
      <c r="AE17" s="329"/>
      <c r="AF17" s="33"/>
      <c r="AG17" s="6">
        <f>IF(Y17="SI",15,0)</f>
        <v>0</v>
      </c>
      <c r="AH17" s="6">
        <f>IF(Z17="SI",5,0)</f>
        <v>0</v>
      </c>
      <c r="AI17" s="6">
        <f>IF(AA17="SI",15,0)</f>
        <v>0</v>
      </c>
      <c r="AJ17" s="6">
        <f>IF(AB17="SI",10,0)</f>
        <v>0</v>
      </c>
      <c r="AK17" s="6">
        <f>IF(AC17="SI",15,0)</f>
        <v>0</v>
      </c>
      <c r="AL17" s="6">
        <f>IF(AD17="SI",10,0)</f>
        <v>0</v>
      </c>
      <c r="AM17" s="6">
        <f>IF(AE17="SI",30,0)</f>
        <v>0</v>
      </c>
      <c r="AN17" s="6">
        <f>SUM(AG17+AH17+AI17+AJ17+AK17+AL17+AM17)</f>
        <v>0</v>
      </c>
      <c r="AO17" s="6">
        <f>IF(AN17&lt;=50,0,IF(AN17&gt;=76,2,1))</f>
        <v>0</v>
      </c>
      <c r="AP17" s="331" t="str">
        <f>CONCATENATE(AN17,"- disminuye ",AO17)</f>
        <v>0- disminuye 0</v>
      </c>
      <c r="AQ17" s="6" t="e">
        <f>IF(V17="SI",O17-AO17,O17)</f>
        <v>#N/A</v>
      </c>
      <c r="AR17" s="331" t="e">
        <f>IF(AQ17&lt;=1,"Rara vez",VLOOKUP(AQ17,[23]Listas!$L$69:$M$73,2,0))</f>
        <v>#N/A</v>
      </c>
      <c r="AS17" s="6" t="e">
        <f>IF(W17="SI",Q17-AO17,Q17)</f>
        <v>#N/A</v>
      </c>
      <c r="AT17" s="331" t="e">
        <f>IF(AS17&lt;=9,"Moderado",IF(AS17=20,"Catastrófico",IF(AS17=18,"Moderado","Mayor")))</f>
        <v>#N/A</v>
      </c>
      <c r="AU17" s="331" t="e">
        <f>INDEX([23]Listas!$O$69:$Q$73,MATCH(AR17,[23]Listas!$M$69:$M$73,0),MATCH(AT17,[23]Listas!$O$67:$Q$67,0))</f>
        <v>#N/A</v>
      </c>
      <c r="AV17" s="330"/>
      <c r="AW17" s="826"/>
      <c r="AX17" s="843"/>
      <c r="AY17" s="843"/>
      <c r="AZ17" s="12"/>
      <c r="BA17" s="12"/>
      <c r="BB17" s="839"/>
      <c r="BC17" s="12"/>
      <c r="BD17" s="12" t="s">
        <v>2343</v>
      </c>
      <c r="BE17" s="839"/>
      <c r="BF17" s="12"/>
      <c r="BG17" s="12"/>
      <c r="BH17" s="227"/>
      <c r="BI17" s="227"/>
      <c r="BJ17" s="839"/>
      <c r="BK17" s="228"/>
      <c r="BL17" s="228"/>
    </row>
    <row r="18" spans="1:64" s="3" customFormat="1" ht="108" hidden="1" customHeight="1">
      <c r="A18" s="332"/>
      <c r="B18" s="2805"/>
      <c r="C18" s="2806"/>
      <c r="D18" s="2807"/>
      <c r="E18" s="843"/>
      <c r="F18" s="2808"/>
      <c r="G18" s="2809"/>
      <c r="H18" s="2810"/>
      <c r="I18" s="2805"/>
      <c r="J18" s="2806"/>
      <c r="K18" s="2807"/>
      <c r="L18" s="330"/>
      <c r="M18" s="50"/>
      <c r="N18" s="32"/>
      <c r="O18" s="6" t="e">
        <f>VLOOKUP(L18,[23]Listas!$M$69:$N$73,2,0)</f>
        <v>#N/A</v>
      </c>
      <c r="P18" s="6"/>
      <c r="Q18" s="6" t="e">
        <f>HLOOKUP(M18,[23]Listas!$O$67:$Q$68,2,0)</f>
        <v>#N/A</v>
      </c>
      <c r="R18" s="331" t="e">
        <f>INDEX([23]Listas!$O$69:$Q$73,MATCH(L18,[23]Listas!$M$69:$M$73,0),MATCH(M18,[23]Listas!$O$67:$Q$67,0))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vez",VLOOKUP(AQ18,[23]Listas!$L$69:$M$73,2,0))</f>
        <v>#N/A</v>
      </c>
      <c r="AS18" s="6" t="e">
        <f t="shared" si="11"/>
        <v>#N/A</v>
      </c>
      <c r="AT18" s="331" t="e">
        <f t="shared" si="12"/>
        <v>#N/A</v>
      </c>
      <c r="AU18" s="331" t="e">
        <f>INDEX([23]Listas!$O$69:$Q$73,MATCH(AR18,[23]Listas!$M$69:$M$73,0),MATCH(AT18,[23]Listas!$O$67:$Q$67,0))</f>
        <v>#N/A</v>
      </c>
      <c r="AV18" s="330"/>
      <c r="AW18" s="826"/>
      <c r="AX18" s="843"/>
      <c r="AY18" s="843"/>
      <c r="AZ18" s="12"/>
      <c r="BA18" s="12"/>
      <c r="BB18" s="839"/>
      <c r="BC18" s="12"/>
      <c r="BD18" s="12" t="s">
        <v>2343</v>
      </c>
      <c r="BE18" s="839"/>
      <c r="BF18" s="12"/>
      <c r="BG18" s="12"/>
      <c r="BH18" s="227"/>
      <c r="BI18" s="227"/>
      <c r="BJ18" s="839"/>
      <c r="BK18" s="228"/>
      <c r="BL18" s="228"/>
    </row>
    <row r="19" spans="1:64" s="3" customFormat="1" ht="108" hidden="1" customHeight="1">
      <c r="A19" s="332"/>
      <c r="B19" s="2805"/>
      <c r="C19" s="2806"/>
      <c r="D19" s="2807"/>
      <c r="E19" s="843"/>
      <c r="F19" s="2808"/>
      <c r="G19" s="2809"/>
      <c r="H19" s="2810"/>
      <c r="I19" s="2805"/>
      <c r="J19" s="2806"/>
      <c r="K19" s="2807"/>
      <c r="L19" s="330"/>
      <c r="M19" s="50"/>
      <c r="N19" s="32"/>
      <c r="O19" s="6" t="e">
        <f>VLOOKUP(L19,[23]Listas!$M$69:$N$73,2,0)</f>
        <v>#N/A</v>
      </c>
      <c r="P19" s="6"/>
      <c r="Q19" s="6" t="e">
        <f>HLOOKUP(M19,[23]Listas!$O$67:$Q$68,2,0)</f>
        <v>#N/A</v>
      </c>
      <c r="R19" s="331" t="e">
        <f>INDEX([23]Listas!$O$69:$Q$73,MATCH(L19,[23]Listas!$M$69:$M$73,0),MATCH(M19,[23]Listas!$O$67:$Q$67,0))</f>
        <v>#N/A</v>
      </c>
      <c r="S19" s="2805"/>
      <c r="T19" s="2806"/>
      <c r="U19" s="2807"/>
      <c r="V19" s="329"/>
      <c r="W19" s="329"/>
      <c r="X19" s="329"/>
      <c r="Y19" s="329"/>
      <c r="Z19" s="329"/>
      <c r="AA19" s="329"/>
      <c r="AB19" s="329"/>
      <c r="AC19" s="329"/>
      <c r="AD19" s="329"/>
      <c r="AE19" s="329"/>
      <c r="AF19" s="33"/>
      <c r="AG19" s="6">
        <f t="shared" si="0"/>
        <v>0</v>
      </c>
      <c r="AH19" s="6">
        <f t="shared" si="1"/>
        <v>0</v>
      </c>
      <c r="AI19" s="6">
        <f t="shared" si="2"/>
        <v>0</v>
      </c>
      <c r="AJ19" s="6">
        <f t="shared" si="3"/>
        <v>0</v>
      </c>
      <c r="AK19" s="6">
        <f t="shared" si="4"/>
        <v>0</v>
      </c>
      <c r="AL19" s="6">
        <f t="shared" si="5"/>
        <v>0</v>
      </c>
      <c r="AM19" s="6">
        <f t="shared" si="6"/>
        <v>0</v>
      </c>
      <c r="AN19" s="6">
        <f t="shared" si="7"/>
        <v>0</v>
      </c>
      <c r="AO19" s="6">
        <f t="shared" si="8"/>
        <v>0</v>
      </c>
      <c r="AP19" s="331" t="str">
        <f t="shared" si="9"/>
        <v>0- disminuye 0</v>
      </c>
      <c r="AQ19" s="6" t="e">
        <f t="shared" si="10"/>
        <v>#N/A</v>
      </c>
      <c r="AR19" s="331" t="e">
        <f>IF(AQ19&lt;=1,"Rara vez",VLOOKUP(AQ19,[23]Listas!$L$69:$M$73,2,0))</f>
        <v>#N/A</v>
      </c>
      <c r="AS19" s="6" t="e">
        <f t="shared" si="11"/>
        <v>#N/A</v>
      </c>
      <c r="AT19" s="331" t="e">
        <f t="shared" si="12"/>
        <v>#N/A</v>
      </c>
      <c r="AU19" s="331" t="e">
        <f>INDEX([23]Listas!$O$69:$Q$73,MATCH(AR19,[23]Listas!$M$69:$M$73,0),MATCH(AT19,[23]Listas!$O$67:$Q$67,0))</f>
        <v>#N/A</v>
      </c>
      <c r="AV19" s="330"/>
      <c r="AW19" s="826"/>
      <c r="AX19" s="843"/>
      <c r="AY19" s="843"/>
      <c r="AZ19" s="12"/>
      <c r="BA19" s="12"/>
      <c r="BB19" s="839"/>
      <c r="BC19" s="12"/>
      <c r="BD19" s="12" t="s">
        <v>2343</v>
      </c>
      <c r="BE19" s="839"/>
      <c r="BF19" s="12"/>
      <c r="BG19" s="12"/>
      <c r="BH19" s="227"/>
      <c r="BI19" s="227"/>
      <c r="BJ19" s="839"/>
      <c r="BK19" s="228"/>
      <c r="BL19" s="228"/>
    </row>
    <row r="20" spans="1:64" s="3" customFormat="1" ht="108" hidden="1" customHeight="1">
      <c r="A20" s="332"/>
      <c r="B20" s="2805"/>
      <c r="C20" s="2806"/>
      <c r="D20" s="2807"/>
      <c r="E20" s="843"/>
      <c r="F20" s="2808"/>
      <c r="G20" s="2809"/>
      <c r="H20" s="2810"/>
      <c r="I20" s="2805"/>
      <c r="J20" s="2806"/>
      <c r="K20" s="2807"/>
      <c r="L20" s="330"/>
      <c r="M20" s="50"/>
      <c r="N20" s="32"/>
      <c r="O20" s="6" t="e">
        <f>VLOOKUP(L20,[23]Listas!$M$69:$N$73,2,0)</f>
        <v>#N/A</v>
      </c>
      <c r="P20" s="6"/>
      <c r="Q20" s="6" t="e">
        <f>HLOOKUP(M20,[23]Listas!$O$67:$Q$68,2,0)</f>
        <v>#N/A</v>
      </c>
      <c r="R20" s="331" t="e">
        <f>INDEX([23]Listas!$O$69:$Q$73,MATCH(L20,[23]Listas!$M$69:$M$73,0),MATCH(M20,[23]Listas!$O$67:$Q$67,0))</f>
        <v>#N/A</v>
      </c>
      <c r="S20" s="2805"/>
      <c r="T20" s="2806"/>
      <c r="U20" s="2807"/>
      <c r="V20" s="329"/>
      <c r="W20" s="329"/>
      <c r="X20" s="329"/>
      <c r="Y20" s="329"/>
      <c r="Z20" s="329"/>
      <c r="AA20" s="329"/>
      <c r="AB20" s="329"/>
      <c r="AC20" s="329"/>
      <c r="AD20" s="329"/>
      <c r="AE20" s="329"/>
      <c r="AF20" s="33"/>
      <c r="AG20" s="6">
        <f>IF(Y20="SI",15,0)</f>
        <v>0</v>
      </c>
      <c r="AH20" s="6">
        <f>IF(Z20="SI",5,0)</f>
        <v>0</v>
      </c>
      <c r="AI20" s="6">
        <f>IF(AA20="SI",15,0)</f>
        <v>0</v>
      </c>
      <c r="AJ20" s="6">
        <f>IF(AB20="SI",10,0)</f>
        <v>0</v>
      </c>
      <c r="AK20" s="6">
        <f>IF(AC20="SI",15,0)</f>
        <v>0</v>
      </c>
      <c r="AL20" s="6">
        <f>IF(AD20="SI",10,0)</f>
        <v>0</v>
      </c>
      <c r="AM20" s="6">
        <f>IF(AE20="SI",30,0)</f>
        <v>0</v>
      </c>
      <c r="AN20" s="6">
        <f>SUM(AG20+AH20+AI20+AJ20+AK20+AL20+AM20)</f>
        <v>0</v>
      </c>
      <c r="AO20" s="6">
        <f>IF(AN20&lt;=50,0,IF(AN20&gt;=76,2,1))</f>
        <v>0</v>
      </c>
      <c r="AP20" s="331" t="str">
        <f>CONCATENATE(AN20,"- disminuye ",AO20)</f>
        <v>0- disminuye 0</v>
      </c>
      <c r="AQ20" s="6" t="e">
        <f>IF(V20="SI",O20-AO20,O20)</f>
        <v>#N/A</v>
      </c>
      <c r="AR20" s="331" t="e">
        <f>IF(AQ20&lt;=1,"Rara vez",VLOOKUP(AQ20,[23]Listas!$L$69:$M$73,2,0))</f>
        <v>#N/A</v>
      </c>
      <c r="AS20" s="6" t="e">
        <f>IF(W20="SI",Q20-AO20,Q20)</f>
        <v>#N/A</v>
      </c>
      <c r="AT20" s="331" t="e">
        <f>IF(AS20&lt;=9,"Moderado",IF(AS20=20,"Catastrófico",IF(AS20=18,"Moderado","Mayor")))</f>
        <v>#N/A</v>
      </c>
      <c r="AU20" s="331" t="e">
        <f>INDEX([23]Listas!$O$69:$Q$73,MATCH(AR20,[23]Listas!$M$69:$M$73,0),MATCH(AT20,[23]Listas!$O$67:$Q$67,0))</f>
        <v>#N/A</v>
      </c>
      <c r="AV20" s="330"/>
      <c r="AW20" s="826"/>
      <c r="AX20" s="843"/>
      <c r="AY20" s="843"/>
      <c r="AZ20" s="12"/>
      <c r="BA20" s="12"/>
      <c r="BB20" s="839"/>
      <c r="BC20" s="12"/>
      <c r="BD20" s="12" t="s">
        <v>2343</v>
      </c>
      <c r="BE20" s="839"/>
      <c r="BF20" s="12"/>
      <c r="BG20" s="12"/>
      <c r="BH20" s="227"/>
      <c r="BI20" s="227"/>
      <c r="BJ20" s="839"/>
      <c r="BK20" s="228"/>
      <c r="BL20" s="228"/>
    </row>
    <row r="21" spans="1:64" s="3" customFormat="1" ht="108" hidden="1" customHeight="1">
      <c r="A21" s="332"/>
      <c r="B21" s="2805"/>
      <c r="C21" s="2806"/>
      <c r="D21" s="2807"/>
      <c r="E21" s="843"/>
      <c r="F21" s="2808"/>
      <c r="G21" s="2809"/>
      <c r="H21" s="2810"/>
      <c r="I21" s="2805"/>
      <c r="J21" s="2806"/>
      <c r="K21" s="2807"/>
      <c r="L21" s="330"/>
      <c r="M21" s="50"/>
      <c r="N21" s="32"/>
      <c r="O21" s="6" t="e">
        <f>VLOOKUP(L21,[23]Listas!$M$69:$N$73,2,0)</f>
        <v>#N/A</v>
      </c>
      <c r="P21" s="6"/>
      <c r="Q21" s="6" t="e">
        <f>HLOOKUP(M21,[23]Listas!$O$67:$Q$68,2,0)</f>
        <v>#N/A</v>
      </c>
      <c r="R21" s="331" t="e">
        <f>INDEX([23]Listas!$O$69:$Q$73,MATCH(L21,[23]Listas!$M$69:$M$73,0),MATCH(M21,[23]Listas!$O$67:$Q$67,0))</f>
        <v>#N/A</v>
      </c>
      <c r="S21" s="2805"/>
      <c r="T21" s="2806"/>
      <c r="U21" s="2807"/>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vez",VLOOKUP(AQ21,[23]Listas!$L$69:$M$73,2,0))</f>
        <v>#N/A</v>
      </c>
      <c r="AS21" s="6" t="e">
        <f t="shared" si="11"/>
        <v>#N/A</v>
      </c>
      <c r="AT21" s="331" t="e">
        <f t="shared" si="12"/>
        <v>#N/A</v>
      </c>
      <c r="AU21" s="331" t="e">
        <f>INDEX([23]Listas!$O$69:$Q$73,MATCH(AR21,[23]Listas!$M$69:$M$73,0),MATCH(AT21,[23]Listas!$O$67:$Q$67,0))</f>
        <v>#N/A</v>
      </c>
      <c r="AV21" s="330"/>
      <c r="AW21" s="826"/>
      <c r="AX21" s="843"/>
      <c r="AY21" s="843"/>
      <c r="AZ21" s="12"/>
      <c r="BA21" s="12"/>
      <c r="BB21" s="839"/>
      <c r="BC21" s="12"/>
      <c r="BD21" s="12" t="s">
        <v>2343</v>
      </c>
      <c r="BE21" s="839"/>
      <c r="BF21" s="12"/>
      <c r="BG21" s="12"/>
      <c r="BH21" s="227"/>
      <c r="BI21" s="227"/>
      <c r="BJ21" s="839"/>
      <c r="BK21" s="228"/>
      <c r="BL21" s="228"/>
    </row>
    <row r="22" spans="1:64" ht="6.75" customHeight="1">
      <c r="A22" s="2"/>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1:64" ht="15" customHeight="1">
      <c r="A23" s="317"/>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1:64" s="22" customFormat="1" ht="19.5" customHeight="1">
      <c r="A24" s="10"/>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4" t="s">
        <v>172</v>
      </c>
      <c r="AS24" s="2804"/>
      <c r="AT24" s="2804"/>
      <c r="AU24" s="2804"/>
      <c r="AV24" s="2804"/>
      <c r="AW24" s="2804"/>
      <c r="AX24" s="65"/>
      <c r="AY24" s="65"/>
      <c r="AZ24" s="68"/>
      <c r="BA24" s="68"/>
      <c r="BB24" s="92"/>
      <c r="BC24" s="68"/>
      <c r="BD24" s="68"/>
      <c r="BE24" s="92"/>
      <c r="BF24" s="68"/>
      <c r="BG24" s="68"/>
      <c r="BH24" s="230"/>
      <c r="BI24" s="230"/>
      <c r="BJ24" s="92"/>
      <c r="BK24" s="210"/>
      <c r="BL24" s="210"/>
    </row>
    <row r="25" spans="1:64" s="22" customFormat="1" ht="25.5" customHeight="1">
      <c r="A25" s="11"/>
      <c r="B25" s="2794" t="s">
        <v>193</v>
      </c>
      <c r="C25" s="2795"/>
      <c r="D25" s="2795"/>
      <c r="E25" s="2795"/>
      <c r="F25" s="2795"/>
      <c r="G25" s="2795"/>
      <c r="H25" s="2796"/>
      <c r="I25" s="2794" t="s">
        <v>1303</v>
      </c>
      <c r="J25" s="2795"/>
      <c r="K25" s="2795"/>
      <c r="L25" s="2795"/>
      <c r="M25" s="2795"/>
      <c r="N25" s="2795"/>
      <c r="O25" s="2795"/>
      <c r="P25" s="2795"/>
      <c r="Q25" s="2795"/>
      <c r="R25" s="2795"/>
      <c r="S25" s="2795"/>
      <c r="T25" s="2795"/>
      <c r="U25" s="2796"/>
      <c r="V25" s="2794" t="s">
        <v>339</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68"/>
      <c r="BA25" s="68"/>
      <c r="BB25" s="92"/>
      <c r="BC25" s="68"/>
      <c r="BD25" s="68"/>
      <c r="BE25" s="92"/>
      <c r="BF25" s="68"/>
      <c r="BG25" s="68"/>
      <c r="BH25" s="230"/>
      <c r="BI25" s="230"/>
      <c r="BJ25" s="92"/>
      <c r="BK25" s="210"/>
      <c r="BL25" s="210"/>
    </row>
    <row r="26" spans="1:64" s="22" customFormat="1" ht="25.5" customHeight="1">
      <c r="A26" s="11"/>
      <c r="B26" s="2794" t="s">
        <v>189</v>
      </c>
      <c r="C26" s="2795"/>
      <c r="D26" s="2795"/>
      <c r="E26" s="2795"/>
      <c r="F26" s="2795"/>
      <c r="G26" s="2795"/>
      <c r="H26" s="2796"/>
      <c r="I26" s="2794" t="s">
        <v>1287</v>
      </c>
      <c r="J26" s="2795"/>
      <c r="K26" s="2795"/>
      <c r="L26" s="2795"/>
      <c r="M26" s="2795"/>
      <c r="N26" s="2795"/>
      <c r="O26" s="2795"/>
      <c r="P26" s="2795"/>
      <c r="Q26" s="2795"/>
      <c r="R26" s="2795"/>
      <c r="S26" s="2795"/>
      <c r="T26" s="2795"/>
      <c r="U26" s="2796"/>
      <c r="V26" s="2794" t="s">
        <v>944</v>
      </c>
      <c r="W26" s="2795"/>
      <c r="X26" s="2795"/>
      <c r="Y26" s="2795"/>
      <c r="Z26" s="2795"/>
      <c r="AA26" s="2795"/>
      <c r="AB26" s="2795"/>
      <c r="AC26" s="2795"/>
      <c r="AD26" s="2795"/>
      <c r="AE26" s="2795"/>
      <c r="AF26" s="2795"/>
      <c r="AG26" s="2795"/>
      <c r="AH26" s="2795"/>
      <c r="AI26" s="2795"/>
      <c r="AJ26" s="2795"/>
      <c r="AK26" s="2795"/>
      <c r="AL26" s="2795"/>
      <c r="AM26" s="2795"/>
      <c r="AN26" s="2795"/>
      <c r="AO26" s="2795"/>
      <c r="AP26" s="2796"/>
      <c r="AQ26" s="12"/>
      <c r="AR26" s="2800"/>
      <c r="AS26" s="2800"/>
      <c r="AT26" s="2800"/>
      <c r="AU26" s="2800"/>
      <c r="AV26" s="2800"/>
      <c r="AW26" s="2800"/>
      <c r="AX26" s="65"/>
      <c r="AY26" s="65"/>
      <c r="AZ26" s="68"/>
      <c r="BA26" s="68"/>
      <c r="BB26" s="92"/>
      <c r="BC26" s="68"/>
      <c r="BD26" s="68"/>
      <c r="BE26" s="92"/>
      <c r="BF26" s="68"/>
      <c r="BG26" s="68"/>
      <c r="BH26" s="230"/>
      <c r="BI26" s="230"/>
      <c r="BJ26" s="92"/>
      <c r="BK26" s="210"/>
      <c r="BL26" s="210"/>
    </row>
    <row r="27" spans="1:64" ht="25.5" customHeight="1">
      <c r="A27" s="11"/>
      <c r="B27" s="2794"/>
      <c r="C27" s="2795"/>
      <c r="D27" s="2795"/>
      <c r="E27" s="2795"/>
      <c r="F27" s="2795"/>
      <c r="G27" s="2795"/>
      <c r="H27" s="2796"/>
      <c r="I27" s="2794"/>
      <c r="J27" s="2795"/>
      <c r="K27" s="2795"/>
      <c r="L27" s="2795"/>
      <c r="M27" s="2795"/>
      <c r="N27" s="2795"/>
      <c r="O27" s="2795"/>
      <c r="P27" s="2795"/>
      <c r="Q27" s="2795"/>
      <c r="R27" s="2795"/>
      <c r="S27" s="2795"/>
      <c r="T27" s="2795"/>
      <c r="U27" s="2796"/>
      <c r="V27" s="2794"/>
      <c r="W27" s="2795"/>
      <c r="X27" s="2795"/>
      <c r="Y27" s="2795"/>
      <c r="Z27" s="2795"/>
      <c r="AA27" s="2795"/>
      <c r="AB27" s="2795"/>
      <c r="AC27" s="2795"/>
      <c r="AD27" s="2795"/>
      <c r="AE27" s="2795"/>
      <c r="AF27" s="2795"/>
      <c r="AG27" s="2795"/>
      <c r="AH27" s="2795"/>
      <c r="AI27" s="2795"/>
      <c r="AJ27" s="2795"/>
      <c r="AK27" s="2795"/>
      <c r="AL27" s="2795"/>
      <c r="AM27" s="2795"/>
      <c r="AN27" s="2795"/>
      <c r="AO27" s="2795"/>
      <c r="AP27" s="2796"/>
      <c r="AQ27" s="12"/>
      <c r="AR27" s="2800"/>
      <c r="AS27" s="2800"/>
      <c r="AT27" s="2800"/>
      <c r="AU27" s="2800"/>
      <c r="AV27" s="2800"/>
      <c r="AW27" s="2800"/>
      <c r="AX27" s="65"/>
      <c r="AY27" s="65"/>
      <c r="AZ27" s="68"/>
      <c r="BA27" s="68"/>
      <c r="BB27" s="92"/>
      <c r="BC27" s="68"/>
      <c r="BD27" s="68"/>
      <c r="BE27" s="92"/>
      <c r="BF27" s="68"/>
      <c r="BG27" s="68"/>
      <c r="BH27" s="230"/>
      <c r="BI27" s="230"/>
      <c r="BJ27" s="92"/>
    </row>
    <row r="28" spans="1:64">
      <c r="A28" s="13"/>
      <c r="B28" s="2794"/>
      <c r="C28" s="2795"/>
      <c r="D28" s="2795"/>
      <c r="E28" s="2795"/>
      <c r="F28" s="2795"/>
      <c r="G28" s="2795"/>
      <c r="H28" s="2796"/>
      <c r="I28" s="2794"/>
      <c r="J28" s="2795"/>
      <c r="K28" s="2795"/>
      <c r="L28" s="2795"/>
      <c r="M28" s="2795"/>
      <c r="N28" s="2795"/>
      <c r="O28" s="2795"/>
      <c r="P28" s="2795"/>
      <c r="Q28" s="2795"/>
      <c r="R28" s="2795"/>
      <c r="S28" s="2795"/>
      <c r="T28" s="2795"/>
      <c r="U28" s="2796"/>
      <c r="V28" s="2794"/>
      <c r="W28" s="2795"/>
      <c r="X28" s="2795"/>
      <c r="Y28" s="2795"/>
      <c r="Z28" s="2795"/>
      <c r="AA28" s="2795"/>
      <c r="AB28" s="2795"/>
      <c r="AC28" s="2795"/>
      <c r="AD28" s="2795"/>
      <c r="AE28" s="2795"/>
      <c r="AF28" s="2795"/>
      <c r="AG28" s="2795"/>
      <c r="AH28" s="2795"/>
      <c r="AI28" s="2795"/>
      <c r="AJ28" s="2795"/>
      <c r="AK28" s="2795"/>
      <c r="AL28" s="2795"/>
      <c r="AM28" s="2795"/>
      <c r="AN28" s="2795"/>
      <c r="AO28" s="2795"/>
      <c r="AP28" s="2796"/>
      <c r="AQ28" s="12"/>
      <c r="AR28" s="2800"/>
      <c r="AS28" s="2800"/>
      <c r="AT28" s="2800"/>
      <c r="AU28" s="2800"/>
      <c r="AV28" s="2800"/>
      <c r="AW28" s="2800"/>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2">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2">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2">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2">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2">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2">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2">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2">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2">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2">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2">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2">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2">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1:62">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c r="AZ94" s="68"/>
      <c r="BA94" s="68"/>
      <c r="BB94" s="92"/>
      <c r="BC94" s="68"/>
      <c r="BD94" s="68"/>
      <c r="BE94" s="92"/>
      <c r="BF94" s="68"/>
      <c r="BG94" s="68"/>
      <c r="BH94" s="230"/>
      <c r="BI94" s="230"/>
      <c r="BJ94" s="92"/>
    </row>
    <row r="95" spans="1:62">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2">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1:64">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ht="11.25">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1:64" ht="11.25">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c r="AZ105" s="231"/>
      <c r="BA105" s="231"/>
      <c r="BB105" s="231"/>
      <c r="BC105" s="231"/>
      <c r="BD105" s="231"/>
      <c r="BE105" s="231"/>
      <c r="BF105" s="231"/>
      <c r="BG105" s="231"/>
      <c r="BH105" s="231"/>
      <c r="BI105" s="231"/>
      <c r="BJ105" s="231"/>
      <c r="BK105" s="231"/>
      <c r="BL105" s="231"/>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1:49">
      <c r="A119" s="13"/>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row r="120" spans="1:49">
      <c r="A120" s="13"/>
      <c r="B120" s="13"/>
      <c r="C120" s="13"/>
      <c r="D120" s="13"/>
      <c r="E120" s="14"/>
      <c r="F120" s="13"/>
      <c r="G120" s="13"/>
      <c r="H120" s="13"/>
      <c r="I120" s="13"/>
      <c r="J120" s="13"/>
      <c r="K120" s="13"/>
      <c r="L120" s="15"/>
      <c r="M120" s="15"/>
      <c r="N120" s="15"/>
      <c r="O120" s="15"/>
      <c r="P120" s="15"/>
      <c r="Q120" s="15"/>
      <c r="R120" s="15"/>
      <c r="S120" s="15"/>
      <c r="T120" s="15"/>
      <c r="U120" s="15"/>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5"/>
      <c r="AW120" s="15"/>
    </row>
  </sheetData>
  <sheetProtection formatCells="0" formatColumns="0" formatRows="0" insertRows="0" deleteRows="0" sort="0" autoFilter="0" pivotTables="0"/>
  <mergeCells count="100">
    <mergeCell ref="B1:AU1"/>
    <mergeCell ref="AV1:AX4"/>
    <mergeCell ref="BB1:BE1"/>
    <mergeCell ref="B2:AU2"/>
    <mergeCell ref="BB2:BC2"/>
    <mergeCell ref="BD2:BE2"/>
    <mergeCell ref="B3:D3"/>
    <mergeCell ref="E3:Z3"/>
    <mergeCell ref="AA3:AU3"/>
    <mergeCell ref="BB3:BC3"/>
    <mergeCell ref="AA6:AX6"/>
    <mergeCell ref="BD3:BE3"/>
    <mergeCell ref="B4:D4"/>
    <mergeCell ref="E4:Z4"/>
    <mergeCell ref="AA4:AU4"/>
    <mergeCell ref="BB4:BC4"/>
    <mergeCell ref="BD4:BE4"/>
    <mergeCell ref="B6:C6"/>
    <mergeCell ref="D6:H6"/>
    <mergeCell ref="I6:K6"/>
    <mergeCell ref="L6:U6"/>
    <mergeCell ref="V6:Z6"/>
    <mergeCell ref="BF7:BJ7"/>
    <mergeCell ref="B8:K8"/>
    <mergeCell ref="L8:R8"/>
    <mergeCell ref="S8:AV8"/>
    <mergeCell ref="AW8:AZ8"/>
    <mergeCell ref="BF8:BJ8"/>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B13:D13"/>
    <mergeCell ref="F13:H13"/>
    <mergeCell ref="I13:K13"/>
    <mergeCell ref="S13:U13"/>
    <mergeCell ref="B14:D14"/>
    <mergeCell ref="F14:H14"/>
    <mergeCell ref="I14:K14"/>
    <mergeCell ref="S14:U14"/>
    <mergeCell ref="B15:D15"/>
    <mergeCell ref="F15:H15"/>
    <mergeCell ref="I15:K15"/>
    <mergeCell ref="S15:U15"/>
    <mergeCell ref="B16:D16"/>
    <mergeCell ref="F16:H16"/>
    <mergeCell ref="I16:K16"/>
    <mergeCell ref="B17:D17"/>
    <mergeCell ref="F17:H17"/>
    <mergeCell ref="I17:K17"/>
    <mergeCell ref="S17:U17"/>
    <mergeCell ref="B18:D18"/>
    <mergeCell ref="F18:H18"/>
    <mergeCell ref="I18:K18"/>
    <mergeCell ref="S18:U18"/>
    <mergeCell ref="B19:D19"/>
    <mergeCell ref="F19:H19"/>
    <mergeCell ref="I19:K19"/>
    <mergeCell ref="S19:U19"/>
    <mergeCell ref="B20:D20"/>
    <mergeCell ref="F20:H20"/>
    <mergeCell ref="I20:K20"/>
    <mergeCell ref="S20:U20"/>
    <mergeCell ref="B21:D21"/>
    <mergeCell ref="F21:H21"/>
    <mergeCell ref="I21:K21"/>
    <mergeCell ref="S21:U21"/>
    <mergeCell ref="B23:U23"/>
    <mergeCell ref="V24:AP24"/>
    <mergeCell ref="AR24:AW24"/>
    <mergeCell ref="B25:H25"/>
    <mergeCell ref="I25:U25"/>
    <mergeCell ref="V25:AP25"/>
    <mergeCell ref="AR25:AW25"/>
    <mergeCell ref="B24:H24"/>
    <mergeCell ref="I24:U24"/>
    <mergeCell ref="B28:H28"/>
    <mergeCell ref="I28:U28"/>
    <mergeCell ref="V28:AP28"/>
    <mergeCell ref="AR28:AW28"/>
    <mergeCell ref="B26:H26"/>
    <mergeCell ref="I26:U26"/>
    <mergeCell ref="V26:AP26"/>
    <mergeCell ref="AR26:AW26"/>
    <mergeCell ref="B27:H27"/>
    <mergeCell ref="I27:U27"/>
    <mergeCell ref="V27:AP27"/>
    <mergeCell ref="AR27:AW27"/>
  </mergeCells>
  <dataValidations count="8">
    <dataValidation type="list" allowBlank="1" showInputMessage="1" showErrorMessage="1" sqref="BE10:BE21 LA10:LA21 UW10:UW21 AES10:AES21 AOO10:AOO21 AYK10:AYK21 BIG10:BIG21 BSC10:BSC21 CBY10:CBY21 CLU10:CLU21 CVQ10:CVQ21 DFM10:DFM21 DPI10:DPI21 DZE10:DZE21 EJA10:EJA21 ESW10:ESW21 FCS10:FCS21 FMO10:FMO21 FWK10:FWK21 GGG10:GGG21 GQC10:GQC21 GZY10:GZY21 HJU10:HJU21 HTQ10:HTQ21 IDM10:IDM21 INI10:INI21 IXE10:IXE21 JHA10:JHA21 JQW10:JQW21 KAS10:KAS21 KKO10:KKO21 KUK10:KUK21 LEG10:LEG21 LOC10:LOC21 LXY10:LXY21 MHU10:MHU21 MRQ10:MRQ21 NBM10:NBM21 NLI10:NLI21 NVE10:NVE21 OFA10:OFA21 OOW10:OOW21 OYS10:OYS21 PIO10:PIO21 PSK10:PSK21 QCG10:QCG21 QMC10:QMC21 QVY10:QVY21 RFU10:RFU21 RPQ10:RPQ21 RZM10:RZM21 SJI10:SJI21 STE10:STE21 TDA10:TDA21 TMW10:TMW21 TWS10:TWS21 UGO10:UGO21 UQK10:UQK21 VAG10:VAG21 VKC10:VKC21 VTY10:VTY21 WDU10:WDU21 WNQ10:WNQ21 WXM10:WXM21 BE65546:BE65557 LA65546:LA65557 UW65546:UW65557 AES65546:AES65557 AOO65546:AOO65557 AYK65546:AYK65557 BIG65546:BIG65557 BSC65546:BSC65557 CBY65546:CBY65557 CLU65546:CLU65557 CVQ65546:CVQ65557 DFM65546:DFM65557 DPI65546:DPI65557 DZE65546:DZE65557 EJA65546:EJA65557 ESW65546:ESW65557 FCS65546:FCS65557 FMO65546:FMO65557 FWK65546:FWK65557 GGG65546:GGG65557 GQC65546:GQC65557 GZY65546:GZY65557 HJU65546:HJU65557 HTQ65546:HTQ65557 IDM65546:IDM65557 INI65546:INI65557 IXE65546:IXE65557 JHA65546:JHA65557 JQW65546:JQW65557 KAS65546:KAS65557 KKO65546:KKO65557 KUK65546:KUK65557 LEG65546:LEG65557 LOC65546:LOC65557 LXY65546:LXY65557 MHU65546:MHU65557 MRQ65546:MRQ65557 NBM65546:NBM65557 NLI65546:NLI65557 NVE65546:NVE65557 OFA65546:OFA65557 OOW65546:OOW65557 OYS65546:OYS65557 PIO65546:PIO65557 PSK65546:PSK65557 QCG65546:QCG65557 QMC65546:QMC65557 QVY65546:QVY65557 RFU65546:RFU65557 RPQ65546:RPQ65557 RZM65546:RZM65557 SJI65546:SJI65557 STE65546:STE65557 TDA65546:TDA65557 TMW65546:TMW65557 TWS65546:TWS65557 UGO65546:UGO65557 UQK65546:UQK65557 VAG65546:VAG65557 VKC65546:VKC65557 VTY65546:VTY65557 WDU65546:WDU65557 WNQ65546:WNQ65557 WXM65546:WXM65557 BE131082:BE131093 LA131082:LA131093 UW131082:UW131093 AES131082:AES131093 AOO131082:AOO131093 AYK131082:AYK131093 BIG131082:BIG131093 BSC131082:BSC131093 CBY131082:CBY131093 CLU131082:CLU131093 CVQ131082:CVQ131093 DFM131082:DFM131093 DPI131082:DPI131093 DZE131082:DZE131093 EJA131082:EJA131093 ESW131082:ESW131093 FCS131082:FCS131093 FMO131082:FMO131093 FWK131082:FWK131093 GGG131082:GGG131093 GQC131082:GQC131093 GZY131082:GZY131093 HJU131082:HJU131093 HTQ131082:HTQ131093 IDM131082:IDM131093 INI131082:INI131093 IXE131082:IXE131093 JHA131082:JHA131093 JQW131082:JQW131093 KAS131082:KAS131093 KKO131082:KKO131093 KUK131082:KUK131093 LEG131082:LEG131093 LOC131082:LOC131093 LXY131082:LXY131093 MHU131082:MHU131093 MRQ131082:MRQ131093 NBM131082:NBM131093 NLI131082:NLI131093 NVE131082:NVE131093 OFA131082:OFA131093 OOW131082:OOW131093 OYS131082:OYS131093 PIO131082:PIO131093 PSK131082:PSK131093 QCG131082:QCG131093 QMC131082:QMC131093 QVY131082:QVY131093 RFU131082:RFU131093 RPQ131082:RPQ131093 RZM131082:RZM131093 SJI131082:SJI131093 STE131082:STE131093 TDA131082:TDA131093 TMW131082:TMW131093 TWS131082:TWS131093 UGO131082:UGO131093 UQK131082:UQK131093 VAG131082:VAG131093 VKC131082:VKC131093 VTY131082:VTY131093 WDU131082:WDU131093 WNQ131082:WNQ131093 WXM131082:WXM131093 BE196618:BE196629 LA196618:LA196629 UW196618:UW196629 AES196618:AES196629 AOO196618:AOO196629 AYK196618:AYK196629 BIG196618:BIG196629 BSC196618:BSC196629 CBY196618:CBY196629 CLU196618:CLU196629 CVQ196618:CVQ196629 DFM196618:DFM196629 DPI196618:DPI196629 DZE196618:DZE196629 EJA196618:EJA196629 ESW196618:ESW196629 FCS196618:FCS196629 FMO196618:FMO196629 FWK196618:FWK196629 GGG196618:GGG196629 GQC196618:GQC196629 GZY196618:GZY196629 HJU196618:HJU196629 HTQ196618:HTQ196629 IDM196618:IDM196629 INI196618:INI196629 IXE196618:IXE196629 JHA196618:JHA196629 JQW196618:JQW196629 KAS196618:KAS196629 KKO196618:KKO196629 KUK196618:KUK196629 LEG196618:LEG196629 LOC196618:LOC196629 LXY196618:LXY196629 MHU196618:MHU196629 MRQ196618:MRQ196629 NBM196618:NBM196629 NLI196618:NLI196629 NVE196618:NVE196629 OFA196618:OFA196629 OOW196618:OOW196629 OYS196618:OYS196629 PIO196618:PIO196629 PSK196618:PSK196629 QCG196618:QCG196629 QMC196618:QMC196629 QVY196618:QVY196629 RFU196618:RFU196629 RPQ196618:RPQ196629 RZM196618:RZM196629 SJI196618:SJI196629 STE196618:STE196629 TDA196618:TDA196629 TMW196618:TMW196629 TWS196618:TWS196629 UGO196618:UGO196629 UQK196618:UQK196629 VAG196618:VAG196629 VKC196618:VKC196629 VTY196618:VTY196629 WDU196618:WDU196629 WNQ196618:WNQ196629 WXM196618:WXM196629 BE262154:BE262165 LA262154:LA262165 UW262154:UW262165 AES262154:AES262165 AOO262154:AOO262165 AYK262154:AYK262165 BIG262154:BIG262165 BSC262154:BSC262165 CBY262154:CBY262165 CLU262154:CLU262165 CVQ262154:CVQ262165 DFM262154:DFM262165 DPI262154:DPI262165 DZE262154:DZE262165 EJA262154:EJA262165 ESW262154:ESW262165 FCS262154:FCS262165 FMO262154:FMO262165 FWK262154:FWK262165 GGG262154:GGG262165 GQC262154:GQC262165 GZY262154:GZY262165 HJU262154:HJU262165 HTQ262154:HTQ262165 IDM262154:IDM262165 INI262154:INI262165 IXE262154:IXE262165 JHA262154:JHA262165 JQW262154:JQW262165 KAS262154:KAS262165 KKO262154:KKO262165 KUK262154:KUK262165 LEG262154:LEG262165 LOC262154:LOC262165 LXY262154:LXY262165 MHU262154:MHU262165 MRQ262154:MRQ262165 NBM262154:NBM262165 NLI262154:NLI262165 NVE262154:NVE262165 OFA262154:OFA262165 OOW262154:OOW262165 OYS262154:OYS262165 PIO262154:PIO262165 PSK262154:PSK262165 QCG262154:QCG262165 QMC262154:QMC262165 QVY262154:QVY262165 RFU262154:RFU262165 RPQ262154:RPQ262165 RZM262154:RZM262165 SJI262154:SJI262165 STE262154:STE262165 TDA262154:TDA262165 TMW262154:TMW262165 TWS262154:TWS262165 UGO262154:UGO262165 UQK262154:UQK262165 VAG262154:VAG262165 VKC262154:VKC262165 VTY262154:VTY262165 WDU262154:WDU262165 WNQ262154:WNQ262165 WXM262154:WXM262165 BE327690:BE327701 LA327690:LA327701 UW327690:UW327701 AES327690:AES327701 AOO327690:AOO327701 AYK327690:AYK327701 BIG327690:BIG327701 BSC327690:BSC327701 CBY327690:CBY327701 CLU327690:CLU327701 CVQ327690:CVQ327701 DFM327690:DFM327701 DPI327690:DPI327701 DZE327690:DZE327701 EJA327690:EJA327701 ESW327690:ESW327701 FCS327690:FCS327701 FMO327690:FMO327701 FWK327690:FWK327701 GGG327690:GGG327701 GQC327690:GQC327701 GZY327690:GZY327701 HJU327690:HJU327701 HTQ327690:HTQ327701 IDM327690:IDM327701 INI327690:INI327701 IXE327690:IXE327701 JHA327690:JHA327701 JQW327690:JQW327701 KAS327690:KAS327701 KKO327690:KKO327701 KUK327690:KUK327701 LEG327690:LEG327701 LOC327690:LOC327701 LXY327690:LXY327701 MHU327690:MHU327701 MRQ327690:MRQ327701 NBM327690:NBM327701 NLI327690:NLI327701 NVE327690:NVE327701 OFA327690:OFA327701 OOW327690:OOW327701 OYS327690:OYS327701 PIO327690:PIO327701 PSK327690:PSK327701 QCG327690:QCG327701 QMC327690:QMC327701 QVY327690:QVY327701 RFU327690:RFU327701 RPQ327690:RPQ327701 RZM327690:RZM327701 SJI327690:SJI327701 STE327690:STE327701 TDA327690:TDA327701 TMW327690:TMW327701 TWS327690:TWS327701 UGO327690:UGO327701 UQK327690:UQK327701 VAG327690:VAG327701 VKC327690:VKC327701 VTY327690:VTY327701 WDU327690:WDU327701 WNQ327690:WNQ327701 WXM327690:WXM327701 BE393226:BE393237 LA393226:LA393237 UW393226:UW393237 AES393226:AES393237 AOO393226:AOO393237 AYK393226:AYK393237 BIG393226:BIG393237 BSC393226:BSC393237 CBY393226:CBY393237 CLU393226:CLU393237 CVQ393226:CVQ393237 DFM393226:DFM393237 DPI393226:DPI393237 DZE393226:DZE393237 EJA393226:EJA393237 ESW393226:ESW393237 FCS393226:FCS393237 FMO393226:FMO393237 FWK393226:FWK393237 GGG393226:GGG393237 GQC393226:GQC393237 GZY393226:GZY393237 HJU393226:HJU393237 HTQ393226:HTQ393237 IDM393226:IDM393237 INI393226:INI393237 IXE393226:IXE393237 JHA393226:JHA393237 JQW393226:JQW393237 KAS393226:KAS393237 KKO393226:KKO393237 KUK393226:KUK393237 LEG393226:LEG393237 LOC393226:LOC393237 LXY393226:LXY393237 MHU393226:MHU393237 MRQ393226:MRQ393237 NBM393226:NBM393237 NLI393226:NLI393237 NVE393226:NVE393237 OFA393226:OFA393237 OOW393226:OOW393237 OYS393226:OYS393237 PIO393226:PIO393237 PSK393226:PSK393237 QCG393226:QCG393237 QMC393226:QMC393237 QVY393226:QVY393237 RFU393226:RFU393237 RPQ393226:RPQ393237 RZM393226:RZM393237 SJI393226:SJI393237 STE393226:STE393237 TDA393226:TDA393237 TMW393226:TMW393237 TWS393226:TWS393237 UGO393226:UGO393237 UQK393226:UQK393237 VAG393226:VAG393237 VKC393226:VKC393237 VTY393226:VTY393237 WDU393226:WDU393237 WNQ393226:WNQ393237 WXM393226:WXM393237 BE458762:BE458773 LA458762:LA458773 UW458762:UW458773 AES458762:AES458773 AOO458762:AOO458773 AYK458762:AYK458773 BIG458762:BIG458773 BSC458762:BSC458773 CBY458762:CBY458773 CLU458762:CLU458773 CVQ458762:CVQ458773 DFM458762:DFM458773 DPI458762:DPI458773 DZE458762:DZE458773 EJA458762:EJA458773 ESW458762:ESW458773 FCS458762:FCS458773 FMO458762:FMO458773 FWK458762:FWK458773 GGG458762:GGG458773 GQC458762:GQC458773 GZY458762:GZY458773 HJU458762:HJU458773 HTQ458762:HTQ458773 IDM458762:IDM458773 INI458762:INI458773 IXE458762:IXE458773 JHA458762:JHA458773 JQW458762:JQW458773 KAS458762:KAS458773 KKO458762:KKO458773 KUK458762:KUK458773 LEG458762:LEG458773 LOC458762:LOC458773 LXY458762:LXY458773 MHU458762:MHU458773 MRQ458762:MRQ458773 NBM458762:NBM458773 NLI458762:NLI458773 NVE458762:NVE458773 OFA458762:OFA458773 OOW458762:OOW458773 OYS458762:OYS458773 PIO458762:PIO458773 PSK458762:PSK458773 QCG458762:QCG458773 QMC458762:QMC458773 QVY458762:QVY458773 RFU458762:RFU458773 RPQ458762:RPQ458773 RZM458762:RZM458773 SJI458762:SJI458773 STE458762:STE458773 TDA458762:TDA458773 TMW458762:TMW458773 TWS458762:TWS458773 UGO458762:UGO458773 UQK458762:UQK458773 VAG458762:VAG458773 VKC458762:VKC458773 VTY458762:VTY458773 WDU458762:WDU458773 WNQ458762:WNQ458773 WXM458762:WXM458773 BE524298:BE524309 LA524298:LA524309 UW524298:UW524309 AES524298:AES524309 AOO524298:AOO524309 AYK524298:AYK524309 BIG524298:BIG524309 BSC524298:BSC524309 CBY524298:CBY524309 CLU524298:CLU524309 CVQ524298:CVQ524309 DFM524298:DFM524309 DPI524298:DPI524309 DZE524298:DZE524309 EJA524298:EJA524309 ESW524298:ESW524309 FCS524298:FCS524309 FMO524298:FMO524309 FWK524298:FWK524309 GGG524298:GGG524309 GQC524298:GQC524309 GZY524298:GZY524309 HJU524298:HJU524309 HTQ524298:HTQ524309 IDM524298:IDM524309 INI524298:INI524309 IXE524298:IXE524309 JHA524298:JHA524309 JQW524298:JQW524309 KAS524298:KAS524309 KKO524298:KKO524309 KUK524298:KUK524309 LEG524298:LEG524309 LOC524298:LOC524309 LXY524298:LXY524309 MHU524298:MHU524309 MRQ524298:MRQ524309 NBM524298:NBM524309 NLI524298:NLI524309 NVE524298:NVE524309 OFA524298:OFA524309 OOW524298:OOW524309 OYS524298:OYS524309 PIO524298:PIO524309 PSK524298:PSK524309 QCG524298:QCG524309 QMC524298:QMC524309 QVY524298:QVY524309 RFU524298:RFU524309 RPQ524298:RPQ524309 RZM524298:RZM524309 SJI524298:SJI524309 STE524298:STE524309 TDA524298:TDA524309 TMW524298:TMW524309 TWS524298:TWS524309 UGO524298:UGO524309 UQK524298:UQK524309 VAG524298:VAG524309 VKC524298:VKC524309 VTY524298:VTY524309 WDU524298:WDU524309 WNQ524298:WNQ524309 WXM524298:WXM524309 BE589834:BE589845 LA589834:LA589845 UW589834:UW589845 AES589834:AES589845 AOO589834:AOO589845 AYK589834:AYK589845 BIG589834:BIG589845 BSC589834:BSC589845 CBY589834:CBY589845 CLU589834:CLU589845 CVQ589834:CVQ589845 DFM589834:DFM589845 DPI589834:DPI589845 DZE589834:DZE589845 EJA589834:EJA589845 ESW589834:ESW589845 FCS589834:FCS589845 FMO589834:FMO589845 FWK589834:FWK589845 GGG589834:GGG589845 GQC589834:GQC589845 GZY589834:GZY589845 HJU589834:HJU589845 HTQ589834:HTQ589845 IDM589834:IDM589845 INI589834:INI589845 IXE589834:IXE589845 JHA589834:JHA589845 JQW589834:JQW589845 KAS589834:KAS589845 KKO589834:KKO589845 KUK589834:KUK589845 LEG589834:LEG589845 LOC589834:LOC589845 LXY589834:LXY589845 MHU589834:MHU589845 MRQ589834:MRQ589845 NBM589834:NBM589845 NLI589834:NLI589845 NVE589834:NVE589845 OFA589834:OFA589845 OOW589834:OOW589845 OYS589834:OYS589845 PIO589834:PIO589845 PSK589834:PSK589845 QCG589834:QCG589845 QMC589834:QMC589845 QVY589834:QVY589845 RFU589834:RFU589845 RPQ589834:RPQ589845 RZM589834:RZM589845 SJI589834:SJI589845 STE589834:STE589845 TDA589834:TDA589845 TMW589834:TMW589845 TWS589834:TWS589845 UGO589834:UGO589845 UQK589834:UQK589845 VAG589834:VAG589845 VKC589834:VKC589845 VTY589834:VTY589845 WDU589834:WDU589845 WNQ589834:WNQ589845 WXM589834:WXM589845 BE655370:BE655381 LA655370:LA655381 UW655370:UW655381 AES655370:AES655381 AOO655370:AOO655381 AYK655370:AYK655381 BIG655370:BIG655381 BSC655370:BSC655381 CBY655370:CBY655381 CLU655370:CLU655381 CVQ655370:CVQ655381 DFM655370:DFM655381 DPI655370:DPI655381 DZE655370:DZE655381 EJA655370:EJA655381 ESW655370:ESW655381 FCS655370:FCS655381 FMO655370:FMO655381 FWK655370:FWK655381 GGG655370:GGG655381 GQC655370:GQC655381 GZY655370:GZY655381 HJU655370:HJU655381 HTQ655370:HTQ655381 IDM655370:IDM655381 INI655370:INI655381 IXE655370:IXE655381 JHA655370:JHA655381 JQW655370:JQW655381 KAS655370:KAS655381 KKO655370:KKO655381 KUK655370:KUK655381 LEG655370:LEG655381 LOC655370:LOC655381 LXY655370:LXY655381 MHU655370:MHU655381 MRQ655370:MRQ655381 NBM655370:NBM655381 NLI655370:NLI655381 NVE655370:NVE655381 OFA655370:OFA655381 OOW655370:OOW655381 OYS655370:OYS655381 PIO655370:PIO655381 PSK655370:PSK655381 QCG655370:QCG655381 QMC655370:QMC655381 QVY655370:QVY655381 RFU655370:RFU655381 RPQ655370:RPQ655381 RZM655370:RZM655381 SJI655370:SJI655381 STE655370:STE655381 TDA655370:TDA655381 TMW655370:TMW655381 TWS655370:TWS655381 UGO655370:UGO655381 UQK655370:UQK655381 VAG655370:VAG655381 VKC655370:VKC655381 VTY655370:VTY655381 WDU655370:WDU655381 WNQ655370:WNQ655381 WXM655370:WXM655381 BE720906:BE720917 LA720906:LA720917 UW720906:UW720917 AES720906:AES720917 AOO720906:AOO720917 AYK720906:AYK720917 BIG720906:BIG720917 BSC720906:BSC720917 CBY720906:CBY720917 CLU720906:CLU720917 CVQ720906:CVQ720917 DFM720906:DFM720917 DPI720906:DPI720917 DZE720906:DZE720917 EJA720906:EJA720917 ESW720906:ESW720917 FCS720906:FCS720917 FMO720906:FMO720917 FWK720906:FWK720917 GGG720906:GGG720917 GQC720906:GQC720917 GZY720906:GZY720917 HJU720906:HJU720917 HTQ720906:HTQ720917 IDM720906:IDM720917 INI720906:INI720917 IXE720906:IXE720917 JHA720906:JHA720917 JQW720906:JQW720917 KAS720906:KAS720917 KKO720906:KKO720917 KUK720906:KUK720917 LEG720906:LEG720917 LOC720906:LOC720917 LXY720906:LXY720917 MHU720906:MHU720917 MRQ720906:MRQ720917 NBM720906:NBM720917 NLI720906:NLI720917 NVE720906:NVE720917 OFA720906:OFA720917 OOW720906:OOW720917 OYS720906:OYS720917 PIO720906:PIO720917 PSK720906:PSK720917 QCG720906:QCG720917 QMC720906:QMC720917 QVY720906:QVY720917 RFU720906:RFU720917 RPQ720906:RPQ720917 RZM720906:RZM720917 SJI720906:SJI720917 STE720906:STE720917 TDA720906:TDA720917 TMW720906:TMW720917 TWS720906:TWS720917 UGO720906:UGO720917 UQK720906:UQK720917 VAG720906:VAG720917 VKC720906:VKC720917 VTY720906:VTY720917 WDU720906:WDU720917 WNQ720906:WNQ720917 WXM720906:WXM720917 BE786442:BE786453 LA786442:LA786453 UW786442:UW786453 AES786442:AES786453 AOO786442:AOO786453 AYK786442:AYK786453 BIG786442:BIG786453 BSC786442:BSC786453 CBY786442:CBY786453 CLU786442:CLU786453 CVQ786442:CVQ786453 DFM786442:DFM786453 DPI786442:DPI786453 DZE786442:DZE786453 EJA786442:EJA786453 ESW786442:ESW786453 FCS786442:FCS786453 FMO786442:FMO786453 FWK786442:FWK786453 GGG786442:GGG786453 GQC786442:GQC786453 GZY786442:GZY786453 HJU786442:HJU786453 HTQ786442:HTQ786453 IDM786442:IDM786453 INI786442:INI786453 IXE786442:IXE786453 JHA786442:JHA786453 JQW786442:JQW786453 KAS786442:KAS786453 KKO786442:KKO786453 KUK786442:KUK786453 LEG786442:LEG786453 LOC786442:LOC786453 LXY786442:LXY786453 MHU786442:MHU786453 MRQ786442:MRQ786453 NBM786442:NBM786453 NLI786442:NLI786453 NVE786442:NVE786453 OFA786442:OFA786453 OOW786442:OOW786453 OYS786442:OYS786453 PIO786442:PIO786453 PSK786442:PSK786453 QCG786442:QCG786453 QMC786442:QMC786453 QVY786442:QVY786453 RFU786442:RFU786453 RPQ786442:RPQ786453 RZM786442:RZM786453 SJI786442:SJI786453 STE786442:STE786453 TDA786442:TDA786453 TMW786442:TMW786453 TWS786442:TWS786453 UGO786442:UGO786453 UQK786442:UQK786453 VAG786442:VAG786453 VKC786442:VKC786453 VTY786442:VTY786453 WDU786442:WDU786453 WNQ786442:WNQ786453 WXM786442:WXM786453 BE851978:BE851989 LA851978:LA851989 UW851978:UW851989 AES851978:AES851989 AOO851978:AOO851989 AYK851978:AYK851989 BIG851978:BIG851989 BSC851978:BSC851989 CBY851978:CBY851989 CLU851978:CLU851989 CVQ851978:CVQ851989 DFM851978:DFM851989 DPI851978:DPI851989 DZE851978:DZE851989 EJA851978:EJA851989 ESW851978:ESW851989 FCS851978:FCS851989 FMO851978:FMO851989 FWK851978:FWK851989 GGG851978:GGG851989 GQC851978:GQC851989 GZY851978:GZY851989 HJU851978:HJU851989 HTQ851978:HTQ851989 IDM851978:IDM851989 INI851978:INI851989 IXE851978:IXE851989 JHA851978:JHA851989 JQW851978:JQW851989 KAS851978:KAS851989 KKO851978:KKO851989 KUK851978:KUK851989 LEG851978:LEG851989 LOC851978:LOC851989 LXY851978:LXY851989 MHU851978:MHU851989 MRQ851978:MRQ851989 NBM851978:NBM851989 NLI851978:NLI851989 NVE851978:NVE851989 OFA851978:OFA851989 OOW851978:OOW851989 OYS851978:OYS851989 PIO851978:PIO851989 PSK851978:PSK851989 QCG851978:QCG851989 QMC851978:QMC851989 QVY851978:QVY851989 RFU851978:RFU851989 RPQ851978:RPQ851989 RZM851978:RZM851989 SJI851978:SJI851989 STE851978:STE851989 TDA851978:TDA851989 TMW851978:TMW851989 TWS851978:TWS851989 UGO851978:UGO851989 UQK851978:UQK851989 VAG851978:VAG851989 VKC851978:VKC851989 VTY851978:VTY851989 WDU851978:WDU851989 WNQ851978:WNQ851989 WXM851978:WXM851989 BE917514:BE917525 LA917514:LA917525 UW917514:UW917525 AES917514:AES917525 AOO917514:AOO917525 AYK917514:AYK917525 BIG917514:BIG917525 BSC917514:BSC917525 CBY917514:CBY917525 CLU917514:CLU917525 CVQ917514:CVQ917525 DFM917514:DFM917525 DPI917514:DPI917525 DZE917514:DZE917525 EJA917514:EJA917525 ESW917514:ESW917525 FCS917514:FCS917525 FMO917514:FMO917525 FWK917514:FWK917525 GGG917514:GGG917525 GQC917514:GQC917525 GZY917514:GZY917525 HJU917514:HJU917525 HTQ917514:HTQ917525 IDM917514:IDM917525 INI917514:INI917525 IXE917514:IXE917525 JHA917514:JHA917525 JQW917514:JQW917525 KAS917514:KAS917525 KKO917514:KKO917525 KUK917514:KUK917525 LEG917514:LEG917525 LOC917514:LOC917525 LXY917514:LXY917525 MHU917514:MHU917525 MRQ917514:MRQ917525 NBM917514:NBM917525 NLI917514:NLI917525 NVE917514:NVE917525 OFA917514:OFA917525 OOW917514:OOW917525 OYS917514:OYS917525 PIO917514:PIO917525 PSK917514:PSK917525 QCG917514:QCG917525 QMC917514:QMC917525 QVY917514:QVY917525 RFU917514:RFU917525 RPQ917514:RPQ917525 RZM917514:RZM917525 SJI917514:SJI917525 STE917514:STE917525 TDA917514:TDA917525 TMW917514:TMW917525 TWS917514:TWS917525 UGO917514:UGO917525 UQK917514:UQK917525 VAG917514:VAG917525 VKC917514:VKC917525 VTY917514:VTY917525 WDU917514:WDU917525 WNQ917514:WNQ917525 WXM917514:WXM917525 BE983050:BE983061 LA983050:LA983061 UW983050:UW983061 AES983050:AES983061 AOO983050:AOO983061 AYK983050:AYK983061 BIG983050:BIG983061 BSC983050:BSC983061 CBY983050:CBY983061 CLU983050:CLU983061 CVQ983050:CVQ983061 DFM983050:DFM983061 DPI983050:DPI983061 DZE983050:DZE983061 EJA983050:EJA983061 ESW983050:ESW983061 FCS983050:FCS983061 FMO983050:FMO983061 FWK983050:FWK983061 GGG983050:GGG983061 GQC983050:GQC983061 GZY983050:GZY983061 HJU983050:HJU983061 HTQ983050:HTQ983061 IDM983050:IDM983061 INI983050:INI983061 IXE983050:IXE983061 JHA983050:JHA983061 JQW983050:JQW983061 KAS983050:KAS983061 KKO983050:KKO983061 KUK983050:KUK983061 LEG983050:LEG983061 LOC983050:LOC983061 LXY983050:LXY983061 MHU983050:MHU983061 MRQ983050:MRQ983061 NBM983050:NBM983061 NLI983050:NLI983061 NVE983050:NVE983061 OFA983050:OFA983061 OOW983050:OOW983061 OYS983050:OYS983061 PIO983050:PIO983061 PSK983050:PSK983061 QCG983050:QCG983061 QMC983050:QMC983061 QVY983050:QVY983061 RFU983050:RFU983061 RPQ983050:RPQ983061 RZM983050:RZM983061 SJI983050:SJI983061 STE983050:STE983061 TDA983050:TDA983061 TMW983050:TMW983061 TWS983050:TWS983061 UGO983050:UGO983061 UQK983050:UQK983061 VAG983050:VAG983061 VKC983050:VKC983061 VTY983050:VTY983061 WDU983050:WDU983061 WNQ983050:WNQ983061 WXM983050:WXM983061">
      <formula1>Efectividad</formula1>
    </dataValidation>
    <dataValidation type="list" allowBlank="1" showInputMessage="1" sqref="AV10:AV21 KR10:KR21 UN10:UN21 AEJ10:AEJ21 AOF10:AOF21 AYB10:AYB21 BHX10:BHX21 BRT10:BRT21 CBP10:CBP21 CLL10:CLL21 CVH10:CVH21 DFD10:DFD21 DOZ10:DOZ21 DYV10:DYV21 EIR10:EIR21 ESN10:ESN21 FCJ10:FCJ21 FMF10:FMF21 FWB10:FWB21 GFX10:GFX21 GPT10:GPT21 GZP10:GZP21 HJL10:HJL21 HTH10:HTH21 IDD10:IDD21 IMZ10:IMZ21 IWV10:IWV21 JGR10:JGR21 JQN10:JQN21 KAJ10:KAJ21 KKF10:KKF21 KUB10:KUB21 LDX10:LDX21 LNT10:LNT21 LXP10:LXP21 MHL10:MHL21 MRH10:MRH21 NBD10:NBD21 NKZ10:NKZ21 NUV10:NUV21 OER10:OER21 OON10:OON21 OYJ10:OYJ21 PIF10:PIF21 PSB10:PSB21 QBX10:QBX21 QLT10:QLT21 QVP10:QVP21 RFL10:RFL21 RPH10:RPH21 RZD10:RZD21 SIZ10:SIZ21 SSV10:SSV21 TCR10:TCR21 TMN10:TMN21 TWJ10:TWJ21 UGF10:UGF21 UQB10:UQB21 UZX10:UZX21 VJT10:VJT21 VTP10:VTP21 WDL10:WDL21 WNH10:WNH21 WXD10:WXD21 AV65546:AV65557 KR65546:KR65557 UN65546:UN65557 AEJ65546:AEJ65557 AOF65546:AOF65557 AYB65546:AYB65557 BHX65546:BHX65557 BRT65546:BRT65557 CBP65546:CBP65557 CLL65546:CLL65557 CVH65546:CVH65557 DFD65546:DFD65557 DOZ65546:DOZ65557 DYV65546:DYV65557 EIR65546:EIR65557 ESN65546:ESN65557 FCJ65546:FCJ65557 FMF65546:FMF65557 FWB65546:FWB65557 GFX65546:GFX65557 GPT65546:GPT65557 GZP65546:GZP65557 HJL65546:HJL65557 HTH65546:HTH65557 IDD65546:IDD65557 IMZ65546:IMZ65557 IWV65546:IWV65557 JGR65546:JGR65557 JQN65546:JQN65557 KAJ65546:KAJ65557 KKF65546:KKF65557 KUB65546:KUB65557 LDX65546:LDX65557 LNT65546:LNT65557 LXP65546:LXP65557 MHL65546:MHL65557 MRH65546:MRH65557 NBD65546:NBD65557 NKZ65546:NKZ65557 NUV65546:NUV65557 OER65546:OER65557 OON65546:OON65557 OYJ65546:OYJ65557 PIF65546:PIF65557 PSB65546:PSB65557 QBX65546:QBX65557 QLT65546:QLT65557 QVP65546:QVP65557 RFL65546:RFL65557 RPH65546:RPH65557 RZD65546:RZD65557 SIZ65546:SIZ65557 SSV65546:SSV65557 TCR65546:TCR65557 TMN65546:TMN65557 TWJ65546:TWJ65557 UGF65546:UGF65557 UQB65546:UQB65557 UZX65546:UZX65557 VJT65546:VJT65557 VTP65546:VTP65557 WDL65546:WDL65557 WNH65546:WNH65557 WXD65546:WXD65557 AV131082:AV131093 KR131082:KR131093 UN131082:UN131093 AEJ131082:AEJ131093 AOF131082:AOF131093 AYB131082:AYB131093 BHX131082:BHX131093 BRT131082:BRT131093 CBP131082:CBP131093 CLL131082:CLL131093 CVH131082:CVH131093 DFD131082:DFD131093 DOZ131082:DOZ131093 DYV131082:DYV131093 EIR131082:EIR131093 ESN131082:ESN131093 FCJ131082:FCJ131093 FMF131082:FMF131093 FWB131082:FWB131093 GFX131082:GFX131093 GPT131082:GPT131093 GZP131082:GZP131093 HJL131082:HJL131093 HTH131082:HTH131093 IDD131082:IDD131093 IMZ131082:IMZ131093 IWV131082:IWV131093 JGR131082:JGR131093 JQN131082:JQN131093 KAJ131082:KAJ131093 KKF131082:KKF131093 KUB131082:KUB131093 LDX131082:LDX131093 LNT131082:LNT131093 LXP131082:LXP131093 MHL131082:MHL131093 MRH131082:MRH131093 NBD131082:NBD131093 NKZ131082:NKZ131093 NUV131082:NUV131093 OER131082:OER131093 OON131082:OON131093 OYJ131082:OYJ131093 PIF131082:PIF131093 PSB131082:PSB131093 QBX131082:QBX131093 QLT131082:QLT131093 QVP131082:QVP131093 RFL131082:RFL131093 RPH131082:RPH131093 RZD131082:RZD131093 SIZ131082:SIZ131093 SSV131082:SSV131093 TCR131082:TCR131093 TMN131082:TMN131093 TWJ131082:TWJ131093 UGF131082:UGF131093 UQB131082:UQB131093 UZX131082:UZX131093 VJT131082:VJT131093 VTP131082:VTP131093 WDL131082:WDL131093 WNH131082:WNH131093 WXD131082:WXD131093 AV196618:AV196629 KR196618:KR196629 UN196618:UN196629 AEJ196618:AEJ196629 AOF196618:AOF196629 AYB196618:AYB196629 BHX196618:BHX196629 BRT196618:BRT196629 CBP196618:CBP196629 CLL196618:CLL196629 CVH196618:CVH196629 DFD196618:DFD196629 DOZ196618:DOZ196629 DYV196618:DYV196629 EIR196618:EIR196629 ESN196618:ESN196629 FCJ196618:FCJ196629 FMF196618:FMF196629 FWB196618:FWB196629 GFX196618:GFX196629 GPT196618:GPT196629 GZP196618:GZP196629 HJL196618:HJL196629 HTH196618:HTH196629 IDD196618:IDD196629 IMZ196618:IMZ196629 IWV196618:IWV196629 JGR196618:JGR196629 JQN196618:JQN196629 KAJ196618:KAJ196629 KKF196618:KKF196629 KUB196618:KUB196629 LDX196618:LDX196629 LNT196618:LNT196629 LXP196618:LXP196629 MHL196618:MHL196629 MRH196618:MRH196629 NBD196618:NBD196629 NKZ196618:NKZ196629 NUV196618:NUV196629 OER196618:OER196629 OON196618:OON196629 OYJ196618:OYJ196629 PIF196618:PIF196629 PSB196618:PSB196629 QBX196618:QBX196629 QLT196618:QLT196629 QVP196618:QVP196629 RFL196618:RFL196629 RPH196618:RPH196629 RZD196618:RZD196629 SIZ196618:SIZ196629 SSV196618:SSV196629 TCR196618:TCR196629 TMN196618:TMN196629 TWJ196618:TWJ196629 UGF196618:UGF196629 UQB196618:UQB196629 UZX196618:UZX196629 VJT196618:VJT196629 VTP196618:VTP196629 WDL196618:WDL196629 WNH196618:WNH196629 WXD196618:WXD196629 AV262154:AV262165 KR262154:KR262165 UN262154:UN262165 AEJ262154:AEJ262165 AOF262154:AOF262165 AYB262154:AYB262165 BHX262154:BHX262165 BRT262154:BRT262165 CBP262154:CBP262165 CLL262154:CLL262165 CVH262154:CVH262165 DFD262154:DFD262165 DOZ262154:DOZ262165 DYV262154:DYV262165 EIR262154:EIR262165 ESN262154:ESN262165 FCJ262154:FCJ262165 FMF262154:FMF262165 FWB262154:FWB262165 GFX262154:GFX262165 GPT262154:GPT262165 GZP262154:GZP262165 HJL262154:HJL262165 HTH262154:HTH262165 IDD262154:IDD262165 IMZ262154:IMZ262165 IWV262154:IWV262165 JGR262154:JGR262165 JQN262154:JQN262165 KAJ262154:KAJ262165 KKF262154:KKF262165 KUB262154:KUB262165 LDX262154:LDX262165 LNT262154:LNT262165 LXP262154:LXP262165 MHL262154:MHL262165 MRH262154:MRH262165 NBD262154:NBD262165 NKZ262154:NKZ262165 NUV262154:NUV262165 OER262154:OER262165 OON262154:OON262165 OYJ262154:OYJ262165 PIF262154:PIF262165 PSB262154:PSB262165 QBX262154:QBX262165 QLT262154:QLT262165 QVP262154:QVP262165 RFL262154:RFL262165 RPH262154:RPH262165 RZD262154:RZD262165 SIZ262154:SIZ262165 SSV262154:SSV262165 TCR262154:TCR262165 TMN262154:TMN262165 TWJ262154:TWJ262165 UGF262154:UGF262165 UQB262154:UQB262165 UZX262154:UZX262165 VJT262154:VJT262165 VTP262154:VTP262165 WDL262154:WDL262165 WNH262154:WNH262165 WXD262154:WXD262165 AV327690:AV327701 KR327690:KR327701 UN327690:UN327701 AEJ327690:AEJ327701 AOF327690:AOF327701 AYB327690:AYB327701 BHX327690:BHX327701 BRT327690:BRT327701 CBP327690:CBP327701 CLL327690:CLL327701 CVH327690:CVH327701 DFD327690:DFD327701 DOZ327690:DOZ327701 DYV327690:DYV327701 EIR327690:EIR327701 ESN327690:ESN327701 FCJ327690:FCJ327701 FMF327690:FMF327701 FWB327690:FWB327701 GFX327690:GFX327701 GPT327690:GPT327701 GZP327690:GZP327701 HJL327690:HJL327701 HTH327690:HTH327701 IDD327690:IDD327701 IMZ327690:IMZ327701 IWV327690:IWV327701 JGR327690:JGR327701 JQN327690:JQN327701 KAJ327690:KAJ327701 KKF327690:KKF327701 KUB327690:KUB327701 LDX327690:LDX327701 LNT327690:LNT327701 LXP327690:LXP327701 MHL327690:MHL327701 MRH327690:MRH327701 NBD327690:NBD327701 NKZ327690:NKZ327701 NUV327690:NUV327701 OER327690:OER327701 OON327690:OON327701 OYJ327690:OYJ327701 PIF327690:PIF327701 PSB327690:PSB327701 QBX327690:QBX327701 QLT327690:QLT327701 QVP327690:QVP327701 RFL327690:RFL327701 RPH327690:RPH327701 RZD327690:RZD327701 SIZ327690:SIZ327701 SSV327690:SSV327701 TCR327690:TCR327701 TMN327690:TMN327701 TWJ327690:TWJ327701 UGF327690:UGF327701 UQB327690:UQB327701 UZX327690:UZX327701 VJT327690:VJT327701 VTP327690:VTP327701 WDL327690:WDL327701 WNH327690:WNH327701 WXD327690:WXD327701 AV393226:AV393237 KR393226:KR393237 UN393226:UN393237 AEJ393226:AEJ393237 AOF393226:AOF393237 AYB393226:AYB393237 BHX393226:BHX393237 BRT393226:BRT393237 CBP393226:CBP393237 CLL393226:CLL393237 CVH393226:CVH393237 DFD393226:DFD393237 DOZ393226:DOZ393237 DYV393226:DYV393237 EIR393226:EIR393237 ESN393226:ESN393237 FCJ393226:FCJ393237 FMF393226:FMF393237 FWB393226:FWB393237 GFX393226:GFX393237 GPT393226:GPT393237 GZP393226:GZP393237 HJL393226:HJL393237 HTH393226:HTH393237 IDD393226:IDD393237 IMZ393226:IMZ393237 IWV393226:IWV393237 JGR393226:JGR393237 JQN393226:JQN393237 KAJ393226:KAJ393237 KKF393226:KKF393237 KUB393226:KUB393237 LDX393226:LDX393237 LNT393226:LNT393237 LXP393226:LXP393237 MHL393226:MHL393237 MRH393226:MRH393237 NBD393226:NBD393237 NKZ393226:NKZ393237 NUV393226:NUV393237 OER393226:OER393237 OON393226:OON393237 OYJ393226:OYJ393237 PIF393226:PIF393237 PSB393226:PSB393237 QBX393226:QBX393237 QLT393226:QLT393237 QVP393226:QVP393237 RFL393226:RFL393237 RPH393226:RPH393237 RZD393226:RZD393237 SIZ393226:SIZ393237 SSV393226:SSV393237 TCR393226:TCR393237 TMN393226:TMN393237 TWJ393226:TWJ393237 UGF393226:UGF393237 UQB393226:UQB393237 UZX393226:UZX393237 VJT393226:VJT393237 VTP393226:VTP393237 WDL393226:WDL393237 WNH393226:WNH393237 WXD393226:WXD393237 AV458762:AV458773 KR458762:KR458773 UN458762:UN458773 AEJ458762:AEJ458773 AOF458762:AOF458773 AYB458762:AYB458773 BHX458762:BHX458773 BRT458762:BRT458773 CBP458762:CBP458773 CLL458762:CLL458773 CVH458762:CVH458773 DFD458762:DFD458773 DOZ458762:DOZ458773 DYV458762:DYV458773 EIR458762:EIR458773 ESN458762:ESN458773 FCJ458762:FCJ458773 FMF458762:FMF458773 FWB458762:FWB458773 GFX458762:GFX458773 GPT458762:GPT458773 GZP458762:GZP458773 HJL458762:HJL458773 HTH458762:HTH458773 IDD458762:IDD458773 IMZ458762:IMZ458773 IWV458762:IWV458773 JGR458762:JGR458773 JQN458762:JQN458773 KAJ458762:KAJ458773 KKF458762:KKF458773 KUB458762:KUB458773 LDX458762:LDX458773 LNT458762:LNT458773 LXP458762:LXP458773 MHL458762:MHL458773 MRH458762:MRH458773 NBD458762:NBD458773 NKZ458762:NKZ458773 NUV458762:NUV458773 OER458762:OER458773 OON458762:OON458773 OYJ458762:OYJ458773 PIF458762:PIF458773 PSB458762:PSB458773 QBX458762:QBX458773 QLT458762:QLT458773 QVP458762:QVP458773 RFL458762:RFL458773 RPH458762:RPH458773 RZD458762:RZD458773 SIZ458762:SIZ458773 SSV458762:SSV458773 TCR458762:TCR458773 TMN458762:TMN458773 TWJ458762:TWJ458773 UGF458762:UGF458773 UQB458762:UQB458773 UZX458762:UZX458773 VJT458762:VJT458773 VTP458762:VTP458773 WDL458762:WDL458773 WNH458762:WNH458773 WXD458762:WXD458773 AV524298:AV524309 KR524298:KR524309 UN524298:UN524309 AEJ524298:AEJ524309 AOF524298:AOF524309 AYB524298:AYB524309 BHX524298:BHX524309 BRT524298:BRT524309 CBP524298:CBP524309 CLL524298:CLL524309 CVH524298:CVH524309 DFD524298:DFD524309 DOZ524298:DOZ524309 DYV524298:DYV524309 EIR524298:EIR524309 ESN524298:ESN524309 FCJ524298:FCJ524309 FMF524298:FMF524309 FWB524298:FWB524309 GFX524298:GFX524309 GPT524298:GPT524309 GZP524298:GZP524309 HJL524298:HJL524309 HTH524298:HTH524309 IDD524298:IDD524309 IMZ524298:IMZ524309 IWV524298:IWV524309 JGR524298:JGR524309 JQN524298:JQN524309 KAJ524298:KAJ524309 KKF524298:KKF524309 KUB524298:KUB524309 LDX524298:LDX524309 LNT524298:LNT524309 LXP524298:LXP524309 MHL524298:MHL524309 MRH524298:MRH524309 NBD524298:NBD524309 NKZ524298:NKZ524309 NUV524298:NUV524309 OER524298:OER524309 OON524298:OON524309 OYJ524298:OYJ524309 PIF524298:PIF524309 PSB524298:PSB524309 QBX524298:QBX524309 QLT524298:QLT524309 QVP524298:QVP524309 RFL524298:RFL524309 RPH524298:RPH524309 RZD524298:RZD524309 SIZ524298:SIZ524309 SSV524298:SSV524309 TCR524298:TCR524309 TMN524298:TMN524309 TWJ524298:TWJ524309 UGF524298:UGF524309 UQB524298:UQB524309 UZX524298:UZX524309 VJT524298:VJT524309 VTP524298:VTP524309 WDL524298:WDL524309 WNH524298:WNH524309 WXD524298:WXD524309 AV589834:AV589845 KR589834:KR589845 UN589834:UN589845 AEJ589834:AEJ589845 AOF589834:AOF589845 AYB589834:AYB589845 BHX589834:BHX589845 BRT589834:BRT589845 CBP589834:CBP589845 CLL589834:CLL589845 CVH589834:CVH589845 DFD589834:DFD589845 DOZ589834:DOZ589845 DYV589834:DYV589845 EIR589834:EIR589845 ESN589834:ESN589845 FCJ589834:FCJ589845 FMF589834:FMF589845 FWB589834:FWB589845 GFX589834:GFX589845 GPT589834:GPT589845 GZP589834:GZP589845 HJL589834:HJL589845 HTH589834:HTH589845 IDD589834:IDD589845 IMZ589834:IMZ589845 IWV589834:IWV589845 JGR589834:JGR589845 JQN589834:JQN589845 KAJ589834:KAJ589845 KKF589834:KKF589845 KUB589834:KUB589845 LDX589834:LDX589845 LNT589834:LNT589845 LXP589834:LXP589845 MHL589834:MHL589845 MRH589834:MRH589845 NBD589834:NBD589845 NKZ589834:NKZ589845 NUV589834:NUV589845 OER589834:OER589845 OON589834:OON589845 OYJ589834:OYJ589845 PIF589834:PIF589845 PSB589834:PSB589845 QBX589834:QBX589845 QLT589834:QLT589845 QVP589834:QVP589845 RFL589834:RFL589845 RPH589834:RPH589845 RZD589834:RZD589845 SIZ589834:SIZ589845 SSV589834:SSV589845 TCR589834:TCR589845 TMN589834:TMN589845 TWJ589834:TWJ589845 UGF589834:UGF589845 UQB589834:UQB589845 UZX589834:UZX589845 VJT589834:VJT589845 VTP589834:VTP589845 WDL589834:WDL589845 WNH589834:WNH589845 WXD589834:WXD589845 AV655370:AV655381 KR655370:KR655381 UN655370:UN655381 AEJ655370:AEJ655381 AOF655370:AOF655381 AYB655370:AYB655381 BHX655370:BHX655381 BRT655370:BRT655381 CBP655370:CBP655381 CLL655370:CLL655381 CVH655370:CVH655381 DFD655370:DFD655381 DOZ655370:DOZ655381 DYV655370:DYV655381 EIR655370:EIR655381 ESN655370:ESN655381 FCJ655370:FCJ655381 FMF655370:FMF655381 FWB655370:FWB655381 GFX655370:GFX655381 GPT655370:GPT655381 GZP655370:GZP655381 HJL655370:HJL655381 HTH655370:HTH655381 IDD655370:IDD655381 IMZ655370:IMZ655381 IWV655370:IWV655381 JGR655370:JGR655381 JQN655370:JQN655381 KAJ655370:KAJ655381 KKF655370:KKF655381 KUB655370:KUB655381 LDX655370:LDX655381 LNT655370:LNT655381 LXP655370:LXP655381 MHL655370:MHL655381 MRH655370:MRH655381 NBD655370:NBD655381 NKZ655370:NKZ655381 NUV655370:NUV655381 OER655370:OER655381 OON655370:OON655381 OYJ655370:OYJ655381 PIF655370:PIF655381 PSB655370:PSB655381 QBX655370:QBX655381 QLT655370:QLT655381 QVP655370:QVP655381 RFL655370:RFL655381 RPH655370:RPH655381 RZD655370:RZD655381 SIZ655370:SIZ655381 SSV655370:SSV655381 TCR655370:TCR655381 TMN655370:TMN655381 TWJ655370:TWJ655381 UGF655370:UGF655381 UQB655370:UQB655381 UZX655370:UZX655381 VJT655370:VJT655381 VTP655370:VTP655381 WDL655370:WDL655381 WNH655370:WNH655381 WXD655370:WXD655381 AV720906:AV720917 KR720906:KR720917 UN720906:UN720917 AEJ720906:AEJ720917 AOF720906:AOF720917 AYB720906:AYB720917 BHX720906:BHX720917 BRT720906:BRT720917 CBP720906:CBP720917 CLL720906:CLL720917 CVH720906:CVH720917 DFD720906:DFD720917 DOZ720906:DOZ720917 DYV720906:DYV720917 EIR720906:EIR720917 ESN720906:ESN720917 FCJ720906:FCJ720917 FMF720906:FMF720917 FWB720906:FWB720917 GFX720906:GFX720917 GPT720906:GPT720917 GZP720906:GZP720917 HJL720906:HJL720917 HTH720906:HTH720917 IDD720906:IDD720917 IMZ720906:IMZ720917 IWV720906:IWV720917 JGR720906:JGR720917 JQN720906:JQN720917 KAJ720906:KAJ720917 KKF720906:KKF720917 KUB720906:KUB720917 LDX720906:LDX720917 LNT720906:LNT720917 LXP720906:LXP720917 MHL720906:MHL720917 MRH720906:MRH720917 NBD720906:NBD720917 NKZ720906:NKZ720917 NUV720906:NUV720917 OER720906:OER720917 OON720906:OON720917 OYJ720906:OYJ720917 PIF720906:PIF720917 PSB720906:PSB720917 QBX720906:QBX720917 QLT720906:QLT720917 QVP720906:QVP720917 RFL720906:RFL720917 RPH720906:RPH720917 RZD720906:RZD720917 SIZ720906:SIZ720917 SSV720906:SSV720917 TCR720906:TCR720917 TMN720906:TMN720917 TWJ720906:TWJ720917 UGF720906:UGF720917 UQB720906:UQB720917 UZX720906:UZX720917 VJT720906:VJT720917 VTP720906:VTP720917 WDL720906:WDL720917 WNH720906:WNH720917 WXD720906:WXD720917 AV786442:AV786453 KR786442:KR786453 UN786442:UN786453 AEJ786442:AEJ786453 AOF786442:AOF786453 AYB786442:AYB786453 BHX786442:BHX786453 BRT786442:BRT786453 CBP786442:CBP786453 CLL786442:CLL786453 CVH786442:CVH786453 DFD786442:DFD786453 DOZ786442:DOZ786453 DYV786442:DYV786453 EIR786442:EIR786453 ESN786442:ESN786453 FCJ786442:FCJ786453 FMF786442:FMF786453 FWB786442:FWB786453 GFX786442:GFX786453 GPT786442:GPT786453 GZP786442:GZP786453 HJL786442:HJL786453 HTH786442:HTH786453 IDD786442:IDD786453 IMZ786442:IMZ786453 IWV786442:IWV786453 JGR786442:JGR786453 JQN786442:JQN786453 KAJ786442:KAJ786453 KKF786442:KKF786453 KUB786442:KUB786453 LDX786442:LDX786453 LNT786442:LNT786453 LXP786442:LXP786453 MHL786442:MHL786453 MRH786442:MRH786453 NBD786442:NBD786453 NKZ786442:NKZ786453 NUV786442:NUV786453 OER786442:OER786453 OON786442:OON786453 OYJ786442:OYJ786453 PIF786442:PIF786453 PSB786442:PSB786453 QBX786442:QBX786453 QLT786442:QLT786453 QVP786442:QVP786453 RFL786442:RFL786453 RPH786442:RPH786453 RZD786442:RZD786453 SIZ786442:SIZ786453 SSV786442:SSV786453 TCR786442:TCR786453 TMN786442:TMN786453 TWJ786442:TWJ786453 UGF786442:UGF786453 UQB786442:UQB786453 UZX786442:UZX786453 VJT786442:VJT786453 VTP786442:VTP786453 WDL786442:WDL786453 WNH786442:WNH786453 WXD786442:WXD786453 AV851978:AV851989 KR851978:KR851989 UN851978:UN851989 AEJ851978:AEJ851989 AOF851978:AOF851989 AYB851978:AYB851989 BHX851978:BHX851989 BRT851978:BRT851989 CBP851978:CBP851989 CLL851978:CLL851989 CVH851978:CVH851989 DFD851978:DFD851989 DOZ851978:DOZ851989 DYV851978:DYV851989 EIR851978:EIR851989 ESN851978:ESN851989 FCJ851978:FCJ851989 FMF851978:FMF851989 FWB851978:FWB851989 GFX851978:GFX851989 GPT851978:GPT851989 GZP851978:GZP851989 HJL851978:HJL851989 HTH851978:HTH851989 IDD851978:IDD851989 IMZ851978:IMZ851989 IWV851978:IWV851989 JGR851978:JGR851989 JQN851978:JQN851989 KAJ851978:KAJ851989 KKF851978:KKF851989 KUB851978:KUB851989 LDX851978:LDX851989 LNT851978:LNT851989 LXP851978:LXP851989 MHL851978:MHL851989 MRH851978:MRH851989 NBD851978:NBD851989 NKZ851978:NKZ851989 NUV851978:NUV851989 OER851978:OER851989 OON851978:OON851989 OYJ851978:OYJ851989 PIF851978:PIF851989 PSB851978:PSB851989 QBX851978:QBX851989 QLT851978:QLT851989 QVP851978:QVP851989 RFL851978:RFL851989 RPH851978:RPH851989 RZD851978:RZD851989 SIZ851978:SIZ851989 SSV851978:SSV851989 TCR851978:TCR851989 TMN851978:TMN851989 TWJ851978:TWJ851989 UGF851978:UGF851989 UQB851978:UQB851989 UZX851978:UZX851989 VJT851978:VJT851989 VTP851978:VTP851989 WDL851978:WDL851989 WNH851978:WNH851989 WXD851978:WXD851989 AV917514:AV917525 KR917514:KR917525 UN917514:UN917525 AEJ917514:AEJ917525 AOF917514:AOF917525 AYB917514:AYB917525 BHX917514:BHX917525 BRT917514:BRT917525 CBP917514:CBP917525 CLL917514:CLL917525 CVH917514:CVH917525 DFD917514:DFD917525 DOZ917514:DOZ917525 DYV917514:DYV917525 EIR917514:EIR917525 ESN917514:ESN917525 FCJ917514:FCJ917525 FMF917514:FMF917525 FWB917514:FWB917525 GFX917514:GFX917525 GPT917514:GPT917525 GZP917514:GZP917525 HJL917514:HJL917525 HTH917514:HTH917525 IDD917514:IDD917525 IMZ917514:IMZ917525 IWV917514:IWV917525 JGR917514:JGR917525 JQN917514:JQN917525 KAJ917514:KAJ917525 KKF917514:KKF917525 KUB917514:KUB917525 LDX917514:LDX917525 LNT917514:LNT917525 LXP917514:LXP917525 MHL917514:MHL917525 MRH917514:MRH917525 NBD917514:NBD917525 NKZ917514:NKZ917525 NUV917514:NUV917525 OER917514:OER917525 OON917514:OON917525 OYJ917514:OYJ917525 PIF917514:PIF917525 PSB917514:PSB917525 QBX917514:QBX917525 QLT917514:QLT917525 QVP917514:QVP917525 RFL917514:RFL917525 RPH917514:RPH917525 RZD917514:RZD917525 SIZ917514:SIZ917525 SSV917514:SSV917525 TCR917514:TCR917525 TMN917514:TMN917525 TWJ917514:TWJ917525 UGF917514:UGF917525 UQB917514:UQB917525 UZX917514:UZX917525 VJT917514:VJT917525 VTP917514:VTP917525 WDL917514:WDL917525 WNH917514:WNH917525 WXD917514:WXD917525 AV983050:AV983061 KR983050:KR983061 UN983050:UN983061 AEJ983050:AEJ983061 AOF983050:AOF983061 AYB983050:AYB983061 BHX983050:BHX983061 BRT983050:BRT983061 CBP983050:CBP983061 CLL983050:CLL983061 CVH983050:CVH983061 DFD983050:DFD983061 DOZ983050:DOZ983061 DYV983050:DYV983061 EIR983050:EIR983061 ESN983050:ESN983061 FCJ983050:FCJ983061 FMF983050:FMF983061 FWB983050:FWB983061 GFX983050:GFX983061 GPT983050:GPT983061 GZP983050:GZP983061 HJL983050:HJL983061 HTH983050:HTH983061 IDD983050:IDD983061 IMZ983050:IMZ983061 IWV983050:IWV983061 JGR983050:JGR983061 JQN983050:JQN983061 KAJ983050:KAJ983061 KKF983050:KKF983061 KUB983050:KUB983061 LDX983050:LDX983061 LNT983050:LNT983061 LXP983050:LXP983061 MHL983050:MHL983061 MRH983050:MRH983061 NBD983050:NBD983061 NKZ983050:NKZ983061 NUV983050:NUV983061 OER983050:OER983061 OON983050:OON983061 OYJ983050:OYJ983061 PIF983050:PIF983061 PSB983050:PSB983061 QBX983050:QBX983061 QLT983050:QLT983061 QVP983050:QVP983061 RFL983050:RFL983061 RPH983050:RPH983061 RZD983050:RZD983061 SIZ983050:SIZ983061 SSV983050:SSV983061 TCR983050:TCR983061 TMN983050:TMN983061 TWJ983050:TWJ983061 UGF983050:UGF983061 UQB983050:UQB983061 UZX983050:UZX983061 VJT983050:VJT983061 VTP983050:VTP983061 WDL983050:WDL983061 WNH983050:WNH983061 WXD983050:WXD983061">
      <formula1>Periodo</formula1>
    </dataValidation>
    <dataValidation type="list" showInputMessage="1" showErrorMessage="1" sqref="V10:AF21 JR10:KB21 TN10:TX21 ADJ10:ADT21 ANF10:ANP21 AXB10:AXL21 BGX10:BHH21 BQT10:BRD21 CAP10:CAZ21 CKL10:CKV21 CUH10:CUR21 DED10:DEN21 DNZ10:DOJ21 DXV10:DYF21 EHR10:EIB21 ERN10:ERX21 FBJ10:FBT21 FLF10:FLP21 FVB10:FVL21 GEX10:GFH21 GOT10:GPD21 GYP10:GYZ21 HIL10:HIV21 HSH10:HSR21 ICD10:ICN21 ILZ10:IMJ21 IVV10:IWF21 JFR10:JGB21 JPN10:JPX21 JZJ10:JZT21 KJF10:KJP21 KTB10:KTL21 LCX10:LDH21 LMT10:LND21 LWP10:LWZ21 MGL10:MGV21 MQH10:MQR21 NAD10:NAN21 NJZ10:NKJ21 NTV10:NUF21 ODR10:OEB21 ONN10:ONX21 OXJ10:OXT21 PHF10:PHP21 PRB10:PRL21 QAX10:QBH21 QKT10:QLD21 QUP10:QUZ21 REL10:REV21 ROH10:ROR21 RYD10:RYN21 SHZ10:SIJ21 SRV10:SSF21 TBR10:TCB21 TLN10:TLX21 TVJ10:TVT21 UFF10:UFP21 UPB10:UPL21 UYX10:UZH21 VIT10:VJD21 VSP10:VSZ21 WCL10:WCV21 WMH10:WMR21 WWD10:WWN21 V65546:AF65557 JR65546:KB65557 TN65546:TX65557 ADJ65546:ADT65557 ANF65546:ANP65557 AXB65546:AXL65557 BGX65546:BHH65557 BQT65546:BRD65557 CAP65546:CAZ65557 CKL65546:CKV65557 CUH65546:CUR65557 DED65546:DEN65557 DNZ65546:DOJ65557 DXV65546:DYF65557 EHR65546:EIB65557 ERN65546:ERX65557 FBJ65546:FBT65557 FLF65546:FLP65557 FVB65546:FVL65557 GEX65546:GFH65557 GOT65546:GPD65557 GYP65546:GYZ65557 HIL65546:HIV65557 HSH65546:HSR65557 ICD65546:ICN65557 ILZ65546:IMJ65557 IVV65546:IWF65557 JFR65546:JGB65557 JPN65546:JPX65557 JZJ65546:JZT65557 KJF65546:KJP65557 KTB65546:KTL65557 LCX65546:LDH65557 LMT65546:LND65557 LWP65546:LWZ65557 MGL65546:MGV65557 MQH65546:MQR65557 NAD65546:NAN65557 NJZ65546:NKJ65557 NTV65546:NUF65557 ODR65546:OEB65557 ONN65546:ONX65557 OXJ65546:OXT65557 PHF65546:PHP65557 PRB65546:PRL65557 QAX65546:QBH65557 QKT65546:QLD65557 QUP65546:QUZ65557 REL65546:REV65557 ROH65546:ROR65557 RYD65546:RYN65557 SHZ65546:SIJ65557 SRV65546:SSF65557 TBR65546:TCB65557 TLN65546:TLX65557 TVJ65546:TVT65557 UFF65546:UFP65557 UPB65546:UPL65557 UYX65546:UZH65557 VIT65546:VJD65557 VSP65546:VSZ65557 WCL65546:WCV65557 WMH65546:WMR65557 WWD65546:WWN65557 V131082:AF131093 JR131082:KB131093 TN131082:TX131093 ADJ131082:ADT131093 ANF131082:ANP131093 AXB131082:AXL131093 BGX131082:BHH131093 BQT131082:BRD131093 CAP131082:CAZ131093 CKL131082:CKV131093 CUH131082:CUR131093 DED131082:DEN131093 DNZ131082:DOJ131093 DXV131082:DYF131093 EHR131082:EIB131093 ERN131082:ERX131093 FBJ131082:FBT131093 FLF131082:FLP131093 FVB131082:FVL131093 GEX131082:GFH131093 GOT131082:GPD131093 GYP131082:GYZ131093 HIL131082:HIV131093 HSH131082:HSR131093 ICD131082:ICN131093 ILZ131082:IMJ131093 IVV131082:IWF131093 JFR131082:JGB131093 JPN131082:JPX131093 JZJ131082:JZT131093 KJF131082:KJP131093 KTB131082:KTL131093 LCX131082:LDH131093 LMT131082:LND131093 LWP131082:LWZ131093 MGL131082:MGV131093 MQH131082:MQR131093 NAD131082:NAN131093 NJZ131082:NKJ131093 NTV131082:NUF131093 ODR131082:OEB131093 ONN131082:ONX131093 OXJ131082:OXT131093 PHF131082:PHP131093 PRB131082:PRL131093 QAX131082:QBH131093 QKT131082:QLD131093 QUP131082:QUZ131093 REL131082:REV131093 ROH131082:ROR131093 RYD131082:RYN131093 SHZ131082:SIJ131093 SRV131082:SSF131093 TBR131082:TCB131093 TLN131082:TLX131093 TVJ131082:TVT131093 UFF131082:UFP131093 UPB131082:UPL131093 UYX131082:UZH131093 VIT131082:VJD131093 VSP131082:VSZ131093 WCL131082:WCV131093 WMH131082:WMR131093 WWD131082:WWN131093 V196618:AF196629 JR196618:KB196629 TN196618:TX196629 ADJ196618:ADT196629 ANF196618:ANP196629 AXB196618:AXL196629 BGX196618:BHH196629 BQT196618:BRD196629 CAP196618:CAZ196629 CKL196618:CKV196629 CUH196618:CUR196629 DED196618:DEN196629 DNZ196618:DOJ196629 DXV196618:DYF196629 EHR196618:EIB196629 ERN196618:ERX196629 FBJ196618:FBT196629 FLF196618:FLP196629 FVB196618:FVL196629 GEX196618:GFH196629 GOT196618:GPD196629 GYP196618:GYZ196629 HIL196618:HIV196629 HSH196618:HSR196629 ICD196618:ICN196629 ILZ196618:IMJ196629 IVV196618:IWF196629 JFR196618:JGB196629 JPN196618:JPX196629 JZJ196618:JZT196629 KJF196618:KJP196629 KTB196618:KTL196629 LCX196618:LDH196629 LMT196618:LND196629 LWP196618:LWZ196629 MGL196618:MGV196629 MQH196618:MQR196629 NAD196618:NAN196629 NJZ196618:NKJ196629 NTV196618:NUF196629 ODR196618:OEB196629 ONN196618:ONX196629 OXJ196618:OXT196629 PHF196618:PHP196629 PRB196618:PRL196629 QAX196618:QBH196629 QKT196618:QLD196629 QUP196618:QUZ196629 REL196618:REV196629 ROH196618:ROR196629 RYD196618:RYN196629 SHZ196618:SIJ196629 SRV196618:SSF196629 TBR196618:TCB196629 TLN196618:TLX196629 TVJ196618:TVT196629 UFF196618:UFP196629 UPB196618:UPL196629 UYX196618:UZH196629 VIT196618:VJD196629 VSP196618:VSZ196629 WCL196618:WCV196629 WMH196618:WMR196629 WWD196618:WWN196629 V262154:AF262165 JR262154:KB262165 TN262154:TX262165 ADJ262154:ADT262165 ANF262154:ANP262165 AXB262154:AXL262165 BGX262154:BHH262165 BQT262154:BRD262165 CAP262154:CAZ262165 CKL262154:CKV262165 CUH262154:CUR262165 DED262154:DEN262165 DNZ262154:DOJ262165 DXV262154:DYF262165 EHR262154:EIB262165 ERN262154:ERX262165 FBJ262154:FBT262165 FLF262154:FLP262165 FVB262154:FVL262165 GEX262154:GFH262165 GOT262154:GPD262165 GYP262154:GYZ262165 HIL262154:HIV262165 HSH262154:HSR262165 ICD262154:ICN262165 ILZ262154:IMJ262165 IVV262154:IWF262165 JFR262154:JGB262165 JPN262154:JPX262165 JZJ262154:JZT262165 KJF262154:KJP262165 KTB262154:KTL262165 LCX262154:LDH262165 LMT262154:LND262165 LWP262154:LWZ262165 MGL262154:MGV262165 MQH262154:MQR262165 NAD262154:NAN262165 NJZ262154:NKJ262165 NTV262154:NUF262165 ODR262154:OEB262165 ONN262154:ONX262165 OXJ262154:OXT262165 PHF262154:PHP262165 PRB262154:PRL262165 QAX262154:QBH262165 QKT262154:QLD262165 QUP262154:QUZ262165 REL262154:REV262165 ROH262154:ROR262165 RYD262154:RYN262165 SHZ262154:SIJ262165 SRV262154:SSF262165 TBR262154:TCB262165 TLN262154:TLX262165 TVJ262154:TVT262165 UFF262154:UFP262165 UPB262154:UPL262165 UYX262154:UZH262165 VIT262154:VJD262165 VSP262154:VSZ262165 WCL262154:WCV262165 WMH262154:WMR262165 WWD262154:WWN262165 V327690:AF327701 JR327690:KB327701 TN327690:TX327701 ADJ327690:ADT327701 ANF327690:ANP327701 AXB327690:AXL327701 BGX327690:BHH327701 BQT327690:BRD327701 CAP327690:CAZ327701 CKL327690:CKV327701 CUH327690:CUR327701 DED327690:DEN327701 DNZ327690:DOJ327701 DXV327690:DYF327701 EHR327690:EIB327701 ERN327690:ERX327701 FBJ327690:FBT327701 FLF327690:FLP327701 FVB327690:FVL327701 GEX327690:GFH327701 GOT327690:GPD327701 GYP327690:GYZ327701 HIL327690:HIV327701 HSH327690:HSR327701 ICD327690:ICN327701 ILZ327690:IMJ327701 IVV327690:IWF327701 JFR327690:JGB327701 JPN327690:JPX327701 JZJ327690:JZT327701 KJF327690:KJP327701 KTB327690:KTL327701 LCX327690:LDH327701 LMT327690:LND327701 LWP327690:LWZ327701 MGL327690:MGV327701 MQH327690:MQR327701 NAD327690:NAN327701 NJZ327690:NKJ327701 NTV327690:NUF327701 ODR327690:OEB327701 ONN327690:ONX327701 OXJ327690:OXT327701 PHF327690:PHP327701 PRB327690:PRL327701 QAX327690:QBH327701 QKT327690:QLD327701 QUP327690:QUZ327701 REL327690:REV327701 ROH327690:ROR327701 RYD327690:RYN327701 SHZ327690:SIJ327701 SRV327690:SSF327701 TBR327690:TCB327701 TLN327690:TLX327701 TVJ327690:TVT327701 UFF327690:UFP327701 UPB327690:UPL327701 UYX327690:UZH327701 VIT327690:VJD327701 VSP327690:VSZ327701 WCL327690:WCV327701 WMH327690:WMR327701 WWD327690:WWN327701 V393226:AF393237 JR393226:KB393237 TN393226:TX393237 ADJ393226:ADT393237 ANF393226:ANP393237 AXB393226:AXL393237 BGX393226:BHH393237 BQT393226:BRD393237 CAP393226:CAZ393237 CKL393226:CKV393237 CUH393226:CUR393237 DED393226:DEN393237 DNZ393226:DOJ393237 DXV393226:DYF393237 EHR393226:EIB393237 ERN393226:ERX393237 FBJ393226:FBT393237 FLF393226:FLP393237 FVB393226:FVL393237 GEX393226:GFH393237 GOT393226:GPD393237 GYP393226:GYZ393237 HIL393226:HIV393237 HSH393226:HSR393237 ICD393226:ICN393237 ILZ393226:IMJ393237 IVV393226:IWF393237 JFR393226:JGB393237 JPN393226:JPX393237 JZJ393226:JZT393237 KJF393226:KJP393237 KTB393226:KTL393237 LCX393226:LDH393237 LMT393226:LND393237 LWP393226:LWZ393237 MGL393226:MGV393237 MQH393226:MQR393237 NAD393226:NAN393237 NJZ393226:NKJ393237 NTV393226:NUF393237 ODR393226:OEB393237 ONN393226:ONX393237 OXJ393226:OXT393237 PHF393226:PHP393237 PRB393226:PRL393237 QAX393226:QBH393237 QKT393226:QLD393237 QUP393226:QUZ393237 REL393226:REV393237 ROH393226:ROR393237 RYD393226:RYN393237 SHZ393226:SIJ393237 SRV393226:SSF393237 TBR393226:TCB393237 TLN393226:TLX393237 TVJ393226:TVT393237 UFF393226:UFP393237 UPB393226:UPL393237 UYX393226:UZH393237 VIT393226:VJD393237 VSP393226:VSZ393237 WCL393226:WCV393237 WMH393226:WMR393237 WWD393226:WWN393237 V458762:AF458773 JR458762:KB458773 TN458762:TX458773 ADJ458762:ADT458773 ANF458762:ANP458773 AXB458762:AXL458773 BGX458762:BHH458773 BQT458762:BRD458773 CAP458762:CAZ458773 CKL458762:CKV458773 CUH458762:CUR458773 DED458762:DEN458773 DNZ458762:DOJ458773 DXV458762:DYF458773 EHR458762:EIB458773 ERN458762:ERX458773 FBJ458762:FBT458773 FLF458762:FLP458773 FVB458762:FVL458773 GEX458762:GFH458773 GOT458762:GPD458773 GYP458762:GYZ458773 HIL458762:HIV458773 HSH458762:HSR458773 ICD458762:ICN458773 ILZ458762:IMJ458773 IVV458762:IWF458773 JFR458762:JGB458773 JPN458762:JPX458773 JZJ458762:JZT458773 KJF458762:KJP458773 KTB458762:KTL458773 LCX458762:LDH458773 LMT458762:LND458773 LWP458762:LWZ458773 MGL458762:MGV458773 MQH458762:MQR458773 NAD458762:NAN458773 NJZ458762:NKJ458773 NTV458762:NUF458773 ODR458762:OEB458773 ONN458762:ONX458773 OXJ458762:OXT458773 PHF458762:PHP458773 PRB458762:PRL458773 QAX458762:QBH458773 QKT458762:QLD458773 QUP458762:QUZ458773 REL458762:REV458773 ROH458762:ROR458773 RYD458762:RYN458773 SHZ458762:SIJ458773 SRV458762:SSF458773 TBR458762:TCB458773 TLN458762:TLX458773 TVJ458762:TVT458773 UFF458762:UFP458773 UPB458762:UPL458773 UYX458762:UZH458773 VIT458762:VJD458773 VSP458762:VSZ458773 WCL458762:WCV458773 WMH458762:WMR458773 WWD458762:WWN458773 V524298:AF524309 JR524298:KB524309 TN524298:TX524309 ADJ524298:ADT524309 ANF524298:ANP524309 AXB524298:AXL524309 BGX524298:BHH524309 BQT524298:BRD524309 CAP524298:CAZ524309 CKL524298:CKV524309 CUH524298:CUR524309 DED524298:DEN524309 DNZ524298:DOJ524309 DXV524298:DYF524309 EHR524298:EIB524309 ERN524298:ERX524309 FBJ524298:FBT524309 FLF524298:FLP524309 FVB524298:FVL524309 GEX524298:GFH524309 GOT524298:GPD524309 GYP524298:GYZ524309 HIL524298:HIV524309 HSH524298:HSR524309 ICD524298:ICN524309 ILZ524298:IMJ524309 IVV524298:IWF524309 JFR524298:JGB524309 JPN524298:JPX524309 JZJ524298:JZT524309 KJF524298:KJP524309 KTB524298:KTL524309 LCX524298:LDH524309 LMT524298:LND524309 LWP524298:LWZ524309 MGL524298:MGV524309 MQH524298:MQR524309 NAD524298:NAN524309 NJZ524298:NKJ524309 NTV524298:NUF524309 ODR524298:OEB524309 ONN524298:ONX524309 OXJ524298:OXT524309 PHF524298:PHP524309 PRB524298:PRL524309 QAX524298:QBH524309 QKT524298:QLD524309 QUP524298:QUZ524309 REL524298:REV524309 ROH524298:ROR524309 RYD524298:RYN524309 SHZ524298:SIJ524309 SRV524298:SSF524309 TBR524298:TCB524309 TLN524298:TLX524309 TVJ524298:TVT524309 UFF524298:UFP524309 UPB524298:UPL524309 UYX524298:UZH524309 VIT524298:VJD524309 VSP524298:VSZ524309 WCL524298:WCV524309 WMH524298:WMR524309 WWD524298:WWN524309 V589834:AF589845 JR589834:KB589845 TN589834:TX589845 ADJ589834:ADT589845 ANF589834:ANP589845 AXB589834:AXL589845 BGX589834:BHH589845 BQT589834:BRD589845 CAP589834:CAZ589845 CKL589834:CKV589845 CUH589834:CUR589845 DED589834:DEN589845 DNZ589834:DOJ589845 DXV589834:DYF589845 EHR589834:EIB589845 ERN589834:ERX589845 FBJ589834:FBT589845 FLF589834:FLP589845 FVB589834:FVL589845 GEX589834:GFH589845 GOT589834:GPD589845 GYP589834:GYZ589845 HIL589834:HIV589845 HSH589834:HSR589845 ICD589834:ICN589845 ILZ589834:IMJ589845 IVV589834:IWF589845 JFR589834:JGB589845 JPN589834:JPX589845 JZJ589834:JZT589845 KJF589834:KJP589845 KTB589834:KTL589845 LCX589834:LDH589845 LMT589834:LND589845 LWP589834:LWZ589845 MGL589834:MGV589845 MQH589834:MQR589845 NAD589834:NAN589845 NJZ589834:NKJ589845 NTV589834:NUF589845 ODR589834:OEB589845 ONN589834:ONX589845 OXJ589834:OXT589845 PHF589834:PHP589845 PRB589834:PRL589845 QAX589834:QBH589845 QKT589834:QLD589845 QUP589834:QUZ589845 REL589834:REV589845 ROH589834:ROR589845 RYD589834:RYN589845 SHZ589834:SIJ589845 SRV589834:SSF589845 TBR589834:TCB589845 TLN589834:TLX589845 TVJ589834:TVT589845 UFF589834:UFP589845 UPB589834:UPL589845 UYX589834:UZH589845 VIT589834:VJD589845 VSP589834:VSZ589845 WCL589834:WCV589845 WMH589834:WMR589845 WWD589834:WWN589845 V655370:AF655381 JR655370:KB655381 TN655370:TX655381 ADJ655370:ADT655381 ANF655370:ANP655381 AXB655370:AXL655381 BGX655370:BHH655381 BQT655370:BRD655381 CAP655370:CAZ655381 CKL655370:CKV655381 CUH655370:CUR655381 DED655370:DEN655381 DNZ655370:DOJ655381 DXV655370:DYF655381 EHR655370:EIB655381 ERN655370:ERX655381 FBJ655370:FBT655381 FLF655370:FLP655381 FVB655370:FVL655381 GEX655370:GFH655381 GOT655370:GPD655381 GYP655370:GYZ655381 HIL655370:HIV655381 HSH655370:HSR655381 ICD655370:ICN655381 ILZ655370:IMJ655381 IVV655370:IWF655381 JFR655370:JGB655381 JPN655370:JPX655381 JZJ655370:JZT655381 KJF655370:KJP655381 KTB655370:KTL655381 LCX655370:LDH655381 LMT655370:LND655381 LWP655370:LWZ655381 MGL655370:MGV655381 MQH655370:MQR655381 NAD655370:NAN655381 NJZ655370:NKJ655381 NTV655370:NUF655381 ODR655370:OEB655381 ONN655370:ONX655381 OXJ655370:OXT655381 PHF655370:PHP655381 PRB655370:PRL655381 QAX655370:QBH655381 QKT655370:QLD655381 QUP655370:QUZ655381 REL655370:REV655381 ROH655370:ROR655381 RYD655370:RYN655381 SHZ655370:SIJ655381 SRV655370:SSF655381 TBR655370:TCB655381 TLN655370:TLX655381 TVJ655370:TVT655381 UFF655370:UFP655381 UPB655370:UPL655381 UYX655370:UZH655381 VIT655370:VJD655381 VSP655370:VSZ655381 WCL655370:WCV655381 WMH655370:WMR655381 WWD655370:WWN655381 V720906:AF720917 JR720906:KB720917 TN720906:TX720917 ADJ720906:ADT720917 ANF720906:ANP720917 AXB720906:AXL720917 BGX720906:BHH720917 BQT720906:BRD720917 CAP720906:CAZ720917 CKL720906:CKV720917 CUH720906:CUR720917 DED720906:DEN720917 DNZ720906:DOJ720917 DXV720906:DYF720917 EHR720906:EIB720917 ERN720906:ERX720917 FBJ720906:FBT720917 FLF720906:FLP720917 FVB720906:FVL720917 GEX720906:GFH720917 GOT720906:GPD720917 GYP720906:GYZ720917 HIL720906:HIV720917 HSH720906:HSR720917 ICD720906:ICN720917 ILZ720906:IMJ720917 IVV720906:IWF720917 JFR720906:JGB720917 JPN720906:JPX720917 JZJ720906:JZT720917 KJF720906:KJP720917 KTB720906:KTL720917 LCX720906:LDH720917 LMT720906:LND720917 LWP720906:LWZ720917 MGL720906:MGV720917 MQH720906:MQR720917 NAD720906:NAN720917 NJZ720906:NKJ720917 NTV720906:NUF720917 ODR720906:OEB720917 ONN720906:ONX720917 OXJ720906:OXT720917 PHF720906:PHP720917 PRB720906:PRL720917 QAX720906:QBH720917 QKT720906:QLD720917 QUP720906:QUZ720917 REL720906:REV720917 ROH720906:ROR720917 RYD720906:RYN720917 SHZ720906:SIJ720917 SRV720906:SSF720917 TBR720906:TCB720917 TLN720906:TLX720917 TVJ720906:TVT720917 UFF720906:UFP720917 UPB720906:UPL720917 UYX720906:UZH720917 VIT720906:VJD720917 VSP720906:VSZ720917 WCL720906:WCV720917 WMH720906:WMR720917 WWD720906:WWN720917 V786442:AF786453 JR786442:KB786453 TN786442:TX786453 ADJ786442:ADT786453 ANF786442:ANP786453 AXB786442:AXL786453 BGX786442:BHH786453 BQT786442:BRD786453 CAP786442:CAZ786453 CKL786442:CKV786453 CUH786442:CUR786453 DED786442:DEN786453 DNZ786442:DOJ786453 DXV786442:DYF786453 EHR786442:EIB786453 ERN786442:ERX786453 FBJ786442:FBT786453 FLF786442:FLP786453 FVB786442:FVL786453 GEX786442:GFH786453 GOT786442:GPD786453 GYP786442:GYZ786453 HIL786442:HIV786453 HSH786442:HSR786453 ICD786442:ICN786453 ILZ786442:IMJ786453 IVV786442:IWF786453 JFR786442:JGB786453 JPN786442:JPX786453 JZJ786442:JZT786453 KJF786442:KJP786453 KTB786442:KTL786453 LCX786442:LDH786453 LMT786442:LND786453 LWP786442:LWZ786453 MGL786442:MGV786453 MQH786442:MQR786453 NAD786442:NAN786453 NJZ786442:NKJ786453 NTV786442:NUF786453 ODR786442:OEB786453 ONN786442:ONX786453 OXJ786442:OXT786453 PHF786442:PHP786453 PRB786442:PRL786453 QAX786442:QBH786453 QKT786442:QLD786453 QUP786442:QUZ786453 REL786442:REV786453 ROH786442:ROR786453 RYD786442:RYN786453 SHZ786442:SIJ786453 SRV786442:SSF786453 TBR786442:TCB786453 TLN786442:TLX786453 TVJ786442:TVT786453 UFF786442:UFP786453 UPB786442:UPL786453 UYX786442:UZH786453 VIT786442:VJD786453 VSP786442:VSZ786453 WCL786442:WCV786453 WMH786442:WMR786453 WWD786442:WWN786453 V851978:AF851989 JR851978:KB851989 TN851978:TX851989 ADJ851978:ADT851989 ANF851978:ANP851989 AXB851978:AXL851989 BGX851978:BHH851989 BQT851978:BRD851989 CAP851978:CAZ851989 CKL851978:CKV851989 CUH851978:CUR851989 DED851978:DEN851989 DNZ851978:DOJ851989 DXV851978:DYF851989 EHR851978:EIB851989 ERN851978:ERX851989 FBJ851978:FBT851989 FLF851978:FLP851989 FVB851978:FVL851989 GEX851978:GFH851989 GOT851978:GPD851989 GYP851978:GYZ851989 HIL851978:HIV851989 HSH851978:HSR851989 ICD851978:ICN851989 ILZ851978:IMJ851989 IVV851978:IWF851989 JFR851978:JGB851989 JPN851978:JPX851989 JZJ851978:JZT851989 KJF851978:KJP851989 KTB851978:KTL851989 LCX851978:LDH851989 LMT851978:LND851989 LWP851978:LWZ851989 MGL851978:MGV851989 MQH851978:MQR851989 NAD851978:NAN851989 NJZ851978:NKJ851989 NTV851978:NUF851989 ODR851978:OEB851989 ONN851978:ONX851989 OXJ851978:OXT851989 PHF851978:PHP851989 PRB851978:PRL851989 QAX851978:QBH851989 QKT851978:QLD851989 QUP851978:QUZ851989 REL851978:REV851989 ROH851978:ROR851989 RYD851978:RYN851989 SHZ851978:SIJ851989 SRV851978:SSF851989 TBR851978:TCB851989 TLN851978:TLX851989 TVJ851978:TVT851989 UFF851978:UFP851989 UPB851978:UPL851989 UYX851978:UZH851989 VIT851978:VJD851989 VSP851978:VSZ851989 WCL851978:WCV851989 WMH851978:WMR851989 WWD851978:WWN851989 V917514:AF917525 JR917514:KB917525 TN917514:TX917525 ADJ917514:ADT917525 ANF917514:ANP917525 AXB917514:AXL917525 BGX917514:BHH917525 BQT917514:BRD917525 CAP917514:CAZ917525 CKL917514:CKV917525 CUH917514:CUR917525 DED917514:DEN917525 DNZ917514:DOJ917525 DXV917514:DYF917525 EHR917514:EIB917525 ERN917514:ERX917525 FBJ917514:FBT917525 FLF917514:FLP917525 FVB917514:FVL917525 GEX917514:GFH917525 GOT917514:GPD917525 GYP917514:GYZ917525 HIL917514:HIV917525 HSH917514:HSR917525 ICD917514:ICN917525 ILZ917514:IMJ917525 IVV917514:IWF917525 JFR917514:JGB917525 JPN917514:JPX917525 JZJ917514:JZT917525 KJF917514:KJP917525 KTB917514:KTL917525 LCX917514:LDH917525 LMT917514:LND917525 LWP917514:LWZ917525 MGL917514:MGV917525 MQH917514:MQR917525 NAD917514:NAN917525 NJZ917514:NKJ917525 NTV917514:NUF917525 ODR917514:OEB917525 ONN917514:ONX917525 OXJ917514:OXT917525 PHF917514:PHP917525 PRB917514:PRL917525 QAX917514:QBH917525 QKT917514:QLD917525 QUP917514:QUZ917525 REL917514:REV917525 ROH917514:ROR917525 RYD917514:RYN917525 SHZ917514:SIJ917525 SRV917514:SSF917525 TBR917514:TCB917525 TLN917514:TLX917525 TVJ917514:TVT917525 UFF917514:UFP917525 UPB917514:UPL917525 UYX917514:UZH917525 VIT917514:VJD917525 VSP917514:VSZ917525 WCL917514:WCV917525 WMH917514:WMR917525 WWD917514:WWN917525 V983050:AF983061 JR983050:KB983061 TN983050:TX983061 ADJ983050:ADT983061 ANF983050:ANP983061 AXB983050:AXL983061 BGX983050:BHH983061 BQT983050:BRD983061 CAP983050:CAZ983061 CKL983050:CKV983061 CUH983050:CUR983061 DED983050:DEN983061 DNZ983050:DOJ983061 DXV983050:DYF983061 EHR983050:EIB983061 ERN983050:ERX983061 FBJ983050:FBT983061 FLF983050:FLP983061 FVB983050:FVL983061 GEX983050:GFH983061 GOT983050:GPD983061 GYP983050:GYZ983061 HIL983050:HIV983061 HSH983050:HSR983061 ICD983050:ICN983061 ILZ983050:IMJ983061 IVV983050:IWF983061 JFR983050:JGB983061 JPN983050:JPX983061 JZJ983050:JZT983061 KJF983050:KJP983061 KTB983050:KTL983061 LCX983050:LDH983061 LMT983050:LND983061 LWP983050:LWZ983061 MGL983050:MGV983061 MQH983050:MQR983061 NAD983050:NAN983061 NJZ983050:NKJ983061 NTV983050:NUF983061 ODR983050:OEB983061 ONN983050:ONX983061 OXJ983050:OXT983061 PHF983050:PHP983061 PRB983050:PRL983061 QAX983050:QBH983061 QKT983050:QLD983061 QUP983050:QUZ983061 REL983050:REV983061 ROH983050:ROR983061 RYD983050:RYN983061 SHZ983050:SIJ983061 SRV983050:SSF983061 TBR983050:TCB983061 TLN983050:TLX983061 TVJ983050:TVT983061 UFF983050:UFP983061 UPB983050:UPL983061 UYX983050:UZH983061 VIT983050:VJD983061 VSP983050:VSZ983061 WCL983050:WCV983061 WMH983050:WMR983061 WWD983050:WWN983061">
      <formula1>Efectividad</formula1>
    </dataValidation>
    <dataValidation showInputMessage="1" showErrorMessage="1" sqref="AG10:AT21 KC10:KP21 TY10:UL21 ADU10:AEH21 ANQ10:AOD21 AXM10:AXZ21 BHI10:BHV21 BRE10:BRR21 CBA10:CBN21 CKW10:CLJ21 CUS10:CVF21 DEO10:DFB21 DOK10:DOX21 DYG10:DYT21 EIC10:EIP21 ERY10:ESL21 FBU10:FCH21 FLQ10:FMD21 FVM10:FVZ21 GFI10:GFV21 GPE10:GPR21 GZA10:GZN21 HIW10:HJJ21 HSS10:HTF21 ICO10:IDB21 IMK10:IMX21 IWG10:IWT21 JGC10:JGP21 JPY10:JQL21 JZU10:KAH21 KJQ10:KKD21 KTM10:KTZ21 LDI10:LDV21 LNE10:LNR21 LXA10:LXN21 MGW10:MHJ21 MQS10:MRF21 NAO10:NBB21 NKK10:NKX21 NUG10:NUT21 OEC10:OEP21 ONY10:OOL21 OXU10:OYH21 PHQ10:PID21 PRM10:PRZ21 QBI10:QBV21 QLE10:QLR21 QVA10:QVN21 REW10:RFJ21 ROS10:RPF21 RYO10:RZB21 SIK10:SIX21 SSG10:SST21 TCC10:TCP21 TLY10:TML21 TVU10:TWH21 UFQ10:UGD21 UPM10:UPZ21 UZI10:UZV21 VJE10:VJR21 VTA10:VTN21 WCW10:WDJ21 WMS10:WNF21 WWO10:WXB21 AG65546:AT65557 KC65546:KP65557 TY65546:UL65557 ADU65546:AEH65557 ANQ65546:AOD65557 AXM65546:AXZ65557 BHI65546:BHV65557 BRE65546:BRR65557 CBA65546:CBN65557 CKW65546:CLJ65557 CUS65546:CVF65557 DEO65546:DFB65557 DOK65546:DOX65557 DYG65546:DYT65557 EIC65546:EIP65557 ERY65546:ESL65557 FBU65546:FCH65557 FLQ65546:FMD65557 FVM65546:FVZ65557 GFI65546:GFV65557 GPE65546:GPR65557 GZA65546:GZN65557 HIW65546:HJJ65557 HSS65546:HTF65557 ICO65546:IDB65557 IMK65546:IMX65557 IWG65546:IWT65557 JGC65546:JGP65557 JPY65546:JQL65557 JZU65546:KAH65557 KJQ65546:KKD65557 KTM65546:KTZ65557 LDI65546:LDV65557 LNE65546:LNR65557 LXA65546:LXN65557 MGW65546:MHJ65557 MQS65546:MRF65557 NAO65546:NBB65557 NKK65546:NKX65557 NUG65546:NUT65557 OEC65546:OEP65557 ONY65546:OOL65557 OXU65546:OYH65557 PHQ65546:PID65557 PRM65546:PRZ65557 QBI65546:QBV65557 QLE65546:QLR65557 QVA65546:QVN65557 REW65546:RFJ65557 ROS65546:RPF65557 RYO65546:RZB65557 SIK65546:SIX65557 SSG65546:SST65557 TCC65546:TCP65557 TLY65546:TML65557 TVU65546:TWH65557 UFQ65546:UGD65557 UPM65546:UPZ65557 UZI65546:UZV65557 VJE65546:VJR65557 VTA65546:VTN65557 WCW65546:WDJ65557 WMS65546:WNF65557 WWO65546:WXB65557 AG131082:AT131093 KC131082:KP131093 TY131082:UL131093 ADU131082:AEH131093 ANQ131082:AOD131093 AXM131082:AXZ131093 BHI131082:BHV131093 BRE131082:BRR131093 CBA131082:CBN131093 CKW131082:CLJ131093 CUS131082:CVF131093 DEO131082:DFB131093 DOK131082:DOX131093 DYG131082:DYT131093 EIC131082:EIP131093 ERY131082:ESL131093 FBU131082:FCH131093 FLQ131082:FMD131093 FVM131082:FVZ131093 GFI131082:GFV131093 GPE131082:GPR131093 GZA131082:GZN131093 HIW131082:HJJ131093 HSS131082:HTF131093 ICO131082:IDB131093 IMK131082:IMX131093 IWG131082:IWT131093 JGC131082:JGP131093 JPY131082:JQL131093 JZU131082:KAH131093 KJQ131082:KKD131093 KTM131082:KTZ131093 LDI131082:LDV131093 LNE131082:LNR131093 LXA131082:LXN131093 MGW131082:MHJ131093 MQS131082:MRF131093 NAO131082:NBB131093 NKK131082:NKX131093 NUG131082:NUT131093 OEC131082:OEP131093 ONY131082:OOL131093 OXU131082:OYH131093 PHQ131082:PID131093 PRM131082:PRZ131093 QBI131082:QBV131093 QLE131082:QLR131093 QVA131082:QVN131093 REW131082:RFJ131093 ROS131082:RPF131093 RYO131082:RZB131093 SIK131082:SIX131093 SSG131082:SST131093 TCC131082:TCP131093 TLY131082:TML131093 TVU131082:TWH131093 UFQ131082:UGD131093 UPM131082:UPZ131093 UZI131082:UZV131093 VJE131082:VJR131093 VTA131082:VTN131093 WCW131082:WDJ131093 WMS131082:WNF131093 WWO131082:WXB131093 AG196618:AT196629 KC196618:KP196629 TY196618:UL196629 ADU196618:AEH196629 ANQ196618:AOD196629 AXM196618:AXZ196629 BHI196618:BHV196629 BRE196618:BRR196629 CBA196618:CBN196629 CKW196618:CLJ196629 CUS196618:CVF196629 DEO196618:DFB196629 DOK196618:DOX196629 DYG196618:DYT196629 EIC196618:EIP196629 ERY196618:ESL196629 FBU196618:FCH196629 FLQ196618:FMD196629 FVM196618:FVZ196629 GFI196618:GFV196629 GPE196618:GPR196629 GZA196618:GZN196629 HIW196618:HJJ196629 HSS196618:HTF196629 ICO196618:IDB196629 IMK196618:IMX196629 IWG196618:IWT196629 JGC196618:JGP196629 JPY196618:JQL196629 JZU196618:KAH196629 KJQ196618:KKD196629 KTM196618:KTZ196629 LDI196618:LDV196629 LNE196618:LNR196629 LXA196618:LXN196629 MGW196618:MHJ196629 MQS196618:MRF196629 NAO196618:NBB196629 NKK196618:NKX196629 NUG196618:NUT196629 OEC196618:OEP196629 ONY196618:OOL196629 OXU196618:OYH196629 PHQ196618:PID196629 PRM196618:PRZ196629 QBI196618:QBV196629 QLE196618:QLR196629 QVA196618:QVN196629 REW196618:RFJ196629 ROS196618:RPF196629 RYO196618:RZB196629 SIK196618:SIX196629 SSG196618:SST196629 TCC196618:TCP196629 TLY196618:TML196629 TVU196618:TWH196629 UFQ196618:UGD196629 UPM196618:UPZ196629 UZI196618:UZV196629 VJE196618:VJR196629 VTA196618:VTN196629 WCW196618:WDJ196629 WMS196618:WNF196629 WWO196618:WXB196629 AG262154:AT262165 KC262154:KP262165 TY262154:UL262165 ADU262154:AEH262165 ANQ262154:AOD262165 AXM262154:AXZ262165 BHI262154:BHV262165 BRE262154:BRR262165 CBA262154:CBN262165 CKW262154:CLJ262165 CUS262154:CVF262165 DEO262154:DFB262165 DOK262154:DOX262165 DYG262154:DYT262165 EIC262154:EIP262165 ERY262154:ESL262165 FBU262154:FCH262165 FLQ262154:FMD262165 FVM262154:FVZ262165 GFI262154:GFV262165 GPE262154:GPR262165 GZA262154:GZN262165 HIW262154:HJJ262165 HSS262154:HTF262165 ICO262154:IDB262165 IMK262154:IMX262165 IWG262154:IWT262165 JGC262154:JGP262165 JPY262154:JQL262165 JZU262154:KAH262165 KJQ262154:KKD262165 KTM262154:KTZ262165 LDI262154:LDV262165 LNE262154:LNR262165 LXA262154:LXN262165 MGW262154:MHJ262165 MQS262154:MRF262165 NAO262154:NBB262165 NKK262154:NKX262165 NUG262154:NUT262165 OEC262154:OEP262165 ONY262154:OOL262165 OXU262154:OYH262165 PHQ262154:PID262165 PRM262154:PRZ262165 QBI262154:QBV262165 QLE262154:QLR262165 QVA262154:QVN262165 REW262154:RFJ262165 ROS262154:RPF262165 RYO262154:RZB262165 SIK262154:SIX262165 SSG262154:SST262165 TCC262154:TCP262165 TLY262154:TML262165 TVU262154:TWH262165 UFQ262154:UGD262165 UPM262154:UPZ262165 UZI262154:UZV262165 VJE262154:VJR262165 VTA262154:VTN262165 WCW262154:WDJ262165 WMS262154:WNF262165 WWO262154:WXB262165 AG327690:AT327701 KC327690:KP327701 TY327690:UL327701 ADU327690:AEH327701 ANQ327690:AOD327701 AXM327690:AXZ327701 BHI327690:BHV327701 BRE327690:BRR327701 CBA327690:CBN327701 CKW327690:CLJ327701 CUS327690:CVF327701 DEO327690:DFB327701 DOK327690:DOX327701 DYG327690:DYT327701 EIC327690:EIP327701 ERY327690:ESL327701 FBU327690:FCH327701 FLQ327690:FMD327701 FVM327690:FVZ327701 GFI327690:GFV327701 GPE327690:GPR327701 GZA327690:GZN327701 HIW327690:HJJ327701 HSS327690:HTF327701 ICO327690:IDB327701 IMK327690:IMX327701 IWG327690:IWT327701 JGC327690:JGP327701 JPY327690:JQL327701 JZU327690:KAH327701 KJQ327690:KKD327701 KTM327690:KTZ327701 LDI327690:LDV327701 LNE327690:LNR327701 LXA327690:LXN327701 MGW327690:MHJ327701 MQS327690:MRF327701 NAO327690:NBB327701 NKK327690:NKX327701 NUG327690:NUT327701 OEC327690:OEP327701 ONY327690:OOL327701 OXU327690:OYH327701 PHQ327690:PID327701 PRM327690:PRZ327701 QBI327690:QBV327701 QLE327690:QLR327701 QVA327690:QVN327701 REW327690:RFJ327701 ROS327690:RPF327701 RYO327690:RZB327701 SIK327690:SIX327701 SSG327690:SST327701 TCC327690:TCP327701 TLY327690:TML327701 TVU327690:TWH327701 UFQ327690:UGD327701 UPM327690:UPZ327701 UZI327690:UZV327701 VJE327690:VJR327701 VTA327690:VTN327701 WCW327690:WDJ327701 WMS327690:WNF327701 WWO327690:WXB327701 AG393226:AT393237 KC393226:KP393237 TY393226:UL393237 ADU393226:AEH393237 ANQ393226:AOD393237 AXM393226:AXZ393237 BHI393226:BHV393237 BRE393226:BRR393237 CBA393226:CBN393237 CKW393226:CLJ393237 CUS393226:CVF393237 DEO393226:DFB393237 DOK393226:DOX393237 DYG393226:DYT393237 EIC393226:EIP393237 ERY393226:ESL393237 FBU393226:FCH393237 FLQ393226:FMD393237 FVM393226:FVZ393237 GFI393226:GFV393237 GPE393226:GPR393237 GZA393226:GZN393237 HIW393226:HJJ393237 HSS393226:HTF393237 ICO393226:IDB393237 IMK393226:IMX393237 IWG393226:IWT393237 JGC393226:JGP393237 JPY393226:JQL393237 JZU393226:KAH393237 KJQ393226:KKD393237 KTM393226:KTZ393237 LDI393226:LDV393237 LNE393226:LNR393237 LXA393226:LXN393237 MGW393226:MHJ393237 MQS393226:MRF393237 NAO393226:NBB393237 NKK393226:NKX393237 NUG393226:NUT393237 OEC393226:OEP393237 ONY393226:OOL393237 OXU393226:OYH393237 PHQ393226:PID393237 PRM393226:PRZ393237 QBI393226:QBV393237 QLE393226:QLR393237 QVA393226:QVN393237 REW393226:RFJ393237 ROS393226:RPF393237 RYO393226:RZB393237 SIK393226:SIX393237 SSG393226:SST393237 TCC393226:TCP393237 TLY393226:TML393237 TVU393226:TWH393237 UFQ393226:UGD393237 UPM393226:UPZ393237 UZI393226:UZV393237 VJE393226:VJR393237 VTA393226:VTN393237 WCW393226:WDJ393237 WMS393226:WNF393237 WWO393226:WXB393237 AG458762:AT458773 KC458762:KP458773 TY458762:UL458773 ADU458762:AEH458773 ANQ458762:AOD458773 AXM458762:AXZ458773 BHI458762:BHV458773 BRE458762:BRR458773 CBA458762:CBN458773 CKW458762:CLJ458773 CUS458762:CVF458773 DEO458762:DFB458773 DOK458762:DOX458773 DYG458762:DYT458773 EIC458762:EIP458773 ERY458762:ESL458773 FBU458762:FCH458773 FLQ458762:FMD458773 FVM458762:FVZ458773 GFI458762:GFV458773 GPE458762:GPR458773 GZA458762:GZN458773 HIW458762:HJJ458773 HSS458762:HTF458773 ICO458762:IDB458773 IMK458762:IMX458773 IWG458762:IWT458773 JGC458762:JGP458773 JPY458762:JQL458773 JZU458762:KAH458773 KJQ458762:KKD458773 KTM458762:KTZ458773 LDI458762:LDV458773 LNE458762:LNR458773 LXA458762:LXN458773 MGW458762:MHJ458773 MQS458762:MRF458773 NAO458762:NBB458773 NKK458762:NKX458773 NUG458762:NUT458773 OEC458762:OEP458773 ONY458762:OOL458773 OXU458762:OYH458773 PHQ458762:PID458773 PRM458762:PRZ458773 QBI458762:QBV458773 QLE458762:QLR458773 QVA458762:QVN458773 REW458762:RFJ458773 ROS458762:RPF458773 RYO458762:RZB458773 SIK458762:SIX458773 SSG458762:SST458773 TCC458762:TCP458773 TLY458762:TML458773 TVU458762:TWH458773 UFQ458762:UGD458773 UPM458762:UPZ458773 UZI458762:UZV458773 VJE458762:VJR458773 VTA458762:VTN458773 WCW458762:WDJ458773 WMS458762:WNF458773 WWO458762:WXB458773 AG524298:AT524309 KC524298:KP524309 TY524298:UL524309 ADU524298:AEH524309 ANQ524298:AOD524309 AXM524298:AXZ524309 BHI524298:BHV524309 BRE524298:BRR524309 CBA524298:CBN524309 CKW524298:CLJ524309 CUS524298:CVF524309 DEO524298:DFB524309 DOK524298:DOX524309 DYG524298:DYT524309 EIC524298:EIP524309 ERY524298:ESL524309 FBU524298:FCH524309 FLQ524298:FMD524309 FVM524298:FVZ524309 GFI524298:GFV524309 GPE524298:GPR524309 GZA524298:GZN524309 HIW524298:HJJ524309 HSS524298:HTF524309 ICO524298:IDB524309 IMK524298:IMX524309 IWG524298:IWT524309 JGC524298:JGP524309 JPY524298:JQL524309 JZU524298:KAH524309 KJQ524298:KKD524309 KTM524298:KTZ524309 LDI524298:LDV524309 LNE524298:LNR524309 LXA524298:LXN524309 MGW524298:MHJ524309 MQS524298:MRF524309 NAO524298:NBB524309 NKK524298:NKX524309 NUG524298:NUT524309 OEC524298:OEP524309 ONY524298:OOL524309 OXU524298:OYH524309 PHQ524298:PID524309 PRM524298:PRZ524309 QBI524298:QBV524309 QLE524298:QLR524309 QVA524298:QVN524309 REW524298:RFJ524309 ROS524298:RPF524309 RYO524298:RZB524309 SIK524298:SIX524309 SSG524298:SST524309 TCC524298:TCP524309 TLY524298:TML524309 TVU524298:TWH524309 UFQ524298:UGD524309 UPM524298:UPZ524309 UZI524298:UZV524309 VJE524298:VJR524309 VTA524298:VTN524309 WCW524298:WDJ524309 WMS524298:WNF524309 WWO524298:WXB524309 AG589834:AT589845 KC589834:KP589845 TY589834:UL589845 ADU589834:AEH589845 ANQ589834:AOD589845 AXM589834:AXZ589845 BHI589834:BHV589845 BRE589834:BRR589845 CBA589834:CBN589845 CKW589834:CLJ589845 CUS589834:CVF589845 DEO589834:DFB589845 DOK589834:DOX589845 DYG589834:DYT589845 EIC589834:EIP589845 ERY589834:ESL589845 FBU589834:FCH589845 FLQ589834:FMD589845 FVM589834:FVZ589845 GFI589834:GFV589845 GPE589834:GPR589845 GZA589834:GZN589845 HIW589834:HJJ589845 HSS589834:HTF589845 ICO589834:IDB589845 IMK589834:IMX589845 IWG589834:IWT589845 JGC589834:JGP589845 JPY589834:JQL589845 JZU589834:KAH589845 KJQ589834:KKD589845 KTM589834:KTZ589845 LDI589834:LDV589845 LNE589834:LNR589845 LXA589834:LXN589845 MGW589834:MHJ589845 MQS589834:MRF589845 NAO589834:NBB589845 NKK589834:NKX589845 NUG589834:NUT589845 OEC589834:OEP589845 ONY589834:OOL589845 OXU589834:OYH589845 PHQ589834:PID589845 PRM589834:PRZ589845 QBI589834:QBV589845 QLE589834:QLR589845 QVA589834:QVN589845 REW589834:RFJ589845 ROS589834:RPF589845 RYO589834:RZB589845 SIK589834:SIX589845 SSG589834:SST589845 TCC589834:TCP589845 TLY589834:TML589845 TVU589834:TWH589845 UFQ589834:UGD589845 UPM589834:UPZ589845 UZI589834:UZV589845 VJE589834:VJR589845 VTA589834:VTN589845 WCW589834:WDJ589845 WMS589834:WNF589845 WWO589834:WXB589845 AG655370:AT655381 KC655370:KP655381 TY655370:UL655381 ADU655370:AEH655381 ANQ655370:AOD655381 AXM655370:AXZ655381 BHI655370:BHV655381 BRE655370:BRR655381 CBA655370:CBN655381 CKW655370:CLJ655381 CUS655370:CVF655381 DEO655370:DFB655381 DOK655370:DOX655381 DYG655370:DYT655381 EIC655370:EIP655381 ERY655370:ESL655381 FBU655370:FCH655381 FLQ655370:FMD655381 FVM655370:FVZ655381 GFI655370:GFV655381 GPE655370:GPR655381 GZA655370:GZN655381 HIW655370:HJJ655381 HSS655370:HTF655381 ICO655370:IDB655381 IMK655370:IMX655381 IWG655370:IWT655381 JGC655370:JGP655381 JPY655370:JQL655381 JZU655370:KAH655381 KJQ655370:KKD655381 KTM655370:KTZ655381 LDI655370:LDV655381 LNE655370:LNR655381 LXA655370:LXN655381 MGW655370:MHJ655381 MQS655370:MRF655381 NAO655370:NBB655381 NKK655370:NKX655381 NUG655370:NUT655381 OEC655370:OEP655381 ONY655370:OOL655381 OXU655370:OYH655381 PHQ655370:PID655381 PRM655370:PRZ655381 QBI655370:QBV655381 QLE655370:QLR655381 QVA655370:QVN655381 REW655370:RFJ655381 ROS655370:RPF655381 RYO655370:RZB655381 SIK655370:SIX655381 SSG655370:SST655381 TCC655370:TCP655381 TLY655370:TML655381 TVU655370:TWH655381 UFQ655370:UGD655381 UPM655370:UPZ655381 UZI655370:UZV655381 VJE655370:VJR655381 VTA655370:VTN655381 WCW655370:WDJ655381 WMS655370:WNF655381 WWO655370:WXB655381 AG720906:AT720917 KC720906:KP720917 TY720906:UL720917 ADU720906:AEH720917 ANQ720906:AOD720917 AXM720906:AXZ720917 BHI720906:BHV720917 BRE720906:BRR720917 CBA720906:CBN720917 CKW720906:CLJ720917 CUS720906:CVF720917 DEO720906:DFB720917 DOK720906:DOX720917 DYG720906:DYT720917 EIC720906:EIP720917 ERY720906:ESL720917 FBU720906:FCH720917 FLQ720906:FMD720917 FVM720906:FVZ720917 GFI720906:GFV720917 GPE720906:GPR720917 GZA720906:GZN720917 HIW720906:HJJ720917 HSS720906:HTF720917 ICO720906:IDB720917 IMK720906:IMX720917 IWG720906:IWT720917 JGC720906:JGP720917 JPY720906:JQL720917 JZU720906:KAH720917 KJQ720906:KKD720917 KTM720906:KTZ720917 LDI720906:LDV720917 LNE720906:LNR720917 LXA720906:LXN720917 MGW720906:MHJ720917 MQS720906:MRF720917 NAO720906:NBB720917 NKK720906:NKX720917 NUG720906:NUT720917 OEC720906:OEP720917 ONY720906:OOL720917 OXU720906:OYH720917 PHQ720906:PID720917 PRM720906:PRZ720917 QBI720906:QBV720917 QLE720906:QLR720917 QVA720906:QVN720917 REW720906:RFJ720917 ROS720906:RPF720917 RYO720906:RZB720917 SIK720906:SIX720917 SSG720906:SST720917 TCC720906:TCP720917 TLY720906:TML720917 TVU720906:TWH720917 UFQ720906:UGD720917 UPM720906:UPZ720917 UZI720906:UZV720917 VJE720906:VJR720917 VTA720906:VTN720917 WCW720906:WDJ720917 WMS720906:WNF720917 WWO720906:WXB720917 AG786442:AT786453 KC786442:KP786453 TY786442:UL786453 ADU786442:AEH786453 ANQ786442:AOD786453 AXM786442:AXZ786453 BHI786442:BHV786453 BRE786442:BRR786453 CBA786442:CBN786453 CKW786442:CLJ786453 CUS786442:CVF786453 DEO786442:DFB786453 DOK786442:DOX786453 DYG786442:DYT786453 EIC786442:EIP786453 ERY786442:ESL786453 FBU786442:FCH786453 FLQ786442:FMD786453 FVM786442:FVZ786453 GFI786442:GFV786453 GPE786442:GPR786453 GZA786442:GZN786453 HIW786442:HJJ786453 HSS786442:HTF786453 ICO786442:IDB786453 IMK786442:IMX786453 IWG786442:IWT786453 JGC786442:JGP786453 JPY786442:JQL786453 JZU786442:KAH786453 KJQ786442:KKD786453 KTM786442:KTZ786453 LDI786442:LDV786453 LNE786442:LNR786453 LXA786442:LXN786453 MGW786442:MHJ786453 MQS786442:MRF786453 NAO786442:NBB786453 NKK786442:NKX786453 NUG786442:NUT786453 OEC786442:OEP786453 ONY786442:OOL786453 OXU786442:OYH786453 PHQ786442:PID786453 PRM786442:PRZ786453 QBI786442:QBV786453 QLE786442:QLR786453 QVA786442:QVN786453 REW786442:RFJ786453 ROS786442:RPF786453 RYO786442:RZB786453 SIK786442:SIX786453 SSG786442:SST786453 TCC786442:TCP786453 TLY786442:TML786453 TVU786442:TWH786453 UFQ786442:UGD786453 UPM786442:UPZ786453 UZI786442:UZV786453 VJE786442:VJR786453 VTA786442:VTN786453 WCW786442:WDJ786453 WMS786442:WNF786453 WWO786442:WXB786453 AG851978:AT851989 KC851978:KP851989 TY851978:UL851989 ADU851978:AEH851989 ANQ851978:AOD851989 AXM851978:AXZ851989 BHI851978:BHV851989 BRE851978:BRR851989 CBA851978:CBN851989 CKW851978:CLJ851989 CUS851978:CVF851989 DEO851978:DFB851989 DOK851978:DOX851989 DYG851978:DYT851989 EIC851978:EIP851989 ERY851978:ESL851989 FBU851978:FCH851989 FLQ851978:FMD851989 FVM851978:FVZ851989 GFI851978:GFV851989 GPE851978:GPR851989 GZA851978:GZN851989 HIW851978:HJJ851989 HSS851978:HTF851989 ICO851978:IDB851989 IMK851978:IMX851989 IWG851978:IWT851989 JGC851978:JGP851989 JPY851978:JQL851989 JZU851978:KAH851989 KJQ851978:KKD851989 KTM851978:KTZ851989 LDI851978:LDV851989 LNE851978:LNR851989 LXA851978:LXN851989 MGW851978:MHJ851989 MQS851978:MRF851989 NAO851978:NBB851989 NKK851978:NKX851989 NUG851978:NUT851989 OEC851978:OEP851989 ONY851978:OOL851989 OXU851978:OYH851989 PHQ851978:PID851989 PRM851978:PRZ851989 QBI851978:QBV851989 QLE851978:QLR851989 QVA851978:QVN851989 REW851978:RFJ851989 ROS851978:RPF851989 RYO851978:RZB851989 SIK851978:SIX851989 SSG851978:SST851989 TCC851978:TCP851989 TLY851978:TML851989 TVU851978:TWH851989 UFQ851978:UGD851989 UPM851978:UPZ851989 UZI851978:UZV851989 VJE851978:VJR851989 VTA851978:VTN851989 WCW851978:WDJ851989 WMS851978:WNF851989 WWO851978:WXB851989 AG917514:AT917525 KC917514:KP917525 TY917514:UL917525 ADU917514:AEH917525 ANQ917514:AOD917525 AXM917514:AXZ917525 BHI917514:BHV917525 BRE917514:BRR917525 CBA917514:CBN917525 CKW917514:CLJ917525 CUS917514:CVF917525 DEO917514:DFB917525 DOK917514:DOX917525 DYG917514:DYT917525 EIC917514:EIP917525 ERY917514:ESL917525 FBU917514:FCH917525 FLQ917514:FMD917525 FVM917514:FVZ917525 GFI917514:GFV917525 GPE917514:GPR917525 GZA917514:GZN917525 HIW917514:HJJ917525 HSS917514:HTF917525 ICO917514:IDB917525 IMK917514:IMX917525 IWG917514:IWT917525 JGC917514:JGP917525 JPY917514:JQL917525 JZU917514:KAH917525 KJQ917514:KKD917525 KTM917514:KTZ917525 LDI917514:LDV917525 LNE917514:LNR917525 LXA917514:LXN917525 MGW917514:MHJ917525 MQS917514:MRF917525 NAO917514:NBB917525 NKK917514:NKX917525 NUG917514:NUT917525 OEC917514:OEP917525 ONY917514:OOL917525 OXU917514:OYH917525 PHQ917514:PID917525 PRM917514:PRZ917525 QBI917514:QBV917525 QLE917514:QLR917525 QVA917514:QVN917525 REW917514:RFJ917525 ROS917514:RPF917525 RYO917514:RZB917525 SIK917514:SIX917525 SSG917514:SST917525 TCC917514:TCP917525 TLY917514:TML917525 TVU917514:TWH917525 UFQ917514:UGD917525 UPM917514:UPZ917525 UZI917514:UZV917525 VJE917514:VJR917525 VTA917514:VTN917525 WCW917514:WDJ917525 WMS917514:WNF917525 WWO917514:WXB917525 AG983050:AT983061 KC983050:KP983061 TY983050:UL983061 ADU983050:AEH983061 ANQ983050:AOD983061 AXM983050:AXZ983061 BHI983050:BHV983061 BRE983050:BRR983061 CBA983050:CBN983061 CKW983050:CLJ983061 CUS983050:CVF983061 DEO983050:DFB983061 DOK983050:DOX983061 DYG983050:DYT983061 EIC983050:EIP983061 ERY983050:ESL983061 FBU983050:FCH983061 FLQ983050:FMD983061 FVM983050:FVZ983061 GFI983050:GFV983061 GPE983050:GPR983061 GZA983050:GZN983061 HIW983050:HJJ983061 HSS983050:HTF983061 ICO983050:IDB983061 IMK983050:IMX983061 IWG983050:IWT983061 JGC983050:JGP983061 JPY983050:JQL983061 JZU983050:KAH983061 KJQ983050:KKD983061 KTM983050:KTZ983061 LDI983050:LDV983061 LNE983050:LNR983061 LXA983050:LXN983061 MGW983050:MHJ983061 MQS983050:MRF983061 NAO983050:NBB983061 NKK983050:NKX983061 NUG983050:NUT983061 OEC983050:OEP983061 ONY983050:OOL983061 OXU983050:OYH983061 PHQ983050:PID983061 PRM983050:PRZ983061 QBI983050:QBV983061 QLE983050:QLR983061 QVA983050:QVN983061 REW983050:RFJ983061 ROS983050:RPF983061 RYO983050:RZB983061 SIK983050:SIX983061 SSG983050:SST983061 TCC983050:TCP983061 TLY983050:TML983061 TVU983050:TWH983061 UFQ983050:UGD983061 UPM983050:UPZ983061 UZI983050:UZV983061 VJE983050:VJR983061 VTA983050:VTN983061 WCW983050:WDJ983061 WMS983050:WNF983061 WWO983050:WXB983061"/>
    <dataValidation type="list" allowBlank="1" showInputMessage="1" showErrorMessage="1" sqref="M10:N21 JI10:JJ21 TE10:TF21 ADA10:ADB21 AMW10:AMX21 AWS10:AWT21 BGO10:BGP21 BQK10:BQL21 CAG10:CAH21 CKC10:CKD21 CTY10:CTZ21 DDU10:DDV21 DNQ10:DNR21 DXM10:DXN21 EHI10:EHJ21 ERE10:ERF21 FBA10:FBB21 FKW10:FKX21 FUS10:FUT21 GEO10:GEP21 GOK10:GOL21 GYG10:GYH21 HIC10:HID21 HRY10:HRZ21 IBU10:IBV21 ILQ10:ILR21 IVM10:IVN21 JFI10:JFJ21 JPE10:JPF21 JZA10:JZB21 KIW10:KIX21 KSS10:KST21 LCO10:LCP21 LMK10:LML21 LWG10:LWH21 MGC10:MGD21 MPY10:MPZ21 MZU10:MZV21 NJQ10:NJR21 NTM10:NTN21 ODI10:ODJ21 ONE10:ONF21 OXA10:OXB21 PGW10:PGX21 PQS10:PQT21 QAO10:QAP21 QKK10:QKL21 QUG10:QUH21 REC10:RED21 RNY10:RNZ21 RXU10:RXV21 SHQ10:SHR21 SRM10:SRN21 TBI10:TBJ21 TLE10:TLF21 TVA10:TVB21 UEW10:UEX21 UOS10:UOT21 UYO10:UYP21 VIK10:VIL21 VSG10:VSH21 WCC10:WCD21 WLY10:WLZ21 WVU10:WVV21 M65546:N65557 JI65546:JJ65557 TE65546:TF65557 ADA65546:ADB65557 AMW65546:AMX65557 AWS65546:AWT65557 BGO65546:BGP65557 BQK65546:BQL65557 CAG65546:CAH65557 CKC65546:CKD65557 CTY65546:CTZ65557 DDU65546:DDV65557 DNQ65546:DNR65557 DXM65546:DXN65557 EHI65546:EHJ65557 ERE65546:ERF65557 FBA65546:FBB65557 FKW65546:FKX65557 FUS65546:FUT65557 GEO65546:GEP65557 GOK65546:GOL65557 GYG65546:GYH65557 HIC65546:HID65557 HRY65546:HRZ65557 IBU65546:IBV65557 ILQ65546:ILR65557 IVM65546:IVN65557 JFI65546:JFJ65557 JPE65546:JPF65557 JZA65546:JZB65557 KIW65546:KIX65557 KSS65546:KST65557 LCO65546:LCP65557 LMK65546:LML65557 LWG65546:LWH65557 MGC65546:MGD65557 MPY65546:MPZ65557 MZU65546:MZV65557 NJQ65546:NJR65557 NTM65546:NTN65557 ODI65546:ODJ65557 ONE65546:ONF65557 OXA65546:OXB65557 PGW65546:PGX65557 PQS65546:PQT65557 QAO65546:QAP65557 QKK65546:QKL65557 QUG65546:QUH65557 REC65546:RED65557 RNY65546:RNZ65557 RXU65546:RXV65557 SHQ65546:SHR65557 SRM65546:SRN65557 TBI65546:TBJ65557 TLE65546:TLF65557 TVA65546:TVB65557 UEW65546:UEX65557 UOS65546:UOT65557 UYO65546:UYP65557 VIK65546:VIL65557 VSG65546:VSH65557 WCC65546:WCD65557 WLY65546:WLZ65557 WVU65546:WVV65557 M131082:N131093 JI131082:JJ131093 TE131082:TF131093 ADA131082:ADB131093 AMW131082:AMX131093 AWS131082:AWT131093 BGO131082:BGP131093 BQK131082:BQL131093 CAG131082:CAH131093 CKC131082:CKD131093 CTY131082:CTZ131093 DDU131082:DDV131093 DNQ131082:DNR131093 DXM131082:DXN131093 EHI131082:EHJ131093 ERE131082:ERF131093 FBA131082:FBB131093 FKW131082:FKX131093 FUS131082:FUT131093 GEO131082:GEP131093 GOK131082:GOL131093 GYG131082:GYH131093 HIC131082:HID131093 HRY131082:HRZ131093 IBU131082:IBV131093 ILQ131082:ILR131093 IVM131082:IVN131093 JFI131082:JFJ131093 JPE131082:JPF131093 JZA131082:JZB131093 KIW131082:KIX131093 KSS131082:KST131093 LCO131082:LCP131093 LMK131082:LML131093 LWG131082:LWH131093 MGC131082:MGD131093 MPY131082:MPZ131093 MZU131082:MZV131093 NJQ131082:NJR131093 NTM131082:NTN131093 ODI131082:ODJ131093 ONE131082:ONF131093 OXA131082:OXB131093 PGW131082:PGX131093 PQS131082:PQT131093 QAO131082:QAP131093 QKK131082:QKL131093 QUG131082:QUH131093 REC131082:RED131093 RNY131082:RNZ131093 RXU131082:RXV131093 SHQ131082:SHR131093 SRM131082:SRN131093 TBI131082:TBJ131093 TLE131082:TLF131093 TVA131082:TVB131093 UEW131082:UEX131093 UOS131082:UOT131093 UYO131082:UYP131093 VIK131082:VIL131093 VSG131082:VSH131093 WCC131082:WCD131093 WLY131082:WLZ131093 WVU131082:WVV131093 M196618:N196629 JI196618:JJ196629 TE196618:TF196629 ADA196618:ADB196629 AMW196618:AMX196629 AWS196618:AWT196629 BGO196618:BGP196629 BQK196618:BQL196629 CAG196618:CAH196629 CKC196618:CKD196629 CTY196618:CTZ196629 DDU196618:DDV196629 DNQ196618:DNR196629 DXM196618:DXN196629 EHI196618:EHJ196629 ERE196618:ERF196629 FBA196618:FBB196629 FKW196618:FKX196629 FUS196618:FUT196629 GEO196618:GEP196629 GOK196618:GOL196629 GYG196618:GYH196629 HIC196618:HID196629 HRY196618:HRZ196629 IBU196618:IBV196629 ILQ196618:ILR196629 IVM196618:IVN196629 JFI196618:JFJ196629 JPE196618:JPF196629 JZA196618:JZB196629 KIW196618:KIX196629 KSS196618:KST196629 LCO196618:LCP196629 LMK196618:LML196629 LWG196618:LWH196629 MGC196618:MGD196629 MPY196618:MPZ196629 MZU196618:MZV196629 NJQ196618:NJR196629 NTM196618:NTN196629 ODI196618:ODJ196629 ONE196618:ONF196629 OXA196618:OXB196629 PGW196618:PGX196629 PQS196618:PQT196629 QAO196618:QAP196629 QKK196618:QKL196629 QUG196618:QUH196629 REC196618:RED196629 RNY196618:RNZ196629 RXU196618:RXV196629 SHQ196618:SHR196629 SRM196618:SRN196629 TBI196618:TBJ196629 TLE196618:TLF196629 TVA196618:TVB196629 UEW196618:UEX196629 UOS196618:UOT196629 UYO196618:UYP196629 VIK196618:VIL196629 VSG196618:VSH196629 WCC196618:WCD196629 WLY196618:WLZ196629 WVU196618:WVV196629 M262154:N262165 JI262154:JJ262165 TE262154:TF262165 ADA262154:ADB262165 AMW262154:AMX262165 AWS262154:AWT262165 BGO262154:BGP262165 BQK262154:BQL262165 CAG262154:CAH262165 CKC262154:CKD262165 CTY262154:CTZ262165 DDU262154:DDV262165 DNQ262154:DNR262165 DXM262154:DXN262165 EHI262154:EHJ262165 ERE262154:ERF262165 FBA262154:FBB262165 FKW262154:FKX262165 FUS262154:FUT262165 GEO262154:GEP262165 GOK262154:GOL262165 GYG262154:GYH262165 HIC262154:HID262165 HRY262154:HRZ262165 IBU262154:IBV262165 ILQ262154:ILR262165 IVM262154:IVN262165 JFI262154:JFJ262165 JPE262154:JPF262165 JZA262154:JZB262165 KIW262154:KIX262165 KSS262154:KST262165 LCO262154:LCP262165 LMK262154:LML262165 LWG262154:LWH262165 MGC262154:MGD262165 MPY262154:MPZ262165 MZU262154:MZV262165 NJQ262154:NJR262165 NTM262154:NTN262165 ODI262154:ODJ262165 ONE262154:ONF262165 OXA262154:OXB262165 PGW262154:PGX262165 PQS262154:PQT262165 QAO262154:QAP262165 QKK262154:QKL262165 QUG262154:QUH262165 REC262154:RED262165 RNY262154:RNZ262165 RXU262154:RXV262165 SHQ262154:SHR262165 SRM262154:SRN262165 TBI262154:TBJ262165 TLE262154:TLF262165 TVA262154:TVB262165 UEW262154:UEX262165 UOS262154:UOT262165 UYO262154:UYP262165 VIK262154:VIL262165 VSG262154:VSH262165 WCC262154:WCD262165 WLY262154:WLZ262165 WVU262154:WVV262165 M327690:N327701 JI327690:JJ327701 TE327690:TF327701 ADA327690:ADB327701 AMW327690:AMX327701 AWS327690:AWT327701 BGO327690:BGP327701 BQK327690:BQL327701 CAG327690:CAH327701 CKC327690:CKD327701 CTY327690:CTZ327701 DDU327690:DDV327701 DNQ327690:DNR327701 DXM327690:DXN327701 EHI327690:EHJ327701 ERE327690:ERF327701 FBA327690:FBB327701 FKW327690:FKX327701 FUS327690:FUT327701 GEO327690:GEP327701 GOK327690:GOL327701 GYG327690:GYH327701 HIC327690:HID327701 HRY327690:HRZ327701 IBU327690:IBV327701 ILQ327690:ILR327701 IVM327690:IVN327701 JFI327690:JFJ327701 JPE327690:JPF327701 JZA327690:JZB327701 KIW327690:KIX327701 KSS327690:KST327701 LCO327690:LCP327701 LMK327690:LML327701 LWG327690:LWH327701 MGC327690:MGD327701 MPY327690:MPZ327701 MZU327690:MZV327701 NJQ327690:NJR327701 NTM327690:NTN327701 ODI327690:ODJ327701 ONE327690:ONF327701 OXA327690:OXB327701 PGW327690:PGX327701 PQS327690:PQT327701 QAO327690:QAP327701 QKK327690:QKL327701 QUG327690:QUH327701 REC327690:RED327701 RNY327690:RNZ327701 RXU327690:RXV327701 SHQ327690:SHR327701 SRM327690:SRN327701 TBI327690:TBJ327701 TLE327690:TLF327701 TVA327690:TVB327701 UEW327690:UEX327701 UOS327690:UOT327701 UYO327690:UYP327701 VIK327690:VIL327701 VSG327690:VSH327701 WCC327690:WCD327701 WLY327690:WLZ327701 WVU327690:WVV327701 M393226:N393237 JI393226:JJ393237 TE393226:TF393237 ADA393226:ADB393237 AMW393226:AMX393237 AWS393226:AWT393237 BGO393226:BGP393237 BQK393226:BQL393237 CAG393226:CAH393237 CKC393226:CKD393237 CTY393226:CTZ393237 DDU393226:DDV393237 DNQ393226:DNR393237 DXM393226:DXN393237 EHI393226:EHJ393237 ERE393226:ERF393237 FBA393226:FBB393237 FKW393226:FKX393237 FUS393226:FUT393237 GEO393226:GEP393237 GOK393226:GOL393237 GYG393226:GYH393237 HIC393226:HID393237 HRY393226:HRZ393237 IBU393226:IBV393237 ILQ393226:ILR393237 IVM393226:IVN393237 JFI393226:JFJ393237 JPE393226:JPF393237 JZA393226:JZB393237 KIW393226:KIX393237 KSS393226:KST393237 LCO393226:LCP393237 LMK393226:LML393237 LWG393226:LWH393237 MGC393226:MGD393237 MPY393226:MPZ393237 MZU393226:MZV393237 NJQ393226:NJR393237 NTM393226:NTN393237 ODI393226:ODJ393237 ONE393226:ONF393237 OXA393226:OXB393237 PGW393226:PGX393237 PQS393226:PQT393237 QAO393226:QAP393237 QKK393226:QKL393237 QUG393226:QUH393237 REC393226:RED393237 RNY393226:RNZ393237 RXU393226:RXV393237 SHQ393226:SHR393237 SRM393226:SRN393237 TBI393226:TBJ393237 TLE393226:TLF393237 TVA393226:TVB393237 UEW393226:UEX393237 UOS393226:UOT393237 UYO393226:UYP393237 VIK393226:VIL393237 VSG393226:VSH393237 WCC393226:WCD393237 WLY393226:WLZ393237 WVU393226:WVV393237 M458762:N458773 JI458762:JJ458773 TE458762:TF458773 ADA458762:ADB458773 AMW458762:AMX458773 AWS458762:AWT458773 BGO458762:BGP458773 BQK458762:BQL458773 CAG458762:CAH458773 CKC458762:CKD458773 CTY458762:CTZ458773 DDU458762:DDV458773 DNQ458762:DNR458773 DXM458762:DXN458773 EHI458762:EHJ458773 ERE458762:ERF458773 FBA458762:FBB458773 FKW458762:FKX458773 FUS458762:FUT458773 GEO458762:GEP458773 GOK458762:GOL458773 GYG458762:GYH458773 HIC458762:HID458773 HRY458762:HRZ458773 IBU458762:IBV458773 ILQ458762:ILR458773 IVM458762:IVN458773 JFI458762:JFJ458773 JPE458762:JPF458773 JZA458762:JZB458773 KIW458762:KIX458773 KSS458762:KST458773 LCO458762:LCP458773 LMK458762:LML458773 LWG458762:LWH458773 MGC458762:MGD458773 MPY458762:MPZ458773 MZU458762:MZV458773 NJQ458762:NJR458773 NTM458762:NTN458773 ODI458762:ODJ458773 ONE458762:ONF458773 OXA458762:OXB458773 PGW458762:PGX458773 PQS458762:PQT458773 QAO458762:QAP458773 QKK458762:QKL458773 QUG458762:QUH458773 REC458762:RED458773 RNY458762:RNZ458773 RXU458762:RXV458773 SHQ458762:SHR458773 SRM458762:SRN458773 TBI458762:TBJ458773 TLE458762:TLF458773 TVA458762:TVB458773 UEW458762:UEX458773 UOS458762:UOT458773 UYO458762:UYP458773 VIK458762:VIL458773 VSG458762:VSH458773 WCC458762:WCD458773 WLY458762:WLZ458773 WVU458762:WVV458773 M524298:N524309 JI524298:JJ524309 TE524298:TF524309 ADA524298:ADB524309 AMW524298:AMX524309 AWS524298:AWT524309 BGO524298:BGP524309 BQK524298:BQL524309 CAG524298:CAH524309 CKC524298:CKD524309 CTY524298:CTZ524309 DDU524298:DDV524309 DNQ524298:DNR524309 DXM524298:DXN524309 EHI524298:EHJ524309 ERE524298:ERF524309 FBA524298:FBB524309 FKW524298:FKX524309 FUS524298:FUT524309 GEO524298:GEP524309 GOK524298:GOL524309 GYG524298:GYH524309 HIC524298:HID524309 HRY524298:HRZ524309 IBU524298:IBV524309 ILQ524298:ILR524309 IVM524298:IVN524309 JFI524298:JFJ524309 JPE524298:JPF524309 JZA524298:JZB524309 KIW524298:KIX524309 KSS524298:KST524309 LCO524298:LCP524309 LMK524298:LML524309 LWG524298:LWH524309 MGC524298:MGD524309 MPY524298:MPZ524309 MZU524298:MZV524309 NJQ524298:NJR524309 NTM524298:NTN524309 ODI524298:ODJ524309 ONE524298:ONF524309 OXA524298:OXB524309 PGW524298:PGX524309 PQS524298:PQT524309 QAO524298:QAP524309 QKK524298:QKL524309 QUG524298:QUH524309 REC524298:RED524309 RNY524298:RNZ524309 RXU524298:RXV524309 SHQ524298:SHR524309 SRM524298:SRN524309 TBI524298:TBJ524309 TLE524298:TLF524309 TVA524298:TVB524309 UEW524298:UEX524309 UOS524298:UOT524309 UYO524298:UYP524309 VIK524298:VIL524309 VSG524298:VSH524309 WCC524298:WCD524309 WLY524298:WLZ524309 WVU524298:WVV524309 M589834:N589845 JI589834:JJ589845 TE589834:TF589845 ADA589834:ADB589845 AMW589834:AMX589845 AWS589834:AWT589845 BGO589834:BGP589845 BQK589834:BQL589845 CAG589834:CAH589845 CKC589834:CKD589845 CTY589834:CTZ589845 DDU589834:DDV589845 DNQ589834:DNR589845 DXM589834:DXN589845 EHI589834:EHJ589845 ERE589834:ERF589845 FBA589834:FBB589845 FKW589834:FKX589845 FUS589834:FUT589845 GEO589834:GEP589845 GOK589834:GOL589845 GYG589834:GYH589845 HIC589834:HID589845 HRY589834:HRZ589845 IBU589834:IBV589845 ILQ589834:ILR589845 IVM589834:IVN589845 JFI589834:JFJ589845 JPE589834:JPF589845 JZA589834:JZB589845 KIW589834:KIX589845 KSS589834:KST589845 LCO589834:LCP589845 LMK589834:LML589845 LWG589834:LWH589845 MGC589834:MGD589845 MPY589834:MPZ589845 MZU589834:MZV589845 NJQ589834:NJR589845 NTM589834:NTN589845 ODI589834:ODJ589845 ONE589834:ONF589845 OXA589834:OXB589845 PGW589834:PGX589845 PQS589834:PQT589845 QAO589834:QAP589845 QKK589834:QKL589845 QUG589834:QUH589845 REC589834:RED589845 RNY589834:RNZ589845 RXU589834:RXV589845 SHQ589834:SHR589845 SRM589834:SRN589845 TBI589834:TBJ589845 TLE589834:TLF589845 TVA589834:TVB589845 UEW589834:UEX589845 UOS589834:UOT589845 UYO589834:UYP589845 VIK589834:VIL589845 VSG589834:VSH589845 WCC589834:WCD589845 WLY589834:WLZ589845 WVU589834:WVV589845 M655370:N655381 JI655370:JJ655381 TE655370:TF655381 ADA655370:ADB655381 AMW655370:AMX655381 AWS655370:AWT655381 BGO655370:BGP655381 BQK655370:BQL655381 CAG655370:CAH655381 CKC655370:CKD655381 CTY655370:CTZ655381 DDU655370:DDV655381 DNQ655370:DNR655381 DXM655370:DXN655381 EHI655370:EHJ655381 ERE655370:ERF655381 FBA655370:FBB655381 FKW655370:FKX655381 FUS655370:FUT655381 GEO655370:GEP655381 GOK655370:GOL655381 GYG655370:GYH655381 HIC655370:HID655381 HRY655370:HRZ655381 IBU655370:IBV655381 ILQ655370:ILR655381 IVM655370:IVN655381 JFI655370:JFJ655381 JPE655370:JPF655381 JZA655370:JZB655381 KIW655370:KIX655381 KSS655370:KST655381 LCO655370:LCP655381 LMK655370:LML655381 LWG655370:LWH655381 MGC655370:MGD655381 MPY655370:MPZ655381 MZU655370:MZV655381 NJQ655370:NJR655381 NTM655370:NTN655381 ODI655370:ODJ655381 ONE655370:ONF655381 OXA655370:OXB655381 PGW655370:PGX655381 PQS655370:PQT655381 QAO655370:QAP655381 QKK655370:QKL655381 QUG655370:QUH655381 REC655370:RED655381 RNY655370:RNZ655381 RXU655370:RXV655381 SHQ655370:SHR655381 SRM655370:SRN655381 TBI655370:TBJ655381 TLE655370:TLF655381 TVA655370:TVB655381 UEW655370:UEX655381 UOS655370:UOT655381 UYO655370:UYP655381 VIK655370:VIL655381 VSG655370:VSH655381 WCC655370:WCD655381 WLY655370:WLZ655381 WVU655370:WVV655381 M720906:N720917 JI720906:JJ720917 TE720906:TF720917 ADA720906:ADB720917 AMW720906:AMX720917 AWS720906:AWT720917 BGO720906:BGP720917 BQK720906:BQL720917 CAG720906:CAH720917 CKC720906:CKD720917 CTY720906:CTZ720917 DDU720906:DDV720917 DNQ720906:DNR720917 DXM720906:DXN720917 EHI720906:EHJ720917 ERE720906:ERF720917 FBA720906:FBB720917 FKW720906:FKX720917 FUS720906:FUT720917 GEO720906:GEP720917 GOK720906:GOL720917 GYG720906:GYH720917 HIC720906:HID720917 HRY720906:HRZ720917 IBU720906:IBV720917 ILQ720906:ILR720917 IVM720906:IVN720917 JFI720906:JFJ720917 JPE720906:JPF720917 JZA720906:JZB720917 KIW720906:KIX720917 KSS720906:KST720917 LCO720906:LCP720917 LMK720906:LML720917 LWG720906:LWH720917 MGC720906:MGD720917 MPY720906:MPZ720917 MZU720906:MZV720917 NJQ720906:NJR720917 NTM720906:NTN720917 ODI720906:ODJ720917 ONE720906:ONF720917 OXA720906:OXB720917 PGW720906:PGX720917 PQS720906:PQT720917 QAO720906:QAP720917 QKK720906:QKL720917 QUG720906:QUH720917 REC720906:RED720917 RNY720906:RNZ720917 RXU720906:RXV720917 SHQ720906:SHR720917 SRM720906:SRN720917 TBI720906:TBJ720917 TLE720906:TLF720917 TVA720906:TVB720917 UEW720906:UEX720917 UOS720906:UOT720917 UYO720906:UYP720917 VIK720906:VIL720917 VSG720906:VSH720917 WCC720906:WCD720917 WLY720906:WLZ720917 WVU720906:WVV720917 M786442:N786453 JI786442:JJ786453 TE786442:TF786453 ADA786442:ADB786453 AMW786442:AMX786453 AWS786442:AWT786453 BGO786442:BGP786453 BQK786442:BQL786453 CAG786442:CAH786453 CKC786442:CKD786453 CTY786442:CTZ786453 DDU786442:DDV786453 DNQ786442:DNR786453 DXM786442:DXN786453 EHI786442:EHJ786453 ERE786442:ERF786453 FBA786442:FBB786453 FKW786442:FKX786453 FUS786442:FUT786453 GEO786442:GEP786453 GOK786442:GOL786453 GYG786442:GYH786453 HIC786442:HID786453 HRY786442:HRZ786453 IBU786442:IBV786453 ILQ786442:ILR786453 IVM786442:IVN786453 JFI786442:JFJ786453 JPE786442:JPF786453 JZA786442:JZB786453 KIW786442:KIX786453 KSS786442:KST786453 LCO786442:LCP786453 LMK786442:LML786453 LWG786442:LWH786453 MGC786442:MGD786453 MPY786442:MPZ786453 MZU786442:MZV786453 NJQ786442:NJR786453 NTM786442:NTN786453 ODI786442:ODJ786453 ONE786442:ONF786453 OXA786442:OXB786453 PGW786442:PGX786453 PQS786442:PQT786453 QAO786442:QAP786453 QKK786442:QKL786453 QUG786442:QUH786453 REC786442:RED786453 RNY786442:RNZ786453 RXU786442:RXV786453 SHQ786442:SHR786453 SRM786442:SRN786453 TBI786442:TBJ786453 TLE786442:TLF786453 TVA786442:TVB786453 UEW786442:UEX786453 UOS786442:UOT786453 UYO786442:UYP786453 VIK786442:VIL786453 VSG786442:VSH786453 WCC786442:WCD786453 WLY786442:WLZ786453 WVU786442:WVV786453 M851978:N851989 JI851978:JJ851989 TE851978:TF851989 ADA851978:ADB851989 AMW851978:AMX851989 AWS851978:AWT851989 BGO851978:BGP851989 BQK851978:BQL851989 CAG851978:CAH851989 CKC851978:CKD851989 CTY851978:CTZ851989 DDU851978:DDV851989 DNQ851978:DNR851989 DXM851978:DXN851989 EHI851978:EHJ851989 ERE851978:ERF851989 FBA851978:FBB851989 FKW851978:FKX851989 FUS851978:FUT851989 GEO851978:GEP851989 GOK851978:GOL851989 GYG851978:GYH851989 HIC851978:HID851989 HRY851978:HRZ851989 IBU851978:IBV851989 ILQ851978:ILR851989 IVM851978:IVN851989 JFI851978:JFJ851989 JPE851978:JPF851989 JZA851978:JZB851989 KIW851978:KIX851989 KSS851978:KST851989 LCO851978:LCP851989 LMK851978:LML851989 LWG851978:LWH851989 MGC851978:MGD851989 MPY851978:MPZ851989 MZU851978:MZV851989 NJQ851978:NJR851989 NTM851978:NTN851989 ODI851978:ODJ851989 ONE851978:ONF851989 OXA851978:OXB851989 PGW851978:PGX851989 PQS851978:PQT851989 QAO851978:QAP851989 QKK851978:QKL851989 QUG851978:QUH851989 REC851978:RED851989 RNY851978:RNZ851989 RXU851978:RXV851989 SHQ851978:SHR851989 SRM851978:SRN851989 TBI851978:TBJ851989 TLE851978:TLF851989 TVA851978:TVB851989 UEW851978:UEX851989 UOS851978:UOT851989 UYO851978:UYP851989 VIK851978:VIL851989 VSG851978:VSH851989 WCC851978:WCD851989 WLY851978:WLZ851989 WVU851978:WVV851989 M917514:N917525 JI917514:JJ917525 TE917514:TF917525 ADA917514:ADB917525 AMW917514:AMX917525 AWS917514:AWT917525 BGO917514:BGP917525 BQK917514:BQL917525 CAG917514:CAH917525 CKC917514:CKD917525 CTY917514:CTZ917525 DDU917514:DDV917525 DNQ917514:DNR917525 DXM917514:DXN917525 EHI917514:EHJ917525 ERE917514:ERF917525 FBA917514:FBB917525 FKW917514:FKX917525 FUS917514:FUT917525 GEO917514:GEP917525 GOK917514:GOL917525 GYG917514:GYH917525 HIC917514:HID917525 HRY917514:HRZ917525 IBU917514:IBV917525 ILQ917514:ILR917525 IVM917514:IVN917525 JFI917514:JFJ917525 JPE917514:JPF917525 JZA917514:JZB917525 KIW917514:KIX917525 KSS917514:KST917525 LCO917514:LCP917525 LMK917514:LML917525 LWG917514:LWH917525 MGC917514:MGD917525 MPY917514:MPZ917525 MZU917514:MZV917525 NJQ917514:NJR917525 NTM917514:NTN917525 ODI917514:ODJ917525 ONE917514:ONF917525 OXA917514:OXB917525 PGW917514:PGX917525 PQS917514:PQT917525 QAO917514:QAP917525 QKK917514:QKL917525 QUG917514:QUH917525 REC917514:RED917525 RNY917514:RNZ917525 RXU917514:RXV917525 SHQ917514:SHR917525 SRM917514:SRN917525 TBI917514:TBJ917525 TLE917514:TLF917525 TVA917514:TVB917525 UEW917514:UEX917525 UOS917514:UOT917525 UYO917514:UYP917525 VIK917514:VIL917525 VSG917514:VSH917525 WCC917514:WCD917525 WLY917514:WLZ917525 WVU917514:WVV917525 M983050:N983061 JI983050:JJ983061 TE983050:TF983061 ADA983050:ADB983061 AMW983050:AMX983061 AWS983050:AWT983061 BGO983050:BGP983061 BQK983050:BQL983061 CAG983050:CAH983061 CKC983050:CKD983061 CTY983050:CTZ983061 DDU983050:DDV983061 DNQ983050:DNR983061 DXM983050:DXN983061 EHI983050:EHJ983061 ERE983050:ERF983061 FBA983050:FBB983061 FKW983050:FKX983061 FUS983050:FUT983061 GEO983050:GEP983061 GOK983050:GOL983061 GYG983050:GYH983061 HIC983050:HID983061 HRY983050:HRZ983061 IBU983050:IBV983061 ILQ983050:ILR983061 IVM983050:IVN983061 JFI983050:JFJ983061 JPE983050:JPF983061 JZA983050:JZB983061 KIW983050:KIX983061 KSS983050:KST983061 LCO983050:LCP983061 LMK983050:LML983061 LWG983050:LWH983061 MGC983050:MGD983061 MPY983050:MPZ983061 MZU983050:MZV983061 NJQ983050:NJR983061 NTM983050:NTN983061 ODI983050:ODJ983061 ONE983050:ONF983061 OXA983050:OXB983061 PGW983050:PGX983061 PQS983050:PQT983061 QAO983050:QAP983061 QKK983050:QKL983061 QUG983050:QUH983061 REC983050:RED983061 RNY983050:RNZ983061 RXU983050:RXV983061 SHQ983050:SHR983061 SRM983050:SRN983061 TBI983050:TBJ983061 TLE983050:TLF983061 TVA983050:TVB983061 UEW983050:UEX983061 UOS983050:UOT983061 UYO983050:UYP983061 VIK983050:VIL983061 VSG983050:VSH983061 WCC983050:WCD983061 WLY983050:WLZ983061 WVU983050:WVV983061">
      <formula1>Impacto</formula1>
    </dataValidation>
    <dataValidation type="list" showInputMessage="1" showErrorMessage="1" sqref="L10:L21 JH10:JH21 TD10:TD21 ACZ10:ACZ21 AMV10:AMV21 AWR10:AWR21 BGN10:BGN21 BQJ10:BQJ21 CAF10:CAF21 CKB10:CKB21 CTX10:CTX21 DDT10:DDT21 DNP10:DNP21 DXL10:DXL21 EHH10:EHH21 ERD10:ERD21 FAZ10:FAZ21 FKV10:FKV21 FUR10:FUR21 GEN10:GEN21 GOJ10:GOJ21 GYF10:GYF21 HIB10:HIB21 HRX10:HRX21 IBT10:IBT21 ILP10:ILP21 IVL10:IVL21 JFH10:JFH21 JPD10:JPD21 JYZ10:JYZ21 KIV10:KIV21 KSR10:KSR21 LCN10:LCN21 LMJ10:LMJ21 LWF10:LWF21 MGB10:MGB21 MPX10:MPX21 MZT10:MZT21 NJP10:NJP21 NTL10:NTL21 ODH10:ODH21 OND10:OND21 OWZ10:OWZ21 PGV10:PGV21 PQR10:PQR21 QAN10:QAN21 QKJ10:QKJ21 QUF10:QUF21 REB10:REB21 RNX10:RNX21 RXT10:RXT21 SHP10:SHP21 SRL10:SRL21 TBH10:TBH21 TLD10:TLD21 TUZ10:TUZ21 UEV10:UEV21 UOR10:UOR21 UYN10:UYN21 VIJ10:VIJ21 VSF10:VSF21 WCB10:WCB21 WLX10:WLX21 WVT10:WVT21 L65546:L65557 JH65546:JH65557 TD65546:TD65557 ACZ65546:ACZ65557 AMV65546:AMV65557 AWR65546:AWR65557 BGN65546:BGN65557 BQJ65546:BQJ65557 CAF65546:CAF65557 CKB65546:CKB65557 CTX65546:CTX65557 DDT65546:DDT65557 DNP65546:DNP65557 DXL65546:DXL65557 EHH65546:EHH65557 ERD65546:ERD65557 FAZ65546:FAZ65557 FKV65546:FKV65557 FUR65546:FUR65557 GEN65546:GEN65557 GOJ65546:GOJ65557 GYF65546:GYF65557 HIB65546:HIB65557 HRX65546:HRX65557 IBT65546:IBT65557 ILP65546:ILP65557 IVL65546:IVL65557 JFH65546:JFH65557 JPD65546:JPD65557 JYZ65546:JYZ65557 KIV65546:KIV65557 KSR65546:KSR65557 LCN65546:LCN65557 LMJ65546:LMJ65557 LWF65546:LWF65557 MGB65546:MGB65557 MPX65546:MPX65557 MZT65546:MZT65557 NJP65546:NJP65557 NTL65546:NTL65557 ODH65546:ODH65557 OND65546:OND65557 OWZ65546:OWZ65557 PGV65546:PGV65557 PQR65546:PQR65557 QAN65546:QAN65557 QKJ65546:QKJ65557 QUF65546:QUF65557 REB65546:REB65557 RNX65546:RNX65557 RXT65546:RXT65557 SHP65546:SHP65557 SRL65546:SRL65557 TBH65546:TBH65557 TLD65546:TLD65557 TUZ65546:TUZ65557 UEV65546:UEV65557 UOR65546:UOR65557 UYN65546:UYN65557 VIJ65546:VIJ65557 VSF65546:VSF65557 WCB65546:WCB65557 WLX65546:WLX65557 WVT65546:WVT65557 L131082:L131093 JH131082:JH131093 TD131082:TD131093 ACZ131082:ACZ131093 AMV131082:AMV131093 AWR131082:AWR131093 BGN131082:BGN131093 BQJ131082:BQJ131093 CAF131082:CAF131093 CKB131082:CKB131093 CTX131082:CTX131093 DDT131082:DDT131093 DNP131082:DNP131093 DXL131082:DXL131093 EHH131082:EHH131093 ERD131082:ERD131093 FAZ131082:FAZ131093 FKV131082:FKV131093 FUR131082:FUR131093 GEN131082:GEN131093 GOJ131082:GOJ131093 GYF131082:GYF131093 HIB131082:HIB131093 HRX131082:HRX131093 IBT131082:IBT131093 ILP131082:ILP131093 IVL131082:IVL131093 JFH131082:JFH131093 JPD131082:JPD131093 JYZ131082:JYZ131093 KIV131082:KIV131093 KSR131082:KSR131093 LCN131082:LCN131093 LMJ131082:LMJ131093 LWF131082:LWF131093 MGB131082:MGB131093 MPX131082:MPX131093 MZT131082:MZT131093 NJP131082:NJP131093 NTL131082:NTL131093 ODH131082:ODH131093 OND131082:OND131093 OWZ131082:OWZ131093 PGV131082:PGV131093 PQR131082:PQR131093 QAN131082:QAN131093 QKJ131082:QKJ131093 QUF131082:QUF131093 REB131082:REB131093 RNX131082:RNX131093 RXT131082:RXT131093 SHP131082:SHP131093 SRL131082:SRL131093 TBH131082:TBH131093 TLD131082:TLD131093 TUZ131082:TUZ131093 UEV131082:UEV131093 UOR131082:UOR131093 UYN131082:UYN131093 VIJ131082:VIJ131093 VSF131082:VSF131093 WCB131082:WCB131093 WLX131082:WLX131093 WVT131082:WVT131093 L196618:L196629 JH196618:JH196629 TD196618:TD196629 ACZ196618:ACZ196629 AMV196618:AMV196629 AWR196618:AWR196629 BGN196618:BGN196629 BQJ196618:BQJ196629 CAF196618:CAF196629 CKB196618:CKB196629 CTX196618:CTX196629 DDT196618:DDT196629 DNP196618:DNP196629 DXL196618:DXL196629 EHH196618:EHH196629 ERD196618:ERD196629 FAZ196618:FAZ196629 FKV196618:FKV196629 FUR196618:FUR196629 GEN196618:GEN196629 GOJ196618:GOJ196629 GYF196618:GYF196629 HIB196618:HIB196629 HRX196618:HRX196629 IBT196618:IBT196629 ILP196618:ILP196629 IVL196618:IVL196629 JFH196618:JFH196629 JPD196618:JPD196629 JYZ196618:JYZ196629 KIV196618:KIV196629 KSR196618:KSR196629 LCN196618:LCN196629 LMJ196618:LMJ196629 LWF196618:LWF196629 MGB196618:MGB196629 MPX196618:MPX196629 MZT196618:MZT196629 NJP196618:NJP196629 NTL196618:NTL196629 ODH196618:ODH196629 OND196618:OND196629 OWZ196618:OWZ196629 PGV196618:PGV196629 PQR196618:PQR196629 QAN196618:QAN196629 QKJ196618:QKJ196629 QUF196618:QUF196629 REB196618:REB196629 RNX196618:RNX196629 RXT196618:RXT196629 SHP196618:SHP196629 SRL196618:SRL196629 TBH196618:TBH196629 TLD196618:TLD196629 TUZ196618:TUZ196629 UEV196618:UEV196629 UOR196618:UOR196629 UYN196618:UYN196629 VIJ196618:VIJ196629 VSF196618:VSF196629 WCB196618:WCB196629 WLX196618:WLX196629 WVT196618:WVT196629 L262154:L262165 JH262154:JH262165 TD262154:TD262165 ACZ262154:ACZ262165 AMV262154:AMV262165 AWR262154:AWR262165 BGN262154:BGN262165 BQJ262154:BQJ262165 CAF262154:CAF262165 CKB262154:CKB262165 CTX262154:CTX262165 DDT262154:DDT262165 DNP262154:DNP262165 DXL262154:DXL262165 EHH262154:EHH262165 ERD262154:ERD262165 FAZ262154:FAZ262165 FKV262154:FKV262165 FUR262154:FUR262165 GEN262154:GEN262165 GOJ262154:GOJ262165 GYF262154:GYF262165 HIB262154:HIB262165 HRX262154:HRX262165 IBT262154:IBT262165 ILP262154:ILP262165 IVL262154:IVL262165 JFH262154:JFH262165 JPD262154:JPD262165 JYZ262154:JYZ262165 KIV262154:KIV262165 KSR262154:KSR262165 LCN262154:LCN262165 LMJ262154:LMJ262165 LWF262154:LWF262165 MGB262154:MGB262165 MPX262154:MPX262165 MZT262154:MZT262165 NJP262154:NJP262165 NTL262154:NTL262165 ODH262154:ODH262165 OND262154:OND262165 OWZ262154:OWZ262165 PGV262154:PGV262165 PQR262154:PQR262165 QAN262154:QAN262165 QKJ262154:QKJ262165 QUF262154:QUF262165 REB262154:REB262165 RNX262154:RNX262165 RXT262154:RXT262165 SHP262154:SHP262165 SRL262154:SRL262165 TBH262154:TBH262165 TLD262154:TLD262165 TUZ262154:TUZ262165 UEV262154:UEV262165 UOR262154:UOR262165 UYN262154:UYN262165 VIJ262154:VIJ262165 VSF262154:VSF262165 WCB262154:WCB262165 WLX262154:WLX262165 WVT262154:WVT262165 L327690:L327701 JH327690:JH327701 TD327690:TD327701 ACZ327690:ACZ327701 AMV327690:AMV327701 AWR327690:AWR327701 BGN327690:BGN327701 BQJ327690:BQJ327701 CAF327690:CAF327701 CKB327690:CKB327701 CTX327690:CTX327701 DDT327690:DDT327701 DNP327690:DNP327701 DXL327690:DXL327701 EHH327690:EHH327701 ERD327690:ERD327701 FAZ327690:FAZ327701 FKV327690:FKV327701 FUR327690:FUR327701 GEN327690:GEN327701 GOJ327690:GOJ327701 GYF327690:GYF327701 HIB327690:HIB327701 HRX327690:HRX327701 IBT327690:IBT327701 ILP327690:ILP327701 IVL327690:IVL327701 JFH327690:JFH327701 JPD327690:JPD327701 JYZ327690:JYZ327701 KIV327690:KIV327701 KSR327690:KSR327701 LCN327690:LCN327701 LMJ327690:LMJ327701 LWF327690:LWF327701 MGB327690:MGB327701 MPX327690:MPX327701 MZT327690:MZT327701 NJP327690:NJP327701 NTL327690:NTL327701 ODH327690:ODH327701 OND327690:OND327701 OWZ327690:OWZ327701 PGV327690:PGV327701 PQR327690:PQR327701 QAN327690:QAN327701 QKJ327690:QKJ327701 QUF327690:QUF327701 REB327690:REB327701 RNX327690:RNX327701 RXT327690:RXT327701 SHP327690:SHP327701 SRL327690:SRL327701 TBH327690:TBH327701 TLD327690:TLD327701 TUZ327690:TUZ327701 UEV327690:UEV327701 UOR327690:UOR327701 UYN327690:UYN327701 VIJ327690:VIJ327701 VSF327690:VSF327701 WCB327690:WCB327701 WLX327690:WLX327701 WVT327690:WVT327701 L393226:L393237 JH393226:JH393237 TD393226:TD393237 ACZ393226:ACZ393237 AMV393226:AMV393237 AWR393226:AWR393237 BGN393226:BGN393237 BQJ393226:BQJ393237 CAF393226:CAF393237 CKB393226:CKB393237 CTX393226:CTX393237 DDT393226:DDT393237 DNP393226:DNP393237 DXL393226:DXL393237 EHH393226:EHH393237 ERD393226:ERD393237 FAZ393226:FAZ393237 FKV393226:FKV393237 FUR393226:FUR393237 GEN393226:GEN393237 GOJ393226:GOJ393237 GYF393226:GYF393237 HIB393226:HIB393237 HRX393226:HRX393237 IBT393226:IBT393237 ILP393226:ILP393237 IVL393226:IVL393237 JFH393226:JFH393237 JPD393226:JPD393237 JYZ393226:JYZ393237 KIV393226:KIV393237 KSR393226:KSR393237 LCN393226:LCN393237 LMJ393226:LMJ393237 LWF393226:LWF393237 MGB393226:MGB393237 MPX393226:MPX393237 MZT393226:MZT393237 NJP393226:NJP393237 NTL393226:NTL393237 ODH393226:ODH393237 OND393226:OND393237 OWZ393226:OWZ393237 PGV393226:PGV393237 PQR393226:PQR393237 QAN393226:QAN393237 QKJ393226:QKJ393237 QUF393226:QUF393237 REB393226:REB393237 RNX393226:RNX393237 RXT393226:RXT393237 SHP393226:SHP393237 SRL393226:SRL393237 TBH393226:TBH393237 TLD393226:TLD393237 TUZ393226:TUZ393237 UEV393226:UEV393237 UOR393226:UOR393237 UYN393226:UYN393237 VIJ393226:VIJ393237 VSF393226:VSF393237 WCB393226:WCB393237 WLX393226:WLX393237 WVT393226:WVT393237 L458762:L458773 JH458762:JH458773 TD458762:TD458773 ACZ458762:ACZ458773 AMV458762:AMV458773 AWR458762:AWR458773 BGN458762:BGN458773 BQJ458762:BQJ458773 CAF458762:CAF458773 CKB458762:CKB458773 CTX458762:CTX458773 DDT458762:DDT458773 DNP458762:DNP458773 DXL458762:DXL458773 EHH458762:EHH458773 ERD458762:ERD458773 FAZ458762:FAZ458773 FKV458762:FKV458773 FUR458762:FUR458773 GEN458762:GEN458773 GOJ458762:GOJ458773 GYF458762:GYF458773 HIB458762:HIB458773 HRX458762:HRX458773 IBT458762:IBT458773 ILP458762:ILP458773 IVL458762:IVL458773 JFH458762:JFH458773 JPD458762:JPD458773 JYZ458762:JYZ458773 KIV458762:KIV458773 KSR458762:KSR458773 LCN458762:LCN458773 LMJ458762:LMJ458773 LWF458762:LWF458773 MGB458762:MGB458773 MPX458762:MPX458773 MZT458762:MZT458773 NJP458762:NJP458773 NTL458762:NTL458773 ODH458762:ODH458773 OND458762:OND458773 OWZ458762:OWZ458773 PGV458762:PGV458773 PQR458762:PQR458773 QAN458762:QAN458773 QKJ458762:QKJ458773 QUF458762:QUF458773 REB458762:REB458773 RNX458762:RNX458773 RXT458762:RXT458773 SHP458762:SHP458773 SRL458762:SRL458773 TBH458762:TBH458773 TLD458762:TLD458773 TUZ458762:TUZ458773 UEV458762:UEV458773 UOR458762:UOR458773 UYN458762:UYN458773 VIJ458762:VIJ458773 VSF458762:VSF458773 WCB458762:WCB458773 WLX458762:WLX458773 WVT458762:WVT458773 L524298:L524309 JH524298:JH524309 TD524298:TD524309 ACZ524298:ACZ524309 AMV524298:AMV524309 AWR524298:AWR524309 BGN524298:BGN524309 BQJ524298:BQJ524309 CAF524298:CAF524309 CKB524298:CKB524309 CTX524298:CTX524309 DDT524298:DDT524309 DNP524298:DNP524309 DXL524298:DXL524309 EHH524298:EHH524309 ERD524298:ERD524309 FAZ524298:FAZ524309 FKV524298:FKV524309 FUR524298:FUR524309 GEN524298:GEN524309 GOJ524298:GOJ524309 GYF524298:GYF524309 HIB524298:HIB524309 HRX524298:HRX524309 IBT524298:IBT524309 ILP524298:ILP524309 IVL524298:IVL524309 JFH524298:JFH524309 JPD524298:JPD524309 JYZ524298:JYZ524309 KIV524298:KIV524309 KSR524298:KSR524309 LCN524298:LCN524309 LMJ524298:LMJ524309 LWF524298:LWF524309 MGB524298:MGB524309 MPX524298:MPX524309 MZT524298:MZT524309 NJP524298:NJP524309 NTL524298:NTL524309 ODH524298:ODH524309 OND524298:OND524309 OWZ524298:OWZ524309 PGV524298:PGV524309 PQR524298:PQR524309 QAN524298:QAN524309 QKJ524298:QKJ524309 QUF524298:QUF524309 REB524298:REB524309 RNX524298:RNX524309 RXT524298:RXT524309 SHP524298:SHP524309 SRL524298:SRL524309 TBH524298:TBH524309 TLD524298:TLD524309 TUZ524298:TUZ524309 UEV524298:UEV524309 UOR524298:UOR524309 UYN524298:UYN524309 VIJ524298:VIJ524309 VSF524298:VSF524309 WCB524298:WCB524309 WLX524298:WLX524309 WVT524298:WVT524309 L589834:L589845 JH589834:JH589845 TD589834:TD589845 ACZ589834:ACZ589845 AMV589834:AMV589845 AWR589834:AWR589845 BGN589834:BGN589845 BQJ589834:BQJ589845 CAF589834:CAF589845 CKB589834:CKB589845 CTX589834:CTX589845 DDT589834:DDT589845 DNP589834:DNP589845 DXL589834:DXL589845 EHH589834:EHH589845 ERD589834:ERD589845 FAZ589834:FAZ589845 FKV589834:FKV589845 FUR589834:FUR589845 GEN589834:GEN589845 GOJ589834:GOJ589845 GYF589834:GYF589845 HIB589834:HIB589845 HRX589834:HRX589845 IBT589834:IBT589845 ILP589834:ILP589845 IVL589834:IVL589845 JFH589834:JFH589845 JPD589834:JPD589845 JYZ589834:JYZ589845 KIV589834:KIV589845 KSR589834:KSR589845 LCN589834:LCN589845 LMJ589834:LMJ589845 LWF589834:LWF589845 MGB589834:MGB589845 MPX589834:MPX589845 MZT589834:MZT589845 NJP589834:NJP589845 NTL589834:NTL589845 ODH589834:ODH589845 OND589834:OND589845 OWZ589834:OWZ589845 PGV589834:PGV589845 PQR589834:PQR589845 QAN589834:QAN589845 QKJ589834:QKJ589845 QUF589834:QUF589845 REB589834:REB589845 RNX589834:RNX589845 RXT589834:RXT589845 SHP589834:SHP589845 SRL589834:SRL589845 TBH589834:TBH589845 TLD589834:TLD589845 TUZ589834:TUZ589845 UEV589834:UEV589845 UOR589834:UOR589845 UYN589834:UYN589845 VIJ589834:VIJ589845 VSF589834:VSF589845 WCB589834:WCB589845 WLX589834:WLX589845 WVT589834:WVT589845 L655370:L655381 JH655370:JH655381 TD655370:TD655381 ACZ655370:ACZ655381 AMV655370:AMV655381 AWR655370:AWR655381 BGN655370:BGN655381 BQJ655370:BQJ655381 CAF655370:CAF655381 CKB655370:CKB655381 CTX655370:CTX655381 DDT655370:DDT655381 DNP655370:DNP655381 DXL655370:DXL655381 EHH655370:EHH655381 ERD655370:ERD655381 FAZ655370:FAZ655381 FKV655370:FKV655381 FUR655370:FUR655381 GEN655370:GEN655381 GOJ655370:GOJ655381 GYF655370:GYF655381 HIB655370:HIB655381 HRX655370:HRX655381 IBT655370:IBT655381 ILP655370:ILP655381 IVL655370:IVL655381 JFH655370:JFH655381 JPD655370:JPD655381 JYZ655370:JYZ655381 KIV655370:KIV655381 KSR655370:KSR655381 LCN655370:LCN655381 LMJ655370:LMJ655381 LWF655370:LWF655381 MGB655370:MGB655381 MPX655370:MPX655381 MZT655370:MZT655381 NJP655370:NJP655381 NTL655370:NTL655381 ODH655370:ODH655381 OND655370:OND655381 OWZ655370:OWZ655381 PGV655370:PGV655381 PQR655370:PQR655381 QAN655370:QAN655381 QKJ655370:QKJ655381 QUF655370:QUF655381 REB655370:REB655381 RNX655370:RNX655381 RXT655370:RXT655381 SHP655370:SHP655381 SRL655370:SRL655381 TBH655370:TBH655381 TLD655370:TLD655381 TUZ655370:TUZ655381 UEV655370:UEV655381 UOR655370:UOR655381 UYN655370:UYN655381 VIJ655370:VIJ655381 VSF655370:VSF655381 WCB655370:WCB655381 WLX655370:WLX655381 WVT655370:WVT655381 L720906:L720917 JH720906:JH720917 TD720906:TD720917 ACZ720906:ACZ720917 AMV720906:AMV720917 AWR720906:AWR720917 BGN720906:BGN720917 BQJ720906:BQJ720917 CAF720906:CAF720917 CKB720906:CKB720917 CTX720906:CTX720917 DDT720906:DDT720917 DNP720906:DNP720917 DXL720906:DXL720917 EHH720906:EHH720917 ERD720906:ERD720917 FAZ720906:FAZ720917 FKV720906:FKV720917 FUR720906:FUR720917 GEN720906:GEN720917 GOJ720906:GOJ720917 GYF720906:GYF720917 HIB720906:HIB720917 HRX720906:HRX720917 IBT720906:IBT720917 ILP720906:ILP720917 IVL720906:IVL720917 JFH720906:JFH720917 JPD720906:JPD720917 JYZ720906:JYZ720917 KIV720906:KIV720917 KSR720906:KSR720917 LCN720906:LCN720917 LMJ720906:LMJ720917 LWF720906:LWF720917 MGB720906:MGB720917 MPX720906:MPX720917 MZT720906:MZT720917 NJP720906:NJP720917 NTL720906:NTL720917 ODH720906:ODH720917 OND720906:OND720917 OWZ720906:OWZ720917 PGV720906:PGV720917 PQR720906:PQR720917 QAN720906:QAN720917 QKJ720906:QKJ720917 QUF720906:QUF720917 REB720906:REB720917 RNX720906:RNX720917 RXT720906:RXT720917 SHP720906:SHP720917 SRL720906:SRL720917 TBH720906:TBH720917 TLD720906:TLD720917 TUZ720906:TUZ720917 UEV720906:UEV720917 UOR720906:UOR720917 UYN720906:UYN720917 VIJ720906:VIJ720917 VSF720906:VSF720917 WCB720906:WCB720917 WLX720906:WLX720917 WVT720906:WVT720917 L786442:L786453 JH786442:JH786453 TD786442:TD786453 ACZ786442:ACZ786453 AMV786442:AMV786453 AWR786442:AWR786453 BGN786442:BGN786453 BQJ786442:BQJ786453 CAF786442:CAF786453 CKB786442:CKB786453 CTX786442:CTX786453 DDT786442:DDT786453 DNP786442:DNP786453 DXL786442:DXL786453 EHH786442:EHH786453 ERD786442:ERD786453 FAZ786442:FAZ786453 FKV786442:FKV786453 FUR786442:FUR786453 GEN786442:GEN786453 GOJ786442:GOJ786453 GYF786442:GYF786453 HIB786442:HIB786453 HRX786442:HRX786453 IBT786442:IBT786453 ILP786442:ILP786453 IVL786442:IVL786453 JFH786442:JFH786453 JPD786442:JPD786453 JYZ786442:JYZ786453 KIV786442:KIV786453 KSR786442:KSR786453 LCN786442:LCN786453 LMJ786442:LMJ786453 LWF786442:LWF786453 MGB786442:MGB786453 MPX786442:MPX786453 MZT786442:MZT786453 NJP786442:NJP786453 NTL786442:NTL786453 ODH786442:ODH786453 OND786442:OND786453 OWZ786442:OWZ786453 PGV786442:PGV786453 PQR786442:PQR786453 QAN786442:QAN786453 QKJ786442:QKJ786453 QUF786442:QUF786453 REB786442:REB786453 RNX786442:RNX786453 RXT786442:RXT786453 SHP786442:SHP786453 SRL786442:SRL786453 TBH786442:TBH786453 TLD786442:TLD786453 TUZ786442:TUZ786453 UEV786442:UEV786453 UOR786442:UOR786453 UYN786442:UYN786453 VIJ786442:VIJ786453 VSF786442:VSF786453 WCB786442:WCB786453 WLX786442:WLX786453 WVT786442:WVT786453 L851978:L851989 JH851978:JH851989 TD851978:TD851989 ACZ851978:ACZ851989 AMV851978:AMV851989 AWR851978:AWR851989 BGN851978:BGN851989 BQJ851978:BQJ851989 CAF851978:CAF851989 CKB851978:CKB851989 CTX851978:CTX851989 DDT851978:DDT851989 DNP851978:DNP851989 DXL851978:DXL851989 EHH851978:EHH851989 ERD851978:ERD851989 FAZ851978:FAZ851989 FKV851978:FKV851989 FUR851978:FUR851989 GEN851978:GEN851989 GOJ851978:GOJ851989 GYF851978:GYF851989 HIB851978:HIB851989 HRX851978:HRX851989 IBT851978:IBT851989 ILP851978:ILP851989 IVL851978:IVL851989 JFH851978:JFH851989 JPD851978:JPD851989 JYZ851978:JYZ851989 KIV851978:KIV851989 KSR851978:KSR851989 LCN851978:LCN851989 LMJ851978:LMJ851989 LWF851978:LWF851989 MGB851978:MGB851989 MPX851978:MPX851989 MZT851978:MZT851989 NJP851978:NJP851989 NTL851978:NTL851989 ODH851978:ODH851989 OND851978:OND851989 OWZ851978:OWZ851989 PGV851978:PGV851989 PQR851978:PQR851989 QAN851978:QAN851989 QKJ851978:QKJ851989 QUF851978:QUF851989 REB851978:REB851989 RNX851978:RNX851989 RXT851978:RXT851989 SHP851978:SHP851989 SRL851978:SRL851989 TBH851978:TBH851989 TLD851978:TLD851989 TUZ851978:TUZ851989 UEV851978:UEV851989 UOR851978:UOR851989 UYN851978:UYN851989 VIJ851978:VIJ851989 VSF851978:VSF851989 WCB851978:WCB851989 WLX851978:WLX851989 WVT851978:WVT851989 L917514:L917525 JH917514:JH917525 TD917514:TD917525 ACZ917514:ACZ917525 AMV917514:AMV917525 AWR917514:AWR917525 BGN917514:BGN917525 BQJ917514:BQJ917525 CAF917514:CAF917525 CKB917514:CKB917525 CTX917514:CTX917525 DDT917514:DDT917525 DNP917514:DNP917525 DXL917514:DXL917525 EHH917514:EHH917525 ERD917514:ERD917525 FAZ917514:FAZ917525 FKV917514:FKV917525 FUR917514:FUR917525 GEN917514:GEN917525 GOJ917514:GOJ917525 GYF917514:GYF917525 HIB917514:HIB917525 HRX917514:HRX917525 IBT917514:IBT917525 ILP917514:ILP917525 IVL917514:IVL917525 JFH917514:JFH917525 JPD917514:JPD917525 JYZ917514:JYZ917525 KIV917514:KIV917525 KSR917514:KSR917525 LCN917514:LCN917525 LMJ917514:LMJ917525 LWF917514:LWF917525 MGB917514:MGB917525 MPX917514:MPX917525 MZT917514:MZT917525 NJP917514:NJP917525 NTL917514:NTL917525 ODH917514:ODH917525 OND917514:OND917525 OWZ917514:OWZ917525 PGV917514:PGV917525 PQR917514:PQR917525 QAN917514:QAN917525 QKJ917514:QKJ917525 QUF917514:QUF917525 REB917514:REB917525 RNX917514:RNX917525 RXT917514:RXT917525 SHP917514:SHP917525 SRL917514:SRL917525 TBH917514:TBH917525 TLD917514:TLD917525 TUZ917514:TUZ917525 UEV917514:UEV917525 UOR917514:UOR917525 UYN917514:UYN917525 VIJ917514:VIJ917525 VSF917514:VSF917525 WCB917514:WCB917525 WLX917514:WLX917525 WVT917514:WVT917525 L983050:L983061 JH983050:JH983061 TD983050:TD983061 ACZ983050:ACZ983061 AMV983050:AMV983061 AWR983050:AWR983061 BGN983050:BGN983061 BQJ983050:BQJ983061 CAF983050:CAF983061 CKB983050:CKB983061 CTX983050:CTX983061 DDT983050:DDT983061 DNP983050:DNP983061 DXL983050:DXL983061 EHH983050:EHH983061 ERD983050:ERD983061 FAZ983050:FAZ983061 FKV983050:FKV983061 FUR983050:FUR983061 GEN983050:GEN983061 GOJ983050:GOJ983061 GYF983050:GYF983061 HIB983050:HIB983061 HRX983050:HRX983061 IBT983050:IBT983061 ILP983050:ILP983061 IVL983050:IVL983061 JFH983050:JFH983061 JPD983050:JPD983061 JYZ983050:JYZ983061 KIV983050:KIV983061 KSR983050:KSR983061 LCN983050:LCN983061 LMJ983050:LMJ983061 LWF983050:LWF983061 MGB983050:MGB983061 MPX983050:MPX983061 MZT983050:MZT983061 NJP983050:NJP983061 NTL983050:NTL983061 ODH983050:ODH983061 OND983050:OND983061 OWZ983050:OWZ983061 PGV983050:PGV983061 PQR983050:PQR983061 QAN983050:QAN983061 QKJ983050:QKJ983061 QUF983050:QUF983061 REB983050:REB983061 RNX983050:RNX983061 RXT983050:RXT983061 SHP983050:SHP983061 SRL983050:SRL983061 TBH983050:TBH983061 TLD983050:TLD983061 TUZ983050:TUZ983061 UEV983050:UEV983061 UOR983050:UOR983061 UYN983050:UYN983061 VIJ983050:VIJ983061 VSF983050:VSF983061 WCB983050:WCB983061 WLX983050:WLX983061 WVT983050:WVT983061">
      <formula1>Probabilidad</formula1>
    </dataValidation>
    <dataValidation type="list" sqref="BD4:BE4 KZ4:LA4 UV4:UW4 AER4:AES4 AON4:AOO4 AYJ4:AYK4 BIF4:BIG4 BSB4:BSC4 CBX4:CBY4 CLT4:CLU4 CVP4:CVQ4 DFL4:DFM4 DPH4:DPI4 DZD4:DZE4 EIZ4:EJA4 ESV4:ESW4 FCR4:FCS4 FMN4:FMO4 FWJ4:FWK4 GGF4:GGG4 GQB4:GQC4 GZX4:GZY4 HJT4:HJU4 HTP4:HTQ4 IDL4:IDM4 INH4:INI4 IXD4:IXE4 JGZ4:JHA4 JQV4:JQW4 KAR4:KAS4 KKN4:KKO4 KUJ4:KUK4 LEF4:LEG4 LOB4:LOC4 LXX4:LXY4 MHT4:MHU4 MRP4:MRQ4 NBL4:NBM4 NLH4:NLI4 NVD4:NVE4 OEZ4:OFA4 OOV4:OOW4 OYR4:OYS4 PIN4:PIO4 PSJ4:PSK4 QCF4:QCG4 QMB4:QMC4 QVX4:QVY4 RFT4:RFU4 RPP4:RPQ4 RZL4:RZM4 SJH4:SJI4 STD4:STE4 TCZ4:TDA4 TMV4:TMW4 TWR4:TWS4 UGN4:UGO4 UQJ4:UQK4 VAF4:VAG4 VKB4:VKC4 VTX4:VTY4 WDT4:WDU4 WNP4:WNQ4 WXL4:WXM4 BD65540:BE65540 KZ65540:LA65540 UV65540:UW65540 AER65540:AES65540 AON65540:AOO65540 AYJ65540:AYK65540 BIF65540:BIG65540 BSB65540:BSC65540 CBX65540:CBY65540 CLT65540:CLU65540 CVP65540:CVQ65540 DFL65540:DFM65540 DPH65540:DPI65540 DZD65540:DZE65540 EIZ65540:EJA65540 ESV65540:ESW65540 FCR65540:FCS65540 FMN65540:FMO65540 FWJ65540:FWK65540 GGF65540:GGG65540 GQB65540:GQC65540 GZX65540:GZY65540 HJT65540:HJU65540 HTP65540:HTQ65540 IDL65540:IDM65540 INH65540:INI65540 IXD65540:IXE65540 JGZ65540:JHA65540 JQV65540:JQW65540 KAR65540:KAS65540 KKN65540:KKO65540 KUJ65540:KUK65540 LEF65540:LEG65540 LOB65540:LOC65540 LXX65540:LXY65540 MHT65540:MHU65540 MRP65540:MRQ65540 NBL65540:NBM65540 NLH65540:NLI65540 NVD65540:NVE65540 OEZ65540:OFA65540 OOV65540:OOW65540 OYR65540:OYS65540 PIN65540:PIO65540 PSJ65540:PSK65540 QCF65540:QCG65540 QMB65540:QMC65540 QVX65540:QVY65540 RFT65540:RFU65540 RPP65540:RPQ65540 RZL65540:RZM65540 SJH65540:SJI65540 STD65540:STE65540 TCZ65540:TDA65540 TMV65540:TMW65540 TWR65540:TWS65540 UGN65540:UGO65540 UQJ65540:UQK65540 VAF65540:VAG65540 VKB65540:VKC65540 VTX65540:VTY65540 WDT65540:WDU65540 WNP65540:WNQ65540 WXL65540:WXM65540 BD131076:BE131076 KZ131076:LA131076 UV131076:UW131076 AER131076:AES131076 AON131076:AOO131076 AYJ131076:AYK131076 BIF131076:BIG131076 BSB131076:BSC131076 CBX131076:CBY131076 CLT131076:CLU131076 CVP131076:CVQ131076 DFL131076:DFM131076 DPH131076:DPI131076 DZD131076:DZE131076 EIZ131076:EJA131076 ESV131076:ESW131076 FCR131076:FCS131076 FMN131076:FMO131076 FWJ131076:FWK131076 GGF131076:GGG131076 GQB131076:GQC131076 GZX131076:GZY131076 HJT131076:HJU131076 HTP131076:HTQ131076 IDL131076:IDM131076 INH131076:INI131076 IXD131076:IXE131076 JGZ131076:JHA131076 JQV131076:JQW131076 KAR131076:KAS131076 KKN131076:KKO131076 KUJ131076:KUK131076 LEF131076:LEG131076 LOB131076:LOC131076 LXX131076:LXY131076 MHT131076:MHU131076 MRP131076:MRQ131076 NBL131076:NBM131076 NLH131076:NLI131076 NVD131076:NVE131076 OEZ131076:OFA131076 OOV131076:OOW131076 OYR131076:OYS131076 PIN131076:PIO131076 PSJ131076:PSK131076 QCF131076:QCG131076 QMB131076:QMC131076 QVX131076:QVY131076 RFT131076:RFU131076 RPP131076:RPQ131076 RZL131076:RZM131076 SJH131076:SJI131076 STD131076:STE131076 TCZ131076:TDA131076 TMV131076:TMW131076 TWR131076:TWS131076 UGN131076:UGO131076 UQJ131076:UQK131076 VAF131076:VAG131076 VKB131076:VKC131076 VTX131076:VTY131076 WDT131076:WDU131076 WNP131076:WNQ131076 WXL131076:WXM131076 BD196612:BE196612 KZ196612:LA196612 UV196612:UW196612 AER196612:AES196612 AON196612:AOO196612 AYJ196612:AYK196612 BIF196612:BIG196612 BSB196612:BSC196612 CBX196612:CBY196612 CLT196612:CLU196612 CVP196612:CVQ196612 DFL196612:DFM196612 DPH196612:DPI196612 DZD196612:DZE196612 EIZ196612:EJA196612 ESV196612:ESW196612 FCR196612:FCS196612 FMN196612:FMO196612 FWJ196612:FWK196612 GGF196612:GGG196612 GQB196612:GQC196612 GZX196612:GZY196612 HJT196612:HJU196612 HTP196612:HTQ196612 IDL196612:IDM196612 INH196612:INI196612 IXD196612:IXE196612 JGZ196612:JHA196612 JQV196612:JQW196612 KAR196612:KAS196612 KKN196612:KKO196612 KUJ196612:KUK196612 LEF196612:LEG196612 LOB196612:LOC196612 LXX196612:LXY196612 MHT196612:MHU196612 MRP196612:MRQ196612 NBL196612:NBM196612 NLH196612:NLI196612 NVD196612:NVE196612 OEZ196612:OFA196612 OOV196612:OOW196612 OYR196612:OYS196612 PIN196612:PIO196612 PSJ196612:PSK196612 QCF196612:QCG196612 QMB196612:QMC196612 QVX196612:QVY196612 RFT196612:RFU196612 RPP196612:RPQ196612 RZL196612:RZM196612 SJH196612:SJI196612 STD196612:STE196612 TCZ196612:TDA196612 TMV196612:TMW196612 TWR196612:TWS196612 UGN196612:UGO196612 UQJ196612:UQK196612 VAF196612:VAG196612 VKB196612:VKC196612 VTX196612:VTY196612 WDT196612:WDU196612 WNP196612:WNQ196612 WXL196612:WXM196612 BD262148:BE262148 KZ262148:LA262148 UV262148:UW262148 AER262148:AES262148 AON262148:AOO262148 AYJ262148:AYK262148 BIF262148:BIG262148 BSB262148:BSC262148 CBX262148:CBY262148 CLT262148:CLU262148 CVP262148:CVQ262148 DFL262148:DFM262148 DPH262148:DPI262148 DZD262148:DZE262148 EIZ262148:EJA262148 ESV262148:ESW262148 FCR262148:FCS262148 FMN262148:FMO262148 FWJ262148:FWK262148 GGF262148:GGG262148 GQB262148:GQC262148 GZX262148:GZY262148 HJT262148:HJU262148 HTP262148:HTQ262148 IDL262148:IDM262148 INH262148:INI262148 IXD262148:IXE262148 JGZ262148:JHA262148 JQV262148:JQW262148 KAR262148:KAS262148 KKN262148:KKO262148 KUJ262148:KUK262148 LEF262148:LEG262148 LOB262148:LOC262148 LXX262148:LXY262148 MHT262148:MHU262148 MRP262148:MRQ262148 NBL262148:NBM262148 NLH262148:NLI262148 NVD262148:NVE262148 OEZ262148:OFA262148 OOV262148:OOW262148 OYR262148:OYS262148 PIN262148:PIO262148 PSJ262148:PSK262148 QCF262148:QCG262148 QMB262148:QMC262148 QVX262148:QVY262148 RFT262148:RFU262148 RPP262148:RPQ262148 RZL262148:RZM262148 SJH262148:SJI262148 STD262148:STE262148 TCZ262148:TDA262148 TMV262148:TMW262148 TWR262148:TWS262148 UGN262148:UGO262148 UQJ262148:UQK262148 VAF262148:VAG262148 VKB262148:VKC262148 VTX262148:VTY262148 WDT262148:WDU262148 WNP262148:WNQ262148 WXL262148:WXM262148 BD327684:BE327684 KZ327684:LA327684 UV327684:UW327684 AER327684:AES327684 AON327684:AOO327684 AYJ327684:AYK327684 BIF327684:BIG327684 BSB327684:BSC327684 CBX327684:CBY327684 CLT327684:CLU327684 CVP327684:CVQ327684 DFL327684:DFM327684 DPH327684:DPI327684 DZD327684:DZE327684 EIZ327684:EJA327684 ESV327684:ESW327684 FCR327684:FCS327684 FMN327684:FMO327684 FWJ327684:FWK327684 GGF327684:GGG327684 GQB327684:GQC327684 GZX327684:GZY327684 HJT327684:HJU327684 HTP327684:HTQ327684 IDL327684:IDM327684 INH327684:INI327684 IXD327684:IXE327684 JGZ327684:JHA327684 JQV327684:JQW327684 KAR327684:KAS327684 KKN327684:KKO327684 KUJ327684:KUK327684 LEF327684:LEG327684 LOB327684:LOC327684 LXX327684:LXY327684 MHT327684:MHU327684 MRP327684:MRQ327684 NBL327684:NBM327684 NLH327684:NLI327684 NVD327684:NVE327684 OEZ327684:OFA327684 OOV327684:OOW327684 OYR327684:OYS327684 PIN327684:PIO327684 PSJ327684:PSK327684 QCF327684:QCG327684 QMB327684:QMC327684 QVX327684:QVY327684 RFT327684:RFU327684 RPP327684:RPQ327684 RZL327684:RZM327684 SJH327684:SJI327684 STD327684:STE327684 TCZ327684:TDA327684 TMV327684:TMW327684 TWR327684:TWS327684 UGN327684:UGO327684 UQJ327684:UQK327684 VAF327684:VAG327684 VKB327684:VKC327684 VTX327684:VTY327684 WDT327684:WDU327684 WNP327684:WNQ327684 WXL327684:WXM327684 BD393220:BE393220 KZ393220:LA393220 UV393220:UW393220 AER393220:AES393220 AON393220:AOO393220 AYJ393220:AYK393220 BIF393220:BIG393220 BSB393220:BSC393220 CBX393220:CBY393220 CLT393220:CLU393220 CVP393220:CVQ393220 DFL393220:DFM393220 DPH393220:DPI393220 DZD393220:DZE393220 EIZ393220:EJA393220 ESV393220:ESW393220 FCR393220:FCS393220 FMN393220:FMO393220 FWJ393220:FWK393220 GGF393220:GGG393220 GQB393220:GQC393220 GZX393220:GZY393220 HJT393220:HJU393220 HTP393220:HTQ393220 IDL393220:IDM393220 INH393220:INI393220 IXD393220:IXE393220 JGZ393220:JHA393220 JQV393220:JQW393220 KAR393220:KAS393220 KKN393220:KKO393220 KUJ393220:KUK393220 LEF393220:LEG393220 LOB393220:LOC393220 LXX393220:LXY393220 MHT393220:MHU393220 MRP393220:MRQ393220 NBL393220:NBM393220 NLH393220:NLI393220 NVD393220:NVE393220 OEZ393220:OFA393220 OOV393220:OOW393220 OYR393220:OYS393220 PIN393220:PIO393220 PSJ393220:PSK393220 QCF393220:QCG393220 QMB393220:QMC393220 QVX393220:QVY393220 RFT393220:RFU393220 RPP393220:RPQ393220 RZL393220:RZM393220 SJH393220:SJI393220 STD393220:STE393220 TCZ393220:TDA393220 TMV393220:TMW393220 TWR393220:TWS393220 UGN393220:UGO393220 UQJ393220:UQK393220 VAF393220:VAG393220 VKB393220:VKC393220 VTX393220:VTY393220 WDT393220:WDU393220 WNP393220:WNQ393220 WXL393220:WXM393220 BD458756:BE458756 KZ458756:LA458756 UV458756:UW458756 AER458756:AES458756 AON458756:AOO458756 AYJ458756:AYK458756 BIF458756:BIG458756 BSB458756:BSC458756 CBX458756:CBY458756 CLT458756:CLU458756 CVP458756:CVQ458756 DFL458756:DFM458756 DPH458756:DPI458756 DZD458756:DZE458756 EIZ458756:EJA458756 ESV458756:ESW458756 FCR458756:FCS458756 FMN458756:FMO458756 FWJ458756:FWK458756 GGF458756:GGG458756 GQB458756:GQC458756 GZX458756:GZY458756 HJT458756:HJU458756 HTP458756:HTQ458756 IDL458756:IDM458756 INH458756:INI458756 IXD458756:IXE458756 JGZ458756:JHA458756 JQV458756:JQW458756 KAR458756:KAS458756 KKN458756:KKO458756 KUJ458756:KUK458756 LEF458756:LEG458756 LOB458756:LOC458756 LXX458756:LXY458756 MHT458756:MHU458756 MRP458756:MRQ458756 NBL458756:NBM458756 NLH458756:NLI458756 NVD458756:NVE458756 OEZ458756:OFA458756 OOV458756:OOW458756 OYR458756:OYS458756 PIN458756:PIO458756 PSJ458756:PSK458756 QCF458756:QCG458756 QMB458756:QMC458756 QVX458756:QVY458756 RFT458756:RFU458756 RPP458756:RPQ458756 RZL458756:RZM458756 SJH458756:SJI458756 STD458756:STE458756 TCZ458756:TDA458756 TMV458756:TMW458756 TWR458756:TWS458756 UGN458756:UGO458756 UQJ458756:UQK458756 VAF458756:VAG458756 VKB458756:VKC458756 VTX458756:VTY458756 WDT458756:WDU458756 WNP458756:WNQ458756 WXL458756:WXM458756 BD524292:BE524292 KZ524292:LA524292 UV524292:UW524292 AER524292:AES524292 AON524292:AOO524292 AYJ524292:AYK524292 BIF524292:BIG524292 BSB524292:BSC524292 CBX524292:CBY524292 CLT524292:CLU524292 CVP524292:CVQ524292 DFL524292:DFM524292 DPH524292:DPI524292 DZD524292:DZE524292 EIZ524292:EJA524292 ESV524292:ESW524292 FCR524292:FCS524292 FMN524292:FMO524292 FWJ524292:FWK524292 GGF524292:GGG524292 GQB524292:GQC524292 GZX524292:GZY524292 HJT524292:HJU524292 HTP524292:HTQ524292 IDL524292:IDM524292 INH524292:INI524292 IXD524292:IXE524292 JGZ524292:JHA524292 JQV524292:JQW524292 KAR524292:KAS524292 KKN524292:KKO524292 KUJ524292:KUK524292 LEF524292:LEG524292 LOB524292:LOC524292 LXX524292:LXY524292 MHT524292:MHU524292 MRP524292:MRQ524292 NBL524292:NBM524292 NLH524292:NLI524292 NVD524292:NVE524292 OEZ524292:OFA524292 OOV524292:OOW524292 OYR524292:OYS524292 PIN524292:PIO524292 PSJ524292:PSK524292 QCF524292:QCG524292 QMB524292:QMC524292 QVX524292:QVY524292 RFT524292:RFU524292 RPP524292:RPQ524292 RZL524292:RZM524292 SJH524292:SJI524292 STD524292:STE524292 TCZ524292:TDA524292 TMV524292:TMW524292 TWR524292:TWS524292 UGN524292:UGO524292 UQJ524292:UQK524292 VAF524292:VAG524292 VKB524292:VKC524292 VTX524292:VTY524292 WDT524292:WDU524292 WNP524292:WNQ524292 WXL524292:WXM524292 BD589828:BE589828 KZ589828:LA589828 UV589828:UW589828 AER589828:AES589828 AON589828:AOO589828 AYJ589828:AYK589828 BIF589828:BIG589828 BSB589828:BSC589828 CBX589828:CBY589828 CLT589828:CLU589828 CVP589828:CVQ589828 DFL589828:DFM589828 DPH589828:DPI589828 DZD589828:DZE589828 EIZ589828:EJA589828 ESV589828:ESW589828 FCR589828:FCS589828 FMN589828:FMO589828 FWJ589828:FWK589828 GGF589828:GGG589828 GQB589828:GQC589828 GZX589828:GZY589828 HJT589828:HJU589828 HTP589828:HTQ589828 IDL589828:IDM589828 INH589828:INI589828 IXD589828:IXE589828 JGZ589828:JHA589828 JQV589828:JQW589828 KAR589828:KAS589828 KKN589828:KKO589828 KUJ589828:KUK589828 LEF589828:LEG589828 LOB589828:LOC589828 LXX589828:LXY589828 MHT589828:MHU589828 MRP589828:MRQ589828 NBL589828:NBM589828 NLH589828:NLI589828 NVD589828:NVE589828 OEZ589828:OFA589828 OOV589828:OOW589828 OYR589828:OYS589828 PIN589828:PIO589828 PSJ589828:PSK589828 QCF589828:QCG589828 QMB589828:QMC589828 QVX589828:QVY589828 RFT589828:RFU589828 RPP589828:RPQ589828 RZL589828:RZM589828 SJH589828:SJI589828 STD589828:STE589828 TCZ589828:TDA589828 TMV589828:TMW589828 TWR589828:TWS589828 UGN589828:UGO589828 UQJ589828:UQK589828 VAF589828:VAG589828 VKB589828:VKC589828 VTX589828:VTY589828 WDT589828:WDU589828 WNP589828:WNQ589828 WXL589828:WXM589828 BD655364:BE655364 KZ655364:LA655364 UV655364:UW655364 AER655364:AES655364 AON655364:AOO655364 AYJ655364:AYK655364 BIF655364:BIG655364 BSB655364:BSC655364 CBX655364:CBY655364 CLT655364:CLU655364 CVP655364:CVQ655364 DFL655364:DFM655364 DPH655364:DPI655364 DZD655364:DZE655364 EIZ655364:EJA655364 ESV655364:ESW655364 FCR655364:FCS655364 FMN655364:FMO655364 FWJ655364:FWK655364 GGF655364:GGG655364 GQB655364:GQC655364 GZX655364:GZY655364 HJT655364:HJU655364 HTP655364:HTQ655364 IDL655364:IDM655364 INH655364:INI655364 IXD655364:IXE655364 JGZ655364:JHA655364 JQV655364:JQW655364 KAR655364:KAS655364 KKN655364:KKO655364 KUJ655364:KUK655364 LEF655364:LEG655364 LOB655364:LOC655364 LXX655364:LXY655364 MHT655364:MHU655364 MRP655364:MRQ655364 NBL655364:NBM655364 NLH655364:NLI655364 NVD655364:NVE655364 OEZ655364:OFA655364 OOV655364:OOW655364 OYR655364:OYS655364 PIN655364:PIO655364 PSJ655364:PSK655364 QCF655364:QCG655364 QMB655364:QMC655364 QVX655364:QVY655364 RFT655364:RFU655364 RPP655364:RPQ655364 RZL655364:RZM655364 SJH655364:SJI655364 STD655364:STE655364 TCZ655364:TDA655364 TMV655364:TMW655364 TWR655364:TWS655364 UGN655364:UGO655364 UQJ655364:UQK655364 VAF655364:VAG655364 VKB655364:VKC655364 VTX655364:VTY655364 WDT655364:WDU655364 WNP655364:WNQ655364 WXL655364:WXM655364 BD720900:BE720900 KZ720900:LA720900 UV720900:UW720900 AER720900:AES720900 AON720900:AOO720900 AYJ720900:AYK720900 BIF720900:BIG720900 BSB720900:BSC720900 CBX720900:CBY720900 CLT720900:CLU720900 CVP720900:CVQ720900 DFL720900:DFM720900 DPH720900:DPI720900 DZD720900:DZE720900 EIZ720900:EJA720900 ESV720900:ESW720900 FCR720900:FCS720900 FMN720900:FMO720900 FWJ720900:FWK720900 GGF720900:GGG720900 GQB720900:GQC720900 GZX720900:GZY720900 HJT720900:HJU720900 HTP720900:HTQ720900 IDL720900:IDM720900 INH720900:INI720900 IXD720900:IXE720900 JGZ720900:JHA720900 JQV720900:JQW720900 KAR720900:KAS720900 KKN720900:KKO720900 KUJ720900:KUK720900 LEF720900:LEG720900 LOB720900:LOC720900 LXX720900:LXY720900 MHT720900:MHU720900 MRP720900:MRQ720900 NBL720900:NBM720900 NLH720900:NLI720900 NVD720900:NVE720900 OEZ720900:OFA720900 OOV720900:OOW720900 OYR720900:OYS720900 PIN720900:PIO720900 PSJ720900:PSK720900 QCF720900:QCG720900 QMB720900:QMC720900 QVX720900:QVY720900 RFT720900:RFU720900 RPP720900:RPQ720900 RZL720900:RZM720900 SJH720900:SJI720900 STD720900:STE720900 TCZ720900:TDA720900 TMV720900:TMW720900 TWR720900:TWS720900 UGN720900:UGO720900 UQJ720900:UQK720900 VAF720900:VAG720900 VKB720900:VKC720900 VTX720900:VTY720900 WDT720900:WDU720900 WNP720900:WNQ720900 WXL720900:WXM720900 BD786436:BE786436 KZ786436:LA786436 UV786436:UW786436 AER786436:AES786436 AON786436:AOO786436 AYJ786436:AYK786436 BIF786436:BIG786436 BSB786436:BSC786436 CBX786436:CBY786436 CLT786436:CLU786436 CVP786436:CVQ786436 DFL786436:DFM786436 DPH786436:DPI786436 DZD786436:DZE786436 EIZ786436:EJA786436 ESV786436:ESW786436 FCR786436:FCS786436 FMN786436:FMO786436 FWJ786436:FWK786436 GGF786436:GGG786436 GQB786436:GQC786436 GZX786436:GZY786436 HJT786436:HJU786436 HTP786436:HTQ786436 IDL786436:IDM786436 INH786436:INI786436 IXD786436:IXE786436 JGZ786436:JHA786436 JQV786436:JQW786436 KAR786436:KAS786436 KKN786436:KKO786436 KUJ786436:KUK786436 LEF786436:LEG786436 LOB786436:LOC786436 LXX786436:LXY786436 MHT786436:MHU786436 MRP786436:MRQ786436 NBL786436:NBM786436 NLH786436:NLI786436 NVD786436:NVE786436 OEZ786436:OFA786436 OOV786436:OOW786436 OYR786436:OYS786436 PIN786436:PIO786436 PSJ786436:PSK786436 QCF786436:QCG786436 QMB786436:QMC786436 QVX786436:QVY786436 RFT786436:RFU786436 RPP786436:RPQ786436 RZL786436:RZM786436 SJH786436:SJI786436 STD786436:STE786436 TCZ786436:TDA786436 TMV786436:TMW786436 TWR786436:TWS786436 UGN786436:UGO786436 UQJ786436:UQK786436 VAF786436:VAG786436 VKB786436:VKC786436 VTX786436:VTY786436 WDT786436:WDU786436 WNP786436:WNQ786436 WXL786436:WXM786436 BD851972:BE851972 KZ851972:LA851972 UV851972:UW851972 AER851972:AES851972 AON851972:AOO851972 AYJ851972:AYK851972 BIF851972:BIG851972 BSB851972:BSC851972 CBX851972:CBY851972 CLT851972:CLU851972 CVP851972:CVQ851972 DFL851972:DFM851972 DPH851972:DPI851972 DZD851972:DZE851972 EIZ851972:EJA851972 ESV851972:ESW851972 FCR851972:FCS851972 FMN851972:FMO851972 FWJ851972:FWK851972 GGF851972:GGG851972 GQB851972:GQC851972 GZX851972:GZY851972 HJT851972:HJU851972 HTP851972:HTQ851972 IDL851972:IDM851972 INH851972:INI851972 IXD851972:IXE851972 JGZ851972:JHA851972 JQV851972:JQW851972 KAR851972:KAS851972 KKN851972:KKO851972 KUJ851972:KUK851972 LEF851972:LEG851972 LOB851972:LOC851972 LXX851972:LXY851972 MHT851972:MHU851972 MRP851972:MRQ851972 NBL851972:NBM851972 NLH851972:NLI851972 NVD851972:NVE851972 OEZ851972:OFA851972 OOV851972:OOW851972 OYR851972:OYS851972 PIN851972:PIO851972 PSJ851972:PSK851972 QCF851972:QCG851972 QMB851972:QMC851972 QVX851972:QVY851972 RFT851972:RFU851972 RPP851972:RPQ851972 RZL851972:RZM851972 SJH851972:SJI851972 STD851972:STE851972 TCZ851972:TDA851972 TMV851972:TMW851972 TWR851972:TWS851972 UGN851972:UGO851972 UQJ851972:UQK851972 VAF851972:VAG851972 VKB851972:VKC851972 VTX851972:VTY851972 WDT851972:WDU851972 WNP851972:WNQ851972 WXL851972:WXM851972 BD917508:BE917508 KZ917508:LA917508 UV917508:UW917508 AER917508:AES917508 AON917508:AOO917508 AYJ917508:AYK917508 BIF917508:BIG917508 BSB917508:BSC917508 CBX917508:CBY917508 CLT917508:CLU917508 CVP917508:CVQ917508 DFL917508:DFM917508 DPH917508:DPI917508 DZD917508:DZE917508 EIZ917508:EJA917508 ESV917508:ESW917508 FCR917508:FCS917508 FMN917508:FMO917508 FWJ917508:FWK917508 GGF917508:GGG917508 GQB917508:GQC917508 GZX917508:GZY917508 HJT917508:HJU917508 HTP917508:HTQ917508 IDL917508:IDM917508 INH917508:INI917508 IXD917508:IXE917508 JGZ917508:JHA917508 JQV917508:JQW917508 KAR917508:KAS917508 KKN917508:KKO917508 KUJ917508:KUK917508 LEF917508:LEG917508 LOB917508:LOC917508 LXX917508:LXY917508 MHT917508:MHU917508 MRP917508:MRQ917508 NBL917508:NBM917508 NLH917508:NLI917508 NVD917508:NVE917508 OEZ917508:OFA917508 OOV917508:OOW917508 OYR917508:OYS917508 PIN917508:PIO917508 PSJ917508:PSK917508 QCF917508:QCG917508 QMB917508:QMC917508 QVX917508:QVY917508 RFT917508:RFU917508 RPP917508:RPQ917508 RZL917508:RZM917508 SJH917508:SJI917508 STD917508:STE917508 TCZ917508:TDA917508 TMV917508:TMW917508 TWR917508:TWS917508 UGN917508:UGO917508 UQJ917508:UQK917508 VAF917508:VAG917508 VKB917508:VKC917508 VTX917508:VTY917508 WDT917508:WDU917508 WNP917508:WNQ917508 WXL917508:WXM917508 BD983044:BE983044 KZ983044:LA983044 UV983044:UW983044 AER983044:AES983044 AON983044:AOO983044 AYJ983044:AYK983044 BIF983044:BIG983044 BSB983044:BSC983044 CBX983044:CBY983044 CLT983044:CLU983044 CVP983044:CVQ983044 DFL983044:DFM983044 DPH983044:DPI983044 DZD983044:DZE983044 EIZ983044:EJA983044 ESV983044:ESW983044 FCR983044:FCS983044 FMN983044:FMO983044 FWJ983044:FWK983044 GGF983044:GGG983044 GQB983044:GQC983044 GZX983044:GZY983044 HJT983044:HJU983044 HTP983044:HTQ983044 IDL983044:IDM983044 INH983044:INI983044 IXD983044:IXE983044 JGZ983044:JHA983044 JQV983044:JQW983044 KAR983044:KAS983044 KKN983044:KKO983044 KUJ983044:KUK983044 LEF983044:LEG983044 LOB983044:LOC983044 LXX983044:LXY983044 MHT983044:MHU983044 MRP983044:MRQ983044 NBL983044:NBM983044 NLH983044:NLI983044 NVD983044:NVE983044 OEZ983044:OFA983044 OOV983044:OOW983044 OYR983044:OYS983044 PIN983044:PIO983044 PSJ983044:PSK983044 QCF983044:QCG983044 QMB983044:QMC983044 QVX983044:QVY983044 RFT983044:RFU983044 RPP983044:RPQ983044 RZL983044:RZM983044 SJH983044:SJI983044 STD983044:STE983044 TCZ983044:TDA983044 TMV983044:TMW983044 TWR983044:TWS983044 UGN983044:UGO983044 UQJ983044:UQK983044 VAF983044:VAG983044 VKB983044:VKC983044 VTX983044:VTY983044 WDT983044:WDU983044 WNP983044:WNQ983044 WXL983044:WXM983044">
      <formula1>Monitoreo</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paperSize="5" scale="93" fitToWidth="0" orientation="landscape" r:id="rId1"/>
  <headerFooter>
    <oddFooter xml:space="preserve">&amp;L&amp;9Formato: FO-AC-07 Versión: 2&amp;C&amp;9Página &amp;P&amp;R&amp;9Vo.Bo: </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L120"/>
  <sheetViews>
    <sheetView showGridLines="0" view="pageBreakPreview" zoomScaleNormal="100" zoomScaleSheetLayoutView="100" workbookViewId="0">
      <pane xSplit="8" ySplit="9" topLeftCell="AB10" activePane="bottomRight" state="frozen"/>
      <selection pane="topRight" activeCell="I1" sqref="I1"/>
      <selection pane="bottomLeft" activeCell="A10" sqref="A10"/>
      <selection pane="bottomRight"/>
    </sheetView>
  </sheetViews>
  <sheetFormatPr baseColWidth="10" defaultRowHeight="15"/>
  <cols>
    <col min="1" max="1" width="1.140625" style="20" customWidth="1"/>
    <col min="2" max="4" width="5.42578125" style="16" customWidth="1"/>
    <col min="5" max="5" width="7.28515625" style="17" customWidth="1"/>
    <col min="6" max="11" width="4.570312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1" width="9.8554687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12.85546875" style="18" customWidth="1"/>
    <col min="50" max="50" width="14.42578125" style="21" customWidth="1"/>
    <col min="51" max="51" width="3.85546875" style="21" customWidth="1"/>
    <col min="52" max="52" width="23.140625" style="210" customWidth="1"/>
    <col min="53" max="53" width="14.85546875" style="210" customWidth="1"/>
    <col min="54" max="54" width="6.140625" style="210" customWidth="1"/>
    <col min="55" max="55" width="19.5703125" style="210" customWidth="1"/>
    <col min="56" max="56" width="42.7109375" style="210" customWidth="1"/>
    <col min="57" max="57" width="5.85546875" style="210" customWidth="1"/>
    <col min="58" max="58" width="31.5703125" style="210" customWidth="1"/>
    <col min="59" max="59" width="16.140625" style="210" customWidth="1"/>
    <col min="60" max="61" width="9.28515625" style="210" customWidth="1"/>
    <col min="62" max="62" width="11.140625" style="210" customWidth="1"/>
    <col min="63" max="63" width="2.140625" style="210" customWidth="1"/>
    <col min="64" max="64" width="11.42578125" style="210"/>
    <col min="65" max="16384" width="11.42578125" style="20"/>
  </cols>
  <sheetData>
    <row r="1" spans="2:64" ht="13.5" customHeight="1" thickTop="1">
      <c r="B1" s="2847" t="s">
        <v>137</v>
      </c>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2:64" ht="15" customHeight="1">
      <c r="B2" s="2859" t="s">
        <v>3982</v>
      </c>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60">
        <v>2019</v>
      </c>
      <c r="BA2" s="208"/>
      <c r="BB2" s="2830" t="s">
        <v>138</v>
      </c>
      <c r="BC2" s="2831"/>
      <c r="BD2" s="2861" t="str">
        <f>L6</f>
        <v>GESTIÓN AMBIENTAL, CALIDAD Y SST</v>
      </c>
      <c r="BE2" s="2862"/>
      <c r="BF2" s="586"/>
      <c r="BG2" s="208"/>
    </row>
    <row r="3" spans="2:64" ht="12.75" customHeight="1">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2:64" ht="15.75" customHeight="1" thickBot="1">
      <c r="B4" s="2833"/>
      <c r="C4" s="2833"/>
      <c r="D4" s="2834"/>
      <c r="E4" s="2835" t="str">
        <f>[8]Control!C4</f>
        <v>Planeación Estratégica</v>
      </c>
      <c r="F4" s="2833"/>
      <c r="G4" s="2833"/>
      <c r="H4" s="2833"/>
      <c r="I4" s="2833"/>
      <c r="J4" s="2833"/>
      <c r="K4" s="2833"/>
      <c r="L4" s="2833"/>
      <c r="M4" s="2833"/>
      <c r="N4" s="2833"/>
      <c r="O4" s="2833"/>
      <c r="P4" s="2833"/>
      <c r="Q4" s="2833"/>
      <c r="R4" s="2833"/>
      <c r="S4" s="2833"/>
      <c r="T4" s="2833"/>
      <c r="U4" s="2834"/>
      <c r="V4" s="2835">
        <f>[8]Control!H4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232">
        <v>43445</v>
      </c>
      <c r="BA4" s="208"/>
      <c r="BB4" s="2914">
        <v>43708</v>
      </c>
      <c r="BC4" s="2282"/>
      <c r="BD4" s="2282" t="s">
        <v>3818</v>
      </c>
      <c r="BE4" s="2282"/>
      <c r="BF4" s="208"/>
      <c r="BG4" s="208"/>
    </row>
    <row r="5" spans="2:64" s="3" customFormat="1" ht="6" customHeight="1" thickTop="1">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2:64" s="3" customFormat="1" ht="27" customHeight="1">
      <c r="B6" s="2839" t="s">
        <v>57</v>
      </c>
      <c r="C6" s="2840"/>
      <c r="D6" s="2805" t="s">
        <v>58</v>
      </c>
      <c r="E6" s="2806"/>
      <c r="F6" s="2806"/>
      <c r="G6" s="2806"/>
      <c r="H6" s="2807"/>
      <c r="I6" s="2839" t="s">
        <v>138</v>
      </c>
      <c r="J6" s="2841"/>
      <c r="K6" s="2840"/>
      <c r="L6" s="2842" t="s">
        <v>340</v>
      </c>
      <c r="M6" s="2843"/>
      <c r="N6" s="2843"/>
      <c r="O6" s="2843"/>
      <c r="P6" s="2843"/>
      <c r="Q6" s="2843"/>
      <c r="R6" s="2843"/>
      <c r="S6" s="2843"/>
      <c r="T6" s="2843"/>
      <c r="U6" s="2844"/>
      <c r="V6" s="2845" t="s">
        <v>59</v>
      </c>
      <c r="W6" s="2845"/>
      <c r="X6" s="2845"/>
      <c r="Y6" s="2845"/>
      <c r="Z6" s="2845"/>
      <c r="AA6" s="2827" t="s">
        <v>579</v>
      </c>
      <c r="AB6" s="2828"/>
      <c r="AC6" s="2828"/>
      <c r="AD6" s="2828"/>
      <c r="AE6" s="2828"/>
      <c r="AF6" s="2828"/>
      <c r="AG6" s="2828"/>
      <c r="AH6" s="2828"/>
      <c r="AI6" s="2828"/>
      <c r="AJ6" s="2828"/>
      <c r="AK6" s="2828"/>
      <c r="AL6" s="2828"/>
      <c r="AM6" s="2828"/>
      <c r="AN6" s="2828"/>
      <c r="AO6" s="2828"/>
      <c r="AP6" s="2828"/>
      <c r="AQ6" s="2828"/>
      <c r="AR6" s="2828"/>
      <c r="AS6" s="2828"/>
      <c r="AT6" s="2828"/>
      <c r="AU6" s="2828"/>
      <c r="AV6" s="2828"/>
      <c r="AW6" s="2828"/>
      <c r="AX6" s="2828"/>
      <c r="AY6" s="2828"/>
      <c r="AZ6" s="2828"/>
      <c r="BA6" s="2829"/>
      <c r="BB6" s="213"/>
      <c r="BC6" s="212"/>
      <c r="BD6" s="213"/>
      <c r="BE6" s="213"/>
      <c r="BF6" s="213"/>
      <c r="BG6" s="213"/>
      <c r="BH6" s="213"/>
      <c r="BI6" s="213"/>
      <c r="BJ6" s="213"/>
      <c r="BK6" s="213"/>
      <c r="BL6" s="213"/>
    </row>
    <row r="7" spans="2:64" s="3" customFormat="1" ht="6" customHeight="1">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2:64" s="3" customFormat="1" ht="11.25" customHeight="1">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2:64" s="67" customFormat="1" ht="69" customHeight="1">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2:64" s="3" customFormat="1" ht="359.25" customHeight="1">
      <c r="B10" s="2805" t="s">
        <v>1877</v>
      </c>
      <c r="C10" s="2806"/>
      <c r="D10" s="2807"/>
      <c r="E10" s="843" t="s">
        <v>341</v>
      </c>
      <c r="F10" s="2808" t="s">
        <v>2755</v>
      </c>
      <c r="G10" s="2809"/>
      <c r="H10" s="2810"/>
      <c r="I10" s="2805" t="s">
        <v>2756</v>
      </c>
      <c r="J10" s="2806"/>
      <c r="K10" s="2807"/>
      <c r="L10" s="330" t="s">
        <v>283</v>
      </c>
      <c r="M10" s="50" t="s">
        <v>270</v>
      </c>
      <c r="N10" s="32"/>
      <c r="O10" s="6">
        <f>VLOOKUP(L10,[8]Listas!$M$69:$N$73,2,0)</f>
        <v>1</v>
      </c>
      <c r="P10" s="6"/>
      <c r="Q10" s="6">
        <f>HLOOKUP(M10,[8]Listas!$O$67:$Q$68,2,0)</f>
        <v>10</v>
      </c>
      <c r="R10" s="331" t="str">
        <f>INDEX([8]Listas!$O$69:$Q$73,MATCH(L10,[8]Listas!$M$69:$M$73,0),MATCH(M10,[8]Listas!$O$67:$Q$67,0))</f>
        <v>10
BAJA</v>
      </c>
      <c r="S10" s="2805" t="s">
        <v>2757</v>
      </c>
      <c r="T10" s="2806"/>
      <c r="U10" s="2807"/>
      <c r="V10" s="329" t="s">
        <v>65</v>
      </c>
      <c r="W10" s="329" t="s">
        <v>65</v>
      </c>
      <c r="X10" s="329" t="s">
        <v>65</v>
      </c>
      <c r="Y10" s="329" t="s">
        <v>65</v>
      </c>
      <c r="Z10" s="329" t="s">
        <v>65</v>
      </c>
      <c r="AA10" s="329" t="s">
        <v>65</v>
      </c>
      <c r="AB10" s="329" t="s">
        <v>65</v>
      </c>
      <c r="AC10" s="329" t="s">
        <v>65</v>
      </c>
      <c r="AD10" s="329" t="s">
        <v>65</v>
      </c>
      <c r="AE10" s="329" t="s">
        <v>65</v>
      </c>
      <c r="AF10" s="33"/>
      <c r="AG10" s="6">
        <f t="shared" ref="AG10:AG21" si="0">IF(Y10="SI",15,0)</f>
        <v>15</v>
      </c>
      <c r="AH10" s="6">
        <f t="shared" ref="AH10:AH21" si="1">IF(Z10="SI",5,0)</f>
        <v>5</v>
      </c>
      <c r="AI10" s="6">
        <f t="shared" ref="AI10:AI21" si="2">IF(AA10="SI",15,0)</f>
        <v>15</v>
      </c>
      <c r="AJ10" s="6">
        <f t="shared" ref="AJ10:AJ21" si="3">IF(AB10="SI",10,0)</f>
        <v>10</v>
      </c>
      <c r="AK10" s="6">
        <f t="shared" ref="AK10:AK21" si="4">IF(AC10="SI",15,0)</f>
        <v>15</v>
      </c>
      <c r="AL10" s="6">
        <f t="shared" ref="AL10:AL21" si="5">IF(AD10="SI",10,0)</f>
        <v>10</v>
      </c>
      <c r="AM10" s="6">
        <f t="shared" ref="AM10:AM21" si="6">IF(AE10="SI",30,0)</f>
        <v>30</v>
      </c>
      <c r="AN10" s="6">
        <f t="shared" ref="AN10:AN21" si="7">SUM(AG10+AH10+AI10+AJ10+AK10+AL10+AM10)</f>
        <v>100</v>
      </c>
      <c r="AO10" s="6">
        <f t="shared" ref="AO10:AO21" si="8">IF(AN10&lt;=50,0,IF(AN10&gt;=76,2,1))</f>
        <v>2</v>
      </c>
      <c r="AP10" s="331" t="str">
        <f t="shared" ref="AP10:AP21" si="9">CONCATENATE(AN10,"- disminuye ",AO10)</f>
        <v>100- disminuye 2</v>
      </c>
      <c r="AQ10" s="6">
        <f t="shared" ref="AQ10:AQ21" si="10">IF(V10="SI",O10-AO10,O10)</f>
        <v>-1</v>
      </c>
      <c r="AR10" s="331" t="str">
        <f>IF(AQ10&lt;=1,"Rara vez",VLOOKUP(AQ10,[8]Listas!$L$69:$M$73,2,0))</f>
        <v>Rara vez</v>
      </c>
      <c r="AS10" s="6">
        <f t="shared" ref="AS10:AS21" si="11">IF(W10="SI",Q10-AO10,Q10)</f>
        <v>8</v>
      </c>
      <c r="AT10" s="331" t="str">
        <f t="shared" ref="AT10:AT21" si="12">IF(AS10&lt;=9,"Moderado",IF(AS10=20,"Catastrófico",IF(AS10=18,"Moderado","Mayor")))</f>
        <v>Moderado</v>
      </c>
      <c r="AU10" s="331" t="str">
        <f>INDEX([8]Listas!$O$69:$Q$73,MATCH(AR10,[8]Listas!$M$69:$M$73,0),MATCH(AT10,[8]Listas!$O$67:$Q$67,0))</f>
        <v>5
BAJA</v>
      </c>
      <c r="AV10" s="330" t="s">
        <v>271</v>
      </c>
      <c r="AW10" s="826" t="s">
        <v>2758</v>
      </c>
      <c r="AX10" s="843" t="s">
        <v>2759</v>
      </c>
      <c r="AY10" s="330" t="s">
        <v>2760</v>
      </c>
      <c r="AZ10" s="12" t="s">
        <v>2761</v>
      </c>
      <c r="BA10" s="12" t="s">
        <v>3983</v>
      </c>
      <c r="BB10" s="226">
        <v>0</v>
      </c>
      <c r="BC10" s="12" t="s">
        <v>3984</v>
      </c>
      <c r="BD10" s="987" t="s">
        <v>3985</v>
      </c>
      <c r="BE10" s="839" t="s">
        <v>36</v>
      </c>
      <c r="BF10" s="12"/>
      <c r="BG10" s="12"/>
      <c r="BH10" s="227"/>
      <c r="BI10" s="227"/>
      <c r="BJ10" s="839"/>
      <c r="BK10" s="228"/>
      <c r="BL10" s="228"/>
    </row>
    <row r="11" spans="2:64" s="3" customFormat="1" ht="108" hidden="1" customHeight="1">
      <c r="B11" s="2805"/>
      <c r="C11" s="2806"/>
      <c r="D11" s="2807"/>
      <c r="E11" s="843"/>
      <c r="F11" s="2808"/>
      <c r="G11" s="2809"/>
      <c r="H11" s="2810"/>
      <c r="I11" s="2805"/>
      <c r="J11" s="2806"/>
      <c r="K11" s="2807"/>
      <c r="L11" s="330"/>
      <c r="M11" s="50"/>
      <c r="N11" s="32"/>
      <c r="O11" s="6" t="e">
        <f>VLOOKUP(L11,[8]Listas!$M$69:$N$73,2,0)</f>
        <v>#N/A</v>
      </c>
      <c r="P11" s="6"/>
      <c r="Q11" s="6" t="e">
        <f>HLOOKUP(M11,[8]Listas!$O$67:$Q$68,2,0)</f>
        <v>#N/A</v>
      </c>
      <c r="R11" s="331" t="e">
        <f>INDEX([8]Listas!$O$69:$Q$73,MATCH(L11,[8]Listas!$M$69:$M$73,0),MATCH(M11,[8]Listas!$O$67:$Q$67,0))</f>
        <v>#N/A</v>
      </c>
      <c r="S11" s="2805"/>
      <c r="T11" s="2806"/>
      <c r="U11" s="2807"/>
      <c r="V11" s="329"/>
      <c r="W11" s="329"/>
      <c r="X11" s="329"/>
      <c r="Y11" s="329"/>
      <c r="Z11" s="329"/>
      <c r="AA11" s="329"/>
      <c r="AB11" s="329"/>
      <c r="AC11" s="329"/>
      <c r="AD11" s="329"/>
      <c r="AE11" s="329"/>
      <c r="AF11" s="33"/>
      <c r="AG11" s="6">
        <f t="shared" si="0"/>
        <v>0</v>
      </c>
      <c r="AH11" s="6">
        <f t="shared" si="1"/>
        <v>0</v>
      </c>
      <c r="AI11" s="6">
        <f t="shared" si="2"/>
        <v>0</v>
      </c>
      <c r="AJ11" s="6">
        <f t="shared" si="3"/>
        <v>0</v>
      </c>
      <c r="AK11" s="6">
        <f t="shared" si="4"/>
        <v>0</v>
      </c>
      <c r="AL11" s="6">
        <f t="shared" si="5"/>
        <v>0</v>
      </c>
      <c r="AM11" s="6">
        <f t="shared" si="6"/>
        <v>0</v>
      </c>
      <c r="AN11" s="6">
        <f t="shared" si="7"/>
        <v>0</v>
      </c>
      <c r="AO11" s="6">
        <f t="shared" si="8"/>
        <v>0</v>
      </c>
      <c r="AP11" s="331" t="str">
        <f t="shared" si="9"/>
        <v>0- disminuye 0</v>
      </c>
      <c r="AQ11" s="6" t="e">
        <f t="shared" si="10"/>
        <v>#N/A</v>
      </c>
      <c r="AR11" s="331" t="e">
        <f>IF(AQ11&lt;=1,"Rara vez",VLOOKUP(AQ11,[8]Listas!$L$69:$M$73,2,0))</f>
        <v>#N/A</v>
      </c>
      <c r="AS11" s="6" t="e">
        <f t="shared" si="11"/>
        <v>#N/A</v>
      </c>
      <c r="AT11" s="331" t="e">
        <f t="shared" si="12"/>
        <v>#N/A</v>
      </c>
      <c r="AU11" s="331" t="e">
        <f>INDEX([8]Listas!$O$69:$Q$73,MATCH(AR11,[8]Listas!$M$69:$M$73,0),MATCH(AT11,[8]Listas!$O$67:$Q$67,0))</f>
        <v>#N/A</v>
      </c>
      <c r="AV11" s="330"/>
      <c r="AW11" s="826"/>
      <c r="AX11" s="843"/>
      <c r="AY11" s="843"/>
      <c r="AZ11" s="12"/>
      <c r="BA11" s="12"/>
      <c r="BB11" s="839"/>
      <c r="BC11" s="12"/>
      <c r="BD11" s="12" t="s">
        <v>2343</v>
      </c>
      <c r="BE11" s="839"/>
      <c r="BF11" s="12"/>
      <c r="BG11" s="12"/>
      <c r="BH11" s="227"/>
      <c r="BI11" s="227"/>
      <c r="BJ11" s="839"/>
      <c r="BK11" s="228"/>
      <c r="BL11" s="228"/>
    </row>
    <row r="12" spans="2:64" s="3" customFormat="1" ht="108" hidden="1" customHeight="1">
      <c r="B12" s="2805"/>
      <c r="C12" s="2806"/>
      <c r="D12" s="2807"/>
      <c r="E12" s="843"/>
      <c r="F12" s="2808"/>
      <c r="G12" s="2809"/>
      <c r="H12" s="2810"/>
      <c r="I12" s="2805"/>
      <c r="J12" s="2806"/>
      <c r="K12" s="2807"/>
      <c r="L12" s="330"/>
      <c r="M12" s="50"/>
      <c r="N12" s="32"/>
      <c r="O12" s="6" t="e">
        <f>VLOOKUP(L12,[8]Listas!$M$69:$N$73,2,0)</f>
        <v>#N/A</v>
      </c>
      <c r="P12" s="6"/>
      <c r="Q12" s="6" t="e">
        <f>HLOOKUP(M12,[8]Listas!$O$67:$Q$68,2,0)</f>
        <v>#N/A</v>
      </c>
      <c r="R12" s="331" t="e">
        <f>INDEX([8]Listas!$O$69:$Q$73,MATCH(L12,[8]Listas!$M$69:$M$73,0),MATCH(M12,[8]Listas!$O$67:$Q$67,0))</f>
        <v>#N/A</v>
      </c>
      <c r="S12" s="2805"/>
      <c r="T12" s="2806"/>
      <c r="U12" s="2807"/>
      <c r="V12" s="329"/>
      <c r="W12" s="329"/>
      <c r="X12" s="329"/>
      <c r="Y12" s="329"/>
      <c r="Z12" s="329"/>
      <c r="AA12" s="329"/>
      <c r="AB12" s="329"/>
      <c r="AC12" s="329"/>
      <c r="AD12" s="329"/>
      <c r="AE12" s="329"/>
      <c r="AF12" s="33"/>
      <c r="AG12" s="6">
        <f>IF(Y12="SI",15,0)</f>
        <v>0</v>
      </c>
      <c r="AH12" s="6">
        <f>IF(Z12="SI",5,0)</f>
        <v>0</v>
      </c>
      <c r="AI12" s="6">
        <f>IF(AA12="SI",15,0)</f>
        <v>0</v>
      </c>
      <c r="AJ12" s="6">
        <f>IF(AB12="SI",10,0)</f>
        <v>0</v>
      </c>
      <c r="AK12" s="6">
        <f>IF(AC12="SI",15,0)</f>
        <v>0</v>
      </c>
      <c r="AL12" s="6">
        <f>IF(AD12="SI",10,0)</f>
        <v>0</v>
      </c>
      <c r="AM12" s="6">
        <f>IF(AE12="SI",30,0)</f>
        <v>0</v>
      </c>
      <c r="AN12" s="6">
        <f>SUM(AG12+AH12+AI12+AJ12+AK12+AL12+AM12)</f>
        <v>0</v>
      </c>
      <c r="AO12" s="6">
        <f>IF(AN12&lt;=50,0,IF(AN12&gt;=76,2,1))</f>
        <v>0</v>
      </c>
      <c r="AP12" s="331" t="str">
        <f>CONCATENATE(AN12,"- disminuye ",AO12)</f>
        <v>0- disminuye 0</v>
      </c>
      <c r="AQ12" s="6" t="e">
        <f>IF(V12="SI",O12-AO12,O12)</f>
        <v>#N/A</v>
      </c>
      <c r="AR12" s="331" t="e">
        <f>IF(AQ12&lt;=1,"Rara vez",VLOOKUP(AQ12,[8]Listas!$L$69:$M$73,2,0))</f>
        <v>#N/A</v>
      </c>
      <c r="AS12" s="6" t="e">
        <f>IF(W12="SI",Q12-AO12,Q12)</f>
        <v>#N/A</v>
      </c>
      <c r="AT12" s="331" t="e">
        <f>IF(AS12&lt;=9,"Moderado",IF(AS12=20,"Catastrófico",IF(AS12=18,"Moderado","Mayor")))</f>
        <v>#N/A</v>
      </c>
      <c r="AU12" s="331" t="e">
        <f>INDEX([8]Listas!$O$69:$Q$73,MATCH(AR12,[8]Listas!$M$69:$M$73,0),MATCH(AT12,[8]Listas!$O$67:$Q$67,0))</f>
        <v>#N/A</v>
      </c>
      <c r="AV12" s="330"/>
      <c r="AW12" s="826"/>
      <c r="AX12" s="843"/>
      <c r="AY12" s="843"/>
      <c r="AZ12" s="12"/>
      <c r="BA12" s="12"/>
      <c r="BB12" s="839"/>
      <c r="BC12" s="12"/>
      <c r="BD12" s="12" t="s">
        <v>2343</v>
      </c>
      <c r="BE12" s="839"/>
      <c r="BF12" s="12"/>
      <c r="BG12" s="12"/>
      <c r="BH12" s="227"/>
      <c r="BI12" s="227"/>
      <c r="BJ12" s="839"/>
      <c r="BK12" s="228"/>
      <c r="BL12" s="228"/>
    </row>
    <row r="13" spans="2:64" s="3" customFormat="1" ht="108" hidden="1" customHeight="1">
      <c r="B13" s="2805"/>
      <c r="C13" s="2806"/>
      <c r="D13" s="2807"/>
      <c r="E13" s="843"/>
      <c r="F13" s="2808"/>
      <c r="G13" s="2809"/>
      <c r="H13" s="2810"/>
      <c r="I13" s="2805"/>
      <c r="J13" s="2806"/>
      <c r="K13" s="2807"/>
      <c r="L13" s="330"/>
      <c r="M13" s="50"/>
      <c r="N13" s="32"/>
      <c r="O13" s="6" t="e">
        <f>VLOOKUP(L13,[8]Listas!$M$69:$N$73,2,0)</f>
        <v>#N/A</v>
      </c>
      <c r="P13" s="6"/>
      <c r="Q13" s="6" t="e">
        <f>HLOOKUP(M13,[8]Listas!$O$67:$Q$68,2,0)</f>
        <v>#N/A</v>
      </c>
      <c r="R13" s="331" t="e">
        <f>INDEX([8]Listas!$O$69:$Q$73,MATCH(L13,[8]Listas!$M$69:$M$73,0),MATCH(M13,[8]Listas!$O$67:$Q$67,0))</f>
        <v>#N/A</v>
      </c>
      <c r="S13" s="2805"/>
      <c r="T13" s="2806"/>
      <c r="U13" s="2807"/>
      <c r="V13" s="329"/>
      <c r="W13" s="329"/>
      <c r="X13" s="329"/>
      <c r="Y13" s="329"/>
      <c r="Z13" s="329"/>
      <c r="AA13" s="329"/>
      <c r="AB13" s="329"/>
      <c r="AC13" s="329"/>
      <c r="AD13" s="329"/>
      <c r="AE13" s="329"/>
      <c r="AF13" s="33"/>
      <c r="AG13" s="6">
        <f>IF(Y13="SI",15,0)</f>
        <v>0</v>
      </c>
      <c r="AH13" s="6">
        <f>IF(Z13="SI",5,0)</f>
        <v>0</v>
      </c>
      <c r="AI13" s="6">
        <f>IF(AA13="SI",15,0)</f>
        <v>0</v>
      </c>
      <c r="AJ13" s="6">
        <f>IF(AB13="SI",10,0)</f>
        <v>0</v>
      </c>
      <c r="AK13" s="6">
        <f>IF(AC13="SI",15,0)</f>
        <v>0</v>
      </c>
      <c r="AL13" s="6">
        <f>IF(AD13="SI",10,0)</f>
        <v>0</v>
      </c>
      <c r="AM13" s="6">
        <f>IF(AE13="SI",30,0)</f>
        <v>0</v>
      </c>
      <c r="AN13" s="6">
        <f>SUM(AG13+AH13+AI13+AJ13+AK13+AL13+AM13)</f>
        <v>0</v>
      </c>
      <c r="AO13" s="6">
        <f>IF(AN13&lt;=50,0,IF(AN13&gt;=76,2,1))</f>
        <v>0</v>
      </c>
      <c r="AP13" s="331" t="str">
        <f>CONCATENATE(AN13,"- disminuye ",AO13)</f>
        <v>0- disminuye 0</v>
      </c>
      <c r="AQ13" s="6" t="e">
        <f>IF(V13="SI",O13-AO13,O13)</f>
        <v>#N/A</v>
      </c>
      <c r="AR13" s="331" t="e">
        <f>IF(AQ13&lt;=1,"Rara vez",VLOOKUP(AQ13,[8]Listas!$L$69:$M$73,2,0))</f>
        <v>#N/A</v>
      </c>
      <c r="AS13" s="6" t="e">
        <f>IF(W13="SI",Q13-AO13,Q13)</f>
        <v>#N/A</v>
      </c>
      <c r="AT13" s="331" t="e">
        <f>IF(AS13&lt;=9,"Moderado",IF(AS13=20,"Catastrófico",IF(AS13=18,"Moderado","Mayor")))</f>
        <v>#N/A</v>
      </c>
      <c r="AU13" s="331" t="e">
        <f>INDEX([8]Listas!$O$69:$Q$73,MATCH(AR13,[8]Listas!$M$69:$M$73,0),MATCH(AT13,[8]Listas!$O$67:$Q$67,0))</f>
        <v>#N/A</v>
      </c>
      <c r="AV13" s="330"/>
      <c r="AW13" s="826"/>
      <c r="AX13" s="843"/>
      <c r="AY13" s="843"/>
      <c r="AZ13" s="12"/>
      <c r="BA13" s="12"/>
      <c r="BB13" s="839"/>
      <c r="BC13" s="12"/>
      <c r="BD13" s="12" t="s">
        <v>2343</v>
      </c>
      <c r="BE13" s="839"/>
      <c r="BF13" s="12"/>
      <c r="BG13" s="12"/>
      <c r="BH13" s="227"/>
      <c r="BI13" s="227"/>
      <c r="BJ13" s="839"/>
      <c r="BK13" s="228"/>
      <c r="BL13" s="228"/>
    </row>
    <row r="14" spans="2:64" s="3" customFormat="1" ht="108" hidden="1" customHeight="1">
      <c r="B14" s="2805"/>
      <c r="C14" s="2806"/>
      <c r="D14" s="2807"/>
      <c r="E14" s="843"/>
      <c r="F14" s="2808"/>
      <c r="G14" s="2809"/>
      <c r="H14" s="2810"/>
      <c r="I14" s="2805"/>
      <c r="J14" s="2806"/>
      <c r="K14" s="2807"/>
      <c r="L14" s="330"/>
      <c r="M14" s="50"/>
      <c r="N14" s="32"/>
      <c r="O14" s="6" t="e">
        <f>VLOOKUP(L14,[8]Listas!$M$69:$N$73,2,0)</f>
        <v>#N/A</v>
      </c>
      <c r="P14" s="6"/>
      <c r="Q14" s="6" t="e">
        <f>HLOOKUP(M14,[8]Listas!$O$67:$Q$68,2,0)</f>
        <v>#N/A</v>
      </c>
      <c r="R14" s="331" t="e">
        <f>INDEX([8]Listas!$O$69:$Q$73,MATCH(L14,[8]Listas!$M$69:$M$73,0),MATCH(M14,[8]Listas!$O$67:$Q$67,0))</f>
        <v>#N/A</v>
      </c>
      <c r="S14" s="2805"/>
      <c r="T14" s="2806"/>
      <c r="U14" s="2807"/>
      <c r="V14" s="329"/>
      <c r="W14" s="329"/>
      <c r="X14" s="329"/>
      <c r="Y14" s="329"/>
      <c r="Z14" s="329"/>
      <c r="AA14" s="329"/>
      <c r="AB14" s="329"/>
      <c r="AC14" s="329"/>
      <c r="AD14" s="329"/>
      <c r="AE14" s="329"/>
      <c r="AF14" s="33"/>
      <c r="AG14" s="6">
        <f>IF(Y14="SI",15,0)</f>
        <v>0</v>
      </c>
      <c r="AH14" s="6">
        <f>IF(Z14="SI",5,0)</f>
        <v>0</v>
      </c>
      <c r="AI14" s="6">
        <f>IF(AA14="SI",15,0)</f>
        <v>0</v>
      </c>
      <c r="AJ14" s="6">
        <f>IF(AB14="SI",10,0)</f>
        <v>0</v>
      </c>
      <c r="AK14" s="6">
        <f>IF(AC14="SI",15,0)</f>
        <v>0</v>
      </c>
      <c r="AL14" s="6">
        <f>IF(AD14="SI",10,0)</f>
        <v>0</v>
      </c>
      <c r="AM14" s="6">
        <f>IF(AE14="SI",30,0)</f>
        <v>0</v>
      </c>
      <c r="AN14" s="6">
        <f>SUM(AG14+AH14+AI14+AJ14+AK14+AL14+AM14)</f>
        <v>0</v>
      </c>
      <c r="AO14" s="6">
        <f>IF(AN14&lt;=50,0,IF(AN14&gt;=76,2,1))</f>
        <v>0</v>
      </c>
      <c r="AP14" s="331" t="str">
        <f>CONCATENATE(AN14,"- disminuye ",AO14)</f>
        <v>0- disminuye 0</v>
      </c>
      <c r="AQ14" s="6" t="e">
        <f>IF(V14="SI",O14-AO14,O14)</f>
        <v>#N/A</v>
      </c>
      <c r="AR14" s="331" t="e">
        <f>IF(AQ14&lt;=1,"Rara vez",VLOOKUP(AQ14,[8]Listas!$L$69:$M$73,2,0))</f>
        <v>#N/A</v>
      </c>
      <c r="AS14" s="6" t="e">
        <f>IF(W14="SI",Q14-AO14,Q14)</f>
        <v>#N/A</v>
      </c>
      <c r="AT14" s="331" t="e">
        <f>IF(AS14&lt;=9,"Moderado",IF(AS14=20,"Catastrófico",IF(AS14=18,"Moderado","Mayor")))</f>
        <v>#N/A</v>
      </c>
      <c r="AU14" s="331" t="e">
        <f>INDEX([8]Listas!$O$69:$Q$73,MATCH(AR14,[8]Listas!$M$69:$M$73,0),MATCH(AT14,[8]Listas!$O$67:$Q$67,0))</f>
        <v>#N/A</v>
      </c>
      <c r="AV14" s="330"/>
      <c r="AW14" s="826"/>
      <c r="AX14" s="843"/>
      <c r="AY14" s="843"/>
      <c r="AZ14" s="12"/>
      <c r="BA14" s="12"/>
      <c r="BB14" s="839"/>
      <c r="BC14" s="12"/>
      <c r="BD14" s="12" t="s">
        <v>2343</v>
      </c>
      <c r="BE14" s="839"/>
      <c r="BF14" s="12"/>
      <c r="BG14" s="12"/>
      <c r="BH14" s="227"/>
      <c r="BI14" s="227"/>
      <c r="BJ14" s="839"/>
      <c r="BK14" s="228"/>
      <c r="BL14" s="228"/>
    </row>
    <row r="15" spans="2:64" s="3" customFormat="1" ht="108" hidden="1" customHeight="1">
      <c r="B15" s="2805"/>
      <c r="C15" s="2806"/>
      <c r="D15" s="2807"/>
      <c r="E15" s="843"/>
      <c r="F15" s="2808"/>
      <c r="G15" s="2809"/>
      <c r="H15" s="2810"/>
      <c r="I15" s="2805"/>
      <c r="J15" s="2806"/>
      <c r="K15" s="2807"/>
      <c r="L15" s="330"/>
      <c r="M15" s="50"/>
      <c r="N15" s="32"/>
      <c r="O15" s="6" t="e">
        <f>VLOOKUP(L15,[8]Listas!$M$69:$N$73,2,0)</f>
        <v>#N/A</v>
      </c>
      <c r="P15" s="6"/>
      <c r="Q15" s="6" t="e">
        <f>HLOOKUP(M15,[8]Listas!$O$67:$Q$68,2,0)</f>
        <v>#N/A</v>
      </c>
      <c r="R15" s="331" t="e">
        <f>INDEX([8]Listas!$O$69:$Q$73,MATCH(L15,[8]Listas!$M$69:$M$73,0),MATCH(M15,[8]Listas!$O$67:$Q$67,0))</f>
        <v>#N/A</v>
      </c>
      <c r="S15" s="2805"/>
      <c r="T15" s="2806"/>
      <c r="U15" s="2807"/>
      <c r="V15" s="329"/>
      <c r="W15" s="329"/>
      <c r="X15" s="329"/>
      <c r="Y15" s="329"/>
      <c r="Z15" s="329"/>
      <c r="AA15" s="329"/>
      <c r="AB15" s="329"/>
      <c r="AC15" s="329"/>
      <c r="AD15" s="329"/>
      <c r="AE15" s="329"/>
      <c r="AF15" s="33"/>
      <c r="AG15" s="6">
        <f t="shared" si="0"/>
        <v>0</v>
      </c>
      <c r="AH15" s="6">
        <f t="shared" si="1"/>
        <v>0</v>
      </c>
      <c r="AI15" s="6">
        <f t="shared" si="2"/>
        <v>0</v>
      </c>
      <c r="AJ15" s="6">
        <f t="shared" si="3"/>
        <v>0</v>
      </c>
      <c r="AK15" s="6">
        <f t="shared" si="4"/>
        <v>0</v>
      </c>
      <c r="AL15" s="6">
        <f t="shared" si="5"/>
        <v>0</v>
      </c>
      <c r="AM15" s="6">
        <f t="shared" si="6"/>
        <v>0</v>
      </c>
      <c r="AN15" s="6">
        <f t="shared" si="7"/>
        <v>0</v>
      </c>
      <c r="AO15" s="6">
        <f t="shared" si="8"/>
        <v>0</v>
      </c>
      <c r="AP15" s="331" t="str">
        <f t="shared" si="9"/>
        <v>0- disminuye 0</v>
      </c>
      <c r="AQ15" s="6" t="e">
        <f t="shared" si="10"/>
        <v>#N/A</v>
      </c>
      <c r="AR15" s="331" t="e">
        <f>IF(AQ15&lt;=1,"Rara vez",VLOOKUP(AQ15,[8]Listas!$L$69:$M$73,2,0))</f>
        <v>#N/A</v>
      </c>
      <c r="AS15" s="6" t="e">
        <f t="shared" si="11"/>
        <v>#N/A</v>
      </c>
      <c r="AT15" s="331" t="e">
        <f t="shared" si="12"/>
        <v>#N/A</v>
      </c>
      <c r="AU15" s="331" t="e">
        <f>INDEX([8]Listas!$O$69:$Q$73,MATCH(AR15,[8]Listas!$M$69:$M$73,0),MATCH(AT15,[8]Listas!$O$67:$Q$67,0))</f>
        <v>#N/A</v>
      </c>
      <c r="AV15" s="330"/>
      <c r="AW15" s="826"/>
      <c r="AX15" s="843"/>
      <c r="AY15" s="843"/>
      <c r="AZ15" s="12"/>
      <c r="BA15" s="12"/>
      <c r="BB15" s="839"/>
      <c r="BC15" s="12"/>
      <c r="BD15" s="12" t="s">
        <v>2343</v>
      </c>
      <c r="BE15" s="839"/>
      <c r="BF15" s="12"/>
      <c r="BG15" s="12"/>
      <c r="BH15" s="227"/>
      <c r="BI15" s="227"/>
      <c r="BJ15" s="839"/>
      <c r="BK15" s="228"/>
      <c r="BL15" s="228"/>
    </row>
    <row r="16" spans="2:64" s="3" customFormat="1" ht="108" hidden="1" customHeight="1">
      <c r="B16" s="2805"/>
      <c r="C16" s="2806"/>
      <c r="D16" s="2807"/>
      <c r="E16" s="843"/>
      <c r="F16" s="2808"/>
      <c r="G16" s="2809"/>
      <c r="H16" s="2810"/>
      <c r="I16" s="2805"/>
      <c r="J16" s="2806"/>
      <c r="K16" s="2807"/>
      <c r="L16" s="330"/>
      <c r="M16" s="50"/>
      <c r="N16" s="32"/>
      <c r="O16" s="6" t="e">
        <f>VLOOKUP(L16,[8]Listas!$M$69:$N$73,2,0)</f>
        <v>#N/A</v>
      </c>
      <c r="P16" s="6"/>
      <c r="Q16" s="6" t="e">
        <f>HLOOKUP(M16,[8]Listas!$O$67:$Q$68,2,0)</f>
        <v>#N/A</v>
      </c>
      <c r="R16" s="331" t="e">
        <f>INDEX([8]Listas!$O$69:$Q$73,MATCH(L16,[8]Listas!$M$69:$M$73,0),MATCH(M16,[8]Listas!$O$67:$Q$67,0))</f>
        <v>#N/A</v>
      </c>
      <c r="S16" s="826"/>
      <c r="T16" s="827"/>
      <c r="U16" s="828"/>
      <c r="V16" s="329"/>
      <c r="W16" s="329"/>
      <c r="X16" s="329"/>
      <c r="Y16" s="329"/>
      <c r="Z16" s="329"/>
      <c r="AA16" s="329"/>
      <c r="AB16" s="329"/>
      <c r="AC16" s="329"/>
      <c r="AD16" s="329"/>
      <c r="AE16" s="329"/>
      <c r="AF16" s="33"/>
      <c r="AG16" s="6">
        <f t="shared" si="0"/>
        <v>0</v>
      </c>
      <c r="AH16" s="6">
        <f t="shared" si="1"/>
        <v>0</v>
      </c>
      <c r="AI16" s="6">
        <f t="shared" si="2"/>
        <v>0</v>
      </c>
      <c r="AJ16" s="6">
        <f t="shared" si="3"/>
        <v>0</v>
      </c>
      <c r="AK16" s="6">
        <f t="shared" si="4"/>
        <v>0</v>
      </c>
      <c r="AL16" s="6">
        <f t="shared" si="5"/>
        <v>0</v>
      </c>
      <c r="AM16" s="6">
        <f t="shared" si="6"/>
        <v>0</v>
      </c>
      <c r="AN16" s="6">
        <f t="shared" si="7"/>
        <v>0</v>
      </c>
      <c r="AO16" s="6">
        <f t="shared" si="8"/>
        <v>0</v>
      </c>
      <c r="AP16" s="331" t="str">
        <f t="shared" si="9"/>
        <v>0- disminuye 0</v>
      </c>
      <c r="AQ16" s="6" t="e">
        <f t="shared" si="10"/>
        <v>#N/A</v>
      </c>
      <c r="AR16" s="331" t="e">
        <f>IF(AQ16&lt;=1,"Rara vez",VLOOKUP(AQ16,[8]Listas!$L$69:$M$73,2,0))</f>
        <v>#N/A</v>
      </c>
      <c r="AS16" s="6" t="e">
        <f t="shared" si="11"/>
        <v>#N/A</v>
      </c>
      <c r="AT16" s="331" t="e">
        <f t="shared" si="12"/>
        <v>#N/A</v>
      </c>
      <c r="AU16" s="331" t="e">
        <f>INDEX([8]Listas!$O$69:$Q$73,MATCH(AR16,[8]Listas!$M$69:$M$73,0),MATCH(AT16,[8]Listas!$O$67:$Q$67,0))</f>
        <v>#N/A</v>
      </c>
      <c r="AV16" s="330"/>
      <c r="AW16" s="826"/>
      <c r="AX16" s="843"/>
      <c r="AY16" s="843"/>
      <c r="AZ16" s="12"/>
      <c r="BA16" s="12"/>
      <c r="BB16" s="839"/>
      <c r="BC16" s="12"/>
      <c r="BD16" s="12" t="s">
        <v>2343</v>
      </c>
      <c r="BE16" s="839"/>
      <c r="BF16" s="12"/>
      <c r="BG16" s="12"/>
      <c r="BH16" s="227"/>
      <c r="BI16" s="227"/>
      <c r="BJ16" s="839"/>
      <c r="BK16" s="228"/>
      <c r="BL16" s="228"/>
    </row>
    <row r="17" spans="2:64" s="3" customFormat="1" ht="108" hidden="1" customHeight="1">
      <c r="B17" s="2805"/>
      <c r="C17" s="2806"/>
      <c r="D17" s="2807"/>
      <c r="E17" s="843"/>
      <c r="F17" s="2808"/>
      <c r="G17" s="2809"/>
      <c r="H17" s="2810"/>
      <c r="I17" s="2805"/>
      <c r="J17" s="2806"/>
      <c r="K17" s="2807"/>
      <c r="L17" s="330"/>
      <c r="M17" s="50"/>
      <c r="N17" s="32"/>
      <c r="O17" s="6" t="e">
        <f>VLOOKUP(L17,[8]Listas!$M$69:$N$73,2,0)</f>
        <v>#N/A</v>
      </c>
      <c r="P17" s="6"/>
      <c r="Q17" s="6" t="e">
        <f>HLOOKUP(M17,[8]Listas!$O$67:$Q$68,2,0)</f>
        <v>#N/A</v>
      </c>
      <c r="R17" s="331" t="e">
        <f>INDEX([8]Listas!$O$69:$Q$73,MATCH(L17,[8]Listas!$M$69:$M$73,0),MATCH(M17,[8]Listas!$O$67:$Q$67,0))</f>
        <v>#N/A</v>
      </c>
      <c r="S17" s="2805"/>
      <c r="T17" s="2806"/>
      <c r="U17" s="2807"/>
      <c r="V17" s="329"/>
      <c r="W17" s="329"/>
      <c r="X17" s="329"/>
      <c r="Y17" s="329"/>
      <c r="Z17" s="329"/>
      <c r="AA17" s="329"/>
      <c r="AB17" s="329"/>
      <c r="AC17" s="329"/>
      <c r="AD17" s="329"/>
      <c r="AE17" s="329"/>
      <c r="AF17" s="33"/>
      <c r="AG17" s="6">
        <f>IF(Y17="SI",15,0)</f>
        <v>0</v>
      </c>
      <c r="AH17" s="6">
        <f>IF(Z17="SI",5,0)</f>
        <v>0</v>
      </c>
      <c r="AI17" s="6">
        <f>IF(AA17="SI",15,0)</f>
        <v>0</v>
      </c>
      <c r="AJ17" s="6">
        <f>IF(AB17="SI",10,0)</f>
        <v>0</v>
      </c>
      <c r="AK17" s="6">
        <f>IF(AC17="SI",15,0)</f>
        <v>0</v>
      </c>
      <c r="AL17" s="6">
        <f>IF(AD17="SI",10,0)</f>
        <v>0</v>
      </c>
      <c r="AM17" s="6">
        <f>IF(AE17="SI",30,0)</f>
        <v>0</v>
      </c>
      <c r="AN17" s="6">
        <f>SUM(AG17+AH17+AI17+AJ17+AK17+AL17+AM17)</f>
        <v>0</v>
      </c>
      <c r="AO17" s="6">
        <f>IF(AN17&lt;=50,0,IF(AN17&gt;=76,2,1))</f>
        <v>0</v>
      </c>
      <c r="AP17" s="331" t="str">
        <f>CONCATENATE(AN17,"- disminuye ",AO17)</f>
        <v>0- disminuye 0</v>
      </c>
      <c r="AQ17" s="6" t="e">
        <f>IF(V17="SI",O17-AO17,O17)</f>
        <v>#N/A</v>
      </c>
      <c r="AR17" s="331" t="e">
        <f>IF(AQ17&lt;=1,"Rara vez",VLOOKUP(AQ17,[8]Listas!$L$69:$M$73,2,0))</f>
        <v>#N/A</v>
      </c>
      <c r="AS17" s="6" t="e">
        <f>IF(W17="SI",Q17-AO17,Q17)</f>
        <v>#N/A</v>
      </c>
      <c r="AT17" s="331" t="e">
        <f>IF(AS17&lt;=9,"Moderado",IF(AS17=20,"Catastrófico",IF(AS17=18,"Moderado","Mayor")))</f>
        <v>#N/A</v>
      </c>
      <c r="AU17" s="331" t="e">
        <f>INDEX([8]Listas!$O$69:$Q$73,MATCH(AR17,[8]Listas!$M$69:$M$73,0),MATCH(AT17,[8]Listas!$O$67:$Q$67,0))</f>
        <v>#N/A</v>
      </c>
      <c r="AV17" s="330"/>
      <c r="AW17" s="826"/>
      <c r="AX17" s="843"/>
      <c r="AY17" s="843"/>
      <c r="AZ17" s="12"/>
      <c r="BA17" s="12"/>
      <c r="BB17" s="839"/>
      <c r="BC17" s="12"/>
      <c r="BD17" s="12" t="s">
        <v>2343</v>
      </c>
      <c r="BE17" s="839"/>
      <c r="BF17" s="12"/>
      <c r="BG17" s="12"/>
      <c r="BH17" s="227"/>
      <c r="BI17" s="227"/>
      <c r="BJ17" s="839"/>
      <c r="BK17" s="228"/>
      <c r="BL17" s="228"/>
    </row>
    <row r="18" spans="2:64" s="3" customFormat="1" ht="108" hidden="1" customHeight="1">
      <c r="B18" s="2805"/>
      <c r="C18" s="2806"/>
      <c r="D18" s="2807"/>
      <c r="E18" s="843"/>
      <c r="F18" s="2808"/>
      <c r="G18" s="2809"/>
      <c r="H18" s="2810"/>
      <c r="I18" s="2805"/>
      <c r="J18" s="2806"/>
      <c r="K18" s="2807"/>
      <c r="L18" s="330"/>
      <c r="M18" s="50"/>
      <c r="N18" s="32"/>
      <c r="O18" s="6" t="e">
        <f>VLOOKUP(L18,[8]Listas!$M$69:$N$73,2,0)</f>
        <v>#N/A</v>
      </c>
      <c r="P18" s="6"/>
      <c r="Q18" s="6" t="e">
        <f>HLOOKUP(M18,[8]Listas!$O$67:$Q$68,2,0)</f>
        <v>#N/A</v>
      </c>
      <c r="R18" s="331" t="e">
        <f>INDEX([8]Listas!$O$69:$Q$73,MATCH(L18,[8]Listas!$M$69:$M$73,0),MATCH(M18,[8]Listas!$O$67:$Q$67,0))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vez",VLOOKUP(AQ18,[8]Listas!$L$69:$M$73,2,0))</f>
        <v>#N/A</v>
      </c>
      <c r="AS18" s="6" t="e">
        <f t="shared" si="11"/>
        <v>#N/A</v>
      </c>
      <c r="AT18" s="331" t="e">
        <f t="shared" si="12"/>
        <v>#N/A</v>
      </c>
      <c r="AU18" s="331" t="e">
        <f>INDEX([8]Listas!$O$69:$Q$73,MATCH(AR18,[8]Listas!$M$69:$M$73,0),MATCH(AT18,[8]Listas!$O$67:$Q$67,0))</f>
        <v>#N/A</v>
      </c>
      <c r="AV18" s="330"/>
      <c r="AW18" s="826"/>
      <c r="AX18" s="843"/>
      <c r="AY18" s="843"/>
      <c r="AZ18" s="12"/>
      <c r="BA18" s="12"/>
      <c r="BB18" s="839"/>
      <c r="BC18" s="12"/>
      <c r="BD18" s="12" t="s">
        <v>2343</v>
      </c>
      <c r="BE18" s="839"/>
      <c r="BF18" s="12"/>
      <c r="BG18" s="12"/>
      <c r="BH18" s="227"/>
      <c r="BI18" s="227"/>
      <c r="BJ18" s="839"/>
      <c r="BK18" s="228"/>
      <c r="BL18" s="228"/>
    </row>
    <row r="19" spans="2:64" s="3" customFormat="1" ht="108" hidden="1" customHeight="1">
      <c r="B19" s="2805"/>
      <c r="C19" s="2806"/>
      <c r="D19" s="2807"/>
      <c r="E19" s="843"/>
      <c r="F19" s="2808"/>
      <c r="G19" s="2809"/>
      <c r="H19" s="2810"/>
      <c r="I19" s="2805"/>
      <c r="J19" s="2806"/>
      <c r="K19" s="2807"/>
      <c r="L19" s="330"/>
      <c r="M19" s="50"/>
      <c r="N19" s="32"/>
      <c r="O19" s="6" t="e">
        <f>VLOOKUP(L19,[8]Listas!$M$69:$N$73,2,0)</f>
        <v>#N/A</v>
      </c>
      <c r="P19" s="6"/>
      <c r="Q19" s="6" t="e">
        <f>HLOOKUP(M19,[8]Listas!$O$67:$Q$68,2,0)</f>
        <v>#N/A</v>
      </c>
      <c r="R19" s="331" t="e">
        <f>INDEX([8]Listas!$O$69:$Q$73,MATCH(L19,[8]Listas!$M$69:$M$73,0),MATCH(M19,[8]Listas!$O$67:$Q$67,0))</f>
        <v>#N/A</v>
      </c>
      <c r="S19" s="2805"/>
      <c r="T19" s="2806"/>
      <c r="U19" s="2807"/>
      <c r="V19" s="329"/>
      <c r="W19" s="329"/>
      <c r="X19" s="329"/>
      <c r="Y19" s="329"/>
      <c r="Z19" s="329"/>
      <c r="AA19" s="329"/>
      <c r="AB19" s="329"/>
      <c r="AC19" s="329"/>
      <c r="AD19" s="329"/>
      <c r="AE19" s="329"/>
      <c r="AF19" s="33"/>
      <c r="AG19" s="6">
        <f t="shared" si="0"/>
        <v>0</v>
      </c>
      <c r="AH19" s="6">
        <f t="shared" si="1"/>
        <v>0</v>
      </c>
      <c r="AI19" s="6">
        <f t="shared" si="2"/>
        <v>0</v>
      </c>
      <c r="AJ19" s="6">
        <f t="shared" si="3"/>
        <v>0</v>
      </c>
      <c r="AK19" s="6">
        <f t="shared" si="4"/>
        <v>0</v>
      </c>
      <c r="AL19" s="6">
        <f t="shared" si="5"/>
        <v>0</v>
      </c>
      <c r="AM19" s="6">
        <f t="shared" si="6"/>
        <v>0</v>
      </c>
      <c r="AN19" s="6">
        <f t="shared" si="7"/>
        <v>0</v>
      </c>
      <c r="AO19" s="6">
        <f t="shared" si="8"/>
        <v>0</v>
      </c>
      <c r="AP19" s="331" t="str">
        <f t="shared" si="9"/>
        <v>0- disminuye 0</v>
      </c>
      <c r="AQ19" s="6" t="e">
        <f t="shared" si="10"/>
        <v>#N/A</v>
      </c>
      <c r="AR19" s="331" t="e">
        <f>IF(AQ19&lt;=1,"Rara vez",VLOOKUP(AQ19,[8]Listas!$L$69:$M$73,2,0))</f>
        <v>#N/A</v>
      </c>
      <c r="AS19" s="6" t="e">
        <f t="shared" si="11"/>
        <v>#N/A</v>
      </c>
      <c r="AT19" s="331" t="e">
        <f t="shared" si="12"/>
        <v>#N/A</v>
      </c>
      <c r="AU19" s="331" t="e">
        <f>INDEX([8]Listas!$O$69:$Q$73,MATCH(AR19,[8]Listas!$M$69:$M$73,0),MATCH(AT19,[8]Listas!$O$67:$Q$67,0))</f>
        <v>#N/A</v>
      </c>
      <c r="AV19" s="330"/>
      <c r="AW19" s="826"/>
      <c r="AX19" s="843"/>
      <c r="AY19" s="843"/>
      <c r="AZ19" s="12"/>
      <c r="BA19" s="12"/>
      <c r="BB19" s="839"/>
      <c r="BC19" s="12"/>
      <c r="BD19" s="12" t="s">
        <v>2343</v>
      </c>
      <c r="BE19" s="839"/>
      <c r="BF19" s="12"/>
      <c r="BG19" s="12"/>
      <c r="BH19" s="227"/>
      <c r="BI19" s="227"/>
      <c r="BJ19" s="839"/>
      <c r="BK19" s="228"/>
      <c r="BL19" s="228"/>
    </row>
    <row r="20" spans="2:64" s="3" customFormat="1" ht="108" hidden="1" customHeight="1">
      <c r="B20" s="2805"/>
      <c r="C20" s="2806"/>
      <c r="D20" s="2807"/>
      <c r="E20" s="843"/>
      <c r="F20" s="2808"/>
      <c r="G20" s="2809"/>
      <c r="H20" s="2810"/>
      <c r="I20" s="2805"/>
      <c r="J20" s="2806"/>
      <c r="K20" s="2807"/>
      <c r="L20" s="330"/>
      <c r="M20" s="50"/>
      <c r="N20" s="32"/>
      <c r="O20" s="6" t="e">
        <f>VLOOKUP(L20,[8]Listas!$M$69:$N$73,2,0)</f>
        <v>#N/A</v>
      </c>
      <c r="P20" s="6"/>
      <c r="Q20" s="6" t="e">
        <f>HLOOKUP(M20,[8]Listas!$O$67:$Q$68,2,0)</f>
        <v>#N/A</v>
      </c>
      <c r="R20" s="331" t="e">
        <f>INDEX([8]Listas!$O$69:$Q$73,MATCH(L20,[8]Listas!$M$69:$M$73,0),MATCH(M20,[8]Listas!$O$67:$Q$67,0))</f>
        <v>#N/A</v>
      </c>
      <c r="S20" s="2805"/>
      <c r="T20" s="2806"/>
      <c r="U20" s="2807"/>
      <c r="V20" s="329"/>
      <c r="W20" s="329"/>
      <c r="X20" s="329"/>
      <c r="Y20" s="329"/>
      <c r="Z20" s="329"/>
      <c r="AA20" s="329"/>
      <c r="AB20" s="329"/>
      <c r="AC20" s="329"/>
      <c r="AD20" s="329"/>
      <c r="AE20" s="329"/>
      <c r="AF20" s="33"/>
      <c r="AG20" s="6">
        <f>IF(Y20="SI",15,0)</f>
        <v>0</v>
      </c>
      <c r="AH20" s="6">
        <f>IF(Z20="SI",5,0)</f>
        <v>0</v>
      </c>
      <c r="AI20" s="6">
        <f>IF(AA20="SI",15,0)</f>
        <v>0</v>
      </c>
      <c r="AJ20" s="6">
        <f>IF(AB20="SI",10,0)</f>
        <v>0</v>
      </c>
      <c r="AK20" s="6">
        <f>IF(AC20="SI",15,0)</f>
        <v>0</v>
      </c>
      <c r="AL20" s="6">
        <f>IF(AD20="SI",10,0)</f>
        <v>0</v>
      </c>
      <c r="AM20" s="6">
        <f>IF(AE20="SI",30,0)</f>
        <v>0</v>
      </c>
      <c r="AN20" s="6">
        <f>SUM(AG20+AH20+AI20+AJ20+AK20+AL20+AM20)</f>
        <v>0</v>
      </c>
      <c r="AO20" s="6">
        <f>IF(AN20&lt;=50,0,IF(AN20&gt;=76,2,1))</f>
        <v>0</v>
      </c>
      <c r="AP20" s="331" t="str">
        <f>CONCATENATE(AN20,"- disminuye ",AO20)</f>
        <v>0- disminuye 0</v>
      </c>
      <c r="AQ20" s="6" t="e">
        <f>IF(V20="SI",O20-AO20,O20)</f>
        <v>#N/A</v>
      </c>
      <c r="AR20" s="331" t="e">
        <f>IF(AQ20&lt;=1,"Rara vez",VLOOKUP(AQ20,[8]Listas!$L$69:$M$73,2,0))</f>
        <v>#N/A</v>
      </c>
      <c r="AS20" s="6" t="e">
        <f>IF(W20="SI",Q20-AO20,Q20)</f>
        <v>#N/A</v>
      </c>
      <c r="AT20" s="331" t="e">
        <f>IF(AS20&lt;=9,"Moderado",IF(AS20=20,"Catastrófico",IF(AS20=18,"Moderado","Mayor")))</f>
        <v>#N/A</v>
      </c>
      <c r="AU20" s="331" t="e">
        <f>INDEX([8]Listas!$O$69:$Q$73,MATCH(AR20,[8]Listas!$M$69:$M$73,0),MATCH(AT20,[8]Listas!$O$67:$Q$67,0))</f>
        <v>#N/A</v>
      </c>
      <c r="AV20" s="330"/>
      <c r="AW20" s="826"/>
      <c r="AX20" s="843"/>
      <c r="AY20" s="843"/>
      <c r="AZ20" s="12"/>
      <c r="BA20" s="12"/>
      <c r="BB20" s="839"/>
      <c r="BC20" s="12"/>
      <c r="BD20" s="12" t="s">
        <v>2343</v>
      </c>
      <c r="BE20" s="839"/>
      <c r="BF20" s="12"/>
      <c r="BG20" s="12"/>
      <c r="BH20" s="227"/>
      <c r="BI20" s="227"/>
      <c r="BJ20" s="839"/>
      <c r="BK20" s="228"/>
      <c r="BL20" s="228"/>
    </row>
    <row r="21" spans="2:64" s="3" customFormat="1" ht="108" hidden="1" customHeight="1">
      <c r="B21" s="2805"/>
      <c r="C21" s="2806"/>
      <c r="D21" s="2807"/>
      <c r="E21" s="843"/>
      <c r="F21" s="2808"/>
      <c r="G21" s="2809"/>
      <c r="H21" s="2810"/>
      <c r="I21" s="2805"/>
      <c r="J21" s="2806"/>
      <c r="K21" s="2807"/>
      <c r="L21" s="330"/>
      <c r="M21" s="50"/>
      <c r="N21" s="32"/>
      <c r="O21" s="6" t="e">
        <f>VLOOKUP(L21,[8]Listas!$M$69:$N$73,2,0)</f>
        <v>#N/A</v>
      </c>
      <c r="P21" s="6"/>
      <c r="Q21" s="6" t="e">
        <f>HLOOKUP(M21,[8]Listas!$O$67:$Q$68,2,0)</f>
        <v>#N/A</v>
      </c>
      <c r="R21" s="331" t="e">
        <f>INDEX([8]Listas!$O$69:$Q$73,MATCH(L21,[8]Listas!$M$69:$M$73,0),MATCH(M21,[8]Listas!$O$67:$Q$67,0))</f>
        <v>#N/A</v>
      </c>
      <c r="S21" s="2805"/>
      <c r="T21" s="2806"/>
      <c r="U21" s="2807"/>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vez",VLOOKUP(AQ21,[8]Listas!$L$69:$M$73,2,0))</f>
        <v>#N/A</v>
      </c>
      <c r="AS21" s="6" t="e">
        <f t="shared" si="11"/>
        <v>#N/A</v>
      </c>
      <c r="AT21" s="331" t="e">
        <f t="shared" si="12"/>
        <v>#N/A</v>
      </c>
      <c r="AU21" s="331" t="e">
        <f>INDEX([8]Listas!$O$69:$Q$73,MATCH(AR21,[8]Listas!$M$69:$M$73,0),MATCH(AT21,[8]Listas!$O$67:$Q$67,0))</f>
        <v>#N/A</v>
      </c>
      <c r="AV21" s="330"/>
      <c r="AW21" s="826"/>
      <c r="AX21" s="843"/>
      <c r="AY21" s="843"/>
      <c r="AZ21" s="12"/>
      <c r="BA21" s="12"/>
      <c r="BB21" s="839"/>
      <c r="BC21" s="12"/>
      <c r="BD21" s="12" t="s">
        <v>2343</v>
      </c>
      <c r="BE21" s="839"/>
      <c r="BF21" s="12"/>
      <c r="BG21" s="12"/>
      <c r="BH21" s="227"/>
      <c r="BI21" s="227"/>
      <c r="BJ21" s="839"/>
      <c r="BK21" s="228"/>
      <c r="BL21" s="228"/>
    </row>
    <row r="22" spans="2:64" ht="4.5" customHeight="1">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2:64" ht="15" customHeight="1">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2:64" s="22" customFormat="1" ht="19.5" customHeight="1">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4" t="s">
        <v>172</v>
      </c>
      <c r="AS24" s="2804"/>
      <c r="AT24" s="2804"/>
      <c r="AU24" s="2804"/>
      <c r="AV24" s="2804"/>
      <c r="AW24" s="2804"/>
      <c r="AX24" s="65"/>
      <c r="AY24" s="65"/>
      <c r="AZ24" s="68"/>
      <c r="BA24" s="68"/>
      <c r="BB24" s="92"/>
      <c r="BC24" s="68"/>
      <c r="BD24" s="68"/>
      <c r="BE24" s="92"/>
      <c r="BF24" s="68"/>
      <c r="BG24" s="68"/>
      <c r="BH24" s="230"/>
      <c r="BI24" s="230"/>
      <c r="BJ24" s="92"/>
      <c r="BK24" s="210"/>
      <c r="BL24" s="210"/>
    </row>
    <row r="25" spans="2:64" s="22" customFormat="1" ht="25.5" customHeight="1">
      <c r="B25" s="2800" t="s">
        <v>173</v>
      </c>
      <c r="C25" s="2800"/>
      <c r="D25" s="2800"/>
      <c r="E25" s="2800"/>
      <c r="F25" s="2800"/>
      <c r="G25" s="2800"/>
      <c r="H25" s="2800"/>
      <c r="I25" s="2800" t="s">
        <v>2405</v>
      </c>
      <c r="J25" s="2800"/>
      <c r="K25" s="2800"/>
      <c r="L25" s="2800"/>
      <c r="M25" s="2800"/>
      <c r="N25" s="2800"/>
      <c r="O25" s="2800"/>
      <c r="P25" s="2800"/>
      <c r="Q25" s="2800"/>
      <c r="R25" s="2800"/>
      <c r="S25" s="2800"/>
      <c r="T25" s="2800"/>
      <c r="U25" s="2800"/>
      <c r="V25" s="2800" t="s">
        <v>375</v>
      </c>
      <c r="W25" s="2800"/>
      <c r="X25" s="2800"/>
      <c r="Y25" s="2800"/>
      <c r="Z25" s="2800"/>
      <c r="AA25" s="2800"/>
      <c r="AB25" s="2800"/>
      <c r="AC25" s="2800"/>
      <c r="AD25" s="2800"/>
      <c r="AE25" s="2800"/>
      <c r="AF25" s="2800"/>
      <c r="AG25" s="2800"/>
      <c r="AH25" s="2800"/>
      <c r="AI25" s="2800"/>
      <c r="AJ25" s="2800"/>
      <c r="AK25" s="2800"/>
      <c r="AL25" s="2800"/>
      <c r="AM25" s="2800"/>
      <c r="AN25" s="2800"/>
      <c r="AO25" s="2800"/>
      <c r="AP25" s="2800"/>
      <c r="AQ25" s="12"/>
      <c r="AR25" s="2987"/>
      <c r="AS25" s="2987"/>
      <c r="AT25" s="2987"/>
      <c r="AU25" s="2987"/>
      <c r="AV25" s="2987"/>
      <c r="AW25" s="2987"/>
      <c r="AX25" s="65"/>
      <c r="AY25" s="65"/>
      <c r="AZ25" s="68"/>
      <c r="BA25" s="68"/>
      <c r="BB25" s="92"/>
      <c r="BC25" s="68"/>
      <c r="BD25" s="68"/>
      <c r="BE25" s="92"/>
      <c r="BF25" s="68"/>
      <c r="BG25" s="68"/>
      <c r="BH25" s="230"/>
      <c r="BI25" s="230"/>
      <c r="BJ25" s="92"/>
      <c r="BK25" s="210"/>
      <c r="BL25" s="210"/>
    </row>
    <row r="26" spans="2:64" s="22" customFormat="1" ht="25.5" customHeight="1">
      <c r="B26" s="2800" t="s">
        <v>198</v>
      </c>
      <c r="C26" s="2800"/>
      <c r="D26" s="2800"/>
      <c r="E26" s="2800"/>
      <c r="F26" s="2800"/>
      <c r="G26" s="2800"/>
      <c r="H26" s="2800"/>
      <c r="I26" s="2800" t="s">
        <v>4161</v>
      </c>
      <c r="J26" s="2800"/>
      <c r="K26" s="2800"/>
      <c r="L26" s="2800"/>
      <c r="M26" s="2800"/>
      <c r="N26" s="2800"/>
      <c r="O26" s="2800"/>
      <c r="P26" s="2800"/>
      <c r="Q26" s="2800"/>
      <c r="R26" s="2800"/>
      <c r="S26" s="2800"/>
      <c r="T26" s="2800"/>
      <c r="U26" s="2800"/>
      <c r="V26" s="2800" t="s">
        <v>944</v>
      </c>
      <c r="W26" s="2800"/>
      <c r="X26" s="2800"/>
      <c r="Y26" s="2800"/>
      <c r="Z26" s="2800"/>
      <c r="AA26" s="2800"/>
      <c r="AB26" s="2800"/>
      <c r="AC26" s="2800"/>
      <c r="AD26" s="2800"/>
      <c r="AE26" s="2800"/>
      <c r="AF26" s="2800"/>
      <c r="AG26" s="2800"/>
      <c r="AH26" s="2800"/>
      <c r="AI26" s="2800"/>
      <c r="AJ26" s="2800"/>
      <c r="AK26" s="2800"/>
      <c r="AL26" s="2800"/>
      <c r="AM26" s="2800"/>
      <c r="AN26" s="2800"/>
      <c r="AO26" s="2800"/>
      <c r="AP26" s="2800"/>
      <c r="AQ26" s="12"/>
      <c r="AR26" s="2987"/>
      <c r="AS26" s="2987"/>
      <c r="AT26" s="2987"/>
      <c r="AU26" s="2987"/>
      <c r="AV26" s="2987"/>
      <c r="AW26" s="2987"/>
      <c r="AX26" s="65"/>
      <c r="AY26" s="65"/>
      <c r="AZ26" s="68"/>
      <c r="BA26" s="68"/>
      <c r="BB26" s="92"/>
      <c r="BC26" s="68"/>
      <c r="BD26" s="68"/>
      <c r="BE26" s="92"/>
      <c r="BF26" s="68"/>
      <c r="BG26" s="68"/>
      <c r="BH26" s="230"/>
      <c r="BI26" s="230"/>
      <c r="BJ26" s="92"/>
      <c r="BK26" s="210"/>
      <c r="BL26" s="210"/>
    </row>
    <row r="27" spans="2:64" ht="25.5" customHeight="1">
      <c r="B27" s="2800" t="s">
        <v>195</v>
      </c>
      <c r="C27" s="2800"/>
      <c r="D27" s="2800"/>
      <c r="E27" s="2800"/>
      <c r="F27" s="2800"/>
      <c r="G27" s="2800"/>
      <c r="H27" s="2800"/>
      <c r="I27" s="2794" t="s">
        <v>854</v>
      </c>
      <c r="J27" s="2795"/>
      <c r="K27" s="2795"/>
      <c r="L27" s="2795"/>
      <c r="M27" s="2795"/>
      <c r="N27" s="2795"/>
      <c r="O27" s="2795"/>
      <c r="P27" s="2795"/>
      <c r="Q27" s="2795"/>
      <c r="R27" s="2795"/>
      <c r="S27" s="2795"/>
      <c r="T27" s="2795"/>
      <c r="U27" s="2796"/>
      <c r="V27" s="2794" t="s">
        <v>308</v>
      </c>
      <c r="W27" s="2795"/>
      <c r="X27" s="2795"/>
      <c r="Y27" s="2795"/>
      <c r="Z27" s="2795"/>
      <c r="AA27" s="2795"/>
      <c r="AB27" s="2795"/>
      <c r="AC27" s="2795"/>
      <c r="AD27" s="2795"/>
      <c r="AE27" s="2795"/>
      <c r="AF27" s="2795"/>
      <c r="AG27" s="2795"/>
      <c r="AH27" s="2795"/>
      <c r="AI27" s="2795"/>
      <c r="AJ27" s="2795"/>
      <c r="AK27" s="2795"/>
      <c r="AL27" s="2795"/>
      <c r="AM27" s="2795"/>
      <c r="AN27" s="2795"/>
      <c r="AO27" s="2795"/>
      <c r="AP27" s="2796"/>
      <c r="AQ27" s="12"/>
      <c r="AR27" s="2987"/>
      <c r="AS27" s="2987"/>
      <c r="AT27" s="2987"/>
      <c r="AU27" s="2987"/>
      <c r="AV27" s="2987"/>
      <c r="AW27" s="2987"/>
      <c r="AX27" s="65"/>
      <c r="AY27" s="65"/>
      <c r="AZ27" s="68"/>
      <c r="BA27" s="68"/>
      <c r="BB27" s="92"/>
      <c r="BC27" s="68"/>
      <c r="BD27" s="68"/>
      <c r="BE27" s="92"/>
      <c r="BF27" s="68"/>
      <c r="BG27" s="68"/>
      <c r="BH27" s="230"/>
      <c r="BI27" s="230"/>
      <c r="BJ27" s="92"/>
    </row>
    <row r="28" spans="2:64" ht="23.25" customHeight="1">
      <c r="B28" s="2794" t="s">
        <v>99</v>
      </c>
      <c r="C28" s="2795"/>
      <c r="D28" s="2795"/>
      <c r="E28" s="2795"/>
      <c r="F28" s="2795"/>
      <c r="G28" s="2795"/>
      <c r="H28" s="2796"/>
      <c r="I28" s="2800" t="s">
        <v>281</v>
      </c>
      <c r="J28" s="2800"/>
      <c r="K28" s="2800"/>
      <c r="L28" s="2800"/>
      <c r="M28" s="2800"/>
      <c r="N28" s="2800"/>
      <c r="O28" s="2800"/>
      <c r="P28" s="2800"/>
      <c r="Q28" s="2800"/>
      <c r="R28" s="2800"/>
      <c r="S28" s="2800"/>
      <c r="T28" s="2800"/>
      <c r="U28" s="2800"/>
      <c r="V28" s="2800" t="s">
        <v>580</v>
      </c>
      <c r="W28" s="2800"/>
      <c r="X28" s="2800"/>
      <c r="Y28" s="2800"/>
      <c r="Z28" s="2800"/>
      <c r="AA28" s="2800"/>
      <c r="AB28" s="2800"/>
      <c r="AC28" s="2800"/>
      <c r="AD28" s="2800"/>
      <c r="AE28" s="2800"/>
      <c r="AF28" s="2800"/>
      <c r="AG28" s="2800"/>
      <c r="AH28" s="2800"/>
      <c r="AI28" s="2800"/>
      <c r="AJ28" s="2800"/>
      <c r="AK28" s="2800"/>
      <c r="AL28" s="2800"/>
      <c r="AM28" s="2800"/>
      <c r="AN28" s="2800"/>
      <c r="AO28" s="2800"/>
      <c r="AP28" s="2800"/>
      <c r="AQ28" s="12"/>
      <c r="AR28" s="2987"/>
      <c r="AS28" s="2987"/>
      <c r="AT28" s="2987"/>
      <c r="AU28" s="2987"/>
      <c r="AV28" s="2987"/>
      <c r="AW28" s="2987"/>
      <c r="AX28" s="65"/>
      <c r="AY28" s="65"/>
      <c r="AZ28" s="68"/>
      <c r="BA28" s="68"/>
      <c r="BB28" s="92"/>
      <c r="BC28" s="68"/>
      <c r="BD28" s="68"/>
      <c r="BE28" s="92"/>
      <c r="BF28" s="68"/>
      <c r="BG28" s="68"/>
      <c r="BH28" s="230"/>
      <c r="BI28" s="230"/>
      <c r="BJ28" s="92"/>
    </row>
    <row r="29" spans="2:64">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2:64">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2:64">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2:64">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2:62">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2:62">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2:62">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2:62">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2:62">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2:62">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2:62">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2:62">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2:62">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2:62">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2:62">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2:62">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2:62">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2:62">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2:62">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2:62">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2:62">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2:62">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2:62">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2:62">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2:62">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2:62">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2:62">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2:62">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2:62">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2:62">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2:62">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2:62">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2:62">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2:62">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2:62">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2:62">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2:62">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2:62">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2:62">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2:62">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2:62">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2:62">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2:62">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2:62">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2:62">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2:62">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2:62">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2:62">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2:62">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2:62">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2:62">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2:62">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2:62">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2:62">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2:62">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2:62">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2:62">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2:62">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2:62">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2:62">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2:62">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2:62">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2:62">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2:62">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2:62">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2:62">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c r="AZ94" s="68"/>
      <c r="BA94" s="68"/>
      <c r="BB94" s="92"/>
      <c r="BC94" s="68"/>
      <c r="BD94" s="68"/>
      <c r="BE94" s="92"/>
      <c r="BF94" s="68"/>
      <c r="BG94" s="68"/>
      <c r="BH94" s="230"/>
      <c r="BI94" s="230"/>
      <c r="BJ94" s="92"/>
    </row>
    <row r="95" spans="2:62">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2:62">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2:64">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row>
    <row r="98" spans="2:64" ht="11.25">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2:64" ht="11.25">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2:64" ht="11.25">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2:64" ht="11.25">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2:64" ht="11.25">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2:64" ht="11.25">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2:64" ht="11.25">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2:64" ht="11.25">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c r="AZ105" s="231"/>
      <c r="BA105" s="231"/>
      <c r="BB105" s="231"/>
      <c r="BC105" s="231"/>
      <c r="BD105" s="231"/>
      <c r="BE105" s="231"/>
      <c r="BF105" s="231"/>
      <c r="BG105" s="231"/>
      <c r="BH105" s="231"/>
      <c r="BI105" s="231"/>
      <c r="BJ105" s="231"/>
      <c r="BK105" s="231"/>
      <c r="BL105" s="231"/>
    </row>
    <row r="106" spans="2:64">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2:64">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2:64">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2:64">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2:64">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2:64">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2:64">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2:49">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2:49">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2:49">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2:49">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2:49">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2:49">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2:49">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row r="120" spans="2:49">
      <c r="B120" s="13"/>
      <c r="C120" s="13"/>
      <c r="D120" s="13"/>
      <c r="E120" s="14"/>
      <c r="F120" s="13"/>
      <c r="G120" s="13"/>
      <c r="H120" s="13"/>
      <c r="I120" s="13"/>
      <c r="J120" s="13"/>
      <c r="K120" s="13"/>
      <c r="L120" s="15"/>
      <c r="M120" s="15"/>
      <c r="N120" s="15"/>
      <c r="O120" s="15"/>
      <c r="P120" s="15"/>
      <c r="Q120" s="15"/>
      <c r="R120" s="15"/>
      <c r="S120" s="15"/>
      <c r="T120" s="15"/>
      <c r="U120" s="15"/>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5"/>
      <c r="AW120" s="15"/>
    </row>
  </sheetData>
  <sheetProtection formatCells="0" formatColumns="0" formatRows="0" insertRows="0" deleteRows="0" sort="0" autoFilter="0" pivotTables="0"/>
  <mergeCells count="100">
    <mergeCell ref="B1:AB1"/>
    <mergeCell ref="AC1:AU4"/>
    <mergeCell ref="BB1:BE1"/>
    <mergeCell ref="B2:AB2"/>
    <mergeCell ref="BB2:BC2"/>
    <mergeCell ref="BD2:BE2"/>
    <mergeCell ref="B3:D3"/>
    <mergeCell ref="E3:U3"/>
    <mergeCell ref="V3:AB3"/>
    <mergeCell ref="BB3:BC3"/>
    <mergeCell ref="AA6:BA6"/>
    <mergeCell ref="BD3:BE3"/>
    <mergeCell ref="B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B13:D13"/>
    <mergeCell ref="F13:H13"/>
    <mergeCell ref="I13:K13"/>
    <mergeCell ref="S13:U13"/>
    <mergeCell ref="B14:D14"/>
    <mergeCell ref="F14:H14"/>
    <mergeCell ref="I14:K14"/>
    <mergeCell ref="S14:U14"/>
    <mergeCell ref="B15:D15"/>
    <mergeCell ref="F15:H15"/>
    <mergeCell ref="I15:K15"/>
    <mergeCell ref="S15:U15"/>
    <mergeCell ref="B16:D16"/>
    <mergeCell ref="F16:H16"/>
    <mergeCell ref="I16:K16"/>
    <mergeCell ref="B17:D17"/>
    <mergeCell ref="F17:H17"/>
    <mergeCell ref="I17:K17"/>
    <mergeCell ref="S17:U17"/>
    <mergeCell ref="B18:D18"/>
    <mergeCell ref="F18:H18"/>
    <mergeCell ref="I18:K18"/>
    <mergeCell ref="S18:U18"/>
    <mergeCell ref="B19:D19"/>
    <mergeCell ref="F19:H19"/>
    <mergeCell ref="I19:K19"/>
    <mergeCell ref="S19:U19"/>
    <mergeCell ref="B20:D20"/>
    <mergeCell ref="F20:H20"/>
    <mergeCell ref="I20:K20"/>
    <mergeCell ref="S20:U20"/>
    <mergeCell ref="B21:D21"/>
    <mergeCell ref="F21:H21"/>
    <mergeCell ref="I21:K21"/>
    <mergeCell ref="S21:U21"/>
    <mergeCell ref="B23:U23"/>
    <mergeCell ref="V24:AP24"/>
    <mergeCell ref="AR24:AW24"/>
    <mergeCell ref="B25:H25"/>
    <mergeCell ref="I25:U25"/>
    <mergeCell ref="V25:AP25"/>
    <mergeCell ref="AR25:AW25"/>
    <mergeCell ref="B24:H24"/>
    <mergeCell ref="I24:U24"/>
    <mergeCell ref="B28:H28"/>
    <mergeCell ref="I28:U28"/>
    <mergeCell ref="V28:AP28"/>
    <mergeCell ref="AR28:AW28"/>
    <mergeCell ref="B26:H26"/>
    <mergeCell ref="I26:U26"/>
    <mergeCell ref="V26:AP26"/>
    <mergeCell ref="AR26:AW26"/>
    <mergeCell ref="B27:H27"/>
    <mergeCell ref="I27:U27"/>
    <mergeCell ref="V27:AP27"/>
    <mergeCell ref="AR27:AW27"/>
  </mergeCells>
  <dataValidations count="8">
    <dataValidation type="list" allowBlank="1" showInputMessage="1" showErrorMessage="1" sqref="BE10:BE21">
      <formula1>Efectividad</formula1>
    </dataValidation>
    <dataValidation type="list" allowBlank="1" showInputMessage="1" sqref="AV10:AV21">
      <formula1>Periodo</formula1>
    </dataValidation>
    <dataValidation type="list" showInputMessage="1" showErrorMessage="1" sqref="V10:AF21">
      <formula1>Efectividad</formula1>
    </dataValidation>
    <dataValidation showInputMessage="1" showErrorMessage="1" sqref="AG10:AT21"/>
    <dataValidation type="list" allowBlank="1" showInputMessage="1" showErrorMessage="1" sqref="M10:N21">
      <formula1>Impacto</formula1>
    </dataValidation>
    <dataValidation type="list" showInputMessage="1" showErrorMessage="1" sqref="L10:L21">
      <formula1>Probabilidad</formula1>
    </dataValidation>
    <dataValidation type="list" sqref="BD4:BE4">
      <formula1>Monitoreo</formula1>
    </dataValidation>
    <dataValidation type="list" allowBlank="1" showInputMessage="1" showErrorMessage="1" sqref="L6">
      <formula1>Proceso</formula1>
    </dataValidation>
  </dataValidations>
  <printOptions horizontalCentered="1" verticalCentered="1"/>
  <pageMargins left="0.23622047244094491" right="0.23622047244094491" top="0.74803149606299213" bottom="0.35433070866141736" header="0.31496062992125984" footer="0.11811023622047245"/>
  <pageSetup paperSize="14" scale="57" orientation="landscape" r:id="rId1"/>
  <headerFooter>
    <oddFooter>&amp;L&amp;"Segoe UI,Normal"&amp;9Formato: FO-AC-07 Versión: 3&amp;C&amp;"Segoe UI,Normal"&amp;9Página &amp;P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20"/>
  <sheetViews>
    <sheetView showGridLines="0" view="pageBreakPreview" zoomScaleNormal="136" zoomScaleSheetLayoutView="100" workbookViewId="0">
      <selection activeCell="S10" sqref="S10:U10"/>
    </sheetView>
  </sheetViews>
  <sheetFormatPr baseColWidth="10" defaultRowHeight="15"/>
  <cols>
    <col min="1" max="1" width="1.140625" style="16" customWidth="1"/>
    <col min="2" max="3" width="3.7109375" style="16" customWidth="1"/>
    <col min="4" max="4" width="6.7109375" style="16" customWidth="1"/>
    <col min="5" max="5" width="7.7109375" style="17" customWidth="1"/>
    <col min="6" max="7" width="4.5703125" style="16" customWidth="1"/>
    <col min="8" max="8" width="7.85546875" style="16" customWidth="1"/>
    <col min="9" max="10" width="4.5703125" style="16" customWidth="1"/>
    <col min="11" max="11" width="7.14062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0" width="7.140625" style="18" customWidth="1"/>
    <col min="21" max="21" width="18.85546875" style="18" customWidth="1"/>
    <col min="22" max="22" width="2.7109375" style="17" customWidth="1"/>
    <col min="23" max="23" width="3.28515625" style="17" customWidth="1"/>
    <col min="24" max="24" width="2.7109375" style="17" customWidth="1"/>
    <col min="25" max="25" width="2.85546875" style="17" customWidth="1"/>
    <col min="26" max="26" width="2.7109375" style="17" customWidth="1"/>
    <col min="27" max="27" width="3.140625" style="17" customWidth="1"/>
    <col min="28" max="28" width="3" style="17" customWidth="1"/>
    <col min="29" max="31" width="2.7109375" style="17" customWidth="1"/>
    <col min="32" max="32" width="1.140625" style="17" hidden="1" customWidth="1"/>
    <col min="33" max="39" width="2.7109375" style="17" hidden="1" customWidth="1"/>
    <col min="40" max="41" width="5.140625" style="17" hidden="1" customWidth="1"/>
    <col min="42" max="42" width="4.710937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14.140625" style="18" customWidth="1"/>
    <col min="50" max="50" width="20.28515625" style="21" customWidth="1"/>
    <col min="51" max="51" width="4.5703125" style="21" customWidth="1"/>
    <col min="52" max="52" width="22" style="210" customWidth="1"/>
    <col min="53" max="53" width="14.85546875" style="210" customWidth="1"/>
    <col min="54" max="54" width="6.140625" style="210" customWidth="1"/>
    <col min="55" max="55" width="19.5703125" style="210" customWidth="1"/>
    <col min="56" max="56" width="42.7109375" style="210" customWidth="1"/>
    <col min="57" max="57" width="5.85546875" style="210" customWidth="1"/>
    <col min="58" max="58" width="31.5703125" style="210" customWidth="1"/>
    <col min="59" max="59" width="16.140625" style="210" customWidth="1"/>
    <col min="60" max="61" width="9.28515625" style="210" customWidth="1"/>
    <col min="62" max="62" width="11.140625" style="210" customWidth="1"/>
    <col min="63" max="63" width="2.140625" style="210" customWidth="1"/>
    <col min="64" max="64" width="11.42578125" style="210"/>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996" t="str">
        <f>UPPER([28]Control!A2)</f>
        <v>MATRIZ RIESGOS DE CORRUPCIÓN</v>
      </c>
      <c r="B2" s="2997"/>
      <c r="C2" s="2997"/>
      <c r="D2" s="2997"/>
      <c r="E2" s="2997"/>
      <c r="F2" s="2997"/>
      <c r="G2" s="2997"/>
      <c r="H2" s="2997"/>
      <c r="I2" s="2997"/>
      <c r="J2" s="2997"/>
      <c r="K2" s="2997"/>
      <c r="L2" s="2997"/>
      <c r="M2" s="2997"/>
      <c r="N2" s="2997"/>
      <c r="O2" s="2997"/>
      <c r="P2" s="2997"/>
      <c r="Q2" s="2997"/>
      <c r="R2" s="2997"/>
      <c r="S2" s="2997"/>
      <c r="T2" s="2997"/>
      <c r="U2" s="2997"/>
      <c r="V2" s="2997"/>
      <c r="W2" s="2997"/>
      <c r="X2" s="2997"/>
      <c r="Y2" s="2997"/>
      <c r="Z2" s="2997"/>
      <c r="AA2" s="2997"/>
      <c r="AB2" s="2998"/>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22">
        <v>2019</v>
      </c>
      <c r="BA2" s="208"/>
      <c r="BB2" s="2830" t="s">
        <v>138</v>
      </c>
      <c r="BC2" s="2831"/>
      <c r="BD2" s="2901" t="str">
        <f>L6</f>
        <v>GESTIÓN DEL TALENTO HUMANO</v>
      </c>
      <c r="BE2" s="2902"/>
      <c r="BF2" s="208"/>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1:64" ht="23.25" customHeight="1" thickBot="1">
      <c r="A4" s="2832" t="str">
        <f>[28]Control!A4</f>
        <v>FO-PE-05</v>
      </c>
      <c r="B4" s="2833"/>
      <c r="C4" s="2833"/>
      <c r="D4" s="2834"/>
      <c r="E4" s="2835" t="str">
        <f>[28]Control!C4</f>
        <v>Planeación Estratégica</v>
      </c>
      <c r="F4" s="2833"/>
      <c r="G4" s="2833"/>
      <c r="H4" s="2833"/>
      <c r="I4" s="2833"/>
      <c r="J4" s="2833"/>
      <c r="K4" s="2833"/>
      <c r="L4" s="2833"/>
      <c r="M4" s="2833"/>
      <c r="N4" s="2833"/>
      <c r="O4" s="2833"/>
      <c r="P4" s="2833"/>
      <c r="Q4" s="2833"/>
      <c r="R4" s="2833"/>
      <c r="S4" s="2833"/>
      <c r="T4" s="2833"/>
      <c r="U4" s="2834"/>
      <c r="V4" s="2835">
        <f>[28]Control!H4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410">
        <v>43707</v>
      </c>
      <c r="BA4" s="208"/>
      <c r="BB4" s="2836">
        <v>43707</v>
      </c>
      <c r="BC4" s="2837"/>
      <c r="BD4" s="2838" t="s">
        <v>500</v>
      </c>
      <c r="BE4" s="2838"/>
      <c r="BF4" s="208"/>
      <c r="BG4" s="208"/>
    </row>
    <row r="5" spans="1:64" s="3" customFormat="1" ht="27.75"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842" t="s">
        <v>83</v>
      </c>
      <c r="M6" s="2843"/>
      <c r="N6" s="2843"/>
      <c r="O6" s="2843"/>
      <c r="P6" s="2843"/>
      <c r="Q6" s="2843"/>
      <c r="R6" s="2843"/>
      <c r="S6" s="2843"/>
      <c r="T6" s="2843"/>
      <c r="U6" s="2844"/>
      <c r="V6" s="2845" t="s">
        <v>59</v>
      </c>
      <c r="W6" s="2845"/>
      <c r="X6" s="2845"/>
      <c r="Y6" s="2845"/>
      <c r="Z6" s="2845"/>
      <c r="AA6" s="2827" t="s">
        <v>26</v>
      </c>
      <c r="AB6" s="2828"/>
      <c r="AC6" s="2828"/>
      <c r="AD6" s="2828"/>
      <c r="AE6" s="2828"/>
      <c r="AF6" s="2828"/>
      <c r="AG6" s="2828"/>
      <c r="AH6" s="2828"/>
      <c r="AI6" s="2828"/>
      <c r="AJ6" s="2828"/>
      <c r="AK6" s="2828"/>
      <c r="AL6" s="2828"/>
      <c r="AM6" s="2828"/>
      <c r="AN6" s="2828"/>
      <c r="AO6" s="2828"/>
      <c r="AP6" s="2828"/>
      <c r="AQ6" s="2828"/>
      <c r="AR6" s="2828"/>
      <c r="AS6" s="2828"/>
      <c r="AT6" s="2828"/>
      <c r="AU6" s="2828"/>
      <c r="AV6" s="2828"/>
      <c r="AW6" s="2828"/>
      <c r="AX6" s="2828"/>
      <c r="AY6" s="2828"/>
      <c r="AZ6" s="2828"/>
      <c r="BA6" s="2829"/>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1:64" s="3" customFormat="1" ht="258" customHeight="1">
      <c r="A10" s="570"/>
      <c r="B10" s="2990" t="s">
        <v>3544</v>
      </c>
      <c r="C10" s="2991"/>
      <c r="D10" s="2992"/>
      <c r="E10" s="49" t="s">
        <v>2001</v>
      </c>
      <c r="F10" s="2993" t="s">
        <v>3545</v>
      </c>
      <c r="G10" s="2994"/>
      <c r="H10" s="2995"/>
      <c r="I10" s="2990" t="s">
        <v>355</v>
      </c>
      <c r="J10" s="2991"/>
      <c r="K10" s="2992"/>
      <c r="L10" s="49" t="s">
        <v>64</v>
      </c>
      <c r="M10" s="313" t="s">
        <v>270</v>
      </c>
      <c r="N10" s="526"/>
      <c r="O10" s="527">
        <f>VLOOKUP(L10,[28]Listas!$M$69:$N$73,2,0)</f>
        <v>3</v>
      </c>
      <c r="P10" s="527"/>
      <c r="Q10" s="527">
        <f>HLOOKUP(M10,[28]Listas!$O$67:$Q$68,2,0)</f>
        <v>10</v>
      </c>
      <c r="R10" s="528" t="str">
        <f>INDEX([28]Listas!$O$69:$Q$73,MATCH(L10,[28]Listas!$M$69:$M$73,0),MATCH(M10,[28]Listas!$O$67:$Q$67,0))</f>
        <v>30
ALTA</v>
      </c>
      <c r="S10" s="2990" t="s">
        <v>3546</v>
      </c>
      <c r="T10" s="2991"/>
      <c r="U10" s="2992"/>
      <c r="V10" s="329" t="s">
        <v>65</v>
      </c>
      <c r="W10" s="329" t="s">
        <v>36</v>
      </c>
      <c r="X10" s="329" t="s">
        <v>65</v>
      </c>
      <c r="Y10" s="329" t="s">
        <v>65</v>
      </c>
      <c r="Z10" s="329" t="s">
        <v>65</v>
      </c>
      <c r="AA10" s="329" t="s">
        <v>36</v>
      </c>
      <c r="AB10" s="329" t="s">
        <v>65</v>
      </c>
      <c r="AC10" s="329" t="s">
        <v>65</v>
      </c>
      <c r="AD10" s="329" t="s">
        <v>65</v>
      </c>
      <c r="AE10" s="329" t="s">
        <v>65</v>
      </c>
      <c r="AF10" s="33"/>
      <c r="AG10" s="527">
        <f t="shared" ref="AG10:AG21" si="0">IF(Y10="SI",15,0)</f>
        <v>15</v>
      </c>
      <c r="AH10" s="527">
        <f t="shared" ref="AH10:AH21" si="1">IF(Z10="SI",5,0)</f>
        <v>5</v>
      </c>
      <c r="AI10" s="527">
        <f t="shared" ref="AI10:AI21" si="2">IF(AA10="SI",15,0)</f>
        <v>0</v>
      </c>
      <c r="AJ10" s="527">
        <f t="shared" ref="AJ10:AJ21" si="3">IF(AB10="SI",10,0)</f>
        <v>10</v>
      </c>
      <c r="AK10" s="527">
        <f t="shared" ref="AK10:AK21" si="4">IF(AC10="SI",15,0)</f>
        <v>15</v>
      </c>
      <c r="AL10" s="527">
        <f t="shared" ref="AL10:AL21" si="5">IF(AD10="SI",10,0)</f>
        <v>10</v>
      </c>
      <c r="AM10" s="527">
        <f t="shared" ref="AM10:AM21" si="6">IF(AE10="SI",30,0)</f>
        <v>30</v>
      </c>
      <c r="AN10" s="527">
        <f t="shared" ref="AN10:AN21" si="7">SUM(AG10+AH10+AI10+AJ10+AK10+AL10+AM10)</f>
        <v>85</v>
      </c>
      <c r="AO10" s="527">
        <f t="shared" ref="AO10:AO21" si="8">IF(AN10&lt;=50,0,IF(AN10&gt;=76,2,1))</f>
        <v>2</v>
      </c>
      <c r="AP10" s="528" t="str">
        <f t="shared" ref="AP10:AP21" si="9">CONCATENATE(AN10,"- disminuye ",AO10)</f>
        <v>85- disminuye 2</v>
      </c>
      <c r="AQ10" s="527">
        <f t="shared" ref="AQ10:AQ21" si="10">IF(V10="SI",O10-AO10,O10)</f>
        <v>1</v>
      </c>
      <c r="AR10" s="528" t="str">
        <f>IF(AQ10&lt;=1,"Rara vez",VLOOKUP(AQ10,[28]Listas!$L$69:$M$73,2,0))</f>
        <v>Rara vez</v>
      </c>
      <c r="AS10" s="527">
        <f t="shared" ref="AS10:AS21" si="11">IF(W10="SI",Q10-AO10,Q10)</f>
        <v>10</v>
      </c>
      <c r="AT10" s="528" t="str">
        <f t="shared" ref="AT10:AT21" si="12">IF(AS10&lt;=9,"Moderado",IF(AS10=20,"Catastrófico",IF(AS10=18,"Moderado","Mayor")))</f>
        <v>Mayor</v>
      </c>
      <c r="AU10" s="528" t="str">
        <f>INDEX([28]Listas!$O$69:$Q$73,MATCH(AR10,[28]Listas!$M$69:$M$73,0),MATCH(AT10,[28]Listas!$O$67:$Q$67,0))</f>
        <v>10
BAJA</v>
      </c>
      <c r="AV10" s="49" t="s">
        <v>271</v>
      </c>
      <c r="AW10" s="848" t="s">
        <v>3547</v>
      </c>
      <c r="AX10" s="329" t="s">
        <v>3548</v>
      </c>
      <c r="AY10" s="49" t="s">
        <v>195</v>
      </c>
      <c r="AZ10" s="12" t="s">
        <v>3549</v>
      </c>
      <c r="BA10" s="12" t="s">
        <v>3550</v>
      </c>
      <c r="BB10" s="226" t="s">
        <v>4011</v>
      </c>
      <c r="BC10" s="12" t="s">
        <v>4012</v>
      </c>
      <c r="BD10" s="12" t="s">
        <v>3537</v>
      </c>
      <c r="BE10" s="839" t="s">
        <v>36</v>
      </c>
      <c r="BF10" s="12" t="s">
        <v>4013</v>
      </c>
      <c r="BG10" s="12" t="s">
        <v>4013</v>
      </c>
      <c r="BH10" s="571" t="s">
        <v>4013</v>
      </c>
      <c r="BI10" s="571" t="s">
        <v>4013</v>
      </c>
      <c r="BJ10" s="839" t="s">
        <v>4013</v>
      </c>
      <c r="BK10" s="228"/>
      <c r="BL10" s="228"/>
    </row>
    <row r="11" spans="1:64" s="3" customFormat="1" ht="185.25" customHeight="1">
      <c r="A11" s="570"/>
      <c r="B11" s="2990" t="s">
        <v>848</v>
      </c>
      <c r="C11" s="2991"/>
      <c r="D11" s="2992"/>
      <c r="E11" s="49" t="s">
        <v>2002</v>
      </c>
      <c r="F11" s="2993" t="s">
        <v>849</v>
      </c>
      <c r="G11" s="2994"/>
      <c r="H11" s="2995"/>
      <c r="I11" s="2990" t="s">
        <v>611</v>
      </c>
      <c r="J11" s="2991"/>
      <c r="K11" s="2992"/>
      <c r="L11" s="49" t="s">
        <v>283</v>
      </c>
      <c r="M11" s="313" t="s">
        <v>270</v>
      </c>
      <c r="N11" s="526"/>
      <c r="O11" s="527">
        <f>VLOOKUP(L11,[28]Listas!$M$69:$N$73,2,0)</f>
        <v>1</v>
      </c>
      <c r="P11" s="527"/>
      <c r="Q11" s="527">
        <f>HLOOKUP(M11,[28]Listas!$O$67:$Q$68,2,0)</f>
        <v>10</v>
      </c>
      <c r="R11" s="528" t="str">
        <f>INDEX([28]Listas!$O$69:$Q$73,MATCH(L11,[28]Listas!$M$69:$M$73,0),MATCH(M11,[28]Listas!$O$67:$Q$67,0))</f>
        <v>10
BAJA</v>
      </c>
      <c r="S11" s="2990" t="s">
        <v>3089</v>
      </c>
      <c r="T11" s="2991"/>
      <c r="U11" s="2992"/>
      <c r="V11" s="329" t="s">
        <v>65</v>
      </c>
      <c r="W11" s="329" t="s">
        <v>65</v>
      </c>
      <c r="X11" s="329" t="s">
        <v>65</v>
      </c>
      <c r="Y11" s="329" t="s">
        <v>65</v>
      </c>
      <c r="Z11" s="329" t="s">
        <v>65</v>
      </c>
      <c r="AA11" s="329" t="s">
        <v>65</v>
      </c>
      <c r="AB11" s="329" t="s">
        <v>65</v>
      </c>
      <c r="AC11" s="329" t="s">
        <v>65</v>
      </c>
      <c r="AD11" s="329" t="s">
        <v>65</v>
      </c>
      <c r="AE11" s="329" t="s">
        <v>65</v>
      </c>
      <c r="AF11" s="33"/>
      <c r="AG11" s="527">
        <f t="shared" si="0"/>
        <v>15</v>
      </c>
      <c r="AH11" s="527">
        <f t="shared" si="1"/>
        <v>5</v>
      </c>
      <c r="AI11" s="527">
        <f t="shared" si="2"/>
        <v>15</v>
      </c>
      <c r="AJ11" s="527">
        <f t="shared" si="3"/>
        <v>10</v>
      </c>
      <c r="AK11" s="527">
        <f t="shared" si="4"/>
        <v>15</v>
      </c>
      <c r="AL11" s="527">
        <f t="shared" si="5"/>
        <v>10</v>
      </c>
      <c r="AM11" s="527">
        <f t="shared" si="6"/>
        <v>30</v>
      </c>
      <c r="AN11" s="527">
        <f t="shared" si="7"/>
        <v>100</v>
      </c>
      <c r="AO11" s="527">
        <f t="shared" si="8"/>
        <v>2</v>
      </c>
      <c r="AP11" s="528" t="str">
        <f t="shared" si="9"/>
        <v>100- disminuye 2</v>
      </c>
      <c r="AQ11" s="527">
        <f t="shared" si="10"/>
        <v>-1</v>
      </c>
      <c r="AR11" s="528" t="str">
        <f>IF(AQ11&lt;=1,"Rara vez",VLOOKUP(AQ11,[28]Listas!$L$69:$M$73,2,0))</f>
        <v>Rara vez</v>
      </c>
      <c r="AS11" s="527">
        <f t="shared" si="11"/>
        <v>8</v>
      </c>
      <c r="AT11" s="528" t="str">
        <f t="shared" si="12"/>
        <v>Moderado</v>
      </c>
      <c r="AU11" s="528" t="str">
        <f>INDEX([28]Listas!$O$69:$Q$73,MATCH(AR11,[28]Listas!$M$69:$M$73,0),MATCH(AT11,[28]Listas!$O$67:$Q$67,0))</f>
        <v>5
BAJA</v>
      </c>
      <c r="AV11" s="49" t="s">
        <v>271</v>
      </c>
      <c r="AW11" s="848" t="s">
        <v>1902</v>
      </c>
      <c r="AX11" s="329" t="s">
        <v>1903</v>
      </c>
      <c r="AY11" s="49" t="s">
        <v>195</v>
      </c>
      <c r="AZ11" s="12" t="s">
        <v>3090</v>
      </c>
      <c r="BA11" s="12" t="s">
        <v>3551</v>
      </c>
      <c r="BB11" s="989">
        <v>0</v>
      </c>
      <c r="BC11" s="12" t="s">
        <v>4014</v>
      </c>
      <c r="BD11" s="12" t="s">
        <v>3537</v>
      </c>
      <c r="BE11" s="839" t="s">
        <v>36</v>
      </c>
      <c r="BF11" s="12" t="s">
        <v>4013</v>
      </c>
      <c r="BG11" s="12" t="s">
        <v>4013</v>
      </c>
      <c r="BH11" s="571" t="s">
        <v>4013</v>
      </c>
      <c r="BI11" s="571" t="s">
        <v>4013</v>
      </c>
      <c r="BJ11" s="12" t="s">
        <v>4013</v>
      </c>
      <c r="BK11" s="228"/>
      <c r="BL11" s="228"/>
    </row>
    <row r="12" spans="1:64" s="3" customFormat="1" ht="30.75" hidden="1" customHeight="1">
      <c r="A12" s="332"/>
      <c r="B12" s="2805"/>
      <c r="C12" s="2806"/>
      <c r="D12" s="2807"/>
      <c r="E12" s="843"/>
      <c r="F12" s="2808"/>
      <c r="G12" s="2809"/>
      <c r="H12" s="2810"/>
      <c r="I12" s="2805"/>
      <c r="J12" s="2806"/>
      <c r="K12" s="2807"/>
      <c r="L12" s="330"/>
      <c r="M12" s="50"/>
      <c r="N12" s="32"/>
      <c r="O12" s="6" t="e">
        <f>VLOOKUP(L12,[28]Listas!$M$69:$N$73,2,0)</f>
        <v>#N/A</v>
      </c>
      <c r="P12" s="6"/>
      <c r="Q12" s="6" t="e">
        <f>HLOOKUP(M12,[28]Listas!$O$67:$Q$68,2,0)</f>
        <v>#N/A</v>
      </c>
      <c r="R12" s="331" t="e">
        <f>INDEX([28]Listas!$O$69:$Q$73,MATCH(L12,[28]Listas!$M$69:$M$73,0),MATCH(M12,[28]Listas!$O$67:$Q$67,0))</f>
        <v>#N/A</v>
      </c>
      <c r="S12" s="2805"/>
      <c r="T12" s="2806"/>
      <c r="U12" s="2807"/>
      <c r="V12" s="329"/>
      <c r="W12" s="329"/>
      <c r="X12" s="329"/>
      <c r="Y12" s="329"/>
      <c r="Z12" s="329"/>
      <c r="AA12" s="329"/>
      <c r="AB12" s="329"/>
      <c r="AC12" s="329"/>
      <c r="AD12" s="329"/>
      <c r="AE12" s="329"/>
      <c r="AF12" s="33"/>
      <c r="AG12" s="6">
        <f>IF(Y12="SI",15,0)</f>
        <v>0</v>
      </c>
      <c r="AH12" s="6">
        <f>IF(Z12="SI",5,0)</f>
        <v>0</v>
      </c>
      <c r="AI12" s="6">
        <f>IF(AA12="SI",15,0)</f>
        <v>0</v>
      </c>
      <c r="AJ12" s="6">
        <f>IF(AB12="SI",10,0)</f>
        <v>0</v>
      </c>
      <c r="AK12" s="6">
        <f>IF(AC12="SI",15,0)</f>
        <v>0</v>
      </c>
      <c r="AL12" s="6">
        <f>IF(AD12="SI",10,0)</f>
        <v>0</v>
      </c>
      <c r="AM12" s="6">
        <f>IF(AE12="SI",30,0)</f>
        <v>0</v>
      </c>
      <c r="AN12" s="6">
        <f>SUM(AG12+AH12+AI12+AJ12+AK12+AL12+AM12)</f>
        <v>0</v>
      </c>
      <c r="AO12" s="6">
        <f>IF(AN12&lt;=50,0,IF(AN12&gt;=76,2,1))</f>
        <v>0</v>
      </c>
      <c r="AP12" s="331" t="str">
        <f>CONCATENATE(AN12,"- disminuye ",AO12)</f>
        <v>0- disminuye 0</v>
      </c>
      <c r="AQ12" s="6" t="e">
        <f>IF(V12="SI",O12-AO12,O12)</f>
        <v>#N/A</v>
      </c>
      <c r="AR12" s="331" t="e">
        <f>IF(AQ12&lt;=1,"Rara vez",VLOOKUP(AQ12,[28]Listas!$L$69:$M$73,2,0))</f>
        <v>#N/A</v>
      </c>
      <c r="AS12" s="6" t="e">
        <f>IF(W12="SI",Q12-AO12,Q12)</f>
        <v>#N/A</v>
      </c>
      <c r="AT12" s="331" t="e">
        <f>IF(AS12&lt;=9,"Moderado",IF(AS12=20,"Catastrófico",IF(AS12=18,"Moderado","Mayor")))</f>
        <v>#N/A</v>
      </c>
      <c r="AU12" s="331" t="e">
        <f>INDEX([28]Listas!$O$69:$Q$73,MATCH(AR12,[28]Listas!$M$69:$M$73,0),MATCH(AT12,[28]Listas!$O$67:$Q$67,0))</f>
        <v>#N/A</v>
      </c>
      <c r="AV12" s="330"/>
      <c r="AW12" s="826"/>
      <c r="AX12" s="843"/>
      <c r="AY12" s="843"/>
      <c r="AZ12" s="12"/>
      <c r="BA12" s="12"/>
      <c r="BB12" s="839"/>
      <c r="BC12" s="12"/>
      <c r="BD12" s="12" t="s">
        <v>2343</v>
      </c>
      <c r="BE12" s="839"/>
      <c r="BF12" s="12"/>
      <c r="BG12" s="12"/>
      <c r="BH12" s="227"/>
      <c r="BI12" s="227"/>
      <c r="BJ12" s="839"/>
      <c r="BK12" s="228"/>
      <c r="BL12" s="228"/>
    </row>
    <row r="13" spans="1:64" s="3" customFormat="1" ht="30.75" hidden="1" customHeight="1">
      <c r="A13" s="332"/>
      <c r="B13" s="2805"/>
      <c r="C13" s="2806"/>
      <c r="D13" s="2807"/>
      <c r="E13" s="843"/>
      <c r="F13" s="2808"/>
      <c r="G13" s="2809"/>
      <c r="H13" s="2810"/>
      <c r="I13" s="2805"/>
      <c r="J13" s="2806"/>
      <c r="K13" s="2807"/>
      <c r="L13" s="330"/>
      <c r="M13" s="50"/>
      <c r="N13" s="32"/>
      <c r="O13" s="6" t="e">
        <f>VLOOKUP(L13,[28]Listas!$M$69:$N$73,2,0)</f>
        <v>#N/A</v>
      </c>
      <c r="P13" s="6"/>
      <c r="Q13" s="6" t="e">
        <f>HLOOKUP(M13,[28]Listas!$O$67:$Q$68,2,0)</f>
        <v>#N/A</v>
      </c>
      <c r="R13" s="331" t="e">
        <f>INDEX([28]Listas!$O$69:$Q$73,MATCH(L13,[28]Listas!$M$69:$M$73,0),MATCH(M13,[28]Listas!$O$67:$Q$67,0))</f>
        <v>#N/A</v>
      </c>
      <c r="S13" s="2805"/>
      <c r="T13" s="2806"/>
      <c r="U13" s="2807"/>
      <c r="V13" s="329"/>
      <c r="W13" s="329"/>
      <c r="X13" s="329"/>
      <c r="Y13" s="329"/>
      <c r="Z13" s="329"/>
      <c r="AA13" s="329"/>
      <c r="AB13" s="329"/>
      <c r="AC13" s="329"/>
      <c r="AD13" s="329"/>
      <c r="AE13" s="329"/>
      <c r="AF13" s="33"/>
      <c r="AG13" s="6">
        <f>IF(Y13="SI",15,0)</f>
        <v>0</v>
      </c>
      <c r="AH13" s="6">
        <f>IF(Z13="SI",5,0)</f>
        <v>0</v>
      </c>
      <c r="AI13" s="6">
        <f>IF(AA13="SI",15,0)</f>
        <v>0</v>
      </c>
      <c r="AJ13" s="6">
        <f>IF(AB13="SI",10,0)</f>
        <v>0</v>
      </c>
      <c r="AK13" s="6">
        <f>IF(AC13="SI",15,0)</f>
        <v>0</v>
      </c>
      <c r="AL13" s="6">
        <f>IF(AD13="SI",10,0)</f>
        <v>0</v>
      </c>
      <c r="AM13" s="6">
        <f>IF(AE13="SI",30,0)</f>
        <v>0</v>
      </c>
      <c r="AN13" s="6">
        <f>SUM(AG13+AH13+AI13+AJ13+AK13+AL13+AM13)</f>
        <v>0</v>
      </c>
      <c r="AO13" s="6">
        <f>IF(AN13&lt;=50,0,IF(AN13&gt;=76,2,1))</f>
        <v>0</v>
      </c>
      <c r="AP13" s="331" t="str">
        <f>CONCATENATE(AN13,"- disminuye ",AO13)</f>
        <v>0- disminuye 0</v>
      </c>
      <c r="AQ13" s="6" t="e">
        <f>IF(V13="SI",O13-AO13,O13)</f>
        <v>#N/A</v>
      </c>
      <c r="AR13" s="331" t="e">
        <f>IF(AQ13&lt;=1,"Rara vez",VLOOKUP(AQ13,[28]Listas!$L$69:$M$73,2,0))</f>
        <v>#N/A</v>
      </c>
      <c r="AS13" s="6" t="e">
        <f>IF(W13="SI",Q13-AO13,Q13)</f>
        <v>#N/A</v>
      </c>
      <c r="AT13" s="331" t="e">
        <f>IF(AS13&lt;=9,"Moderado",IF(AS13=20,"Catastrófico",IF(AS13=18,"Moderado","Mayor")))</f>
        <v>#N/A</v>
      </c>
      <c r="AU13" s="331" t="e">
        <f>INDEX([28]Listas!$O$69:$Q$73,MATCH(AR13,[28]Listas!$M$69:$M$73,0),MATCH(AT13,[28]Listas!$O$67:$Q$67,0))</f>
        <v>#N/A</v>
      </c>
      <c r="AV13" s="330"/>
      <c r="AW13" s="826"/>
      <c r="AX13" s="843"/>
      <c r="AY13" s="843"/>
      <c r="AZ13" s="12"/>
      <c r="BA13" s="12"/>
      <c r="BB13" s="839"/>
      <c r="BC13" s="12"/>
      <c r="BD13" s="12" t="s">
        <v>2343</v>
      </c>
      <c r="BE13" s="839"/>
      <c r="BF13" s="12"/>
      <c r="BG13" s="12"/>
      <c r="BH13" s="227"/>
      <c r="BI13" s="227"/>
      <c r="BJ13" s="839"/>
      <c r="BK13" s="228"/>
      <c r="BL13" s="228"/>
    </row>
    <row r="14" spans="1:64" s="3" customFormat="1" ht="30.75" hidden="1" customHeight="1">
      <c r="A14" s="332"/>
      <c r="B14" s="2805"/>
      <c r="C14" s="2806"/>
      <c r="D14" s="2807"/>
      <c r="E14" s="843"/>
      <c r="F14" s="2808"/>
      <c r="G14" s="2809"/>
      <c r="H14" s="2810"/>
      <c r="I14" s="2805"/>
      <c r="J14" s="2806"/>
      <c r="K14" s="2807"/>
      <c r="L14" s="330"/>
      <c r="M14" s="50"/>
      <c r="N14" s="32"/>
      <c r="O14" s="6" t="e">
        <f>VLOOKUP(L14,[28]Listas!$M$69:$N$73,2,0)</f>
        <v>#N/A</v>
      </c>
      <c r="P14" s="6"/>
      <c r="Q14" s="6" t="e">
        <f>HLOOKUP(M14,[28]Listas!$O$67:$Q$68,2,0)</f>
        <v>#N/A</v>
      </c>
      <c r="R14" s="331" t="e">
        <f>INDEX([28]Listas!$O$69:$Q$73,MATCH(L14,[28]Listas!$M$69:$M$73,0),MATCH(M14,[28]Listas!$O$67:$Q$67,0))</f>
        <v>#N/A</v>
      </c>
      <c r="S14" s="2805"/>
      <c r="T14" s="2806"/>
      <c r="U14" s="2807"/>
      <c r="V14" s="329"/>
      <c r="W14" s="329"/>
      <c r="X14" s="329"/>
      <c r="Y14" s="329"/>
      <c r="Z14" s="329"/>
      <c r="AA14" s="329"/>
      <c r="AB14" s="329"/>
      <c r="AC14" s="329"/>
      <c r="AD14" s="329"/>
      <c r="AE14" s="329"/>
      <c r="AF14" s="33"/>
      <c r="AG14" s="6">
        <f>IF(Y14="SI",15,0)</f>
        <v>0</v>
      </c>
      <c r="AH14" s="6">
        <f>IF(Z14="SI",5,0)</f>
        <v>0</v>
      </c>
      <c r="AI14" s="6">
        <f>IF(AA14="SI",15,0)</f>
        <v>0</v>
      </c>
      <c r="AJ14" s="6">
        <f>IF(AB14="SI",10,0)</f>
        <v>0</v>
      </c>
      <c r="AK14" s="6">
        <f>IF(AC14="SI",15,0)</f>
        <v>0</v>
      </c>
      <c r="AL14" s="6">
        <f>IF(AD14="SI",10,0)</f>
        <v>0</v>
      </c>
      <c r="AM14" s="6">
        <f>IF(AE14="SI",30,0)</f>
        <v>0</v>
      </c>
      <c r="AN14" s="6">
        <f>SUM(AG14+AH14+AI14+AJ14+AK14+AL14+AM14)</f>
        <v>0</v>
      </c>
      <c r="AO14" s="6">
        <f>IF(AN14&lt;=50,0,IF(AN14&gt;=76,2,1))</f>
        <v>0</v>
      </c>
      <c r="AP14" s="331" t="str">
        <f>CONCATENATE(AN14,"- disminuye ",AO14)</f>
        <v>0- disminuye 0</v>
      </c>
      <c r="AQ14" s="6" t="e">
        <f>IF(V14="SI",O14-AO14,O14)</f>
        <v>#N/A</v>
      </c>
      <c r="AR14" s="331" t="e">
        <f>IF(AQ14&lt;=1,"Rara vez",VLOOKUP(AQ14,[28]Listas!$L$69:$M$73,2,0))</f>
        <v>#N/A</v>
      </c>
      <c r="AS14" s="6" t="e">
        <f>IF(W14="SI",Q14-AO14,Q14)</f>
        <v>#N/A</v>
      </c>
      <c r="AT14" s="331" t="e">
        <f>IF(AS14&lt;=9,"Moderado",IF(AS14=20,"Catastrófico",IF(AS14=18,"Moderado","Mayor")))</f>
        <v>#N/A</v>
      </c>
      <c r="AU14" s="331" t="e">
        <f>INDEX([28]Listas!$O$69:$Q$73,MATCH(AR14,[28]Listas!$M$69:$M$73,0),MATCH(AT14,[28]Listas!$O$67:$Q$67,0))</f>
        <v>#N/A</v>
      </c>
      <c r="AV14" s="330"/>
      <c r="AW14" s="826"/>
      <c r="AX14" s="843"/>
      <c r="AY14" s="843"/>
      <c r="AZ14" s="12"/>
      <c r="BA14" s="12"/>
      <c r="BB14" s="839"/>
      <c r="BC14" s="12"/>
      <c r="BD14" s="12" t="s">
        <v>2343</v>
      </c>
      <c r="BE14" s="839"/>
      <c r="BF14" s="12"/>
      <c r="BG14" s="12"/>
      <c r="BH14" s="227"/>
      <c r="BI14" s="227"/>
      <c r="BJ14" s="839"/>
      <c r="BK14" s="228"/>
      <c r="BL14" s="228"/>
    </row>
    <row r="15" spans="1:64" s="3" customFormat="1" ht="30.75" hidden="1" customHeight="1">
      <c r="A15" s="332"/>
      <c r="B15" s="2805"/>
      <c r="C15" s="2806"/>
      <c r="D15" s="2807"/>
      <c r="E15" s="843"/>
      <c r="F15" s="2808"/>
      <c r="G15" s="2809"/>
      <c r="H15" s="2810"/>
      <c r="I15" s="2805"/>
      <c r="J15" s="2806"/>
      <c r="K15" s="2807"/>
      <c r="L15" s="330"/>
      <c r="M15" s="50"/>
      <c r="N15" s="32"/>
      <c r="O15" s="6" t="e">
        <f>VLOOKUP(L15,[28]Listas!$M$69:$N$73,2,0)</f>
        <v>#N/A</v>
      </c>
      <c r="P15" s="6"/>
      <c r="Q15" s="6" t="e">
        <f>HLOOKUP(M15,[28]Listas!$O$67:$Q$68,2,0)</f>
        <v>#N/A</v>
      </c>
      <c r="R15" s="331" t="e">
        <f>INDEX([28]Listas!$O$69:$Q$73,MATCH(L15,[28]Listas!$M$69:$M$73,0),MATCH(M15,[28]Listas!$O$67:$Q$67,0))</f>
        <v>#N/A</v>
      </c>
      <c r="S15" s="2805"/>
      <c r="T15" s="2806"/>
      <c r="U15" s="2807"/>
      <c r="V15" s="329"/>
      <c r="W15" s="329"/>
      <c r="X15" s="329"/>
      <c r="Y15" s="329"/>
      <c r="Z15" s="329"/>
      <c r="AA15" s="329"/>
      <c r="AB15" s="329"/>
      <c r="AC15" s="329"/>
      <c r="AD15" s="329"/>
      <c r="AE15" s="329"/>
      <c r="AF15" s="33"/>
      <c r="AG15" s="6">
        <f t="shared" si="0"/>
        <v>0</v>
      </c>
      <c r="AH15" s="6">
        <f t="shared" si="1"/>
        <v>0</v>
      </c>
      <c r="AI15" s="6">
        <f t="shared" si="2"/>
        <v>0</v>
      </c>
      <c r="AJ15" s="6">
        <f t="shared" si="3"/>
        <v>0</v>
      </c>
      <c r="AK15" s="6">
        <f t="shared" si="4"/>
        <v>0</v>
      </c>
      <c r="AL15" s="6">
        <f t="shared" si="5"/>
        <v>0</v>
      </c>
      <c r="AM15" s="6">
        <f t="shared" si="6"/>
        <v>0</v>
      </c>
      <c r="AN15" s="6">
        <f t="shared" si="7"/>
        <v>0</v>
      </c>
      <c r="AO15" s="6">
        <f t="shared" si="8"/>
        <v>0</v>
      </c>
      <c r="AP15" s="331" t="str">
        <f t="shared" si="9"/>
        <v>0- disminuye 0</v>
      </c>
      <c r="AQ15" s="6" t="e">
        <f t="shared" si="10"/>
        <v>#N/A</v>
      </c>
      <c r="AR15" s="331" t="e">
        <f>IF(AQ15&lt;=1,"Rara vez",VLOOKUP(AQ15,[28]Listas!$L$69:$M$73,2,0))</f>
        <v>#N/A</v>
      </c>
      <c r="AS15" s="6" t="e">
        <f t="shared" si="11"/>
        <v>#N/A</v>
      </c>
      <c r="AT15" s="331" t="e">
        <f t="shared" si="12"/>
        <v>#N/A</v>
      </c>
      <c r="AU15" s="331" t="e">
        <f>INDEX([28]Listas!$O$69:$Q$73,MATCH(AR15,[28]Listas!$M$69:$M$73,0),MATCH(AT15,[28]Listas!$O$67:$Q$67,0))</f>
        <v>#N/A</v>
      </c>
      <c r="AV15" s="330"/>
      <c r="AW15" s="826"/>
      <c r="AX15" s="843"/>
      <c r="AY15" s="843"/>
      <c r="AZ15" s="12"/>
      <c r="BA15" s="12"/>
      <c r="BB15" s="839"/>
      <c r="BC15" s="12"/>
      <c r="BD15" s="12" t="s">
        <v>2343</v>
      </c>
      <c r="BE15" s="839"/>
      <c r="BF15" s="12"/>
      <c r="BG15" s="12"/>
      <c r="BH15" s="227"/>
      <c r="BI15" s="227"/>
      <c r="BJ15" s="839"/>
      <c r="BK15" s="228"/>
      <c r="BL15" s="228"/>
    </row>
    <row r="16" spans="1:64" s="3" customFormat="1" ht="30.75" hidden="1" customHeight="1">
      <c r="A16" s="332"/>
      <c r="B16" s="2805"/>
      <c r="C16" s="2806"/>
      <c r="D16" s="2807"/>
      <c r="E16" s="843"/>
      <c r="F16" s="2808"/>
      <c r="G16" s="2809"/>
      <c r="H16" s="2810"/>
      <c r="I16" s="2805"/>
      <c r="J16" s="2806"/>
      <c r="K16" s="2807"/>
      <c r="L16" s="330"/>
      <c r="M16" s="50"/>
      <c r="N16" s="32"/>
      <c r="O16" s="6" t="e">
        <f>VLOOKUP(L16,[28]Listas!$M$69:$N$73,2,0)</f>
        <v>#N/A</v>
      </c>
      <c r="P16" s="6"/>
      <c r="Q16" s="6" t="e">
        <f>HLOOKUP(M16,[28]Listas!$O$67:$Q$68,2,0)</f>
        <v>#N/A</v>
      </c>
      <c r="R16" s="331" t="e">
        <f>INDEX([28]Listas!$O$69:$Q$73,MATCH(L16,[28]Listas!$M$69:$M$73,0),MATCH(M16,[28]Listas!$O$67:$Q$67,0))</f>
        <v>#N/A</v>
      </c>
      <c r="S16" s="2805"/>
      <c r="T16" s="2806"/>
      <c r="U16" s="2807"/>
      <c r="V16" s="826"/>
      <c r="W16" s="329"/>
      <c r="X16" s="329"/>
      <c r="Y16" s="329"/>
      <c r="Z16" s="329"/>
      <c r="AA16" s="329"/>
      <c r="AB16" s="329"/>
      <c r="AC16" s="329"/>
      <c r="AD16" s="329"/>
      <c r="AE16" s="329"/>
      <c r="AF16" s="33"/>
      <c r="AG16" s="6">
        <f t="shared" si="0"/>
        <v>0</v>
      </c>
      <c r="AH16" s="6">
        <f t="shared" si="1"/>
        <v>0</v>
      </c>
      <c r="AI16" s="6">
        <f t="shared" si="2"/>
        <v>0</v>
      </c>
      <c r="AJ16" s="6">
        <f t="shared" si="3"/>
        <v>0</v>
      </c>
      <c r="AK16" s="6">
        <f t="shared" si="4"/>
        <v>0</v>
      </c>
      <c r="AL16" s="6">
        <f t="shared" si="5"/>
        <v>0</v>
      </c>
      <c r="AM16" s="6">
        <f t="shared" si="6"/>
        <v>0</v>
      </c>
      <c r="AN16" s="6">
        <f t="shared" si="7"/>
        <v>0</v>
      </c>
      <c r="AO16" s="6">
        <f t="shared" si="8"/>
        <v>0</v>
      </c>
      <c r="AP16" s="331" t="str">
        <f t="shared" si="9"/>
        <v>0- disminuye 0</v>
      </c>
      <c r="AQ16" s="6" t="e">
        <f t="shared" si="10"/>
        <v>#N/A</v>
      </c>
      <c r="AR16" s="331" t="e">
        <f>IF(AQ16&lt;=1,"Rara vez",VLOOKUP(AQ16,[28]Listas!$L$69:$M$73,2,0))</f>
        <v>#N/A</v>
      </c>
      <c r="AS16" s="6" t="e">
        <f t="shared" si="11"/>
        <v>#N/A</v>
      </c>
      <c r="AT16" s="331" t="e">
        <f t="shared" si="12"/>
        <v>#N/A</v>
      </c>
      <c r="AU16" s="331" t="e">
        <f>INDEX([28]Listas!$O$69:$Q$73,MATCH(AR16,[28]Listas!$M$69:$M$73,0),MATCH(AT16,[28]Listas!$O$67:$Q$67,0))</f>
        <v>#N/A</v>
      </c>
      <c r="AV16" s="330"/>
      <c r="AW16" s="826"/>
      <c r="AX16" s="843"/>
      <c r="AY16" s="843"/>
      <c r="AZ16" s="12"/>
      <c r="BA16" s="12"/>
      <c r="BB16" s="839"/>
      <c r="BC16" s="12"/>
      <c r="BD16" s="12" t="s">
        <v>2343</v>
      </c>
      <c r="BE16" s="839"/>
      <c r="BF16" s="12"/>
      <c r="BG16" s="12"/>
      <c r="BH16" s="227"/>
      <c r="BI16" s="227"/>
      <c r="BJ16" s="839"/>
      <c r="BK16" s="228"/>
      <c r="BL16" s="228"/>
    </row>
    <row r="17" spans="1:64" s="3" customFormat="1" ht="30.75" hidden="1" customHeight="1">
      <c r="A17" s="332"/>
      <c r="B17" s="2805"/>
      <c r="C17" s="2806"/>
      <c r="D17" s="2807"/>
      <c r="E17" s="843"/>
      <c r="F17" s="2808"/>
      <c r="G17" s="2809"/>
      <c r="H17" s="2810"/>
      <c r="I17" s="2805"/>
      <c r="J17" s="2806"/>
      <c r="K17" s="2807"/>
      <c r="L17" s="330"/>
      <c r="M17" s="50"/>
      <c r="N17" s="32"/>
      <c r="O17" s="6" t="e">
        <f>VLOOKUP(L17,[28]Listas!$M$69:$N$73,2,0)</f>
        <v>#N/A</v>
      </c>
      <c r="P17" s="6"/>
      <c r="Q17" s="6" t="e">
        <f>HLOOKUP(M17,[28]Listas!$O$67:$Q$68,2,0)</f>
        <v>#N/A</v>
      </c>
      <c r="R17" s="331" t="e">
        <f>INDEX([28]Listas!$O$69:$Q$73,MATCH(L17,[28]Listas!$M$69:$M$73,0),MATCH(M17,[28]Listas!$O$67:$Q$67,0))</f>
        <v>#N/A</v>
      </c>
      <c r="S17" s="2805"/>
      <c r="T17" s="2806"/>
      <c r="U17" s="2807"/>
      <c r="V17" s="329"/>
      <c r="W17" s="329"/>
      <c r="X17" s="329"/>
      <c r="Y17" s="329"/>
      <c r="Z17" s="329"/>
      <c r="AA17" s="329"/>
      <c r="AB17" s="329"/>
      <c r="AC17" s="329"/>
      <c r="AD17" s="329"/>
      <c r="AE17" s="329"/>
      <c r="AF17" s="33"/>
      <c r="AG17" s="6">
        <f>IF(Y17="SI",15,0)</f>
        <v>0</v>
      </c>
      <c r="AH17" s="6">
        <f>IF(Z17="SI",5,0)</f>
        <v>0</v>
      </c>
      <c r="AI17" s="6">
        <f>IF(AA17="SI",15,0)</f>
        <v>0</v>
      </c>
      <c r="AJ17" s="6">
        <f>IF(AB17="SI",10,0)</f>
        <v>0</v>
      </c>
      <c r="AK17" s="6">
        <f>IF(AC17="SI",15,0)</f>
        <v>0</v>
      </c>
      <c r="AL17" s="6">
        <f>IF(AD17="SI",10,0)</f>
        <v>0</v>
      </c>
      <c r="AM17" s="6">
        <f>IF(AE17="SI",30,0)</f>
        <v>0</v>
      </c>
      <c r="AN17" s="6">
        <f>SUM(AG17+AH17+AI17+AJ17+AK17+AL17+AM17)</f>
        <v>0</v>
      </c>
      <c r="AO17" s="6">
        <f>IF(AN17&lt;=50,0,IF(AN17&gt;=76,2,1))</f>
        <v>0</v>
      </c>
      <c r="AP17" s="331" t="str">
        <f>CONCATENATE(AN17,"- disminuye ",AO17)</f>
        <v>0- disminuye 0</v>
      </c>
      <c r="AQ17" s="6" t="e">
        <f>IF(V17="SI",O17-AO17,O17)</f>
        <v>#N/A</v>
      </c>
      <c r="AR17" s="331" t="e">
        <f>IF(AQ17&lt;=1,"Rara vez",VLOOKUP(AQ17,[28]Listas!$L$69:$M$73,2,0))</f>
        <v>#N/A</v>
      </c>
      <c r="AS17" s="6" t="e">
        <f>IF(W17="SI",Q17-AO17,Q17)</f>
        <v>#N/A</v>
      </c>
      <c r="AT17" s="331" t="e">
        <f>IF(AS17&lt;=9,"Moderado",IF(AS17=20,"Catastrófico",IF(AS17=18,"Moderado","Mayor")))</f>
        <v>#N/A</v>
      </c>
      <c r="AU17" s="331" t="e">
        <f>INDEX([28]Listas!$O$69:$Q$73,MATCH(AR17,[28]Listas!$M$69:$M$73,0),MATCH(AT17,[28]Listas!$O$67:$Q$67,0))</f>
        <v>#N/A</v>
      </c>
      <c r="AV17" s="330"/>
      <c r="AW17" s="826"/>
      <c r="AX17" s="843"/>
      <c r="AY17" s="843"/>
      <c r="AZ17" s="12"/>
      <c r="BA17" s="12"/>
      <c r="BB17" s="839"/>
      <c r="BC17" s="12"/>
      <c r="BD17" s="12" t="s">
        <v>2343</v>
      </c>
      <c r="BE17" s="839"/>
      <c r="BF17" s="12"/>
      <c r="BG17" s="12"/>
      <c r="BH17" s="227"/>
      <c r="BI17" s="227"/>
      <c r="BJ17" s="839"/>
      <c r="BK17" s="228"/>
      <c r="BL17" s="228"/>
    </row>
    <row r="18" spans="1:64" s="3" customFormat="1" ht="30.75" hidden="1" customHeight="1">
      <c r="A18" s="332"/>
      <c r="B18" s="2805"/>
      <c r="C18" s="2806"/>
      <c r="D18" s="2807"/>
      <c r="E18" s="843"/>
      <c r="F18" s="2808"/>
      <c r="G18" s="2809"/>
      <c r="H18" s="2810"/>
      <c r="I18" s="2805"/>
      <c r="J18" s="2806"/>
      <c r="K18" s="2807"/>
      <c r="L18" s="330"/>
      <c r="M18" s="50"/>
      <c r="N18" s="32"/>
      <c r="O18" s="6" t="e">
        <f>VLOOKUP(L18,[28]Listas!$M$69:$N$73,2,0)</f>
        <v>#N/A</v>
      </c>
      <c r="P18" s="6"/>
      <c r="Q18" s="6" t="e">
        <f>HLOOKUP(M18,[28]Listas!$O$67:$Q$68,2,0)</f>
        <v>#N/A</v>
      </c>
      <c r="R18" s="331" t="e">
        <f>INDEX([28]Listas!$O$69:$Q$73,MATCH(L18,[28]Listas!$M$69:$M$73,0),MATCH(M18,[28]Listas!$O$67:$Q$67,0))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vez",VLOOKUP(AQ18,[28]Listas!$L$69:$M$73,2,0))</f>
        <v>#N/A</v>
      </c>
      <c r="AS18" s="6" t="e">
        <f t="shared" si="11"/>
        <v>#N/A</v>
      </c>
      <c r="AT18" s="331" t="e">
        <f t="shared" si="12"/>
        <v>#N/A</v>
      </c>
      <c r="AU18" s="331" t="e">
        <f>INDEX([28]Listas!$O$69:$Q$73,MATCH(AR18,[28]Listas!$M$69:$M$73,0),MATCH(AT18,[28]Listas!$O$67:$Q$67,0))</f>
        <v>#N/A</v>
      </c>
      <c r="AV18" s="330"/>
      <c r="AW18" s="826"/>
      <c r="AX18" s="843"/>
      <c r="AY18" s="843"/>
      <c r="AZ18" s="12"/>
      <c r="BA18" s="12"/>
      <c r="BB18" s="839"/>
      <c r="BC18" s="12"/>
      <c r="BD18" s="12" t="s">
        <v>2343</v>
      </c>
      <c r="BE18" s="839"/>
      <c r="BF18" s="12"/>
      <c r="BG18" s="12"/>
      <c r="BH18" s="227"/>
      <c r="BI18" s="227"/>
      <c r="BJ18" s="839"/>
      <c r="BK18" s="228"/>
      <c r="BL18" s="228"/>
    </row>
    <row r="19" spans="1:64" s="3" customFormat="1" ht="30.75" hidden="1" customHeight="1">
      <c r="A19" s="332"/>
      <c r="B19" s="2805"/>
      <c r="C19" s="2806"/>
      <c r="D19" s="2807"/>
      <c r="E19" s="843"/>
      <c r="F19" s="2808"/>
      <c r="G19" s="2809"/>
      <c r="H19" s="2810"/>
      <c r="I19" s="2805"/>
      <c r="J19" s="2806"/>
      <c r="K19" s="2807"/>
      <c r="L19" s="330"/>
      <c r="M19" s="50"/>
      <c r="N19" s="32"/>
      <c r="O19" s="6" t="e">
        <f>VLOOKUP(L19,[28]Listas!$M$69:$N$73,2,0)</f>
        <v>#N/A</v>
      </c>
      <c r="P19" s="6"/>
      <c r="Q19" s="6" t="e">
        <f>HLOOKUP(M19,[28]Listas!$O$67:$Q$68,2,0)</f>
        <v>#N/A</v>
      </c>
      <c r="R19" s="331" t="e">
        <f>INDEX([28]Listas!$O$69:$Q$73,MATCH(L19,[28]Listas!$M$69:$M$73,0),MATCH(M19,[28]Listas!$O$67:$Q$67,0))</f>
        <v>#N/A</v>
      </c>
      <c r="S19" s="2805"/>
      <c r="T19" s="2806"/>
      <c r="U19" s="2807"/>
      <c r="V19" s="329"/>
      <c r="W19" s="329"/>
      <c r="X19" s="329"/>
      <c r="Y19" s="329"/>
      <c r="Z19" s="329"/>
      <c r="AA19" s="329"/>
      <c r="AB19" s="329"/>
      <c r="AC19" s="329"/>
      <c r="AD19" s="329"/>
      <c r="AE19" s="329"/>
      <c r="AF19" s="33"/>
      <c r="AG19" s="6">
        <f t="shared" si="0"/>
        <v>0</v>
      </c>
      <c r="AH19" s="6">
        <f t="shared" si="1"/>
        <v>0</v>
      </c>
      <c r="AI19" s="6">
        <f t="shared" si="2"/>
        <v>0</v>
      </c>
      <c r="AJ19" s="6">
        <f t="shared" si="3"/>
        <v>0</v>
      </c>
      <c r="AK19" s="6">
        <f t="shared" si="4"/>
        <v>0</v>
      </c>
      <c r="AL19" s="6">
        <f t="shared" si="5"/>
        <v>0</v>
      </c>
      <c r="AM19" s="6">
        <f t="shared" si="6"/>
        <v>0</v>
      </c>
      <c r="AN19" s="6">
        <f t="shared" si="7"/>
        <v>0</v>
      </c>
      <c r="AO19" s="6">
        <f t="shared" si="8"/>
        <v>0</v>
      </c>
      <c r="AP19" s="331" t="str">
        <f t="shared" si="9"/>
        <v>0- disminuye 0</v>
      </c>
      <c r="AQ19" s="6" t="e">
        <f t="shared" si="10"/>
        <v>#N/A</v>
      </c>
      <c r="AR19" s="331" t="e">
        <f>IF(AQ19&lt;=1,"Rara vez",VLOOKUP(AQ19,[28]Listas!$L$69:$M$73,2,0))</f>
        <v>#N/A</v>
      </c>
      <c r="AS19" s="6" t="e">
        <f t="shared" si="11"/>
        <v>#N/A</v>
      </c>
      <c r="AT19" s="331" t="e">
        <f t="shared" si="12"/>
        <v>#N/A</v>
      </c>
      <c r="AU19" s="331" t="e">
        <f>INDEX([28]Listas!$O$69:$Q$73,MATCH(AR19,[28]Listas!$M$69:$M$73,0),MATCH(AT19,[28]Listas!$O$67:$Q$67,0))</f>
        <v>#N/A</v>
      </c>
      <c r="AV19" s="330"/>
      <c r="AW19" s="826"/>
      <c r="AX19" s="843"/>
      <c r="AY19" s="843"/>
      <c r="AZ19" s="12"/>
      <c r="BA19" s="12"/>
      <c r="BB19" s="839"/>
      <c r="BC19" s="12"/>
      <c r="BD19" s="12" t="s">
        <v>2343</v>
      </c>
      <c r="BE19" s="839"/>
      <c r="BF19" s="12"/>
      <c r="BG19" s="12"/>
      <c r="BH19" s="227"/>
      <c r="BI19" s="227"/>
      <c r="BJ19" s="839"/>
      <c r="BK19" s="228"/>
      <c r="BL19" s="228"/>
    </row>
    <row r="20" spans="1:64" s="3" customFormat="1" ht="30.75" hidden="1" customHeight="1">
      <c r="A20" s="332"/>
      <c r="B20" s="2805"/>
      <c r="C20" s="2806"/>
      <c r="D20" s="2807"/>
      <c r="E20" s="843"/>
      <c r="F20" s="2808"/>
      <c r="G20" s="2809"/>
      <c r="H20" s="2810"/>
      <c r="I20" s="2805"/>
      <c r="J20" s="2806"/>
      <c r="K20" s="2807"/>
      <c r="L20" s="330"/>
      <c r="M20" s="50"/>
      <c r="N20" s="32"/>
      <c r="O20" s="6" t="e">
        <f>VLOOKUP(L20,[28]Listas!$M$69:$N$73,2,0)</f>
        <v>#N/A</v>
      </c>
      <c r="P20" s="6"/>
      <c r="Q20" s="6" t="e">
        <f>HLOOKUP(M20,[28]Listas!$O$67:$Q$68,2,0)</f>
        <v>#N/A</v>
      </c>
      <c r="R20" s="331" t="e">
        <f>INDEX([28]Listas!$O$69:$Q$73,MATCH(L20,[28]Listas!$M$69:$M$73,0),MATCH(M20,[28]Listas!$O$67:$Q$67,0))</f>
        <v>#N/A</v>
      </c>
      <c r="S20" s="2805"/>
      <c r="T20" s="2806"/>
      <c r="U20" s="2807"/>
      <c r="V20" s="329"/>
      <c r="W20" s="329"/>
      <c r="X20" s="329"/>
      <c r="Y20" s="329"/>
      <c r="Z20" s="329"/>
      <c r="AA20" s="329"/>
      <c r="AB20" s="329"/>
      <c r="AC20" s="329"/>
      <c r="AD20" s="329"/>
      <c r="AE20" s="329"/>
      <c r="AF20" s="33"/>
      <c r="AG20" s="6">
        <f>IF(Y20="SI",15,0)</f>
        <v>0</v>
      </c>
      <c r="AH20" s="6">
        <f>IF(Z20="SI",5,0)</f>
        <v>0</v>
      </c>
      <c r="AI20" s="6">
        <f>IF(AA20="SI",15,0)</f>
        <v>0</v>
      </c>
      <c r="AJ20" s="6">
        <f>IF(AB20="SI",10,0)</f>
        <v>0</v>
      </c>
      <c r="AK20" s="6">
        <f>IF(AC20="SI",15,0)</f>
        <v>0</v>
      </c>
      <c r="AL20" s="6">
        <f>IF(AD20="SI",10,0)</f>
        <v>0</v>
      </c>
      <c r="AM20" s="6">
        <f>IF(AE20="SI",30,0)</f>
        <v>0</v>
      </c>
      <c r="AN20" s="6">
        <f>SUM(AG20+AH20+AI20+AJ20+AK20+AL20+AM20)</f>
        <v>0</v>
      </c>
      <c r="AO20" s="6">
        <f>IF(AN20&lt;=50,0,IF(AN20&gt;=76,2,1))</f>
        <v>0</v>
      </c>
      <c r="AP20" s="331" t="str">
        <f>CONCATENATE(AN20,"- disminuye ",AO20)</f>
        <v>0- disminuye 0</v>
      </c>
      <c r="AQ20" s="6" t="e">
        <f>IF(V20="SI",O20-AO20,O20)</f>
        <v>#N/A</v>
      </c>
      <c r="AR20" s="331" t="e">
        <f>IF(AQ20&lt;=1,"Rara vez",VLOOKUP(AQ20,[28]Listas!$L$69:$M$73,2,0))</f>
        <v>#N/A</v>
      </c>
      <c r="AS20" s="6" t="e">
        <f>IF(W20="SI",Q20-AO20,Q20)</f>
        <v>#N/A</v>
      </c>
      <c r="AT20" s="331" t="e">
        <f>IF(AS20&lt;=9,"Moderado",IF(AS20=20,"Catastrófico",IF(AS20=18,"Moderado","Mayor")))</f>
        <v>#N/A</v>
      </c>
      <c r="AU20" s="331" t="e">
        <f>INDEX([28]Listas!$O$69:$Q$73,MATCH(AR20,[28]Listas!$M$69:$M$73,0),MATCH(AT20,[28]Listas!$O$67:$Q$67,0))</f>
        <v>#N/A</v>
      </c>
      <c r="AV20" s="330"/>
      <c r="AW20" s="826"/>
      <c r="AX20" s="843"/>
      <c r="AY20" s="843"/>
      <c r="AZ20" s="12"/>
      <c r="BA20" s="12"/>
      <c r="BB20" s="839"/>
      <c r="BC20" s="12"/>
      <c r="BD20" s="12" t="s">
        <v>2343</v>
      </c>
      <c r="BE20" s="839"/>
      <c r="BF20" s="12"/>
      <c r="BG20" s="12"/>
      <c r="BH20" s="227"/>
      <c r="BI20" s="227"/>
      <c r="BJ20" s="839"/>
      <c r="BK20" s="228"/>
      <c r="BL20" s="228"/>
    </row>
    <row r="21" spans="1:64" s="3" customFormat="1" ht="30.75" hidden="1" customHeight="1">
      <c r="A21" s="332"/>
      <c r="B21" s="2805"/>
      <c r="C21" s="2806"/>
      <c r="D21" s="2807"/>
      <c r="E21" s="843"/>
      <c r="F21" s="2808"/>
      <c r="G21" s="2809"/>
      <c r="H21" s="2810"/>
      <c r="I21" s="2805"/>
      <c r="J21" s="2806"/>
      <c r="K21" s="2807"/>
      <c r="L21" s="330"/>
      <c r="M21" s="50"/>
      <c r="N21" s="32"/>
      <c r="O21" s="6" t="e">
        <f>VLOOKUP(L21,[28]Listas!$M$69:$N$73,2,0)</f>
        <v>#N/A</v>
      </c>
      <c r="P21" s="6"/>
      <c r="Q21" s="6" t="e">
        <f>HLOOKUP(M21,[28]Listas!$O$67:$Q$68,2,0)</f>
        <v>#N/A</v>
      </c>
      <c r="R21" s="331" t="e">
        <f>INDEX([28]Listas!$O$69:$Q$73,MATCH(L21,[28]Listas!$M$69:$M$73,0),MATCH(M21,[28]Listas!$O$67:$Q$67,0))</f>
        <v>#N/A</v>
      </c>
      <c r="S21" s="2805"/>
      <c r="T21" s="2806"/>
      <c r="U21" s="2807"/>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vez",VLOOKUP(AQ21,[28]Listas!$L$69:$M$73,2,0))</f>
        <v>#N/A</v>
      </c>
      <c r="AS21" s="6" t="e">
        <f t="shared" si="11"/>
        <v>#N/A</v>
      </c>
      <c r="AT21" s="331" t="e">
        <f t="shared" si="12"/>
        <v>#N/A</v>
      </c>
      <c r="AU21" s="331" t="e">
        <f>INDEX([28]Listas!$O$69:$Q$73,MATCH(AR21,[28]Listas!$M$69:$M$73,0),MATCH(AT21,[28]Listas!$O$67:$Q$67,0))</f>
        <v>#N/A</v>
      </c>
      <c r="AV21" s="330"/>
      <c r="AW21" s="826"/>
      <c r="AX21" s="843"/>
      <c r="AY21" s="843"/>
      <c r="AZ21" s="12"/>
      <c r="BA21" s="12"/>
      <c r="BB21" s="839"/>
      <c r="BC21" s="12"/>
      <c r="BD21" s="12" t="s">
        <v>2343</v>
      </c>
      <c r="BE21" s="839"/>
      <c r="BF21" s="12"/>
      <c r="BG21" s="12"/>
      <c r="BH21" s="227"/>
      <c r="BI21" s="227"/>
      <c r="BJ21" s="839"/>
      <c r="BK21" s="228"/>
      <c r="BL21" s="228"/>
    </row>
    <row r="22" spans="1:64" ht="6.75" customHeight="1">
      <c r="A22" s="2"/>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1:64" ht="15" customHeight="1">
      <c r="A23" s="317"/>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1:64" s="22" customFormat="1" ht="19.5" customHeight="1">
      <c r="A24" s="10"/>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4" t="s">
        <v>172</v>
      </c>
      <c r="AS24" s="2804"/>
      <c r="AT24" s="2804"/>
      <c r="AU24" s="2804"/>
      <c r="AV24" s="2804"/>
      <c r="AW24" s="2804"/>
      <c r="AX24" s="65"/>
      <c r="AY24" s="65"/>
      <c r="AZ24" s="68"/>
      <c r="BA24" s="68"/>
      <c r="BB24" s="92"/>
      <c r="BC24" s="68"/>
      <c r="BD24" s="68"/>
      <c r="BE24" s="92"/>
      <c r="BF24" s="68"/>
      <c r="BG24" s="68"/>
      <c r="BH24" s="230"/>
      <c r="BI24" s="230"/>
      <c r="BJ24" s="92"/>
      <c r="BK24" s="210"/>
      <c r="BL24" s="210"/>
    </row>
    <row r="25" spans="1:64" s="22" customFormat="1" ht="25.5" customHeight="1">
      <c r="A25" s="11"/>
      <c r="B25" s="2800" t="s">
        <v>195</v>
      </c>
      <c r="C25" s="2800"/>
      <c r="D25" s="2800"/>
      <c r="E25" s="2800"/>
      <c r="F25" s="2800"/>
      <c r="G25" s="2800"/>
      <c r="H25" s="2800"/>
      <c r="I25" s="2794" t="s">
        <v>850</v>
      </c>
      <c r="J25" s="2795"/>
      <c r="K25" s="2795"/>
      <c r="L25" s="2795"/>
      <c r="M25" s="2795"/>
      <c r="N25" s="2795"/>
      <c r="O25" s="2795"/>
      <c r="P25" s="2795"/>
      <c r="Q25" s="2795"/>
      <c r="R25" s="2795"/>
      <c r="S25" s="2795"/>
      <c r="T25" s="2795"/>
      <c r="U25" s="2796"/>
      <c r="V25" s="2794" t="s">
        <v>612</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68"/>
      <c r="BA25" s="68"/>
      <c r="BB25" s="92"/>
      <c r="BC25" s="68"/>
      <c r="BD25" s="68"/>
      <c r="BE25" s="92"/>
      <c r="BF25" s="68"/>
      <c r="BG25" s="68"/>
      <c r="BH25" s="230"/>
      <c r="BI25" s="230"/>
      <c r="BJ25" s="92"/>
      <c r="BK25" s="210"/>
      <c r="BL25" s="210"/>
    </row>
    <row r="26" spans="1:64" s="22" customFormat="1" ht="25.5" customHeight="1">
      <c r="A26" s="11"/>
      <c r="B26" s="2800" t="s">
        <v>199</v>
      </c>
      <c r="C26" s="2800"/>
      <c r="D26" s="2800"/>
      <c r="E26" s="2800"/>
      <c r="F26" s="2800"/>
      <c r="G26" s="2800"/>
      <c r="H26" s="2800"/>
      <c r="I26" s="2794" t="s">
        <v>851</v>
      </c>
      <c r="J26" s="2795"/>
      <c r="K26" s="2795"/>
      <c r="L26" s="2795"/>
      <c r="M26" s="2795"/>
      <c r="N26" s="2795"/>
      <c r="O26" s="2795"/>
      <c r="P26" s="2795"/>
      <c r="Q26" s="2795"/>
      <c r="R26" s="2795"/>
      <c r="S26" s="2795"/>
      <c r="T26" s="2795"/>
      <c r="U26" s="2796"/>
      <c r="V26" s="2794" t="s">
        <v>852</v>
      </c>
      <c r="W26" s="2795"/>
      <c r="X26" s="2795"/>
      <c r="Y26" s="2795"/>
      <c r="Z26" s="2795"/>
      <c r="AA26" s="2795"/>
      <c r="AB26" s="2795"/>
      <c r="AC26" s="2795"/>
      <c r="AD26" s="2795"/>
      <c r="AE26" s="2795"/>
      <c r="AF26" s="2795"/>
      <c r="AG26" s="2795"/>
      <c r="AH26" s="2795"/>
      <c r="AI26" s="2795"/>
      <c r="AJ26" s="2795"/>
      <c r="AK26" s="2795"/>
      <c r="AL26" s="2795"/>
      <c r="AM26" s="2795"/>
      <c r="AN26" s="2795"/>
      <c r="AO26" s="2795"/>
      <c r="AP26" s="2796"/>
      <c r="AQ26" s="12"/>
      <c r="AR26" s="2800"/>
      <c r="AS26" s="2800"/>
      <c r="AT26" s="2800"/>
      <c r="AU26" s="2800"/>
      <c r="AV26" s="2800"/>
      <c r="AW26" s="2800"/>
      <c r="AX26" s="65"/>
      <c r="AY26" s="65"/>
      <c r="AZ26" s="68"/>
      <c r="BA26" s="68"/>
      <c r="BB26" s="92"/>
      <c r="BC26" s="68"/>
      <c r="BD26" s="68"/>
      <c r="BE26" s="92"/>
      <c r="BF26" s="68"/>
      <c r="BG26" s="68"/>
      <c r="BH26" s="230"/>
      <c r="BI26" s="230"/>
      <c r="BJ26" s="92"/>
      <c r="BK26" s="210"/>
      <c r="BL26" s="210"/>
    </row>
    <row r="27" spans="1:64" ht="25.5" customHeight="1">
      <c r="A27" s="11"/>
      <c r="B27" s="2800" t="s">
        <v>198</v>
      </c>
      <c r="C27" s="2800"/>
      <c r="D27" s="2800"/>
      <c r="E27" s="2800"/>
      <c r="F27" s="2800"/>
      <c r="G27" s="2800"/>
      <c r="H27" s="2800"/>
      <c r="I27" s="2794" t="s">
        <v>3552</v>
      </c>
      <c r="J27" s="2988"/>
      <c r="K27" s="2988"/>
      <c r="L27" s="2988"/>
      <c r="M27" s="2988"/>
      <c r="N27" s="2988"/>
      <c r="O27" s="2988"/>
      <c r="P27" s="2988"/>
      <c r="Q27" s="2988"/>
      <c r="R27" s="2988"/>
      <c r="S27" s="2988"/>
      <c r="T27" s="2988"/>
      <c r="U27" s="2989"/>
      <c r="V27" s="2794" t="s">
        <v>3553</v>
      </c>
      <c r="W27" s="2795"/>
      <c r="X27" s="2795"/>
      <c r="Y27" s="2795"/>
      <c r="Z27" s="2795"/>
      <c r="AA27" s="2795"/>
      <c r="AB27" s="2795"/>
      <c r="AC27" s="2795"/>
      <c r="AD27" s="2795"/>
      <c r="AE27" s="2795"/>
      <c r="AF27" s="2795"/>
      <c r="AG27" s="2795"/>
      <c r="AH27" s="2795"/>
      <c r="AI27" s="2795"/>
      <c r="AJ27" s="2795"/>
      <c r="AK27" s="2795"/>
      <c r="AL27" s="2795"/>
      <c r="AM27" s="2795"/>
      <c r="AN27" s="2795"/>
      <c r="AO27" s="2795"/>
      <c r="AP27" s="2796"/>
      <c r="AQ27" s="12"/>
      <c r="AR27" s="2800"/>
      <c r="AS27" s="2800"/>
      <c r="AT27" s="2800"/>
      <c r="AU27" s="2800"/>
      <c r="AV27" s="2800"/>
      <c r="AW27" s="2800"/>
      <c r="AX27" s="65"/>
      <c r="AY27" s="65"/>
      <c r="AZ27" s="68"/>
      <c r="BA27" s="68"/>
      <c r="BB27" s="92"/>
      <c r="BC27" s="68"/>
      <c r="BD27" s="68"/>
      <c r="BE27" s="92"/>
      <c r="BF27" s="68"/>
      <c r="BG27" s="68"/>
      <c r="BH27" s="230"/>
      <c r="BI27" s="230"/>
      <c r="BJ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2">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2">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2">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2">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2">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2">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2">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2">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2">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2">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2">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2">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2">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1:62">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c r="AZ94" s="68"/>
      <c r="BA94" s="68"/>
      <c r="BB94" s="92"/>
      <c r="BC94" s="68"/>
      <c r="BD94" s="68"/>
      <c r="BE94" s="92"/>
      <c r="BF94" s="68"/>
      <c r="BG94" s="68"/>
      <c r="BH94" s="230"/>
      <c r="BI94" s="230"/>
      <c r="BJ94" s="92"/>
    </row>
    <row r="95" spans="1:62">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2">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1:64">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ht="11.25">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1:64" ht="11.25">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c r="AZ105" s="231"/>
      <c r="BA105" s="231"/>
      <c r="BB105" s="231"/>
      <c r="BC105" s="231"/>
      <c r="BD105" s="231"/>
      <c r="BE105" s="231"/>
      <c r="BF105" s="231"/>
      <c r="BG105" s="231"/>
      <c r="BH105" s="231"/>
      <c r="BI105" s="231"/>
      <c r="BJ105" s="231"/>
      <c r="BK105" s="231"/>
      <c r="BL105" s="231"/>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1:49">
      <c r="A119" s="13"/>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row r="120" spans="1:49">
      <c r="A120" s="13"/>
      <c r="B120" s="13"/>
      <c r="C120" s="13"/>
      <c r="D120" s="13"/>
      <c r="E120" s="14"/>
      <c r="F120" s="13"/>
      <c r="G120" s="13"/>
      <c r="H120" s="13"/>
      <c r="I120" s="13"/>
      <c r="J120" s="13"/>
      <c r="K120" s="13"/>
      <c r="L120" s="15"/>
      <c r="M120" s="15"/>
      <c r="N120" s="15"/>
      <c r="O120" s="15"/>
      <c r="P120" s="15"/>
      <c r="Q120" s="15"/>
      <c r="R120" s="15"/>
      <c r="S120" s="15"/>
      <c r="T120" s="15"/>
      <c r="U120" s="15"/>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5"/>
      <c r="AW120" s="15"/>
    </row>
  </sheetData>
  <sheetProtection formatCells="0" formatColumns="0" formatRows="0" insertRows="0" deleteRows="0" sort="0" autoFilter="0" pivotTables="0"/>
  <mergeCells count="97">
    <mergeCell ref="A1:AB1"/>
    <mergeCell ref="AC1:AU4"/>
    <mergeCell ref="BB1:BE1"/>
    <mergeCell ref="A2:AB2"/>
    <mergeCell ref="BB2:BC2"/>
    <mergeCell ref="BD2:BE2"/>
    <mergeCell ref="A3:D3"/>
    <mergeCell ref="E3:U3"/>
    <mergeCell ref="V3:AB3"/>
    <mergeCell ref="BB3:BC3"/>
    <mergeCell ref="AA6:BA6"/>
    <mergeCell ref="BD3:BE3"/>
    <mergeCell ref="A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B13:D13"/>
    <mergeCell ref="F13:H13"/>
    <mergeCell ref="I13:K13"/>
    <mergeCell ref="S13:U13"/>
    <mergeCell ref="B14:D14"/>
    <mergeCell ref="F14:H14"/>
    <mergeCell ref="I14:K14"/>
    <mergeCell ref="S14:U14"/>
    <mergeCell ref="B15:D15"/>
    <mergeCell ref="F15:H15"/>
    <mergeCell ref="I15:K15"/>
    <mergeCell ref="S15:U15"/>
    <mergeCell ref="B16:D16"/>
    <mergeCell ref="F16:H16"/>
    <mergeCell ref="I16:K16"/>
    <mergeCell ref="S16:U16"/>
    <mergeCell ref="B17:D17"/>
    <mergeCell ref="F17:H17"/>
    <mergeCell ref="I17:K17"/>
    <mergeCell ref="S17:U17"/>
    <mergeCell ref="B18:D18"/>
    <mergeCell ref="F18:H18"/>
    <mergeCell ref="I18:K18"/>
    <mergeCell ref="S18:U18"/>
    <mergeCell ref="B19:D19"/>
    <mergeCell ref="F19:H19"/>
    <mergeCell ref="I19:K19"/>
    <mergeCell ref="S19:U19"/>
    <mergeCell ref="B20:D20"/>
    <mergeCell ref="F20:H20"/>
    <mergeCell ref="I20:K20"/>
    <mergeCell ref="S20:U20"/>
    <mergeCell ref="B21:D21"/>
    <mergeCell ref="F21:H21"/>
    <mergeCell ref="I21:K21"/>
    <mergeCell ref="S21:U21"/>
    <mergeCell ref="B23:U23"/>
    <mergeCell ref="V24:AP24"/>
    <mergeCell ref="AR24:AW24"/>
    <mergeCell ref="B25:H25"/>
    <mergeCell ref="I25:U25"/>
    <mergeCell ref="V25:AP25"/>
    <mergeCell ref="AR25:AW25"/>
    <mergeCell ref="B24:H24"/>
    <mergeCell ref="I24:U24"/>
    <mergeCell ref="B26:H26"/>
    <mergeCell ref="I26:U26"/>
    <mergeCell ref="V26:AP26"/>
    <mergeCell ref="AR26:AW26"/>
    <mergeCell ref="B27:H27"/>
    <mergeCell ref="I27:U27"/>
    <mergeCell ref="V27:AP27"/>
    <mergeCell ref="AR27:AW27"/>
  </mergeCells>
  <dataValidations count="8">
    <dataValidation type="list" allowBlank="1" showInputMessage="1" showErrorMessage="1" sqref="BE10:BE21">
      <formula1>Efectividad</formula1>
    </dataValidation>
    <dataValidation type="list" allowBlank="1" showInputMessage="1" sqref="AV10:AV21">
      <formula1>Periodo</formula1>
    </dataValidation>
    <dataValidation type="list" showInputMessage="1" showErrorMessage="1" sqref="V10:AF21">
      <formula1>Efectividad</formula1>
    </dataValidation>
    <dataValidation showInputMessage="1" showErrorMessage="1" sqref="AG10:AT21"/>
    <dataValidation type="list" allowBlank="1" showInputMessage="1" showErrorMessage="1" sqref="M10:N21">
      <formula1>Impacto</formula1>
    </dataValidation>
    <dataValidation type="list" showInputMessage="1" showErrorMessage="1" sqref="L10:L21">
      <formula1>Probabilidad</formula1>
    </dataValidation>
    <dataValidation type="list" sqref="BD4:BE4">
      <formula1>Monitoreo</formula1>
    </dataValidation>
    <dataValidation type="list" allowBlank="1" showInputMessage="1" showErrorMessage="1" sqref="L6">
      <formula1>Proceso</formula1>
    </dataValidation>
  </dataValidations>
  <printOptions horizontalCentered="1" verticalCentered="1"/>
  <pageMargins left="0.23622047244094491" right="0.23622047244094491" top="0.74803149606299213" bottom="0.35433070866141736" header="0.31496062992125984" footer="0.31496062992125984"/>
  <pageSetup paperSize="14" scale="74" orientation="landscape" r:id="rId1"/>
  <headerFooter>
    <oddFooter>&amp;L&amp;"Segoe UI,Normal"&amp;9Formato: FO-AC-07 Versión: 3&amp;C&amp;"Segoe UI,Normal"&amp;9Página &amp;P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20"/>
  <sheetViews>
    <sheetView showGridLines="0" zoomScaleNormal="100" zoomScaleSheetLayoutView="115" workbookViewId="0">
      <selection sqref="A1:AB1"/>
    </sheetView>
  </sheetViews>
  <sheetFormatPr baseColWidth="10" defaultRowHeight="15"/>
  <cols>
    <col min="1" max="1" width="1.140625" style="16" customWidth="1"/>
    <col min="2" max="4" width="5.42578125" style="16" customWidth="1"/>
    <col min="5" max="5" width="7.28515625" style="17" customWidth="1"/>
    <col min="6" max="8" width="4.85546875" style="16" customWidth="1"/>
    <col min="9" max="11" width="4.570312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1" width="7.14062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12.85546875" style="18" customWidth="1"/>
    <col min="50" max="50" width="10.7109375" style="21" customWidth="1"/>
    <col min="51" max="51" width="3.85546875" style="21" customWidth="1"/>
    <col min="52" max="52" width="23.140625" style="210" customWidth="1"/>
    <col min="53" max="53" width="14.85546875" style="210" customWidth="1"/>
    <col min="54" max="54" width="8.7109375" style="210" customWidth="1"/>
    <col min="55" max="55" width="19.5703125" style="210" customWidth="1"/>
    <col min="56" max="56" width="42.7109375" style="210" customWidth="1"/>
    <col min="57" max="57" width="5.85546875" style="210" customWidth="1"/>
    <col min="58" max="58" width="31.5703125" style="210" customWidth="1"/>
    <col min="59" max="59" width="16.140625" style="210" customWidth="1"/>
    <col min="60" max="61" width="9.28515625" style="210" customWidth="1"/>
    <col min="62" max="62" width="11.140625" style="210" customWidth="1"/>
    <col min="63" max="63" width="2.140625" style="210" customWidth="1"/>
    <col min="64" max="64" width="11.42578125" style="210"/>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858" t="str">
        <f>UPPER([29]Control!A2)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22">
        <v>2019</v>
      </c>
      <c r="BA2" s="208"/>
      <c r="BB2" s="2830" t="s">
        <v>138</v>
      </c>
      <c r="BC2" s="2831"/>
      <c r="BD2" s="3010" t="str">
        <f>L6</f>
        <v>GESTIÓN TECNOLOGÍAS DE LA INFORMACIÓN Y COMUNICACIÓN</v>
      </c>
      <c r="BE2" s="3011"/>
      <c r="BF2" s="586"/>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1:64" ht="15.75" customHeight="1" thickBot="1">
      <c r="A4" s="2832" t="str">
        <f>[29]Control!A4</f>
        <v>FO-PE-05</v>
      </c>
      <c r="B4" s="2833"/>
      <c r="C4" s="2833"/>
      <c r="D4" s="2834"/>
      <c r="E4" s="2835" t="str">
        <f>[29]Control!C4</f>
        <v>Planeación Estratégica</v>
      </c>
      <c r="F4" s="2833"/>
      <c r="G4" s="2833"/>
      <c r="H4" s="2833"/>
      <c r="I4" s="2833"/>
      <c r="J4" s="2833"/>
      <c r="K4" s="2833"/>
      <c r="L4" s="2833"/>
      <c r="M4" s="2833"/>
      <c r="N4" s="2833"/>
      <c r="O4" s="2833"/>
      <c r="P4" s="2833"/>
      <c r="Q4" s="2833"/>
      <c r="R4" s="2833"/>
      <c r="S4" s="2833"/>
      <c r="T4" s="2833"/>
      <c r="U4" s="2834"/>
      <c r="V4" s="2835">
        <f>[29]Control!H4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232">
        <v>43434</v>
      </c>
      <c r="BA4" s="208"/>
      <c r="BB4" s="2836">
        <v>43708</v>
      </c>
      <c r="BC4" s="2837"/>
      <c r="BD4" s="2282" t="s">
        <v>4042</v>
      </c>
      <c r="BE4" s="2282"/>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842" t="s">
        <v>356</v>
      </c>
      <c r="M6" s="2843"/>
      <c r="N6" s="2843"/>
      <c r="O6" s="2843"/>
      <c r="P6" s="2843"/>
      <c r="Q6" s="2843"/>
      <c r="R6" s="2843"/>
      <c r="S6" s="2843"/>
      <c r="T6" s="2843"/>
      <c r="U6" s="2844"/>
      <c r="V6" s="2845" t="s">
        <v>59</v>
      </c>
      <c r="W6" s="2845"/>
      <c r="X6" s="2845"/>
      <c r="Y6" s="2845"/>
      <c r="Z6" s="2845"/>
      <c r="AA6" s="2827" t="s">
        <v>27</v>
      </c>
      <c r="AB6" s="2828"/>
      <c r="AC6" s="2828"/>
      <c r="AD6" s="2828"/>
      <c r="AE6" s="2828"/>
      <c r="AF6" s="2828"/>
      <c r="AG6" s="2828"/>
      <c r="AH6" s="2828"/>
      <c r="AI6" s="2828"/>
      <c r="AJ6" s="2828"/>
      <c r="AK6" s="2828"/>
      <c r="AL6" s="2828"/>
      <c r="AM6" s="2828"/>
      <c r="AN6" s="2828"/>
      <c r="AO6" s="2828"/>
      <c r="AP6" s="2828"/>
      <c r="AQ6" s="2828"/>
      <c r="AR6" s="2828"/>
      <c r="AS6" s="2828"/>
      <c r="AT6" s="2828"/>
      <c r="AU6" s="2828"/>
      <c r="AV6" s="2828"/>
      <c r="AW6" s="2828"/>
      <c r="AX6" s="2828"/>
      <c r="AY6" s="2828"/>
      <c r="AZ6" s="2828"/>
      <c r="BA6" s="2829"/>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1:64" s="3" customFormat="1" ht="108" customHeight="1">
      <c r="A10" s="332"/>
      <c r="B10" s="2912" t="s">
        <v>867</v>
      </c>
      <c r="C10" s="2912"/>
      <c r="D10" s="2912"/>
      <c r="E10" s="2912" t="s">
        <v>357</v>
      </c>
      <c r="F10" s="3005" t="s">
        <v>403</v>
      </c>
      <c r="G10" s="3005"/>
      <c r="H10" s="3005"/>
      <c r="I10" s="2912" t="s">
        <v>358</v>
      </c>
      <c r="J10" s="2912"/>
      <c r="K10" s="2912"/>
      <c r="L10" s="330" t="s">
        <v>283</v>
      </c>
      <c r="M10" s="50" t="s">
        <v>270</v>
      </c>
      <c r="N10" s="32"/>
      <c r="O10" s="6">
        <f>VLOOKUP(L10,[29]Listas!$M$69:$N$73,2,0)</f>
        <v>1</v>
      </c>
      <c r="P10" s="6"/>
      <c r="Q10" s="6">
        <f>HLOOKUP(M10,[29]Listas!$O$67:$Q$68,2,0)</f>
        <v>10</v>
      </c>
      <c r="R10" s="331" t="str">
        <f>INDEX([29]Listas!$O$69:$Q$73,MATCH(L10,[29]Listas!$M$69:$M$73,0),MATCH(M10,[29]Listas!$O$67:$Q$67,0))</f>
        <v>10
BAJA</v>
      </c>
      <c r="S10" s="2912" t="s">
        <v>625</v>
      </c>
      <c r="T10" s="2912"/>
      <c r="U10" s="2912"/>
      <c r="V10" s="329" t="s">
        <v>65</v>
      </c>
      <c r="W10" s="329" t="s">
        <v>36</v>
      </c>
      <c r="X10" s="329" t="s">
        <v>36</v>
      </c>
      <c r="Y10" s="329" t="s">
        <v>65</v>
      </c>
      <c r="Z10" s="329" t="s">
        <v>65</v>
      </c>
      <c r="AA10" s="329" t="s">
        <v>65</v>
      </c>
      <c r="AB10" s="329" t="s">
        <v>65</v>
      </c>
      <c r="AC10" s="329" t="s">
        <v>65</v>
      </c>
      <c r="AD10" s="329" t="s">
        <v>65</v>
      </c>
      <c r="AE10" s="329" t="s">
        <v>65</v>
      </c>
      <c r="AF10" s="33"/>
      <c r="AG10" s="6">
        <f t="shared" ref="AG10:AG21" si="0">IF(Y10="SI",15,0)</f>
        <v>15</v>
      </c>
      <c r="AH10" s="6">
        <f t="shared" ref="AH10:AH21" si="1">IF(Z10="SI",5,0)</f>
        <v>5</v>
      </c>
      <c r="AI10" s="6">
        <f t="shared" ref="AI10:AI21" si="2">IF(AA10="SI",15,0)</f>
        <v>15</v>
      </c>
      <c r="AJ10" s="6">
        <f t="shared" ref="AJ10:AJ21" si="3">IF(AB10="SI",10,0)</f>
        <v>10</v>
      </c>
      <c r="AK10" s="6">
        <f t="shared" ref="AK10:AK21" si="4">IF(AC10="SI",15,0)</f>
        <v>15</v>
      </c>
      <c r="AL10" s="6">
        <f t="shared" ref="AL10:AL21" si="5">IF(AD10="SI",10,0)</f>
        <v>10</v>
      </c>
      <c r="AM10" s="6">
        <f t="shared" ref="AM10:AM21" si="6">IF(AE10="SI",30,0)</f>
        <v>30</v>
      </c>
      <c r="AN10" s="6">
        <f t="shared" ref="AN10:AN21" si="7">SUM(AG10+AH10+AI10+AJ10+AK10+AL10+AM10)</f>
        <v>100</v>
      </c>
      <c r="AO10" s="6">
        <f t="shared" ref="AO10:AO21" si="8">IF(AN10&lt;=50,0,IF(AN10&gt;=76,2,1))</f>
        <v>2</v>
      </c>
      <c r="AP10" s="331" t="str">
        <f t="shared" ref="AP10:AP21" si="9">CONCATENATE(AN10,"- disminuye ",AO10)</f>
        <v>100- disminuye 2</v>
      </c>
      <c r="AQ10" s="6">
        <f t="shared" ref="AQ10:AQ21" si="10">IF(V10="SI",O10-AO10,O10)</f>
        <v>-1</v>
      </c>
      <c r="AR10" s="331" t="str">
        <f>IF(AQ10&lt;=1,"Rara vez",VLOOKUP(AQ10,[29]Listas!$L$69:$M$73,2,0))</f>
        <v>Rara vez</v>
      </c>
      <c r="AS10" s="6">
        <f t="shared" ref="AS10:AS21" si="11">IF(W10="SI",Q10-AO10,Q10)</f>
        <v>10</v>
      </c>
      <c r="AT10" s="331" t="str">
        <f t="shared" ref="AT10:AT21" si="12">IF(AS10&lt;=9,"Moderado",IF(AS10=20,"Catastrófico",IF(AS10=18,"Moderado","Mayor")))</f>
        <v>Mayor</v>
      </c>
      <c r="AU10" s="331" t="str">
        <f>INDEX([29]Listas!$O$69:$Q$73,MATCH(AR10,[29]Listas!$M$69:$M$73,0),MATCH(AT10,[29]Listas!$O$67:$Q$67,0))</f>
        <v>10
BAJA</v>
      </c>
      <c r="AV10" s="330" t="s">
        <v>570</v>
      </c>
      <c r="AW10" s="2912" t="s">
        <v>4043</v>
      </c>
      <c r="AX10" s="2912" t="s">
        <v>966</v>
      </c>
      <c r="AY10" s="330" t="s">
        <v>28</v>
      </c>
      <c r="AZ10" s="12" t="s">
        <v>2539</v>
      </c>
      <c r="BA10" s="3003" t="s">
        <v>2540</v>
      </c>
      <c r="BB10" s="3007">
        <v>1</v>
      </c>
      <c r="BC10" s="3003" t="s">
        <v>4044</v>
      </c>
      <c r="BD10" s="12" t="s">
        <v>3573</v>
      </c>
      <c r="BE10" s="839" t="s">
        <v>36</v>
      </c>
      <c r="BF10" s="12"/>
      <c r="BG10" s="12"/>
      <c r="BH10" s="227"/>
      <c r="BI10" s="227"/>
      <c r="BJ10" s="839"/>
      <c r="BK10" s="228"/>
      <c r="BL10" s="228"/>
    </row>
    <row r="11" spans="1:64" s="3" customFormat="1" ht="108" customHeight="1">
      <c r="A11" s="332"/>
      <c r="B11" s="2912" t="s">
        <v>868</v>
      </c>
      <c r="C11" s="2912"/>
      <c r="D11" s="2912"/>
      <c r="E11" s="2912"/>
      <c r="F11" s="3005"/>
      <c r="G11" s="3005"/>
      <c r="H11" s="3005"/>
      <c r="I11" s="2912"/>
      <c r="J11" s="2912"/>
      <c r="K11" s="2912"/>
      <c r="L11" s="330" t="s">
        <v>283</v>
      </c>
      <c r="M11" s="50" t="s">
        <v>270</v>
      </c>
      <c r="N11" s="32"/>
      <c r="O11" s="6">
        <f>VLOOKUP(L11,[29]Listas!$M$69:$N$73,2,0)</f>
        <v>1</v>
      </c>
      <c r="P11" s="6"/>
      <c r="Q11" s="6">
        <f>HLOOKUP(M11,[29]Listas!$O$67:$Q$68,2,0)</f>
        <v>10</v>
      </c>
      <c r="R11" s="331" t="str">
        <f>INDEX([29]Listas!$O$69:$Q$73,MATCH(L11,[29]Listas!$M$69:$M$73,0),MATCH(M11,[29]Listas!$O$67:$Q$67,0))</f>
        <v>10
BAJA</v>
      </c>
      <c r="S11" s="2912"/>
      <c r="T11" s="2912"/>
      <c r="U11" s="2912"/>
      <c r="V11" s="329" t="s">
        <v>65</v>
      </c>
      <c r="W11" s="329" t="s">
        <v>36</v>
      </c>
      <c r="X11" s="329" t="s">
        <v>36</v>
      </c>
      <c r="Y11" s="329" t="s">
        <v>65</v>
      </c>
      <c r="Z11" s="329" t="s">
        <v>65</v>
      </c>
      <c r="AA11" s="329" t="s">
        <v>65</v>
      </c>
      <c r="AB11" s="329" t="s">
        <v>65</v>
      </c>
      <c r="AC11" s="329" t="s">
        <v>65</v>
      </c>
      <c r="AD11" s="329" t="s">
        <v>65</v>
      </c>
      <c r="AE11" s="329" t="s">
        <v>65</v>
      </c>
      <c r="AF11" s="33"/>
      <c r="AG11" s="6">
        <f t="shared" si="0"/>
        <v>15</v>
      </c>
      <c r="AH11" s="6">
        <f t="shared" si="1"/>
        <v>5</v>
      </c>
      <c r="AI11" s="6">
        <f t="shared" si="2"/>
        <v>15</v>
      </c>
      <c r="AJ11" s="6">
        <f t="shared" si="3"/>
        <v>10</v>
      </c>
      <c r="AK11" s="6">
        <f t="shared" si="4"/>
        <v>15</v>
      </c>
      <c r="AL11" s="6">
        <f t="shared" si="5"/>
        <v>10</v>
      </c>
      <c r="AM11" s="6">
        <f t="shared" si="6"/>
        <v>30</v>
      </c>
      <c r="AN11" s="6">
        <f t="shared" si="7"/>
        <v>100</v>
      </c>
      <c r="AO11" s="6">
        <f t="shared" si="8"/>
        <v>2</v>
      </c>
      <c r="AP11" s="331" t="str">
        <f t="shared" si="9"/>
        <v>100- disminuye 2</v>
      </c>
      <c r="AQ11" s="6">
        <f t="shared" si="10"/>
        <v>-1</v>
      </c>
      <c r="AR11" s="331" t="str">
        <f>IF(AQ11&lt;=1,"Rara vez",VLOOKUP(AQ11,[29]Listas!$L$69:$M$73,2,0))</f>
        <v>Rara vez</v>
      </c>
      <c r="AS11" s="6">
        <f t="shared" si="11"/>
        <v>10</v>
      </c>
      <c r="AT11" s="331" t="str">
        <f t="shared" si="12"/>
        <v>Mayor</v>
      </c>
      <c r="AU11" s="331" t="str">
        <f>INDEX([29]Listas!$O$69:$Q$73,MATCH(AR11,[29]Listas!$M$69:$M$73,0),MATCH(AT11,[29]Listas!$O$67:$Q$67,0))</f>
        <v>10
BAJA</v>
      </c>
      <c r="AV11" s="330" t="s">
        <v>570</v>
      </c>
      <c r="AW11" s="2912"/>
      <c r="AX11" s="2912"/>
      <c r="AY11" s="330" t="s">
        <v>28</v>
      </c>
      <c r="AZ11" s="338" t="s">
        <v>2541</v>
      </c>
      <c r="BA11" s="3006"/>
      <c r="BB11" s="3008"/>
      <c r="BC11" s="3006"/>
      <c r="BD11" s="12" t="s">
        <v>3573</v>
      </c>
      <c r="BE11" s="839" t="s">
        <v>36</v>
      </c>
      <c r="BF11" s="12"/>
      <c r="BG11" s="12"/>
      <c r="BH11" s="227"/>
      <c r="BI11" s="227"/>
      <c r="BJ11" s="839"/>
      <c r="BK11" s="228"/>
      <c r="BL11" s="228"/>
    </row>
    <row r="12" spans="1:64" s="3" customFormat="1" ht="108" customHeight="1">
      <c r="A12" s="332"/>
      <c r="B12" s="2912" t="s">
        <v>869</v>
      </c>
      <c r="C12" s="2912"/>
      <c r="D12" s="2912"/>
      <c r="E12" s="2912"/>
      <c r="F12" s="3005"/>
      <c r="G12" s="3005"/>
      <c r="H12" s="3005"/>
      <c r="I12" s="2912"/>
      <c r="J12" s="2912"/>
      <c r="K12" s="2912"/>
      <c r="L12" s="330" t="s">
        <v>283</v>
      </c>
      <c r="M12" s="50" t="s">
        <v>270</v>
      </c>
      <c r="N12" s="32"/>
      <c r="O12" s="6">
        <f>VLOOKUP(L12,[29]Listas!$M$69:$N$73,2,0)</f>
        <v>1</v>
      </c>
      <c r="P12" s="6"/>
      <c r="Q12" s="6">
        <f>HLOOKUP(M12,[29]Listas!$O$67:$Q$68,2,0)</f>
        <v>10</v>
      </c>
      <c r="R12" s="331" t="str">
        <f>INDEX([29]Listas!$O$69:$Q$73,MATCH(L12,[29]Listas!$M$69:$M$73,0),MATCH(M12,[29]Listas!$O$67:$Q$67,0))</f>
        <v>10
BAJA</v>
      </c>
      <c r="S12" s="2912"/>
      <c r="T12" s="2912"/>
      <c r="U12" s="2912"/>
      <c r="V12" s="329" t="s">
        <v>65</v>
      </c>
      <c r="W12" s="329" t="s">
        <v>36</v>
      </c>
      <c r="X12" s="329" t="s">
        <v>36</v>
      </c>
      <c r="Y12" s="329" t="s">
        <v>65</v>
      </c>
      <c r="Z12" s="329" t="s">
        <v>65</v>
      </c>
      <c r="AA12" s="329" t="s">
        <v>65</v>
      </c>
      <c r="AB12" s="329" t="s">
        <v>65</v>
      </c>
      <c r="AC12" s="329" t="s">
        <v>65</v>
      </c>
      <c r="AD12" s="329" t="s">
        <v>65</v>
      </c>
      <c r="AE12" s="329" t="s">
        <v>65</v>
      </c>
      <c r="AF12" s="33"/>
      <c r="AG12" s="6">
        <f>IF(Y12="SI",15,0)</f>
        <v>15</v>
      </c>
      <c r="AH12" s="6">
        <f>IF(Z12="SI",5,0)</f>
        <v>5</v>
      </c>
      <c r="AI12" s="6">
        <f>IF(AA12="SI",15,0)</f>
        <v>15</v>
      </c>
      <c r="AJ12" s="6">
        <f>IF(AB12="SI",10,0)</f>
        <v>10</v>
      </c>
      <c r="AK12" s="6">
        <f>IF(AC12="SI",15,0)</f>
        <v>15</v>
      </c>
      <c r="AL12" s="6">
        <f>IF(AD12="SI",10,0)</f>
        <v>10</v>
      </c>
      <c r="AM12" s="6">
        <f>IF(AE12="SI",30,0)</f>
        <v>30</v>
      </c>
      <c r="AN12" s="6">
        <f>SUM(AG12+AH12+AI12+AJ12+AK12+AL12+AM12)</f>
        <v>100</v>
      </c>
      <c r="AO12" s="6">
        <f>IF(AN12&lt;=50,0,IF(AN12&gt;=76,2,1))</f>
        <v>2</v>
      </c>
      <c r="AP12" s="331" t="str">
        <f>CONCATENATE(AN12,"- disminuye ",AO12)</f>
        <v>100- disminuye 2</v>
      </c>
      <c r="AQ12" s="6">
        <f>IF(V12="SI",O12-AO12,O12)</f>
        <v>-1</v>
      </c>
      <c r="AR12" s="331" t="str">
        <f>IF(AQ12&lt;=1,"Rara vez",VLOOKUP(AQ12,[29]Listas!$L$69:$M$73,2,0))</f>
        <v>Rara vez</v>
      </c>
      <c r="AS12" s="6">
        <f>IF(W12="SI",Q12-AO12,Q12)</f>
        <v>10</v>
      </c>
      <c r="AT12" s="331" t="str">
        <f>IF(AS12&lt;=9,"Moderado",IF(AS12=20,"Catastrófico",IF(AS12=18,"Moderado","Mayor")))</f>
        <v>Mayor</v>
      </c>
      <c r="AU12" s="331" t="str">
        <f>INDEX([29]Listas!$O$69:$Q$73,MATCH(AR12,[29]Listas!$M$69:$M$73,0),MATCH(AT12,[29]Listas!$O$67:$Q$67,0))</f>
        <v>10
BAJA</v>
      </c>
      <c r="AV12" s="330" t="s">
        <v>570</v>
      </c>
      <c r="AW12" s="2912"/>
      <c r="AX12" s="2912"/>
      <c r="AY12" s="330" t="s">
        <v>28</v>
      </c>
      <c r="AZ12" s="12" t="s">
        <v>2539</v>
      </c>
      <c r="BA12" s="3006"/>
      <c r="BB12" s="3008"/>
      <c r="BC12" s="3006"/>
      <c r="BD12" s="12" t="s">
        <v>3573</v>
      </c>
      <c r="BE12" s="839" t="s">
        <v>36</v>
      </c>
      <c r="BF12" s="12"/>
      <c r="BG12" s="12"/>
      <c r="BH12" s="227"/>
      <c r="BI12" s="227"/>
      <c r="BJ12" s="839"/>
      <c r="BK12" s="228"/>
      <c r="BL12" s="228"/>
    </row>
    <row r="13" spans="1:64" s="3" customFormat="1" ht="108" customHeight="1">
      <c r="A13" s="332"/>
      <c r="B13" s="2912" t="s">
        <v>870</v>
      </c>
      <c r="C13" s="2912"/>
      <c r="D13" s="2912"/>
      <c r="E13" s="2912"/>
      <c r="F13" s="3005"/>
      <c r="G13" s="3005"/>
      <c r="H13" s="3005"/>
      <c r="I13" s="2912"/>
      <c r="J13" s="2912"/>
      <c r="K13" s="2912"/>
      <c r="L13" s="330" t="s">
        <v>283</v>
      </c>
      <c r="M13" s="50" t="s">
        <v>270</v>
      </c>
      <c r="N13" s="32"/>
      <c r="O13" s="6">
        <f>VLOOKUP(L13,[29]Listas!$M$69:$N$73,2,0)</f>
        <v>1</v>
      </c>
      <c r="P13" s="6"/>
      <c r="Q13" s="6">
        <f>HLOOKUP(M13,[29]Listas!$O$67:$Q$68,2,0)</f>
        <v>10</v>
      </c>
      <c r="R13" s="331" t="str">
        <f>INDEX([29]Listas!$O$69:$Q$73,MATCH(L13,[29]Listas!$M$69:$M$73,0),MATCH(M13,[29]Listas!$O$67:$Q$67,0))</f>
        <v>10
BAJA</v>
      </c>
      <c r="S13" s="2912"/>
      <c r="T13" s="2912"/>
      <c r="U13" s="2912"/>
      <c r="V13" s="329" t="s">
        <v>65</v>
      </c>
      <c r="W13" s="329" t="s">
        <v>36</v>
      </c>
      <c r="X13" s="329" t="s">
        <v>36</v>
      </c>
      <c r="Y13" s="329" t="s">
        <v>65</v>
      </c>
      <c r="Z13" s="329" t="s">
        <v>65</v>
      </c>
      <c r="AA13" s="329" t="s">
        <v>65</v>
      </c>
      <c r="AB13" s="329" t="s">
        <v>65</v>
      </c>
      <c r="AC13" s="329" t="s">
        <v>65</v>
      </c>
      <c r="AD13" s="329" t="s">
        <v>65</v>
      </c>
      <c r="AE13" s="329" t="s">
        <v>65</v>
      </c>
      <c r="AF13" s="33"/>
      <c r="AG13" s="6">
        <f>IF(Y13="SI",15,0)</f>
        <v>15</v>
      </c>
      <c r="AH13" s="6">
        <f>IF(Z13="SI",5,0)</f>
        <v>5</v>
      </c>
      <c r="AI13" s="6">
        <f>IF(AA13="SI",15,0)</f>
        <v>15</v>
      </c>
      <c r="AJ13" s="6">
        <f>IF(AB13="SI",10,0)</f>
        <v>10</v>
      </c>
      <c r="AK13" s="6">
        <f>IF(AC13="SI",15,0)</f>
        <v>15</v>
      </c>
      <c r="AL13" s="6">
        <f>IF(AD13="SI",10,0)</f>
        <v>10</v>
      </c>
      <c r="AM13" s="6">
        <f>IF(AE13="SI",30,0)</f>
        <v>30</v>
      </c>
      <c r="AN13" s="6">
        <f>SUM(AG13+AH13+AI13+AJ13+AK13+AL13+AM13)</f>
        <v>100</v>
      </c>
      <c r="AO13" s="6">
        <f>IF(AN13&lt;=50,0,IF(AN13&gt;=76,2,1))</f>
        <v>2</v>
      </c>
      <c r="AP13" s="331" t="str">
        <f>CONCATENATE(AN13,"- disminuye ",AO13)</f>
        <v>100- disminuye 2</v>
      </c>
      <c r="AQ13" s="6">
        <f>IF(V13="SI",O13-AO13,O13)</f>
        <v>-1</v>
      </c>
      <c r="AR13" s="331" t="str">
        <f>IF(AQ13&lt;=1,"Rara vez",VLOOKUP(AQ13,[29]Listas!$L$69:$M$73,2,0))</f>
        <v>Rara vez</v>
      </c>
      <c r="AS13" s="6">
        <f>IF(W13="SI",Q13-AO13,Q13)</f>
        <v>10</v>
      </c>
      <c r="AT13" s="331" t="str">
        <f>IF(AS13&lt;=9,"Moderado",IF(AS13=20,"Catastrófico",IF(AS13=18,"Moderado","Mayor")))</f>
        <v>Mayor</v>
      </c>
      <c r="AU13" s="331" t="str">
        <f>INDEX([29]Listas!$O$69:$Q$73,MATCH(AR13,[29]Listas!$M$69:$M$73,0),MATCH(AT13,[29]Listas!$O$67:$Q$67,0))</f>
        <v>10
BAJA</v>
      </c>
      <c r="AV13" s="330" t="s">
        <v>570</v>
      </c>
      <c r="AW13" s="2912"/>
      <c r="AX13" s="2912"/>
      <c r="AY13" s="330" t="s">
        <v>28</v>
      </c>
      <c r="AZ13" s="12" t="s">
        <v>2542</v>
      </c>
      <c r="BA13" s="3004"/>
      <c r="BB13" s="3009"/>
      <c r="BC13" s="3004"/>
      <c r="BD13" s="12" t="s">
        <v>3573</v>
      </c>
      <c r="BE13" s="839" t="s">
        <v>36</v>
      </c>
      <c r="BF13" s="12"/>
      <c r="BG13" s="12"/>
      <c r="BH13" s="227"/>
      <c r="BI13" s="227"/>
      <c r="BJ13" s="839"/>
      <c r="BK13" s="228"/>
      <c r="BL13" s="228"/>
    </row>
    <row r="14" spans="1:64" s="3" customFormat="1" ht="108" customHeight="1">
      <c r="A14" s="332"/>
      <c r="B14" s="2912" t="s">
        <v>871</v>
      </c>
      <c r="C14" s="2912"/>
      <c r="D14" s="2912"/>
      <c r="E14" s="2912" t="s">
        <v>16</v>
      </c>
      <c r="F14" s="3005" t="s">
        <v>360</v>
      </c>
      <c r="G14" s="3005"/>
      <c r="H14" s="3005"/>
      <c r="I14" s="2912" t="s">
        <v>1904</v>
      </c>
      <c r="J14" s="2912"/>
      <c r="K14" s="2912"/>
      <c r="L14" s="330" t="s">
        <v>309</v>
      </c>
      <c r="M14" s="50" t="s">
        <v>270</v>
      </c>
      <c r="N14" s="32"/>
      <c r="O14" s="6">
        <f>VLOOKUP(L14,[29]Listas!$M$69:$N$73,2,0)</f>
        <v>4</v>
      </c>
      <c r="P14" s="6"/>
      <c r="Q14" s="6">
        <f>HLOOKUP(M14,[29]Listas!$O$67:$Q$68,2,0)</f>
        <v>10</v>
      </c>
      <c r="R14" s="331" t="str">
        <f>INDEX([29]Listas!$O$69:$Q$73,MATCH(L14,[29]Listas!$M$69:$M$73,0),MATCH(M14,[29]Listas!$O$67:$Q$67,0))</f>
        <v>40
ALTA</v>
      </c>
      <c r="S14" s="2912" t="s">
        <v>965</v>
      </c>
      <c r="T14" s="2912"/>
      <c r="U14" s="2912"/>
      <c r="V14" s="329" t="s">
        <v>65</v>
      </c>
      <c r="W14" s="329" t="s">
        <v>36</v>
      </c>
      <c r="X14" s="329" t="s">
        <v>36</v>
      </c>
      <c r="Y14" s="329" t="s">
        <v>65</v>
      </c>
      <c r="Z14" s="329" t="s">
        <v>65</v>
      </c>
      <c r="AA14" s="329" t="s">
        <v>36</v>
      </c>
      <c r="AB14" s="329" t="s">
        <v>65</v>
      </c>
      <c r="AC14" s="329" t="s">
        <v>36</v>
      </c>
      <c r="AD14" s="329" t="s">
        <v>65</v>
      </c>
      <c r="AE14" s="329" t="s">
        <v>65</v>
      </c>
      <c r="AF14" s="33"/>
      <c r="AG14" s="6">
        <f>IF(Y14="SI",15,0)</f>
        <v>15</v>
      </c>
      <c r="AH14" s="6">
        <f>IF(Z14="SI",5,0)</f>
        <v>5</v>
      </c>
      <c r="AI14" s="6">
        <f>IF(AA14="SI",15,0)</f>
        <v>0</v>
      </c>
      <c r="AJ14" s="6">
        <f>IF(AB14="SI",10,0)</f>
        <v>10</v>
      </c>
      <c r="AK14" s="6">
        <f>IF(AC14="SI",15,0)</f>
        <v>0</v>
      </c>
      <c r="AL14" s="6">
        <f>IF(AD14="SI",10,0)</f>
        <v>10</v>
      </c>
      <c r="AM14" s="6">
        <f>IF(AE14="SI",30,0)</f>
        <v>30</v>
      </c>
      <c r="AN14" s="6">
        <f>SUM(AG14+AH14+AI14+AJ14+AK14+AL14+AM14)</f>
        <v>70</v>
      </c>
      <c r="AO14" s="6">
        <f>IF(AN14&lt;=50,0,IF(AN14&gt;=76,2,1))</f>
        <v>1</v>
      </c>
      <c r="AP14" s="331" t="str">
        <f>CONCATENATE(AN14,"- disminuye ",AO14)</f>
        <v>70- disminuye 1</v>
      </c>
      <c r="AQ14" s="6">
        <f>IF(V14="SI",O14-AO14,O14)</f>
        <v>3</v>
      </c>
      <c r="AR14" s="331" t="str">
        <f>IF(AQ14&lt;=1,"Rara vez",VLOOKUP(AQ14,[29]Listas!$L$69:$M$73,2,0))</f>
        <v>Posible</v>
      </c>
      <c r="AS14" s="6">
        <f>IF(W14="SI",Q14-AO14,Q14)</f>
        <v>10</v>
      </c>
      <c r="AT14" s="331" t="str">
        <f>IF(AS14&lt;=9,"Moderado",IF(AS14=20,"Catastrófico",IF(AS14=18,"Moderado","Mayor")))</f>
        <v>Mayor</v>
      </c>
      <c r="AU14" s="331" t="str">
        <f>INDEX([29]Listas!$O$69:$Q$73,MATCH(AR14,[29]Listas!$M$69:$M$73,0),MATCH(AT14,[29]Listas!$O$67:$Q$67,0))</f>
        <v>30
ALTA</v>
      </c>
      <c r="AV14" s="330" t="s">
        <v>570</v>
      </c>
      <c r="AW14" s="2912" t="s">
        <v>964</v>
      </c>
      <c r="AX14" s="12" t="s">
        <v>2543</v>
      </c>
      <c r="AY14" s="330" t="s">
        <v>28</v>
      </c>
      <c r="AZ14" s="12" t="s">
        <v>2544</v>
      </c>
      <c r="BA14" s="2999" t="s">
        <v>2545</v>
      </c>
      <c r="BB14" s="226">
        <v>1</v>
      </c>
      <c r="BC14" s="12" t="s">
        <v>3574</v>
      </c>
      <c r="BD14" s="12" t="s">
        <v>3573</v>
      </c>
      <c r="BE14" s="839" t="s">
        <v>36</v>
      </c>
      <c r="BF14" s="12"/>
      <c r="BG14" s="12"/>
      <c r="BH14" s="227"/>
      <c r="BI14" s="227"/>
      <c r="BJ14" s="839"/>
      <c r="BK14" s="228"/>
      <c r="BL14" s="228"/>
    </row>
    <row r="15" spans="1:64" s="3" customFormat="1" ht="108" customHeight="1">
      <c r="A15" s="332"/>
      <c r="B15" s="2912" t="s">
        <v>872</v>
      </c>
      <c r="C15" s="2912"/>
      <c r="D15" s="2912"/>
      <c r="E15" s="2912"/>
      <c r="F15" s="3005"/>
      <c r="G15" s="3005"/>
      <c r="H15" s="3005"/>
      <c r="I15" s="2912"/>
      <c r="J15" s="2912"/>
      <c r="K15" s="2912"/>
      <c r="L15" s="330" t="s">
        <v>309</v>
      </c>
      <c r="M15" s="50" t="s">
        <v>270</v>
      </c>
      <c r="N15" s="32"/>
      <c r="O15" s="6">
        <f>VLOOKUP(L15,[29]Listas!$M$69:$N$73,2,0)</f>
        <v>4</v>
      </c>
      <c r="P15" s="6"/>
      <c r="Q15" s="6">
        <f>HLOOKUP(M15,[29]Listas!$O$67:$Q$68,2,0)</f>
        <v>10</v>
      </c>
      <c r="R15" s="331" t="str">
        <f>INDEX([29]Listas!$O$69:$Q$73,MATCH(L15,[29]Listas!$M$69:$M$73,0),MATCH(M15,[29]Listas!$O$67:$Q$67,0))</f>
        <v>40
ALTA</v>
      </c>
      <c r="S15" s="2912"/>
      <c r="T15" s="2912"/>
      <c r="U15" s="2912"/>
      <c r="V15" s="329" t="s">
        <v>65</v>
      </c>
      <c r="W15" s="329" t="s">
        <v>36</v>
      </c>
      <c r="X15" s="329" t="s">
        <v>36</v>
      </c>
      <c r="Y15" s="329" t="s">
        <v>65</v>
      </c>
      <c r="Z15" s="329" t="s">
        <v>65</v>
      </c>
      <c r="AA15" s="329" t="s">
        <v>36</v>
      </c>
      <c r="AB15" s="329" t="s">
        <v>65</v>
      </c>
      <c r="AC15" s="329" t="s">
        <v>36</v>
      </c>
      <c r="AD15" s="329" t="s">
        <v>65</v>
      </c>
      <c r="AE15" s="329" t="s">
        <v>65</v>
      </c>
      <c r="AF15" s="33"/>
      <c r="AG15" s="6">
        <f t="shared" si="0"/>
        <v>15</v>
      </c>
      <c r="AH15" s="6">
        <f t="shared" si="1"/>
        <v>5</v>
      </c>
      <c r="AI15" s="6">
        <f t="shared" si="2"/>
        <v>0</v>
      </c>
      <c r="AJ15" s="6">
        <f t="shared" si="3"/>
        <v>10</v>
      </c>
      <c r="AK15" s="6">
        <f t="shared" si="4"/>
        <v>0</v>
      </c>
      <c r="AL15" s="6">
        <f t="shared" si="5"/>
        <v>10</v>
      </c>
      <c r="AM15" s="6">
        <f t="shared" si="6"/>
        <v>30</v>
      </c>
      <c r="AN15" s="6">
        <f t="shared" si="7"/>
        <v>70</v>
      </c>
      <c r="AO15" s="6">
        <f t="shared" si="8"/>
        <v>1</v>
      </c>
      <c r="AP15" s="331" t="str">
        <f t="shared" si="9"/>
        <v>70- disminuye 1</v>
      </c>
      <c r="AQ15" s="6">
        <f t="shared" si="10"/>
        <v>3</v>
      </c>
      <c r="AR15" s="331" t="str">
        <f>IF(AQ15&lt;=1,"Rara vez",VLOOKUP(AQ15,[29]Listas!$L$69:$M$73,2,0))</f>
        <v>Posible</v>
      </c>
      <c r="AS15" s="6">
        <f t="shared" si="11"/>
        <v>10</v>
      </c>
      <c r="AT15" s="331" t="str">
        <f t="shared" si="12"/>
        <v>Mayor</v>
      </c>
      <c r="AU15" s="331" t="str">
        <f>INDEX([29]Listas!$O$69:$Q$73,MATCH(AR15,[29]Listas!$M$69:$M$73,0),MATCH(AT15,[29]Listas!$O$67:$Q$67,0))</f>
        <v>30
ALTA</v>
      </c>
      <c r="AV15" s="330" t="s">
        <v>570</v>
      </c>
      <c r="AW15" s="2912"/>
      <c r="AX15" s="12" t="s">
        <v>2546</v>
      </c>
      <c r="AY15" s="330" t="s">
        <v>198</v>
      </c>
      <c r="AZ15" s="12" t="s">
        <v>2547</v>
      </c>
      <c r="BA15" s="3000"/>
      <c r="BB15" s="226">
        <v>1</v>
      </c>
      <c r="BC15" s="12" t="s">
        <v>4045</v>
      </c>
      <c r="BD15" s="12" t="s">
        <v>3573</v>
      </c>
      <c r="BE15" s="839" t="s">
        <v>36</v>
      </c>
      <c r="BF15" s="12"/>
      <c r="BG15" s="12"/>
      <c r="BH15" s="227"/>
      <c r="BI15" s="227"/>
      <c r="BJ15" s="839"/>
      <c r="BK15" s="228"/>
      <c r="BL15" s="228"/>
    </row>
    <row r="16" spans="1:64" s="3" customFormat="1" ht="108" customHeight="1">
      <c r="A16" s="332"/>
      <c r="B16" s="2912" t="s">
        <v>873</v>
      </c>
      <c r="C16" s="2912"/>
      <c r="D16" s="2912"/>
      <c r="E16" s="2912" t="s">
        <v>17</v>
      </c>
      <c r="F16" s="3005" t="s">
        <v>361</v>
      </c>
      <c r="G16" s="3005"/>
      <c r="H16" s="3005"/>
      <c r="I16" s="2912" t="s">
        <v>362</v>
      </c>
      <c r="J16" s="2912"/>
      <c r="K16" s="2912"/>
      <c r="L16" s="330" t="s">
        <v>283</v>
      </c>
      <c r="M16" s="50" t="s">
        <v>270</v>
      </c>
      <c r="N16" s="32"/>
      <c r="O16" s="6">
        <f>VLOOKUP(L16,[29]Listas!$M$69:$N$73,2,0)</f>
        <v>1</v>
      </c>
      <c r="P16" s="6"/>
      <c r="Q16" s="6">
        <f>HLOOKUP(M16,[29]Listas!$O$67:$Q$68,2,0)</f>
        <v>10</v>
      </c>
      <c r="R16" s="331" t="str">
        <f>INDEX([29]Listas!$O$69:$Q$73,MATCH(L16,[29]Listas!$M$69:$M$73,0),MATCH(M16,[29]Listas!$O$67:$Q$67,0))</f>
        <v>10
BAJA</v>
      </c>
      <c r="S16" s="2912" t="s">
        <v>2548</v>
      </c>
      <c r="T16" s="2912"/>
      <c r="U16" s="2912"/>
      <c r="V16" s="329" t="s">
        <v>65</v>
      </c>
      <c r="W16" s="329" t="s">
        <v>36</v>
      </c>
      <c r="X16" s="329" t="s">
        <v>36</v>
      </c>
      <c r="Y16" s="329" t="s">
        <v>36</v>
      </c>
      <c r="Z16" s="329" t="s">
        <v>65</v>
      </c>
      <c r="AA16" s="329" t="s">
        <v>36</v>
      </c>
      <c r="AB16" s="329" t="s">
        <v>65</v>
      </c>
      <c r="AC16" s="329" t="s">
        <v>65</v>
      </c>
      <c r="AD16" s="329" t="s">
        <v>65</v>
      </c>
      <c r="AE16" s="329" t="s">
        <v>65</v>
      </c>
      <c r="AF16" s="33"/>
      <c r="AG16" s="6">
        <f t="shared" si="0"/>
        <v>0</v>
      </c>
      <c r="AH16" s="6">
        <f t="shared" si="1"/>
        <v>5</v>
      </c>
      <c r="AI16" s="6">
        <f t="shared" si="2"/>
        <v>0</v>
      </c>
      <c r="AJ16" s="6">
        <f t="shared" si="3"/>
        <v>10</v>
      </c>
      <c r="AK16" s="6">
        <f t="shared" si="4"/>
        <v>15</v>
      </c>
      <c r="AL16" s="6">
        <f t="shared" si="5"/>
        <v>10</v>
      </c>
      <c r="AM16" s="6">
        <f t="shared" si="6"/>
        <v>30</v>
      </c>
      <c r="AN16" s="6">
        <f t="shared" si="7"/>
        <v>70</v>
      </c>
      <c r="AO16" s="6">
        <f t="shared" si="8"/>
        <v>1</v>
      </c>
      <c r="AP16" s="331" t="str">
        <f t="shared" si="9"/>
        <v>70- disminuye 1</v>
      </c>
      <c r="AQ16" s="6">
        <f t="shared" si="10"/>
        <v>0</v>
      </c>
      <c r="AR16" s="331" t="str">
        <f>IF(AQ16&lt;=1,"Rara vez",VLOOKUP(AQ16,[29]Listas!$L$69:$M$73,2,0))</f>
        <v>Rara vez</v>
      </c>
      <c r="AS16" s="6">
        <f t="shared" si="11"/>
        <v>10</v>
      </c>
      <c r="AT16" s="331" t="str">
        <f t="shared" si="12"/>
        <v>Mayor</v>
      </c>
      <c r="AU16" s="331" t="str">
        <f>INDEX([29]Listas!$O$69:$Q$73,MATCH(AR16,[29]Listas!$M$69:$M$73,0),MATCH(AT16,[29]Listas!$O$67:$Q$67,0))</f>
        <v>10
BAJA</v>
      </c>
      <c r="AV16" s="330" t="s">
        <v>570</v>
      </c>
      <c r="AW16" s="2912" t="s">
        <v>1905</v>
      </c>
      <c r="AX16" s="2912" t="s">
        <v>363</v>
      </c>
      <c r="AY16" s="330" t="s">
        <v>28</v>
      </c>
      <c r="AZ16" s="2999" t="s">
        <v>2549</v>
      </c>
      <c r="BA16" s="2999" t="s">
        <v>2550</v>
      </c>
      <c r="BB16" s="573">
        <v>0.99099999999999999</v>
      </c>
      <c r="BC16" s="3003" t="s">
        <v>4046</v>
      </c>
      <c r="BD16" s="12" t="s">
        <v>3573</v>
      </c>
      <c r="BE16" s="839" t="s">
        <v>36</v>
      </c>
      <c r="BF16" s="12"/>
      <c r="BG16" s="998"/>
      <c r="BH16" s="999"/>
      <c r="BI16" s="227"/>
      <c r="BJ16" s="839"/>
      <c r="BK16" s="228"/>
      <c r="BL16" s="228"/>
    </row>
    <row r="17" spans="1:64" s="3" customFormat="1" ht="108" customHeight="1">
      <c r="A17" s="332"/>
      <c r="B17" s="2912" t="s">
        <v>874</v>
      </c>
      <c r="C17" s="2912"/>
      <c r="D17" s="2912"/>
      <c r="E17" s="2912"/>
      <c r="F17" s="3005"/>
      <c r="G17" s="3005"/>
      <c r="H17" s="3005"/>
      <c r="I17" s="2912"/>
      <c r="J17" s="2912"/>
      <c r="K17" s="2912"/>
      <c r="L17" s="330" t="s">
        <v>283</v>
      </c>
      <c r="M17" s="50" t="s">
        <v>270</v>
      </c>
      <c r="N17" s="32"/>
      <c r="O17" s="6">
        <f>VLOOKUP(L17,[29]Listas!$M$69:$N$73,2,0)</f>
        <v>1</v>
      </c>
      <c r="P17" s="6"/>
      <c r="Q17" s="6">
        <f>HLOOKUP(M17,[29]Listas!$O$67:$Q$68,2,0)</f>
        <v>10</v>
      </c>
      <c r="R17" s="331" t="str">
        <f>INDEX([29]Listas!$O$69:$Q$73,MATCH(L17,[29]Listas!$M$69:$M$73,0),MATCH(M17,[29]Listas!$O$67:$Q$67,0))</f>
        <v>10
BAJA</v>
      </c>
      <c r="S17" s="2912"/>
      <c r="T17" s="2912"/>
      <c r="U17" s="2912"/>
      <c r="V17" s="329" t="s">
        <v>65</v>
      </c>
      <c r="W17" s="329" t="s">
        <v>36</v>
      </c>
      <c r="X17" s="329" t="s">
        <v>36</v>
      </c>
      <c r="Y17" s="329" t="s">
        <v>36</v>
      </c>
      <c r="Z17" s="329" t="s">
        <v>65</v>
      </c>
      <c r="AA17" s="329" t="s">
        <v>36</v>
      </c>
      <c r="AB17" s="329" t="s">
        <v>65</v>
      </c>
      <c r="AC17" s="329" t="s">
        <v>65</v>
      </c>
      <c r="AD17" s="329" t="s">
        <v>65</v>
      </c>
      <c r="AE17" s="329" t="s">
        <v>65</v>
      </c>
      <c r="AF17" s="33"/>
      <c r="AG17" s="6">
        <f>IF(Y17="SI",15,0)</f>
        <v>0</v>
      </c>
      <c r="AH17" s="6">
        <f>IF(Z17="SI",5,0)</f>
        <v>5</v>
      </c>
      <c r="AI17" s="6">
        <f>IF(AA17="SI",15,0)</f>
        <v>0</v>
      </c>
      <c r="AJ17" s="6">
        <f>IF(AB17="SI",10,0)</f>
        <v>10</v>
      </c>
      <c r="AK17" s="6">
        <f>IF(AC17="SI",15,0)</f>
        <v>15</v>
      </c>
      <c r="AL17" s="6">
        <f>IF(AD17="SI",10,0)</f>
        <v>10</v>
      </c>
      <c r="AM17" s="6">
        <f>IF(AE17="SI",30,0)</f>
        <v>30</v>
      </c>
      <c r="AN17" s="6">
        <f>SUM(AG17+AH17+AI17+AJ17+AK17+AL17+AM17)</f>
        <v>70</v>
      </c>
      <c r="AO17" s="6">
        <f>IF(AN17&lt;=50,0,IF(AN17&gt;=76,2,1))</f>
        <v>1</v>
      </c>
      <c r="AP17" s="331" t="str">
        <f>CONCATENATE(AN17,"- disminuye ",AO17)</f>
        <v>70- disminuye 1</v>
      </c>
      <c r="AQ17" s="6">
        <f>IF(V17="SI",O17-AO17,O17)</f>
        <v>0</v>
      </c>
      <c r="AR17" s="331" t="str">
        <f>IF(AQ17&lt;=1,"Rara vez",VLOOKUP(AQ17,[29]Listas!$L$69:$M$73,2,0))</f>
        <v>Rara vez</v>
      </c>
      <c r="AS17" s="6">
        <f>IF(W17="SI",Q17-AO17,Q17)</f>
        <v>10</v>
      </c>
      <c r="AT17" s="331" t="str">
        <f>IF(AS17&lt;=9,"Moderado",IF(AS17=20,"Catastrófico",IF(AS17=18,"Moderado","Mayor")))</f>
        <v>Mayor</v>
      </c>
      <c r="AU17" s="331" t="str">
        <f>INDEX([29]Listas!$O$69:$Q$73,MATCH(AR17,[29]Listas!$M$69:$M$73,0),MATCH(AT17,[29]Listas!$O$67:$Q$67,0))</f>
        <v>10
BAJA</v>
      </c>
      <c r="AV17" s="330" t="s">
        <v>570</v>
      </c>
      <c r="AW17" s="2912"/>
      <c r="AX17" s="2912"/>
      <c r="AY17" s="330" t="s">
        <v>47</v>
      </c>
      <c r="AZ17" s="3000"/>
      <c r="BA17" s="3000"/>
      <c r="BB17" s="573">
        <v>0.99099999999999999</v>
      </c>
      <c r="BC17" s="3004"/>
      <c r="BD17" s="12" t="s">
        <v>3573</v>
      </c>
      <c r="BE17" s="839" t="s">
        <v>36</v>
      </c>
      <c r="BF17" s="12"/>
      <c r="BG17" s="12"/>
      <c r="BH17" s="227"/>
      <c r="BI17" s="227"/>
      <c r="BJ17" s="839"/>
      <c r="BK17" s="228"/>
      <c r="BL17" s="228"/>
    </row>
    <row r="18" spans="1:64" s="3" customFormat="1" ht="108" customHeight="1">
      <c r="A18" s="332"/>
      <c r="B18" s="2912" t="s">
        <v>875</v>
      </c>
      <c r="C18" s="2912"/>
      <c r="D18" s="2912"/>
      <c r="E18" s="2912" t="s">
        <v>364</v>
      </c>
      <c r="F18" s="3005" t="s">
        <v>404</v>
      </c>
      <c r="G18" s="3005"/>
      <c r="H18" s="3005"/>
      <c r="I18" s="2912" t="s">
        <v>365</v>
      </c>
      <c r="J18" s="2912"/>
      <c r="K18" s="2912"/>
      <c r="L18" s="330" t="s">
        <v>37</v>
      </c>
      <c r="M18" s="50" t="s">
        <v>270</v>
      </c>
      <c r="N18" s="32"/>
      <c r="O18" s="6">
        <f>VLOOKUP(L18,[29]Listas!$M$69:$N$73,2,0)</f>
        <v>5</v>
      </c>
      <c r="P18" s="6"/>
      <c r="Q18" s="6">
        <f>HLOOKUP(M18,[29]Listas!$O$67:$Q$68,2,0)</f>
        <v>10</v>
      </c>
      <c r="R18" s="331" t="str">
        <f>INDEX([29]Listas!$O$69:$Q$73,MATCH(L18,[29]Listas!$M$69:$M$73,0),MATCH(M18,[29]Listas!$O$67:$Q$67,0))</f>
        <v>50
ALTA</v>
      </c>
      <c r="S18" s="2912" t="s">
        <v>405</v>
      </c>
      <c r="T18" s="2912"/>
      <c r="U18" s="2912"/>
      <c r="V18" s="329" t="s">
        <v>65</v>
      </c>
      <c r="W18" s="329" t="s">
        <v>36</v>
      </c>
      <c r="X18" s="329" t="s">
        <v>36</v>
      </c>
      <c r="Y18" s="329" t="s">
        <v>36</v>
      </c>
      <c r="Z18" s="329" t="s">
        <v>65</v>
      </c>
      <c r="AA18" s="329" t="s">
        <v>36</v>
      </c>
      <c r="AB18" s="329" t="s">
        <v>65</v>
      </c>
      <c r="AC18" s="329" t="s">
        <v>65</v>
      </c>
      <c r="AD18" s="329" t="s">
        <v>65</v>
      </c>
      <c r="AE18" s="329" t="s">
        <v>65</v>
      </c>
      <c r="AF18" s="33"/>
      <c r="AG18" s="6">
        <f t="shared" si="0"/>
        <v>0</v>
      </c>
      <c r="AH18" s="6">
        <f t="shared" si="1"/>
        <v>5</v>
      </c>
      <c r="AI18" s="6">
        <f t="shared" si="2"/>
        <v>0</v>
      </c>
      <c r="AJ18" s="6">
        <f t="shared" si="3"/>
        <v>10</v>
      </c>
      <c r="AK18" s="6">
        <f t="shared" si="4"/>
        <v>15</v>
      </c>
      <c r="AL18" s="6">
        <f t="shared" si="5"/>
        <v>10</v>
      </c>
      <c r="AM18" s="6">
        <f t="shared" si="6"/>
        <v>30</v>
      </c>
      <c r="AN18" s="6">
        <f t="shared" si="7"/>
        <v>70</v>
      </c>
      <c r="AO18" s="6">
        <f t="shared" si="8"/>
        <v>1</v>
      </c>
      <c r="AP18" s="331" t="str">
        <f t="shared" si="9"/>
        <v>70- disminuye 1</v>
      </c>
      <c r="AQ18" s="6">
        <f t="shared" si="10"/>
        <v>4</v>
      </c>
      <c r="AR18" s="331" t="str">
        <f>IF(AQ18&lt;=1,"Rara vez",VLOOKUP(AQ18,[29]Listas!$L$69:$M$73,2,0))</f>
        <v>Probable</v>
      </c>
      <c r="AS18" s="6">
        <f t="shared" si="11"/>
        <v>10</v>
      </c>
      <c r="AT18" s="331" t="str">
        <f t="shared" si="12"/>
        <v>Mayor</v>
      </c>
      <c r="AU18" s="331" t="str">
        <f>INDEX([29]Listas!$O$69:$Q$73,MATCH(AR18,[29]Listas!$M$69:$M$73,0),MATCH(AT18,[29]Listas!$O$67:$Q$67,0))</f>
        <v>40
ALTA</v>
      </c>
      <c r="AV18" s="330" t="s">
        <v>570</v>
      </c>
      <c r="AW18" s="2912" t="s">
        <v>1906</v>
      </c>
      <c r="AX18" s="2912" t="s">
        <v>366</v>
      </c>
      <c r="AY18" s="330" t="s">
        <v>28</v>
      </c>
      <c r="AZ18" s="12" t="s">
        <v>2551</v>
      </c>
      <c r="BA18" s="3001" t="s">
        <v>2552</v>
      </c>
      <c r="BB18" s="3003">
        <v>100</v>
      </c>
      <c r="BC18" s="3003" t="s">
        <v>3575</v>
      </c>
      <c r="BD18" s="12" t="s">
        <v>3576</v>
      </c>
      <c r="BE18" s="839" t="s">
        <v>36</v>
      </c>
      <c r="BF18" s="12"/>
      <c r="BG18" s="12"/>
      <c r="BH18" s="227"/>
      <c r="BI18" s="227"/>
      <c r="BJ18" s="839"/>
      <c r="BK18" s="228"/>
      <c r="BL18" s="228"/>
    </row>
    <row r="19" spans="1:64" s="3" customFormat="1" ht="108" customHeight="1">
      <c r="A19" s="332"/>
      <c r="B19" s="2912" t="s">
        <v>876</v>
      </c>
      <c r="C19" s="2912"/>
      <c r="D19" s="2912"/>
      <c r="E19" s="2912"/>
      <c r="F19" s="3005"/>
      <c r="G19" s="3005"/>
      <c r="H19" s="3005"/>
      <c r="I19" s="2912"/>
      <c r="J19" s="2912"/>
      <c r="K19" s="2912"/>
      <c r="L19" s="330" t="s">
        <v>37</v>
      </c>
      <c r="M19" s="50" t="s">
        <v>270</v>
      </c>
      <c r="N19" s="32"/>
      <c r="O19" s="6">
        <f>VLOOKUP(L19,[29]Listas!$M$69:$N$73,2,0)</f>
        <v>5</v>
      </c>
      <c r="P19" s="6"/>
      <c r="Q19" s="6">
        <f>HLOOKUP(M19,[29]Listas!$O$67:$Q$68,2,0)</f>
        <v>10</v>
      </c>
      <c r="R19" s="331" t="str">
        <f>INDEX([29]Listas!$O$69:$Q$73,MATCH(L19,[29]Listas!$M$69:$M$73,0),MATCH(M19,[29]Listas!$O$67:$Q$67,0))</f>
        <v>50
ALTA</v>
      </c>
      <c r="S19" s="2912"/>
      <c r="T19" s="2912"/>
      <c r="U19" s="2912"/>
      <c r="V19" s="329" t="s">
        <v>65</v>
      </c>
      <c r="W19" s="329" t="s">
        <v>36</v>
      </c>
      <c r="X19" s="329" t="s">
        <v>36</v>
      </c>
      <c r="Y19" s="329" t="s">
        <v>36</v>
      </c>
      <c r="Z19" s="329" t="s">
        <v>65</v>
      </c>
      <c r="AA19" s="329" t="s">
        <v>36</v>
      </c>
      <c r="AB19" s="329" t="s">
        <v>65</v>
      </c>
      <c r="AC19" s="329" t="s">
        <v>65</v>
      </c>
      <c r="AD19" s="329" t="s">
        <v>65</v>
      </c>
      <c r="AE19" s="329" t="s">
        <v>65</v>
      </c>
      <c r="AF19" s="33"/>
      <c r="AG19" s="6">
        <f t="shared" si="0"/>
        <v>0</v>
      </c>
      <c r="AH19" s="6">
        <f t="shared" si="1"/>
        <v>5</v>
      </c>
      <c r="AI19" s="6">
        <f t="shared" si="2"/>
        <v>0</v>
      </c>
      <c r="AJ19" s="6">
        <f t="shared" si="3"/>
        <v>10</v>
      </c>
      <c r="AK19" s="6">
        <f t="shared" si="4"/>
        <v>15</v>
      </c>
      <c r="AL19" s="6">
        <f t="shared" si="5"/>
        <v>10</v>
      </c>
      <c r="AM19" s="6">
        <f t="shared" si="6"/>
        <v>30</v>
      </c>
      <c r="AN19" s="6">
        <f t="shared" si="7"/>
        <v>70</v>
      </c>
      <c r="AO19" s="6">
        <f t="shared" si="8"/>
        <v>1</v>
      </c>
      <c r="AP19" s="331" t="str">
        <f t="shared" si="9"/>
        <v>70- disminuye 1</v>
      </c>
      <c r="AQ19" s="6">
        <f t="shared" si="10"/>
        <v>4</v>
      </c>
      <c r="AR19" s="331" t="str">
        <f>IF(AQ19&lt;=1,"Rara vez",VLOOKUP(AQ19,[29]Listas!$L$69:$M$73,2,0))</f>
        <v>Probable</v>
      </c>
      <c r="AS19" s="6">
        <f t="shared" si="11"/>
        <v>10</v>
      </c>
      <c r="AT19" s="331" t="str">
        <f t="shared" si="12"/>
        <v>Mayor</v>
      </c>
      <c r="AU19" s="331" t="str">
        <f>INDEX([29]Listas!$O$69:$Q$73,MATCH(AR19,[29]Listas!$M$69:$M$73,0),MATCH(AT19,[29]Listas!$O$67:$Q$67,0))</f>
        <v>40
ALTA</v>
      </c>
      <c r="AV19" s="330" t="s">
        <v>570</v>
      </c>
      <c r="AW19" s="2912"/>
      <c r="AX19" s="2912"/>
      <c r="AY19" s="330" t="s">
        <v>99</v>
      </c>
      <c r="AZ19" s="12" t="s">
        <v>2553</v>
      </c>
      <c r="BA19" s="3002"/>
      <c r="BB19" s="3004"/>
      <c r="BC19" s="3004"/>
      <c r="BD19" s="12" t="s">
        <v>3573</v>
      </c>
      <c r="BE19" s="839" t="s">
        <v>36</v>
      </c>
      <c r="BF19" s="12"/>
      <c r="BG19" s="12"/>
      <c r="BH19" s="227"/>
      <c r="BI19" s="227"/>
      <c r="BJ19" s="839"/>
      <c r="BK19" s="228"/>
      <c r="BL19" s="228"/>
    </row>
    <row r="20" spans="1:64" s="3" customFormat="1" ht="108" hidden="1" customHeight="1">
      <c r="A20" s="332"/>
      <c r="B20" s="826"/>
      <c r="C20" s="827"/>
      <c r="D20" s="828"/>
      <c r="E20" s="843"/>
      <c r="F20" s="830"/>
      <c r="G20" s="831"/>
      <c r="H20" s="832"/>
      <c r="I20" s="826"/>
      <c r="J20" s="827"/>
      <c r="K20" s="828"/>
      <c r="L20" s="330"/>
      <c r="M20" s="50"/>
      <c r="N20" s="32"/>
      <c r="O20" s="6" t="e">
        <f>VLOOKUP(L20,[29]Listas!$M$69:$N$73,2,0)</f>
        <v>#N/A</v>
      </c>
      <c r="P20" s="6"/>
      <c r="Q20" s="6" t="e">
        <f>HLOOKUP(M20,[29]Listas!$O$67:$Q$68,2,0)</f>
        <v>#N/A</v>
      </c>
      <c r="R20" s="331" t="e">
        <f>INDEX([29]Listas!$O$69:$Q$73,MATCH(L20,[29]Listas!$M$69:$M$73,0),MATCH(M20,[29]Listas!$O$67:$Q$67,0))</f>
        <v>#N/A</v>
      </c>
      <c r="S20" s="826"/>
      <c r="T20" s="827"/>
      <c r="U20" s="828"/>
      <c r="V20" s="329"/>
      <c r="W20" s="329"/>
      <c r="X20" s="329"/>
      <c r="Y20" s="329"/>
      <c r="Z20" s="329"/>
      <c r="AA20" s="329"/>
      <c r="AB20" s="329"/>
      <c r="AC20" s="329"/>
      <c r="AD20" s="329"/>
      <c r="AE20" s="329"/>
      <c r="AF20" s="33"/>
      <c r="AG20" s="6">
        <f>IF(Y20="SI",15,0)</f>
        <v>0</v>
      </c>
      <c r="AH20" s="6">
        <f>IF(Z20="SI",5,0)</f>
        <v>0</v>
      </c>
      <c r="AI20" s="6">
        <f>IF(AA20="SI",15,0)</f>
        <v>0</v>
      </c>
      <c r="AJ20" s="6">
        <f>IF(AB20="SI",10,0)</f>
        <v>0</v>
      </c>
      <c r="AK20" s="6">
        <f>IF(AC20="SI",15,0)</f>
        <v>0</v>
      </c>
      <c r="AL20" s="6">
        <f>IF(AD20="SI",10,0)</f>
        <v>0</v>
      </c>
      <c r="AM20" s="6">
        <f>IF(AE20="SI",30,0)</f>
        <v>0</v>
      </c>
      <c r="AN20" s="6">
        <f>SUM(AG20+AH20+AI20+AJ20+AK20+AL20+AM20)</f>
        <v>0</v>
      </c>
      <c r="AO20" s="6">
        <f>IF(AN20&lt;=50,0,IF(AN20&gt;=76,2,1))</f>
        <v>0</v>
      </c>
      <c r="AP20" s="331" t="str">
        <f>CONCATENATE(AN20,"- disminuye ",AO20)</f>
        <v>0- disminuye 0</v>
      </c>
      <c r="AQ20" s="6" t="e">
        <f>IF(V20="SI",O20-AO20,O20)</f>
        <v>#N/A</v>
      </c>
      <c r="AR20" s="331" t="e">
        <f>IF(AQ20&lt;=1,"Rara vez",VLOOKUP(AQ20,[29]Listas!$L$69:$M$73,2,0))</f>
        <v>#N/A</v>
      </c>
      <c r="AS20" s="6" t="e">
        <f>IF(W20="SI",Q20-AO20,Q20)</f>
        <v>#N/A</v>
      </c>
      <c r="AT20" s="331" t="e">
        <f>IF(AS20&lt;=9,"Moderado",IF(AS20=20,"Catastrófico",IF(AS20=18,"Moderado","Mayor")))</f>
        <v>#N/A</v>
      </c>
      <c r="AU20" s="331" t="e">
        <f>INDEX([29]Listas!$O$69:$Q$73,MATCH(AR20,[29]Listas!$M$69:$M$73,0),MATCH(AT20,[29]Listas!$O$67:$Q$67,0))</f>
        <v>#N/A</v>
      </c>
      <c r="AV20" s="330"/>
      <c r="AW20" s="826"/>
      <c r="AX20" s="843"/>
      <c r="AY20" s="843"/>
      <c r="AZ20" s="12"/>
      <c r="BA20" s="12"/>
      <c r="BB20" s="839"/>
      <c r="BC20" s="12"/>
      <c r="BD20" s="12" t="s">
        <v>2343</v>
      </c>
      <c r="BE20" s="839"/>
      <c r="BF20" s="12"/>
      <c r="BG20" s="12"/>
      <c r="BH20" s="227"/>
      <c r="BI20" s="227"/>
      <c r="BJ20" s="839"/>
      <c r="BK20" s="228"/>
      <c r="BL20" s="228"/>
    </row>
    <row r="21" spans="1:64" s="3" customFormat="1" ht="108" hidden="1" customHeight="1">
      <c r="A21" s="332"/>
      <c r="B21" s="826"/>
      <c r="C21" s="827"/>
      <c r="D21" s="828"/>
      <c r="E21" s="843"/>
      <c r="F21" s="830"/>
      <c r="G21" s="831"/>
      <c r="H21" s="832"/>
      <c r="I21" s="826"/>
      <c r="J21" s="827"/>
      <c r="K21" s="828"/>
      <c r="L21" s="330"/>
      <c r="M21" s="50"/>
      <c r="N21" s="32"/>
      <c r="O21" s="6" t="e">
        <f>VLOOKUP(L21,[29]Listas!$M$69:$N$73,2,0)</f>
        <v>#N/A</v>
      </c>
      <c r="P21" s="6"/>
      <c r="Q21" s="6" t="e">
        <f>HLOOKUP(M21,[29]Listas!$O$67:$Q$68,2,0)</f>
        <v>#N/A</v>
      </c>
      <c r="R21" s="331" t="e">
        <f>INDEX([29]Listas!$O$69:$Q$73,MATCH(L21,[29]Listas!$M$69:$M$73,0),MATCH(M21,[29]Listas!$O$67:$Q$67,0))</f>
        <v>#N/A</v>
      </c>
      <c r="S21" s="826"/>
      <c r="T21" s="827"/>
      <c r="U21" s="828"/>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vez",VLOOKUP(AQ21,[29]Listas!$L$69:$M$73,2,0))</f>
        <v>#N/A</v>
      </c>
      <c r="AS21" s="6" t="e">
        <f t="shared" si="11"/>
        <v>#N/A</v>
      </c>
      <c r="AT21" s="331" t="e">
        <f t="shared" si="12"/>
        <v>#N/A</v>
      </c>
      <c r="AU21" s="331" t="e">
        <f>INDEX([29]Listas!$O$69:$Q$73,MATCH(AR21,[29]Listas!$M$69:$M$73,0),MATCH(AT21,[29]Listas!$O$67:$Q$67,0))</f>
        <v>#N/A</v>
      </c>
      <c r="AV21" s="330"/>
      <c r="AW21" s="826"/>
      <c r="AX21" s="843"/>
      <c r="AY21" s="843"/>
      <c r="AZ21" s="12"/>
      <c r="BA21" s="12"/>
      <c r="BB21" s="839"/>
      <c r="BC21" s="12"/>
      <c r="BD21" s="12" t="s">
        <v>2343</v>
      </c>
      <c r="BE21" s="839"/>
      <c r="BF21" s="12"/>
      <c r="BG21" s="12"/>
      <c r="BH21" s="227"/>
      <c r="BI21" s="227"/>
      <c r="BJ21" s="839"/>
      <c r="BK21" s="228"/>
      <c r="BL21" s="228"/>
    </row>
    <row r="22" spans="1:64" ht="6.75" customHeight="1">
      <c r="A22" s="2"/>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1:64" ht="15" customHeight="1">
      <c r="A23" s="317"/>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1:64" s="22" customFormat="1" ht="19.5" customHeight="1">
      <c r="A24" s="10"/>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4" t="s">
        <v>172</v>
      </c>
      <c r="AS24" s="2804"/>
      <c r="AT24" s="2804"/>
      <c r="AU24" s="2804"/>
      <c r="AV24" s="2804"/>
      <c r="AW24" s="2804"/>
      <c r="AX24" s="65"/>
      <c r="AY24" s="65"/>
      <c r="AZ24" s="68"/>
      <c r="BA24" s="68"/>
      <c r="BB24" s="92"/>
      <c r="BC24" s="68"/>
      <c r="BD24" s="68"/>
      <c r="BE24" s="92"/>
      <c r="BF24" s="68"/>
      <c r="BG24" s="68"/>
      <c r="BH24" s="230"/>
      <c r="BI24" s="230"/>
      <c r="BJ24" s="92"/>
      <c r="BK24" s="210"/>
      <c r="BL24" s="210"/>
    </row>
    <row r="25" spans="1:64" s="22" customFormat="1" ht="25.5" customHeight="1">
      <c r="A25" s="11"/>
      <c r="B25" s="2794" t="s">
        <v>28</v>
      </c>
      <c r="C25" s="2795"/>
      <c r="D25" s="2795"/>
      <c r="E25" s="2795"/>
      <c r="F25" s="2795"/>
      <c r="G25" s="2795"/>
      <c r="H25" s="2796"/>
      <c r="I25" s="2797" t="s">
        <v>771</v>
      </c>
      <c r="J25" s="2798"/>
      <c r="K25" s="2798"/>
      <c r="L25" s="2798"/>
      <c r="M25" s="2798"/>
      <c r="N25" s="2798"/>
      <c r="O25" s="2798"/>
      <c r="P25" s="2798"/>
      <c r="Q25" s="2798"/>
      <c r="R25" s="2798"/>
      <c r="S25" s="2798"/>
      <c r="T25" s="2798"/>
      <c r="U25" s="2799"/>
      <c r="V25" s="2794" t="s">
        <v>772</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68"/>
      <c r="BA25" s="68"/>
      <c r="BB25" s="92"/>
      <c r="BC25" s="68"/>
      <c r="BD25" s="68"/>
      <c r="BE25" s="92"/>
      <c r="BF25" s="68"/>
      <c r="BG25" s="68"/>
      <c r="BH25" s="230"/>
      <c r="BI25" s="230"/>
      <c r="BJ25" s="92"/>
      <c r="BK25" s="210"/>
      <c r="BL25" s="210"/>
    </row>
    <row r="26" spans="1:64" s="22" customFormat="1" ht="25.5" customHeight="1">
      <c r="A26" s="11"/>
      <c r="B26" s="2794" t="s">
        <v>199</v>
      </c>
      <c r="C26" s="2795"/>
      <c r="D26" s="2795"/>
      <c r="E26" s="2795"/>
      <c r="F26" s="2795"/>
      <c r="G26" s="2795"/>
      <c r="H26" s="2796"/>
      <c r="I26" s="2797" t="s">
        <v>1487</v>
      </c>
      <c r="J26" s="2798"/>
      <c r="K26" s="2798"/>
      <c r="L26" s="2798"/>
      <c r="M26" s="2798"/>
      <c r="N26" s="2798"/>
      <c r="O26" s="2798"/>
      <c r="P26" s="2798"/>
      <c r="Q26" s="2798"/>
      <c r="R26" s="2798"/>
      <c r="S26" s="2798"/>
      <c r="T26" s="2798"/>
      <c r="U26" s="2799"/>
      <c r="V26" s="2794" t="s">
        <v>1570</v>
      </c>
      <c r="W26" s="2795"/>
      <c r="X26" s="2795"/>
      <c r="Y26" s="2795"/>
      <c r="Z26" s="2795"/>
      <c r="AA26" s="2795"/>
      <c r="AB26" s="2795"/>
      <c r="AC26" s="2795"/>
      <c r="AD26" s="2795"/>
      <c r="AE26" s="2795"/>
      <c r="AF26" s="2795"/>
      <c r="AG26" s="2795"/>
      <c r="AH26" s="2795"/>
      <c r="AI26" s="2795"/>
      <c r="AJ26" s="2795"/>
      <c r="AK26" s="2795"/>
      <c r="AL26" s="2795"/>
      <c r="AM26" s="2795"/>
      <c r="AN26" s="2795"/>
      <c r="AO26" s="2795"/>
      <c r="AP26" s="2796"/>
      <c r="AQ26" s="12"/>
      <c r="AR26" s="2800"/>
      <c r="AS26" s="2800"/>
      <c r="AT26" s="2800"/>
      <c r="AU26" s="2800"/>
      <c r="AV26" s="2800"/>
      <c r="AW26" s="2800"/>
      <c r="AX26" s="65"/>
      <c r="AY26" s="65"/>
      <c r="AZ26" s="68"/>
      <c r="BA26" s="68"/>
      <c r="BB26" s="92"/>
      <c r="BC26" s="68"/>
      <c r="BD26" s="68"/>
      <c r="BE26" s="92"/>
      <c r="BF26" s="68"/>
      <c r="BG26" s="68"/>
      <c r="BH26" s="230"/>
      <c r="BI26" s="230"/>
      <c r="BJ26" s="92"/>
      <c r="BK26" s="210"/>
      <c r="BL26" s="210"/>
    </row>
    <row r="27" spans="1:64" ht="25.5" customHeight="1">
      <c r="A27" s="11"/>
      <c r="B27" s="2794" t="s">
        <v>198</v>
      </c>
      <c r="C27" s="2795"/>
      <c r="D27" s="2795"/>
      <c r="E27" s="2795"/>
      <c r="F27" s="2795"/>
      <c r="G27" s="2795"/>
      <c r="H27" s="2796"/>
      <c r="I27" s="2797" t="s">
        <v>3571</v>
      </c>
      <c r="J27" s="2798"/>
      <c r="K27" s="2798"/>
      <c r="L27" s="2798"/>
      <c r="M27" s="2798"/>
      <c r="N27" s="2798"/>
      <c r="O27" s="2798"/>
      <c r="P27" s="2798"/>
      <c r="Q27" s="2798"/>
      <c r="R27" s="2798"/>
      <c r="S27" s="2798"/>
      <c r="T27" s="2798"/>
      <c r="U27" s="2799"/>
      <c r="V27" s="2794" t="s">
        <v>3572</v>
      </c>
      <c r="W27" s="2795"/>
      <c r="X27" s="2795"/>
      <c r="Y27" s="2795"/>
      <c r="Z27" s="2795"/>
      <c r="AA27" s="2795"/>
      <c r="AB27" s="2795"/>
      <c r="AC27" s="2795"/>
      <c r="AD27" s="2795"/>
      <c r="AE27" s="2795"/>
      <c r="AF27" s="2795"/>
      <c r="AG27" s="2795"/>
      <c r="AH27" s="2795"/>
      <c r="AI27" s="2795"/>
      <c r="AJ27" s="2795"/>
      <c r="AK27" s="2795"/>
      <c r="AL27" s="2795"/>
      <c r="AM27" s="2795"/>
      <c r="AN27" s="2795"/>
      <c r="AO27" s="2795"/>
      <c r="AP27" s="2796"/>
      <c r="AQ27" s="12"/>
      <c r="AR27" s="2800"/>
      <c r="AS27" s="2800"/>
      <c r="AT27" s="2800"/>
      <c r="AU27" s="2800"/>
      <c r="AV27" s="2800"/>
      <c r="AW27" s="2800"/>
      <c r="AX27" s="65"/>
      <c r="AY27" s="65"/>
      <c r="AZ27" s="68"/>
      <c r="BA27" s="68"/>
      <c r="BB27" s="92"/>
      <c r="BC27" s="68"/>
      <c r="BD27" s="68"/>
      <c r="BE27" s="92"/>
      <c r="BF27" s="68"/>
      <c r="BG27" s="68"/>
      <c r="BH27" s="230"/>
      <c r="BI27" s="230"/>
      <c r="BJ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2">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2">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2">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2">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2">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2">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2">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2">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2">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2">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2">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2">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2">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1:62">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c r="AZ94" s="68"/>
      <c r="BA94" s="68"/>
      <c r="BB94" s="92"/>
      <c r="BC94" s="68"/>
      <c r="BD94" s="68"/>
      <c r="BE94" s="92"/>
      <c r="BF94" s="68"/>
      <c r="BG94" s="68"/>
      <c r="BH94" s="230"/>
      <c r="BI94" s="230"/>
      <c r="BJ94" s="92"/>
    </row>
    <row r="95" spans="1:62">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2">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1:64">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ht="11.25">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1:64" ht="11.25">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c r="AZ105" s="231"/>
      <c r="BA105" s="231"/>
      <c r="BB105" s="231"/>
      <c r="BC105" s="231"/>
      <c r="BD105" s="231"/>
      <c r="BE105" s="231"/>
      <c r="BF105" s="231"/>
      <c r="BG105" s="231"/>
      <c r="BH105" s="231"/>
      <c r="BI105" s="231"/>
      <c r="BJ105" s="231"/>
      <c r="BK105" s="231"/>
      <c r="BL105" s="231"/>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1:49">
      <c r="A119" s="13"/>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row r="120" spans="1:49">
      <c r="A120" s="13"/>
      <c r="B120" s="13"/>
      <c r="C120" s="13"/>
      <c r="D120" s="13"/>
      <c r="E120" s="14"/>
      <c r="F120" s="13"/>
      <c r="G120" s="13"/>
      <c r="H120" s="13"/>
      <c r="I120" s="13"/>
      <c r="J120" s="13"/>
      <c r="K120" s="13"/>
      <c r="L120" s="15"/>
      <c r="M120" s="15"/>
      <c r="N120" s="15"/>
      <c r="O120" s="15"/>
      <c r="P120" s="15"/>
      <c r="Q120" s="15"/>
      <c r="R120" s="15"/>
      <c r="S120" s="15"/>
      <c r="T120" s="15"/>
      <c r="U120" s="15"/>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5"/>
      <c r="AW120" s="15"/>
    </row>
  </sheetData>
  <sheetProtection formatCells="0" formatColumns="0" formatRows="0" insertRows="0" deleteRows="0" sort="0" autoFilter="0" pivotTables="0"/>
  <mergeCells count="92">
    <mergeCell ref="A1:AB1"/>
    <mergeCell ref="AC1:AU4"/>
    <mergeCell ref="BB1:BE1"/>
    <mergeCell ref="A2:AB2"/>
    <mergeCell ref="BB2:BC2"/>
    <mergeCell ref="BD2:BE2"/>
    <mergeCell ref="A3:D3"/>
    <mergeCell ref="E3:U3"/>
    <mergeCell ref="V3:AB3"/>
    <mergeCell ref="BB3:BC3"/>
    <mergeCell ref="AA6:BA6"/>
    <mergeCell ref="BD3:BE3"/>
    <mergeCell ref="A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I9:K9"/>
    <mergeCell ref="S9:U9"/>
    <mergeCell ref="B10:D10"/>
    <mergeCell ref="E10:E13"/>
    <mergeCell ref="F10:H13"/>
    <mergeCell ref="I10:K13"/>
    <mergeCell ref="S10:U13"/>
    <mergeCell ref="B11:D11"/>
    <mergeCell ref="B12:D12"/>
    <mergeCell ref="B13:D13"/>
    <mergeCell ref="B9:D9"/>
    <mergeCell ref="F9:H9"/>
    <mergeCell ref="AW10:AW13"/>
    <mergeCell ref="AX10:AX13"/>
    <mergeCell ref="BA10:BA13"/>
    <mergeCell ref="BB10:BB13"/>
    <mergeCell ref="BC10:BC13"/>
    <mergeCell ref="BA14:BA15"/>
    <mergeCell ref="B15:D15"/>
    <mergeCell ref="B16:D16"/>
    <mergeCell ref="E16:E17"/>
    <mergeCell ref="F16:H17"/>
    <mergeCell ref="I16:K17"/>
    <mergeCell ref="S16:U17"/>
    <mergeCell ref="AW16:AW17"/>
    <mergeCell ref="AX16:AX17"/>
    <mergeCell ref="AZ16:AZ17"/>
    <mergeCell ref="B14:D14"/>
    <mergeCell ref="E14:E15"/>
    <mergeCell ref="F14:H15"/>
    <mergeCell ref="I14:K15"/>
    <mergeCell ref="S14:U15"/>
    <mergeCell ref="AW14:AW15"/>
    <mergeCell ref="BC16:BC17"/>
    <mergeCell ref="B17:D17"/>
    <mergeCell ref="B18:D18"/>
    <mergeCell ref="E18:E19"/>
    <mergeCell ref="F18:H19"/>
    <mergeCell ref="I18:K19"/>
    <mergeCell ref="S18:U19"/>
    <mergeCell ref="AW18:AW19"/>
    <mergeCell ref="AX18:AX19"/>
    <mergeCell ref="BB18:BB19"/>
    <mergeCell ref="BC18:BC19"/>
    <mergeCell ref="B24:H24"/>
    <mergeCell ref="I24:U24"/>
    <mergeCell ref="V24:AP24"/>
    <mergeCell ref="AR24:AW24"/>
    <mergeCell ref="BA16:BA17"/>
    <mergeCell ref="BA18:BA19"/>
    <mergeCell ref="B19:D19"/>
    <mergeCell ref="B23:U23"/>
    <mergeCell ref="B27:H27"/>
    <mergeCell ref="I27:U27"/>
    <mergeCell ref="V27:AP27"/>
    <mergeCell ref="AR27:AW27"/>
    <mergeCell ref="B25:H25"/>
    <mergeCell ref="I25:U25"/>
    <mergeCell ref="V25:AP25"/>
    <mergeCell ref="AR25:AW25"/>
    <mergeCell ref="B26:H26"/>
    <mergeCell ref="I26:U26"/>
    <mergeCell ref="V26:AP26"/>
    <mergeCell ref="AR26:AW26"/>
  </mergeCells>
  <dataValidations count="8">
    <dataValidation type="list" allowBlank="1" showInputMessage="1" showErrorMessage="1" sqref="BE10:BE21">
      <formula1>Efectividad</formula1>
    </dataValidation>
    <dataValidation type="list" allowBlank="1" showInputMessage="1" sqref="AV10:AV21">
      <formula1>Periodo</formula1>
    </dataValidation>
    <dataValidation type="list" showInputMessage="1" showErrorMessage="1" sqref="V10:AF21">
      <formula1>Efectividad</formula1>
    </dataValidation>
    <dataValidation showInputMessage="1" showErrorMessage="1" sqref="AG10:AT21"/>
    <dataValidation type="list" allowBlank="1" showInputMessage="1" showErrorMessage="1" sqref="M10:N21">
      <formula1>Impacto</formula1>
    </dataValidation>
    <dataValidation type="list" showInputMessage="1" showErrorMessage="1" sqref="L10:L21">
      <formula1>Probabilidad</formula1>
    </dataValidation>
    <dataValidation type="list" sqref="BD4:BE4">
      <formula1>Monitoreo</formula1>
    </dataValidation>
    <dataValidation type="list" allowBlank="1" showInputMessage="1" showErrorMessage="1" sqref="L6">
      <formula1>Proceso</formula1>
    </dataValidation>
  </dataValidations>
  <printOptions verticalCentered="1"/>
  <pageMargins left="0.23622047244094491" right="0.23622047244094491" top="0.74803149606299213" bottom="0.35433070866141736" header="0.31496062992125984" footer="0.31496062992125984"/>
  <pageSetup paperSize="5" scale="80" fitToHeight="0" orientation="landscape" r:id="rId1"/>
  <headerFooter>
    <oddFooter>&amp;L&amp;"Segoe UI,Normal"&amp;9Formato: FO-AC-07 Versión: 3&amp;C&amp;"Segoe UI,Normal"&amp;9Página &amp;P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20"/>
  <sheetViews>
    <sheetView showGridLines="0" zoomScaleNormal="100" zoomScaleSheetLayoutView="115" workbookViewId="0">
      <selection sqref="A1:AB1"/>
    </sheetView>
  </sheetViews>
  <sheetFormatPr baseColWidth="10" defaultRowHeight="15"/>
  <cols>
    <col min="1" max="1" width="1.140625" style="16" customWidth="1"/>
    <col min="2" max="4" width="5.42578125" style="16" customWidth="1"/>
    <col min="5" max="5" width="7.28515625" style="17" customWidth="1"/>
    <col min="6" max="11" width="4.570312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0" width="7.140625" style="18" customWidth="1"/>
    <col min="21" max="21" width="17.710937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32.42578125" style="18" customWidth="1"/>
    <col min="50" max="50" width="21.85546875" style="21" customWidth="1"/>
    <col min="51" max="51" width="4.5703125" style="21" customWidth="1"/>
    <col min="52" max="52" width="23.140625" style="210" customWidth="1"/>
    <col min="53" max="53" width="33.28515625" style="210" customWidth="1"/>
    <col min="54" max="54" width="6.140625" style="210" customWidth="1"/>
    <col min="55" max="55" width="19.5703125" style="210" customWidth="1"/>
    <col min="56" max="56" width="42.7109375" style="210" customWidth="1"/>
    <col min="57" max="57" width="5.85546875" style="210" customWidth="1"/>
    <col min="58" max="58" width="31.5703125" style="210" customWidth="1"/>
    <col min="59" max="59" width="16.140625" style="210" customWidth="1"/>
    <col min="60" max="61" width="9.28515625" style="210" customWidth="1"/>
    <col min="62" max="62" width="11.140625" style="210" customWidth="1"/>
    <col min="63" max="63" width="2.140625" style="210" customWidth="1"/>
    <col min="64" max="64" width="11.42578125" style="210"/>
    <col min="65" max="16384" width="11.42578125" style="20"/>
  </cols>
  <sheetData>
    <row r="1" spans="1:64" ht="13.5" customHeight="1" thickTop="1">
      <c r="A1" s="3012" t="s">
        <v>137</v>
      </c>
      <c r="B1" s="3013"/>
      <c r="C1" s="3013"/>
      <c r="D1" s="3013"/>
      <c r="E1" s="3013"/>
      <c r="F1" s="3013"/>
      <c r="G1" s="3013"/>
      <c r="H1" s="3013"/>
      <c r="I1" s="3013"/>
      <c r="J1" s="3013"/>
      <c r="K1" s="3013"/>
      <c r="L1" s="3013"/>
      <c r="M1" s="3013"/>
      <c r="N1" s="3013"/>
      <c r="O1" s="3013"/>
      <c r="P1" s="3013"/>
      <c r="Q1" s="3013"/>
      <c r="R1" s="3013"/>
      <c r="S1" s="3013"/>
      <c r="T1" s="3013"/>
      <c r="U1" s="3013"/>
      <c r="V1" s="3013"/>
      <c r="W1" s="3013"/>
      <c r="X1" s="3013"/>
      <c r="Y1" s="3013"/>
      <c r="Z1" s="3013"/>
      <c r="AA1" s="3013"/>
      <c r="AB1" s="3014"/>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858" t="str">
        <f>UPPER([18]Control!A2)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22">
        <v>2019</v>
      </c>
      <c r="BA2" s="208"/>
      <c r="BB2" s="2830" t="s">
        <v>138</v>
      </c>
      <c r="BC2" s="2831"/>
      <c r="BD2" s="2861" t="str">
        <f>L6</f>
        <v>RECURSOS FÍSICOS</v>
      </c>
      <c r="BE2" s="2862"/>
      <c r="BF2" s="208"/>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1:64" ht="15.75" customHeight="1" thickBot="1">
      <c r="A4" s="2832" t="str">
        <f>[18]Control!A4</f>
        <v>FO-PE-05</v>
      </c>
      <c r="B4" s="2833"/>
      <c r="C4" s="2833"/>
      <c r="D4" s="2834"/>
      <c r="E4" s="2835" t="str">
        <f>[18]Control!C4</f>
        <v>Planeación Estratégica</v>
      </c>
      <c r="F4" s="2833"/>
      <c r="G4" s="2833"/>
      <c r="H4" s="2833"/>
      <c r="I4" s="2833"/>
      <c r="J4" s="2833"/>
      <c r="K4" s="2833"/>
      <c r="L4" s="2833"/>
      <c r="M4" s="2833"/>
      <c r="N4" s="2833"/>
      <c r="O4" s="2833"/>
      <c r="P4" s="2833"/>
      <c r="Q4" s="2833"/>
      <c r="R4" s="2833"/>
      <c r="S4" s="2833"/>
      <c r="T4" s="2833"/>
      <c r="U4" s="2834"/>
      <c r="V4" s="2835">
        <f>[18]Control!H4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232">
        <v>43434</v>
      </c>
      <c r="BA4" s="208"/>
      <c r="BB4" s="1240">
        <v>43713</v>
      </c>
      <c r="BC4" s="1241"/>
      <c r="BD4" s="2315" t="s">
        <v>4083</v>
      </c>
      <c r="BE4" s="1243"/>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842" t="s">
        <v>102</v>
      </c>
      <c r="M6" s="2843"/>
      <c r="N6" s="2843"/>
      <c r="O6" s="2843"/>
      <c r="P6" s="2843"/>
      <c r="Q6" s="2843"/>
      <c r="R6" s="2843"/>
      <c r="S6" s="2843"/>
      <c r="T6" s="2843"/>
      <c r="U6" s="2844"/>
      <c r="V6" s="2845" t="s">
        <v>59</v>
      </c>
      <c r="W6" s="2845"/>
      <c r="X6" s="2845"/>
      <c r="Y6" s="2845"/>
      <c r="Z6" s="2845"/>
      <c r="AA6" s="2928" t="s">
        <v>344</v>
      </c>
      <c r="AB6" s="2929"/>
      <c r="AC6" s="2929"/>
      <c r="AD6" s="2929"/>
      <c r="AE6" s="2929"/>
      <c r="AF6" s="2929"/>
      <c r="AG6" s="2929"/>
      <c r="AH6" s="2929"/>
      <c r="AI6" s="2929"/>
      <c r="AJ6" s="2929"/>
      <c r="AK6" s="2929"/>
      <c r="AL6" s="2929"/>
      <c r="AM6" s="2929"/>
      <c r="AN6" s="2929"/>
      <c r="AO6" s="2929"/>
      <c r="AP6" s="2929"/>
      <c r="AQ6" s="2929"/>
      <c r="AR6" s="2929"/>
      <c r="AS6" s="2929"/>
      <c r="AT6" s="2929"/>
      <c r="AU6" s="2929"/>
      <c r="AV6" s="2929"/>
      <c r="AW6" s="2929"/>
      <c r="AX6" s="2929"/>
      <c r="AY6" s="2929"/>
      <c r="AZ6" s="2929"/>
      <c r="BA6" s="2930"/>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564" t="s">
        <v>2331</v>
      </c>
      <c r="BE9" s="564" t="s">
        <v>2332</v>
      </c>
      <c r="BF9" s="406" t="s">
        <v>2333</v>
      </c>
      <c r="BG9" s="406" t="s">
        <v>2334</v>
      </c>
      <c r="BH9" s="406" t="s">
        <v>2335</v>
      </c>
      <c r="BI9" s="406" t="s">
        <v>2336</v>
      </c>
      <c r="BJ9" s="406" t="s">
        <v>2337</v>
      </c>
      <c r="BK9" s="225"/>
      <c r="BL9" s="102"/>
    </row>
    <row r="10" spans="1:64" s="3" customFormat="1" ht="228" customHeight="1">
      <c r="A10" s="332"/>
      <c r="B10" s="2928" t="s">
        <v>3131</v>
      </c>
      <c r="C10" s="2929"/>
      <c r="D10" s="2930"/>
      <c r="E10" s="843" t="s">
        <v>29</v>
      </c>
      <c r="F10" s="2925" t="s">
        <v>3132</v>
      </c>
      <c r="G10" s="2926"/>
      <c r="H10" s="2927"/>
      <c r="I10" s="2805" t="s">
        <v>945</v>
      </c>
      <c r="J10" s="2806"/>
      <c r="K10" s="2807"/>
      <c r="L10" s="330" t="s">
        <v>283</v>
      </c>
      <c r="M10" s="50" t="s">
        <v>270</v>
      </c>
      <c r="N10" s="32"/>
      <c r="O10" s="6">
        <f>VLOOKUP(L10,[18]Listas!$M$69:$N$73,2,0)</f>
        <v>1</v>
      </c>
      <c r="P10" s="6"/>
      <c r="Q10" s="6">
        <f>HLOOKUP(M10,[18]Listas!$O$67:$Q$68,2,0)</f>
        <v>10</v>
      </c>
      <c r="R10" s="331" t="str">
        <f>INDEX([18]Listas!$O$69:$Q$73,MATCH(L10,[18]Listas!$M$69:$M$73,0),MATCH(M10,[18]Listas!$O$67:$Q$67,0))</f>
        <v>10
BAJA</v>
      </c>
      <c r="S10" s="2928" t="s">
        <v>946</v>
      </c>
      <c r="T10" s="2929"/>
      <c r="U10" s="2930"/>
      <c r="V10" s="329" t="s">
        <v>65</v>
      </c>
      <c r="W10" s="329" t="s">
        <v>65</v>
      </c>
      <c r="X10" s="329" t="s">
        <v>65</v>
      </c>
      <c r="Y10" s="329" t="s">
        <v>65</v>
      </c>
      <c r="Z10" s="329" t="s">
        <v>65</v>
      </c>
      <c r="AA10" s="329" t="s">
        <v>36</v>
      </c>
      <c r="AB10" s="329" t="s">
        <v>65</v>
      </c>
      <c r="AC10" s="329" t="s">
        <v>65</v>
      </c>
      <c r="AD10" s="329" t="s">
        <v>65</v>
      </c>
      <c r="AE10" s="329" t="s">
        <v>65</v>
      </c>
      <c r="AF10" s="33"/>
      <c r="AG10" s="6">
        <f t="shared" ref="AG10:AG21" si="0">IF(Y10="SI",15,0)</f>
        <v>15</v>
      </c>
      <c r="AH10" s="6">
        <f t="shared" ref="AH10:AH21" si="1">IF(Z10="SI",5,0)</f>
        <v>5</v>
      </c>
      <c r="AI10" s="6">
        <f t="shared" ref="AI10:AI21" si="2">IF(AA10="SI",15,0)</f>
        <v>0</v>
      </c>
      <c r="AJ10" s="6">
        <f t="shared" ref="AJ10:AJ21" si="3">IF(AB10="SI",10,0)</f>
        <v>10</v>
      </c>
      <c r="AK10" s="6">
        <f t="shared" ref="AK10:AK21" si="4">IF(AC10="SI",15,0)</f>
        <v>15</v>
      </c>
      <c r="AL10" s="6">
        <f t="shared" ref="AL10:AL21" si="5">IF(AD10="SI",10,0)</f>
        <v>10</v>
      </c>
      <c r="AM10" s="6">
        <f t="shared" ref="AM10:AM21" si="6">IF(AE10="SI",30,0)</f>
        <v>30</v>
      </c>
      <c r="AN10" s="6">
        <f t="shared" ref="AN10:AN21" si="7">SUM(AG10+AH10+AI10+AJ10+AK10+AL10+AM10)</f>
        <v>85</v>
      </c>
      <c r="AO10" s="6">
        <f t="shared" ref="AO10:AO21" si="8">IF(AN10&lt;=50,0,IF(AN10&gt;=76,2,1))</f>
        <v>2</v>
      </c>
      <c r="AP10" s="331" t="str">
        <f t="shared" ref="AP10:AP21" si="9">CONCATENATE(AN10,"- disminuye ",AO10)</f>
        <v>85- disminuye 2</v>
      </c>
      <c r="AQ10" s="6">
        <f t="shared" ref="AQ10:AQ21" si="10">IF(V10="SI",O10-AO10,O10)</f>
        <v>-1</v>
      </c>
      <c r="AR10" s="331" t="str">
        <f>IF(AQ10&lt;=1,"Rara vez",VLOOKUP(AQ10,[18]Listas!$L$69:$M$73,2,0))</f>
        <v>Rara vez</v>
      </c>
      <c r="AS10" s="6">
        <f t="shared" ref="AS10:AS21" si="11">IF(W10="SI",Q10-AO10,Q10)</f>
        <v>8</v>
      </c>
      <c r="AT10" s="331" t="str">
        <f t="shared" ref="AT10:AT21" si="12">IF(AS10&lt;=9,"Moderado",IF(AS10=20,"Catastrófico",IF(AS10=18,"Moderado","Mayor")))</f>
        <v>Moderado</v>
      </c>
      <c r="AU10" s="331" t="str">
        <f>INDEX([18]Listas!$O$69:$Q$73,MATCH(AR10,[18]Listas!$M$69:$M$73,0),MATCH(AT10,[18]Listas!$O$67:$Q$67,0))</f>
        <v>5
BAJA</v>
      </c>
      <c r="AV10" s="330" t="s">
        <v>271</v>
      </c>
      <c r="AW10" s="845" t="s">
        <v>947</v>
      </c>
      <c r="AX10" s="405" t="s">
        <v>613</v>
      </c>
      <c r="AY10" s="843" t="s">
        <v>200</v>
      </c>
      <c r="AZ10" s="12" t="s">
        <v>3133</v>
      </c>
      <c r="BA10" s="12" t="s">
        <v>3505</v>
      </c>
      <c r="BB10" s="565">
        <v>0</v>
      </c>
      <c r="BC10" s="12" t="s">
        <v>3506</v>
      </c>
      <c r="BD10" s="72" t="s">
        <v>3507</v>
      </c>
      <c r="BE10" s="847" t="s">
        <v>36</v>
      </c>
      <c r="BF10" s="12"/>
      <c r="BG10" s="12"/>
      <c r="BH10" s="227"/>
      <c r="BI10" s="227"/>
      <c r="BJ10" s="839"/>
      <c r="BK10" s="228"/>
      <c r="BL10" s="228"/>
    </row>
    <row r="11" spans="1:64" s="3" customFormat="1" ht="220.5" customHeight="1">
      <c r="A11" s="332"/>
      <c r="B11" s="2928" t="s">
        <v>3134</v>
      </c>
      <c r="C11" s="2929"/>
      <c r="D11" s="2930"/>
      <c r="E11" s="843" t="s">
        <v>30</v>
      </c>
      <c r="F11" s="2925" t="s">
        <v>345</v>
      </c>
      <c r="G11" s="2926"/>
      <c r="H11" s="2927"/>
      <c r="I11" s="2805" t="s">
        <v>948</v>
      </c>
      <c r="J11" s="2806"/>
      <c r="K11" s="2807"/>
      <c r="L11" s="330" t="s">
        <v>283</v>
      </c>
      <c r="M11" s="50" t="s">
        <v>270</v>
      </c>
      <c r="N11" s="32"/>
      <c r="O11" s="6">
        <f>VLOOKUP(L11,[18]Listas!$M$69:$N$73,2,0)</f>
        <v>1</v>
      </c>
      <c r="P11" s="6"/>
      <c r="Q11" s="6">
        <f>HLOOKUP(M11,[18]Listas!$O$67:$Q$68,2,0)</f>
        <v>10</v>
      </c>
      <c r="R11" s="331" t="str">
        <f>INDEX([18]Listas!$O$69:$Q$73,MATCH(L11,[18]Listas!$M$69:$M$73,0),MATCH(M11,[18]Listas!$O$67:$Q$67,0))</f>
        <v>10
BAJA</v>
      </c>
      <c r="S11" s="2928" t="s">
        <v>3135</v>
      </c>
      <c r="T11" s="2929"/>
      <c r="U11" s="2930"/>
      <c r="V11" s="329" t="s">
        <v>65</v>
      </c>
      <c r="W11" s="329" t="s">
        <v>36</v>
      </c>
      <c r="X11" s="329" t="s">
        <v>65</v>
      </c>
      <c r="Y11" s="329" t="s">
        <v>65</v>
      </c>
      <c r="Z11" s="329" t="s">
        <v>65</v>
      </c>
      <c r="AA11" s="329" t="s">
        <v>36</v>
      </c>
      <c r="AB11" s="329" t="s">
        <v>65</v>
      </c>
      <c r="AC11" s="329" t="s">
        <v>65</v>
      </c>
      <c r="AD11" s="329" t="s">
        <v>65</v>
      </c>
      <c r="AE11" s="329" t="s">
        <v>65</v>
      </c>
      <c r="AF11" s="33"/>
      <c r="AG11" s="6">
        <f t="shared" si="0"/>
        <v>15</v>
      </c>
      <c r="AH11" s="6">
        <f t="shared" si="1"/>
        <v>5</v>
      </c>
      <c r="AI11" s="6">
        <f t="shared" si="2"/>
        <v>0</v>
      </c>
      <c r="AJ11" s="6">
        <f t="shared" si="3"/>
        <v>10</v>
      </c>
      <c r="AK11" s="6">
        <f t="shared" si="4"/>
        <v>15</v>
      </c>
      <c r="AL11" s="6">
        <f t="shared" si="5"/>
        <v>10</v>
      </c>
      <c r="AM11" s="6">
        <f t="shared" si="6"/>
        <v>30</v>
      </c>
      <c r="AN11" s="6">
        <f t="shared" si="7"/>
        <v>85</v>
      </c>
      <c r="AO11" s="6">
        <f t="shared" si="8"/>
        <v>2</v>
      </c>
      <c r="AP11" s="331" t="str">
        <f t="shared" si="9"/>
        <v>85- disminuye 2</v>
      </c>
      <c r="AQ11" s="6">
        <f t="shared" si="10"/>
        <v>-1</v>
      </c>
      <c r="AR11" s="331" t="str">
        <f>IF(AQ11&lt;=1,"Rara vez",VLOOKUP(AQ11,[18]Listas!$L$69:$M$73,2,0))</f>
        <v>Rara vez</v>
      </c>
      <c r="AS11" s="6">
        <f t="shared" si="11"/>
        <v>10</v>
      </c>
      <c r="AT11" s="331" t="str">
        <f t="shared" si="12"/>
        <v>Mayor</v>
      </c>
      <c r="AU11" s="331" t="str">
        <f>INDEX([18]Listas!$O$69:$Q$73,MATCH(AR11,[18]Listas!$M$69:$M$73,0),MATCH(AT11,[18]Listas!$O$67:$Q$67,0))</f>
        <v>10
BAJA</v>
      </c>
      <c r="AV11" s="330" t="s">
        <v>271</v>
      </c>
      <c r="AW11" s="845" t="s">
        <v>3136</v>
      </c>
      <c r="AX11" s="843" t="s">
        <v>3137</v>
      </c>
      <c r="AY11" s="843" t="s">
        <v>200</v>
      </c>
      <c r="AZ11" s="12" t="s">
        <v>3138</v>
      </c>
      <c r="BA11" s="12" t="s">
        <v>3508</v>
      </c>
      <c r="BB11" s="565">
        <v>0</v>
      </c>
      <c r="BC11" s="12" t="s">
        <v>4096</v>
      </c>
      <c r="BD11" s="72" t="s">
        <v>3495</v>
      </c>
      <c r="BE11" s="847" t="s">
        <v>36</v>
      </c>
      <c r="BF11" s="12"/>
      <c r="BG11" s="12"/>
      <c r="BH11" s="227"/>
      <c r="BI11" s="227"/>
      <c r="BJ11" s="839"/>
      <c r="BK11" s="228"/>
      <c r="BL11" s="228"/>
    </row>
    <row r="12" spans="1:64" s="3" customFormat="1" ht="359.25" customHeight="1">
      <c r="A12" s="332"/>
      <c r="B12" s="2928" t="s">
        <v>3139</v>
      </c>
      <c r="C12" s="2929"/>
      <c r="D12" s="2930"/>
      <c r="E12" s="843" t="s">
        <v>31</v>
      </c>
      <c r="F12" s="2925" t="s">
        <v>949</v>
      </c>
      <c r="G12" s="2926"/>
      <c r="H12" s="2927"/>
      <c r="I12" s="2805" t="s">
        <v>950</v>
      </c>
      <c r="J12" s="2806"/>
      <c r="K12" s="2807"/>
      <c r="L12" s="330" t="s">
        <v>283</v>
      </c>
      <c r="M12" s="50" t="s">
        <v>274</v>
      </c>
      <c r="N12" s="32"/>
      <c r="O12" s="6">
        <f>VLOOKUP(L12,[18]Listas!$M$69:$N$73,2,0)</f>
        <v>1</v>
      </c>
      <c r="P12" s="6"/>
      <c r="Q12" s="6">
        <f>HLOOKUP(M12,[18]Listas!$O$67:$Q$68,2,0)</f>
        <v>5</v>
      </c>
      <c r="R12" s="331" t="str">
        <f>INDEX([18]Listas!$O$69:$Q$73,MATCH(L12,[18]Listas!$M$69:$M$73,0),MATCH(M12,[18]Listas!$O$67:$Q$67,0))</f>
        <v>5
BAJA</v>
      </c>
      <c r="S12" s="2928" t="s">
        <v>951</v>
      </c>
      <c r="T12" s="2929"/>
      <c r="U12" s="2930"/>
      <c r="V12" s="329" t="s">
        <v>65</v>
      </c>
      <c r="W12" s="329" t="s">
        <v>65</v>
      </c>
      <c r="X12" s="329" t="s">
        <v>65</v>
      </c>
      <c r="Y12" s="329" t="s">
        <v>65</v>
      </c>
      <c r="Z12" s="329" t="s">
        <v>65</v>
      </c>
      <c r="AA12" s="329" t="s">
        <v>36</v>
      </c>
      <c r="AB12" s="329" t="s">
        <v>65</v>
      </c>
      <c r="AC12" s="329" t="s">
        <v>65</v>
      </c>
      <c r="AD12" s="329" t="s">
        <v>65</v>
      </c>
      <c r="AE12" s="329" t="s">
        <v>65</v>
      </c>
      <c r="AF12" s="33"/>
      <c r="AG12" s="6">
        <f>IF(Y12="SI",15,0)</f>
        <v>15</v>
      </c>
      <c r="AH12" s="6">
        <f>IF(Z12="SI",5,0)</f>
        <v>5</v>
      </c>
      <c r="AI12" s="6">
        <f>IF(AA12="SI",15,0)</f>
        <v>0</v>
      </c>
      <c r="AJ12" s="6">
        <f>IF(AB12="SI",10,0)</f>
        <v>10</v>
      </c>
      <c r="AK12" s="6">
        <f>IF(AC12="SI",15,0)</f>
        <v>15</v>
      </c>
      <c r="AL12" s="6">
        <f>IF(AD12="SI",10,0)</f>
        <v>10</v>
      </c>
      <c r="AM12" s="6">
        <f>IF(AE12="SI",30,0)</f>
        <v>30</v>
      </c>
      <c r="AN12" s="6">
        <f>SUM(AG12+AH12+AI12+AJ12+AK12+AL12+AM12)</f>
        <v>85</v>
      </c>
      <c r="AO12" s="6">
        <f>IF(AN12&lt;=50,0,IF(AN12&gt;=76,2,1))</f>
        <v>2</v>
      </c>
      <c r="AP12" s="331" t="str">
        <f>CONCATENATE(AN12,"- disminuye ",AO12)</f>
        <v>85- disminuye 2</v>
      </c>
      <c r="AQ12" s="6">
        <f>IF(V12="SI",O12-AO12,O12)</f>
        <v>-1</v>
      </c>
      <c r="AR12" s="331" t="str">
        <f>IF(AQ12&lt;=1,"Rara vez",VLOOKUP(AQ12,[18]Listas!$L$69:$M$73,2,0))</f>
        <v>Rara vez</v>
      </c>
      <c r="AS12" s="6">
        <f>IF(W12="SI",Q12-AO12,Q12)</f>
        <v>3</v>
      </c>
      <c r="AT12" s="331" t="str">
        <f>IF(AS12&lt;=9,"Moderado",IF(AS12=20,"Catastrófico",IF(AS12=18,"Moderado","Mayor")))</f>
        <v>Moderado</v>
      </c>
      <c r="AU12" s="331" t="str">
        <f>INDEX([18]Listas!$O$69:$Q$73,MATCH(AR12,[18]Listas!$M$69:$M$73,0),MATCH(AT12,[18]Listas!$O$67:$Q$67,0))</f>
        <v>5
BAJA</v>
      </c>
      <c r="AV12" s="330" t="s">
        <v>271</v>
      </c>
      <c r="AW12" s="845" t="s">
        <v>952</v>
      </c>
      <c r="AX12" s="405" t="s">
        <v>953</v>
      </c>
      <c r="AY12" s="843" t="s">
        <v>200</v>
      </c>
      <c r="AZ12" s="12" t="s">
        <v>3140</v>
      </c>
      <c r="BA12" s="12" t="s">
        <v>3509</v>
      </c>
      <c r="BB12" s="565">
        <v>0</v>
      </c>
      <c r="BC12" s="12" t="s">
        <v>3510</v>
      </c>
      <c r="BD12" s="72" t="s">
        <v>3495</v>
      </c>
      <c r="BE12" s="847" t="s">
        <v>36</v>
      </c>
      <c r="BF12" s="12"/>
      <c r="BG12" s="12"/>
      <c r="BH12" s="227"/>
      <c r="BI12" s="227"/>
      <c r="BJ12" s="839"/>
      <c r="BK12" s="228"/>
      <c r="BL12" s="228"/>
    </row>
    <row r="13" spans="1:64" s="3" customFormat="1" ht="219.75" customHeight="1">
      <c r="A13" s="332"/>
      <c r="B13" s="2928" t="s">
        <v>954</v>
      </c>
      <c r="C13" s="2929"/>
      <c r="D13" s="2930"/>
      <c r="E13" s="843" t="s">
        <v>32</v>
      </c>
      <c r="F13" s="2925" t="s">
        <v>955</v>
      </c>
      <c r="G13" s="2926"/>
      <c r="H13" s="2927"/>
      <c r="I13" s="2805" t="s">
        <v>346</v>
      </c>
      <c r="J13" s="2806"/>
      <c r="K13" s="2807"/>
      <c r="L13" s="330" t="s">
        <v>283</v>
      </c>
      <c r="M13" s="50" t="s">
        <v>270</v>
      </c>
      <c r="N13" s="32"/>
      <c r="O13" s="6">
        <f>VLOOKUP(L13,[18]Listas!$M$69:$N$73,2,0)</f>
        <v>1</v>
      </c>
      <c r="P13" s="6"/>
      <c r="Q13" s="6">
        <f>HLOOKUP(M13,[18]Listas!$O$67:$Q$68,2,0)</f>
        <v>10</v>
      </c>
      <c r="R13" s="331" t="str">
        <f>INDEX([18]Listas!$O$69:$Q$73,MATCH(L13,[18]Listas!$M$69:$M$73,0),MATCH(M13,[18]Listas!$O$67:$Q$67,0))</f>
        <v>10
BAJA</v>
      </c>
      <c r="S13" s="2928" t="s">
        <v>956</v>
      </c>
      <c r="T13" s="2929"/>
      <c r="U13" s="2930"/>
      <c r="V13" s="329" t="s">
        <v>65</v>
      </c>
      <c r="W13" s="329" t="s">
        <v>65</v>
      </c>
      <c r="X13" s="329" t="s">
        <v>65</v>
      </c>
      <c r="Y13" s="329" t="s">
        <v>65</v>
      </c>
      <c r="Z13" s="329" t="s">
        <v>65</v>
      </c>
      <c r="AA13" s="329" t="s">
        <v>36</v>
      </c>
      <c r="AB13" s="329" t="s">
        <v>65</v>
      </c>
      <c r="AC13" s="329" t="s">
        <v>65</v>
      </c>
      <c r="AD13" s="329" t="s">
        <v>65</v>
      </c>
      <c r="AE13" s="329" t="s">
        <v>65</v>
      </c>
      <c r="AF13" s="33"/>
      <c r="AG13" s="6">
        <f>IF(Y13="SI",15,0)</f>
        <v>15</v>
      </c>
      <c r="AH13" s="6">
        <f>IF(Z13="SI",5,0)</f>
        <v>5</v>
      </c>
      <c r="AI13" s="6">
        <f>IF(AA13="SI",15,0)</f>
        <v>0</v>
      </c>
      <c r="AJ13" s="6">
        <f>IF(AB13="SI",10,0)</f>
        <v>10</v>
      </c>
      <c r="AK13" s="6">
        <f>IF(AC13="SI",15,0)</f>
        <v>15</v>
      </c>
      <c r="AL13" s="6">
        <f>IF(AD13="SI",10,0)</f>
        <v>10</v>
      </c>
      <c r="AM13" s="6">
        <f>IF(AE13="SI",30,0)</f>
        <v>30</v>
      </c>
      <c r="AN13" s="6">
        <f>SUM(AG13+AH13+AI13+AJ13+AK13+AL13+AM13)</f>
        <v>85</v>
      </c>
      <c r="AO13" s="6">
        <f>IF(AN13&lt;=50,0,IF(AN13&gt;=76,2,1))</f>
        <v>2</v>
      </c>
      <c r="AP13" s="331" t="str">
        <f>CONCATENATE(AN13,"- disminuye ",AO13)</f>
        <v>85- disminuye 2</v>
      </c>
      <c r="AQ13" s="6">
        <f>IF(V13="SI",O13-AO13,O13)</f>
        <v>-1</v>
      </c>
      <c r="AR13" s="331" t="str">
        <f>IF(AQ13&lt;=1,"Rara vez",VLOOKUP(AQ13,[18]Listas!$L$69:$M$73,2,0))</f>
        <v>Rara vez</v>
      </c>
      <c r="AS13" s="6">
        <f>IF(W13="SI",Q13-AO13,Q13)</f>
        <v>8</v>
      </c>
      <c r="AT13" s="331" t="str">
        <f>IF(AS13&lt;=9,"Moderado",IF(AS13=20,"Catastrófico",IF(AS13=18,"Moderado","Mayor")))</f>
        <v>Moderado</v>
      </c>
      <c r="AU13" s="331" t="str">
        <f>INDEX([18]Listas!$O$69:$Q$73,MATCH(AR13,[18]Listas!$M$69:$M$73,0),MATCH(AT13,[18]Listas!$O$67:$Q$67,0))</f>
        <v>5
BAJA</v>
      </c>
      <c r="AV13" s="330" t="s">
        <v>271</v>
      </c>
      <c r="AW13" s="845" t="s">
        <v>957</v>
      </c>
      <c r="AX13" s="843" t="s">
        <v>958</v>
      </c>
      <c r="AY13" s="843" t="s">
        <v>200</v>
      </c>
      <c r="AZ13" s="12" t="s">
        <v>3138</v>
      </c>
      <c r="BA13" s="12" t="s">
        <v>3511</v>
      </c>
      <c r="BB13" s="565">
        <v>0</v>
      </c>
      <c r="BC13" s="12" t="s">
        <v>3512</v>
      </c>
      <c r="BD13" s="72" t="s">
        <v>3495</v>
      </c>
      <c r="BE13" s="847" t="s">
        <v>36</v>
      </c>
      <c r="BF13" s="12"/>
      <c r="BG13" s="12"/>
      <c r="BH13" s="227"/>
      <c r="BI13" s="227"/>
      <c r="BJ13" s="839"/>
      <c r="BK13" s="228"/>
      <c r="BL13" s="228"/>
    </row>
    <row r="14" spans="1:64" s="3" customFormat="1" ht="184.5" customHeight="1">
      <c r="A14" s="332"/>
      <c r="B14" s="2928" t="s">
        <v>3141</v>
      </c>
      <c r="C14" s="2929"/>
      <c r="D14" s="2930"/>
      <c r="E14" s="843" t="s">
        <v>33</v>
      </c>
      <c r="F14" s="2925" t="s">
        <v>347</v>
      </c>
      <c r="G14" s="2926"/>
      <c r="H14" s="2927"/>
      <c r="I14" s="2805" t="s">
        <v>348</v>
      </c>
      <c r="J14" s="2806"/>
      <c r="K14" s="2807"/>
      <c r="L14" s="330" t="s">
        <v>283</v>
      </c>
      <c r="M14" s="50" t="s">
        <v>270</v>
      </c>
      <c r="N14" s="32"/>
      <c r="O14" s="6">
        <f>VLOOKUP(L14,[18]Listas!$M$69:$N$73,2,0)</f>
        <v>1</v>
      </c>
      <c r="P14" s="6"/>
      <c r="Q14" s="6">
        <f>HLOOKUP(M14,[18]Listas!$O$67:$Q$68,2,0)</f>
        <v>10</v>
      </c>
      <c r="R14" s="331" t="str">
        <f>INDEX([18]Listas!$O$69:$Q$73,MATCH(L14,[18]Listas!$M$69:$M$73,0),MATCH(M14,[18]Listas!$O$67:$Q$67,0))</f>
        <v>10
BAJA</v>
      </c>
      <c r="S14" s="2928" t="s">
        <v>959</v>
      </c>
      <c r="T14" s="2929"/>
      <c r="U14" s="2930"/>
      <c r="V14" s="329" t="s">
        <v>65</v>
      </c>
      <c r="W14" s="329" t="s">
        <v>36</v>
      </c>
      <c r="X14" s="329" t="s">
        <v>65</v>
      </c>
      <c r="Y14" s="329" t="s">
        <v>65</v>
      </c>
      <c r="Z14" s="329" t="s">
        <v>65</v>
      </c>
      <c r="AA14" s="329" t="s">
        <v>36</v>
      </c>
      <c r="AB14" s="329" t="s">
        <v>65</v>
      </c>
      <c r="AC14" s="329" t="s">
        <v>65</v>
      </c>
      <c r="AD14" s="329" t="s">
        <v>65</v>
      </c>
      <c r="AE14" s="329" t="s">
        <v>65</v>
      </c>
      <c r="AF14" s="33"/>
      <c r="AG14" s="6">
        <f>IF(Y14="SI",15,0)</f>
        <v>15</v>
      </c>
      <c r="AH14" s="6">
        <f>IF(Z14="SI",5,0)</f>
        <v>5</v>
      </c>
      <c r="AI14" s="6">
        <f>IF(AA14="SI",15,0)</f>
        <v>0</v>
      </c>
      <c r="AJ14" s="6">
        <f>IF(AB14="SI",10,0)</f>
        <v>10</v>
      </c>
      <c r="AK14" s="6">
        <f>IF(AC14="SI",15,0)</f>
        <v>15</v>
      </c>
      <c r="AL14" s="6">
        <f>IF(AD14="SI",10,0)</f>
        <v>10</v>
      </c>
      <c r="AM14" s="6">
        <f>IF(AE14="SI",30,0)</f>
        <v>30</v>
      </c>
      <c r="AN14" s="6">
        <f>SUM(AG14+AH14+AI14+AJ14+AK14+AL14+AM14)</f>
        <v>85</v>
      </c>
      <c r="AO14" s="6">
        <f>IF(AN14&lt;=50,0,IF(AN14&gt;=76,2,1))</f>
        <v>2</v>
      </c>
      <c r="AP14" s="331" t="str">
        <f>CONCATENATE(AN14,"- disminuye ",AO14)</f>
        <v>85- disminuye 2</v>
      </c>
      <c r="AQ14" s="6">
        <f>IF(V14="SI",O14-AO14,O14)</f>
        <v>-1</v>
      </c>
      <c r="AR14" s="331" t="str">
        <f>IF(AQ14&lt;=1,"Rara vez",VLOOKUP(AQ14,[18]Listas!$L$69:$M$73,2,0))</f>
        <v>Rara vez</v>
      </c>
      <c r="AS14" s="6">
        <f>IF(W14="SI",Q14-AO14,Q14)</f>
        <v>10</v>
      </c>
      <c r="AT14" s="331" t="str">
        <f>IF(AS14&lt;=9,"Moderado",IF(AS14=20,"Catastrófico",IF(AS14=18,"Moderado","Mayor")))</f>
        <v>Mayor</v>
      </c>
      <c r="AU14" s="331" t="str">
        <f>INDEX([18]Listas!$O$69:$Q$73,MATCH(AR14,[18]Listas!$M$69:$M$73,0),MATCH(AT14,[18]Listas!$O$67:$Q$67,0))</f>
        <v>10
BAJA</v>
      </c>
      <c r="AV14" s="330" t="s">
        <v>271</v>
      </c>
      <c r="AW14" s="845" t="s">
        <v>960</v>
      </c>
      <c r="AX14" s="843" t="s">
        <v>961</v>
      </c>
      <c r="AY14" s="843" t="s">
        <v>200</v>
      </c>
      <c r="AZ14" s="12" t="s">
        <v>3138</v>
      </c>
      <c r="BA14" s="12" t="s">
        <v>3513</v>
      </c>
      <c r="BB14" s="565">
        <v>0</v>
      </c>
      <c r="BC14" s="12" t="s">
        <v>3514</v>
      </c>
      <c r="BD14" s="72" t="s">
        <v>3495</v>
      </c>
      <c r="BE14" s="847" t="s">
        <v>36</v>
      </c>
      <c r="BF14" s="12"/>
      <c r="BG14" s="12"/>
      <c r="BH14" s="227"/>
      <c r="BI14" s="227"/>
      <c r="BJ14" s="839"/>
      <c r="BK14" s="228"/>
      <c r="BL14" s="228"/>
    </row>
    <row r="15" spans="1:64" s="3" customFormat="1" ht="183" customHeight="1">
      <c r="A15" s="332"/>
      <c r="B15" s="2928" t="s">
        <v>3142</v>
      </c>
      <c r="C15" s="2929"/>
      <c r="D15" s="2930"/>
      <c r="E15" s="843" t="s">
        <v>349</v>
      </c>
      <c r="F15" s="2925" t="s">
        <v>962</v>
      </c>
      <c r="G15" s="2926"/>
      <c r="H15" s="2927"/>
      <c r="I15" s="2805" t="s">
        <v>614</v>
      </c>
      <c r="J15" s="2806"/>
      <c r="K15" s="2807"/>
      <c r="L15" s="330" t="s">
        <v>286</v>
      </c>
      <c r="M15" s="50" t="s">
        <v>270</v>
      </c>
      <c r="N15" s="32"/>
      <c r="O15" s="6">
        <f>VLOOKUP(L15,[18]Listas!$M$69:$N$73,2,0)</f>
        <v>2</v>
      </c>
      <c r="P15" s="6"/>
      <c r="Q15" s="6">
        <f>HLOOKUP(M15,[18]Listas!$O$67:$Q$68,2,0)</f>
        <v>10</v>
      </c>
      <c r="R15" s="331" t="str">
        <f>INDEX([18]Listas!$O$69:$Q$73,MATCH(L15,[18]Listas!$M$69:$M$73,0),MATCH(M15,[18]Listas!$O$67:$Q$67,0))</f>
        <v>20
MODERADA</v>
      </c>
      <c r="S15" s="2928" t="s">
        <v>350</v>
      </c>
      <c r="T15" s="2929"/>
      <c r="U15" s="2930"/>
      <c r="V15" s="329" t="s">
        <v>65</v>
      </c>
      <c r="W15" s="329" t="s">
        <v>36</v>
      </c>
      <c r="X15" s="329" t="s">
        <v>65</v>
      </c>
      <c r="Y15" s="329" t="s">
        <v>65</v>
      </c>
      <c r="Z15" s="329" t="s">
        <v>65</v>
      </c>
      <c r="AA15" s="329" t="s">
        <v>36</v>
      </c>
      <c r="AB15" s="329" t="s">
        <v>65</v>
      </c>
      <c r="AC15" s="329" t="s">
        <v>65</v>
      </c>
      <c r="AD15" s="329" t="s">
        <v>65</v>
      </c>
      <c r="AE15" s="329" t="s">
        <v>65</v>
      </c>
      <c r="AF15" s="33"/>
      <c r="AG15" s="6">
        <f t="shared" si="0"/>
        <v>15</v>
      </c>
      <c r="AH15" s="6">
        <f t="shared" si="1"/>
        <v>5</v>
      </c>
      <c r="AI15" s="6">
        <f t="shared" si="2"/>
        <v>0</v>
      </c>
      <c r="AJ15" s="6">
        <f t="shared" si="3"/>
        <v>10</v>
      </c>
      <c r="AK15" s="6">
        <f t="shared" si="4"/>
        <v>15</v>
      </c>
      <c r="AL15" s="6">
        <f t="shared" si="5"/>
        <v>10</v>
      </c>
      <c r="AM15" s="6">
        <f t="shared" si="6"/>
        <v>30</v>
      </c>
      <c r="AN15" s="6">
        <f t="shared" si="7"/>
        <v>85</v>
      </c>
      <c r="AO15" s="6">
        <f t="shared" si="8"/>
        <v>2</v>
      </c>
      <c r="AP15" s="331" t="str">
        <f t="shared" si="9"/>
        <v>85- disminuye 2</v>
      </c>
      <c r="AQ15" s="6">
        <f t="shared" si="10"/>
        <v>0</v>
      </c>
      <c r="AR15" s="331" t="str">
        <f>IF(AQ15&lt;=1,"Rara vez",VLOOKUP(AQ15,[18]Listas!$L$69:$M$73,2,0))</f>
        <v>Rara vez</v>
      </c>
      <c r="AS15" s="6">
        <f t="shared" si="11"/>
        <v>10</v>
      </c>
      <c r="AT15" s="331" t="str">
        <f t="shared" si="12"/>
        <v>Mayor</v>
      </c>
      <c r="AU15" s="331" t="str">
        <f>INDEX([18]Listas!$O$69:$Q$73,MATCH(AR15,[18]Listas!$M$69:$M$73,0),MATCH(AT15,[18]Listas!$O$67:$Q$67,0))</f>
        <v>10
BAJA</v>
      </c>
      <c r="AV15" s="330" t="s">
        <v>275</v>
      </c>
      <c r="AW15" s="845" t="s">
        <v>3143</v>
      </c>
      <c r="AX15" s="843" t="s">
        <v>963</v>
      </c>
      <c r="AY15" s="843" t="s">
        <v>200</v>
      </c>
      <c r="AZ15" s="12" t="s">
        <v>3138</v>
      </c>
      <c r="BA15" s="12" t="s">
        <v>3515</v>
      </c>
      <c r="BB15" s="565">
        <v>0</v>
      </c>
      <c r="BC15" s="12" t="s">
        <v>3506</v>
      </c>
      <c r="BD15" s="72" t="s">
        <v>3495</v>
      </c>
      <c r="BE15" s="847" t="s">
        <v>36</v>
      </c>
      <c r="BF15" s="12"/>
      <c r="BG15" s="12"/>
      <c r="BH15" s="227"/>
      <c r="BI15" s="227"/>
      <c r="BJ15" s="839"/>
      <c r="BK15" s="228"/>
      <c r="BL15" s="228"/>
    </row>
    <row r="16" spans="1:64" s="3" customFormat="1" ht="270.75" customHeight="1">
      <c r="A16" s="332"/>
      <c r="B16" s="2928" t="s">
        <v>3144</v>
      </c>
      <c r="C16" s="2929"/>
      <c r="D16" s="2930"/>
      <c r="E16" s="843" t="s">
        <v>351</v>
      </c>
      <c r="F16" s="2925" t="s">
        <v>352</v>
      </c>
      <c r="G16" s="2926"/>
      <c r="H16" s="2927"/>
      <c r="I16" s="2805" t="s">
        <v>615</v>
      </c>
      <c r="J16" s="2806"/>
      <c r="K16" s="2807"/>
      <c r="L16" s="330" t="s">
        <v>283</v>
      </c>
      <c r="M16" s="50" t="s">
        <v>270</v>
      </c>
      <c r="N16" s="32"/>
      <c r="O16" s="6">
        <f>VLOOKUP(L16,[18]Listas!$M$69:$N$73,2,0)</f>
        <v>1</v>
      </c>
      <c r="P16" s="6"/>
      <c r="Q16" s="6">
        <f>HLOOKUP(M16,[18]Listas!$O$67:$Q$68,2,0)</f>
        <v>10</v>
      </c>
      <c r="R16" s="331" t="str">
        <f>INDEX([18]Listas!$O$69:$Q$73,MATCH(L16,[18]Listas!$M$69:$M$73,0),MATCH(M16,[18]Listas!$O$67:$Q$67,0))</f>
        <v>10
BAJA</v>
      </c>
      <c r="S16" s="2928" t="s">
        <v>528</v>
      </c>
      <c r="T16" s="2929"/>
      <c r="U16" s="2930"/>
      <c r="V16" s="329" t="s">
        <v>65</v>
      </c>
      <c r="W16" s="329" t="s">
        <v>65</v>
      </c>
      <c r="X16" s="329" t="s">
        <v>65</v>
      </c>
      <c r="Y16" s="329" t="s">
        <v>65</v>
      </c>
      <c r="Z16" s="329" t="s">
        <v>65</v>
      </c>
      <c r="AA16" s="329" t="s">
        <v>36</v>
      </c>
      <c r="AB16" s="329" t="s">
        <v>65</v>
      </c>
      <c r="AC16" s="329" t="s">
        <v>65</v>
      </c>
      <c r="AD16" s="329" t="s">
        <v>65</v>
      </c>
      <c r="AE16" s="329" t="s">
        <v>65</v>
      </c>
      <c r="AF16" s="33"/>
      <c r="AG16" s="6">
        <f t="shared" si="0"/>
        <v>15</v>
      </c>
      <c r="AH16" s="6">
        <f t="shared" si="1"/>
        <v>5</v>
      </c>
      <c r="AI16" s="6">
        <f t="shared" si="2"/>
        <v>0</v>
      </c>
      <c r="AJ16" s="6">
        <f t="shared" si="3"/>
        <v>10</v>
      </c>
      <c r="AK16" s="6">
        <f t="shared" si="4"/>
        <v>15</v>
      </c>
      <c r="AL16" s="6">
        <f t="shared" si="5"/>
        <v>10</v>
      </c>
      <c r="AM16" s="6">
        <f t="shared" si="6"/>
        <v>30</v>
      </c>
      <c r="AN16" s="6">
        <f t="shared" si="7"/>
        <v>85</v>
      </c>
      <c r="AO16" s="6">
        <f t="shared" si="8"/>
        <v>2</v>
      </c>
      <c r="AP16" s="331" t="str">
        <f t="shared" si="9"/>
        <v>85- disminuye 2</v>
      </c>
      <c r="AQ16" s="6">
        <f t="shared" si="10"/>
        <v>-1</v>
      </c>
      <c r="AR16" s="331" t="str">
        <f>IF(AQ16&lt;=1,"Rara vez",VLOOKUP(AQ16,[18]Listas!$L$69:$M$73,2,0))</f>
        <v>Rara vez</v>
      </c>
      <c r="AS16" s="6">
        <f t="shared" si="11"/>
        <v>8</v>
      </c>
      <c r="AT16" s="331" t="str">
        <f t="shared" si="12"/>
        <v>Moderado</v>
      </c>
      <c r="AU16" s="331" t="str">
        <f>INDEX([18]Listas!$O$69:$Q$73,MATCH(AR16,[18]Listas!$M$69:$M$73,0),MATCH(AT16,[18]Listas!$O$67:$Q$67,0))</f>
        <v>5
BAJA</v>
      </c>
      <c r="AV16" s="330" t="s">
        <v>271</v>
      </c>
      <c r="AW16" s="845" t="s">
        <v>616</v>
      </c>
      <c r="AX16" s="843" t="s">
        <v>529</v>
      </c>
      <c r="AY16" s="843" t="s">
        <v>200</v>
      </c>
      <c r="AZ16" s="12" t="s">
        <v>3138</v>
      </c>
      <c r="BA16" s="12" t="s">
        <v>3516</v>
      </c>
      <c r="BB16" s="565">
        <v>0</v>
      </c>
      <c r="BC16" s="12" t="s">
        <v>3506</v>
      </c>
      <c r="BD16" s="72" t="s">
        <v>3495</v>
      </c>
      <c r="BE16" s="847" t="s">
        <v>36</v>
      </c>
      <c r="BF16" s="12"/>
      <c r="BG16" s="12"/>
      <c r="BH16" s="227"/>
      <c r="BI16" s="227"/>
      <c r="BJ16" s="839"/>
      <c r="BK16" s="228"/>
      <c r="BL16" s="228"/>
    </row>
    <row r="17" spans="1:64" s="3" customFormat="1" ht="108" hidden="1" customHeight="1">
      <c r="A17" s="332"/>
      <c r="B17" s="2805"/>
      <c r="C17" s="2806"/>
      <c r="D17" s="2807"/>
      <c r="E17" s="843"/>
      <c r="F17" s="2808"/>
      <c r="G17" s="2809"/>
      <c r="H17" s="2810"/>
      <c r="I17" s="2805"/>
      <c r="J17" s="2806"/>
      <c r="K17" s="2807"/>
      <c r="L17" s="330"/>
      <c r="M17" s="50"/>
      <c r="N17" s="32"/>
      <c r="O17" s="6" t="e">
        <f>VLOOKUP(L17,[18]Listas!$M$69:$N$73,2,0)</f>
        <v>#N/A</v>
      </c>
      <c r="P17" s="6"/>
      <c r="Q17" s="6" t="e">
        <f>HLOOKUP(M17,[18]Listas!$O$67:$Q$68,2,0)</f>
        <v>#N/A</v>
      </c>
      <c r="R17" s="331" t="e">
        <f>INDEX([18]Listas!$O$69:$Q$73,MATCH(L17,[18]Listas!$M$69:$M$73,0),MATCH(M17,[18]Listas!$O$67:$Q$67,0))</f>
        <v>#N/A</v>
      </c>
      <c r="S17" s="2805"/>
      <c r="T17" s="2806"/>
      <c r="U17" s="2807"/>
      <c r="V17" s="329"/>
      <c r="W17" s="329"/>
      <c r="X17" s="329"/>
      <c r="Y17" s="329"/>
      <c r="Z17" s="329"/>
      <c r="AA17" s="329"/>
      <c r="AB17" s="329"/>
      <c r="AC17" s="329"/>
      <c r="AD17" s="329"/>
      <c r="AE17" s="329"/>
      <c r="AF17" s="33"/>
      <c r="AG17" s="6">
        <f>IF(Y17="SI",15,0)</f>
        <v>0</v>
      </c>
      <c r="AH17" s="6">
        <f>IF(Z17="SI",5,0)</f>
        <v>0</v>
      </c>
      <c r="AI17" s="6">
        <f>IF(AA17="SI",15,0)</f>
        <v>0</v>
      </c>
      <c r="AJ17" s="6">
        <f>IF(AB17="SI",10,0)</f>
        <v>0</v>
      </c>
      <c r="AK17" s="6">
        <f>IF(AC17="SI",15,0)</f>
        <v>0</v>
      </c>
      <c r="AL17" s="6">
        <f>IF(AD17="SI",10,0)</f>
        <v>0</v>
      </c>
      <c r="AM17" s="6">
        <f>IF(AE17="SI",30,0)</f>
        <v>0</v>
      </c>
      <c r="AN17" s="6">
        <f>SUM(AG17+AH17+AI17+AJ17+AK17+AL17+AM17)</f>
        <v>0</v>
      </c>
      <c r="AO17" s="6">
        <f>IF(AN17&lt;=50,0,IF(AN17&gt;=76,2,1))</f>
        <v>0</v>
      </c>
      <c r="AP17" s="331" t="str">
        <f>CONCATENATE(AN17,"- disminuye ",AO17)</f>
        <v>0- disminuye 0</v>
      </c>
      <c r="AQ17" s="6" t="e">
        <f>IF(V17="SI",O17-AO17,O17)</f>
        <v>#N/A</v>
      </c>
      <c r="AR17" s="331" t="e">
        <f>IF(AQ17&lt;=1,"Rara vez",VLOOKUP(AQ17,[18]Listas!$L$69:$M$73,2,0))</f>
        <v>#N/A</v>
      </c>
      <c r="AS17" s="6" t="e">
        <f>IF(W17="SI",Q17-AO17,Q17)</f>
        <v>#N/A</v>
      </c>
      <c r="AT17" s="331" t="e">
        <f>IF(AS17&lt;=9,"Moderado",IF(AS17=20,"Catastrófico",IF(AS17=18,"Moderado","Mayor")))</f>
        <v>#N/A</v>
      </c>
      <c r="AU17" s="331" t="e">
        <f>INDEX([18]Listas!$O$69:$Q$73,MATCH(AR17,[18]Listas!$M$69:$M$73,0),MATCH(AT17,[18]Listas!$O$67:$Q$67,0))</f>
        <v>#N/A</v>
      </c>
      <c r="AV17" s="330"/>
      <c r="AW17" s="826"/>
      <c r="AX17" s="843"/>
      <c r="AY17" s="843" t="s">
        <v>200</v>
      </c>
      <c r="AZ17" s="12"/>
      <c r="BA17" s="12"/>
      <c r="BB17" s="839"/>
      <c r="BC17" s="12"/>
      <c r="BD17" s="12" t="s">
        <v>2343</v>
      </c>
      <c r="BE17" s="839"/>
      <c r="BF17" s="12"/>
      <c r="BG17" s="12"/>
      <c r="BH17" s="227"/>
      <c r="BI17" s="227"/>
      <c r="BJ17" s="839"/>
      <c r="BK17" s="228"/>
      <c r="BL17" s="228"/>
    </row>
    <row r="18" spans="1:64" s="3" customFormat="1" ht="108" hidden="1" customHeight="1">
      <c r="A18" s="332"/>
      <c r="B18" s="2805"/>
      <c r="C18" s="2806"/>
      <c r="D18" s="2807"/>
      <c r="E18" s="843"/>
      <c r="F18" s="2808"/>
      <c r="G18" s="2809"/>
      <c r="H18" s="2810"/>
      <c r="I18" s="2805"/>
      <c r="J18" s="2806"/>
      <c r="K18" s="2807"/>
      <c r="L18" s="330"/>
      <c r="M18" s="50"/>
      <c r="N18" s="32"/>
      <c r="O18" s="6" t="e">
        <f>VLOOKUP(L18,[18]Listas!$M$69:$N$73,2,0)</f>
        <v>#N/A</v>
      </c>
      <c r="P18" s="6"/>
      <c r="Q18" s="6" t="e">
        <f>HLOOKUP(M18,[18]Listas!$O$67:$Q$68,2,0)</f>
        <v>#N/A</v>
      </c>
      <c r="R18" s="331" t="e">
        <f>INDEX([18]Listas!$O$69:$Q$73,MATCH(L18,[18]Listas!$M$69:$M$73,0),MATCH(M18,[18]Listas!$O$67:$Q$67,0))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vez",VLOOKUP(AQ18,[18]Listas!$L$69:$M$73,2,0))</f>
        <v>#N/A</v>
      </c>
      <c r="AS18" s="6" t="e">
        <f t="shared" si="11"/>
        <v>#N/A</v>
      </c>
      <c r="AT18" s="331" t="e">
        <f t="shared" si="12"/>
        <v>#N/A</v>
      </c>
      <c r="AU18" s="331" t="e">
        <f>INDEX([18]Listas!$O$69:$Q$73,MATCH(AR18,[18]Listas!$M$69:$M$73,0),MATCH(AT18,[18]Listas!$O$67:$Q$67,0))</f>
        <v>#N/A</v>
      </c>
      <c r="AV18" s="330"/>
      <c r="AW18" s="826"/>
      <c r="AX18" s="843"/>
      <c r="AY18" s="843" t="s">
        <v>200</v>
      </c>
      <c r="AZ18" s="12"/>
      <c r="BA18" s="12"/>
      <c r="BB18" s="839"/>
      <c r="BC18" s="12"/>
      <c r="BD18" s="12" t="s">
        <v>2343</v>
      </c>
      <c r="BE18" s="839"/>
      <c r="BF18" s="12"/>
      <c r="BG18" s="12"/>
      <c r="BH18" s="227"/>
      <c r="BI18" s="227"/>
      <c r="BJ18" s="839"/>
      <c r="BK18" s="228"/>
      <c r="BL18" s="228"/>
    </row>
    <row r="19" spans="1:64" s="3" customFormat="1" ht="108" hidden="1" customHeight="1">
      <c r="A19" s="332"/>
      <c r="B19" s="2805"/>
      <c r="C19" s="2806"/>
      <c r="D19" s="2807"/>
      <c r="E19" s="843"/>
      <c r="F19" s="2808"/>
      <c r="G19" s="2809"/>
      <c r="H19" s="2810"/>
      <c r="I19" s="2805"/>
      <c r="J19" s="2806"/>
      <c r="K19" s="2807"/>
      <c r="L19" s="330"/>
      <c r="M19" s="50"/>
      <c r="N19" s="32"/>
      <c r="O19" s="6" t="e">
        <f>VLOOKUP(L19,[18]Listas!$M$69:$N$73,2,0)</f>
        <v>#N/A</v>
      </c>
      <c r="P19" s="6"/>
      <c r="Q19" s="6" t="e">
        <f>HLOOKUP(M19,[18]Listas!$O$67:$Q$68,2,0)</f>
        <v>#N/A</v>
      </c>
      <c r="R19" s="331" t="e">
        <f>INDEX([18]Listas!$O$69:$Q$73,MATCH(L19,[18]Listas!$M$69:$M$73,0),MATCH(M19,[18]Listas!$O$67:$Q$67,0))</f>
        <v>#N/A</v>
      </c>
      <c r="S19" s="2805"/>
      <c r="T19" s="2806"/>
      <c r="U19" s="2807"/>
      <c r="V19" s="329"/>
      <c r="W19" s="329"/>
      <c r="X19" s="329"/>
      <c r="Y19" s="329"/>
      <c r="Z19" s="329"/>
      <c r="AA19" s="329"/>
      <c r="AB19" s="329"/>
      <c r="AC19" s="329"/>
      <c r="AD19" s="329"/>
      <c r="AE19" s="329"/>
      <c r="AF19" s="33"/>
      <c r="AG19" s="6">
        <f t="shared" si="0"/>
        <v>0</v>
      </c>
      <c r="AH19" s="6">
        <f t="shared" si="1"/>
        <v>0</v>
      </c>
      <c r="AI19" s="6">
        <f t="shared" si="2"/>
        <v>0</v>
      </c>
      <c r="AJ19" s="6">
        <f t="shared" si="3"/>
        <v>0</v>
      </c>
      <c r="AK19" s="6">
        <f t="shared" si="4"/>
        <v>0</v>
      </c>
      <c r="AL19" s="6">
        <f t="shared" si="5"/>
        <v>0</v>
      </c>
      <c r="AM19" s="6">
        <f t="shared" si="6"/>
        <v>0</v>
      </c>
      <c r="AN19" s="6">
        <f t="shared" si="7"/>
        <v>0</v>
      </c>
      <c r="AO19" s="6">
        <f t="shared" si="8"/>
        <v>0</v>
      </c>
      <c r="AP19" s="331" t="str">
        <f t="shared" si="9"/>
        <v>0- disminuye 0</v>
      </c>
      <c r="AQ19" s="6" t="e">
        <f t="shared" si="10"/>
        <v>#N/A</v>
      </c>
      <c r="AR19" s="331" t="e">
        <f>IF(AQ19&lt;=1,"Rara vez",VLOOKUP(AQ19,[18]Listas!$L$69:$M$73,2,0))</f>
        <v>#N/A</v>
      </c>
      <c r="AS19" s="6" t="e">
        <f t="shared" si="11"/>
        <v>#N/A</v>
      </c>
      <c r="AT19" s="331" t="e">
        <f t="shared" si="12"/>
        <v>#N/A</v>
      </c>
      <c r="AU19" s="331" t="e">
        <f>INDEX([18]Listas!$O$69:$Q$73,MATCH(AR19,[18]Listas!$M$69:$M$73,0),MATCH(AT19,[18]Listas!$O$67:$Q$67,0))</f>
        <v>#N/A</v>
      </c>
      <c r="AV19" s="330"/>
      <c r="AW19" s="826"/>
      <c r="AX19" s="843"/>
      <c r="AY19" s="843" t="s">
        <v>200</v>
      </c>
      <c r="AZ19" s="12"/>
      <c r="BA19" s="12"/>
      <c r="BB19" s="839"/>
      <c r="BC19" s="12"/>
      <c r="BD19" s="12" t="s">
        <v>2343</v>
      </c>
      <c r="BE19" s="839"/>
      <c r="BF19" s="12"/>
      <c r="BG19" s="12"/>
      <c r="BH19" s="227"/>
      <c r="BI19" s="227"/>
      <c r="BJ19" s="839"/>
      <c r="BK19" s="228"/>
      <c r="BL19" s="228"/>
    </row>
    <row r="20" spans="1:64" s="3" customFormat="1" ht="108" hidden="1" customHeight="1">
      <c r="A20" s="332"/>
      <c r="B20" s="2805"/>
      <c r="C20" s="2806"/>
      <c r="D20" s="2807"/>
      <c r="E20" s="843"/>
      <c r="F20" s="2808"/>
      <c r="G20" s="2809"/>
      <c r="H20" s="2810"/>
      <c r="I20" s="2805"/>
      <c r="J20" s="2806"/>
      <c r="K20" s="2807"/>
      <c r="L20" s="330"/>
      <c r="M20" s="50"/>
      <c r="N20" s="32"/>
      <c r="O20" s="6" t="e">
        <f>VLOOKUP(L20,[18]Listas!$M$69:$N$73,2,0)</f>
        <v>#N/A</v>
      </c>
      <c r="P20" s="6"/>
      <c r="Q20" s="6" t="e">
        <f>HLOOKUP(M20,[18]Listas!$O$67:$Q$68,2,0)</f>
        <v>#N/A</v>
      </c>
      <c r="R20" s="331" t="e">
        <f>INDEX([18]Listas!$O$69:$Q$73,MATCH(L20,[18]Listas!$M$69:$M$73,0),MATCH(M20,[18]Listas!$O$67:$Q$67,0))</f>
        <v>#N/A</v>
      </c>
      <c r="S20" s="2805"/>
      <c r="T20" s="2806"/>
      <c r="U20" s="2807"/>
      <c r="V20" s="329"/>
      <c r="W20" s="329"/>
      <c r="X20" s="329"/>
      <c r="Y20" s="329"/>
      <c r="Z20" s="329"/>
      <c r="AA20" s="329"/>
      <c r="AB20" s="329"/>
      <c r="AC20" s="329"/>
      <c r="AD20" s="329"/>
      <c r="AE20" s="329"/>
      <c r="AF20" s="33"/>
      <c r="AG20" s="6">
        <f>IF(Y20="SI",15,0)</f>
        <v>0</v>
      </c>
      <c r="AH20" s="6">
        <f>IF(Z20="SI",5,0)</f>
        <v>0</v>
      </c>
      <c r="AI20" s="6">
        <f>IF(AA20="SI",15,0)</f>
        <v>0</v>
      </c>
      <c r="AJ20" s="6">
        <f>IF(AB20="SI",10,0)</f>
        <v>0</v>
      </c>
      <c r="AK20" s="6">
        <f>IF(AC20="SI",15,0)</f>
        <v>0</v>
      </c>
      <c r="AL20" s="6">
        <f>IF(AD20="SI",10,0)</f>
        <v>0</v>
      </c>
      <c r="AM20" s="6">
        <f>IF(AE20="SI",30,0)</f>
        <v>0</v>
      </c>
      <c r="AN20" s="6">
        <f>SUM(AG20+AH20+AI20+AJ20+AK20+AL20+AM20)</f>
        <v>0</v>
      </c>
      <c r="AO20" s="6">
        <f>IF(AN20&lt;=50,0,IF(AN20&gt;=76,2,1))</f>
        <v>0</v>
      </c>
      <c r="AP20" s="331" t="str">
        <f>CONCATENATE(AN20,"- disminuye ",AO20)</f>
        <v>0- disminuye 0</v>
      </c>
      <c r="AQ20" s="6" t="e">
        <f>IF(V20="SI",O20-AO20,O20)</f>
        <v>#N/A</v>
      </c>
      <c r="AR20" s="331" t="e">
        <f>IF(AQ20&lt;=1,"Rara vez",VLOOKUP(AQ20,[18]Listas!$L$69:$M$73,2,0))</f>
        <v>#N/A</v>
      </c>
      <c r="AS20" s="6" t="e">
        <f>IF(W20="SI",Q20-AO20,Q20)</f>
        <v>#N/A</v>
      </c>
      <c r="AT20" s="331" t="e">
        <f>IF(AS20&lt;=9,"Moderado",IF(AS20=20,"Catastrófico",IF(AS20=18,"Moderado","Mayor")))</f>
        <v>#N/A</v>
      </c>
      <c r="AU20" s="331" t="e">
        <f>INDEX([18]Listas!$O$69:$Q$73,MATCH(AR20,[18]Listas!$M$69:$M$73,0),MATCH(AT20,[18]Listas!$O$67:$Q$67,0))</f>
        <v>#N/A</v>
      </c>
      <c r="AV20" s="330"/>
      <c r="AW20" s="826"/>
      <c r="AX20" s="843"/>
      <c r="AY20" s="843" t="s">
        <v>200</v>
      </c>
      <c r="AZ20" s="12"/>
      <c r="BA20" s="12"/>
      <c r="BB20" s="839"/>
      <c r="BC20" s="12"/>
      <c r="BD20" s="12" t="s">
        <v>2343</v>
      </c>
      <c r="BE20" s="839"/>
      <c r="BF20" s="12"/>
      <c r="BG20" s="12"/>
      <c r="BH20" s="227"/>
      <c r="BI20" s="227"/>
      <c r="BJ20" s="839"/>
      <c r="BK20" s="228"/>
      <c r="BL20" s="228"/>
    </row>
    <row r="21" spans="1:64" s="3" customFormat="1" ht="108" hidden="1" customHeight="1">
      <c r="A21" s="332"/>
      <c r="B21" s="2805"/>
      <c r="C21" s="2806"/>
      <c r="D21" s="2807"/>
      <c r="E21" s="843"/>
      <c r="F21" s="2808"/>
      <c r="G21" s="2809"/>
      <c r="H21" s="2810"/>
      <c r="I21" s="2805"/>
      <c r="J21" s="2806"/>
      <c r="K21" s="2807"/>
      <c r="L21" s="330"/>
      <c r="M21" s="50"/>
      <c r="N21" s="32"/>
      <c r="O21" s="6" t="e">
        <f>VLOOKUP(L21,[18]Listas!$M$69:$N$73,2,0)</f>
        <v>#N/A</v>
      </c>
      <c r="P21" s="6"/>
      <c r="Q21" s="6" t="e">
        <f>HLOOKUP(M21,[18]Listas!$O$67:$Q$68,2,0)</f>
        <v>#N/A</v>
      </c>
      <c r="R21" s="331" t="e">
        <f>INDEX([18]Listas!$O$69:$Q$73,MATCH(L21,[18]Listas!$M$69:$M$73,0),MATCH(M21,[18]Listas!$O$67:$Q$67,0))</f>
        <v>#N/A</v>
      </c>
      <c r="S21" s="2805"/>
      <c r="T21" s="2806"/>
      <c r="U21" s="2807"/>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vez",VLOOKUP(AQ21,[18]Listas!$L$69:$M$73,2,0))</f>
        <v>#N/A</v>
      </c>
      <c r="AS21" s="6" t="e">
        <f t="shared" si="11"/>
        <v>#N/A</v>
      </c>
      <c r="AT21" s="331" t="e">
        <f t="shared" si="12"/>
        <v>#N/A</v>
      </c>
      <c r="AU21" s="331" t="e">
        <f>INDEX([18]Listas!$O$69:$Q$73,MATCH(AR21,[18]Listas!$M$69:$M$73,0),MATCH(AT21,[18]Listas!$O$67:$Q$67,0))</f>
        <v>#N/A</v>
      </c>
      <c r="AV21" s="330"/>
      <c r="AW21" s="826"/>
      <c r="AX21" s="843"/>
      <c r="AY21" s="843" t="s">
        <v>200</v>
      </c>
      <c r="AZ21" s="12"/>
      <c r="BA21" s="12"/>
      <c r="BB21" s="839"/>
      <c r="BC21" s="12"/>
      <c r="BD21" s="12" t="s">
        <v>2343</v>
      </c>
      <c r="BE21" s="839"/>
      <c r="BF21" s="12"/>
      <c r="BG21" s="12"/>
      <c r="BH21" s="227"/>
      <c r="BI21" s="227"/>
      <c r="BJ21" s="839"/>
      <c r="BK21" s="228"/>
      <c r="BL21" s="228"/>
    </row>
    <row r="22" spans="1:64" ht="6.75" customHeight="1">
      <c r="A22" s="2"/>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1:64" ht="15" customHeight="1">
      <c r="A23" s="317"/>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1:64" s="22" customFormat="1" ht="19.5" customHeight="1">
      <c r="A24" s="10"/>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4" t="s">
        <v>172</v>
      </c>
      <c r="AS24" s="2804"/>
      <c r="AT24" s="2804"/>
      <c r="AU24" s="2804"/>
      <c r="AV24" s="2804"/>
      <c r="AW24" s="2804"/>
      <c r="AX24" s="65"/>
      <c r="AY24" s="65"/>
      <c r="AZ24" s="68"/>
      <c r="BA24" s="68"/>
      <c r="BB24" s="92"/>
      <c r="BC24" s="68"/>
      <c r="BD24" s="68"/>
      <c r="BE24" s="92"/>
      <c r="BF24" s="68"/>
      <c r="BG24" s="68"/>
      <c r="BH24" s="230"/>
      <c r="BI24" s="230"/>
      <c r="BJ24" s="92"/>
      <c r="BK24" s="210"/>
      <c r="BL24" s="210"/>
    </row>
    <row r="25" spans="1:64" s="22" customFormat="1" ht="25.5" customHeight="1">
      <c r="A25" s="11"/>
      <c r="B25" s="2794" t="s">
        <v>343</v>
      </c>
      <c r="C25" s="2795"/>
      <c r="D25" s="2795"/>
      <c r="E25" s="2795"/>
      <c r="F25" s="2795"/>
      <c r="G25" s="2795"/>
      <c r="H25" s="2796"/>
      <c r="I25" s="2794" t="s">
        <v>3291</v>
      </c>
      <c r="J25" s="2795"/>
      <c r="K25" s="2795"/>
      <c r="L25" s="2795"/>
      <c r="M25" s="2795"/>
      <c r="N25" s="2795"/>
      <c r="O25" s="2795"/>
      <c r="P25" s="2795"/>
      <c r="Q25" s="2795"/>
      <c r="R25" s="2795"/>
      <c r="S25" s="2795"/>
      <c r="T25" s="2795"/>
      <c r="U25" s="2796"/>
      <c r="V25" s="2794" t="s">
        <v>3504</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68"/>
      <c r="BA25" s="68"/>
      <c r="BB25" s="92"/>
      <c r="BC25" s="68"/>
      <c r="BD25" s="68"/>
      <c r="BE25" s="92"/>
      <c r="BF25" s="68"/>
      <c r="BG25" s="68"/>
      <c r="BH25" s="230"/>
      <c r="BI25" s="230"/>
      <c r="BJ25" s="92"/>
      <c r="BK25" s="210"/>
      <c r="BL25" s="210"/>
    </row>
    <row r="26" spans="1:64" s="22" customFormat="1" ht="25.5" customHeight="1">
      <c r="A26" s="11"/>
      <c r="B26" s="2794" t="s">
        <v>354</v>
      </c>
      <c r="C26" s="2795"/>
      <c r="D26" s="2795"/>
      <c r="E26" s="2795"/>
      <c r="F26" s="2795"/>
      <c r="G26" s="2795"/>
      <c r="H26" s="2796"/>
      <c r="I26" s="2794" t="s">
        <v>853</v>
      </c>
      <c r="J26" s="2795"/>
      <c r="K26" s="2795"/>
      <c r="L26" s="2795"/>
      <c r="M26" s="2795"/>
      <c r="N26" s="2795"/>
      <c r="O26" s="2795"/>
      <c r="P26" s="2795"/>
      <c r="Q26" s="2795"/>
      <c r="R26" s="2795"/>
      <c r="S26" s="2795"/>
      <c r="T26" s="2795"/>
      <c r="U26" s="2796"/>
      <c r="V26" s="2794" t="s">
        <v>1488</v>
      </c>
      <c r="W26" s="2795"/>
      <c r="X26" s="2795"/>
      <c r="Y26" s="2795"/>
      <c r="Z26" s="2795"/>
      <c r="AA26" s="2795"/>
      <c r="AB26" s="2795"/>
      <c r="AC26" s="2795"/>
      <c r="AD26" s="2795"/>
      <c r="AE26" s="2795"/>
      <c r="AF26" s="2795"/>
      <c r="AG26" s="2795"/>
      <c r="AH26" s="2795"/>
      <c r="AI26" s="2795"/>
      <c r="AJ26" s="2795"/>
      <c r="AK26" s="2795"/>
      <c r="AL26" s="2795"/>
      <c r="AM26" s="2795"/>
      <c r="AN26" s="2795"/>
      <c r="AO26" s="2795"/>
      <c r="AP26" s="2796"/>
      <c r="AQ26" s="12"/>
      <c r="AR26" s="2800"/>
      <c r="AS26" s="2800"/>
      <c r="AT26" s="2800"/>
      <c r="AU26" s="2800"/>
      <c r="AV26" s="2800"/>
      <c r="AW26" s="2800"/>
      <c r="AX26" s="65"/>
      <c r="AY26" s="65"/>
      <c r="AZ26" s="68"/>
      <c r="BA26" s="68"/>
      <c r="BB26" s="92"/>
      <c r="BC26" s="68"/>
      <c r="BD26" s="68"/>
      <c r="BE26" s="92"/>
      <c r="BF26" s="68"/>
      <c r="BG26" s="68"/>
      <c r="BH26" s="230"/>
      <c r="BI26" s="230"/>
      <c r="BJ26" s="92"/>
      <c r="BK26" s="210"/>
      <c r="BL26" s="210"/>
    </row>
    <row r="27" spans="1:64" ht="25.5" customHeight="1">
      <c r="A27" s="11"/>
      <c r="B27" s="2794" t="s">
        <v>210</v>
      </c>
      <c r="C27" s="2795"/>
      <c r="D27" s="2795"/>
      <c r="E27" s="2795"/>
      <c r="F27" s="2795"/>
      <c r="G27" s="2795"/>
      <c r="H27" s="2796"/>
      <c r="I27" s="2794" t="s">
        <v>4095</v>
      </c>
      <c r="J27" s="2795"/>
      <c r="K27" s="2795"/>
      <c r="L27" s="2795"/>
      <c r="M27" s="2795"/>
      <c r="N27" s="2795"/>
      <c r="O27" s="2795"/>
      <c r="P27" s="2795"/>
      <c r="Q27" s="2795"/>
      <c r="R27" s="2795"/>
      <c r="S27" s="2795"/>
      <c r="T27" s="2795"/>
      <c r="U27" s="2796"/>
      <c r="V27" s="2794" t="s">
        <v>353</v>
      </c>
      <c r="W27" s="2795"/>
      <c r="X27" s="2795"/>
      <c r="Y27" s="2795"/>
      <c r="Z27" s="2795"/>
      <c r="AA27" s="2795"/>
      <c r="AB27" s="2795"/>
      <c r="AC27" s="2795"/>
      <c r="AD27" s="2795"/>
      <c r="AE27" s="2795"/>
      <c r="AF27" s="2795"/>
      <c r="AG27" s="2795"/>
      <c r="AH27" s="2795"/>
      <c r="AI27" s="2795"/>
      <c r="AJ27" s="2795"/>
      <c r="AK27" s="2795"/>
      <c r="AL27" s="2795"/>
      <c r="AM27" s="2795"/>
      <c r="AN27" s="2795"/>
      <c r="AO27" s="2795"/>
      <c r="AP27" s="2796"/>
      <c r="AQ27" s="12"/>
      <c r="AR27" s="2800"/>
      <c r="AS27" s="2800"/>
      <c r="AT27" s="2800"/>
      <c r="AU27" s="2800"/>
      <c r="AV27" s="2800"/>
      <c r="AW27" s="2800"/>
      <c r="AX27" s="65"/>
      <c r="AY27" s="65"/>
      <c r="AZ27" s="68"/>
      <c r="BA27" s="68"/>
      <c r="BB27" s="92"/>
      <c r="BC27" s="68"/>
      <c r="BD27" s="68"/>
      <c r="BE27" s="92"/>
      <c r="BF27" s="68"/>
      <c r="BG27" s="68"/>
      <c r="BH27" s="230"/>
      <c r="BI27" s="230"/>
      <c r="BJ27" s="92"/>
    </row>
    <row r="28" spans="1:64" ht="15" customHeight="1">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2">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2">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2">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2">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2">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2">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2">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2">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2">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2">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2">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2">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2">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1:62">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c r="AZ94" s="68"/>
      <c r="BA94" s="68"/>
      <c r="BB94" s="92"/>
      <c r="BC94" s="68"/>
      <c r="BD94" s="68"/>
      <c r="BE94" s="92"/>
      <c r="BF94" s="68"/>
      <c r="BG94" s="68"/>
      <c r="BH94" s="230"/>
      <c r="BI94" s="230"/>
      <c r="BJ94" s="92"/>
    </row>
    <row r="95" spans="1:62">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2">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1:64">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ht="11.25">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1:64" ht="11.25">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c r="AZ105" s="231"/>
      <c r="BA105" s="231"/>
      <c r="BB105" s="231"/>
      <c r="BC105" s="231"/>
      <c r="BD105" s="231"/>
      <c r="BE105" s="231"/>
      <c r="BF105" s="231"/>
      <c r="BG105" s="231"/>
      <c r="BH105" s="231"/>
      <c r="BI105" s="231"/>
      <c r="BJ105" s="231"/>
      <c r="BK105" s="231"/>
      <c r="BL105" s="231"/>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1:49">
      <c r="A119" s="13"/>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row r="120" spans="1:49">
      <c r="A120" s="13"/>
      <c r="B120" s="13"/>
      <c r="C120" s="13"/>
      <c r="D120" s="13"/>
      <c r="E120" s="14"/>
      <c r="F120" s="13"/>
      <c r="G120" s="13"/>
      <c r="H120" s="13"/>
      <c r="I120" s="13"/>
      <c r="J120" s="13"/>
      <c r="K120" s="13"/>
      <c r="L120" s="15"/>
      <c r="M120" s="15"/>
      <c r="N120" s="15"/>
      <c r="O120" s="15"/>
      <c r="P120" s="15"/>
      <c r="Q120" s="15"/>
      <c r="R120" s="15"/>
      <c r="S120" s="15"/>
      <c r="T120" s="15"/>
      <c r="U120" s="15"/>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5"/>
      <c r="AW120" s="15"/>
    </row>
  </sheetData>
  <sheetProtection formatCells="0" formatColumns="0" formatRows="0" insertRows="0" deleteRows="0" sort="0" autoFilter="0" pivotTables="0"/>
  <mergeCells count="97">
    <mergeCell ref="A1:AB1"/>
    <mergeCell ref="AC1:AU4"/>
    <mergeCell ref="BB1:BE1"/>
    <mergeCell ref="A2:AB2"/>
    <mergeCell ref="BB2:BC2"/>
    <mergeCell ref="BD2:BE2"/>
    <mergeCell ref="A3:D3"/>
    <mergeCell ref="E3:U3"/>
    <mergeCell ref="V3:AB3"/>
    <mergeCell ref="BB3:BC3"/>
    <mergeCell ref="AA6:BA6"/>
    <mergeCell ref="BD3:BE3"/>
    <mergeCell ref="A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B13:D13"/>
    <mergeCell ref="F13:H13"/>
    <mergeCell ref="I13:K13"/>
    <mergeCell ref="S13:U13"/>
    <mergeCell ref="B14:D14"/>
    <mergeCell ref="F14:H14"/>
    <mergeCell ref="I14:K14"/>
    <mergeCell ref="S14:U14"/>
    <mergeCell ref="B15:D15"/>
    <mergeCell ref="F15:H15"/>
    <mergeCell ref="I15:K15"/>
    <mergeCell ref="S15:U15"/>
    <mergeCell ref="B16:D16"/>
    <mergeCell ref="F16:H16"/>
    <mergeCell ref="I16:K16"/>
    <mergeCell ref="S16:U16"/>
    <mergeCell ref="B17:D17"/>
    <mergeCell ref="F17:H17"/>
    <mergeCell ref="I17:K17"/>
    <mergeCell ref="S17:U17"/>
    <mergeCell ref="B18:D18"/>
    <mergeCell ref="F18:H18"/>
    <mergeCell ref="I18:K18"/>
    <mergeCell ref="S18:U18"/>
    <mergeCell ref="B19:D19"/>
    <mergeCell ref="F19:H19"/>
    <mergeCell ref="I19:K19"/>
    <mergeCell ref="S19:U19"/>
    <mergeCell ref="B20:D20"/>
    <mergeCell ref="F20:H20"/>
    <mergeCell ref="I20:K20"/>
    <mergeCell ref="S20:U20"/>
    <mergeCell ref="B21:D21"/>
    <mergeCell ref="F21:H21"/>
    <mergeCell ref="I21:K21"/>
    <mergeCell ref="S21:U21"/>
    <mergeCell ref="B23:U23"/>
    <mergeCell ref="V24:AP24"/>
    <mergeCell ref="AR24:AW24"/>
    <mergeCell ref="B25:H25"/>
    <mergeCell ref="I25:U25"/>
    <mergeCell ref="V25:AP25"/>
    <mergeCell ref="AR25:AW25"/>
    <mergeCell ref="B24:H24"/>
    <mergeCell ref="I24:U24"/>
    <mergeCell ref="B26:H26"/>
    <mergeCell ref="I26:U26"/>
    <mergeCell ref="V26:AP26"/>
    <mergeCell ref="AR26:AW26"/>
    <mergeCell ref="B27:H27"/>
    <mergeCell ref="I27:U27"/>
    <mergeCell ref="V27:AP27"/>
    <mergeCell ref="AR27:AW27"/>
  </mergeCells>
  <dataValidations count="7">
    <dataValidation type="list" allowBlank="1" showInputMessage="1" showErrorMessage="1" sqref="L6">
      <formula1>Proceso</formula1>
    </dataValidation>
    <dataValidation type="list" showInputMessage="1" showErrorMessage="1" sqref="L10:L21">
      <formula1>Probabilidad</formula1>
    </dataValidation>
    <dataValidation type="list" allowBlank="1" showInputMessage="1" showErrorMessage="1" sqref="M10:N21">
      <formula1>Impacto</formula1>
    </dataValidation>
    <dataValidation showInputMessage="1" showErrorMessage="1" sqref="AG10:AT21"/>
    <dataValidation type="list" showInputMessage="1" showErrorMessage="1" sqref="V10:AF21">
      <formula1>Efectividad</formula1>
    </dataValidation>
    <dataValidation type="list" allowBlank="1" showInputMessage="1" sqref="AV10:AV21">
      <formula1>Periodo</formula1>
    </dataValidation>
    <dataValidation type="list" allowBlank="1" showInputMessage="1" showErrorMessage="1" sqref="BE10:BE21">
      <formula1>Efectividad</formula1>
    </dataValidation>
  </dataValidations>
  <printOptions horizontalCentered="1" verticalCentered="1"/>
  <pageMargins left="0.23622047244094491" right="0.23622047244094491" top="0.74803149606299213" bottom="0.35433070866141736" header="0.31496062992125984" footer="0.31496062992125984"/>
  <pageSetup paperSize="5" scale="88" orientation="landscape" r:id="rId1"/>
  <headerFooter>
    <oddFooter>&amp;L&amp;"Segoe UI,Normal"&amp;9Formato: FO-AC-07 Versión: 3&amp;C&amp;"Segoe UI,Normal"&amp;9Página &amp;P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20"/>
  <sheetViews>
    <sheetView showGridLines="0" zoomScaleNormal="100" zoomScaleSheetLayoutView="115" workbookViewId="0">
      <selection sqref="A1:AB1"/>
    </sheetView>
  </sheetViews>
  <sheetFormatPr baseColWidth="10" defaultRowHeight="15"/>
  <cols>
    <col min="1" max="1" width="1.140625" style="16" customWidth="1"/>
    <col min="2" max="3" width="5.42578125" style="16" customWidth="1"/>
    <col min="4" max="4" width="9.85546875" style="16" customWidth="1"/>
    <col min="5" max="5" width="7.28515625" style="17" customWidth="1"/>
    <col min="6" max="11" width="4.570312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0" width="7.140625" style="18" customWidth="1"/>
    <col min="21" max="21" width="28.570312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17" style="18" customWidth="1"/>
    <col min="50" max="50" width="29.28515625" style="21" customWidth="1"/>
    <col min="51" max="51" width="4.7109375" style="21" customWidth="1"/>
    <col min="52" max="52" width="23.140625" style="210" customWidth="1"/>
    <col min="53" max="53" width="27.5703125" style="210" customWidth="1"/>
    <col min="54" max="54" width="6.140625" style="210" customWidth="1"/>
    <col min="55" max="55" width="19.5703125" style="210" customWidth="1"/>
    <col min="56" max="56" width="42.7109375" style="210" customWidth="1"/>
    <col min="57" max="57" width="5.85546875" style="210" customWidth="1"/>
    <col min="58" max="58" width="31.5703125" style="210" customWidth="1"/>
    <col min="59" max="59" width="16.140625" style="210" customWidth="1"/>
    <col min="60" max="61" width="9.28515625" style="210" customWidth="1"/>
    <col min="62" max="62" width="11.140625" style="210" customWidth="1"/>
    <col min="63" max="63" width="2.140625" style="210" customWidth="1"/>
    <col min="64" max="64" width="11.42578125" style="210"/>
    <col min="65" max="16384" width="11.42578125" style="20"/>
  </cols>
  <sheetData>
    <row r="1" spans="1:64" ht="1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858" t="str">
        <f>UPPER([12]Control!A2)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22">
        <v>2019</v>
      </c>
      <c r="BA2" s="208"/>
      <c r="BB2" s="2830" t="s">
        <v>138</v>
      </c>
      <c r="BC2" s="2831"/>
      <c r="BD2" s="3015" t="str">
        <f>L6</f>
        <v>GESTIÓN DOCUMENTAL</v>
      </c>
      <c r="BE2" s="3016"/>
      <c r="BF2" s="208"/>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1:64" ht="15.75" customHeight="1" thickBot="1">
      <c r="A4" s="2832" t="str">
        <f>[12]Control!A4</f>
        <v>FO-PE-05</v>
      </c>
      <c r="B4" s="2833"/>
      <c r="C4" s="2833"/>
      <c r="D4" s="2834"/>
      <c r="E4" s="2835" t="str">
        <f>[12]Control!C4</f>
        <v>Planeación Estratégica</v>
      </c>
      <c r="F4" s="2833"/>
      <c r="G4" s="2833"/>
      <c r="H4" s="2833"/>
      <c r="I4" s="2833"/>
      <c r="J4" s="2833"/>
      <c r="K4" s="2833"/>
      <c r="L4" s="2833"/>
      <c r="M4" s="2833"/>
      <c r="N4" s="2833"/>
      <c r="O4" s="2833"/>
      <c r="P4" s="2833"/>
      <c r="Q4" s="2833"/>
      <c r="R4" s="2833"/>
      <c r="S4" s="2833"/>
      <c r="T4" s="2833"/>
      <c r="U4" s="2834"/>
      <c r="V4" s="2835">
        <f>[12]Control!H4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232">
        <v>43434</v>
      </c>
      <c r="BA4" s="208"/>
      <c r="BB4" s="1240">
        <v>43713</v>
      </c>
      <c r="BC4" s="1241"/>
      <c r="BD4" s="2315" t="s">
        <v>4083</v>
      </c>
      <c r="BE4" s="1243"/>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842" t="s">
        <v>73</v>
      </c>
      <c r="M6" s="2843"/>
      <c r="N6" s="2843"/>
      <c r="O6" s="2843"/>
      <c r="P6" s="2843"/>
      <c r="Q6" s="2843"/>
      <c r="R6" s="2843"/>
      <c r="S6" s="2843"/>
      <c r="T6" s="2843"/>
      <c r="U6" s="2844"/>
      <c r="V6" s="2845" t="s">
        <v>59</v>
      </c>
      <c r="W6" s="2845"/>
      <c r="X6" s="2845"/>
      <c r="Y6" s="2845"/>
      <c r="Z6" s="2845"/>
      <c r="AA6" s="2928" t="s">
        <v>367</v>
      </c>
      <c r="AB6" s="2929"/>
      <c r="AC6" s="2929"/>
      <c r="AD6" s="2929"/>
      <c r="AE6" s="2929"/>
      <c r="AF6" s="2929"/>
      <c r="AG6" s="2929"/>
      <c r="AH6" s="2929"/>
      <c r="AI6" s="2929"/>
      <c r="AJ6" s="2929"/>
      <c r="AK6" s="2929"/>
      <c r="AL6" s="2929"/>
      <c r="AM6" s="2929"/>
      <c r="AN6" s="2929"/>
      <c r="AO6" s="2929"/>
      <c r="AP6" s="2929"/>
      <c r="AQ6" s="2929"/>
      <c r="AR6" s="2929"/>
      <c r="AS6" s="2929"/>
      <c r="AT6" s="2929"/>
      <c r="AU6" s="2929"/>
      <c r="AV6" s="2929"/>
      <c r="AW6" s="2929"/>
      <c r="AX6" s="2929"/>
      <c r="AY6" s="2929"/>
      <c r="AZ6" s="2929"/>
      <c r="BA6" s="2930"/>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1:64" s="3" customFormat="1" ht="390.75" customHeight="1">
      <c r="A10" s="332"/>
      <c r="B10" s="2928" t="s">
        <v>617</v>
      </c>
      <c r="C10" s="2929"/>
      <c r="D10" s="2930"/>
      <c r="E10" s="405" t="s">
        <v>2003</v>
      </c>
      <c r="F10" s="2925" t="s">
        <v>531</v>
      </c>
      <c r="G10" s="2926"/>
      <c r="H10" s="2927"/>
      <c r="I10" s="2928" t="s">
        <v>3145</v>
      </c>
      <c r="J10" s="2929"/>
      <c r="K10" s="2930"/>
      <c r="L10" s="330" t="s">
        <v>283</v>
      </c>
      <c r="M10" s="50" t="s">
        <v>270</v>
      </c>
      <c r="N10" s="32"/>
      <c r="O10" s="6">
        <f>VLOOKUP(L10,[12]Listas!$M$69:$N$73,2,0)</f>
        <v>1</v>
      </c>
      <c r="P10" s="6"/>
      <c r="Q10" s="6">
        <f>HLOOKUP(M10,[12]Listas!$O$67:$Q$68,2,0)</f>
        <v>10</v>
      </c>
      <c r="R10" s="331" t="str">
        <f>INDEX([12]Listas!$O$69:$Q$73,MATCH(L10,[12]Listas!$M$69:$M$73,0),MATCH(M10,[12]Listas!$O$67:$Q$67,0))</f>
        <v>10
BAJA</v>
      </c>
      <c r="S10" s="2928" t="s">
        <v>3146</v>
      </c>
      <c r="T10" s="2929"/>
      <c r="U10" s="2930"/>
      <c r="V10" s="329" t="s">
        <v>65</v>
      </c>
      <c r="W10" s="329" t="s">
        <v>36</v>
      </c>
      <c r="X10" s="329" t="s">
        <v>65</v>
      </c>
      <c r="Y10" s="329" t="s">
        <v>65</v>
      </c>
      <c r="Z10" s="329" t="s">
        <v>65</v>
      </c>
      <c r="AA10" s="329" t="s">
        <v>65</v>
      </c>
      <c r="AB10" s="329" t="s">
        <v>65</v>
      </c>
      <c r="AC10" s="329" t="s">
        <v>65</v>
      </c>
      <c r="AD10" s="329" t="s">
        <v>65</v>
      </c>
      <c r="AE10" s="329" t="s">
        <v>65</v>
      </c>
      <c r="AF10" s="33"/>
      <c r="AG10" s="6">
        <f t="shared" ref="AG10:AG21" si="0">IF(Y10="SI",15,0)</f>
        <v>15</v>
      </c>
      <c r="AH10" s="6">
        <f t="shared" ref="AH10:AH21" si="1">IF(Z10="SI",5,0)</f>
        <v>5</v>
      </c>
      <c r="AI10" s="6">
        <f t="shared" ref="AI10:AI21" si="2">IF(AA10="SI",15,0)</f>
        <v>15</v>
      </c>
      <c r="AJ10" s="6">
        <f t="shared" ref="AJ10:AJ21" si="3">IF(AB10="SI",10,0)</f>
        <v>10</v>
      </c>
      <c r="AK10" s="6">
        <f t="shared" ref="AK10:AK21" si="4">IF(AC10="SI",15,0)</f>
        <v>15</v>
      </c>
      <c r="AL10" s="6">
        <f t="shared" ref="AL10:AL21" si="5">IF(AD10="SI",10,0)</f>
        <v>10</v>
      </c>
      <c r="AM10" s="6">
        <f t="shared" ref="AM10:AM21" si="6">IF(AE10="SI",30,0)</f>
        <v>30</v>
      </c>
      <c r="AN10" s="6">
        <f t="shared" ref="AN10:AN21" si="7">SUM(AG10+AH10+AI10+AJ10+AK10+AL10+AM10)</f>
        <v>100</v>
      </c>
      <c r="AO10" s="6">
        <f t="shared" ref="AO10:AO21" si="8">IF(AN10&lt;=50,0,IF(AN10&gt;=76,2,1))</f>
        <v>2</v>
      </c>
      <c r="AP10" s="331" t="str">
        <f t="shared" ref="AP10:AP21" si="9">CONCATENATE(AN10,"- disminuye ",AO10)</f>
        <v>100- disminuye 2</v>
      </c>
      <c r="AQ10" s="6">
        <f t="shared" ref="AQ10:AQ21" si="10">IF(V10="SI",O10-AO10,O10)</f>
        <v>-1</v>
      </c>
      <c r="AR10" s="331" t="str">
        <f>IF(AQ10&lt;=1,"Rara vez",VLOOKUP(AQ10,[12]Listas!$L$69:$M$73,2,0))</f>
        <v>Rara vez</v>
      </c>
      <c r="AS10" s="6">
        <f t="shared" ref="AS10:AS21" si="11">IF(W10="SI",Q10-AO10,Q10)</f>
        <v>10</v>
      </c>
      <c r="AT10" s="331" t="str">
        <f t="shared" ref="AT10:AT21" si="12">IF(AS10&lt;=9,"Moderado",IF(AS10=20,"Catastrófico",IF(AS10=18,"Moderado","Mayor")))</f>
        <v>Mayor</v>
      </c>
      <c r="AU10" s="331" t="str">
        <f>INDEX([12]Listas!$O$69:$Q$73,MATCH(AR10,[12]Listas!$M$69:$M$73,0),MATCH(AT10,[12]Listas!$O$67:$Q$67,0))</f>
        <v>10
BAJA</v>
      </c>
      <c r="AV10" s="330" t="s">
        <v>271</v>
      </c>
      <c r="AW10" s="826" t="s">
        <v>618</v>
      </c>
      <c r="AX10" s="843" t="s">
        <v>619</v>
      </c>
      <c r="AY10" s="843" t="s">
        <v>200</v>
      </c>
      <c r="AZ10" s="12" t="s">
        <v>3147</v>
      </c>
      <c r="BA10" s="12" t="s">
        <v>3580</v>
      </c>
      <c r="BB10" s="565">
        <v>0</v>
      </c>
      <c r="BC10" s="12" t="s">
        <v>3581</v>
      </c>
      <c r="BD10" s="12" t="s">
        <v>3495</v>
      </c>
      <c r="BE10" s="839" t="s">
        <v>36</v>
      </c>
      <c r="BF10" s="12"/>
      <c r="BG10" s="12"/>
      <c r="BH10" s="227"/>
      <c r="BI10" s="227"/>
      <c r="BJ10" s="839"/>
      <c r="BK10" s="228"/>
      <c r="BL10" s="228"/>
    </row>
    <row r="11" spans="1:64" s="3" customFormat="1" ht="301.5" customHeight="1">
      <c r="A11" s="332"/>
      <c r="B11" s="2928" t="s">
        <v>620</v>
      </c>
      <c r="C11" s="2929"/>
      <c r="D11" s="2930"/>
      <c r="E11" s="405" t="s">
        <v>2004</v>
      </c>
      <c r="F11" s="2925" t="s">
        <v>621</v>
      </c>
      <c r="G11" s="2926"/>
      <c r="H11" s="2927"/>
      <c r="I11" s="2928" t="s">
        <v>622</v>
      </c>
      <c r="J11" s="2929"/>
      <c r="K11" s="2930"/>
      <c r="L11" s="330" t="s">
        <v>283</v>
      </c>
      <c r="M11" s="50" t="s">
        <v>270</v>
      </c>
      <c r="N11" s="32"/>
      <c r="O11" s="6">
        <f>VLOOKUP(L11,[12]Listas!$M$69:$N$73,2,0)</f>
        <v>1</v>
      </c>
      <c r="P11" s="6"/>
      <c r="Q11" s="6">
        <f>HLOOKUP(M11,[12]Listas!$O$67:$Q$68,2,0)</f>
        <v>10</v>
      </c>
      <c r="R11" s="331" t="str">
        <f>INDEX([12]Listas!$O$69:$Q$73,MATCH(L11,[12]Listas!$M$69:$M$73,0),MATCH(M11,[12]Listas!$O$67:$Q$67,0))</f>
        <v>10
BAJA</v>
      </c>
      <c r="S11" s="2928" t="s">
        <v>967</v>
      </c>
      <c r="T11" s="2929"/>
      <c r="U11" s="2930"/>
      <c r="V11" s="329" t="s">
        <v>65</v>
      </c>
      <c r="W11" s="329" t="s">
        <v>36</v>
      </c>
      <c r="X11" s="329" t="s">
        <v>36</v>
      </c>
      <c r="Y11" s="329" t="s">
        <v>65</v>
      </c>
      <c r="Z11" s="329" t="s">
        <v>65</v>
      </c>
      <c r="AA11" s="329" t="s">
        <v>36</v>
      </c>
      <c r="AB11" s="329" t="s">
        <v>65</v>
      </c>
      <c r="AC11" s="329" t="s">
        <v>65</v>
      </c>
      <c r="AD11" s="329" t="s">
        <v>65</v>
      </c>
      <c r="AE11" s="329" t="s">
        <v>65</v>
      </c>
      <c r="AF11" s="33"/>
      <c r="AG11" s="6">
        <f t="shared" si="0"/>
        <v>15</v>
      </c>
      <c r="AH11" s="6">
        <f t="shared" si="1"/>
        <v>5</v>
      </c>
      <c r="AI11" s="6">
        <f t="shared" si="2"/>
        <v>0</v>
      </c>
      <c r="AJ11" s="6">
        <f t="shared" si="3"/>
        <v>10</v>
      </c>
      <c r="AK11" s="6">
        <f t="shared" si="4"/>
        <v>15</v>
      </c>
      <c r="AL11" s="6">
        <f t="shared" si="5"/>
        <v>10</v>
      </c>
      <c r="AM11" s="6">
        <f t="shared" si="6"/>
        <v>30</v>
      </c>
      <c r="AN11" s="6">
        <f t="shared" si="7"/>
        <v>85</v>
      </c>
      <c r="AO11" s="6">
        <f t="shared" si="8"/>
        <v>2</v>
      </c>
      <c r="AP11" s="331" t="str">
        <f t="shared" si="9"/>
        <v>85- disminuye 2</v>
      </c>
      <c r="AQ11" s="6">
        <f t="shared" si="10"/>
        <v>-1</v>
      </c>
      <c r="AR11" s="331" t="str">
        <f>IF(AQ11&lt;=1,"Rara vez",VLOOKUP(AQ11,[12]Listas!$L$69:$M$73,2,0))</f>
        <v>Rara vez</v>
      </c>
      <c r="AS11" s="6">
        <f t="shared" si="11"/>
        <v>10</v>
      </c>
      <c r="AT11" s="331" t="str">
        <f t="shared" si="12"/>
        <v>Mayor</v>
      </c>
      <c r="AU11" s="331" t="str">
        <f>INDEX([12]Listas!$O$69:$Q$73,MATCH(AR11,[12]Listas!$M$69:$M$73,0),MATCH(AT11,[12]Listas!$O$67:$Q$67,0))</f>
        <v>10
BAJA</v>
      </c>
      <c r="AV11" s="330" t="s">
        <v>271</v>
      </c>
      <c r="AW11" s="826" t="s">
        <v>623</v>
      </c>
      <c r="AX11" s="843" t="s">
        <v>624</v>
      </c>
      <c r="AY11" s="843" t="s">
        <v>3148</v>
      </c>
      <c r="AZ11" s="12" t="s">
        <v>3149</v>
      </c>
      <c r="BA11" s="12" t="s">
        <v>3582</v>
      </c>
      <c r="BB11" s="565">
        <v>0</v>
      </c>
      <c r="BC11" s="12" t="s">
        <v>3583</v>
      </c>
      <c r="BD11" s="12" t="s">
        <v>3495</v>
      </c>
      <c r="BE11" s="839" t="s">
        <v>36</v>
      </c>
      <c r="BF11" s="12"/>
      <c r="BG11" s="12"/>
      <c r="BH11" s="227"/>
      <c r="BI11" s="227"/>
      <c r="BJ11" s="839"/>
      <c r="BK11" s="228"/>
      <c r="BL11" s="228"/>
    </row>
    <row r="12" spans="1:64" s="3" customFormat="1" ht="108" hidden="1" customHeight="1">
      <c r="A12" s="332"/>
      <c r="B12" s="2805"/>
      <c r="C12" s="2806"/>
      <c r="D12" s="2807"/>
      <c r="E12" s="843"/>
      <c r="F12" s="2808"/>
      <c r="G12" s="2809"/>
      <c r="H12" s="2810"/>
      <c r="I12" s="2805"/>
      <c r="J12" s="2806"/>
      <c r="K12" s="2807"/>
      <c r="L12" s="330"/>
      <c r="M12" s="50"/>
      <c r="N12" s="32"/>
      <c r="O12" s="6" t="e">
        <f>VLOOKUP(L12,[12]Listas!$M$69:$N$73,2,0)</f>
        <v>#N/A</v>
      </c>
      <c r="P12" s="6"/>
      <c r="Q12" s="6" t="e">
        <f>HLOOKUP(M12,[12]Listas!$O$67:$Q$68,2,0)</f>
        <v>#N/A</v>
      </c>
      <c r="R12" s="331" t="e">
        <f>INDEX([12]Listas!$O$69:$Q$73,MATCH(L12,[12]Listas!$M$69:$M$73,0),MATCH(M12,[12]Listas!$O$67:$Q$67,0))</f>
        <v>#N/A</v>
      </c>
      <c r="S12" s="2805"/>
      <c r="T12" s="2806"/>
      <c r="U12" s="2807"/>
      <c r="V12" s="329"/>
      <c r="W12" s="329"/>
      <c r="X12" s="329"/>
      <c r="Y12" s="329"/>
      <c r="Z12" s="329"/>
      <c r="AA12" s="329"/>
      <c r="AB12" s="329"/>
      <c r="AC12" s="329"/>
      <c r="AD12" s="329"/>
      <c r="AE12" s="329"/>
      <c r="AF12" s="33"/>
      <c r="AG12" s="6">
        <f>IF(Y12="SI",15,0)</f>
        <v>0</v>
      </c>
      <c r="AH12" s="6">
        <f>IF(Z12="SI",5,0)</f>
        <v>0</v>
      </c>
      <c r="AI12" s="6">
        <f>IF(AA12="SI",15,0)</f>
        <v>0</v>
      </c>
      <c r="AJ12" s="6">
        <f>IF(AB12="SI",10,0)</f>
        <v>0</v>
      </c>
      <c r="AK12" s="6">
        <f>IF(AC12="SI",15,0)</f>
        <v>0</v>
      </c>
      <c r="AL12" s="6">
        <f>IF(AD12="SI",10,0)</f>
        <v>0</v>
      </c>
      <c r="AM12" s="6">
        <f>IF(AE12="SI",30,0)</f>
        <v>0</v>
      </c>
      <c r="AN12" s="6">
        <f>SUM(AG12+AH12+AI12+AJ12+AK12+AL12+AM12)</f>
        <v>0</v>
      </c>
      <c r="AO12" s="6">
        <f>IF(AN12&lt;=50,0,IF(AN12&gt;=76,2,1))</f>
        <v>0</v>
      </c>
      <c r="AP12" s="331" t="str">
        <f>CONCATENATE(AN12,"- disminuye ",AO12)</f>
        <v>0- disminuye 0</v>
      </c>
      <c r="AQ12" s="6" t="e">
        <f>IF(V12="SI",O12-AO12,O12)</f>
        <v>#N/A</v>
      </c>
      <c r="AR12" s="331" t="e">
        <f>IF(AQ12&lt;=1,"Rara vez",VLOOKUP(AQ12,[12]Listas!$L$69:$M$73,2,0))</f>
        <v>#N/A</v>
      </c>
      <c r="AS12" s="6" t="e">
        <f>IF(W12="SI",Q12-AO12,Q12)</f>
        <v>#N/A</v>
      </c>
      <c r="AT12" s="331" t="e">
        <f>IF(AS12&lt;=9,"Moderado",IF(AS12=20,"Catastrófico",IF(AS12=18,"Moderado","Mayor")))</f>
        <v>#N/A</v>
      </c>
      <c r="AU12" s="331" t="e">
        <f>INDEX([12]Listas!$O$69:$Q$73,MATCH(AR12,[12]Listas!$M$69:$M$73,0),MATCH(AT12,[12]Listas!$O$67:$Q$67,0))</f>
        <v>#N/A</v>
      </c>
      <c r="AV12" s="330"/>
      <c r="AW12" s="826"/>
      <c r="AX12" s="843"/>
      <c r="AY12" s="843"/>
      <c r="AZ12" s="12"/>
      <c r="BA12" s="12"/>
      <c r="BB12" s="839"/>
      <c r="BC12" s="12"/>
      <c r="BD12" s="12" t="s">
        <v>2343</v>
      </c>
      <c r="BE12" s="839"/>
      <c r="BF12" s="12"/>
      <c r="BG12" s="12"/>
      <c r="BH12" s="227"/>
      <c r="BI12" s="227"/>
      <c r="BJ12" s="839"/>
      <c r="BK12" s="228"/>
      <c r="BL12" s="228"/>
    </row>
    <row r="13" spans="1:64" s="3" customFormat="1" ht="108" hidden="1" customHeight="1">
      <c r="A13" s="332"/>
      <c r="B13" s="2805"/>
      <c r="C13" s="2806"/>
      <c r="D13" s="2807"/>
      <c r="E13" s="843"/>
      <c r="F13" s="2808"/>
      <c r="G13" s="2809"/>
      <c r="H13" s="2810"/>
      <c r="I13" s="2805"/>
      <c r="J13" s="2806"/>
      <c r="K13" s="2807"/>
      <c r="L13" s="330"/>
      <c r="M13" s="50"/>
      <c r="N13" s="32"/>
      <c r="O13" s="6" t="e">
        <f>VLOOKUP(L13,[12]Listas!$M$69:$N$73,2,0)</f>
        <v>#N/A</v>
      </c>
      <c r="P13" s="6"/>
      <c r="Q13" s="6" t="e">
        <f>HLOOKUP(M13,[12]Listas!$O$67:$Q$68,2,0)</f>
        <v>#N/A</v>
      </c>
      <c r="R13" s="331" t="e">
        <f>INDEX([12]Listas!$O$69:$Q$73,MATCH(L13,[12]Listas!$M$69:$M$73,0),MATCH(M13,[12]Listas!$O$67:$Q$67,0))</f>
        <v>#N/A</v>
      </c>
      <c r="S13" s="2805"/>
      <c r="T13" s="2806"/>
      <c r="U13" s="2807"/>
      <c r="V13" s="329"/>
      <c r="W13" s="329"/>
      <c r="X13" s="329"/>
      <c r="Y13" s="329"/>
      <c r="Z13" s="329"/>
      <c r="AA13" s="329"/>
      <c r="AB13" s="329"/>
      <c r="AC13" s="329"/>
      <c r="AD13" s="329"/>
      <c r="AE13" s="329"/>
      <c r="AF13" s="33"/>
      <c r="AG13" s="6">
        <f>IF(Y13="SI",15,0)</f>
        <v>0</v>
      </c>
      <c r="AH13" s="6">
        <f>IF(Z13="SI",5,0)</f>
        <v>0</v>
      </c>
      <c r="AI13" s="6">
        <f>IF(AA13="SI",15,0)</f>
        <v>0</v>
      </c>
      <c r="AJ13" s="6">
        <f>IF(AB13="SI",10,0)</f>
        <v>0</v>
      </c>
      <c r="AK13" s="6">
        <f>IF(AC13="SI",15,0)</f>
        <v>0</v>
      </c>
      <c r="AL13" s="6">
        <f>IF(AD13="SI",10,0)</f>
        <v>0</v>
      </c>
      <c r="AM13" s="6">
        <f>IF(AE13="SI",30,0)</f>
        <v>0</v>
      </c>
      <c r="AN13" s="6">
        <f>SUM(AG13+AH13+AI13+AJ13+AK13+AL13+AM13)</f>
        <v>0</v>
      </c>
      <c r="AO13" s="6">
        <f>IF(AN13&lt;=50,0,IF(AN13&gt;=76,2,1))</f>
        <v>0</v>
      </c>
      <c r="AP13" s="331" t="str">
        <f>CONCATENATE(AN13,"- disminuye ",AO13)</f>
        <v>0- disminuye 0</v>
      </c>
      <c r="AQ13" s="6" t="e">
        <f>IF(V13="SI",O13-AO13,O13)</f>
        <v>#N/A</v>
      </c>
      <c r="AR13" s="331" t="e">
        <f>IF(AQ13&lt;=1,"Rara vez",VLOOKUP(AQ13,[12]Listas!$L$69:$M$73,2,0))</f>
        <v>#N/A</v>
      </c>
      <c r="AS13" s="6" t="e">
        <f>IF(W13="SI",Q13-AO13,Q13)</f>
        <v>#N/A</v>
      </c>
      <c r="AT13" s="331" t="e">
        <f>IF(AS13&lt;=9,"Moderado",IF(AS13=20,"Catastrófico",IF(AS13=18,"Moderado","Mayor")))</f>
        <v>#N/A</v>
      </c>
      <c r="AU13" s="331" t="e">
        <f>INDEX([12]Listas!$O$69:$Q$73,MATCH(AR13,[12]Listas!$M$69:$M$73,0),MATCH(AT13,[12]Listas!$O$67:$Q$67,0))</f>
        <v>#N/A</v>
      </c>
      <c r="AV13" s="330"/>
      <c r="AW13" s="826"/>
      <c r="AX13" s="843"/>
      <c r="AY13" s="843"/>
      <c r="AZ13" s="12"/>
      <c r="BA13" s="12"/>
      <c r="BB13" s="839"/>
      <c r="BC13" s="12"/>
      <c r="BD13" s="12" t="s">
        <v>2343</v>
      </c>
      <c r="BE13" s="839"/>
      <c r="BF13" s="12"/>
      <c r="BG13" s="12"/>
      <c r="BH13" s="227"/>
      <c r="BI13" s="227"/>
      <c r="BJ13" s="839"/>
      <c r="BK13" s="228"/>
      <c r="BL13" s="228"/>
    </row>
    <row r="14" spans="1:64" s="3" customFormat="1" ht="108" hidden="1" customHeight="1">
      <c r="A14" s="332"/>
      <c r="B14" s="2805"/>
      <c r="C14" s="2806"/>
      <c r="D14" s="2807"/>
      <c r="E14" s="843"/>
      <c r="F14" s="2808"/>
      <c r="G14" s="2809"/>
      <c r="H14" s="2810"/>
      <c r="I14" s="2805"/>
      <c r="J14" s="2806"/>
      <c r="K14" s="2807"/>
      <c r="L14" s="330"/>
      <c r="M14" s="50"/>
      <c r="N14" s="32"/>
      <c r="O14" s="6" t="e">
        <f>VLOOKUP(L14,[12]Listas!$M$69:$N$73,2,0)</f>
        <v>#N/A</v>
      </c>
      <c r="P14" s="6"/>
      <c r="Q14" s="6" t="e">
        <f>HLOOKUP(M14,[12]Listas!$O$67:$Q$68,2,0)</f>
        <v>#N/A</v>
      </c>
      <c r="R14" s="331" t="e">
        <f>INDEX([12]Listas!$O$69:$Q$73,MATCH(L14,[12]Listas!$M$69:$M$73,0),MATCH(M14,[12]Listas!$O$67:$Q$67,0))</f>
        <v>#N/A</v>
      </c>
      <c r="S14" s="2805"/>
      <c r="T14" s="2806"/>
      <c r="U14" s="2807"/>
      <c r="V14" s="329"/>
      <c r="W14" s="329"/>
      <c r="X14" s="329"/>
      <c r="Y14" s="329"/>
      <c r="Z14" s="329"/>
      <c r="AA14" s="329"/>
      <c r="AB14" s="329"/>
      <c r="AC14" s="329"/>
      <c r="AD14" s="329"/>
      <c r="AE14" s="329"/>
      <c r="AF14" s="33"/>
      <c r="AG14" s="6">
        <f>IF(Y14="SI",15,0)</f>
        <v>0</v>
      </c>
      <c r="AH14" s="6">
        <f>IF(Z14="SI",5,0)</f>
        <v>0</v>
      </c>
      <c r="AI14" s="6">
        <f>IF(AA14="SI",15,0)</f>
        <v>0</v>
      </c>
      <c r="AJ14" s="6">
        <f>IF(AB14="SI",10,0)</f>
        <v>0</v>
      </c>
      <c r="AK14" s="6">
        <f>IF(AC14="SI",15,0)</f>
        <v>0</v>
      </c>
      <c r="AL14" s="6">
        <f>IF(AD14="SI",10,0)</f>
        <v>0</v>
      </c>
      <c r="AM14" s="6">
        <f>IF(AE14="SI",30,0)</f>
        <v>0</v>
      </c>
      <c r="AN14" s="6">
        <f>SUM(AG14+AH14+AI14+AJ14+AK14+AL14+AM14)</f>
        <v>0</v>
      </c>
      <c r="AO14" s="6">
        <f>IF(AN14&lt;=50,0,IF(AN14&gt;=76,2,1))</f>
        <v>0</v>
      </c>
      <c r="AP14" s="331" t="str">
        <f>CONCATENATE(AN14,"- disminuye ",AO14)</f>
        <v>0- disminuye 0</v>
      </c>
      <c r="AQ14" s="6" t="e">
        <f>IF(V14="SI",O14-AO14,O14)</f>
        <v>#N/A</v>
      </c>
      <c r="AR14" s="331" t="e">
        <f>IF(AQ14&lt;=1,"Rara vez",VLOOKUP(AQ14,[12]Listas!$L$69:$M$73,2,0))</f>
        <v>#N/A</v>
      </c>
      <c r="AS14" s="6" t="e">
        <f>IF(W14="SI",Q14-AO14,Q14)</f>
        <v>#N/A</v>
      </c>
      <c r="AT14" s="331" t="e">
        <f>IF(AS14&lt;=9,"Moderado",IF(AS14=20,"Catastrófico",IF(AS14=18,"Moderado","Mayor")))</f>
        <v>#N/A</v>
      </c>
      <c r="AU14" s="331" t="e">
        <f>INDEX([12]Listas!$O$69:$Q$73,MATCH(AR14,[12]Listas!$M$69:$M$73,0),MATCH(AT14,[12]Listas!$O$67:$Q$67,0))</f>
        <v>#N/A</v>
      </c>
      <c r="AV14" s="330"/>
      <c r="AW14" s="826"/>
      <c r="AX14" s="843"/>
      <c r="AY14" s="843"/>
      <c r="AZ14" s="12"/>
      <c r="BA14" s="12"/>
      <c r="BB14" s="839"/>
      <c r="BC14" s="12"/>
      <c r="BD14" s="12" t="s">
        <v>2343</v>
      </c>
      <c r="BE14" s="839"/>
      <c r="BF14" s="12"/>
      <c r="BG14" s="12"/>
      <c r="BH14" s="227"/>
      <c r="BI14" s="227"/>
      <c r="BJ14" s="839"/>
      <c r="BK14" s="228"/>
      <c r="BL14" s="228"/>
    </row>
    <row r="15" spans="1:64" s="3" customFormat="1" ht="108" hidden="1" customHeight="1">
      <c r="A15" s="332"/>
      <c r="B15" s="2805"/>
      <c r="C15" s="2806"/>
      <c r="D15" s="2807"/>
      <c r="E15" s="843"/>
      <c r="F15" s="2808"/>
      <c r="G15" s="2809"/>
      <c r="H15" s="2810"/>
      <c r="I15" s="2805"/>
      <c r="J15" s="2806"/>
      <c r="K15" s="2807"/>
      <c r="L15" s="330"/>
      <c r="M15" s="50"/>
      <c r="N15" s="32"/>
      <c r="O15" s="6" t="e">
        <f>VLOOKUP(L15,[12]Listas!$M$69:$N$73,2,0)</f>
        <v>#N/A</v>
      </c>
      <c r="P15" s="6"/>
      <c r="Q15" s="6" t="e">
        <f>HLOOKUP(M15,[12]Listas!$O$67:$Q$68,2,0)</f>
        <v>#N/A</v>
      </c>
      <c r="R15" s="331" t="e">
        <f>INDEX([12]Listas!$O$69:$Q$73,MATCH(L15,[12]Listas!$M$69:$M$73,0),MATCH(M15,[12]Listas!$O$67:$Q$67,0))</f>
        <v>#N/A</v>
      </c>
      <c r="S15" s="2805"/>
      <c r="T15" s="2806"/>
      <c r="U15" s="2807"/>
      <c r="V15" s="329"/>
      <c r="W15" s="329"/>
      <c r="X15" s="329"/>
      <c r="Y15" s="329"/>
      <c r="Z15" s="329"/>
      <c r="AA15" s="329"/>
      <c r="AB15" s="329"/>
      <c r="AC15" s="329"/>
      <c r="AD15" s="329"/>
      <c r="AE15" s="329"/>
      <c r="AF15" s="33"/>
      <c r="AG15" s="6">
        <f t="shared" si="0"/>
        <v>0</v>
      </c>
      <c r="AH15" s="6">
        <f t="shared" si="1"/>
        <v>0</v>
      </c>
      <c r="AI15" s="6">
        <f t="shared" si="2"/>
        <v>0</v>
      </c>
      <c r="AJ15" s="6">
        <f t="shared" si="3"/>
        <v>0</v>
      </c>
      <c r="AK15" s="6">
        <f t="shared" si="4"/>
        <v>0</v>
      </c>
      <c r="AL15" s="6">
        <f t="shared" si="5"/>
        <v>0</v>
      </c>
      <c r="AM15" s="6">
        <f t="shared" si="6"/>
        <v>0</v>
      </c>
      <c r="AN15" s="6">
        <f t="shared" si="7"/>
        <v>0</v>
      </c>
      <c r="AO15" s="6">
        <f t="shared" si="8"/>
        <v>0</v>
      </c>
      <c r="AP15" s="331" t="str">
        <f t="shared" si="9"/>
        <v>0- disminuye 0</v>
      </c>
      <c r="AQ15" s="6" t="e">
        <f t="shared" si="10"/>
        <v>#N/A</v>
      </c>
      <c r="AR15" s="331" t="e">
        <f>IF(AQ15&lt;=1,"Rara vez",VLOOKUP(AQ15,[12]Listas!$L$69:$M$73,2,0))</f>
        <v>#N/A</v>
      </c>
      <c r="AS15" s="6" t="e">
        <f t="shared" si="11"/>
        <v>#N/A</v>
      </c>
      <c r="AT15" s="331" t="e">
        <f t="shared" si="12"/>
        <v>#N/A</v>
      </c>
      <c r="AU15" s="331" t="e">
        <f>INDEX([12]Listas!$O$69:$Q$73,MATCH(AR15,[12]Listas!$M$69:$M$73,0),MATCH(AT15,[12]Listas!$O$67:$Q$67,0))</f>
        <v>#N/A</v>
      </c>
      <c r="AV15" s="330"/>
      <c r="AW15" s="826"/>
      <c r="AX15" s="843"/>
      <c r="AY15" s="843"/>
      <c r="AZ15" s="12"/>
      <c r="BA15" s="12"/>
      <c r="BB15" s="839"/>
      <c r="BC15" s="12"/>
      <c r="BD15" s="12" t="s">
        <v>2343</v>
      </c>
      <c r="BE15" s="839"/>
      <c r="BF15" s="12"/>
      <c r="BG15" s="12"/>
      <c r="BH15" s="227"/>
      <c r="BI15" s="227"/>
      <c r="BJ15" s="839"/>
      <c r="BK15" s="228"/>
      <c r="BL15" s="228"/>
    </row>
    <row r="16" spans="1:64" s="3" customFormat="1" ht="108" hidden="1" customHeight="1">
      <c r="A16" s="332"/>
      <c r="B16" s="2805"/>
      <c r="C16" s="2806"/>
      <c r="D16" s="2807"/>
      <c r="E16" s="843"/>
      <c r="F16" s="2808"/>
      <c r="G16" s="2809"/>
      <c r="H16" s="2810"/>
      <c r="I16" s="2805"/>
      <c r="J16" s="2806"/>
      <c r="K16" s="2807"/>
      <c r="L16" s="330"/>
      <c r="M16" s="50"/>
      <c r="N16" s="32"/>
      <c r="O16" s="6" t="e">
        <f>VLOOKUP(L16,[12]Listas!$M$69:$N$73,2,0)</f>
        <v>#N/A</v>
      </c>
      <c r="P16" s="6"/>
      <c r="Q16" s="6" t="e">
        <f>HLOOKUP(M16,[12]Listas!$O$67:$Q$68,2,0)</f>
        <v>#N/A</v>
      </c>
      <c r="R16" s="331" t="e">
        <f>INDEX([12]Listas!$O$69:$Q$73,MATCH(L16,[12]Listas!$M$69:$M$73,0),MATCH(M16,[12]Listas!$O$67:$Q$67,0))</f>
        <v>#N/A</v>
      </c>
      <c r="S16" s="2805"/>
      <c r="T16" s="2806"/>
      <c r="U16" s="2807"/>
      <c r="V16" s="329"/>
      <c r="W16" s="329"/>
      <c r="X16" s="329"/>
      <c r="Y16" s="329"/>
      <c r="Z16" s="329"/>
      <c r="AA16" s="329"/>
      <c r="AB16" s="329"/>
      <c r="AC16" s="329"/>
      <c r="AD16" s="329"/>
      <c r="AE16" s="329"/>
      <c r="AF16" s="33"/>
      <c r="AG16" s="6">
        <f t="shared" si="0"/>
        <v>0</v>
      </c>
      <c r="AH16" s="6">
        <f t="shared" si="1"/>
        <v>0</v>
      </c>
      <c r="AI16" s="6">
        <f t="shared" si="2"/>
        <v>0</v>
      </c>
      <c r="AJ16" s="6">
        <f t="shared" si="3"/>
        <v>0</v>
      </c>
      <c r="AK16" s="6">
        <f t="shared" si="4"/>
        <v>0</v>
      </c>
      <c r="AL16" s="6">
        <f t="shared" si="5"/>
        <v>0</v>
      </c>
      <c r="AM16" s="6">
        <f t="shared" si="6"/>
        <v>0</v>
      </c>
      <c r="AN16" s="6">
        <f t="shared" si="7"/>
        <v>0</v>
      </c>
      <c r="AO16" s="6">
        <f t="shared" si="8"/>
        <v>0</v>
      </c>
      <c r="AP16" s="331" t="str">
        <f t="shared" si="9"/>
        <v>0- disminuye 0</v>
      </c>
      <c r="AQ16" s="6" t="e">
        <f t="shared" si="10"/>
        <v>#N/A</v>
      </c>
      <c r="AR16" s="331" t="e">
        <f>IF(AQ16&lt;=1,"Rara vez",VLOOKUP(AQ16,[12]Listas!$L$69:$M$73,2,0))</f>
        <v>#N/A</v>
      </c>
      <c r="AS16" s="6" t="e">
        <f t="shared" si="11"/>
        <v>#N/A</v>
      </c>
      <c r="AT16" s="331" t="e">
        <f t="shared" si="12"/>
        <v>#N/A</v>
      </c>
      <c r="AU16" s="331" t="e">
        <f>INDEX([12]Listas!$O$69:$Q$73,MATCH(AR16,[12]Listas!$M$69:$M$73,0),MATCH(AT16,[12]Listas!$O$67:$Q$67,0))</f>
        <v>#N/A</v>
      </c>
      <c r="AV16" s="330"/>
      <c r="AW16" s="826"/>
      <c r="AX16" s="843"/>
      <c r="AY16" s="843"/>
      <c r="AZ16" s="12"/>
      <c r="BA16" s="12"/>
      <c r="BB16" s="839"/>
      <c r="BC16" s="12"/>
      <c r="BD16" s="12" t="s">
        <v>2343</v>
      </c>
      <c r="BE16" s="839"/>
      <c r="BF16" s="12"/>
      <c r="BG16" s="12"/>
      <c r="BH16" s="227"/>
      <c r="BI16" s="227"/>
      <c r="BJ16" s="839"/>
      <c r="BK16" s="228"/>
      <c r="BL16" s="228"/>
    </row>
    <row r="17" spans="1:64" s="3" customFormat="1" ht="108" hidden="1" customHeight="1">
      <c r="A17" s="332"/>
      <c r="B17" s="2805"/>
      <c r="C17" s="2806"/>
      <c r="D17" s="2807"/>
      <c r="E17" s="843"/>
      <c r="F17" s="2808"/>
      <c r="G17" s="2809"/>
      <c r="H17" s="2810"/>
      <c r="I17" s="2805"/>
      <c r="J17" s="2806"/>
      <c r="K17" s="2807"/>
      <c r="L17" s="330"/>
      <c r="M17" s="50"/>
      <c r="N17" s="32"/>
      <c r="O17" s="6" t="e">
        <f>VLOOKUP(L17,[12]Listas!$M$69:$N$73,2,0)</f>
        <v>#N/A</v>
      </c>
      <c r="P17" s="6"/>
      <c r="Q17" s="6" t="e">
        <f>HLOOKUP(M17,[12]Listas!$O$67:$Q$68,2,0)</f>
        <v>#N/A</v>
      </c>
      <c r="R17" s="331" t="e">
        <f>INDEX([12]Listas!$O$69:$Q$73,MATCH(L17,[12]Listas!$M$69:$M$73,0),MATCH(M17,[12]Listas!$O$67:$Q$67,0))</f>
        <v>#N/A</v>
      </c>
      <c r="S17" s="2805"/>
      <c r="T17" s="2806"/>
      <c r="U17" s="2807"/>
      <c r="V17" s="329"/>
      <c r="W17" s="329"/>
      <c r="X17" s="329"/>
      <c r="Y17" s="329"/>
      <c r="Z17" s="329"/>
      <c r="AA17" s="329"/>
      <c r="AB17" s="329"/>
      <c r="AC17" s="329"/>
      <c r="AD17" s="329"/>
      <c r="AE17" s="329"/>
      <c r="AF17" s="33"/>
      <c r="AG17" s="6">
        <f>IF(Y17="SI",15,0)</f>
        <v>0</v>
      </c>
      <c r="AH17" s="6">
        <f>IF(Z17="SI",5,0)</f>
        <v>0</v>
      </c>
      <c r="AI17" s="6">
        <f>IF(AA17="SI",15,0)</f>
        <v>0</v>
      </c>
      <c r="AJ17" s="6">
        <f>IF(AB17="SI",10,0)</f>
        <v>0</v>
      </c>
      <c r="AK17" s="6">
        <f>IF(AC17="SI",15,0)</f>
        <v>0</v>
      </c>
      <c r="AL17" s="6">
        <f>IF(AD17="SI",10,0)</f>
        <v>0</v>
      </c>
      <c r="AM17" s="6">
        <f>IF(AE17="SI",30,0)</f>
        <v>0</v>
      </c>
      <c r="AN17" s="6">
        <f>SUM(AG17+AH17+AI17+AJ17+AK17+AL17+AM17)</f>
        <v>0</v>
      </c>
      <c r="AO17" s="6">
        <f>IF(AN17&lt;=50,0,IF(AN17&gt;=76,2,1))</f>
        <v>0</v>
      </c>
      <c r="AP17" s="331" t="str">
        <f>CONCATENATE(AN17,"- disminuye ",AO17)</f>
        <v>0- disminuye 0</v>
      </c>
      <c r="AQ17" s="6" t="e">
        <f>IF(V17="SI",O17-AO17,O17)</f>
        <v>#N/A</v>
      </c>
      <c r="AR17" s="331" t="e">
        <f>IF(AQ17&lt;=1,"Rara vez",VLOOKUP(AQ17,[12]Listas!$L$69:$M$73,2,0))</f>
        <v>#N/A</v>
      </c>
      <c r="AS17" s="6" t="e">
        <f>IF(W17="SI",Q17-AO17,Q17)</f>
        <v>#N/A</v>
      </c>
      <c r="AT17" s="331" t="e">
        <f>IF(AS17&lt;=9,"Moderado",IF(AS17=20,"Catastrófico",IF(AS17=18,"Moderado","Mayor")))</f>
        <v>#N/A</v>
      </c>
      <c r="AU17" s="331" t="e">
        <f>INDEX([12]Listas!$O$69:$Q$73,MATCH(AR17,[12]Listas!$M$69:$M$73,0),MATCH(AT17,[12]Listas!$O$67:$Q$67,0))</f>
        <v>#N/A</v>
      </c>
      <c r="AV17" s="330"/>
      <c r="AW17" s="826"/>
      <c r="AX17" s="843"/>
      <c r="AY17" s="843"/>
      <c r="AZ17" s="12"/>
      <c r="BA17" s="12"/>
      <c r="BB17" s="839"/>
      <c r="BC17" s="12"/>
      <c r="BD17" s="12" t="s">
        <v>2343</v>
      </c>
      <c r="BE17" s="839"/>
      <c r="BF17" s="12"/>
      <c r="BG17" s="12"/>
      <c r="BH17" s="227"/>
      <c r="BI17" s="227"/>
      <c r="BJ17" s="839"/>
      <c r="BK17" s="228"/>
      <c r="BL17" s="228"/>
    </row>
    <row r="18" spans="1:64" s="3" customFormat="1" ht="108" hidden="1" customHeight="1">
      <c r="A18" s="332"/>
      <c r="B18" s="2805"/>
      <c r="C18" s="2806"/>
      <c r="D18" s="2807"/>
      <c r="E18" s="843"/>
      <c r="F18" s="2808"/>
      <c r="G18" s="2809"/>
      <c r="H18" s="2810"/>
      <c r="I18" s="2805"/>
      <c r="J18" s="2806"/>
      <c r="K18" s="2807"/>
      <c r="L18" s="330"/>
      <c r="M18" s="50"/>
      <c r="N18" s="32"/>
      <c r="O18" s="6" t="e">
        <f>VLOOKUP(L18,[12]Listas!$M$69:$N$73,2,0)</f>
        <v>#N/A</v>
      </c>
      <c r="P18" s="6"/>
      <c r="Q18" s="6" t="e">
        <f>HLOOKUP(M18,[12]Listas!$O$67:$Q$68,2,0)</f>
        <v>#N/A</v>
      </c>
      <c r="R18" s="331" t="e">
        <f>INDEX([12]Listas!$O$69:$Q$73,MATCH(L18,[12]Listas!$M$69:$M$73,0),MATCH(M18,[12]Listas!$O$67:$Q$67,0))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vez",VLOOKUP(AQ18,[12]Listas!$L$69:$M$73,2,0))</f>
        <v>#N/A</v>
      </c>
      <c r="AS18" s="6" t="e">
        <f t="shared" si="11"/>
        <v>#N/A</v>
      </c>
      <c r="AT18" s="331" t="e">
        <f t="shared" si="12"/>
        <v>#N/A</v>
      </c>
      <c r="AU18" s="331" t="e">
        <f>INDEX([12]Listas!$O$69:$Q$73,MATCH(AR18,[12]Listas!$M$69:$M$73,0),MATCH(AT18,[12]Listas!$O$67:$Q$67,0))</f>
        <v>#N/A</v>
      </c>
      <c r="AV18" s="330"/>
      <c r="AW18" s="826"/>
      <c r="AX18" s="843"/>
      <c r="AY18" s="843"/>
      <c r="AZ18" s="12"/>
      <c r="BA18" s="12"/>
      <c r="BB18" s="839"/>
      <c r="BC18" s="12"/>
      <c r="BD18" s="12" t="s">
        <v>2343</v>
      </c>
      <c r="BE18" s="839"/>
      <c r="BF18" s="12"/>
      <c r="BG18" s="12"/>
      <c r="BH18" s="227"/>
      <c r="BI18" s="227"/>
      <c r="BJ18" s="839"/>
      <c r="BK18" s="228"/>
      <c r="BL18" s="228"/>
    </row>
    <row r="19" spans="1:64" s="3" customFormat="1" ht="108" hidden="1" customHeight="1">
      <c r="A19" s="332"/>
      <c r="B19" s="2805"/>
      <c r="C19" s="2806"/>
      <c r="D19" s="2807"/>
      <c r="E19" s="843"/>
      <c r="F19" s="2808"/>
      <c r="G19" s="2809"/>
      <c r="H19" s="2810"/>
      <c r="I19" s="2805"/>
      <c r="J19" s="2806"/>
      <c r="K19" s="2807"/>
      <c r="L19" s="330"/>
      <c r="M19" s="50"/>
      <c r="N19" s="32"/>
      <c r="O19" s="6" t="e">
        <f>VLOOKUP(L19,[12]Listas!$M$69:$N$73,2,0)</f>
        <v>#N/A</v>
      </c>
      <c r="P19" s="6"/>
      <c r="Q19" s="6" t="e">
        <f>HLOOKUP(M19,[12]Listas!$O$67:$Q$68,2,0)</f>
        <v>#N/A</v>
      </c>
      <c r="R19" s="331" t="e">
        <f>INDEX([12]Listas!$O$69:$Q$73,MATCH(L19,[12]Listas!$M$69:$M$73,0),MATCH(M19,[12]Listas!$O$67:$Q$67,0))</f>
        <v>#N/A</v>
      </c>
      <c r="S19" s="2805"/>
      <c r="T19" s="2806"/>
      <c r="U19" s="2807"/>
      <c r="V19" s="329"/>
      <c r="W19" s="329"/>
      <c r="X19" s="329"/>
      <c r="Y19" s="329"/>
      <c r="Z19" s="329"/>
      <c r="AA19" s="329"/>
      <c r="AB19" s="329"/>
      <c r="AC19" s="329"/>
      <c r="AD19" s="329"/>
      <c r="AE19" s="329"/>
      <c r="AF19" s="33"/>
      <c r="AG19" s="6">
        <f t="shared" si="0"/>
        <v>0</v>
      </c>
      <c r="AH19" s="6">
        <f t="shared" si="1"/>
        <v>0</v>
      </c>
      <c r="AI19" s="6">
        <f t="shared" si="2"/>
        <v>0</v>
      </c>
      <c r="AJ19" s="6">
        <f t="shared" si="3"/>
        <v>0</v>
      </c>
      <c r="AK19" s="6">
        <f t="shared" si="4"/>
        <v>0</v>
      </c>
      <c r="AL19" s="6">
        <f t="shared" si="5"/>
        <v>0</v>
      </c>
      <c r="AM19" s="6">
        <f t="shared" si="6"/>
        <v>0</v>
      </c>
      <c r="AN19" s="6">
        <f t="shared" si="7"/>
        <v>0</v>
      </c>
      <c r="AO19" s="6">
        <f t="shared" si="8"/>
        <v>0</v>
      </c>
      <c r="AP19" s="331" t="str">
        <f t="shared" si="9"/>
        <v>0- disminuye 0</v>
      </c>
      <c r="AQ19" s="6" t="e">
        <f t="shared" si="10"/>
        <v>#N/A</v>
      </c>
      <c r="AR19" s="331" t="e">
        <f>IF(AQ19&lt;=1,"Rara vez",VLOOKUP(AQ19,[12]Listas!$L$69:$M$73,2,0))</f>
        <v>#N/A</v>
      </c>
      <c r="AS19" s="6" t="e">
        <f t="shared" si="11"/>
        <v>#N/A</v>
      </c>
      <c r="AT19" s="331" t="e">
        <f t="shared" si="12"/>
        <v>#N/A</v>
      </c>
      <c r="AU19" s="331" t="e">
        <f>INDEX([12]Listas!$O$69:$Q$73,MATCH(AR19,[12]Listas!$M$69:$M$73,0),MATCH(AT19,[12]Listas!$O$67:$Q$67,0))</f>
        <v>#N/A</v>
      </c>
      <c r="AV19" s="330"/>
      <c r="AW19" s="826"/>
      <c r="AX19" s="843"/>
      <c r="AY19" s="843"/>
      <c r="AZ19" s="12"/>
      <c r="BA19" s="12"/>
      <c r="BB19" s="839"/>
      <c r="BC19" s="12"/>
      <c r="BD19" s="12" t="s">
        <v>2343</v>
      </c>
      <c r="BE19" s="839"/>
      <c r="BF19" s="12"/>
      <c r="BG19" s="12"/>
      <c r="BH19" s="227"/>
      <c r="BI19" s="227"/>
      <c r="BJ19" s="839"/>
      <c r="BK19" s="228"/>
      <c r="BL19" s="228"/>
    </row>
    <row r="20" spans="1:64" s="3" customFormat="1" ht="108" hidden="1" customHeight="1">
      <c r="A20" s="332"/>
      <c r="B20" s="2805"/>
      <c r="C20" s="2806"/>
      <c r="D20" s="2807"/>
      <c r="E20" s="843"/>
      <c r="F20" s="2808"/>
      <c r="G20" s="2809"/>
      <c r="H20" s="2810"/>
      <c r="I20" s="2805"/>
      <c r="J20" s="2806"/>
      <c r="K20" s="2807"/>
      <c r="L20" s="330"/>
      <c r="M20" s="50"/>
      <c r="N20" s="32"/>
      <c r="O20" s="6" t="e">
        <f>VLOOKUP(L20,[12]Listas!$M$69:$N$73,2,0)</f>
        <v>#N/A</v>
      </c>
      <c r="P20" s="6"/>
      <c r="Q20" s="6" t="e">
        <f>HLOOKUP(M20,[12]Listas!$O$67:$Q$68,2,0)</f>
        <v>#N/A</v>
      </c>
      <c r="R20" s="331" t="e">
        <f>INDEX([12]Listas!$O$69:$Q$73,MATCH(L20,[12]Listas!$M$69:$M$73,0),MATCH(M20,[12]Listas!$O$67:$Q$67,0))</f>
        <v>#N/A</v>
      </c>
      <c r="S20" s="2805"/>
      <c r="T20" s="2806"/>
      <c r="U20" s="2807"/>
      <c r="V20" s="329"/>
      <c r="W20" s="329"/>
      <c r="X20" s="329"/>
      <c r="Y20" s="329"/>
      <c r="Z20" s="329"/>
      <c r="AA20" s="329"/>
      <c r="AB20" s="329"/>
      <c r="AC20" s="329"/>
      <c r="AD20" s="329"/>
      <c r="AE20" s="329"/>
      <c r="AF20" s="33"/>
      <c r="AG20" s="6">
        <f>IF(Y20="SI",15,0)</f>
        <v>0</v>
      </c>
      <c r="AH20" s="6">
        <f>IF(Z20="SI",5,0)</f>
        <v>0</v>
      </c>
      <c r="AI20" s="6">
        <f>IF(AA20="SI",15,0)</f>
        <v>0</v>
      </c>
      <c r="AJ20" s="6">
        <f>IF(AB20="SI",10,0)</f>
        <v>0</v>
      </c>
      <c r="AK20" s="6">
        <f>IF(AC20="SI",15,0)</f>
        <v>0</v>
      </c>
      <c r="AL20" s="6">
        <f>IF(AD20="SI",10,0)</f>
        <v>0</v>
      </c>
      <c r="AM20" s="6">
        <f>IF(AE20="SI",30,0)</f>
        <v>0</v>
      </c>
      <c r="AN20" s="6">
        <f>SUM(AG20+AH20+AI20+AJ20+AK20+AL20+AM20)</f>
        <v>0</v>
      </c>
      <c r="AO20" s="6">
        <f>IF(AN20&lt;=50,0,IF(AN20&gt;=76,2,1))</f>
        <v>0</v>
      </c>
      <c r="AP20" s="331" t="str">
        <f>CONCATENATE(AN20,"- disminuye ",AO20)</f>
        <v>0- disminuye 0</v>
      </c>
      <c r="AQ20" s="6" t="e">
        <f>IF(V20="SI",O20-AO20,O20)</f>
        <v>#N/A</v>
      </c>
      <c r="AR20" s="331" t="e">
        <f>IF(AQ20&lt;=1,"Rara vez",VLOOKUP(AQ20,[12]Listas!$L$69:$M$73,2,0))</f>
        <v>#N/A</v>
      </c>
      <c r="AS20" s="6" t="e">
        <f>IF(W20="SI",Q20-AO20,Q20)</f>
        <v>#N/A</v>
      </c>
      <c r="AT20" s="331" t="e">
        <f>IF(AS20&lt;=9,"Moderado",IF(AS20=20,"Catastrófico",IF(AS20=18,"Moderado","Mayor")))</f>
        <v>#N/A</v>
      </c>
      <c r="AU20" s="331" t="e">
        <f>INDEX([12]Listas!$O$69:$Q$73,MATCH(AR20,[12]Listas!$M$69:$M$73,0),MATCH(AT20,[12]Listas!$O$67:$Q$67,0))</f>
        <v>#N/A</v>
      </c>
      <c r="AV20" s="330"/>
      <c r="AW20" s="826"/>
      <c r="AX20" s="843"/>
      <c r="AY20" s="843"/>
      <c r="AZ20" s="12"/>
      <c r="BA20" s="12"/>
      <c r="BB20" s="839"/>
      <c r="BC20" s="12"/>
      <c r="BD20" s="12" t="s">
        <v>2343</v>
      </c>
      <c r="BE20" s="839"/>
      <c r="BF20" s="12"/>
      <c r="BG20" s="12"/>
      <c r="BH20" s="227"/>
      <c r="BI20" s="227"/>
      <c r="BJ20" s="839"/>
      <c r="BK20" s="228"/>
      <c r="BL20" s="228"/>
    </row>
    <row r="21" spans="1:64" s="3" customFormat="1" ht="108" hidden="1" customHeight="1">
      <c r="A21" s="332"/>
      <c r="B21" s="2805"/>
      <c r="C21" s="2806"/>
      <c r="D21" s="2807"/>
      <c r="E21" s="843"/>
      <c r="F21" s="2808"/>
      <c r="G21" s="2809"/>
      <c r="H21" s="2810"/>
      <c r="I21" s="2805"/>
      <c r="J21" s="2806"/>
      <c r="K21" s="2807"/>
      <c r="L21" s="330"/>
      <c r="M21" s="50"/>
      <c r="N21" s="32"/>
      <c r="O21" s="6" t="e">
        <f>VLOOKUP(L21,[12]Listas!$M$69:$N$73,2,0)</f>
        <v>#N/A</v>
      </c>
      <c r="P21" s="6"/>
      <c r="Q21" s="6" t="e">
        <f>HLOOKUP(M21,[12]Listas!$O$67:$Q$68,2,0)</f>
        <v>#N/A</v>
      </c>
      <c r="R21" s="331" t="e">
        <f>INDEX([12]Listas!$O$69:$Q$73,MATCH(L21,[12]Listas!$M$69:$M$73,0),MATCH(M21,[12]Listas!$O$67:$Q$67,0))</f>
        <v>#N/A</v>
      </c>
      <c r="S21" s="2805"/>
      <c r="T21" s="2806"/>
      <c r="U21" s="2807"/>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vez",VLOOKUP(AQ21,[12]Listas!$L$69:$M$73,2,0))</f>
        <v>#N/A</v>
      </c>
      <c r="AS21" s="6" t="e">
        <f t="shared" si="11"/>
        <v>#N/A</v>
      </c>
      <c r="AT21" s="331" t="e">
        <f t="shared" si="12"/>
        <v>#N/A</v>
      </c>
      <c r="AU21" s="331" t="e">
        <f>INDEX([12]Listas!$O$69:$Q$73,MATCH(AR21,[12]Listas!$M$69:$M$73,0),MATCH(AT21,[12]Listas!$O$67:$Q$67,0))</f>
        <v>#N/A</v>
      </c>
      <c r="AV21" s="330"/>
      <c r="AW21" s="826"/>
      <c r="AX21" s="843"/>
      <c r="AY21" s="843"/>
      <c r="AZ21" s="12"/>
      <c r="BA21" s="12"/>
      <c r="BB21" s="839"/>
      <c r="BC21" s="12"/>
      <c r="BD21" s="12" t="s">
        <v>2343</v>
      </c>
      <c r="BE21" s="839"/>
      <c r="BF21" s="12"/>
      <c r="BG21" s="12"/>
      <c r="BH21" s="227"/>
      <c r="BI21" s="227"/>
      <c r="BJ21" s="839"/>
      <c r="BK21" s="228"/>
      <c r="BL21" s="228"/>
    </row>
    <row r="22" spans="1:64" ht="6.75" customHeight="1">
      <c r="A22" s="2"/>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1:64" ht="15" customHeight="1">
      <c r="A23" s="317"/>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1:64" s="22" customFormat="1" ht="19.5" customHeight="1">
      <c r="A24" s="10"/>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4" t="s">
        <v>172</v>
      </c>
      <c r="AS24" s="2804"/>
      <c r="AT24" s="2804"/>
      <c r="AU24" s="2804"/>
      <c r="AV24" s="2804"/>
      <c r="AW24" s="2804"/>
      <c r="AX24" s="65"/>
      <c r="AY24" s="65"/>
      <c r="AZ24" s="68"/>
      <c r="BA24" s="68"/>
      <c r="BB24" s="92"/>
      <c r="BC24" s="68"/>
      <c r="BD24" s="68"/>
      <c r="BE24" s="92"/>
      <c r="BF24" s="68"/>
      <c r="BG24" s="68"/>
      <c r="BH24" s="230"/>
      <c r="BI24" s="230"/>
      <c r="BJ24" s="92"/>
      <c r="BK24" s="210"/>
      <c r="BL24" s="210"/>
    </row>
    <row r="25" spans="1:64" s="22" customFormat="1" ht="25.5" customHeight="1">
      <c r="A25" s="11"/>
      <c r="B25" s="2794" t="s">
        <v>343</v>
      </c>
      <c r="C25" s="2795"/>
      <c r="D25" s="2795"/>
      <c r="E25" s="2795"/>
      <c r="F25" s="2795"/>
      <c r="G25" s="2795"/>
      <c r="H25" s="2796"/>
      <c r="I25" s="2794" t="s">
        <v>3291</v>
      </c>
      <c r="J25" s="2795"/>
      <c r="K25" s="2795"/>
      <c r="L25" s="2795"/>
      <c r="M25" s="2795"/>
      <c r="N25" s="2795"/>
      <c r="O25" s="2795"/>
      <c r="P25" s="2795"/>
      <c r="Q25" s="2795"/>
      <c r="R25" s="2795"/>
      <c r="S25" s="2795"/>
      <c r="T25" s="2795"/>
      <c r="U25" s="2796"/>
      <c r="V25" s="2794" t="s">
        <v>3504</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68"/>
      <c r="BA25" s="68"/>
      <c r="BB25" s="92"/>
      <c r="BC25" s="68"/>
      <c r="BD25" s="68"/>
      <c r="BE25" s="92"/>
      <c r="BF25" s="68"/>
      <c r="BG25" s="68"/>
      <c r="BH25" s="230"/>
      <c r="BI25" s="230"/>
      <c r="BJ25" s="92"/>
      <c r="BK25" s="210"/>
      <c r="BL25" s="210"/>
    </row>
    <row r="26" spans="1:64" s="22" customFormat="1" ht="25.5" customHeight="1">
      <c r="A26" s="11"/>
      <c r="B26" s="2794" t="s">
        <v>354</v>
      </c>
      <c r="C26" s="2795"/>
      <c r="D26" s="2795"/>
      <c r="E26" s="2795"/>
      <c r="F26" s="2795"/>
      <c r="G26" s="2795"/>
      <c r="H26" s="2796"/>
      <c r="I26" s="2794" t="s">
        <v>853</v>
      </c>
      <c r="J26" s="2795"/>
      <c r="K26" s="2795"/>
      <c r="L26" s="2795"/>
      <c r="M26" s="2795"/>
      <c r="N26" s="2795"/>
      <c r="O26" s="2795"/>
      <c r="P26" s="2795"/>
      <c r="Q26" s="2795"/>
      <c r="R26" s="2795"/>
      <c r="S26" s="2795"/>
      <c r="T26" s="2795"/>
      <c r="U26" s="2796"/>
      <c r="V26" s="2794" t="s">
        <v>1488</v>
      </c>
      <c r="W26" s="2795"/>
      <c r="X26" s="2795"/>
      <c r="Y26" s="2795"/>
      <c r="Z26" s="2795"/>
      <c r="AA26" s="2795"/>
      <c r="AB26" s="2795"/>
      <c r="AC26" s="2795"/>
      <c r="AD26" s="2795"/>
      <c r="AE26" s="2795"/>
      <c r="AF26" s="2795"/>
      <c r="AG26" s="2795"/>
      <c r="AH26" s="2795"/>
      <c r="AI26" s="2795"/>
      <c r="AJ26" s="2795"/>
      <c r="AK26" s="2795"/>
      <c r="AL26" s="2795"/>
      <c r="AM26" s="2795"/>
      <c r="AN26" s="2795"/>
      <c r="AO26" s="2795"/>
      <c r="AP26" s="2796"/>
      <c r="AQ26" s="12"/>
      <c r="AR26" s="2800"/>
      <c r="AS26" s="2800"/>
      <c r="AT26" s="2800"/>
      <c r="AU26" s="2800"/>
      <c r="AV26" s="2800"/>
      <c r="AW26" s="2800"/>
      <c r="AX26" s="65"/>
      <c r="AY26" s="65"/>
      <c r="AZ26" s="68"/>
      <c r="BA26" s="68"/>
      <c r="BB26" s="92"/>
      <c r="BC26" s="68"/>
      <c r="BD26" s="68"/>
      <c r="BE26" s="92"/>
      <c r="BF26" s="68"/>
      <c r="BG26" s="68"/>
      <c r="BH26" s="230"/>
      <c r="BI26" s="230"/>
      <c r="BJ26" s="92"/>
      <c r="BK26" s="210"/>
      <c r="BL26" s="210"/>
    </row>
    <row r="27" spans="1:64" ht="25.5" customHeight="1">
      <c r="A27" s="11"/>
      <c r="B27" s="2794" t="s">
        <v>210</v>
      </c>
      <c r="C27" s="2795"/>
      <c r="D27" s="2795"/>
      <c r="E27" s="2795"/>
      <c r="F27" s="2795"/>
      <c r="G27" s="2795"/>
      <c r="H27" s="2796"/>
      <c r="I27" s="2794" t="s">
        <v>4095</v>
      </c>
      <c r="J27" s="2795"/>
      <c r="K27" s="2795"/>
      <c r="L27" s="2795"/>
      <c r="M27" s="2795"/>
      <c r="N27" s="2795"/>
      <c r="O27" s="2795"/>
      <c r="P27" s="2795"/>
      <c r="Q27" s="2795"/>
      <c r="R27" s="2795"/>
      <c r="S27" s="2795"/>
      <c r="T27" s="2795"/>
      <c r="U27" s="2796"/>
      <c r="V27" s="2794" t="s">
        <v>353</v>
      </c>
      <c r="W27" s="2795"/>
      <c r="X27" s="2795"/>
      <c r="Y27" s="2795"/>
      <c r="Z27" s="2795"/>
      <c r="AA27" s="2795"/>
      <c r="AB27" s="2795"/>
      <c r="AC27" s="2795"/>
      <c r="AD27" s="2795"/>
      <c r="AE27" s="2795"/>
      <c r="AF27" s="2795"/>
      <c r="AG27" s="2795"/>
      <c r="AH27" s="2795"/>
      <c r="AI27" s="2795"/>
      <c r="AJ27" s="2795"/>
      <c r="AK27" s="2795"/>
      <c r="AL27" s="2795"/>
      <c r="AM27" s="2795"/>
      <c r="AN27" s="2795"/>
      <c r="AO27" s="2795"/>
      <c r="AP27" s="2796"/>
      <c r="AQ27" s="12"/>
      <c r="AR27" s="2800"/>
      <c r="AS27" s="2800"/>
      <c r="AT27" s="2800"/>
      <c r="AU27" s="2800"/>
      <c r="AV27" s="2800"/>
      <c r="AW27" s="2800"/>
      <c r="AX27" s="65"/>
      <c r="AY27" s="65"/>
      <c r="AZ27" s="68"/>
      <c r="BA27" s="68"/>
      <c r="BB27" s="92"/>
      <c r="BC27" s="68"/>
      <c r="BD27" s="68"/>
      <c r="BE27" s="92"/>
      <c r="BF27" s="68"/>
      <c r="BG27" s="68"/>
      <c r="BH27" s="230"/>
      <c r="BI27" s="230"/>
      <c r="BJ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2">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2">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2">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2">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2">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2">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2">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2">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2">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2">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2">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2">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2">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1:62">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c r="AZ94" s="68"/>
      <c r="BA94" s="68"/>
      <c r="BB94" s="92"/>
      <c r="BC94" s="68"/>
      <c r="BD94" s="68"/>
      <c r="BE94" s="92"/>
      <c r="BF94" s="68"/>
      <c r="BG94" s="68"/>
      <c r="BH94" s="230"/>
      <c r="BI94" s="230"/>
      <c r="BJ94" s="92"/>
    </row>
    <row r="95" spans="1:62">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2">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1:64">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ht="11.25">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1:64" ht="11.25">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c r="AZ105" s="231"/>
      <c r="BA105" s="231"/>
      <c r="BB105" s="231"/>
      <c r="BC105" s="231"/>
      <c r="BD105" s="231"/>
      <c r="BE105" s="231"/>
      <c r="BF105" s="231"/>
      <c r="BG105" s="231"/>
      <c r="BH105" s="231"/>
      <c r="BI105" s="231"/>
      <c r="BJ105" s="231"/>
      <c r="BK105" s="231"/>
      <c r="BL105" s="231"/>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1:49">
      <c r="A119" s="13"/>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row r="120" spans="1:49">
      <c r="A120" s="13"/>
      <c r="B120" s="13"/>
      <c r="C120" s="13"/>
      <c r="D120" s="13"/>
      <c r="E120" s="14"/>
      <c r="F120" s="13"/>
      <c r="G120" s="13"/>
      <c r="H120" s="13"/>
      <c r="I120" s="13"/>
      <c r="J120" s="13"/>
      <c r="K120" s="13"/>
      <c r="L120" s="15"/>
      <c r="M120" s="15"/>
      <c r="N120" s="15"/>
      <c r="O120" s="15"/>
      <c r="P120" s="15"/>
      <c r="Q120" s="15"/>
      <c r="R120" s="15"/>
      <c r="S120" s="15"/>
      <c r="T120" s="15"/>
      <c r="U120" s="15"/>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5"/>
      <c r="AW120" s="15"/>
    </row>
  </sheetData>
  <sheetProtection formatCells="0" formatColumns="0" formatRows="0" insertRows="0" deleteRows="0" sort="0" autoFilter="0" pivotTables="0"/>
  <mergeCells count="97">
    <mergeCell ref="A1:AB1"/>
    <mergeCell ref="AC1:AU4"/>
    <mergeCell ref="BB1:BE1"/>
    <mergeCell ref="A2:AB2"/>
    <mergeCell ref="BB2:BC2"/>
    <mergeCell ref="BD2:BE2"/>
    <mergeCell ref="A3:D3"/>
    <mergeCell ref="E3:U3"/>
    <mergeCell ref="V3:AB3"/>
    <mergeCell ref="BB3:BC3"/>
    <mergeCell ref="AA6:BA6"/>
    <mergeCell ref="BD3:BE3"/>
    <mergeCell ref="A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B13:D13"/>
    <mergeCell ref="F13:H13"/>
    <mergeCell ref="I13:K13"/>
    <mergeCell ref="S13:U13"/>
    <mergeCell ref="B14:D14"/>
    <mergeCell ref="F14:H14"/>
    <mergeCell ref="I14:K14"/>
    <mergeCell ref="S14:U14"/>
    <mergeCell ref="B15:D15"/>
    <mergeCell ref="F15:H15"/>
    <mergeCell ref="I15:K15"/>
    <mergeCell ref="S15:U15"/>
    <mergeCell ref="B16:D16"/>
    <mergeCell ref="F16:H16"/>
    <mergeCell ref="I16:K16"/>
    <mergeCell ref="S16:U16"/>
    <mergeCell ref="B17:D17"/>
    <mergeCell ref="F17:H17"/>
    <mergeCell ref="I17:K17"/>
    <mergeCell ref="S17:U17"/>
    <mergeCell ref="B18:D18"/>
    <mergeCell ref="F18:H18"/>
    <mergeCell ref="I18:K18"/>
    <mergeCell ref="S18:U18"/>
    <mergeCell ref="B19:D19"/>
    <mergeCell ref="F19:H19"/>
    <mergeCell ref="I19:K19"/>
    <mergeCell ref="S19:U19"/>
    <mergeCell ref="B20:D20"/>
    <mergeCell ref="F20:H20"/>
    <mergeCell ref="I20:K20"/>
    <mergeCell ref="S20:U20"/>
    <mergeCell ref="B21:D21"/>
    <mergeCell ref="F21:H21"/>
    <mergeCell ref="I21:K21"/>
    <mergeCell ref="S21:U21"/>
    <mergeCell ref="B23:U23"/>
    <mergeCell ref="V24:AP24"/>
    <mergeCell ref="AR24:AW24"/>
    <mergeCell ref="B25:H25"/>
    <mergeCell ref="I25:U25"/>
    <mergeCell ref="V25:AP25"/>
    <mergeCell ref="AR25:AW25"/>
    <mergeCell ref="B24:H24"/>
    <mergeCell ref="I24:U24"/>
    <mergeCell ref="B26:H26"/>
    <mergeCell ref="I26:U26"/>
    <mergeCell ref="V26:AP26"/>
    <mergeCell ref="AR26:AW26"/>
    <mergeCell ref="B27:H27"/>
    <mergeCell ref="I27:U27"/>
    <mergeCell ref="V27:AP27"/>
    <mergeCell ref="AR27:AW27"/>
  </mergeCells>
  <dataValidations count="7">
    <dataValidation type="list" allowBlank="1" showInputMessage="1" showErrorMessage="1" sqref="L6">
      <formula1>Proceso</formula1>
    </dataValidation>
    <dataValidation type="list" showInputMessage="1" showErrorMessage="1" sqref="L10:L21">
      <formula1>Probabilidad</formula1>
    </dataValidation>
    <dataValidation type="list" allowBlank="1" showInputMessage="1" showErrorMessage="1" sqref="M10:N21">
      <formula1>Impacto</formula1>
    </dataValidation>
    <dataValidation showInputMessage="1" showErrorMessage="1" sqref="AG10:AT21"/>
    <dataValidation type="list" showInputMessage="1" showErrorMessage="1" sqref="V10:AF21">
      <formula1>Efectividad</formula1>
    </dataValidation>
    <dataValidation type="list" allowBlank="1" showInputMessage="1" sqref="AV10:AV21">
      <formula1>Periodo</formula1>
    </dataValidation>
    <dataValidation type="list" allowBlank="1" showInputMessage="1" showErrorMessage="1" sqref="BE10:BE21">
      <formula1>Efectividad</formula1>
    </dataValidation>
  </dataValidations>
  <printOptions horizontalCentered="1" verticalCentered="1"/>
  <pageMargins left="0.23622047244094491" right="0.23622047244094491" top="0.74803149606299213" bottom="0.35433070866141736" header="0.31496062992125984" footer="0.31496062992125984"/>
  <pageSetup paperSize="5" scale="88" orientation="landscape" r:id="rId1"/>
  <headerFooter>
    <oddFooter>&amp;L&amp;"Segoe UI,Normal"&amp;9Formato: FO-AC-07 Versión: 3&amp;C&amp;"Segoe UI,Normal"&amp;9Página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AJ828"/>
  <sheetViews>
    <sheetView workbookViewId="0">
      <pane xSplit="6" ySplit="3" topLeftCell="G4" activePane="bottomRight" state="frozen"/>
      <selection activeCell="A2" sqref="A2:J2"/>
      <selection pane="topRight" activeCell="A2" sqref="A2:J2"/>
      <selection pane="bottomLeft" activeCell="A2" sqref="A2:J2"/>
      <selection pane="bottomRight" activeCell="G10" sqref="G10"/>
    </sheetView>
  </sheetViews>
  <sheetFormatPr baseColWidth="10" defaultRowHeight="15"/>
  <cols>
    <col min="1" max="1" width="11.42578125" style="102"/>
    <col min="2" max="2" width="9" style="97" customWidth="1"/>
    <col min="3" max="4" width="32.85546875" style="97" customWidth="1"/>
    <col min="5" max="5" width="10.7109375" style="97" customWidth="1"/>
    <col min="6" max="7" width="11.42578125" style="97"/>
    <col min="8" max="9" width="12" style="97" customWidth="1"/>
    <col min="10" max="15" width="7.140625" style="37" customWidth="1"/>
    <col min="16" max="16" width="7.140625" style="102" customWidth="1"/>
    <col min="17" max="17" width="3" style="37" hidden="1" customWidth="1"/>
    <col min="18" max="18" width="4" style="37" hidden="1" customWidth="1"/>
    <col min="19" max="20" width="32.42578125" style="37" hidden="1" customWidth="1"/>
    <col min="21" max="21" width="54.28515625" style="37" hidden="1" customWidth="1"/>
    <col min="22" max="22" width="8.140625" style="102" hidden="1" customWidth="1"/>
    <col min="23" max="25" width="17" style="102" hidden="1" customWidth="1"/>
    <col min="26" max="28" width="14.7109375" style="102" hidden="1" customWidth="1"/>
    <col min="29" max="29" width="31.7109375" style="37" hidden="1" customWidth="1"/>
    <col min="30" max="30" width="13.5703125" style="37" hidden="1" customWidth="1"/>
    <col min="31" max="32" width="13.5703125" style="102" hidden="1" customWidth="1"/>
    <col min="33" max="33" width="13.5703125" style="37" hidden="1" customWidth="1"/>
    <col min="34" max="35" width="13.5703125" style="102" hidden="1" customWidth="1"/>
    <col min="36" max="36" width="14.85546875" style="37" hidden="1" customWidth="1"/>
    <col min="37" max="16384" width="11.42578125" style="37"/>
  </cols>
  <sheetData>
    <row r="1" spans="2:36" s="102" customFormat="1">
      <c r="B1" s="97"/>
      <c r="C1" s="97"/>
      <c r="D1" s="97"/>
      <c r="E1" s="97"/>
      <c r="F1" s="97"/>
      <c r="G1" s="97"/>
      <c r="H1" s="97"/>
      <c r="I1" s="97"/>
      <c r="Q1" s="203"/>
      <c r="R1" s="203"/>
      <c r="S1" s="203" t="s">
        <v>2162</v>
      </c>
      <c r="T1" s="203"/>
      <c r="U1" s="203"/>
      <c r="V1" s="203"/>
      <c r="W1" s="203"/>
      <c r="X1" s="203"/>
      <c r="Y1" s="203"/>
      <c r="Z1" s="203"/>
      <c r="AA1" s="203"/>
      <c r="AB1" s="203"/>
      <c r="AC1" s="203"/>
      <c r="AD1" s="203"/>
      <c r="AE1" s="203"/>
      <c r="AF1" s="203"/>
      <c r="AG1" s="203"/>
      <c r="AH1" s="203"/>
      <c r="AI1" s="203"/>
      <c r="AJ1" s="203"/>
    </row>
    <row r="2" spans="2:36" ht="18.75" customHeight="1">
      <c r="B2" s="96"/>
      <c r="C2" s="96" t="s">
        <v>2318</v>
      </c>
      <c r="H2" s="112" t="s">
        <v>1934</v>
      </c>
      <c r="I2" s="116" t="s">
        <v>1934</v>
      </c>
      <c r="J2" s="1179" t="s">
        <v>1935</v>
      </c>
      <c r="K2" s="1179"/>
      <c r="L2" s="1179"/>
      <c r="M2" s="1179"/>
      <c r="N2" s="1179"/>
      <c r="O2" s="1179"/>
      <c r="P2" s="200"/>
      <c r="Q2" s="203"/>
      <c r="R2" s="203"/>
      <c r="S2" s="203"/>
      <c r="T2" s="203" t="s">
        <v>2289</v>
      </c>
      <c r="U2" s="203"/>
      <c r="V2" s="203"/>
      <c r="W2" s="203"/>
      <c r="X2" s="203"/>
      <c r="Y2" s="203" t="s">
        <v>2289</v>
      </c>
      <c r="Z2" s="203"/>
      <c r="AA2" s="203"/>
      <c r="AB2" s="203" t="s">
        <v>2289</v>
      </c>
      <c r="AC2" s="204"/>
      <c r="AD2" s="205"/>
      <c r="AE2" s="206"/>
      <c r="AF2" s="203" t="s">
        <v>2289</v>
      </c>
      <c r="AG2" s="203"/>
      <c r="AH2" s="203"/>
      <c r="AI2" s="203" t="s">
        <v>2289</v>
      </c>
      <c r="AJ2" s="204"/>
    </row>
    <row r="3" spans="2:36" ht="18.75" customHeight="1">
      <c r="B3"/>
      <c r="C3" s="97" t="s">
        <v>140</v>
      </c>
      <c r="D3" s="97" t="s">
        <v>2159</v>
      </c>
      <c r="E3" s="97" t="s">
        <v>1932</v>
      </c>
      <c r="F3" s="97" t="s">
        <v>1908</v>
      </c>
      <c r="G3" s="97" t="s">
        <v>1909</v>
      </c>
      <c r="H3" s="112" t="s">
        <v>2267</v>
      </c>
      <c r="I3" s="116" t="s">
        <v>2268</v>
      </c>
      <c r="J3" s="101">
        <v>1</v>
      </c>
      <c r="K3" s="101">
        <v>2</v>
      </c>
      <c r="L3" s="101">
        <v>3</v>
      </c>
      <c r="M3" s="101">
        <v>4</v>
      </c>
      <c r="N3" s="101">
        <v>5</v>
      </c>
      <c r="O3" s="101">
        <v>6</v>
      </c>
      <c r="P3" s="101"/>
      <c r="Q3" s="203" t="s">
        <v>2269</v>
      </c>
      <c r="R3" s="203" t="s">
        <v>2270</v>
      </c>
      <c r="S3" s="203" t="s">
        <v>2271</v>
      </c>
      <c r="T3" s="203" t="s">
        <v>2273</v>
      </c>
      <c r="U3" s="203" t="s">
        <v>2272</v>
      </c>
      <c r="V3" s="203" t="s">
        <v>2274</v>
      </c>
      <c r="W3" s="203" t="s">
        <v>2256</v>
      </c>
      <c r="X3" s="203" t="s">
        <v>2264</v>
      </c>
      <c r="Y3" s="203" t="s">
        <v>2281</v>
      </c>
      <c r="Z3" s="203" t="s">
        <v>2257</v>
      </c>
      <c r="AA3" s="203" t="s">
        <v>2265</v>
      </c>
      <c r="AB3" s="203" t="s">
        <v>2283</v>
      </c>
      <c r="AC3" s="204" t="s">
        <v>2275</v>
      </c>
      <c r="AD3" s="203" t="s">
        <v>2258</v>
      </c>
      <c r="AE3" s="203" t="s">
        <v>2262</v>
      </c>
      <c r="AF3" s="203" t="s">
        <v>2282</v>
      </c>
      <c r="AG3" s="203" t="s">
        <v>2266</v>
      </c>
      <c r="AH3" s="203" t="s">
        <v>2263</v>
      </c>
      <c r="AI3" s="203" t="s">
        <v>2284</v>
      </c>
      <c r="AJ3" s="204" t="s">
        <v>2276</v>
      </c>
    </row>
    <row r="4" spans="2:36">
      <c r="B4"/>
      <c r="C4" s="99" t="s">
        <v>2158</v>
      </c>
      <c r="D4" s="98" t="s">
        <v>2231</v>
      </c>
      <c r="E4" s="98" t="s">
        <v>2154</v>
      </c>
      <c r="F4" s="112" t="s">
        <v>1937</v>
      </c>
      <c r="G4" s="97" t="s">
        <v>1929</v>
      </c>
      <c r="J4" s="37" t="s">
        <v>684</v>
      </c>
      <c r="Q4" s="206" t="s">
        <v>2161</v>
      </c>
      <c r="R4" s="206">
        <f>ROW(F4)</f>
        <v>4</v>
      </c>
      <c r="S4" s="206" t="str">
        <f>CONCATENATE(";","'",D4,"'!","$B$9:$AL$89",";","21",";","1",")")</f>
        <v>;'E PLANEACION'!$B$9:$AL$89;21;1)</v>
      </c>
      <c r="T4" s="203" t="s">
        <v>2160</v>
      </c>
      <c r="U4" s="206" t="str">
        <f>CONCATENATE("=BUSCARV($E",R4,T4)</f>
        <v>=BUSCARV($E4;'E PLANEACION'!$B$9:$AL$89;21;1)</v>
      </c>
      <c r="V4" s="206"/>
      <c r="W4" s="206" t="e">
        <f>VLOOKUP($F4,#REF!,16,1)</f>
        <v>#REF!</v>
      </c>
      <c r="X4" s="206" t="e">
        <f>IF(W4="Casi Seguro",5,IF(W4="Alta",4,IF(W4="Posible",3,IF(W4="Baja",2,1))))</f>
        <v>#REF!</v>
      </c>
      <c r="Y4" s="206">
        <v>4</v>
      </c>
      <c r="Z4" s="206" t="e">
        <f>VLOOKUP($F4,#REF!,17,1)</f>
        <v>#REF!</v>
      </c>
      <c r="AA4" s="206" t="e">
        <f>IF(Z4="Catastrófico",5,IF(Z4="Mayor",4,IF(Z4="Moderado",3,IF(Z4="menor",2,1))))</f>
        <v>#REF!</v>
      </c>
      <c r="AB4" s="206">
        <v>3</v>
      </c>
      <c r="AC4" s="206" t="e">
        <f>VLOOKUP($F4,#REF!,21,1)</f>
        <v>#REF!</v>
      </c>
      <c r="AD4" s="206" t="e">
        <f>VLOOKUP($F4,#REF!,33,1)</f>
        <v>#REF!</v>
      </c>
      <c r="AE4" s="206" t="e">
        <f t="shared" ref="AE4:AE67" si="0">IF(AD4="Casi Seguro",5,IF(AD4="Alta",4,IF(AD4="Posible",3,IF(AD4="Baja",2,1))))</f>
        <v>#REF!</v>
      </c>
      <c r="AF4" s="206">
        <v>3</v>
      </c>
      <c r="AG4" s="206" t="e">
        <f>VLOOKUP($F4,#REF!,35,1)</f>
        <v>#REF!</v>
      </c>
      <c r="AH4" s="206" t="e">
        <f t="shared" ref="AH4:AH67" si="1">IF(AG4="Catastrófico",5,IF(AG4="Mayor",4,IF(AG4="Moderado",3,IF(AG4="menor",2,1))))</f>
        <v>#REF!</v>
      </c>
      <c r="AI4" s="206">
        <v>3</v>
      </c>
      <c r="AJ4" s="206" t="e">
        <f>VLOOKUP($F4,#REF!,37,1)</f>
        <v>#REF!</v>
      </c>
    </row>
    <row r="5" spans="2:36">
      <c r="B5"/>
      <c r="C5" s="99" t="s">
        <v>2158</v>
      </c>
      <c r="D5" s="98" t="s">
        <v>2231</v>
      </c>
      <c r="E5" s="98" t="s">
        <v>2154</v>
      </c>
      <c r="F5" s="112" t="s">
        <v>1936</v>
      </c>
      <c r="G5" s="97" t="s">
        <v>1930</v>
      </c>
      <c r="I5" s="202">
        <v>43448</v>
      </c>
      <c r="J5" s="102" t="s">
        <v>684</v>
      </c>
      <c r="K5" s="102"/>
      <c r="L5" s="102"/>
      <c r="M5" s="102"/>
      <c r="N5" s="102"/>
      <c r="O5" s="102"/>
      <c r="Q5" s="203"/>
      <c r="R5" s="203"/>
      <c r="S5" s="203"/>
      <c r="T5" s="203"/>
      <c r="U5" s="203"/>
      <c r="V5" s="203"/>
      <c r="W5" s="206" t="e">
        <f>VLOOKUP($F5,#REF!,16,1)</f>
        <v>#REF!</v>
      </c>
      <c r="X5" s="206" t="e">
        <f t="shared" ref="X5:X68" si="2">IF(W5="Casi Seguro",5,IF(W5="Alta",4,IF(W5="Posible",3,IF(W5="Baja",2,1))))</f>
        <v>#REF!</v>
      </c>
      <c r="Y5" s="206">
        <v>3</v>
      </c>
      <c r="Z5" s="206" t="e">
        <f>VLOOKUP($F5,#REF!,17,1)</f>
        <v>#REF!</v>
      </c>
      <c r="AA5" s="206" t="e">
        <f t="shared" ref="AA5:AA68" si="3">IF(Z5="Catastrófico",5,IF(Z5="Mayor",4,IF(Z5="Moderado",3,IF(Z5="menor",2,1))))</f>
        <v>#REF!</v>
      </c>
      <c r="AB5" s="206">
        <v>4</v>
      </c>
      <c r="AC5" s="206" t="e">
        <f>VLOOKUP($F5,#REF!,21,1)</f>
        <v>#REF!</v>
      </c>
      <c r="AD5" s="206" t="e">
        <f>VLOOKUP($F5,#REF!,33,1)</f>
        <v>#REF!</v>
      </c>
      <c r="AE5" s="206" t="e">
        <f t="shared" si="0"/>
        <v>#REF!</v>
      </c>
      <c r="AF5" s="206">
        <v>1</v>
      </c>
      <c r="AG5" s="206" t="e">
        <f>VLOOKUP($F5,#REF!,35,1)</f>
        <v>#REF!</v>
      </c>
      <c r="AH5" s="206" t="e">
        <f t="shared" si="1"/>
        <v>#REF!</v>
      </c>
      <c r="AI5" s="206">
        <v>4</v>
      </c>
      <c r="AJ5" s="206" t="e">
        <f>VLOOKUP($F5,#REF!,37,1)</f>
        <v>#REF!</v>
      </c>
    </row>
    <row r="6" spans="2:36">
      <c r="B6"/>
      <c r="C6" s="99" t="s">
        <v>2158</v>
      </c>
      <c r="D6" s="98" t="s">
        <v>2231</v>
      </c>
      <c r="E6" s="98" t="s">
        <v>2154</v>
      </c>
      <c r="F6" s="112" t="s">
        <v>1938</v>
      </c>
      <c r="G6" s="97" t="s">
        <v>1930</v>
      </c>
      <c r="I6" s="202">
        <v>43448</v>
      </c>
      <c r="J6" s="102" t="s">
        <v>684</v>
      </c>
      <c r="K6" s="102"/>
      <c r="L6" s="102"/>
      <c r="M6" s="102"/>
      <c r="N6" s="102"/>
      <c r="O6" s="102"/>
      <c r="Q6" s="203"/>
      <c r="R6" s="203"/>
      <c r="S6" s="203"/>
      <c r="T6" s="203"/>
      <c r="U6" s="203"/>
      <c r="V6" s="203"/>
      <c r="W6" s="206" t="e">
        <f>VLOOKUP($F6,#REF!,16,1)</f>
        <v>#REF!</v>
      </c>
      <c r="X6" s="206" t="e">
        <f t="shared" si="2"/>
        <v>#REF!</v>
      </c>
      <c r="Y6" s="206">
        <v>1</v>
      </c>
      <c r="Z6" s="206" t="e">
        <f>VLOOKUP($F6,#REF!,17,1)</f>
        <v>#REF!</v>
      </c>
      <c r="AA6" s="206" t="e">
        <f t="shared" si="3"/>
        <v>#REF!</v>
      </c>
      <c r="AB6" s="206">
        <v>2</v>
      </c>
      <c r="AC6" s="206" t="e">
        <f>VLOOKUP($F6,#REF!,21,1)</f>
        <v>#REF!</v>
      </c>
      <c r="AD6" s="206" t="e">
        <f>VLOOKUP($F6,#REF!,33,1)</f>
        <v>#REF!</v>
      </c>
      <c r="AE6" s="206" t="e">
        <f t="shared" si="0"/>
        <v>#REF!</v>
      </c>
      <c r="AF6" s="206">
        <v>1</v>
      </c>
      <c r="AG6" s="206" t="e">
        <f>VLOOKUP($F6,#REF!,35,1)</f>
        <v>#REF!</v>
      </c>
      <c r="AH6" s="206" t="e">
        <f t="shared" si="1"/>
        <v>#REF!</v>
      </c>
      <c r="AI6" s="206">
        <v>1</v>
      </c>
      <c r="AJ6" s="206" t="e">
        <f>VLOOKUP($F6,#REF!,37,1)</f>
        <v>#REF!</v>
      </c>
    </row>
    <row r="7" spans="2:36">
      <c r="B7"/>
      <c r="C7" s="99" t="s">
        <v>2158</v>
      </c>
      <c r="D7" s="98" t="s">
        <v>2231</v>
      </c>
      <c r="E7" s="98" t="s">
        <v>2154</v>
      </c>
      <c r="F7" s="112" t="s">
        <v>2157</v>
      </c>
      <c r="G7" s="97" t="s">
        <v>1930</v>
      </c>
      <c r="I7" s="127"/>
      <c r="J7" s="121"/>
      <c r="K7" s="121"/>
      <c r="L7" s="121"/>
      <c r="M7" s="121"/>
      <c r="N7" s="121"/>
      <c r="O7" s="121"/>
      <c r="P7" s="200"/>
      <c r="Q7" s="203"/>
      <c r="R7" s="203"/>
      <c r="S7" s="203"/>
      <c r="T7" s="203"/>
      <c r="U7" s="203"/>
      <c r="V7" s="203"/>
      <c r="W7" s="206"/>
      <c r="X7" s="206">
        <f t="shared" si="2"/>
        <v>1</v>
      </c>
      <c r="Y7" s="206">
        <v>1</v>
      </c>
      <c r="Z7" s="206" t="s">
        <v>2261</v>
      </c>
      <c r="AA7" s="206">
        <f t="shared" si="3"/>
        <v>1</v>
      </c>
      <c r="AB7" s="206">
        <v>1</v>
      </c>
      <c r="AC7" s="206"/>
      <c r="AD7" s="206"/>
      <c r="AE7" s="206">
        <f t="shared" si="0"/>
        <v>1</v>
      </c>
      <c r="AF7" s="206">
        <v>1</v>
      </c>
      <c r="AG7" s="206"/>
      <c r="AH7" s="206">
        <f t="shared" si="1"/>
        <v>1</v>
      </c>
      <c r="AI7" s="206">
        <v>1</v>
      </c>
      <c r="AJ7" s="206"/>
    </row>
    <row r="8" spans="2:36">
      <c r="B8"/>
      <c r="C8" s="99" t="s">
        <v>2158</v>
      </c>
      <c r="D8" s="98" t="s">
        <v>2231</v>
      </c>
      <c r="E8" s="98" t="s">
        <v>2154</v>
      </c>
      <c r="F8" s="112" t="s">
        <v>1939</v>
      </c>
      <c r="G8" s="97" t="s">
        <v>1930</v>
      </c>
      <c r="I8" s="202">
        <v>43448</v>
      </c>
      <c r="J8" s="102"/>
      <c r="K8" s="102"/>
      <c r="L8" s="102"/>
      <c r="M8" s="102"/>
      <c r="N8" s="102"/>
      <c r="O8" s="102"/>
      <c r="Q8" s="203"/>
      <c r="R8" s="203"/>
      <c r="S8" s="203"/>
      <c r="T8" s="203"/>
      <c r="U8" s="203"/>
      <c r="V8" s="203"/>
      <c r="W8" s="206" t="e">
        <f>VLOOKUP($F8,#REF!,16,1)</f>
        <v>#REF!</v>
      </c>
      <c r="X8" s="206" t="e">
        <f t="shared" si="2"/>
        <v>#REF!</v>
      </c>
      <c r="Y8" s="206">
        <v>3</v>
      </c>
      <c r="Z8" s="206" t="e">
        <f>VLOOKUP($F8,#REF!,17,1)</f>
        <v>#REF!</v>
      </c>
      <c r="AA8" s="206" t="e">
        <f t="shared" si="3"/>
        <v>#REF!</v>
      </c>
      <c r="AB8" s="206">
        <v>1</v>
      </c>
      <c r="AC8" s="206" t="e">
        <f>VLOOKUP($F8,#REF!,21,1)</f>
        <v>#REF!</v>
      </c>
      <c r="AD8" s="206" t="e">
        <f>VLOOKUP($F8,#REF!,33,1)</f>
        <v>#REF!</v>
      </c>
      <c r="AE8" s="206" t="e">
        <f t="shared" si="0"/>
        <v>#REF!</v>
      </c>
      <c r="AF8" s="206">
        <v>1</v>
      </c>
      <c r="AG8" s="206" t="e">
        <f>VLOOKUP($F8,#REF!,35,1)</f>
        <v>#REF!</v>
      </c>
      <c r="AH8" s="206" t="e">
        <f t="shared" si="1"/>
        <v>#REF!</v>
      </c>
      <c r="AI8" s="206">
        <v>1</v>
      </c>
      <c r="AJ8" s="206" t="e">
        <f>VLOOKUP($F8,#REF!,37,1)</f>
        <v>#REF!</v>
      </c>
    </row>
    <row r="9" spans="2:36">
      <c r="B9"/>
      <c r="C9" s="99" t="s">
        <v>2158</v>
      </c>
      <c r="D9" s="98" t="s">
        <v>2231</v>
      </c>
      <c r="E9" s="98" t="s">
        <v>2154</v>
      </c>
      <c r="F9" s="112" t="s">
        <v>1940</v>
      </c>
      <c r="G9" s="97" t="s">
        <v>1929</v>
      </c>
      <c r="J9" s="102"/>
      <c r="K9" s="102"/>
      <c r="L9" s="102"/>
      <c r="M9" s="102"/>
      <c r="N9" s="102"/>
      <c r="O9" s="102"/>
      <c r="Q9" s="203"/>
      <c r="R9" s="203"/>
      <c r="S9" s="203"/>
      <c r="T9" s="203"/>
      <c r="U9" s="203"/>
      <c r="V9" s="203"/>
      <c r="W9" s="206" t="e">
        <f>VLOOKUP($F9,#REF!,16,1)</f>
        <v>#REF!</v>
      </c>
      <c r="X9" s="206" t="e">
        <f t="shared" si="2"/>
        <v>#REF!</v>
      </c>
      <c r="Y9" s="206">
        <v>2</v>
      </c>
      <c r="Z9" s="206" t="e">
        <f>VLOOKUP($F9,#REF!,17,1)</f>
        <v>#REF!</v>
      </c>
      <c r="AA9" s="206" t="e">
        <f t="shared" si="3"/>
        <v>#REF!</v>
      </c>
      <c r="AB9" s="206">
        <v>3</v>
      </c>
      <c r="AC9" s="206" t="e">
        <f>VLOOKUP($F9,#REF!,21,1)</f>
        <v>#REF!</v>
      </c>
      <c r="AD9" s="206" t="e">
        <f>VLOOKUP($F9,#REF!,33,1)</f>
        <v>#REF!</v>
      </c>
      <c r="AE9" s="206" t="e">
        <f t="shared" si="0"/>
        <v>#REF!</v>
      </c>
      <c r="AF9" s="206">
        <v>1</v>
      </c>
      <c r="AG9" s="206" t="e">
        <f>VLOOKUP($F9,#REF!,35,1)</f>
        <v>#REF!</v>
      </c>
      <c r="AH9" s="206" t="e">
        <f t="shared" si="1"/>
        <v>#REF!</v>
      </c>
      <c r="AI9" s="206">
        <v>3</v>
      </c>
      <c r="AJ9" s="206" t="e">
        <f>VLOOKUP($F9,#REF!,37,1)</f>
        <v>#REF!</v>
      </c>
    </row>
    <row r="10" spans="2:36">
      <c r="B10"/>
      <c r="C10" s="99" t="s">
        <v>2158</v>
      </c>
      <c r="D10" s="98" t="s">
        <v>2231</v>
      </c>
      <c r="E10" s="98" t="s">
        <v>2154</v>
      </c>
      <c r="F10" s="112" t="s">
        <v>1941</v>
      </c>
      <c r="G10" s="97" t="s">
        <v>1930</v>
      </c>
      <c r="I10" s="202">
        <v>43448</v>
      </c>
      <c r="J10" s="102"/>
      <c r="K10" s="102"/>
      <c r="L10" s="102"/>
      <c r="M10" s="102"/>
      <c r="N10" s="102"/>
      <c r="O10" s="102"/>
      <c r="Q10" s="203"/>
      <c r="R10" s="203"/>
      <c r="S10" s="203"/>
      <c r="T10" s="203"/>
      <c r="U10" s="203"/>
      <c r="V10" s="203"/>
      <c r="W10" s="206" t="e">
        <f>VLOOKUP($F10,#REF!,16,1)</f>
        <v>#REF!</v>
      </c>
      <c r="X10" s="206" t="e">
        <f t="shared" si="2"/>
        <v>#REF!</v>
      </c>
      <c r="Y10" s="206">
        <v>4</v>
      </c>
      <c r="Z10" s="206" t="e">
        <f>VLOOKUP($F10,#REF!,17,1)</f>
        <v>#REF!</v>
      </c>
      <c r="AA10" s="206" t="e">
        <f t="shared" si="3"/>
        <v>#REF!</v>
      </c>
      <c r="AB10" s="206">
        <v>1</v>
      </c>
      <c r="AC10" s="206" t="e">
        <f>VLOOKUP($F10,#REF!,21,1)</f>
        <v>#REF!</v>
      </c>
      <c r="AD10" s="206" t="e">
        <f>VLOOKUP($F10,#REF!,33,1)</f>
        <v>#REF!</v>
      </c>
      <c r="AE10" s="206" t="e">
        <f t="shared" si="0"/>
        <v>#REF!</v>
      </c>
      <c r="AF10" s="206">
        <v>2</v>
      </c>
      <c r="AG10" s="206" t="e">
        <f>VLOOKUP($F10,#REF!,35,1)</f>
        <v>#REF!</v>
      </c>
      <c r="AH10" s="206" t="e">
        <f t="shared" si="1"/>
        <v>#REF!</v>
      </c>
      <c r="AI10" s="206">
        <v>1</v>
      </c>
      <c r="AJ10" s="206" t="e">
        <f>VLOOKUP($F10,#REF!,37,1)</f>
        <v>#REF!</v>
      </c>
    </row>
    <row r="11" spans="2:36">
      <c r="B11"/>
      <c r="C11" s="99" t="s">
        <v>2158</v>
      </c>
      <c r="D11" s="98" t="s">
        <v>2231</v>
      </c>
      <c r="E11" s="98" t="s">
        <v>2154</v>
      </c>
      <c r="F11" s="112" t="s">
        <v>1944</v>
      </c>
      <c r="G11" s="97" t="s">
        <v>1930</v>
      </c>
      <c r="I11" s="202">
        <v>43448</v>
      </c>
      <c r="J11" s="102"/>
      <c r="K11" s="102"/>
      <c r="L11" s="102"/>
      <c r="M11" s="102"/>
      <c r="N11" s="102"/>
      <c r="O11" s="102" t="s">
        <v>684</v>
      </c>
      <c r="Q11" s="203"/>
      <c r="R11" s="203"/>
      <c r="S11" s="203"/>
      <c r="T11" s="203"/>
      <c r="U11" s="203"/>
      <c r="V11" s="203"/>
      <c r="W11" s="206" t="e">
        <f>VLOOKUP($F11,#REF!,16,1)</f>
        <v>#REF!</v>
      </c>
      <c r="X11" s="206" t="e">
        <f t="shared" si="2"/>
        <v>#REF!</v>
      </c>
      <c r="Y11" s="206">
        <v>2</v>
      </c>
      <c r="Z11" s="206" t="e">
        <f>VLOOKUP($F11,#REF!,17,1)</f>
        <v>#REF!</v>
      </c>
      <c r="AA11" s="206" t="e">
        <f t="shared" si="3"/>
        <v>#REF!</v>
      </c>
      <c r="AB11" s="206">
        <v>2</v>
      </c>
      <c r="AC11" s="206" t="e">
        <f>VLOOKUP($F11,#REF!,21,1)</f>
        <v>#REF!</v>
      </c>
      <c r="AD11" s="206" t="e">
        <f>VLOOKUP($F11,#REF!,33,1)</f>
        <v>#REF!</v>
      </c>
      <c r="AE11" s="206" t="e">
        <f t="shared" si="0"/>
        <v>#REF!</v>
      </c>
      <c r="AF11" s="206">
        <v>1</v>
      </c>
      <c r="AG11" s="206" t="e">
        <f>VLOOKUP($F11,#REF!,35,1)</f>
        <v>#REF!</v>
      </c>
      <c r="AH11" s="206" t="e">
        <f t="shared" si="1"/>
        <v>#REF!</v>
      </c>
      <c r="AI11" s="206">
        <v>2</v>
      </c>
      <c r="AJ11" s="206" t="e">
        <f>VLOOKUP($F11,#REF!,37,1)</f>
        <v>#REF!</v>
      </c>
    </row>
    <row r="12" spans="2:36">
      <c r="B12"/>
      <c r="C12" s="99" t="s">
        <v>2158</v>
      </c>
      <c r="D12" s="98" t="s">
        <v>2231</v>
      </c>
      <c r="E12" s="98" t="s">
        <v>2154</v>
      </c>
      <c r="F12" s="112" t="s">
        <v>1942</v>
      </c>
      <c r="G12" s="97" t="s">
        <v>1930</v>
      </c>
      <c r="I12" s="202">
        <v>43448</v>
      </c>
      <c r="J12" s="102"/>
      <c r="K12" s="102"/>
      <c r="L12" s="102"/>
      <c r="M12" s="102"/>
      <c r="N12" s="102"/>
      <c r="O12" s="102" t="s">
        <v>684</v>
      </c>
      <c r="Q12" s="203"/>
      <c r="R12" s="203"/>
      <c r="S12" s="203"/>
      <c r="T12" s="203"/>
      <c r="U12" s="203"/>
      <c r="V12" s="203"/>
      <c r="W12" s="206" t="e">
        <f>VLOOKUP($F12,#REF!,16,1)</f>
        <v>#REF!</v>
      </c>
      <c r="X12" s="206" t="e">
        <f t="shared" si="2"/>
        <v>#REF!</v>
      </c>
      <c r="Y12" s="206">
        <v>2</v>
      </c>
      <c r="Z12" s="206" t="e">
        <f>VLOOKUP($F12,#REF!,17,1)</f>
        <v>#REF!</v>
      </c>
      <c r="AA12" s="206" t="e">
        <f t="shared" si="3"/>
        <v>#REF!</v>
      </c>
      <c r="AB12" s="206">
        <v>3</v>
      </c>
      <c r="AC12" s="206" t="e">
        <f>VLOOKUP($F12,#REF!,21,1)</f>
        <v>#REF!</v>
      </c>
      <c r="AD12" s="206" t="e">
        <f>VLOOKUP($F12,#REF!,33,1)</f>
        <v>#REF!</v>
      </c>
      <c r="AE12" s="206" t="e">
        <f t="shared" si="0"/>
        <v>#REF!</v>
      </c>
      <c r="AF12" s="206">
        <v>1</v>
      </c>
      <c r="AG12" s="206" t="e">
        <f>VLOOKUP($F12,#REF!,35,1)</f>
        <v>#REF!</v>
      </c>
      <c r="AH12" s="206" t="e">
        <f t="shared" si="1"/>
        <v>#REF!</v>
      </c>
      <c r="AI12" s="206">
        <v>1</v>
      </c>
      <c r="AJ12" s="206" t="e">
        <f>VLOOKUP($F12,#REF!,37,1)</f>
        <v>#REF!</v>
      </c>
    </row>
    <row r="13" spans="2:36">
      <c r="B13"/>
      <c r="C13" s="99" t="s">
        <v>2158</v>
      </c>
      <c r="D13" s="98" t="s">
        <v>2231</v>
      </c>
      <c r="E13" s="98" t="s">
        <v>2154</v>
      </c>
      <c r="F13" s="112" t="s">
        <v>2317</v>
      </c>
      <c r="G13" s="97" t="s">
        <v>1929</v>
      </c>
      <c r="H13" s="202">
        <v>43448</v>
      </c>
      <c r="Q13" s="203"/>
      <c r="R13" s="203"/>
      <c r="S13" s="203"/>
      <c r="T13" s="203"/>
      <c r="U13" s="203"/>
      <c r="V13" s="203"/>
      <c r="W13" s="206" t="e">
        <f>VLOOKUP($F13,#REF!,16,1)</f>
        <v>#REF!</v>
      </c>
      <c r="X13" s="206" t="e">
        <f t="shared" si="2"/>
        <v>#REF!</v>
      </c>
      <c r="Y13" s="206" t="e">
        <v>#N/A</v>
      </c>
      <c r="Z13" s="206" t="e">
        <f>VLOOKUP($F13,#REF!,17,1)</f>
        <v>#REF!</v>
      </c>
      <c r="AA13" s="206" t="e">
        <f t="shared" si="3"/>
        <v>#REF!</v>
      </c>
      <c r="AB13" s="206" t="e">
        <v>#N/A</v>
      </c>
      <c r="AC13" s="206" t="e">
        <f>VLOOKUP($F13,#REF!,21,1)</f>
        <v>#REF!</v>
      </c>
      <c r="AD13" s="206" t="e">
        <f>VLOOKUP($F13,#REF!,33,1)</f>
        <v>#REF!</v>
      </c>
      <c r="AE13" s="206" t="e">
        <f t="shared" si="0"/>
        <v>#REF!</v>
      </c>
      <c r="AF13" s="206" t="e">
        <v>#N/A</v>
      </c>
      <c r="AG13" s="206" t="e">
        <f>VLOOKUP($F13,#REF!,35,1)</f>
        <v>#REF!</v>
      </c>
      <c r="AH13" s="206" t="e">
        <f t="shared" si="1"/>
        <v>#REF!</v>
      </c>
      <c r="AI13" s="206" t="e">
        <v>#N/A</v>
      </c>
      <c r="AJ13" s="206" t="e">
        <f>VLOOKUP($F13,#REF!,37,1)</f>
        <v>#REF!</v>
      </c>
    </row>
    <row r="14" spans="2:36">
      <c r="B14"/>
      <c r="C14" s="99" t="s">
        <v>2158</v>
      </c>
      <c r="D14" s="98" t="s">
        <v>2231</v>
      </c>
      <c r="E14" s="98" t="s">
        <v>2154</v>
      </c>
      <c r="F14" s="112" t="s">
        <v>4271</v>
      </c>
      <c r="Q14" s="203"/>
      <c r="R14" s="203"/>
      <c r="S14" s="203"/>
      <c r="T14" s="203"/>
      <c r="U14" s="203"/>
      <c r="V14" s="203"/>
      <c r="W14" s="206" t="e">
        <f>VLOOKUP($F14,#REF!,16,1)</f>
        <v>#REF!</v>
      </c>
      <c r="X14" s="206" t="e">
        <f t="shared" si="2"/>
        <v>#REF!</v>
      </c>
      <c r="Y14" s="206" t="e">
        <v>#N/A</v>
      </c>
      <c r="Z14" s="206" t="e">
        <f>VLOOKUP($F14,#REF!,17,1)</f>
        <v>#REF!</v>
      </c>
      <c r="AA14" s="206" t="e">
        <f t="shared" si="3"/>
        <v>#REF!</v>
      </c>
      <c r="AB14" s="206" t="e">
        <v>#N/A</v>
      </c>
      <c r="AC14" s="206" t="e">
        <f>VLOOKUP($F14,#REF!,21,1)</f>
        <v>#REF!</v>
      </c>
      <c r="AD14" s="206" t="e">
        <f>VLOOKUP($F14,#REF!,33,1)</f>
        <v>#REF!</v>
      </c>
      <c r="AE14" s="206" t="e">
        <f t="shared" si="0"/>
        <v>#REF!</v>
      </c>
      <c r="AF14" s="206" t="e">
        <v>#N/A</v>
      </c>
      <c r="AG14" s="206" t="e">
        <f>VLOOKUP($F14,#REF!,35,1)</f>
        <v>#REF!</v>
      </c>
      <c r="AH14" s="206" t="e">
        <f t="shared" si="1"/>
        <v>#REF!</v>
      </c>
      <c r="AI14" s="206" t="e">
        <v>#N/A</v>
      </c>
      <c r="AJ14" s="206" t="e">
        <f>VLOOKUP($F14,#REF!,37,1)</f>
        <v>#REF!</v>
      </c>
    </row>
    <row r="15" spans="2:36">
      <c r="B15"/>
      <c r="C15" s="99" t="s">
        <v>2158</v>
      </c>
      <c r="D15" s="98" t="s">
        <v>2231</v>
      </c>
      <c r="E15" s="98" t="s">
        <v>2154</v>
      </c>
      <c r="F15" s="112"/>
      <c r="Q15" s="203"/>
      <c r="R15" s="203"/>
      <c r="S15" s="203"/>
      <c r="T15" s="203"/>
      <c r="U15" s="203"/>
      <c r="V15" s="203"/>
      <c r="W15" s="206" t="e">
        <f>VLOOKUP($F15,#REF!,16,1)</f>
        <v>#REF!</v>
      </c>
      <c r="X15" s="206" t="e">
        <f t="shared" si="2"/>
        <v>#REF!</v>
      </c>
      <c r="Y15" s="206" t="e">
        <v>#N/A</v>
      </c>
      <c r="Z15" s="206" t="e">
        <f>VLOOKUP($F15,#REF!,17,1)</f>
        <v>#REF!</v>
      </c>
      <c r="AA15" s="206" t="e">
        <f t="shared" si="3"/>
        <v>#REF!</v>
      </c>
      <c r="AB15" s="206" t="e">
        <v>#N/A</v>
      </c>
      <c r="AC15" s="206" t="e">
        <f>VLOOKUP($F15,#REF!,21,1)</f>
        <v>#REF!</v>
      </c>
      <c r="AD15" s="206" t="e">
        <f>VLOOKUP($F15,#REF!,33,1)</f>
        <v>#REF!</v>
      </c>
      <c r="AE15" s="206" t="e">
        <f t="shared" si="0"/>
        <v>#REF!</v>
      </c>
      <c r="AF15" s="206" t="e">
        <v>#N/A</v>
      </c>
      <c r="AG15" s="206" t="e">
        <f>VLOOKUP($F15,#REF!,35,1)</f>
        <v>#REF!</v>
      </c>
      <c r="AH15" s="206" t="e">
        <f t="shared" si="1"/>
        <v>#REF!</v>
      </c>
      <c r="AI15" s="206" t="e">
        <v>#N/A</v>
      </c>
      <c r="AJ15" s="206" t="e">
        <f>VLOOKUP($F15,#REF!,37,1)</f>
        <v>#REF!</v>
      </c>
    </row>
    <row r="16" spans="2:36">
      <c r="B16"/>
      <c r="C16" s="99" t="s">
        <v>2158</v>
      </c>
      <c r="D16" s="98" t="s">
        <v>2231</v>
      </c>
      <c r="E16" s="98" t="s">
        <v>2154</v>
      </c>
      <c r="F16" s="112"/>
      <c r="Q16" s="203"/>
      <c r="R16" s="203"/>
      <c r="S16" s="203"/>
      <c r="T16" s="203"/>
      <c r="U16" s="203"/>
      <c r="V16" s="203"/>
      <c r="W16" s="206" t="e">
        <f>VLOOKUP($F16,#REF!,16,1)</f>
        <v>#REF!</v>
      </c>
      <c r="X16" s="206" t="e">
        <f t="shared" si="2"/>
        <v>#REF!</v>
      </c>
      <c r="Y16" s="206" t="e">
        <v>#N/A</v>
      </c>
      <c r="Z16" s="206" t="e">
        <f>VLOOKUP($F16,#REF!,17,1)</f>
        <v>#REF!</v>
      </c>
      <c r="AA16" s="206" t="e">
        <f t="shared" si="3"/>
        <v>#REF!</v>
      </c>
      <c r="AB16" s="206" t="e">
        <v>#N/A</v>
      </c>
      <c r="AC16" s="206" t="e">
        <f>VLOOKUP($F16,#REF!,21,1)</f>
        <v>#REF!</v>
      </c>
      <c r="AD16" s="206" t="e">
        <f>VLOOKUP($F16,#REF!,33,1)</f>
        <v>#REF!</v>
      </c>
      <c r="AE16" s="206" t="e">
        <f t="shared" si="0"/>
        <v>#REF!</v>
      </c>
      <c r="AF16" s="206" t="e">
        <v>#N/A</v>
      </c>
      <c r="AG16" s="206" t="e">
        <f>VLOOKUP($F16,#REF!,35,1)</f>
        <v>#REF!</v>
      </c>
      <c r="AH16" s="206" t="e">
        <f t="shared" si="1"/>
        <v>#REF!</v>
      </c>
      <c r="AI16" s="206" t="e">
        <v>#N/A</v>
      </c>
      <c r="AJ16" s="206" t="e">
        <f>VLOOKUP($F16,#REF!,37,1)</f>
        <v>#REF!</v>
      </c>
    </row>
    <row r="17" spans="2:36">
      <c r="B17"/>
      <c r="C17" s="99" t="s">
        <v>2158</v>
      </c>
      <c r="D17" s="98" t="s">
        <v>2231</v>
      </c>
      <c r="E17" s="98" t="s">
        <v>2154</v>
      </c>
      <c r="F17" s="112"/>
      <c r="Q17" s="203"/>
      <c r="R17" s="203"/>
      <c r="S17" s="203"/>
      <c r="T17" s="203"/>
      <c r="U17" s="203"/>
      <c r="V17" s="203"/>
      <c r="W17" s="206" t="e">
        <f>VLOOKUP($F17,#REF!,16,1)</f>
        <v>#REF!</v>
      </c>
      <c r="X17" s="206" t="e">
        <f t="shared" si="2"/>
        <v>#REF!</v>
      </c>
      <c r="Y17" s="206" t="e">
        <v>#N/A</v>
      </c>
      <c r="Z17" s="206" t="e">
        <f>VLOOKUP($F17,#REF!,17,1)</f>
        <v>#REF!</v>
      </c>
      <c r="AA17" s="206" t="e">
        <f t="shared" si="3"/>
        <v>#REF!</v>
      </c>
      <c r="AB17" s="206" t="e">
        <v>#N/A</v>
      </c>
      <c r="AC17" s="206" t="e">
        <f>VLOOKUP($F17,#REF!,21,1)</f>
        <v>#REF!</v>
      </c>
      <c r="AD17" s="206" t="e">
        <f>VLOOKUP($F17,#REF!,33,1)</f>
        <v>#REF!</v>
      </c>
      <c r="AE17" s="206" t="e">
        <f t="shared" si="0"/>
        <v>#REF!</v>
      </c>
      <c r="AF17" s="206" t="e">
        <v>#N/A</v>
      </c>
      <c r="AG17" s="206" t="e">
        <f>VLOOKUP($F17,#REF!,35,1)</f>
        <v>#REF!</v>
      </c>
      <c r="AH17" s="206" t="e">
        <f t="shared" si="1"/>
        <v>#REF!</v>
      </c>
      <c r="AI17" s="206" t="e">
        <v>#N/A</v>
      </c>
      <c r="AJ17" s="206" t="e">
        <f>VLOOKUP($F17,#REF!,37,1)</f>
        <v>#REF!</v>
      </c>
    </row>
    <row r="18" spans="2:36">
      <c r="B18"/>
      <c r="C18" s="99" t="s">
        <v>2158</v>
      </c>
      <c r="D18" s="98" t="s">
        <v>2231</v>
      </c>
      <c r="E18" s="98" t="s">
        <v>2154</v>
      </c>
      <c r="F18" s="112"/>
      <c r="Q18" s="203"/>
      <c r="R18" s="203"/>
      <c r="S18" s="203"/>
      <c r="T18" s="203"/>
      <c r="U18" s="203"/>
      <c r="V18" s="203"/>
      <c r="W18" s="206" t="e">
        <f>VLOOKUP($F18,#REF!,16,1)</f>
        <v>#REF!</v>
      </c>
      <c r="X18" s="206" t="e">
        <f t="shared" si="2"/>
        <v>#REF!</v>
      </c>
      <c r="Y18" s="206" t="e">
        <v>#N/A</v>
      </c>
      <c r="Z18" s="206" t="e">
        <f>VLOOKUP($F18,#REF!,17,1)</f>
        <v>#REF!</v>
      </c>
      <c r="AA18" s="206" t="e">
        <f t="shared" si="3"/>
        <v>#REF!</v>
      </c>
      <c r="AB18" s="206" t="e">
        <v>#N/A</v>
      </c>
      <c r="AC18" s="206" t="e">
        <f>VLOOKUP($F18,#REF!,21,1)</f>
        <v>#REF!</v>
      </c>
      <c r="AD18" s="206" t="e">
        <f>VLOOKUP($F18,#REF!,33,1)</f>
        <v>#REF!</v>
      </c>
      <c r="AE18" s="206" t="e">
        <f t="shared" si="0"/>
        <v>#REF!</v>
      </c>
      <c r="AF18" s="206" t="e">
        <v>#N/A</v>
      </c>
      <c r="AG18" s="206" t="e">
        <f>VLOOKUP($F18,#REF!,35,1)</f>
        <v>#REF!</v>
      </c>
      <c r="AH18" s="206" t="e">
        <f t="shared" si="1"/>
        <v>#REF!</v>
      </c>
      <c r="AI18" s="206" t="e">
        <v>#N/A</v>
      </c>
      <c r="AJ18" s="206" t="e">
        <f>VLOOKUP($F18,#REF!,37,1)</f>
        <v>#REF!</v>
      </c>
    </row>
    <row r="19" spans="2:36">
      <c r="B19"/>
      <c r="C19" s="104" t="s">
        <v>1931</v>
      </c>
      <c r="D19" s="98" t="s">
        <v>2232</v>
      </c>
      <c r="E19" s="98" t="s">
        <v>2154</v>
      </c>
      <c r="F19" s="112" t="s">
        <v>1955</v>
      </c>
      <c r="G19" s="97" t="s">
        <v>1929</v>
      </c>
      <c r="J19" s="102"/>
      <c r="K19" s="102"/>
      <c r="L19" s="102"/>
      <c r="M19" s="102"/>
      <c r="N19" s="102" t="s">
        <v>684</v>
      </c>
      <c r="O19" s="102" t="s">
        <v>684</v>
      </c>
      <c r="Q19" s="206" t="s">
        <v>2161</v>
      </c>
      <c r="R19" s="206">
        <f>ROW(F19)</f>
        <v>19</v>
      </c>
      <c r="S19" s="206" t="str">
        <f>CONCATENATE(";","'",D19,"'!","$B$9:$AL$89",";","21",";","1",")")</f>
        <v>;'A CALIDAD'!$B$9:$AL$89;21;1)</v>
      </c>
      <c r="T19" s="203" t="s">
        <v>2187</v>
      </c>
      <c r="U19" s="206" t="str">
        <f>CONCATENATE("=BUSCARV($E",R19,T19)</f>
        <v>=BUSCARV($E19;'A CALIDAD'!$B$9:$AL$89;21;1)</v>
      </c>
      <c r="V19" s="206"/>
      <c r="W19" s="206" t="e">
        <f>VLOOKUP($F19,#REF!,16,1)</f>
        <v>#REF!</v>
      </c>
      <c r="X19" s="206" t="e">
        <f t="shared" si="2"/>
        <v>#REF!</v>
      </c>
      <c r="Y19" s="206">
        <v>1</v>
      </c>
      <c r="Z19" s="206" t="e">
        <f>VLOOKUP($F19,#REF!,17,1)</f>
        <v>#REF!</v>
      </c>
      <c r="AA19" s="206" t="e">
        <f t="shared" si="3"/>
        <v>#REF!</v>
      </c>
      <c r="AB19" s="206">
        <v>3</v>
      </c>
      <c r="AC19" s="206" t="e">
        <f>VLOOKUP($F19,#REF!,21,1)</f>
        <v>#REF!</v>
      </c>
      <c r="AD19" s="206" t="e">
        <f>VLOOKUP($F19,#REF!,33,1)</f>
        <v>#REF!</v>
      </c>
      <c r="AE19" s="206" t="e">
        <f t="shared" si="0"/>
        <v>#REF!</v>
      </c>
      <c r="AF19" s="206">
        <v>1</v>
      </c>
      <c r="AG19" s="206" t="e">
        <f>VLOOKUP($F19,#REF!,35,1)</f>
        <v>#REF!</v>
      </c>
      <c r="AH19" s="206" t="e">
        <f t="shared" si="1"/>
        <v>#REF!</v>
      </c>
      <c r="AI19" s="206">
        <v>2</v>
      </c>
      <c r="AJ19" s="206" t="e">
        <f>VLOOKUP($F19,#REF!,37,1)</f>
        <v>#REF!</v>
      </c>
    </row>
    <row r="20" spans="2:36">
      <c r="B20"/>
      <c r="C20" s="104" t="s">
        <v>1931</v>
      </c>
      <c r="D20" s="98" t="s">
        <v>2232</v>
      </c>
      <c r="E20" s="98" t="s">
        <v>2154</v>
      </c>
      <c r="F20" s="112" t="s">
        <v>1956</v>
      </c>
      <c r="G20" s="97" t="s">
        <v>1929</v>
      </c>
      <c r="J20" s="102"/>
      <c r="K20" s="102"/>
      <c r="L20" s="102"/>
      <c r="M20" s="102"/>
      <c r="N20" s="102"/>
      <c r="O20" s="102" t="s">
        <v>684</v>
      </c>
      <c r="Q20" s="203"/>
      <c r="R20" s="203"/>
      <c r="S20" s="203"/>
      <c r="T20" s="203"/>
      <c r="U20" s="203"/>
      <c r="V20" s="203"/>
      <c r="W20" s="206" t="e">
        <f>VLOOKUP($F20,#REF!,16,1)</f>
        <v>#REF!</v>
      </c>
      <c r="X20" s="206" t="e">
        <f t="shared" si="2"/>
        <v>#REF!</v>
      </c>
      <c r="Y20" s="206">
        <v>4</v>
      </c>
      <c r="Z20" s="206" t="e">
        <f>VLOOKUP($F20,#REF!,17,1)</f>
        <v>#REF!</v>
      </c>
      <c r="AA20" s="206" t="e">
        <f t="shared" si="3"/>
        <v>#REF!</v>
      </c>
      <c r="AB20" s="206">
        <v>2</v>
      </c>
      <c r="AC20" s="206" t="e">
        <f>VLOOKUP($F20,#REF!,21,1)</f>
        <v>#REF!</v>
      </c>
      <c r="AD20" s="206" t="e">
        <f>VLOOKUP($F20,#REF!,33,1)</f>
        <v>#REF!</v>
      </c>
      <c r="AE20" s="206" t="e">
        <f t="shared" si="0"/>
        <v>#REF!</v>
      </c>
      <c r="AF20" s="206">
        <v>2</v>
      </c>
      <c r="AG20" s="206" t="e">
        <f>VLOOKUP($F20,#REF!,35,1)</f>
        <v>#REF!</v>
      </c>
      <c r="AH20" s="206" t="e">
        <f t="shared" si="1"/>
        <v>#REF!</v>
      </c>
      <c r="AI20" s="206">
        <v>2</v>
      </c>
      <c r="AJ20" s="206" t="e">
        <f>VLOOKUP($F20,#REF!,37,1)</f>
        <v>#REF!</v>
      </c>
    </row>
    <row r="21" spans="2:36">
      <c r="B21"/>
      <c r="C21" s="104" t="s">
        <v>1931</v>
      </c>
      <c r="D21" s="98" t="s">
        <v>2232</v>
      </c>
      <c r="E21" s="98" t="s">
        <v>2154</v>
      </c>
      <c r="F21" s="112" t="s">
        <v>1957</v>
      </c>
      <c r="G21" s="97" t="s">
        <v>1929</v>
      </c>
      <c r="J21" s="102"/>
      <c r="K21" s="102"/>
      <c r="L21" s="102"/>
      <c r="M21" s="102"/>
      <c r="N21" s="102"/>
      <c r="O21" s="102" t="s">
        <v>684</v>
      </c>
      <c r="Q21" s="203"/>
      <c r="R21" s="203"/>
      <c r="S21" s="203"/>
      <c r="T21" s="203"/>
      <c r="U21" s="203"/>
      <c r="V21" s="203"/>
      <c r="W21" s="206" t="e">
        <f>VLOOKUP($F21,#REF!,16,1)</f>
        <v>#REF!</v>
      </c>
      <c r="X21" s="206" t="e">
        <f t="shared" si="2"/>
        <v>#REF!</v>
      </c>
      <c r="Y21" s="206">
        <v>4</v>
      </c>
      <c r="Z21" s="206" t="e">
        <f>VLOOKUP($F21,#REF!,17,1)</f>
        <v>#REF!</v>
      </c>
      <c r="AA21" s="206" t="e">
        <f t="shared" si="3"/>
        <v>#REF!</v>
      </c>
      <c r="AB21" s="206">
        <v>3</v>
      </c>
      <c r="AC21" s="206" t="e">
        <f>VLOOKUP($F21,#REF!,21,1)</f>
        <v>#REF!</v>
      </c>
      <c r="AD21" s="206" t="e">
        <f>VLOOKUP($F21,#REF!,33,1)</f>
        <v>#REF!</v>
      </c>
      <c r="AE21" s="206" t="e">
        <f t="shared" si="0"/>
        <v>#REF!</v>
      </c>
      <c r="AF21" s="206">
        <v>2</v>
      </c>
      <c r="AG21" s="206" t="e">
        <f>VLOOKUP($F21,#REF!,35,1)</f>
        <v>#REF!</v>
      </c>
      <c r="AH21" s="206" t="e">
        <f t="shared" si="1"/>
        <v>#REF!</v>
      </c>
      <c r="AI21" s="206">
        <v>1</v>
      </c>
      <c r="AJ21" s="206" t="e">
        <f>VLOOKUP($F21,#REF!,37,1)</f>
        <v>#REF!</v>
      </c>
    </row>
    <row r="22" spans="2:36">
      <c r="B22"/>
      <c r="C22" s="104" t="s">
        <v>1931</v>
      </c>
      <c r="D22" s="98" t="s">
        <v>2232</v>
      </c>
      <c r="E22" s="98" t="s">
        <v>2154</v>
      </c>
      <c r="Q22" s="203"/>
      <c r="R22" s="203"/>
      <c r="S22" s="203"/>
      <c r="T22" s="203"/>
      <c r="U22" s="203"/>
      <c r="V22" s="203"/>
      <c r="W22" s="206" t="e">
        <f>VLOOKUP($F22,#REF!,16,1)</f>
        <v>#REF!</v>
      </c>
      <c r="X22" s="206" t="e">
        <f t="shared" si="2"/>
        <v>#REF!</v>
      </c>
      <c r="Y22" s="206" t="e">
        <v>#N/A</v>
      </c>
      <c r="Z22" s="206" t="e">
        <f>VLOOKUP($F22,#REF!,17,1)</f>
        <v>#REF!</v>
      </c>
      <c r="AA22" s="206" t="e">
        <f t="shared" si="3"/>
        <v>#REF!</v>
      </c>
      <c r="AB22" s="206" t="e">
        <v>#N/A</v>
      </c>
      <c r="AC22" s="206" t="e">
        <f>VLOOKUP($F22,#REF!,21,1)</f>
        <v>#REF!</v>
      </c>
      <c r="AD22" s="206" t="e">
        <f>VLOOKUP($F22,#REF!,33,1)</f>
        <v>#REF!</v>
      </c>
      <c r="AE22" s="206" t="e">
        <f t="shared" si="0"/>
        <v>#REF!</v>
      </c>
      <c r="AF22" s="206" t="e">
        <v>#N/A</v>
      </c>
      <c r="AG22" s="206" t="e">
        <f>VLOOKUP($F22,#REF!,35,1)</f>
        <v>#REF!</v>
      </c>
      <c r="AH22" s="206" t="e">
        <f t="shared" si="1"/>
        <v>#REF!</v>
      </c>
      <c r="AI22" s="206" t="e">
        <v>#N/A</v>
      </c>
      <c r="AJ22" s="206" t="e">
        <f>VLOOKUP($F22,#REF!,37,1)</f>
        <v>#REF!</v>
      </c>
    </row>
    <row r="23" spans="2:36">
      <c r="B23"/>
      <c r="C23" s="104" t="s">
        <v>1931</v>
      </c>
      <c r="D23" s="98" t="s">
        <v>2232</v>
      </c>
      <c r="E23" s="98" t="s">
        <v>2154</v>
      </c>
      <c r="Q23" s="203"/>
      <c r="R23" s="203"/>
      <c r="S23" s="203"/>
      <c r="T23" s="203"/>
      <c r="U23" s="203"/>
      <c r="V23" s="203"/>
      <c r="W23" s="206" t="e">
        <f>VLOOKUP($F23,#REF!,16,1)</f>
        <v>#REF!</v>
      </c>
      <c r="X23" s="206" t="e">
        <f t="shared" si="2"/>
        <v>#REF!</v>
      </c>
      <c r="Y23" s="206" t="e">
        <v>#N/A</v>
      </c>
      <c r="Z23" s="206" t="e">
        <f>VLOOKUP($F23,#REF!,17,1)</f>
        <v>#REF!</v>
      </c>
      <c r="AA23" s="206" t="e">
        <f t="shared" si="3"/>
        <v>#REF!</v>
      </c>
      <c r="AB23" s="206" t="e">
        <v>#N/A</v>
      </c>
      <c r="AC23" s="206" t="e">
        <f>VLOOKUP($F23,#REF!,21,1)</f>
        <v>#REF!</v>
      </c>
      <c r="AD23" s="206" t="e">
        <f>VLOOKUP($F23,#REF!,33,1)</f>
        <v>#REF!</v>
      </c>
      <c r="AE23" s="206" t="e">
        <f t="shared" si="0"/>
        <v>#REF!</v>
      </c>
      <c r="AF23" s="206" t="e">
        <v>#N/A</v>
      </c>
      <c r="AG23" s="206" t="e">
        <f>VLOOKUP($F23,#REF!,35,1)</f>
        <v>#REF!</v>
      </c>
      <c r="AH23" s="206" t="e">
        <f t="shared" si="1"/>
        <v>#REF!</v>
      </c>
      <c r="AI23" s="206" t="e">
        <v>#N/A</v>
      </c>
      <c r="AJ23" s="206" t="e">
        <f>VLOOKUP($F23,#REF!,37,1)</f>
        <v>#REF!</v>
      </c>
    </row>
    <row r="24" spans="2:36">
      <c r="B24"/>
      <c r="C24" s="104" t="s">
        <v>1931</v>
      </c>
      <c r="D24" s="98" t="s">
        <v>2232</v>
      </c>
      <c r="E24" s="98" t="s">
        <v>2154</v>
      </c>
      <c r="Q24" s="203"/>
      <c r="R24" s="203"/>
      <c r="S24" s="203"/>
      <c r="T24" s="203"/>
      <c r="U24" s="203"/>
      <c r="V24" s="203"/>
      <c r="W24" s="206" t="e">
        <f>VLOOKUP($F24,#REF!,16,1)</f>
        <v>#REF!</v>
      </c>
      <c r="X24" s="206" t="e">
        <f t="shared" si="2"/>
        <v>#REF!</v>
      </c>
      <c r="Y24" s="206" t="e">
        <v>#N/A</v>
      </c>
      <c r="Z24" s="206" t="e">
        <f>VLOOKUP($F24,#REF!,17,1)</f>
        <v>#REF!</v>
      </c>
      <c r="AA24" s="206" t="e">
        <f t="shared" si="3"/>
        <v>#REF!</v>
      </c>
      <c r="AB24" s="206" t="e">
        <v>#N/A</v>
      </c>
      <c r="AC24" s="206" t="e">
        <f>VLOOKUP($F24,#REF!,21,1)</f>
        <v>#REF!</v>
      </c>
      <c r="AD24" s="206" t="e">
        <f>VLOOKUP($F24,#REF!,33,1)</f>
        <v>#REF!</v>
      </c>
      <c r="AE24" s="206" t="e">
        <f t="shared" si="0"/>
        <v>#REF!</v>
      </c>
      <c r="AF24" s="206" t="e">
        <v>#N/A</v>
      </c>
      <c r="AG24" s="206" t="e">
        <f>VLOOKUP($F24,#REF!,35,1)</f>
        <v>#REF!</v>
      </c>
      <c r="AH24" s="206" t="e">
        <f t="shared" si="1"/>
        <v>#REF!</v>
      </c>
      <c r="AI24" s="206" t="e">
        <v>#N/A</v>
      </c>
      <c r="AJ24" s="206" t="e">
        <f>VLOOKUP($F24,#REF!,37,1)</f>
        <v>#REF!</v>
      </c>
    </row>
    <row r="25" spans="2:36">
      <c r="B25"/>
      <c r="C25" s="104" t="s">
        <v>1931</v>
      </c>
      <c r="D25" s="98" t="s">
        <v>2232</v>
      </c>
      <c r="E25" s="98" t="s">
        <v>2154</v>
      </c>
      <c r="Q25" s="203"/>
      <c r="R25" s="203"/>
      <c r="S25" s="203"/>
      <c r="T25" s="203"/>
      <c r="U25" s="203"/>
      <c r="V25" s="203"/>
      <c r="W25" s="206" t="e">
        <f>VLOOKUP($F25,#REF!,16,1)</f>
        <v>#REF!</v>
      </c>
      <c r="X25" s="206" t="e">
        <f t="shared" si="2"/>
        <v>#REF!</v>
      </c>
      <c r="Y25" s="206" t="e">
        <v>#N/A</v>
      </c>
      <c r="Z25" s="206" t="e">
        <f>VLOOKUP($F25,#REF!,17,1)</f>
        <v>#REF!</v>
      </c>
      <c r="AA25" s="206" t="e">
        <f t="shared" si="3"/>
        <v>#REF!</v>
      </c>
      <c r="AB25" s="206" t="e">
        <v>#N/A</v>
      </c>
      <c r="AC25" s="206" t="e">
        <f>VLOOKUP($F25,#REF!,21,1)</f>
        <v>#REF!</v>
      </c>
      <c r="AD25" s="206" t="e">
        <f>VLOOKUP($F25,#REF!,33,1)</f>
        <v>#REF!</v>
      </c>
      <c r="AE25" s="206" t="e">
        <f t="shared" si="0"/>
        <v>#REF!</v>
      </c>
      <c r="AF25" s="206" t="e">
        <v>#N/A</v>
      </c>
      <c r="AG25" s="206" t="e">
        <f>VLOOKUP($F25,#REF!,35,1)</f>
        <v>#REF!</v>
      </c>
      <c r="AH25" s="206" t="e">
        <f t="shared" si="1"/>
        <v>#REF!</v>
      </c>
      <c r="AI25" s="206" t="e">
        <v>#N/A</v>
      </c>
      <c r="AJ25" s="206" t="e">
        <f>VLOOKUP($F25,#REF!,37,1)</f>
        <v>#REF!</v>
      </c>
    </row>
    <row r="26" spans="2:36">
      <c r="B26"/>
      <c r="C26" s="104" t="s">
        <v>1931</v>
      </c>
      <c r="D26" s="98" t="s">
        <v>2232</v>
      </c>
      <c r="E26" s="98" t="s">
        <v>2154</v>
      </c>
      <c r="Q26" s="203"/>
      <c r="R26" s="203"/>
      <c r="S26" s="203"/>
      <c r="T26" s="203"/>
      <c r="U26" s="203"/>
      <c r="V26" s="203"/>
      <c r="W26" s="206" t="e">
        <f>VLOOKUP($F26,#REF!,16,1)</f>
        <v>#REF!</v>
      </c>
      <c r="X26" s="206" t="e">
        <f t="shared" si="2"/>
        <v>#REF!</v>
      </c>
      <c r="Y26" s="206" t="e">
        <v>#N/A</v>
      </c>
      <c r="Z26" s="206" t="e">
        <f>VLOOKUP($F26,#REF!,17,1)</f>
        <v>#REF!</v>
      </c>
      <c r="AA26" s="206" t="e">
        <f t="shared" si="3"/>
        <v>#REF!</v>
      </c>
      <c r="AB26" s="206" t="e">
        <v>#N/A</v>
      </c>
      <c r="AC26" s="206" t="e">
        <f>VLOOKUP($F26,#REF!,21,1)</f>
        <v>#REF!</v>
      </c>
      <c r="AD26" s="206" t="e">
        <f>VLOOKUP($F26,#REF!,33,1)</f>
        <v>#REF!</v>
      </c>
      <c r="AE26" s="206" t="e">
        <f t="shared" si="0"/>
        <v>#REF!</v>
      </c>
      <c r="AF26" s="206" t="e">
        <v>#N/A</v>
      </c>
      <c r="AG26" s="206" t="e">
        <f>VLOOKUP($F26,#REF!,35,1)</f>
        <v>#REF!</v>
      </c>
      <c r="AH26" s="206" t="e">
        <f t="shared" si="1"/>
        <v>#REF!</v>
      </c>
      <c r="AI26" s="206" t="e">
        <v>#N/A</v>
      </c>
      <c r="AJ26" s="206" t="e">
        <f>VLOOKUP($F26,#REF!,37,1)</f>
        <v>#REF!</v>
      </c>
    </row>
    <row r="27" spans="2:36">
      <c r="B27"/>
      <c r="C27" s="104" t="s">
        <v>1931</v>
      </c>
      <c r="D27" s="98" t="s">
        <v>2232</v>
      </c>
      <c r="E27" s="98" t="s">
        <v>2154</v>
      </c>
      <c r="Q27" s="203"/>
      <c r="R27" s="203"/>
      <c r="S27" s="203"/>
      <c r="T27" s="203"/>
      <c r="U27" s="203"/>
      <c r="V27" s="203"/>
      <c r="W27" s="206" t="e">
        <f>VLOOKUP($F27,#REF!,16,1)</f>
        <v>#REF!</v>
      </c>
      <c r="X27" s="206" t="e">
        <f t="shared" si="2"/>
        <v>#REF!</v>
      </c>
      <c r="Y27" s="206" t="e">
        <v>#N/A</v>
      </c>
      <c r="Z27" s="206" t="e">
        <f>VLOOKUP($F27,#REF!,17,1)</f>
        <v>#REF!</v>
      </c>
      <c r="AA27" s="206" t="e">
        <f t="shared" si="3"/>
        <v>#REF!</v>
      </c>
      <c r="AB27" s="206" t="e">
        <v>#N/A</v>
      </c>
      <c r="AC27" s="206" t="e">
        <f>VLOOKUP($F27,#REF!,21,1)</f>
        <v>#REF!</v>
      </c>
      <c r="AD27" s="206" t="e">
        <f>VLOOKUP($F27,#REF!,33,1)</f>
        <v>#REF!</v>
      </c>
      <c r="AE27" s="206" t="e">
        <f t="shared" si="0"/>
        <v>#REF!</v>
      </c>
      <c r="AF27" s="206" t="e">
        <v>#N/A</v>
      </c>
      <c r="AG27" s="206" t="e">
        <f>VLOOKUP($F27,#REF!,35,1)</f>
        <v>#REF!</v>
      </c>
      <c r="AH27" s="206" t="e">
        <f t="shared" si="1"/>
        <v>#REF!</v>
      </c>
      <c r="AI27" s="206" t="e">
        <v>#N/A</v>
      </c>
      <c r="AJ27" s="206" t="e">
        <f>VLOOKUP($F27,#REF!,37,1)</f>
        <v>#REF!</v>
      </c>
    </row>
    <row r="28" spans="2:36">
      <c r="B28"/>
      <c r="C28" s="104" t="s">
        <v>1931</v>
      </c>
      <c r="D28" s="98" t="s">
        <v>2232</v>
      </c>
      <c r="E28" s="98" t="s">
        <v>2154</v>
      </c>
      <c r="Q28" s="203"/>
      <c r="R28" s="203"/>
      <c r="S28" s="203"/>
      <c r="T28" s="203"/>
      <c r="U28" s="203"/>
      <c r="V28" s="203"/>
      <c r="W28" s="206" t="e">
        <f>VLOOKUP($F28,#REF!,16,1)</f>
        <v>#REF!</v>
      </c>
      <c r="X28" s="206" t="e">
        <f t="shared" si="2"/>
        <v>#REF!</v>
      </c>
      <c r="Y28" s="206" t="e">
        <v>#N/A</v>
      </c>
      <c r="Z28" s="206" t="e">
        <f>VLOOKUP($F28,#REF!,17,1)</f>
        <v>#REF!</v>
      </c>
      <c r="AA28" s="206" t="e">
        <f t="shared" si="3"/>
        <v>#REF!</v>
      </c>
      <c r="AB28" s="206" t="e">
        <v>#N/A</v>
      </c>
      <c r="AC28" s="206" t="e">
        <f>VLOOKUP($F28,#REF!,21,1)</f>
        <v>#REF!</v>
      </c>
      <c r="AD28" s="206" t="e">
        <f>VLOOKUP($F28,#REF!,33,1)</f>
        <v>#REF!</v>
      </c>
      <c r="AE28" s="206" t="e">
        <f t="shared" si="0"/>
        <v>#REF!</v>
      </c>
      <c r="AF28" s="206" t="e">
        <v>#N/A</v>
      </c>
      <c r="AG28" s="206" t="e">
        <f>VLOOKUP($F28,#REF!,35,1)</f>
        <v>#REF!</v>
      </c>
      <c r="AH28" s="206" t="e">
        <f t="shared" si="1"/>
        <v>#REF!</v>
      </c>
      <c r="AI28" s="206" t="e">
        <v>#N/A</v>
      </c>
      <c r="AJ28" s="206" t="e">
        <f>VLOOKUP($F28,#REF!,37,1)</f>
        <v>#REF!</v>
      </c>
    </row>
    <row r="29" spans="2:36">
      <c r="B29"/>
      <c r="C29" s="104" t="s">
        <v>1931</v>
      </c>
      <c r="D29" s="98" t="s">
        <v>2232</v>
      </c>
      <c r="E29" s="98" t="s">
        <v>2154</v>
      </c>
      <c r="Q29" s="203"/>
      <c r="R29" s="203"/>
      <c r="S29" s="203"/>
      <c r="T29" s="203"/>
      <c r="U29" s="203"/>
      <c r="V29" s="203"/>
      <c r="W29" s="206" t="e">
        <f>VLOOKUP($F29,#REF!,16,1)</f>
        <v>#REF!</v>
      </c>
      <c r="X29" s="206" t="e">
        <f t="shared" si="2"/>
        <v>#REF!</v>
      </c>
      <c r="Y29" s="206" t="e">
        <v>#N/A</v>
      </c>
      <c r="Z29" s="206" t="e">
        <f>VLOOKUP($F29,#REF!,17,1)</f>
        <v>#REF!</v>
      </c>
      <c r="AA29" s="206" t="e">
        <f t="shared" si="3"/>
        <v>#REF!</v>
      </c>
      <c r="AB29" s="206" t="e">
        <v>#N/A</v>
      </c>
      <c r="AC29" s="206" t="e">
        <f>VLOOKUP($F29,#REF!,21,1)</f>
        <v>#REF!</v>
      </c>
      <c r="AD29" s="206" t="e">
        <f>VLOOKUP($F29,#REF!,33,1)</f>
        <v>#REF!</v>
      </c>
      <c r="AE29" s="206" t="e">
        <f t="shared" si="0"/>
        <v>#REF!</v>
      </c>
      <c r="AF29" s="206" t="e">
        <v>#N/A</v>
      </c>
      <c r="AG29" s="206" t="e">
        <f>VLOOKUP($F29,#REF!,35,1)</f>
        <v>#REF!</v>
      </c>
      <c r="AH29" s="206" t="e">
        <f t="shared" si="1"/>
        <v>#REF!</v>
      </c>
      <c r="AI29" s="206" t="e">
        <v>#N/A</v>
      </c>
      <c r="AJ29" s="206" t="e">
        <f>VLOOKUP($F29,#REF!,37,1)</f>
        <v>#REF!</v>
      </c>
    </row>
    <row r="30" spans="2:36">
      <c r="B30"/>
      <c r="C30" s="104" t="s">
        <v>1931</v>
      </c>
      <c r="D30" s="98" t="s">
        <v>2232</v>
      </c>
      <c r="E30" s="98" t="s">
        <v>2154</v>
      </c>
      <c r="Q30" s="203"/>
      <c r="R30" s="203"/>
      <c r="S30" s="203"/>
      <c r="T30" s="203"/>
      <c r="U30" s="203"/>
      <c r="V30" s="203"/>
      <c r="W30" s="206" t="e">
        <f>VLOOKUP($F30,#REF!,16,1)</f>
        <v>#REF!</v>
      </c>
      <c r="X30" s="206" t="e">
        <f t="shared" si="2"/>
        <v>#REF!</v>
      </c>
      <c r="Y30" s="206" t="e">
        <v>#N/A</v>
      </c>
      <c r="Z30" s="206" t="e">
        <f>VLOOKUP($F30,#REF!,17,1)</f>
        <v>#REF!</v>
      </c>
      <c r="AA30" s="206" t="e">
        <f t="shared" si="3"/>
        <v>#REF!</v>
      </c>
      <c r="AB30" s="206" t="e">
        <v>#N/A</v>
      </c>
      <c r="AC30" s="206" t="e">
        <f>VLOOKUP($F30,#REF!,21,1)</f>
        <v>#REF!</v>
      </c>
      <c r="AD30" s="206" t="e">
        <f>VLOOKUP($F30,#REF!,33,1)</f>
        <v>#REF!</v>
      </c>
      <c r="AE30" s="206" t="e">
        <f t="shared" si="0"/>
        <v>#REF!</v>
      </c>
      <c r="AF30" s="206" t="e">
        <v>#N/A</v>
      </c>
      <c r="AG30" s="206" t="e">
        <f>VLOOKUP($F30,#REF!,35,1)</f>
        <v>#REF!</v>
      </c>
      <c r="AH30" s="206" t="e">
        <f t="shared" si="1"/>
        <v>#REF!</v>
      </c>
      <c r="AI30" s="206" t="e">
        <v>#N/A</v>
      </c>
      <c r="AJ30" s="206" t="e">
        <f>VLOOKUP($F30,#REF!,37,1)</f>
        <v>#REF!</v>
      </c>
    </row>
    <row r="31" spans="2:36">
      <c r="B31"/>
      <c r="C31" s="104" t="s">
        <v>1931</v>
      </c>
      <c r="D31" s="98" t="s">
        <v>2232</v>
      </c>
      <c r="E31" s="98" t="s">
        <v>2154</v>
      </c>
      <c r="Q31" s="203"/>
      <c r="R31" s="203"/>
      <c r="S31" s="203"/>
      <c r="T31" s="203"/>
      <c r="U31" s="203"/>
      <c r="V31" s="203"/>
      <c r="W31" s="206" t="e">
        <f>VLOOKUP($F31,#REF!,16,1)</f>
        <v>#REF!</v>
      </c>
      <c r="X31" s="206" t="e">
        <f t="shared" si="2"/>
        <v>#REF!</v>
      </c>
      <c r="Y31" s="206" t="e">
        <v>#N/A</v>
      </c>
      <c r="Z31" s="206" t="e">
        <f>VLOOKUP($F31,#REF!,17,1)</f>
        <v>#REF!</v>
      </c>
      <c r="AA31" s="206" t="e">
        <f t="shared" si="3"/>
        <v>#REF!</v>
      </c>
      <c r="AB31" s="206" t="e">
        <v>#N/A</v>
      </c>
      <c r="AC31" s="206" t="e">
        <f>VLOOKUP($F31,#REF!,21,1)</f>
        <v>#REF!</v>
      </c>
      <c r="AD31" s="206" t="e">
        <f>VLOOKUP($F31,#REF!,33,1)</f>
        <v>#REF!</v>
      </c>
      <c r="AE31" s="206" t="e">
        <f t="shared" si="0"/>
        <v>#REF!</v>
      </c>
      <c r="AF31" s="206" t="e">
        <v>#N/A</v>
      </c>
      <c r="AG31" s="206" t="e">
        <f>VLOOKUP($F31,#REF!,35,1)</f>
        <v>#REF!</v>
      </c>
      <c r="AH31" s="206" t="e">
        <f t="shared" si="1"/>
        <v>#REF!</v>
      </c>
      <c r="AI31" s="206" t="e">
        <v>#N/A</v>
      </c>
      <c r="AJ31" s="206" t="e">
        <f>VLOOKUP($F31,#REF!,37,1)</f>
        <v>#REF!</v>
      </c>
    </row>
    <row r="32" spans="2:36">
      <c r="B32"/>
      <c r="C32" s="104" t="s">
        <v>1931</v>
      </c>
      <c r="D32" s="98" t="s">
        <v>2232</v>
      </c>
      <c r="E32" s="98" t="s">
        <v>2154</v>
      </c>
      <c r="Q32" s="203"/>
      <c r="R32" s="203"/>
      <c r="S32" s="203"/>
      <c r="T32" s="203"/>
      <c r="U32" s="203"/>
      <c r="V32" s="203"/>
      <c r="W32" s="206" t="e">
        <f>VLOOKUP($F32,#REF!,16,1)</f>
        <v>#REF!</v>
      </c>
      <c r="X32" s="206" t="e">
        <f t="shared" si="2"/>
        <v>#REF!</v>
      </c>
      <c r="Y32" s="206" t="e">
        <v>#N/A</v>
      </c>
      <c r="Z32" s="206" t="e">
        <f>VLOOKUP($F32,#REF!,17,1)</f>
        <v>#REF!</v>
      </c>
      <c r="AA32" s="206" t="e">
        <f t="shared" si="3"/>
        <v>#REF!</v>
      </c>
      <c r="AB32" s="206" t="e">
        <v>#N/A</v>
      </c>
      <c r="AC32" s="206" t="e">
        <f>VLOOKUP($F32,#REF!,21,1)</f>
        <v>#REF!</v>
      </c>
      <c r="AD32" s="206" t="e">
        <f>VLOOKUP($F32,#REF!,33,1)</f>
        <v>#REF!</v>
      </c>
      <c r="AE32" s="206" t="e">
        <f t="shared" si="0"/>
        <v>#REF!</v>
      </c>
      <c r="AF32" s="206" t="e">
        <v>#N/A</v>
      </c>
      <c r="AG32" s="206" t="e">
        <f>VLOOKUP($F32,#REF!,35,1)</f>
        <v>#REF!</v>
      </c>
      <c r="AH32" s="206" t="e">
        <f t="shared" si="1"/>
        <v>#REF!</v>
      </c>
      <c r="AI32" s="206" t="e">
        <v>#N/A</v>
      </c>
      <c r="AJ32" s="206" t="e">
        <f>VLOOKUP($F32,#REF!,37,1)</f>
        <v>#REF!</v>
      </c>
    </row>
    <row r="33" spans="2:36">
      <c r="B33"/>
      <c r="C33" s="104" t="s">
        <v>1931</v>
      </c>
      <c r="D33" s="98" t="s">
        <v>2232</v>
      </c>
      <c r="E33" s="98" t="s">
        <v>2154</v>
      </c>
      <c r="Q33" s="203"/>
      <c r="R33" s="203"/>
      <c r="S33" s="203"/>
      <c r="T33" s="203"/>
      <c r="U33" s="203"/>
      <c r="V33" s="203"/>
      <c r="W33" s="206" t="e">
        <f>VLOOKUP($F33,#REF!,16,1)</f>
        <v>#REF!</v>
      </c>
      <c r="X33" s="206" t="e">
        <f t="shared" si="2"/>
        <v>#REF!</v>
      </c>
      <c r="Y33" s="206" t="e">
        <v>#N/A</v>
      </c>
      <c r="Z33" s="206" t="e">
        <f>VLOOKUP($F33,#REF!,17,1)</f>
        <v>#REF!</v>
      </c>
      <c r="AA33" s="206" t="e">
        <f t="shared" si="3"/>
        <v>#REF!</v>
      </c>
      <c r="AB33" s="206" t="e">
        <v>#N/A</v>
      </c>
      <c r="AC33" s="206" t="e">
        <f>VLOOKUP($F33,#REF!,21,1)</f>
        <v>#REF!</v>
      </c>
      <c r="AD33" s="206" t="e">
        <f>VLOOKUP($F33,#REF!,33,1)</f>
        <v>#REF!</v>
      </c>
      <c r="AE33" s="206" t="e">
        <f t="shared" si="0"/>
        <v>#REF!</v>
      </c>
      <c r="AF33" s="206" t="e">
        <v>#N/A</v>
      </c>
      <c r="AG33" s="206" t="e">
        <f>VLOOKUP($F33,#REF!,35,1)</f>
        <v>#REF!</v>
      </c>
      <c r="AH33" s="206" t="e">
        <f t="shared" si="1"/>
        <v>#REF!</v>
      </c>
      <c r="AI33" s="206" t="e">
        <v>#N/A</v>
      </c>
      <c r="AJ33" s="206" t="e">
        <f>VLOOKUP($F33,#REF!,37,1)</f>
        <v>#REF!</v>
      </c>
    </row>
    <row r="34" spans="2:36">
      <c r="B34"/>
      <c r="C34" s="105" t="s">
        <v>1910</v>
      </c>
      <c r="D34" s="98" t="s">
        <v>2233</v>
      </c>
      <c r="E34" s="98" t="s">
        <v>2154</v>
      </c>
      <c r="F34" s="112" t="s">
        <v>2009</v>
      </c>
      <c r="G34" s="97" t="s">
        <v>1929</v>
      </c>
      <c r="K34" s="48" t="s">
        <v>8</v>
      </c>
      <c r="Q34" s="206" t="s">
        <v>2161</v>
      </c>
      <c r="R34" s="206">
        <f>ROW(F34)</f>
        <v>34</v>
      </c>
      <c r="S34" s="206" t="str">
        <f>CONCATENATE(";","'",D34,"'!","$B$9:$AL$89",";","21",";","1",")")</f>
        <v>;'E GPROYECTOS'!$B$9:$AL$89;21;1)</v>
      </c>
      <c r="T34" s="203" t="s">
        <v>2188</v>
      </c>
      <c r="U34" s="206" t="str">
        <f>CONCATENATE("=BUSCARV($E",R34,T34)</f>
        <v>=BUSCARV($E34;'E GPROYECTOS'!$B$9:$AL$89;21;1)</v>
      </c>
      <c r="V34" s="206"/>
      <c r="W34" s="206" t="e">
        <f>VLOOKUP($F34,#REF!,16,1)</f>
        <v>#REF!</v>
      </c>
      <c r="X34" s="206" t="e">
        <f t="shared" si="2"/>
        <v>#REF!</v>
      </c>
      <c r="Y34" s="206">
        <v>3</v>
      </c>
      <c r="Z34" s="206" t="e">
        <f>VLOOKUP($F34,#REF!,17,1)</f>
        <v>#REF!</v>
      </c>
      <c r="AA34" s="206" t="e">
        <f t="shared" si="3"/>
        <v>#REF!</v>
      </c>
      <c r="AB34" s="206">
        <v>4</v>
      </c>
      <c r="AC34" s="206" t="e">
        <f>VLOOKUP($F34,#REF!,21,1)</f>
        <v>#REF!</v>
      </c>
      <c r="AD34" s="206" t="e">
        <f>VLOOKUP($F34,#REF!,33,1)</f>
        <v>#REF!</v>
      </c>
      <c r="AE34" s="206" t="e">
        <f t="shared" si="0"/>
        <v>#REF!</v>
      </c>
      <c r="AF34" s="206">
        <v>2</v>
      </c>
      <c r="AG34" s="206" t="e">
        <f>VLOOKUP($F34,#REF!,35,1)</f>
        <v>#REF!</v>
      </c>
      <c r="AH34" s="206" t="e">
        <f t="shared" si="1"/>
        <v>#REF!</v>
      </c>
      <c r="AI34" s="206">
        <v>3</v>
      </c>
      <c r="AJ34" s="206" t="e">
        <f>VLOOKUP($F34,#REF!,37,1)</f>
        <v>#REF!</v>
      </c>
    </row>
    <row r="35" spans="2:36">
      <c r="B35"/>
      <c r="C35" s="105" t="s">
        <v>1910</v>
      </c>
      <c r="D35" s="98" t="s">
        <v>2233</v>
      </c>
      <c r="E35" s="98" t="s">
        <v>2154</v>
      </c>
      <c r="F35" s="112" t="s">
        <v>2010</v>
      </c>
      <c r="G35" s="97" t="s">
        <v>1929</v>
      </c>
      <c r="K35" s="48" t="s">
        <v>8</v>
      </c>
      <c r="Q35" s="203"/>
      <c r="R35" s="203"/>
      <c r="S35" s="203"/>
      <c r="T35" s="203"/>
      <c r="U35" s="203"/>
      <c r="V35" s="203"/>
      <c r="W35" s="206" t="e">
        <f>VLOOKUP($F35,#REF!,16,1)</f>
        <v>#REF!</v>
      </c>
      <c r="X35" s="206" t="e">
        <f t="shared" si="2"/>
        <v>#REF!</v>
      </c>
      <c r="Y35" s="206">
        <v>2</v>
      </c>
      <c r="Z35" s="206" t="e">
        <f>VLOOKUP($F35,#REF!,17,1)</f>
        <v>#REF!</v>
      </c>
      <c r="AA35" s="206" t="e">
        <f t="shared" si="3"/>
        <v>#REF!</v>
      </c>
      <c r="AB35" s="206">
        <v>2</v>
      </c>
      <c r="AC35" s="206" t="e">
        <f>VLOOKUP($F35,#REF!,21,1)</f>
        <v>#REF!</v>
      </c>
      <c r="AD35" s="206" t="e">
        <f>VLOOKUP($F35,#REF!,33,1)</f>
        <v>#REF!</v>
      </c>
      <c r="AE35" s="206" t="e">
        <f t="shared" si="0"/>
        <v>#REF!</v>
      </c>
      <c r="AF35" s="206">
        <v>2</v>
      </c>
      <c r="AG35" s="206" t="e">
        <f>VLOOKUP($F35,#REF!,35,1)</f>
        <v>#REF!</v>
      </c>
      <c r="AH35" s="206" t="e">
        <f t="shared" si="1"/>
        <v>#REF!</v>
      </c>
      <c r="AI35" s="206">
        <v>1</v>
      </c>
      <c r="AJ35" s="206" t="e">
        <f>VLOOKUP($F35,#REF!,37,1)</f>
        <v>#REF!</v>
      </c>
    </row>
    <row r="36" spans="2:36">
      <c r="B36"/>
      <c r="C36" s="105" t="s">
        <v>1910</v>
      </c>
      <c r="D36" s="98" t="s">
        <v>2233</v>
      </c>
      <c r="E36" s="98" t="s">
        <v>2154</v>
      </c>
      <c r="Q36" s="203"/>
      <c r="R36" s="203"/>
      <c r="S36" s="203"/>
      <c r="T36" s="203"/>
      <c r="U36" s="203"/>
      <c r="V36" s="203"/>
      <c r="W36" s="206" t="e">
        <f>VLOOKUP($F36,#REF!,16,1)</f>
        <v>#REF!</v>
      </c>
      <c r="X36" s="206" t="e">
        <f t="shared" si="2"/>
        <v>#REF!</v>
      </c>
      <c r="Y36" s="206" t="e">
        <v>#N/A</v>
      </c>
      <c r="Z36" s="206" t="e">
        <f>VLOOKUP($F36,#REF!,17,1)</f>
        <v>#REF!</v>
      </c>
      <c r="AA36" s="206" t="e">
        <f t="shared" si="3"/>
        <v>#REF!</v>
      </c>
      <c r="AB36" s="206" t="e">
        <v>#N/A</v>
      </c>
      <c r="AC36" s="206" t="e">
        <f>VLOOKUP($F36,#REF!,21,1)</f>
        <v>#REF!</v>
      </c>
      <c r="AD36" s="206" t="e">
        <f>VLOOKUP($F36,#REF!,33,1)</f>
        <v>#REF!</v>
      </c>
      <c r="AE36" s="206" t="e">
        <f t="shared" si="0"/>
        <v>#REF!</v>
      </c>
      <c r="AF36" s="206" t="e">
        <v>#N/A</v>
      </c>
      <c r="AG36" s="206" t="e">
        <f>VLOOKUP($F36,#REF!,35,1)</f>
        <v>#REF!</v>
      </c>
      <c r="AH36" s="206" t="e">
        <f t="shared" si="1"/>
        <v>#REF!</v>
      </c>
      <c r="AI36" s="206" t="e">
        <v>#N/A</v>
      </c>
      <c r="AJ36" s="206" t="e">
        <f>VLOOKUP($F36,#REF!,37,1)</f>
        <v>#REF!</v>
      </c>
    </row>
    <row r="37" spans="2:36">
      <c r="B37"/>
      <c r="C37" s="105" t="s">
        <v>1910</v>
      </c>
      <c r="D37" s="98" t="s">
        <v>2233</v>
      </c>
      <c r="E37" s="98" t="s">
        <v>2154</v>
      </c>
      <c r="Q37" s="203"/>
      <c r="R37" s="203"/>
      <c r="S37" s="203"/>
      <c r="T37" s="203"/>
      <c r="U37" s="203"/>
      <c r="V37" s="203"/>
      <c r="W37" s="206" t="e">
        <f>VLOOKUP($F37,#REF!,16,1)</f>
        <v>#REF!</v>
      </c>
      <c r="X37" s="206" t="e">
        <f t="shared" si="2"/>
        <v>#REF!</v>
      </c>
      <c r="Y37" s="206" t="e">
        <v>#N/A</v>
      </c>
      <c r="Z37" s="206" t="e">
        <f>VLOOKUP($F37,#REF!,17,1)</f>
        <v>#REF!</v>
      </c>
      <c r="AA37" s="206" t="e">
        <f t="shared" si="3"/>
        <v>#REF!</v>
      </c>
      <c r="AB37" s="206" t="e">
        <v>#N/A</v>
      </c>
      <c r="AC37" s="206" t="e">
        <f>VLOOKUP($F37,#REF!,21,1)</f>
        <v>#REF!</v>
      </c>
      <c r="AD37" s="206" t="e">
        <f>VLOOKUP($F37,#REF!,33,1)</f>
        <v>#REF!</v>
      </c>
      <c r="AE37" s="206" t="e">
        <f t="shared" si="0"/>
        <v>#REF!</v>
      </c>
      <c r="AF37" s="206" t="e">
        <v>#N/A</v>
      </c>
      <c r="AG37" s="206" t="e">
        <f>VLOOKUP($F37,#REF!,35,1)</f>
        <v>#REF!</v>
      </c>
      <c r="AH37" s="206" t="e">
        <f t="shared" si="1"/>
        <v>#REF!</v>
      </c>
      <c r="AI37" s="206" t="e">
        <v>#N/A</v>
      </c>
      <c r="AJ37" s="206" t="e">
        <f>VLOOKUP($F37,#REF!,37,1)</f>
        <v>#REF!</v>
      </c>
    </row>
    <row r="38" spans="2:36">
      <c r="B38"/>
      <c r="C38" s="105" t="s">
        <v>1910</v>
      </c>
      <c r="D38" s="98" t="s">
        <v>2233</v>
      </c>
      <c r="E38" s="98" t="s">
        <v>2154</v>
      </c>
      <c r="Q38" s="203"/>
      <c r="R38" s="203"/>
      <c r="S38" s="203"/>
      <c r="T38" s="203"/>
      <c r="U38" s="203"/>
      <c r="V38" s="203"/>
      <c r="W38" s="206" t="e">
        <f>VLOOKUP($F38,#REF!,16,1)</f>
        <v>#REF!</v>
      </c>
      <c r="X38" s="206" t="e">
        <f t="shared" si="2"/>
        <v>#REF!</v>
      </c>
      <c r="Y38" s="206" t="e">
        <v>#N/A</v>
      </c>
      <c r="Z38" s="206" t="e">
        <f>VLOOKUP($F38,#REF!,17,1)</f>
        <v>#REF!</v>
      </c>
      <c r="AA38" s="206" t="e">
        <f t="shared" si="3"/>
        <v>#REF!</v>
      </c>
      <c r="AB38" s="206" t="e">
        <v>#N/A</v>
      </c>
      <c r="AC38" s="206" t="e">
        <f>VLOOKUP($F38,#REF!,21,1)</f>
        <v>#REF!</v>
      </c>
      <c r="AD38" s="206" t="e">
        <f>VLOOKUP($F38,#REF!,33,1)</f>
        <v>#REF!</v>
      </c>
      <c r="AE38" s="206" t="e">
        <f t="shared" si="0"/>
        <v>#REF!</v>
      </c>
      <c r="AF38" s="206" t="e">
        <v>#N/A</v>
      </c>
      <c r="AG38" s="206" t="e">
        <f>VLOOKUP($F38,#REF!,35,1)</f>
        <v>#REF!</v>
      </c>
      <c r="AH38" s="206" t="e">
        <f t="shared" si="1"/>
        <v>#REF!</v>
      </c>
      <c r="AI38" s="206" t="e">
        <v>#N/A</v>
      </c>
      <c r="AJ38" s="206" t="e">
        <f>VLOOKUP($F38,#REF!,37,1)</f>
        <v>#REF!</v>
      </c>
    </row>
    <row r="39" spans="2:36">
      <c r="B39"/>
      <c r="C39" s="105" t="s">
        <v>1910</v>
      </c>
      <c r="D39" s="98" t="s">
        <v>2233</v>
      </c>
      <c r="E39" s="98" t="s">
        <v>2154</v>
      </c>
      <c r="Q39" s="203"/>
      <c r="R39" s="203"/>
      <c r="S39" s="203"/>
      <c r="T39" s="203"/>
      <c r="U39" s="203"/>
      <c r="V39" s="203"/>
      <c r="W39" s="206" t="e">
        <f>VLOOKUP($F39,#REF!,16,1)</f>
        <v>#REF!</v>
      </c>
      <c r="X39" s="206" t="e">
        <f t="shared" si="2"/>
        <v>#REF!</v>
      </c>
      <c r="Y39" s="206" t="e">
        <v>#N/A</v>
      </c>
      <c r="Z39" s="206" t="e">
        <f>VLOOKUP($F39,#REF!,17,1)</f>
        <v>#REF!</v>
      </c>
      <c r="AA39" s="206" t="e">
        <f t="shared" si="3"/>
        <v>#REF!</v>
      </c>
      <c r="AB39" s="206" t="e">
        <v>#N/A</v>
      </c>
      <c r="AC39" s="206" t="e">
        <f>VLOOKUP($F39,#REF!,21,1)</f>
        <v>#REF!</v>
      </c>
      <c r="AD39" s="206" t="e">
        <f>VLOOKUP($F39,#REF!,33,1)</f>
        <v>#REF!</v>
      </c>
      <c r="AE39" s="206" t="e">
        <f t="shared" si="0"/>
        <v>#REF!</v>
      </c>
      <c r="AF39" s="206" t="e">
        <v>#N/A</v>
      </c>
      <c r="AG39" s="206" t="e">
        <f>VLOOKUP($F39,#REF!,35,1)</f>
        <v>#REF!</v>
      </c>
      <c r="AH39" s="206" t="e">
        <f t="shared" si="1"/>
        <v>#REF!</v>
      </c>
      <c r="AI39" s="206" t="e">
        <v>#N/A</v>
      </c>
      <c r="AJ39" s="206" t="e">
        <f>VLOOKUP($F39,#REF!,37,1)</f>
        <v>#REF!</v>
      </c>
    </row>
    <row r="40" spans="2:36">
      <c r="B40"/>
      <c r="C40" s="105" t="s">
        <v>1910</v>
      </c>
      <c r="D40" s="98" t="s">
        <v>2233</v>
      </c>
      <c r="E40" s="98" t="s">
        <v>2154</v>
      </c>
      <c r="Q40" s="203"/>
      <c r="R40" s="203"/>
      <c r="S40" s="203"/>
      <c r="T40" s="203"/>
      <c r="U40" s="203"/>
      <c r="V40" s="203"/>
      <c r="W40" s="206" t="e">
        <f>VLOOKUP($F40,#REF!,16,1)</f>
        <v>#REF!</v>
      </c>
      <c r="X40" s="206" t="e">
        <f t="shared" si="2"/>
        <v>#REF!</v>
      </c>
      <c r="Y40" s="206" t="e">
        <v>#N/A</v>
      </c>
      <c r="Z40" s="206" t="e">
        <f>VLOOKUP($F40,#REF!,17,1)</f>
        <v>#REF!</v>
      </c>
      <c r="AA40" s="206" t="e">
        <f t="shared" si="3"/>
        <v>#REF!</v>
      </c>
      <c r="AB40" s="206" t="e">
        <v>#N/A</v>
      </c>
      <c r="AC40" s="206" t="e">
        <f>VLOOKUP($F40,#REF!,21,1)</f>
        <v>#REF!</v>
      </c>
      <c r="AD40" s="206" t="e">
        <f>VLOOKUP($F40,#REF!,33,1)</f>
        <v>#REF!</v>
      </c>
      <c r="AE40" s="206" t="e">
        <f t="shared" si="0"/>
        <v>#REF!</v>
      </c>
      <c r="AF40" s="206" t="e">
        <v>#N/A</v>
      </c>
      <c r="AG40" s="206" t="e">
        <f>VLOOKUP($F40,#REF!,35,1)</f>
        <v>#REF!</v>
      </c>
      <c r="AH40" s="206" t="e">
        <f t="shared" si="1"/>
        <v>#REF!</v>
      </c>
      <c r="AI40" s="206" t="e">
        <v>#N/A</v>
      </c>
      <c r="AJ40" s="206" t="e">
        <f>VLOOKUP($F40,#REF!,37,1)</f>
        <v>#REF!</v>
      </c>
    </row>
    <row r="41" spans="2:36">
      <c r="B41"/>
      <c r="C41" s="105" t="s">
        <v>1910</v>
      </c>
      <c r="D41" s="98" t="s">
        <v>2233</v>
      </c>
      <c r="E41" s="98" t="s">
        <v>2154</v>
      </c>
      <c r="Q41" s="203"/>
      <c r="R41" s="203"/>
      <c r="S41" s="203"/>
      <c r="T41" s="203"/>
      <c r="U41" s="203"/>
      <c r="V41" s="203"/>
      <c r="W41" s="206" t="e">
        <f>VLOOKUP($F41,#REF!,16,1)</f>
        <v>#REF!</v>
      </c>
      <c r="X41" s="206" t="e">
        <f t="shared" si="2"/>
        <v>#REF!</v>
      </c>
      <c r="Y41" s="206" t="e">
        <v>#N/A</v>
      </c>
      <c r="Z41" s="206" t="e">
        <f>VLOOKUP($F41,#REF!,17,1)</f>
        <v>#REF!</v>
      </c>
      <c r="AA41" s="206" t="e">
        <f t="shared" si="3"/>
        <v>#REF!</v>
      </c>
      <c r="AB41" s="206" t="e">
        <v>#N/A</v>
      </c>
      <c r="AC41" s="206" t="e">
        <f>VLOOKUP($F41,#REF!,21,1)</f>
        <v>#REF!</v>
      </c>
      <c r="AD41" s="206" t="e">
        <f>VLOOKUP($F41,#REF!,33,1)</f>
        <v>#REF!</v>
      </c>
      <c r="AE41" s="206" t="e">
        <f t="shared" si="0"/>
        <v>#REF!</v>
      </c>
      <c r="AF41" s="206" t="e">
        <v>#N/A</v>
      </c>
      <c r="AG41" s="206" t="e">
        <f>VLOOKUP($F41,#REF!,35,1)</f>
        <v>#REF!</v>
      </c>
      <c r="AH41" s="206" t="e">
        <f t="shared" si="1"/>
        <v>#REF!</v>
      </c>
      <c r="AI41" s="206" t="e">
        <v>#N/A</v>
      </c>
      <c r="AJ41" s="206" t="e">
        <f>VLOOKUP($F41,#REF!,37,1)</f>
        <v>#REF!</v>
      </c>
    </row>
    <row r="42" spans="2:36">
      <c r="B42"/>
      <c r="C42" s="105" t="s">
        <v>1910</v>
      </c>
      <c r="D42" s="98" t="s">
        <v>2233</v>
      </c>
      <c r="E42" s="98" t="s">
        <v>2154</v>
      </c>
      <c r="Q42" s="203"/>
      <c r="R42" s="203"/>
      <c r="S42" s="203"/>
      <c r="T42" s="203"/>
      <c r="U42" s="203"/>
      <c r="V42" s="203"/>
      <c r="W42" s="206" t="e">
        <f>VLOOKUP($F42,#REF!,16,1)</f>
        <v>#REF!</v>
      </c>
      <c r="X42" s="206" t="e">
        <f t="shared" si="2"/>
        <v>#REF!</v>
      </c>
      <c r="Y42" s="206" t="e">
        <v>#N/A</v>
      </c>
      <c r="Z42" s="206" t="e">
        <f>VLOOKUP($F42,#REF!,17,1)</f>
        <v>#REF!</v>
      </c>
      <c r="AA42" s="206" t="e">
        <f t="shared" si="3"/>
        <v>#REF!</v>
      </c>
      <c r="AB42" s="206" t="e">
        <v>#N/A</v>
      </c>
      <c r="AC42" s="206" t="e">
        <f>VLOOKUP($F42,#REF!,21,1)</f>
        <v>#REF!</v>
      </c>
      <c r="AD42" s="206" t="e">
        <f>VLOOKUP($F42,#REF!,33,1)</f>
        <v>#REF!</v>
      </c>
      <c r="AE42" s="206" t="e">
        <f t="shared" si="0"/>
        <v>#REF!</v>
      </c>
      <c r="AF42" s="206" t="e">
        <v>#N/A</v>
      </c>
      <c r="AG42" s="206" t="e">
        <f>VLOOKUP($F42,#REF!,35,1)</f>
        <v>#REF!</v>
      </c>
      <c r="AH42" s="206" t="e">
        <f t="shared" si="1"/>
        <v>#REF!</v>
      </c>
      <c r="AI42" s="206" t="e">
        <v>#N/A</v>
      </c>
      <c r="AJ42" s="206" t="e">
        <f>VLOOKUP($F42,#REF!,37,1)</f>
        <v>#REF!</v>
      </c>
    </row>
    <row r="43" spans="2:36">
      <c r="B43"/>
      <c r="C43" s="105" t="s">
        <v>1910</v>
      </c>
      <c r="D43" s="98" t="s">
        <v>2233</v>
      </c>
      <c r="E43" s="98" t="s">
        <v>2154</v>
      </c>
      <c r="Q43" s="203"/>
      <c r="R43" s="203"/>
      <c r="S43" s="203"/>
      <c r="T43" s="203"/>
      <c r="U43" s="203"/>
      <c r="V43" s="203"/>
      <c r="W43" s="206" t="e">
        <f>VLOOKUP($F43,#REF!,16,1)</f>
        <v>#REF!</v>
      </c>
      <c r="X43" s="206" t="e">
        <f t="shared" si="2"/>
        <v>#REF!</v>
      </c>
      <c r="Y43" s="206" t="e">
        <v>#N/A</v>
      </c>
      <c r="Z43" s="206" t="e">
        <f>VLOOKUP($F43,#REF!,17,1)</f>
        <v>#REF!</v>
      </c>
      <c r="AA43" s="206" t="e">
        <f t="shared" si="3"/>
        <v>#REF!</v>
      </c>
      <c r="AB43" s="206" t="e">
        <v>#N/A</v>
      </c>
      <c r="AC43" s="206" t="e">
        <f>VLOOKUP($F43,#REF!,21,1)</f>
        <v>#REF!</v>
      </c>
      <c r="AD43" s="206" t="e">
        <f>VLOOKUP($F43,#REF!,33,1)</f>
        <v>#REF!</v>
      </c>
      <c r="AE43" s="206" t="e">
        <f t="shared" si="0"/>
        <v>#REF!</v>
      </c>
      <c r="AF43" s="206" t="e">
        <v>#N/A</v>
      </c>
      <c r="AG43" s="206" t="e">
        <f>VLOOKUP($F43,#REF!,35,1)</f>
        <v>#REF!</v>
      </c>
      <c r="AH43" s="206" t="e">
        <f t="shared" si="1"/>
        <v>#REF!</v>
      </c>
      <c r="AI43" s="206" t="e">
        <v>#N/A</v>
      </c>
      <c r="AJ43" s="206" t="e">
        <f>VLOOKUP($F43,#REF!,37,1)</f>
        <v>#REF!</v>
      </c>
    </row>
    <row r="44" spans="2:36">
      <c r="B44"/>
      <c r="C44" s="105" t="s">
        <v>1910</v>
      </c>
      <c r="D44" s="98" t="s">
        <v>2233</v>
      </c>
      <c r="E44" s="98" t="s">
        <v>2154</v>
      </c>
      <c r="Q44" s="203"/>
      <c r="R44" s="203"/>
      <c r="S44" s="203"/>
      <c r="T44" s="203"/>
      <c r="U44" s="203"/>
      <c r="V44" s="203"/>
      <c r="W44" s="206" t="e">
        <f>VLOOKUP($F44,#REF!,16,1)</f>
        <v>#REF!</v>
      </c>
      <c r="X44" s="206" t="e">
        <f t="shared" si="2"/>
        <v>#REF!</v>
      </c>
      <c r="Y44" s="206" t="e">
        <v>#N/A</v>
      </c>
      <c r="Z44" s="206" t="e">
        <f>VLOOKUP($F44,#REF!,17,1)</f>
        <v>#REF!</v>
      </c>
      <c r="AA44" s="206" t="e">
        <f t="shared" si="3"/>
        <v>#REF!</v>
      </c>
      <c r="AB44" s="206" t="e">
        <v>#N/A</v>
      </c>
      <c r="AC44" s="206" t="e">
        <f>VLOOKUP($F44,#REF!,21,1)</f>
        <v>#REF!</v>
      </c>
      <c r="AD44" s="206" t="e">
        <f>VLOOKUP($F44,#REF!,33,1)</f>
        <v>#REF!</v>
      </c>
      <c r="AE44" s="206" t="e">
        <f t="shared" si="0"/>
        <v>#REF!</v>
      </c>
      <c r="AF44" s="206" t="e">
        <v>#N/A</v>
      </c>
      <c r="AG44" s="206" t="e">
        <f>VLOOKUP($F44,#REF!,35,1)</f>
        <v>#REF!</v>
      </c>
      <c r="AH44" s="206" t="e">
        <f t="shared" si="1"/>
        <v>#REF!</v>
      </c>
      <c r="AI44" s="206" t="e">
        <v>#N/A</v>
      </c>
      <c r="AJ44" s="206" t="e">
        <f>VLOOKUP($F44,#REF!,37,1)</f>
        <v>#REF!</v>
      </c>
    </row>
    <row r="45" spans="2:36">
      <c r="B45"/>
      <c r="C45" s="105" t="s">
        <v>1910</v>
      </c>
      <c r="D45" s="98" t="s">
        <v>2233</v>
      </c>
      <c r="E45" s="98" t="s">
        <v>2154</v>
      </c>
      <c r="Q45" s="203"/>
      <c r="R45" s="203"/>
      <c r="S45" s="203"/>
      <c r="T45" s="203"/>
      <c r="U45" s="203"/>
      <c r="V45" s="203"/>
      <c r="W45" s="206" t="e">
        <f>VLOOKUP($F45,#REF!,16,1)</f>
        <v>#REF!</v>
      </c>
      <c r="X45" s="206" t="e">
        <f t="shared" si="2"/>
        <v>#REF!</v>
      </c>
      <c r="Y45" s="206" t="e">
        <v>#N/A</v>
      </c>
      <c r="Z45" s="206" t="e">
        <f>VLOOKUP($F45,#REF!,17,1)</f>
        <v>#REF!</v>
      </c>
      <c r="AA45" s="206" t="e">
        <f t="shared" si="3"/>
        <v>#REF!</v>
      </c>
      <c r="AB45" s="206" t="e">
        <v>#N/A</v>
      </c>
      <c r="AC45" s="206" t="e">
        <f>VLOOKUP($F45,#REF!,21,1)</f>
        <v>#REF!</v>
      </c>
      <c r="AD45" s="206" t="e">
        <f>VLOOKUP($F45,#REF!,33,1)</f>
        <v>#REF!</v>
      </c>
      <c r="AE45" s="206" t="e">
        <f t="shared" si="0"/>
        <v>#REF!</v>
      </c>
      <c r="AF45" s="206" t="e">
        <v>#N/A</v>
      </c>
      <c r="AG45" s="206" t="e">
        <f>VLOOKUP($F45,#REF!,35,1)</f>
        <v>#REF!</v>
      </c>
      <c r="AH45" s="206" t="e">
        <f t="shared" si="1"/>
        <v>#REF!</v>
      </c>
      <c r="AI45" s="206" t="e">
        <v>#N/A</v>
      </c>
      <c r="AJ45" s="206" t="e">
        <f>VLOOKUP($F45,#REF!,37,1)</f>
        <v>#REF!</v>
      </c>
    </row>
    <row r="46" spans="2:36">
      <c r="B46"/>
      <c r="C46" s="105" t="s">
        <v>1910</v>
      </c>
      <c r="D46" s="98" t="s">
        <v>2233</v>
      </c>
      <c r="E46" s="98" t="s">
        <v>2154</v>
      </c>
      <c r="Q46" s="203"/>
      <c r="R46" s="203"/>
      <c r="S46" s="203"/>
      <c r="T46" s="203"/>
      <c r="U46" s="203"/>
      <c r="V46" s="203"/>
      <c r="W46" s="206" t="e">
        <f>VLOOKUP($F46,#REF!,16,1)</f>
        <v>#REF!</v>
      </c>
      <c r="X46" s="206" t="e">
        <f t="shared" si="2"/>
        <v>#REF!</v>
      </c>
      <c r="Y46" s="206" t="e">
        <v>#N/A</v>
      </c>
      <c r="Z46" s="206" t="e">
        <f>VLOOKUP($F46,#REF!,17,1)</f>
        <v>#REF!</v>
      </c>
      <c r="AA46" s="206" t="e">
        <f t="shared" si="3"/>
        <v>#REF!</v>
      </c>
      <c r="AB46" s="206" t="e">
        <v>#N/A</v>
      </c>
      <c r="AC46" s="206" t="e">
        <f>VLOOKUP($F46,#REF!,21,1)</f>
        <v>#REF!</v>
      </c>
      <c r="AD46" s="206" t="e">
        <f>VLOOKUP($F46,#REF!,33,1)</f>
        <v>#REF!</v>
      </c>
      <c r="AE46" s="206" t="e">
        <f t="shared" si="0"/>
        <v>#REF!</v>
      </c>
      <c r="AF46" s="206" t="e">
        <v>#N/A</v>
      </c>
      <c r="AG46" s="206" t="e">
        <f>VLOOKUP($F46,#REF!,35,1)</f>
        <v>#REF!</v>
      </c>
      <c r="AH46" s="206" t="e">
        <f t="shared" si="1"/>
        <v>#REF!</v>
      </c>
      <c r="AI46" s="206" t="e">
        <v>#N/A</v>
      </c>
      <c r="AJ46" s="206" t="e">
        <f>VLOOKUP($F46,#REF!,37,1)</f>
        <v>#REF!</v>
      </c>
    </row>
    <row r="47" spans="2:36">
      <c r="B47"/>
      <c r="C47" s="105" t="s">
        <v>1910</v>
      </c>
      <c r="D47" s="98" t="s">
        <v>2233</v>
      </c>
      <c r="E47" s="98" t="s">
        <v>2154</v>
      </c>
      <c r="Q47" s="203"/>
      <c r="R47" s="203"/>
      <c r="S47" s="203"/>
      <c r="T47" s="203"/>
      <c r="U47" s="203"/>
      <c r="V47" s="203"/>
      <c r="W47" s="206" t="e">
        <f>VLOOKUP($F47,#REF!,16,1)</f>
        <v>#REF!</v>
      </c>
      <c r="X47" s="206" t="e">
        <f t="shared" si="2"/>
        <v>#REF!</v>
      </c>
      <c r="Y47" s="206" t="e">
        <v>#N/A</v>
      </c>
      <c r="Z47" s="206" t="e">
        <f>VLOOKUP($F47,#REF!,17,1)</f>
        <v>#REF!</v>
      </c>
      <c r="AA47" s="206" t="e">
        <f t="shared" si="3"/>
        <v>#REF!</v>
      </c>
      <c r="AB47" s="206" t="e">
        <v>#N/A</v>
      </c>
      <c r="AC47" s="206" t="e">
        <f>VLOOKUP($F47,#REF!,21,1)</f>
        <v>#REF!</v>
      </c>
      <c r="AD47" s="206" t="e">
        <f>VLOOKUP($F47,#REF!,33,1)</f>
        <v>#REF!</v>
      </c>
      <c r="AE47" s="206" t="e">
        <f t="shared" si="0"/>
        <v>#REF!</v>
      </c>
      <c r="AF47" s="206" t="e">
        <v>#N/A</v>
      </c>
      <c r="AG47" s="206" t="e">
        <f>VLOOKUP($F47,#REF!,35,1)</f>
        <v>#REF!</v>
      </c>
      <c r="AH47" s="206" t="e">
        <f t="shared" si="1"/>
        <v>#REF!</v>
      </c>
      <c r="AI47" s="206" t="e">
        <v>#N/A</v>
      </c>
      <c r="AJ47" s="206" t="e">
        <f>VLOOKUP($F47,#REF!,37,1)</f>
        <v>#REF!</v>
      </c>
    </row>
    <row r="48" spans="2:36">
      <c r="B48"/>
      <c r="C48" s="105" t="s">
        <v>1910</v>
      </c>
      <c r="D48" s="98" t="s">
        <v>2233</v>
      </c>
      <c r="E48" s="98" t="s">
        <v>2154</v>
      </c>
      <c r="Q48" s="203"/>
      <c r="R48" s="203"/>
      <c r="S48" s="203"/>
      <c r="T48" s="203"/>
      <c r="U48" s="203"/>
      <c r="V48" s="203"/>
      <c r="W48" s="206" t="e">
        <f>VLOOKUP($F48,#REF!,16,1)</f>
        <v>#REF!</v>
      </c>
      <c r="X48" s="206" t="e">
        <f t="shared" si="2"/>
        <v>#REF!</v>
      </c>
      <c r="Y48" s="206" t="e">
        <v>#N/A</v>
      </c>
      <c r="Z48" s="206" t="e">
        <f>VLOOKUP($F48,#REF!,17,1)</f>
        <v>#REF!</v>
      </c>
      <c r="AA48" s="206" t="e">
        <f t="shared" si="3"/>
        <v>#REF!</v>
      </c>
      <c r="AB48" s="206" t="e">
        <v>#N/A</v>
      </c>
      <c r="AC48" s="206" t="e">
        <f>VLOOKUP($F48,#REF!,21,1)</f>
        <v>#REF!</v>
      </c>
      <c r="AD48" s="206" t="e">
        <f>VLOOKUP($F48,#REF!,33,1)</f>
        <v>#REF!</v>
      </c>
      <c r="AE48" s="206" t="e">
        <f t="shared" si="0"/>
        <v>#REF!</v>
      </c>
      <c r="AF48" s="206" t="e">
        <v>#N/A</v>
      </c>
      <c r="AG48" s="206" t="e">
        <f>VLOOKUP($F48,#REF!,35,1)</f>
        <v>#REF!</v>
      </c>
      <c r="AH48" s="206" t="e">
        <f t="shared" si="1"/>
        <v>#REF!</v>
      </c>
      <c r="AI48" s="206" t="e">
        <v>#N/A</v>
      </c>
      <c r="AJ48" s="206" t="e">
        <f>VLOOKUP($F48,#REF!,37,1)</f>
        <v>#REF!</v>
      </c>
    </row>
    <row r="49" spans="1:36" s="100" customFormat="1">
      <c r="A49" s="102"/>
      <c r="B49"/>
      <c r="C49" s="106" t="s">
        <v>1911</v>
      </c>
      <c r="D49" s="98" t="s">
        <v>2234</v>
      </c>
      <c r="E49" s="98" t="s">
        <v>2154</v>
      </c>
      <c r="F49" s="112" t="s">
        <v>1945</v>
      </c>
      <c r="G49" s="97" t="s">
        <v>1929</v>
      </c>
      <c r="H49" s="97"/>
      <c r="I49" s="97"/>
      <c r="P49" s="102"/>
      <c r="Q49" s="206" t="s">
        <v>2161</v>
      </c>
      <c r="R49" s="206">
        <f>ROW(F49)</f>
        <v>49</v>
      </c>
      <c r="S49" s="206" t="str">
        <f>CONCATENATE(";","'",D49,"'!","$B$9:$AL$89",";","21",";","1",")")</f>
        <v>;'EC MEJORAMIENTO'!$B$9:$AL$89;21;1)</v>
      </c>
      <c r="T49" s="203" t="s">
        <v>2189</v>
      </c>
      <c r="U49" s="206" t="str">
        <f>CONCATENATE("=BUSCARV($E",R49,T49)</f>
        <v>=BUSCARV($E49;'EC MEJORAMIENTO'!$B$9:$AL$89;21;1)</v>
      </c>
      <c r="V49" s="206"/>
      <c r="W49" s="206" t="e">
        <f>VLOOKUP($F49,#REF!,16,1)</f>
        <v>#REF!</v>
      </c>
      <c r="X49" s="206" t="e">
        <f t="shared" si="2"/>
        <v>#REF!</v>
      </c>
      <c r="Y49" s="206">
        <v>2</v>
      </c>
      <c r="Z49" s="206" t="e">
        <f>VLOOKUP($F49,#REF!,17,1)</f>
        <v>#REF!</v>
      </c>
      <c r="AA49" s="206" t="e">
        <f t="shared" si="3"/>
        <v>#REF!</v>
      </c>
      <c r="AB49" s="206">
        <v>2</v>
      </c>
      <c r="AC49" s="206" t="e">
        <f>VLOOKUP($F49,#REF!,21,1)</f>
        <v>#REF!</v>
      </c>
      <c r="AD49" s="206" t="e">
        <f>VLOOKUP($F49,#REF!,33,1)</f>
        <v>#REF!</v>
      </c>
      <c r="AE49" s="206" t="e">
        <f t="shared" si="0"/>
        <v>#REF!</v>
      </c>
      <c r="AF49" s="206">
        <v>1</v>
      </c>
      <c r="AG49" s="206" t="e">
        <f>VLOOKUP($F49,#REF!,35,1)</f>
        <v>#REF!</v>
      </c>
      <c r="AH49" s="206" t="e">
        <f t="shared" si="1"/>
        <v>#REF!</v>
      </c>
      <c r="AI49" s="206">
        <v>2</v>
      </c>
      <c r="AJ49" s="206" t="e">
        <f>VLOOKUP($F49,#REF!,37,1)</f>
        <v>#REF!</v>
      </c>
    </row>
    <row r="50" spans="1:36" s="100" customFormat="1">
      <c r="A50" s="102"/>
      <c r="B50" s="97"/>
      <c r="C50" s="106" t="s">
        <v>1911</v>
      </c>
      <c r="D50" s="98" t="s">
        <v>2234</v>
      </c>
      <c r="E50" s="98" t="s">
        <v>2154</v>
      </c>
      <c r="F50" s="112" t="s">
        <v>1946</v>
      </c>
      <c r="G50" s="97" t="s">
        <v>1929</v>
      </c>
      <c r="H50" s="97"/>
      <c r="I50" s="97"/>
      <c r="J50" s="102"/>
      <c r="K50" s="102"/>
      <c r="L50" s="102"/>
      <c r="M50" s="102"/>
      <c r="N50" s="102"/>
      <c r="O50" s="102"/>
      <c r="P50" s="102"/>
      <c r="Q50" s="203"/>
      <c r="R50" s="203"/>
      <c r="S50" s="203"/>
      <c r="T50" s="203"/>
      <c r="U50" s="203"/>
      <c r="V50" s="203"/>
      <c r="W50" s="206" t="e">
        <f>VLOOKUP($F50,#REF!,16,1)</f>
        <v>#REF!</v>
      </c>
      <c r="X50" s="206" t="e">
        <f t="shared" si="2"/>
        <v>#REF!</v>
      </c>
      <c r="Y50" s="206">
        <v>5</v>
      </c>
      <c r="Z50" s="206" t="e">
        <f>VLOOKUP($F50,#REF!,17,1)</f>
        <v>#REF!</v>
      </c>
      <c r="AA50" s="206" t="e">
        <f t="shared" si="3"/>
        <v>#REF!</v>
      </c>
      <c r="AB50" s="206">
        <v>2</v>
      </c>
      <c r="AC50" s="206" t="e">
        <f>VLOOKUP($F50,#REF!,21,1)</f>
        <v>#REF!</v>
      </c>
      <c r="AD50" s="206" t="e">
        <f>VLOOKUP($F50,#REF!,33,1)</f>
        <v>#REF!</v>
      </c>
      <c r="AE50" s="206" t="e">
        <f t="shared" si="0"/>
        <v>#REF!</v>
      </c>
      <c r="AF50" s="206">
        <v>4</v>
      </c>
      <c r="AG50" s="206" t="e">
        <f>VLOOKUP($F50,#REF!,35,1)</f>
        <v>#REF!</v>
      </c>
      <c r="AH50" s="206" t="e">
        <f t="shared" si="1"/>
        <v>#REF!</v>
      </c>
      <c r="AI50" s="206">
        <v>1</v>
      </c>
      <c r="AJ50" s="206" t="e">
        <f>VLOOKUP($F50,#REF!,37,1)</f>
        <v>#REF!</v>
      </c>
    </row>
    <row r="51" spans="1:36" s="100" customFormat="1">
      <c r="A51" s="102"/>
      <c r="B51" s="97"/>
      <c r="C51" s="106" t="s">
        <v>1911</v>
      </c>
      <c r="D51" s="98" t="s">
        <v>2234</v>
      </c>
      <c r="E51" s="98" t="s">
        <v>2154</v>
      </c>
      <c r="F51" s="112" t="s">
        <v>1947</v>
      </c>
      <c r="G51" s="97" t="s">
        <v>1929</v>
      </c>
      <c r="H51" s="97"/>
      <c r="I51" s="97"/>
      <c r="J51" s="102"/>
      <c r="K51" s="102"/>
      <c r="L51" s="102"/>
      <c r="M51" s="102"/>
      <c r="N51" s="102"/>
      <c r="O51" s="102"/>
      <c r="P51" s="102"/>
      <c r="Q51" s="203"/>
      <c r="R51" s="203"/>
      <c r="S51" s="203"/>
      <c r="T51" s="203"/>
      <c r="U51" s="203"/>
      <c r="V51" s="203"/>
      <c r="W51" s="206" t="e">
        <f>VLOOKUP($F51,#REF!,16,1)</f>
        <v>#REF!</v>
      </c>
      <c r="X51" s="206" t="e">
        <f t="shared" si="2"/>
        <v>#REF!</v>
      </c>
      <c r="Y51" s="206">
        <v>5</v>
      </c>
      <c r="Z51" s="206" t="e">
        <f>VLOOKUP($F51,#REF!,17,1)</f>
        <v>#REF!</v>
      </c>
      <c r="AA51" s="206" t="e">
        <f t="shared" si="3"/>
        <v>#REF!</v>
      </c>
      <c r="AB51" s="206">
        <v>3</v>
      </c>
      <c r="AC51" s="206" t="e">
        <f>VLOOKUP($F51,#REF!,21,1)</f>
        <v>#REF!</v>
      </c>
      <c r="AD51" s="206" t="e">
        <f>VLOOKUP($F51,#REF!,33,1)</f>
        <v>#REF!</v>
      </c>
      <c r="AE51" s="206" t="e">
        <f t="shared" si="0"/>
        <v>#REF!</v>
      </c>
      <c r="AF51" s="206">
        <v>3</v>
      </c>
      <c r="AG51" s="206" t="e">
        <f>VLOOKUP($F51,#REF!,35,1)</f>
        <v>#REF!</v>
      </c>
      <c r="AH51" s="206" t="e">
        <f t="shared" si="1"/>
        <v>#REF!</v>
      </c>
      <c r="AI51" s="206">
        <v>1</v>
      </c>
      <c r="AJ51" s="206" t="e">
        <f>VLOOKUP($F51,#REF!,37,1)</f>
        <v>#REF!</v>
      </c>
    </row>
    <row r="52" spans="1:36" s="100" customFormat="1">
      <c r="A52" s="102"/>
      <c r="B52" s="97"/>
      <c r="C52" s="106" t="s">
        <v>1911</v>
      </c>
      <c r="D52" s="98" t="s">
        <v>2234</v>
      </c>
      <c r="E52" s="98" t="s">
        <v>2154</v>
      </c>
      <c r="F52" s="112" t="s">
        <v>1948</v>
      </c>
      <c r="G52" s="97" t="s">
        <v>1929</v>
      </c>
      <c r="H52" s="97"/>
      <c r="I52" s="97"/>
      <c r="J52" s="102"/>
      <c r="K52" s="102"/>
      <c r="L52" s="102"/>
      <c r="M52" s="102"/>
      <c r="N52" s="102"/>
      <c r="O52" s="102"/>
      <c r="P52" s="102"/>
      <c r="Q52" s="203"/>
      <c r="R52" s="203"/>
      <c r="S52" s="203"/>
      <c r="T52" s="203"/>
      <c r="U52" s="203"/>
      <c r="V52" s="203"/>
      <c r="W52" s="206" t="e">
        <f>VLOOKUP($F52,#REF!,16,1)</f>
        <v>#REF!</v>
      </c>
      <c r="X52" s="206" t="e">
        <f t="shared" si="2"/>
        <v>#REF!</v>
      </c>
      <c r="Y52" s="206">
        <v>4</v>
      </c>
      <c r="Z52" s="206" t="e">
        <f>VLOOKUP($F52,#REF!,17,1)</f>
        <v>#REF!</v>
      </c>
      <c r="AA52" s="206" t="e">
        <f t="shared" si="3"/>
        <v>#REF!</v>
      </c>
      <c r="AB52" s="206">
        <v>1</v>
      </c>
      <c r="AC52" s="206" t="e">
        <f>VLOOKUP($F52,#REF!,21,1)</f>
        <v>#REF!</v>
      </c>
      <c r="AD52" s="206" t="e">
        <f>VLOOKUP($F52,#REF!,33,1)</f>
        <v>#REF!</v>
      </c>
      <c r="AE52" s="206" t="e">
        <f t="shared" si="0"/>
        <v>#REF!</v>
      </c>
      <c r="AF52" s="206">
        <v>3</v>
      </c>
      <c r="AG52" s="206" t="e">
        <f>VLOOKUP($F52,#REF!,35,1)</f>
        <v>#REF!</v>
      </c>
      <c r="AH52" s="206" t="e">
        <f t="shared" si="1"/>
        <v>#REF!</v>
      </c>
      <c r="AI52" s="206">
        <v>1</v>
      </c>
      <c r="AJ52" s="206" t="e">
        <f>VLOOKUP($F52,#REF!,37,1)</f>
        <v>#REF!</v>
      </c>
    </row>
    <row r="53" spans="1:36" s="100" customFormat="1">
      <c r="A53" s="102"/>
      <c r="B53" s="97"/>
      <c r="C53" s="106" t="s">
        <v>1911</v>
      </c>
      <c r="D53" s="98" t="s">
        <v>2234</v>
      </c>
      <c r="E53" s="98" t="s">
        <v>2154</v>
      </c>
      <c r="F53" s="112" t="s">
        <v>1949</v>
      </c>
      <c r="G53" s="97" t="s">
        <v>1929</v>
      </c>
      <c r="H53" s="97"/>
      <c r="I53" s="97"/>
      <c r="J53" s="102"/>
      <c r="K53" s="102"/>
      <c r="L53" s="102"/>
      <c r="M53" s="102"/>
      <c r="N53" s="102"/>
      <c r="O53" s="102"/>
      <c r="P53" s="102"/>
      <c r="Q53" s="203"/>
      <c r="R53" s="203"/>
      <c r="S53" s="203"/>
      <c r="T53" s="203"/>
      <c r="U53" s="203"/>
      <c r="V53" s="203"/>
      <c r="W53" s="206" t="e">
        <f>VLOOKUP($F53,#REF!,16,1)</f>
        <v>#REF!</v>
      </c>
      <c r="X53" s="206" t="e">
        <f t="shared" si="2"/>
        <v>#REF!</v>
      </c>
      <c r="Y53" s="206">
        <v>3</v>
      </c>
      <c r="Z53" s="206" t="e">
        <f>VLOOKUP($F53,#REF!,17,1)</f>
        <v>#REF!</v>
      </c>
      <c r="AA53" s="206" t="e">
        <f t="shared" si="3"/>
        <v>#REF!</v>
      </c>
      <c r="AB53" s="206">
        <v>2</v>
      </c>
      <c r="AC53" s="206" t="e">
        <f>VLOOKUP($F53,#REF!,21,1)</f>
        <v>#REF!</v>
      </c>
      <c r="AD53" s="206" t="e">
        <f>VLOOKUP($F53,#REF!,33,1)</f>
        <v>#REF!</v>
      </c>
      <c r="AE53" s="206" t="e">
        <f t="shared" si="0"/>
        <v>#REF!</v>
      </c>
      <c r="AF53" s="206">
        <v>2</v>
      </c>
      <c r="AG53" s="206" t="e">
        <f>VLOOKUP($F53,#REF!,35,1)</f>
        <v>#REF!</v>
      </c>
      <c r="AH53" s="206" t="e">
        <f t="shared" si="1"/>
        <v>#REF!</v>
      </c>
      <c r="AI53" s="206">
        <v>1</v>
      </c>
      <c r="AJ53" s="206" t="e">
        <f>VLOOKUP($F53,#REF!,37,1)</f>
        <v>#REF!</v>
      </c>
    </row>
    <row r="54" spans="1:36" s="100" customFormat="1">
      <c r="A54" s="102"/>
      <c r="B54" s="97"/>
      <c r="C54" s="106" t="s">
        <v>1911</v>
      </c>
      <c r="D54" s="98" t="s">
        <v>2234</v>
      </c>
      <c r="E54" s="98" t="s">
        <v>2154</v>
      </c>
      <c r="F54" s="97"/>
      <c r="G54" s="97"/>
      <c r="H54" s="97"/>
      <c r="I54" s="97"/>
      <c r="P54" s="102"/>
      <c r="Q54" s="203"/>
      <c r="R54" s="203"/>
      <c r="S54" s="203"/>
      <c r="T54" s="203"/>
      <c r="U54" s="203"/>
      <c r="V54" s="203"/>
      <c r="W54" s="206" t="e">
        <f>VLOOKUP($F54,#REF!,16,1)</f>
        <v>#REF!</v>
      </c>
      <c r="X54" s="206" t="e">
        <f t="shared" si="2"/>
        <v>#REF!</v>
      </c>
      <c r="Y54" s="206" t="e">
        <v>#N/A</v>
      </c>
      <c r="Z54" s="206" t="e">
        <f>VLOOKUP($F54,#REF!,17,1)</f>
        <v>#REF!</v>
      </c>
      <c r="AA54" s="206" t="e">
        <f t="shared" si="3"/>
        <v>#REF!</v>
      </c>
      <c r="AB54" s="206" t="e">
        <v>#N/A</v>
      </c>
      <c r="AC54" s="206" t="e">
        <f>VLOOKUP($F54,#REF!,21,1)</f>
        <v>#REF!</v>
      </c>
      <c r="AD54" s="206" t="e">
        <f>VLOOKUP($F54,#REF!,33,1)</f>
        <v>#REF!</v>
      </c>
      <c r="AE54" s="206" t="e">
        <f t="shared" si="0"/>
        <v>#REF!</v>
      </c>
      <c r="AF54" s="206" t="e">
        <v>#N/A</v>
      </c>
      <c r="AG54" s="206" t="e">
        <f>VLOOKUP($F54,#REF!,35,1)</f>
        <v>#REF!</v>
      </c>
      <c r="AH54" s="206" t="e">
        <f t="shared" si="1"/>
        <v>#REF!</v>
      </c>
      <c r="AI54" s="206" t="e">
        <v>#N/A</v>
      </c>
      <c r="AJ54" s="206" t="e">
        <f>VLOOKUP($F54,#REF!,37,1)</f>
        <v>#REF!</v>
      </c>
    </row>
    <row r="55" spans="1:36" s="100" customFormat="1">
      <c r="A55" s="102"/>
      <c r="B55" s="97"/>
      <c r="C55" s="106" t="s">
        <v>1911</v>
      </c>
      <c r="D55" s="98" t="s">
        <v>2234</v>
      </c>
      <c r="E55" s="98" t="s">
        <v>2154</v>
      </c>
      <c r="F55" s="97"/>
      <c r="G55" s="97"/>
      <c r="H55" s="97"/>
      <c r="I55" s="97"/>
      <c r="P55" s="102"/>
      <c r="Q55" s="203"/>
      <c r="R55" s="203"/>
      <c r="S55" s="203"/>
      <c r="T55" s="203"/>
      <c r="U55" s="203"/>
      <c r="V55" s="203"/>
      <c r="W55" s="206" t="e">
        <f>VLOOKUP($F55,#REF!,16,1)</f>
        <v>#REF!</v>
      </c>
      <c r="X55" s="206" t="e">
        <f t="shared" si="2"/>
        <v>#REF!</v>
      </c>
      <c r="Y55" s="206" t="e">
        <v>#N/A</v>
      </c>
      <c r="Z55" s="206" t="e">
        <f>VLOOKUP($F55,#REF!,17,1)</f>
        <v>#REF!</v>
      </c>
      <c r="AA55" s="206" t="e">
        <f t="shared" si="3"/>
        <v>#REF!</v>
      </c>
      <c r="AB55" s="206" t="e">
        <v>#N/A</v>
      </c>
      <c r="AC55" s="206" t="e">
        <f>VLOOKUP($F55,#REF!,21,1)</f>
        <v>#REF!</v>
      </c>
      <c r="AD55" s="206" t="e">
        <f>VLOOKUP($F55,#REF!,33,1)</f>
        <v>#REF!</v>
      </c>
      <c r="AE55" s="206" t="e">
        <f t="shared" si="0"/>
        <v>#REF!</v>
      </c>
      <c r="AF55" s="206" t="e">
        <v>#N/A</v>
      </c>
      <c r="AG55" s="206" t="e">
        <f>VLOOKUP($F55,#REF!,35,1)</f>
        <v>#REF!</v>
      </c>
      <c r="AH55" s="206" t="e">
        <f t="shared" si="1"/>
        <v>#REF!</v>
      </c>
      <c r="AI55" s="206" t="e">
        <v>#N/A</v>
      </c>
      <c r="AJ55" s="206" t="e">
        <f>VLOOKUP($F55,#REF!,37,1)</f>
        <v>#REF!</v>
      </c>
    </row>
    <row r="56" spans="1:36" s="100" customFormat="1">
      <c r="A56" s="102"/>
      <c r="B56" s="97"/>
      <c r="C56" s="106" t="s">
        <v>1911</v>
      </c>
      <c r="D56" s="98" t="s">
        <v>2234</v>
      </c>
      <c r="E56" s="98" t="s">
        <v>2154</v>
      </c>
      <c r="F56" s="97"/>
      <c r="G56" s="97"/>
      <c r="H56" s="97"/>
      <c r="I56" s="97"/>
      <c r="P56" s="102"/>
      <c r="Q56" s="203"/>
      <c r="R56" s="203"/>
      <c r="S56" s="203"/>
      <c r="T56" s="203"/>
      <c r="U56" s="203"/>
      <c r="V56" s="203"/>
      <c r="W56" s="206" t="e">
        <f>VLOOKUP($F56,#REF!,16,1)</f>
        <v>#REF!</v>
      </c>
      <c r="X56" s="206" t="e">
        <f t="shared" si="2"/>
        <v>#REF!</v>
      </c>
      <c r="Y56" s="206" t="e">
        <v>#N/A</v>
      </c>
      <c r="Z56" s="206" t="e">
        <f>VLOOKUP($F56,#REF!,17,1)</f>
        <v>#REF!</v>
      </c>
      <c r="AA56" s="206" t="e">
        <f t="shared" si="3"/>
        <v>#REF!</v>
      </c>
      <c r="AB56" s="206" t="e">
        <v>#N/A</v>
      </c>
      <c r="AC56" s="206" t="e">
        <f>VLOOKUP($F56,#REF!,21,1)</f>
        <v>#REF!</v>
      </c>
      <c r="AD56" s="206" t="e">
        <f>VLOOKUP($F56,#REF!,33,1)</f>
        <v>#REF!</v>
      </c>
      <c r="AE56" s="206" t="e">
        <f t="shared" si="0"/>
        <v>#REF!</v>
      </c>
      <c r="AF56" s="206" t="e">
        <v>#N/A</v>
      </c>
      <c r="AG56" s="206" t="e">
        <f>VLOOKUP($F56,#REF!,35,1)</f>
        <v>#REF!</v>
      </c>
      <c r="AH56" s="206" t="e">
        <f t="shared" si="1"/>
        <v>#REF!</v>
      </c>
      <c r="AI56" s="206" t="e">
        <v>#N/A</v>
      </c>
      <c r="AJ56" s="206" t="e">
        <f>VLOOKUP($F56,#REF!,37,1)</f>
        <v>#REF!</v>
      </c>
    </row>
    <row r="57" spans="1:36" s="100" customFormat="1">
      <c r="A57" s="102"/>
      <c r="B57" s="97"/>
      <c r="C57" s="106" t="s">
        <v>1911</v>
      </c>
      <c r="D57" s="98" t="s">
        <v>2234</v>
      </c>
      <c r="E57" s="98" t="s">
        <v>2154</v>
      </c>
      <c r="F57" s="97"/>
      <c r="G57" s="97"/>
      <c r="H57" s="97"/>
      <c r="I57" s="97"/>
      <c r="P57" s="102"/>
      <c r="Q57" s="203"/>
      <c r="R57" s="203"/>
      <c r="S57" s="203"/>
      <c r="T57" s="203"/>
      <c r="U57" s="203"/>
      <c r="V57" s="203"/>
      <c r="W57" s="206" t="e">
        <f>VLOOKUP($F57,#REF!,16,1)</f>
        <v>#REF!</v>
      </c>
      <c r="X57" s="206" t="e">
        <f t="shared" si="2"/>
        <v>#REF!</v>
      </c>
      <c r="Y57" s="206" t="e">
        <v>#N/A</v>
      </c>
      <c r="Z57" s="206" t="e">
        <f>VLOOKUP($F57,#REF!,17,1)</f>
        <v>#REF!</v>
      </c>
      <c r="AA57" s="206" t="e">
        <f t="shared" si="3"/>
        <v>#REF!</v>
      </c>
      <c r="AB57" s="206" t="e">
        <v>#N/A</v>
      </c>
      <c r="AC57" s="206" t="e">
        <f>VLOOKUP($F57,#REF!,21,1)</f>
        <v>#REF!</v>
      </c>
      <c r="AD57" s="206" t="e">
        <f>VLOOKUP($F57,#REF!,33,1)</f>
        <v>#REF!</v>
      </c>
      <c r="AE57" s="206" t="e">
        <f t="shared" si="0"/>
        <v>#REF!</v>
      </c>
      <c r="AF57" s="206" t="e">
        <v>#N/A</v>
      </c>
      <c r="AG57" s="206" t="e">
        <f>VLOOKUP($F57,#REF!,35,1)</f>
        <v>#REF!</v>
      </c>
      <c r="AH57" s="206" t="e">
        <f t="shared" si="1"/>
        <v>#REF!</v>
      </c>
      <c r="AI57" s="206" t="e">
        <v>#N/A</v>
      </c>
      <c r="AJ57" s="206" t="e">
        <f>VLOOKUP($F57,#REF!,37,1)</f>
        <v>#REF!</v>
      </c>
    </row>
    <row r="58" spans="1:36" s="100" customFormat="1">
      <c r="A58" s="102"/>
      <c r="B58" s="97"/>
      <c r="C58" s="106" t="s">
        <v>1911</v>
      </c>
      <c r="D58" s="98" t="s">
        <v>2234</v>
      </c>
      <c r="E58" s="98" t="s">
        <v>2154</v>
      </c>
      <c r="F58" s="97"/>
      <c r="G58" s="97"/>
      <c r="H58" s="97"/>
      <c r="I58" s="97"/>
      <c r="P58" s="102"/>
      <c r="Q58" s="203"/>
      <c r="R58" s="203"/>
      <c r="S58" s="203"/>
      <c r="T58" s="203"/>
      <c r="U58" s="203"/>
      <c r="V58" s="203"/>
      <c r="W58" s="206" t="e">
        <f>VLOOKUP($F58,#REF!,16,1)</f>
        <v>#REF!</v>
      </c>
      <c r="X58" s="206" t="e">
        <f t="shared" si="2"/>
        <v>#REF!</v>
      </c>
      <c r="Y58" s="206" t="e">
        <v>#N/A</v>
      </c>
      <c r="Z58" s="206" t="e">
        <f>VLOOKUP($F58,#REF!,17,1)</f>
        <v>#REF!</v>
      </c>
      <c r="AA58" s="206" t="e">
        <f t="shared" si="3"/>
        <v>#REF!</v>
      </c>
      <c r="AB58" s="206" t="e">
        <v>#N/A</v>
      </c>
      <c r="AC58" s="206" t="e">
        <f>VLOOKUP($F58,#REF!,21,1)</f>
        <v>#REF!</v>
      </c>
      <c r="AD58" s="206" t="e">
        <f>VLOOKUP($F58,#REF!,33,1)</f>
        <v>#REF!</v>
      </c>
      <c r="AE58" s="206" t="e">
        <f t="shared" si="0"/>
        <v>#REF!</v>
      </c>
      <c r="AF58" s="206" t="e">
        <v>#N/A</v>
      </c>
      <c r="AG58" s="206" t="e">
        <f>VLOOKUP($F58,#REF!,35,1)</f>
        <v>#REF!</v>
      </c>
      <c r="AH58" s="206" t="e">
        <f t="shared" si="1"/>
        <v>#REF!</v>
      </c>
      <c r="AI58" s="206" t="e">
        <v>#N/A</v>
      </c>
      <c r="AJ58" s="206" t="e">
        <f>VLOOKUP($F58,#REF!,37,1)</f>
        <v>#REF!</v>
      </c>
    </row>
    <row r="59" spans="1:36" s="100" customFormat="1">
      <c r="A59" s="102"/>
      <c r="B59" s="97"/>
      <c r="C59" s="106" t="s">
        <v>1911</v>
      </c>
      <c r="D59" s="98" t="s">
        <v>2234</v>
      </c>
      <c r="E59" s="98" t="s">
        <v>2154</v>
      </c>
      <c r="F59" s="97"/>
      <c r="G59" s="97"/>
      <c r="H59" s="97"/>
      <c r="I59" s="97"/>
      <c r="P59" s="102"/>
      <c r="Q59" s="203"/>
      <c r="R59" s="203"/>
      <c r="S59" s="203"/>
      <c r="T59" s="203"/>
      <c r="U59" s="203"/>
      <c r="V59" s="203"/>
      <c r="W59" s="206" t="e">
        <f>VLOOKUP($F59,#REF!,16,1)</f>
        <v>#REF!</v>
      </c>
      <c r="X59" s="206" t="e">
        <f t="shared" si="2"/>
        <v>#REF!</v>
      </c>
      <c r="Y59" s="206" t="e">
        <v>#N/A</v>
      </c>
      <c r="Z59" s="206" t="e">
        <f>VLOOKUP($F59,#REF!,17,1)</f>
        <v>#REF!</v>
      </c>
      <c r="AA59" s="206" t="e">
        <f t="shared" si="3"/>
        <v>#REF!</v>
      </c>
      <c r="AB59" s="206" t="e">
        <v>#N/A</v>
      </c>
      <c r="AC59" s="206" t="e">
        <f>VLOOKUP($F59,#REF!,21,1)</f>
        <v>#REF!</v>
      </c>
      <c r="AD59" s="206" t="e">
        <f>VLOOKUP($F59,#REF!,33,1)</f>
        <v>#REF!</v>
      </c>
      <c r="AE59" s="206" t="e">
        <f t="shared" si="0"/>
        <v>#REF!</v>
      </c>
      <c r="AF59" s="206" t="e">
        <v>#N/A</v>
      </c>
      <c r="AG59" s="206" t="e">
        <f>VLOOKUP($F59,#REF!,35,1)</f>
        <v>#REF!</v>
      </c>
      <c r="AH59" s="206" t="e">
        <f t="shared" si="1"/>
        <v>#REF!</v>
      </c>
      <c r="AI59" s="206" t="e">
        <v>#N/A</v>
      </c>
      <c r="AJ59" s="206" t="e">
        <f>VLOOKUP($F59,#REF!,37,1)</f>
        <v>#REF!</v>
      </c>
    </row>
    <row r="60" spans="1:36" s="100" customFormat="1">
      <c r="A60" s="102"/>
      <c r="B60" s="97"/>
      <c r="C60" s="106" t="s">
        <v>1911</v>
      </c>
      <c r="D60" s="98" t="s">
        <v>2234</v>
      </c>
      <c r="E60" s="98" t="s">
        <v>2154</v>
      </c>
      <c r="F60" s="97"/>
      <c r="G60" s="97"/>
      <c r="H60" s="97"/>
      <c r="I60" s="97"/>
      <c r="P60" s="102"/>
      <c r="Q60" s="203"/>
      <c r="R60" s="203"/>
      <c r="S60" s="203"/>
      <c r="T60" s="203"/>
      <c r="U60" s="203"/>
      <c r="V60" s="203"/>
      <c r="W60" s="206" t="e">
        <f>VLOOKUP($F60,#REF!,16,1)</f>
        <v>#REF!</v>
      </c>
      <c r="X60" s="206" t="e">
        <f t="shared" si="2"/>
        <v>#REF!</v>
      </c>
      <c r="Y60" s="206" t="e">
        <v>#N/A</v>
      </c>
      <c r="Z60" s="206" t="e">
        <f>VLOOKUP($F60,#REF!,17,1)</f>
        <v>#REF!</v>
      </c>
      <c r="AA60" s="206" t="e">
        <f t="shared" si="3"/>
        <v>#REF!</v>
      </c>
      <c r="AB60" s="206" t="e">
        <v>#N/A</v>
      </c>
      <c r="AC60" s="206" t="e">
        <f>VLOOKUP($F60,#REF!,21,1)</f>
        <v>#REF!</v>
      </c>
      <c r="AD60" s="206" t="e">
        <f>VLOOKUP($F60,#REF!,33,1)</f>
        <v>#REF!</v>
      </c>
      <c r="AE60" s="206" t="e">
        <f t="shared" si="0"/>
        <v>#REF!</v>
      </c>
      <c r="AF60" s="206" t="e">
        <v>#N/A</v>
      </c>
      <c r="AG60" s="206" t="e">
        <f>VLOOKUP($F60,#REF!,35,1)</f>
        <v>#REF!</v>
      </c>
      <c r="AH60" s="206" t="e">
        <f t="shared" si="1"/>
        <v>#REF!</v>
      </c>
      <c r="AI60" s="206" t="e">
        <v>#N/A</v>
      </c>
      <c r="AJ60" s="206" t="e">
        <f>VLOOKUP($F60,#REF!,37,1)</f>
        <v>#REF!</v>
      </c>
    </row>
    <row r="61" spans="1:36" s="100" customFormat="1">
      <c r="A61" s="102"/>
      <c r="B61" s="97"/>
      <c r="C61" s="106" t="s">
        <v>1911</v>
      </c>
      <c r="D61" s="98" t="s">
        <v>2234</v>
      </c>
      <c r="E61" s="98" t="s">
        <v>2154</v>
      </c>
      <c r="F61" s="97"/>
      <c r="G61" s="97"/>
      <c r="H61" s="97"/>
      <c r="I61" s="97"/>
      <c r="P61" s="102"/>
      <c r="Q61" s="203"/>
      <c r="R61" s="203"/>
      <c r="S61" s="203"/>
      <c r="T61" s="203"/>
      <c r="U61" s="203"/>
      <c r="V61" s="203"/>
      <c r="W61" s="206" t="e">
        <f>VLOOKUP($F61,#REF!,16,1)</f>
        <v>#REF!</v>
      </c>
      <c r="X61" s="206" t="e">
        <f t="shared" si="2"/>
        <v>#REF!</v>
      </c>
      <c r="Y61" s="206" t="e">
        <v>#N/A</v>
      </c>
      <c r="Z61" s="206" t="e">
        <f>VLOOKUP($F61,#REF!,17,1)</f>
        <v>#REF!</v>
      </c>
      <c r="AA61" s="206" t="e">
        <f t="shared" si="3"/>
        <v>#REF!</v>
      </c>
      <c r="AB61" s="206" t="e">
        <v>#N/A</v>
      </c>
      <c r="AC61" s="206" t="e">
        <f>VLOOKUP($F61,#REF!,21,1)</f>
        <v>#REF!</v>
      </c>
      <c r="AD61" s="206" t="e">
        <f>VLOOKUP($F61,#REF!,33,1)</f>
        <v>#REF!</v>
      </c>
      <c r="AE61" s="206" t="e">
        <f t="shared" si="0"/>
        <v>#REF!</v>
      </c>
      <c r="AF61" s="206" t="e">
        <v>#N/A</v>
      </c>
      <c r="AG61" s="206" t="e">
        <f>VLOOKUP($F61,#REF!,35,1)</f>
        <v>#REF!</v>
      </c>
      <c r="AH61" s="206" t="e">
        <f t="shared" si="1"/>
        <v>#REF!</v>
      </c>
      <c r="AI61" s="206" t="e">
        <v>#N/A</v>
      </c>
      <c r="AJ61" s="206" t="e">
        <f>VLOOKUP($F61,#REF!,37,1)</f>
        <v>#REF!</v>
      </c>
    </row>
    <row r="62" spans="1:36" s="100" customFormat="1">
      <c r="A62" s="102"/>
      <c r="B62" s="97"/>
      <c r="C62" s="106" t="s">
        <v>1911</v>
      </c>
      <c r="D62" s="98" t="s">
        <v>2234</v>
      </c>
      <c r="E62" s="98" t="s">
        <v>2154</v>
      </c>
      <c r="F62" s="97"/>
      <c r="G62" s="97"/>
      <c r="H62" s="97"/>
      <c r="I62" s="97"/>
      <c r="P62" s="102"/>
      <c r="Q62" s="203"/>
      <c r="R62" s="203"/>
      <c r="S62" s="203"/>
      <c r="T62" s="203"/>
      <c r="U62" s="203"/>
      <c r="V62" s="203"/>
      <c r="W62" s="206" t="e">
        <f>VLOOKUP($F62,#REF!,16,1)</f>
        <v>#REF!</v>
      </c>
      <c r="X62" s="206" t="e">
        <f t="shared" si="2"/>
        <v>#REF!</v>
      </c>
      <c r="Y62" s="206" t="e">
        <v>#N/A</v>
      </c>
      <c r="Z62" s="206" t="e">
        <f>VLOOKUP($F62,#REF!,17,1)</f>
        <v>#REF!</v>
      </c>
      <c r="AA62" s="206" t="e">
        <f t="shared" si="3"/>
        <v>#REF!</v>
      </c>
      <c r="AB62" s="206" t="e">
        <v>#N/A</v>
      </c>
      <c r="AC62" s="206" t="e">
        <f>VLOOKUP($F62,#REF!,21,1)</f>
        <v>#REF!</v>
      </c>
      <c r="AD62" s="206" t="e">
        <f>VLOOKUP($F62,#REF!,33,1)</f>
        <v>#REF!</v>
      </c>
      <c r="AE62" s="206" t="e">
        <f t="shared" si="0"/>
        <v>#REF!</v>
      </c>
      <c r="AF62" s="206" t="e">
        <v>#N/A</v>
      </c>
      <c r="AG62" s="206" t="e">
        <f>VLOOKUP($F62,#REF!,35,1)</f>
        <v>#REF!</v>
      </c>
      <c r="AH62" s="206" t="e">
        <f t="shared" si="1"/>
        <v>#REF!</v>
      </c>
      <c r="AI62" s="206" t="e">
        <v>#N/A</v>
      </c>
      <c r="AJ62" s="206" t="e">
        <f>VLOOKUP($F62,#REF!,37,1)</f>
        <v>#REF!</v>
      </c>
    </row>
    <row r="63" spans="1:36">
      <c r="C63" s="106" t="s">
        <v>1911</v>
      </c>
      <c r="D63" s="98" t="s">
        <v>2234</v>
      </c>
      <c r="E63" s="98" t="s">
        <v>2154</v>
      </c>
      <c r="Q63" s="203"/>
      <c r="R63" s="203"/>
      <c r="S63" s="203"/>
      <c r="T63" s="203"/>
      <c r="U63" s="203"/>
      <c r="V63" s="203"/>
      <c r="W63" s="206" t="e">
        <f>VLOOKUP($F63,#REF!,16,1)</f>
        <v>#REF!</v>
      </c>
      <c r="X63" s="206" t="e">
        <f t="shared" si="2"/>
        <v>#REF!</v>
      </c>
      <c r="Y63" s="206" t="e">
        <v>#N/A</v>
      </c>
      <c r="Z63" s="206" t="e">
        <f>VLOOKUP($F63,#REF!,17,1)</f>
        <v>#REF!</v>
      </c>
      <c r="AA63" s="206" t="e">
        <f t="shared" si="3"/>
        <v>#REF!</v>
      </c>
      <c r="AB63" s="206" t="e">
        <v>#N/A</v>
      </c>
      <c r="AC63" s="206" t="e">
        <f>VLOOKUP($F63,#REF!,21,1)</f>
        <v>#REF!</v>
      </c>
      <c r="AD63" s="206" t="e">
        <f>VLOOKUP($F63,#REF!,33,1)</f>
        <v>#REF!</v>
      </c>
      <c r="AE63" s="206" t="e">
        <f t="shared" si="0"/>
        <v>#REF!</v>
      </c>
      <c r="AF63" s="206" t="e">
        <v>#N/A</v>
      </c>
      <c r="AG63" s="206" t="e">
        <f>VLOOKUP($F63,#REF!,35,1)</f>
        <v>#REF!</v>
      </c>
      <c r="AH63" s="206" t="e">
        <f t="shared" si="1"/>
        <v>#REF!</v>
      </c>
      <c r="AI63" s="206" t="e">
        <v>#N/A</v>
      </c>
      <c r="AJ63" s="206" t="e">
        <f>VLOOKUP($F63,#REF!,37,1)</f>
        <v>#REF!</v>
      </c>
    </row>
    <row r="64" spans="1:36" s="100" customFormat="1" ht="22.5">
      <c r="A64" s="102"/>
      <c r="B64" s="97"/>
      <c r="C64" s="108" t="s">
        <v>1912</v>
      </c>
      <c r="D64" s="98" t="s">
        <v>2235</v>
      </c>
      <c r="E64" s="98" t="s">
        <v>2154</v>
      </c>
      <c r="F64" s="120" t="s">
        <v>1958</v>
      </c>
      <c r="G64" s="97" t="s">
        <v>1929</v>
      </c>
      <c r="H64" s="97"/>
      <c r="I64" s="97"/>
      <c r="J64" s="102"/>
      <c r="K64" s="102"/>
      <c r="L64" s="102"/>
      <c r="M64" s="102"/>
      <c r="N64" s="102"/>
      <c r="O64" s="102"/>
      <c r="P64" s="102"/>
      <c r="Q64" s="206" t="s">
        <v>2161</v>
      </c>
      <c r="R64" s="206">
        <f>ROW(F64)</f>
        <v>64</v>
      </c>
      <c r="S64" s="206" t="str">
        <f>CONCATENATE(";","'",D64,"'!","$B$9:$AL$89",";","21",";","1",")")</f>
        <v>;'E GESTION SOCIAL'!$B$9:$AL$89;21;1)</v>
      </c>
      <c r="T64" s="203" t="s">
        <v>2190</v>
      </c>
      <c r="U64" s="206" t="str">
        <f>CONCATENATE("=BUSCARV($E",R64,T64)</f>
        <v>=BUSCARV($E64;'E GESTION SOCIAL'!$B$9:$AL$89;21;1)</v>
      </c>
      <c r="V64" s="206"/>
      <c r="W64" s="206" t="e">
        <f>VLOOKUP($F64,#REF!,16,1)</f>
        <v>#REF!</v>
      </c>
      <c r="X64" s="206" t="e">
        <f t="shared" si="2"/>
        <v>#REF!</v>
      </c>
      <c r="Y64" s="206">
        <v>3</v>
      </c>
      <c r="Z64" s="206" t="e">
        <f>VLOOKUP($F64,#REF!,17,1)</f>
        <v>#REF!</v>
      </c>
      <c r="AA64" s="206" t="e">
        <f t="shared" si="3"/>
        <v>#REF!</v>
      </c>
      <c r="AB64" s="206">
        <v>3</v>
      </c>
      <c r="AC64" s="206" t="e">
        <f>VLOOKUP($F64,#REF!,21,1)</f>
        <v>#REF!</v>
      </c>
      <c r="AD64" s="206" t="e">
        <f>VLOOKUP($F64,#REF!,33,1)</f>
        <v>#REF!</v>
      </c>
      <c r="AE64" s="206" t="e">
        <f t="shared" si="0"/>
        <v>#REF!</v>
      </c>
      <c r="AF64" s="206">
        <v>2</v>
      </c>
      <c r="AG64" s="206" t="e">
        <f>VLOOKUP($F64,#REF!,35,1)</f>
        <v>#REF!</v>
      </c>
      <c r="AH64" s="206" t="e">
        <f t="shared" si="1"/>
        <v>#REF!</v>
      </c>
      <c r="AI64" s="206">
        <v>3</v>
      </c>
      <c r="AJ64" s="206" t="e">
        <f>VLOOKUP($F64,#REF!,37,1)</f>
        <v>#REF!</v>
      </c>
    </row>
    <row r="65" spans="1:36" s="100" customFormat="1" ht="22.5">
      <c r="A65" s="102"/>
      <c r="B65" s="97"/>
      <c r="C65" s="108" t="s">
        <v>1912</v>
      </c>
      <c r="D65" s="98" t="s">
        <v>2235</v>
      </c>
      <c r="E65" s="98" t="s">
        <v>2154</v>
      </c>
      <c r="F65" s="120" t="s">
        <v>1959</v>
      </c>
      <c r="G65" s="97" t="s">
        <v>1929</v>
      </c>
      <c r="H65" s="97"/>
      <c r="I65" s="97"/>
      <c r="J65" s="102"/>
      <c r="K65" s="102"/>
      <c r="L65" s="102"/>
      <c r="M65" s="102"/>
      <c r="N65" s="102"/>
      <c r="O65" s="102"/>
      <c r="P65" s="102"/>
      <c r="Q65" s="203"/>
      <c r="R65" s="203"/>
      <c r="S65" s="203"/>
      <c r="T65" s="203"/>
      <c r="U65" s="203"/>
      <c r="V65" s="203"/>
      <c r="W65" s="206" t="e">
        <f>VLOOKUP($F65,#REF!,16,1)</f>
        <v>#REF!</v>
      </c>
      <c r="X65" s="206" t="e">
        <f t="shared" si="2"/>
        <v>#REF!</v>
      </c>
      <c r="Y65" s="206">
        <v>3</v>
      </c>
      <c r="Z65" s="206" t="e">
        <f>VLOOKUP($F65,#REF!,17,1)</f>
        <v>#REF!</v>
      </c>
      <c r="AA65" s="206" t="e">
        <f t="shared" si="3"/>
        <v>#REF!</v>
      </c>
      <c r="AB65" s="206">
        <v>3</v>
      </c>
      <c r="AC65" s="206" t="e">
        <f>VLOOKUP($F65,#REF!,21,1)</f>
        <v>#REF!</v>
      </c>
      <c r="AD65" s="206" t="e">
        <f>VLOOKUP($F65,#REF!,33,1)</f>
        <v>#REF!</v>
      </c>
      <c r="AE65" s="206" t="e">
        <f t="shared" si="0"/>
        <v>#REF!</v>
      </c>
      <c r="AF65" s="206">
        <v>1</v>
      </c>
      <c r="AG65" s="206" t="e">
        <f>VLOOKUP($F65,#REF!,35,1)</f>
        <v>#REF!</v>
      </c>
      <c r="AH65" s="206" t="e">
        <f t="shared" si="1"/>
        <v>#REF!</v>
      </c>
      <c r="AI65" s="206">
        <v>1</v>
      </c>
      <c r="AJ65" s="206" t="e">
        <f>VLOOKUP($F65,#REF!,37,1)</f>
        <v>#REF!</v>
      </c>
    </row>
    <row r="66" spans="1:36" s="100" customFormat="1" ht="22.5">
      <c r="A66" s="102"/>
      <c r="B66" s="97"/>
      <c r="C66" s="108" t="s">
        <v>1912</v>
      </c>
      <c r="D66" s="98" t="s">
        <v>2235</v>
      </c>
      <c r="E66" s="98" t="s">
        <v>2154</v>
      </c>
      <c r="F66" s="120" t="s">
        <v>1960</v>
      </c>
      <c r="G66" s="97" t="s">
        <v>1929</v>
      </c>
      <c r="H66" s="97"/>
      <c r="I66" s="97"/>
      <c r="J66" s="102"/>
      <c r="K66" s="102"/>
      <c r="L66" s="102"/>
      <c r="M66" s="48" t="s">
        <v>8</v>
      </c>
      <c r="N66" s="102"/>
      <c r="O66" s="102"/>
      <c r="P66" s="102"/>
      <c r="Q66" s="203"/>
      <c r="R66" s="203"/>
      <c r="S66" s="203"/>
      <c r="T66" s="203"/>
      <c r="U66" s="203"/>
      <c r="V66" s="203"/>
      <c r="W66" s="206" t="e">
        <f>VLOOKUP($F66,#REF!,16,1)</f>
        <v>#REF!</v>
      </c>
      <c r="X66" s="206" t="e">
        <f t="shared" si="2"/>
        <v>#REF!</v>
      </c>
      <c r="Y66" s="206">
        <v>4</v>
      </c>
      <c r="Z66" s="206" t="e">
        <f>VLOOKUP($F66,#REF!,17,1)</f>
        <v>#REF!</v>
      </c>
      <c r="AA66" s="206" t="e">
        <f t="shared" si="3"/>
        <v>#REF!</v>
      </c>
      <c r="AB66" s="206">
        <v>3</v>
      </c>
      <c r="AC66" s="206" t="e">
        <f>VLOOKUP($F66,#REF!,21,1)</f>
        <v>#REF!</v>
      </c>
      <c r="AD66" s="206" t="e">
        <f>VLOOKUP($F66,#REF!,33,1)</f>
        <v>#REF!</v>
      </c>
      <c r="AE66" s="206" t="e">
        <f t="shared" si="0"/>
        <v>#REF!</v>
      </c>
      <c r="AF66" s="206">
        <v>2</v>
      </c>
      <c r="AG66" s="206" t="e">
        <f>VLOOKUP($F66,#REF!,35,1)</f>
        <v>#REF!</v>
      </c>
      <c r="AH66" s="206" t="e">
        <f t="shared" si="1"/>
        <v>#REF!</v>
      </c>
      <c r="AI66" s="206">
        <v>3</v>
      </c>
      <c r="AJ66" s="206" t="e">
        <f>VLOOKUP($F66,#REF!,37,1)</f>
        <v>#REF!</v>
      </c>
    </row>
    <row r="67" spans="1:36" s="100" customFormat="1" ht="22.5">
      <c r="A67" s="102"/>
      <c r="B67" s="97"/>
      <c r="C67" s="108" t="s">
        <v>1912</v>
      </c>
      <c r="D67" s="98" t="s">
        <v>2235</v>
      </c>
      <c r="E67" s="98" t="s">
        <v>2154</v>
      </c>
      <c r="F67" s="124"/>
      <c r="G67" s="97"/>
      <c r="H67" s="97"/>
      <c r="I67" s="97"/>
      <c r="P67" s="102"/>
      <c r="Q67" s="203"/>
      <c r="R67" s="203"/>
      <c r="S67" s="203"/>
      <c r="T67" s="203"/>
      <c r="U67" s="203"/>
      <c r="V67" s="203"/>
      <c r="W67" s="206" t="e">
        <f>VLOOKUP($F67,#REF!,16,1)</f>
        <v>#REF!</v>
      </c>
      <c r="X67" s="206" t="e">
        <f t="shared" si="2"/>
        <v>#REF!</v>
      </c>
      <c r="Y67" s="206" t="e">
        <v>#N/A</v>
      </c>
      <c r="Z67" s="206" t="e">
        <f>VLOOKUP($F67,#REF!,17,1)</f>
        <v>#REF!</v>
      </c>
      <c r="AA67" s="206" t="e">
        <f t="shared" si="3"/>
        <v>#REF!</v>
      </c>
      <c r="AB67" s="206" t="e">
        <v>#N/A</v>
      </c>
      <c r="AC67" s="206" t="e">
        <f>VLOOKUP($F67,#REF!,21,1)</f>
        <v>#REF!</v>
      </c>
      <c r="AD67" s="206" t="e">
        <f>VLOOKUP($F67,#REF!,33,1)</f>
        <v>#REF!</v>
      </c>
      <c r="AE67" s="206" t="e">
        <f t="shared" si="0"/>
        <v>#REF!</v>
      </c>
      <c r="AF67" s="206" t="e">
        <v>#N/A</v>
      </c>
      <c r="AG67" s="206" t="e">
        <f>VLOOKUP($F67,#REF!,35,1)</f>
        <v>#REF!</v>
      </c>
      <c r="AH67" s="206" t="e">
        <f t="shared" si="1"/>
        <v>#REF!</v>
      </c>
      <c r="AI67" s="206" t="e">
        <v>#N/A</v>
      </c>
      <c r="AJ67" s="206" t="e">
        <f>VLOOKUP($F67,#REF!,37,1)</f>
        <v>#REF!</v>
      </c>
    </row>
    <row r="68" spans="1:36" s="100" customFormat="1" ht="22.5">
      <c r="A68" s="102"/>
      <c r="B68" s="97"/>
      <c r="C68" s="108" t="s">
        <v>1912</v>
      </c>
      <c r="D68" s="98" t="s">
        <v>2235</v>
      </c>
      <c r="E68" s="98" t="s">
        <v>2154</v>
      </c>
      <c r="F68" s="124"/>
      <c r="G68" s="97"/>
      <c r="H68" s="97"/>
      <c r="I68" s="97"/>
      <c r="P68" s="102"/>
      <c r="Q68" s="203"/>
      <c r="R68" s="203"/>
      <c r="S68" s="203"/>
      <c r="T68" s="203"/>
      <c r="U68" s="203"/>
      <c r="V68" s="203"/>
      <c r="W68" s="206" t="e">
        <f>VLOOKUP($F68,#REF!,16,1)</f>
        <v>#REF!</v>
      </c>
      <c r="X68" s="206" t="e">
        <f t="shared" si="2"/>
        <v>#REF!</v>
      </c>
      <c r="Y68" s="206" t="e">
        <v>#N/A</v>
      </c>
      <c r="Z68" s="206" t="e">
        <f>VLOOKUP($F68,#REF!,17,1)</f>
        <v>#REF!</v>
      </c>
      <c r="AA68" s="206" t="e">
        <f t="shared" si="3"/>
        <v>#REF!</v>
      </c>
      <c r="AB68" s="206" t="e">
        <v>#N/A</v>
      </c>
      <c r="AC68" s="206" t="e">
        <f>VLOOKUP($F68,#REF!,21,1)</f>
        <v>#REF!</v>
      </c>
      <c r="AD68" s="206" t="e">
        <f>VLOOKUP($F68,#REF!,33,1)</f>
        <v>#REF!</v>
      </c>
      <c r="AE68" s="206" t="e">
        <f t="shared" ref="AE68:AE131" si="4">IF(AD68="Casi Seguro",5,IF(AD68="Alta",4,IF(AD68="Posible",3,IF(AD68="Baja",2,1))))</f>
        <v>#REF!</v>
      </c>
      <c r="AF68" s="206" t="e">
        <v>#N/A</v>
      </c>
      <c r="AG68" s="206" t="e">
        <f>VLOOKUP($F68,#REF!,35,1)</f>
        <v>#REF!</v>
      </c>
      <c r="AH68" s="206" t="e">
        <f t="shared" ref="AH68:AH131" si="5">IF(AG68="Catastrófico",5,IF(AG68="Mayor",4,IF(AG68="Moderado",3,IF(AG68="menor",2,1))))</f>
        <v>#REF!</v>
      </c>
      <c r="AI68" s="206" t="e">
        <v>#N/A</v>
      </c>
      <c r="AJ68" s="206" t="e">
        <f>VLOOKUP($F68,#REF!,37,1)</f>
        <v>#REF!</v>
      </c>
    </row>
    <row r="69" spans="1:36" s="100" customFormat="1" ht="22.5">
      <c r="A69" s="102"/>
      <c r="B69" s="97"/>
      <c r="C69" s="108" t="s">
        <v>1912</v>
      </c>
      <c r="D69" s="98" t="s">
        <v>2235</v>
      </c>
      <c r="E69" s="98" t="s">
        <v>2154</v>
      </c>
      <c r="F69" s="124"/>
      <c r="G69" s="97"/>
      <c r="H69" s="97"/>
      <c r="I69" s="97"/>
      <c r="P69" s="102"/>
      <c r="Q69" s="203"/>
      <c r="R69" s="203"/>
      <c r="S69" s="203"/>
      <c r="T69" s="203"/>
      <c r="U69" s="203"/>
      <c r="V69" s="203"/>
      <c r="W69" s="206" t="e">
        <f>VLOOKUP($F69,#REF!,16,1)</f>
        <v>#REF!</v>
      </c>
      <c r="X69" s="206" t="e">
        <f t="shared" ref="X69:X132" si="6">IF(W69="Casi Seguro",5,IF(W69="Alta",4,IF(W69="Posible",3,IF(W69="Baja",2,1))))</f>
        <v>#REF!</v>
      </c>
      <c r="Y69" s="206" t="e">
        <v>#N/A</v>
      </c>
      <c r="Z69" s="206" t="e">
        <f>VLOOKUP($F69,#REF!,17,1)</f>
        <v>#REF!</v>
      </c>
      <c r="AA69" s="206" t="e">
        <f t="shared" ref="AA69:AA132" si="7">IF(Z69="Catastrófico",5,IF(Z69="Mayor",4,IF(Z69="Moderado",3,IF(Z69="menor",2,1))))</f>
        <v>#REF!</v>
      </c>
      <c r="AB69" s="206" t="e">
        <v>#N/A</v>
      </c>
      <c r="AC69" s="206" t="e">
        <f>VLOOKUP($F69,#REF!,21,1)</f>
        <v>#REF!</v>
      </c>
      <c r="AD69" s="206" t="e">
        <f>VLOOKUP($F69,#REF!,33,1)</f>
        <v>#REF!</v>
      </c>
      <c r="AE69" s="206" t="e">
        <f t="shared" si="4"/>
        <v>#REF!</v>
      </c>
      <c r="AF69" s="206" t="e">
        <v>#N/A</v>
      </c>
      <c r="AG69" s="206" t="e">
        <f>VLOOKUP($F69,#REF!,35,1)</f>
        <v>#REF!</v>
      </c>
      <c r="AH69" s="206" t="e">
        <f t="shared" si="5"/>
        <v>#REF!</v>
      </c>
      <c r="AI69" s="206" t="e">
        <v>#N/A</v>
      </c>
      <c r="AJ69" s="206" t="e">
        <f>VLOOKUP($F69,#REF!,37,1)</f>
        <v>#REF!</v>
      </c>
    </row>
    <row r="70" spans="1:36" s="100" customFormat="1" ht="22.5">
      <c r="A70" s="102"/>
      <c r="B70" s="97"/>
      <c r="C70" s="108" t="s">
        <v>1912</v>
      </c>
      <c r="D70" s="98" t="s">
        <v>2235</v>
      </c>
      <c r="E70" s="98" t="s">
        <v>2154</v>
      </c>
      <c r="F70" s="124"/>
      <c r="G70" s="97"/>
      <c r="H70" s="97"/>
      <c r="I70" s="97"/>
      <c r="P70" s="102"/>
      <c r="Q70" s="203"/>
      <c r="R70" s="203"/>
      <c r="S70" s="203"/>
      <c r="T70" s="203"/>
      <c r="U70" s="203"/>
      <c r="V70" s="203"/>
      <c r="W70" s="206" t="e">
        <f>VLOOKUP($F70,#REF!,16,1)</f>
        <v>#REF!</v>
      </c>
      <c r="X70" s="206" t="e">
        <f t="shared" si="6"/>
        <v>#REF!</v>
      </c>
      <c r="Y70" s="206" t="e">
        <v>#N/A</v>
      </c>
      <c r="Z70" s="206" t="e">
        <f>VLOOKUP($F70,#REF!,17,1)</f>
        <v>#REF!</v>
      </c>
      <c r="AA70" s="206" t="e">
        <f t="shared" si="7"/>
        <v>#REF!</v>
      </c>
      <c r="AB70" s="206" t="e">
        <v>#N/A</v>
      </c>
      <c r="AC70" s="206" t="e">
        <f>VLOOKUP($F70,#REF!,21,1)</f>
        <v>#REF!</v>
      </c>
      <c r="AD70" s="206" t="e">
        <f>VLOOKUP($F70,#REF!,33,1)</f>
        <v>#REF!</v>
      </c>
      <c r="AE70" s="206" t="e">
        <f t="shared" si="4"/>
        <v>#REF!</v>
      </c>
      <c r="AF70" s="206" t="e">
        <v>#N/A</v>
      </c>
      <c r="AG70" s="206" t="e">
        <f>VLOOKUP($F70,#REF!,35,1)</f>
        <v>#REF!</v>
      </c>
      <c r="AH70" s="206" t="e">
        <f t="shared" si="5"/>
        <v>#REF!</v>
      </c>
      <c r="AI70" s="206" t="e">
        <v>#N/A</v>
      </c>
      <c r="AJ70" s="206" t="e">
        <f>VLOOKUP($F70,#REF!,37,1)</f>
        <v>#REF!</v>
      </c>
    </row>
    <row r="71" spans="1:36" s="100" customFormat="1" ht="22.5">
      <c r="A71" s="102"/>
      <c r="B71" s="97"/>
      <c r="C71" s="108" t="s">
        <v>1912</v>
      </c>
      <c r="D71" s="98" t="s">
        <v>2235</v>
      </c>
      <c r="E71" s="98" t="s">
        <v>2154</v>
      </c>
      <c r="F71" s="124"/>
      <c r="G71" s="97"/>
      <c r="H71" s="97"/>
      <c r="I71" s="97"/>
      <c r="P71" s="102"/>
      <c r="Q71" s="203"/>
      <c r="R71" s="203"/>
      <c r="S71" s="203"/>
      <c r="T71" s="203"/>
      <c r="U71" s="203"/>
      <c r="V71" s="203"/>
      <c r="W71" s="206" t="e">
        <f>VLOOKUP($F71,#REF!,16,1)</f>
        <v>#REF!</v>
      </c>
      <c r="X71" s="206" t="e">
        <f t="shared" si="6"/>
        <v>#REF!</v>
      </c>
      <c r="Y71" s="206" t="e">
        <v>#N/A</v>
      </c>
      <c r="Z71" s="206" t="e">
        <f>VLOOKUP($F71,#REF!,17,1)</f>
        <v>#REF!</v>
      </c>
      <c r="AA71" s="206" t="e">
        <f t="shared" si="7"/>
        <v>#REF!</v>
      </c>
      <c r="AB71" s="206" t="e">
        <v>#N/A</v>
      </c>
      <c r="AC71" s="206" t="e">
        <f>VLOOKUP($F71,#REF!,21,1)</f>
        <v>#REF!</v>
      </c>
      <c r="AD71" s="206" t="e">
        <f>VLOOKUP($F71,#REF!,33,1)</f>
        <v>#REF!</v>
      </c>
      <c r="AE71" s="206" t="e">
        <f t="shared" si="4"/>
        <v>#REF!</v>
      </c>
      <c r="AF71" s="206" t="e">
        <v>#N/A</v>
      </c>
      <c r="AG71" s="206" t="e">
        <f>VLOOKUP($F71,#REF!,35,1)</f>
        <v>#REF!</v>
      </c>
      <c r="AH71" s="206" t="e">
        <f t="shared" si="5"/>
        <v>#REF!</v>
      </c>
      <c r="AI71" s="206" t="e">
        <v>#N/A</v>
      </c>
      <c r="AJ71" s="206" t="e">
        <f>VLOOKUP($F71,#REF!,37,1)</f>
        <v>#REF!</v>
      </c>
    </row>
    <row r="72" spans="1:36" s="100" customFormat="1" ht="22.5">
      <c r="A72" s="102"/>
      <c r="B72" s="97"/>
      <c r="C72" s="108" t="s">
        <v>1912</v>
      </c>
      <c r="D72" s="98" t="s">
        <v>2235</v>
      </c>
      <c r="E72" s="98" t="s">
        <v>2154</v>
      </c>
      <c r="F72" s="124"/>
      <c r="G72" s="97"/>
      <c r="H72" s="97"/>
      <c r="I72" s="97"/>
      <c r="P72" s="102"/>
      <c r="Q72" s="203"/>
      <c r="R72" s="203"/>
      <c r="S72" s="203"/>
      <c r="T72" s="203"/>
      <c r="U72" s="203"/>
      <c r="V72" s="203"/>
      <c r="W72" s="206" t="e">
        <f>VLOOKUP($F72,#REF!,16,1)</f>
        <v>#REF!</v>
      </c>
      <c r="X72" s="206" t="e">
        <f t="shared" si="6"/>
        <v>#REF!</v>
      </c>
      <c r="Y72" s="206" t="e">
        <v>#N/A</v>
      </c>
      <c r="Z72" s="206" t="e">
        <f>VLOOKUP($F72,#REF!,17,1)</f>
        <v>#REF!</v>
      </c>
      <c r="AA72" s="206" t="e">
        <f t="shared" si="7"/>
        <v>#REF!</v>
      </c>
      <c r="AB72" s="206" t="e">
        <v>#N/A</v>
      </c>
      <c r="AC72" s="206" t="e">
        <f>VLOOKUP($F72,#REF!,21,1)</f>
        <v>#REF!</v>
      </c>
      <c r="AD72" s="206" t="e">
        <f>VLOOKUP($F72,#REF!,33,1)</f>
        <v>#REF!</v>
      </c>
      <c r="AE72" s="206" t="e">
        <f t="shared" si="4"/>
        <v>#REF!</v>
      </c>
      <c r="AF72" s="206" t="e">
        <v>#N/A</v>
      </c>
      <c r="AG72" s="206" t="e">
        <f>VLOOKUP($F72,#REF!,35,1)</f>
        <v>#REF!</v>
      </c>
      <c r="AH72" s="206" t="e">
        <f t="shared" si="5"/>
        <v>#REF!</v>
      </c>
      <c r="AI72" s="206" t="e">
        <v>#N/A</v>
      </c>
      <c r="AJ72" s="206" t="e">
        <f>VLOOKUP($F72,#REF!,37,1)</f>
        <v>#REF!</v>
      </c>
    </row>
    <row r="73" spans="1:36" s="100" customFormat="1" ht="22.5">
      <c r="A73" s="102"/>
      <c r="B73" s="97"/>
      <c r="C73" s="108" t="s">
        <v>1912</v>
      </c>
      <c r="D73" s="98" t="s">
        <v>2235</v>
      </c>
      <c r="E73" s="98" t="s">
        <v>2154</v>
      </c>
      <c r="F73" s="124"/>
      <c r="G73" s="97"/>
      <c r="H73" s="97"/>
      <c r="I73" s="97"/>
      <c r="P73" s="102"/>
      <c r="Q73" s="203"/>
      <c r="R73" s="203"/>
      <c r="S73" s="203"/>
      <c r="T73" s="203"/>
      <c r="U73" s="203"/>
      <c r="V73" s="203"/>
      <c r="W73" s="206" t="e">
        <f>VLOOKUP($F73,#REF!,16,1)</f>
        <v>#REF!</v>
      </c>
      <c r="X73" s="206" t="e">
        <f t="shared" si="6"/>
        <v>#REF!</v>
      </c>
      <c r="Y73" s="206" t="e">
        <v>#N/A</v>
      </c>
      <c r="Z73" s="206" t="e">
        <f>VLOOKUP($F73,#REF!,17,1)</f>
        <v>#REF!</v>
      </c>
      <c r="AA73" s="206" t="e">
        <f t="shared" si="7"/>
        <v>#REF!</v>
      </c>
      <c r="AB73" s="206" t="e">
        <v>#N/A</v>
      </c>
      <c r="AC73" s="206" t="e">
        <f>VLOOKUP($F73,#REF!,21,1)</f>
        <v>#REF!</v>
      </c>
      <c r="AD73" s="206" t="e">
        <f>VLOOKUP($F73,#REF!,33,1)</f>
        <v>#REF!</v>
      </c>
      <c r="AE73" s="206" t="e">
        <f t="shared" si="4"/>
        <v>#REF!</v>
      </c>
      <c r="AF73" s="206" t="e">
        <v>#N/A</v>
      </c>
      <c r="AG73" s="206" t="e">
        <f>VLOOKUP($F73,#REF!,35,1)</f>
        <v>#REF!</v>
      </c>
      <c r="AH73" s="206" t="e">
        <f t="shared" si="5"/>
        <v>#REF!</v>
      </c>
      <c r="AI73" s="206" t="e">
        <v>#N/A</v>
      </c>
      <c r="AJ73" s="206" t="e">
        <f>VLOOKUP($F73,#REF!,37,1)</f>
        <v>#REF!</v>
      </c>
    </row>
    <row r="74" spans="1:36" s="100" customFormat="1" ht="22.5">
      <c r="A74" s="102"/>
      <c r="B74" s="97"/>
      <c r="C74" s="108" t="s">
        <v>1912</v>
      </c>
      <c r="D74" s="98" t="s">
        <v>2235</v>
      </c>
      <c r="E74" s="98" t="s">
        <v>2154</v>
      </c>
      <c r="F74" s="124"/>
      <c r="G74" s="97"/>
      <c r="H74" s="97"/>
      <c r="I74" s="97"/>
      <c r="P74" s="102"/>
      <c r="Q74" s="203"/>
      <c r="R74" s="203"/>
      <c r="S74" s="203"/>
      <c r="T74" s="203"/>
      <c r="U74" s="203"/>
      <c r="V74" s="203"/>
      <c r="W74" s="206" t="e">
        <f>VLOOKUP($F74,#REF!,16,1)</f>
        <v>#REF!</v>
      </c>
      <c r="X74" s="206" t="e">
        <f t="shared" si="6"/>
        <v>#REF!</v>
      </c>
      <c r="Y74" s="206" t="e">
        <v>#N/A</v>
      </c>
      <c r="Z74" s="206" t="e">
        <f>VLOOKUP($F74,#REF!,17,1)</f>
        <v>#REF!</v>
      </c>
      <c r="AA74" s="206" t="e">
        <f t="shared" si="7"/>
        <v>#REF!</v>
      </c>
      <c r="AB74" s="206" t="e">
        <v>#N/A</v>
      </c>
      <c r="AC74" s="206" t="e">
        <f>VLOOKUP($F74,#REF!,21,1)</f>
        <v>#REF!</v>
      </c>
      <c r="AD74" s="206" t="e">
        <f>VLOOKUP($F74,#REF!,33,1)</f>
        <v>#REF!</v>
      </c>
      <c r="AE74" s="206" t="e">
        <f t="shared" si="4"/>
        <v>#REF!</v>
      </c>
      <c r="AF74" s="206" t="e">
        <v>#N/A</v>
      </c>
      <c r="AG74" s="206" t="e">
        <f>VLOOKUP($F74,#REF!,35,1)</f>
        <v>#REF!</v>
      </c>
      <c r="AH74" s="206" t="e">
        <f t="shared" si="5"/>
        <v>#REF!</v>
      </c>
      <c r="AI74" s="206" t="e">
        <v>#N/A</v>
      </c>
      <c r="AJ74" s="206" t="e">
        <f>VLOOKUP($F74,#REF!,37,1)</f>
        <v>#REF!</v>
      </c>
    </row>
    <row r="75" spans="1:36" s="100" customFormat="1" ht="22.5">
      <c r="A75" s="102"/>
      <c r="B75" s="97"/>
      <c r="C75" s="108" t="s">
        <v>1912</v>
      </c>
      <c r="D75" s="98" t="s">
        <v>2235</v>
      </c>
      <c r="E75" s="98" t="s">
        <v>2154</v>
      </c>
      <c r="F75" s="124"/>
      <c r="G75" s="97"/>
      <c r="H75" s="97"/>
      <c r="I75" s="97"/>
      <c r="P75" s="102"/>
      <c r="Q75" s="203"/>
      <c r="R75" s="203"/>
      <c r="S75" s="203"/>
      <c r="T75" s="203"/>
      <c r="U75" s="203"/>
      <c r="V75" s="203"/>
      <c r="W75" s="206" t="e">
        <f>VLOOKUP($F75,#REF!,16,1)</f>
        <v>#REF!</v>
      </c>
      <c r="X75" s="206" t="e">
        <f t="shared" si="6"/>
        <v>#REF!</v>
      </c>
      <c r="Y75" s="206" t="e">
        <v>#N/A</v>
      </c>
      <c r="Z75" s="206" t="e">
        <f>VLOOKUP($F75,#REF!,17,1)</f>
        <v>#REF!</v>
      </c>
      <c r="AA75" s="206" t="e">
        <f t="shared" si="7"/>
        <v>#REF!</v>
      </c>
      <c r="AB75" s="206" t="e">
        <v>#N/A</v>
      </c>
      <c r="AC75" s="206" t="e">
        <f>VLOOKUP($F75,#REF!,21,1)</f>
        <v>#REF!</v>
      </c>
      <c r="AD75" s="206" t="e">
        <f>VLOOKUP($F75,#REF!,33,1)</f>
        <v>#REF!</v>
      </c>
      <c r="AE75" s="206" t="e">
        <f t="shared" si="4"/>
        <v>#REF!</v>
      </c>
      <c r="AF75" s="206" t="e">
        <v>#N/A</v>
      </c>
      <c r="AG75" s="206" t="e">
        <f>VLOOKUP($F75,#REF!,35,1)</f>
        <v>#REF!</v>
      </c>
      <c r="AH75" s="206" t="e">
        <f t="shared" si="5"/>
        <v>#REF!</v>
      </c>
      <c r="AI75" s="206" t="e">
        <v>#N/A</v>
      </c>
      <c r="AJ75" s="206" t="e">
        <f>VLOOKUP($F75,#REF!,37,1)</f>
        <v>#REF!</v>
      </c>
    </row>
    <row r="76" spans="1:36" s="100" customFormat="1" ht="22.5">
      <c r="A76" s="102"/>
      <c r="B76" s="97"/>
      <c r="C76" s="108" t="s">
        <v>1912</v>
      </c>
      <c r="D76" s="98" t="s">
        <v>2235</v>
      </c>
      <c r="E76" s="98" t="s">
        <v>2154</v>
      </c>
      <c r="F76" s="124"/>
      <c r="G76" s="97"/>
      <c r="H76" s="97"/>
      <c r="I76" s="97"/>
      <c r="P76" s="102"/>
      <c r="Q76" s="203"/>
      <c r="R76" s="203"/>
      <c r="S76" s="203"/>
      <c r="T76" s="203"/>
      <c r="U76" s="203"/>
      <c r="V76" s="203"/>
      <c r="W76" s="206" t="e">
        <f>VLOOKUP($F76,#REF!,16,1)</f>
        <v>#REF!</v>
      </c>
      <c r="X76" s="206" t="e">
        <f t="shared" si="6"/>
        <v>#REF!</v>
      </c>
      <c r="Y76" s="206" t="e">
        <v>#N/A</v>
      </c>
      <c r="Z76" s="206" t="e">
        <f>VLOOKUP($F76,#REF!,17,1)</f>
        <v>#REF!</v>
      </c>
      <c r="AA76" s="206" t="e">
        <f t="shared" si="7"/>
        <v>#REF!</v>
      </c>
      <c r="AB76" s="206" t="e">
        <v>#N/A</v>
      </c>
      <c r="AC76" s="206" t="e">
        <f>VLOOKUP($F76,#REF!,21,1)</f>
        <v>#REF!</v>
      </c>
      <c r="AD76" s="206" t="e">
        <f>VLOOKUP($F76,#REF!,33,1)</f>
        <v>#REF!</v>
      </c>
      <c r="AE76" s="206" t="e">
        <f t="shared" si="4"/>
        <v>#REF!</v>
      </c>
      <c r="AF76" s="206" t="e">
        <v>#N/A</v>
      </c>
      <c r="AG76" s="206" t="e">
        <f>VLOOKUP($F76,#REF!,35,1)</f>
        <v>#REF!</v>
      </c>
      <c r="AH76" s="206" t="e">
        <f t="shared" si="5"/>
        <v>#REF!</v>
      </c>
      <c r="AI76" s="206" t="e">
        <v>#N/A</v>
      </c>
      <c r="AJ76" s="206" t="e">
        <f>VLOOKUP($F76,#REF!,37,1)</f>
        <v>#REF!</v>
      </c>
    </row>
    <row r="77" spans="1:36" s="100" customFormat="1" ht="22.5">
      <c r="A77" s="102"/>
      <c r="B77" s="97"/>
      <c r="C77" s="108" t="s">
        <v>1912</v>
      </c>
      <c r="D77" s="98" t="s">
        <v>2235</v>
      </c>
      <c r="E77" s="98" t="s">
        <v>2154</v>
      </c>
      <c r="F77" s="124"/>
      <c r="G77" s="97"/>
      <c r="H77" s="97"/>
      <c r="I77" s="97"/>
      <c r="P77" s="102"/>
      <c r="Q77" s="203"/>
      <c r="R77" s="203"/>
      <c r="S77" s="203"/>
      <c r="T77" s="203"/>
      <c r="U77" s="203"/>
      <c r="V77" s="203"/>
      <c r="W77" s="206" t="e">
        <f>VLOOKUP($F77,#REF!,16,1)</f>
        <v>#REF!</v>
      </c>
      <c r="X77" s="206" t="e">
        <f t="shared" si="6"/>
        <v>#REF!</v>
      </c>
      <c r="Y77" s="206" t="e">
        <v>#N/A</v>
      </c>
      <c r="Z77" s="206" t="e">
        <f>VLOOKUP($F77,#REF!,17,1)</f>
        <v>#REF!</v>
      </c>
      <c r="AA77" s="206" t="e">
        <f t="shared" si="7"/>
        <v>#REF!</v>
      </c>
      <c r="AB77" s="206" t="e">
        <v>#N/A</v>
      </c>
      <c r="AC77" s="206" t="e">
        <f>VLOOKUP($F77,#REF!,21,1)</f>
        <v>#REF!</v>
      </c>
      <c r="AD77" s="206" t="e">
        <f>VLOOKUP($F77,#REF!,33,1)</f>
        <v>#REF!</v>
      </c>
      <c r="AE77" s="206" t="e">
        <f t="shared" si="4"/>
        <v>#REF!</v>
      </c>
      <c r="AF77" s="206" t="e">
        <v>#N/A</v>
      </c>
      <c r="AG77" s="206" t="e">
        <f>VLOOKUP($F77,#REF!,35,1)</f>
        <v>#REF!</v>
      </c>
      <c r="AH77" s="206" t="e">
        <f t="shared" si="5"/>
        <v>#REF!</v>
      </c>
      <c r="AI77" s="206" t="e">
        <v>#N/A</v>
      </c>
      <c r="AJ77" s="206" t="e">
        <f>VLOOKUP($F77,#REF!,37,1)</f>
        <v>#REF!</v>
      </c>
    </row>
    <row r="78" spans="1:36" s="100" customFormat="1" ht="22.5">
      <c r="A78" s="102"/>
      <c r="B78" s="97"/>
      <c r="C78" s="108" t="s">
        <v>1912</v>
      </c>
      <c r="D78" s="98" t="s">
        <v>2235</v>
      </c>
      <c r="E78" s="98" t="s">
        <v>2154</v>
      </c>
      <c r="F78" s="124"/>
      <c r="G78" s="97"/>
      <c r="H78" s="97"/>
      <c r="I78" s="97"/>
      <c r="P78" s="102"/>
      <c r="Q78" s="203"/>
      <c r="R78" s="203"/>
      <c r="S78" s="203"/>
      <c r="T78" s="203"/>
      <c r="U78" s="203"/>
      <c r="V78" s="203"/>
      <c r="W78" s="206" t="e">
        <f>VLOOKUP($F78,#REF!,16,1)</f>
        <v>#REF!</v>
      </c>
      <c r="X78" s="206" t="e">
        <f t="shared" si="6"/>
        <v>#REF!</v>
      </c>
      <c r="Y78" s="206" t="e">
        <v>#N/A</v>
      </c>
      <c r="Z78" s="206" t="e">
        <f>VLOOKUP($F78,#REF!,17,1)</f>
        <v>#REF!</v>
      </c>
      <c r="AA78" s="206" t="e">
        <f t="shared" si="7"/>
        <v>#REF!</v>
      </c>
      <c r="AB78" s="206" t="e">
        <v>#N/A</v>
      </c>
      <c r="AC78" s="206" t="e">
        <f>VLOOKUP($F78,#REF!,21,1)</f>
        <v>#REF!</v>
      </c>
      <c r="AD78" s="206" t="e">
        <f>VLOOKUP($F78,#REF!,33,1)</f>
        <v>#REF!</v>
      </c>
      <c r="AE78" s="206" t="e">
        <f t="shared" si="4"/>
        <v>#REF!</v>
      </c>
      <c r="AF78" s="206" t="e">
        <v>#N/A</v>
      </c>
      <c r="AG78" s="206" t="e">
        <f>VLOOKUP($F78,#REF!,35,1)</f>
        <v>#REF!</v>
      </c>
      <c r="AH78" s="206" t="e">
        <f t="shared" si="5"/>
        <v>#REF!</v>
      </c>
      <c r="AI78" s="206" t="e">
        <v>#N/A</v>
      </c>
      <c r="AJ78" s="206" t="e">
        <f>VLOOKUP($F78,#REF!,37,1)</f>
        <v>#REF!</v>
      </c>
    </row>
    <row r="79" spans="1:36" s="100" customFormat="1">
      <c r="A79" s="102"/>
      <c r="B79" s="97"/>
      <c r="C79" s="106" t="s">
        <v>1913</v>
      </c>
      <c r="D79" s="98" t="s">
        <v>2236</v>
      </c>
      <c r="E79" s="98" t="s">
        <v>2154</v>
      </c>
      <c r="F79" s="120" t="s">
        <v>2011</v>
      </c>
      <c r="G79" s="97" t="s">
        <v>1929</v>
      </c>
      <c r="H79" s="97"/>
      <c r="I79" s="97"/>
      <c r="J79" s="102"/>
      <c r="K79" s="102"/>
      <c r="L79" s="102"/>
      <c r="M79" s="102"/>
      <c r="N79" s="102"/>
      <c r="O79" s="102"/>
      <c r="P79" s="102"/>
      <c r="Q79" s="206" t="s">
        <v>2161</v>
      </c>
      <c r="R79" s="206">
        <f>ROW(F79)</f>
        <v>79</v>
      </c>
      <c r="S79" s="206" t="str">
        <f>CONCATENATE(";","'",D79,"'!","$B$9:$AL$89",";","21",";","1",")")</f>
        <v>;'E COMUNICACIONES'!$B$9:$AL$89;21;1)</v>
      </c>
      <c r="T79" s="203" t="s">
        <v>2191</v>
      </c>
      <c r="U79" s="206" t="str">
        <f>CONCATENATE("=BUSCARV($E",R79,T79)</f>
        <v>=BUSCARV($E79;'E COMUNICACIONES'!$B$9:$AL$89;21;1)</v>
      </c>
      <c r="V79" s="206"/>
      <c r="W79" s="206" t="e">
        <f>VLOOKUP($F79,#REF!,16,1)</f>
        <v>#REF!</v>
      </c>
      <c r="X79" s="206" t="e">
        <f t="shared" si="6"/>
        <v>#REF!</v>
      </c>
      <c r="Y79" s="206">
        <v>3</v>
      </c>
      <c r="Z79" s="206" t="e">
        <f>VLOOKUP($F79,#REF!,17,1)</f>
        <v>#REF!</v>
      </c>
      <c r="AA79" s="206" t="e">
        <f t="shared" si="7"/>
        <v>#REF!</v>
      </c>
      <c r="AB79" s="206">
        <v>2</v>
      </c>
      <c r="AC79" s="206" t="e">
        <f>VLOOKUP($F79,#REF!,21,1)</f>
        <v>#REF!</v>
      </c>
      <c r="AD79" s="206" t="e">
        <f>VLOOKUP($F79,#REF!,33,1)</f>
        <v>#REF!</v>
      </c>
      <c r="AE79" s="206" t="e">
        <f t="shared" si="4"/>
        <v>#REF!</v>
      </c>
      <c r="AF79" s="206">
        <v>2</v>
      </c>
      <c r="AG79" s="206" t="e">
        <f>VLOOKUP($F79,#REF!,35,1)</f>
        <v>#REF!</v>
      </c>
      <c r="AH79" s="206" t="e">
        <f t="shared" si="5"/>
        <v>#REF!</v>
      </c>
      <c r="AI79" s="206">
        <v>2</v>
      </c>
      <c r="AJ79" s="206" t="e">
        <f>VLOOKUP($F79,#REF!,37,1)</f>
        <v>#REF!</v>
      </c>
    </row>
    <row r="80" spans="1:36" s="100" customFormat="1">
      <c r="A80" s="102"/>
      <c r="B80" s="97"/>
      <c r="C80" s="106" t="s">
        <v>1913</v>
      </c>
      <c r="D80" s="98" t="s">
        <v>2236</v>
      </c>
      <c r="E80" s="98" t="s">
        <v>2154</v>
      </c>
      <c r="F80" s="120" t="s">
        <v>2012</v>
      </c>
      <c r="G80" s="97" t="s">
        <v>1929</v>
      </c>
      <c r="H80" s="97"/>
      <c r="I80" s="97"/>
      <c r="J80" s="102"/>
      <c r="K80" s="102"/>
      <c r="L80" s="102"/>
      <c r="M80" s="102"/>
      <c r="N80" s="102"/>
      <c r="O80" s="102"/>
      <c r="P80" s="102"/>
      <c r="Q80" s="203"/>
      <c r="R80" s="203"/>
      <c r="S80" s="203"/>
      <c r="T80" s="203"/>
      <c r="U80" s="203"/>
      <c r="V80" s="203"/>
      <c r="W80" s="206" t="e">
        <f>VLOOKUP($F80,#REF!,16,1)</f>
        <v>#REF!</v>
      </c>
      <c r="X80" s="206" t="e">
        <f t="shared" si="6"/>
        <v>#REF!</v>
      </c>
      <c r="Y80" s="206">
        <v>3</v>
      </c>
      <c r="Z80" s="206" t="e">
        <f>VLOOKUP($F80,#REF!,17,1)</f>
        <v>#REF!</v>
      </c>
      <c r="AA80" s="206" t="e">
        <f t="shared" si="7"/>
        <v>#REF!</v>
      </c>
      <c r="AB80" s="206">
        <v>2</v>
      </c>
      <c r="AC80" s="206" t="e">
        <f>VLOOKUP($F80,#REF!,21,1)</f>
        <v>#REF!</v>
      </c>
      <c r="AD80" s="206" t="e">
        <f>VLOOKUP($F80,#REF!,33,1)</f>
        <v>#REF!</v>
      </c>
      <c r="AE80" s="206" t="e">
        <f t="shared" si="4"/>
        <v>#REF!</v>
      </c>
      <c r="AF80" s="206">
        <v>2</v>
      </c>
      <c r="AG80" s="206" t="e">
        <f>VLOOKUP($F80,#REF!,35,1)</f>
        <v>#REF!</v>
      </c>
      <c r="AH80" s="206" t="e">
        <f t="shared" si="5"/>
        <v>#REF!</v>
      </c>
      <c r="AI80" s="206">
        <v>2</v>
      </c>
      <c r="AJ80" s="206" t="e">
        <f>VLOOKUP($F80,#REF!,37,1)</f>
        <v>#REF!</v>
      </c>
    </row>
    <row r="81" spans="1:36" s="100" customFormat="1">
      <c r="A81" s="102"/>
      <c r="B81" s="97"/>
      <c r="C81" s="106" t="s">
        <v>1913</v>
      </c>
      <c r="D81" s="98" t="s">
        <v>2236</v>
      </c>
      <c r="E81" s="98" t="s">
        <v>2154</v>
      </c>
      <c r="F81" s="120" t="s">
        <v>2013</v>
      </c>
      <c r="G81" s="97" t="s">
        <v>1929</v>
      </c>
      <c r="H81" s="97"/>
      <c r="I81" s="97"/>
      <c r="J81" s="102"/>
      <c r="K81" s="102"/>
      <c r="L81" s="102"/>
      <c r="M81" s="102"/>
      <c r="N81" s="102"/>
      <c r="O81" s="102"/>
      <c r="P81" s="102"/>
      <c r="Q81" s="203"/>
      <c r="R81" s="203"/>
      <c r="S81" s="203"/>
      <c r="T81" s="203"/>
      <c r="U81" s="203"/>
      <c r="V81" s="203"/>
      <c r="W81" s="206" t="e">
        <f>VLOOKUP($F81,#REF!,16,1)</f>
        <v>#REF!</v>
      </c>
      <c r="X81" s="206" t="e">
        <f t="shared" si="6"/>
        <v>#REF!</v>
      </c>
      <c r="Y81" s="206">
        <v>2</v>
      </c>
      <c r="Z81" s="206" t="e">
        <f>VLOOKUP($F81,#REF!,17,1)</f>
        <v>#REF!</v>
      </c>
      <c r="AA81" s="206" t="e">
        <f t="shared" si="7"/>
        <v>#REF!</v>
      </c>
      <c r="AB81" s="206">
        <v>3</v>
      </c>
      <c r="AC81" s="206" t="e">
        <f>VLOOKUP($F81,#REF!,21,1)</f>
        <v>#REF!</v>
      </c>
      <c r="AD81" s="206" t="e">
        <f>VLOOKUP($F81,#REF!,33,1)</f>
        <v>#REF!</v>
      </c>
      <c r="AE81" s="206" t="e">
        <f t="shared" si="4"/>
        <v>#REF!</v>
      </c>
      <c r="AF81" s="206">
        <v>1</v>
      </c>
      <c r="AG81" s="206" t="e">
        <f>VLOOKUP($F81,#REF!,35,1)</f>
        <v>#REF!</v>
      </c>
      <c r="AH81" s="206" t="e">
        <f t="shared" si="5"/>
        <v>#REF!</v>
      </c>
      <c r="AI81" s="206">
        <v>3</v>
      </c>
      <c r="AJ81" s="206" t="e">
        <f>VLOOKUP($F81,#REF!,37,1)</f>
        <v>#REF!</v>
      </c>
    </row>
    <row r="82" spans="1:36" s="100" customFormat="1">
      <c r="A82" s="102"/>
      <c r="B82" s="97"/>
      <c r="C82" s="106" t="s">
        <v>1913</v>
      </c>
      <c r="D82" s="98" t="s">
        <v>2236</v>
      </c>
      <c r="E82" s="98" t="s">
        <v>2154</v>
      </c>
      <c r="F82" s="124"/>
      <c r="G82" s="97"/>
      <c r="H82" s="97"/>
      <c r="I82" s="97"/>
      <c r="P82" s="102"/>
      <c r="Q82" s="203"/>
      <c r="R82" s="203"/>
      <c r="S82" s="203"/>
      <c r="T82" s="203"/>
      <c r="U82" s="203"/>
      <c r="V82" s="203"/>
      <c r="W82" s="206" t="e">
        <f>VLOOKUP($F82,#REF!,16,1)</f>
        <v>#REF!</v>
      </c>
      <c r="X82" s="206" t="e">
        <f t="shared" si="6"/>
        <v>#REF!</v>
      </c>
      <c r="Y82" s="206" t="e">
        <v>#N/A</v>
      </c>
      <c r="Z82" s="206" t="e">
        <f>VLOOKUP($F82,#REF!,17,1)</f>
        <v>#REF!</v>
      </c>
      <c r="AA82" s="206" t="e">
        <f t="shared" si="7"/>
        <v>#REF!</v>
      </c>
      <c r="AB82" s="206" t="e">
        <v>#N/A</v>
      </c>
      <c r="AC82" s="206" t="e">
        <f>VLOOKUP($F82,#REF!,21,1)</f>
        <v>#REF!</v>
      </c>
      <c r="AD82" s="206" t="e">
        <f>VLOOKUP($F82,#REF!,33,1)</f>
        <v>#REF!</v>
      </c>
      <c r="AE82" s="206" t="e">
        <f t="shared" si="4"/>
        <v>#REF!</v>
      </c>
      <c r="AF82" s="206" t="e">
        <v>#N/A</v>
      </c>
      <c r="AG82" s="206" t="e">
        <f>VLOOKUP($F82,#REF!,35,1)</f>
        <v>#REF!</v>
      </c>
      <c r="AH82" s="206" t="e">
        <f t="shared" si="5"/>
        <v>#REF!</v>
      </c>
      <c r="AI82" s="206" t="e">
        <v>#N/A</v>
      </c>
      <c r="AJ82" s="206" t="e">
        <f>VLOOKUP($F82,#REF!,37,1)</f>
        <v>#REF!</v>
      </c>
    </row>
    <row r="83" spans="1:36" s="100" customFormat="1">
      <c r="A83" s="102"/>
      <c r="B83" s="97"/>
      <c r="C83" s="106" t="s">
        <v>1913</v>
      </c>
      <c r="D83" s="98" t="s">
        <v>2236</v>
      </c>
      <c r="E83" s="98" t="s">
        <v>2154</v>
      </c>
      <c r="F83" s="124"/>
      <c r="G83" s="97"/>
      <c r="H83" s="97"/>
      <c r="I83" s="97"/>
      <c r="P83" s="102"/>
      <c r="Q83" s="203"/>
      <c r="R83" s="203"/>
      <c r="S83" s="203"/>
      <c r="T83" s="203"/>
      <c r="U83" s="203"/>
      <c r="V83" s="203"/>
      <c r="W83" s="206" t="e">
        <f>VLOOKUP($F83,#REF!,16,1)</f>
        <v>#REF!</v>
      </c>
      <c r="X83" s="206" t="e">
        <f t="shared" si="6"/>
        <v>#REF!</v>
      </c>
      <c r="Y83" s="206" t="e">
        <v>#N/A</v>
      </c>
      <c r="Z83" s="206" t="e">
        <f>VLOOKUP($F83,#REF!,17,1)</f>
        <v>#REF!</v>
      </c>
      <c r="AA83" s="206" t="e">
        <f t="shared" si="7"/>
        <v>#REF!</v>
      </c>
      <c r="AB83" s="206" t="e">
        <v>#N/A</v>
      </c>
      <c r="AC83" s="206" t="e">
        <f>VLOOKUP($F83,#REF!,21,1)</f>
        <v>#REF!</v>
      </c>
      <c r="AD83" s="206" t="e">
        <f>VLOOKUP($F83,#REF!,33,1)</f>
        <v>#REF!</v>
      </c>
      <c r="AE83" s="206" t="e">
        <f t="shared" si="4"/>
        <v>#REF!</v>
      </c>
      <c r="AF83" s="206" t="e">
        <v>#N/A</v>
      </c>
      <c r="AG83" s="206" t="e">
        <f>VLOOKUP($F83,#REF!,35,1)</f>
        <v>#REF!</v>
      </c>
      <c r="AH83" s="206" t="e">
        <f t="shared" si="5"/>
        <v>#REF!</v>
      </c>
      <c r="AI83" s="206" t="e">
        <v>#N/A</v>
      </c>
      <c r="AJ83" s="206" t="e">
        <f>VLOOKUP($F83,#REF!,37,1)</f>
        <v>#REF!</v>
      </c>
    </row>
    <row r="84" spans="1:36" s="100" customFormat="1">
      <c r="A84" s="102"/>
      <c r="B84" s="97"/>
      <c r="C84" s="106" t="s">
        <v>1913</v>
      </c>
      <c r="D84" s="98" t="s">
        <v>2236</v>
      </c>
      <c r="E84" s="98" t="s">
        <v>2154</v>
      </c>
      <c r="F84" s="124"/>
      <c r="G84" s="97"/>
      <c r="H84" s="97"/>
      <c r="I84" s="97"/>
      <c r="P84" s="102"/>
      <c r="Q84" s="203"/>
      <c r="R84" s="203"/>
      <c r="S84" s="203"/>
      <c r="T84" s="203"/>
      <c r="U84" s="203"/>
      <c r="V84" s="203"/>
      <c r="W84" s="206" t="e">
        <f>VLOOKUP($F84,#REF!,16,1)</f>
        <v>#REF!</v>
      </c>
      <c r="X84" s="206" t="e">
        <f t="shared" si="6"/>
        <v>#REF!</v>
      </c>
      <c r="Y84" s="206" t="e">
        <v>#N/A</v>
      </c>
      <c r="Z84" s="206" t="e">
        <f>VLOOKUP($F84,#REF!,17,1)</f>
        <v>#REF!</v>
      </c>
      <c r="AA84" s="206" t="e">
        <f t="shared" si="7"/>
        <v>#REF!</v>
      </c>
      <c r="AB84" s="206" t="e">
        <v>#N/A</v>
      </c>
      <c r="AC84" s="206" t="e">
        <f>VLOOKUP($F84,#REF!,21,1)</f>
        <v>#REF!</v>
      </c>
      <c r="AD84" s="206" t="e">
        <f>VLOOKUP($F84,#REF!,33,1)</f>
        <v>#REF!</v>
      </c>
      <c r="AE84" s="206" t="e">
        <f t="shared" si="4"/>
        <v>#REF!</v>
      </c>
      <c r="AF84" s="206" t="e">
        <v>#N/A</v>
      </c>
      <c r="AG84" s="206" t="e">
        <f>VLOOKUP($F84,#REF!,35,1)</f>
        <v>#REF!</v>
      </c>
      <c r="AH84" s="206" t="e">
        <f t="shared" si="5"/>
        <v>#REF!</v>
      </c>
      <c r="AI84" s="206" t="e">
        <v>#N/A</v>
      </c>
      <c r="AJ84" s="206" t="e">
        <f>VLOOKUP($F84,#REF!,37,1)</f>
        <v>#REF!</v>
      </c>
    </row>
    <row r="85" spans="1:36" s="100" customFormat="1">
      <c r="A85" s="102"/>
      <c r="B85" s="97"/>
      <c r="C85" s="106" t="s">
        <v>1913</v>
      </c>
      <c r="D85" s="98" t="s">
        <v>2236</v>
      </c>
      <c r="E85" s="98" t="s">
        <v>2154</v>
      </c>
      <c r="F85" s="124"/>
      <c r="G85" s="97"/>
      <c r="H85" s="97"/>
      <c r="I85" s="97"/>
      <c r="P85" s="102"/>
      <c r="Q85" s="203"/>
      <c r="R85" s="203"/>
      <c r="S85" s="203"/>
      <c r="T85" s="203"/>
      <c r="U85" s="203"/>
      <c r="V85" s="203"/>
      <c r="W85" s="206" t="e">
        <f>VLOOKUP($F85,#REF!,16,1)</f>
        <v>#REF!</v>
      </c>
      <c r="X85" s="206" t="e">
        <f t="shared" si="6"/>
        <v>#REF!</v>
      </c>
      <c r="Y85" s="206" t="e">
        <v>#N/A</v>
      </c>
      <c r="Z85" s="206" t="e">
        <f>VLOOKUP($F85,#REF!,17,1)</f>
        <v>#REF!</v>
      </c>
      <c r="AA85" s="206" t="e">
        <f t="shared" si="7"/>
        <v>#REF!</v>
      </c>
      <c r="AB85" s="206" t="e">
        <v>#N/A</v>
      </c>
      <c r="AC85" s="206" t="e">
        <f>VLOOKUP($F85,#REF!,21,1)</f>
        <v>#REF!</v>
      </c>
      <c r="AD85" s="206" t="e">
        <f>VLOOKUP($F85,#REF!,33,1)</f>
        <v>#REF!</v>
      </c>
      <c r="AE85" s="206" t="e">
        <f t="shared" si="4"/>
        <v>#REF!</v>
      </c>
      <c r="AF85" s="206" t="e">
        <v>#N/A</v>
      </c>
      <c r="AG85" s="206" t="e">
        <f>VLOOKUP($F85,#REF!,35,1)</f>
        <v>#REF!</v>
      </c>
      <c r="AH85" s="206" t="e">
        <f t="shared" si="5"/>
        <v>#REF!</v>
      </c>
      <c r="AI85" s="206" t="e">
        <v>#N/A</v>
      </c>
      <c r="AJ85" s="206" t="e">
        <f>VLOOKUP($F85,#REF!,37,1)</f>
        <v>#REF!</v>
      </c>
    </row>
    <row r="86" spans="1:36" s="100" customFormat="1">
      <c r="A86" s="102"/>
      <c r="B86" s="97"/>
      <c r="C86" s="106" t="s">
        <v>1913</v>
      </c>
      <c r="D86" s="98" t="s">
        <v>2236</v>
      </c>
      <c r="E86" s="98" t="s">
        <v>2154</v>
      </c>
      <c r="F86" s="124"/>
      <c r="G86" s="97"/>
      <c r="H86" s="97"/>
      <c r="I86" s="97"/>
      <c r="P86" s="102"/>
      <c r="Q86" s="203"/>
      <c r="R86" s="203"/>
      <c r="S86" s="203"/>
      <c r="T86" s="203"/>
      <c r="U86" s="203"/>
      <c r="V86" s="203"/>
      <c r="W86" s="206" t="e">
        <f>VLOOKUP($F86,#REF!,16,1)</f>
        <v>#REF!</v>
      </c>
      <c r="X86" s="206" t="e">
        <f t="shared" si="6"/>
        <v>#REF!</v>
      </c>
      <c r="Y86" s="206" t="e">
        <v>#N/A</v>
      </c>
      <c r="Z86" s="206" t="e">
        <f>VLOOKUP($F86,#REF!,17,1)</f>
        <v>#REF!</v>
      </c>
      <c r="AA86" s="206" t="e">
        <f t="shared" si="7"/>
        <v>#REF!</v>
      </c>
      <c r="AB86" s="206" t="e">
        <v>#N/A</v>
      </c>
      <c r="AC86" s="206" t="e">
        <f>VLOOKUP($F86,#REF!,21,1)</f>
        <v>#REF!</v>
      </c>
      <c r="AD86" s="206" t="e">
        <f>VLOOKUP($F86,#REF!,33,1)</f>
        <v>#REF!</v>
      </c>
      <c r="AE86" s="206" t="e">
        <f t="shared" si="4"/>
        <v>#REF!</v>
      </c>
      <c r="AF86" s="206" t="e">
        <v>#N/A</v>
      </c>
      <c r="AG86" s="206" t="e">
        <f>VLOOKUP($F86,#REF!,35,1)</f>
        <v>#REF!</v>
      </c>
      <c r="AH86" s="206" t="e">
        <f t="shared" si="5"/>
        <v>#REF!</v>
      </c>
      <c r="AI86" s="206" t="e">
        <v>#N/A</v>
      </c>
      <c r="AJ86" s="206" t="e">
        <f>VLOOKUP($F86,#REF!,37,1)</f>
        <v>#REF!</v>
      </c>
    </row>
    <row r="87" spans="1:36" s="100" customFormat="1">
      <c r="A87" s="102"/>
      <c r="B87" s="97"/>
      <c r="C87" s="106" t="s">
        <v>1913</v>
      </c>
      <c r="D87" s="98" t="s">
        <v>2236</v>
      </c>
      <c r="E87" s="98" t="s">
        <v>2154</v>
      </c>
      <c r="F87" s="124"/>
      <c r="G87" s="97"/>
      <c r="H87" s="97"/>
      <c r="I87" s="97"/>
      <c r="P87" s="102"/>
      <c r="Q87" s="203"/>
      <c r="R87" s="203"/>
      <c r="S87" s="203"/>
      <c r="T87" s="203"/>
      <c r="U87" s="203"/>
      <c r="V87" s="203"/>
      <c r="W87" s="206" t="e">
        <f>VLOOKUP($F87,#REF!,16,1)</f>
        <v>#REF!</v>
      </c>
      <c r="X87" s="206" t="e">
        <f t="shared" si="6"/>
        <v>#REF!</v>
      </c>
      <c r="Y87" s="206" t="e">
        <v>#N/A</v>
      </c>
      <c r="Z87" s="206" t="e">
        <f>VLOOKUP($F87,#REF!,17,1)</f>
        <v>#REF!</v>
      </c>
      <c r="AA87" s="206" t="e">
        <f t="shared" si="7"/>
        <v>#REF!</v>
      </c>
      <c r="AB87" s="206" t="e">
        <v>#N/A</v>
      </c>
      <c r="AC87" s="206" t="e">
        <f>VLOOKUP($F87,#REF!,21,1)</f>
        <v>#REF!</v>
      </c>
      <c r="AD87" s="206" t="e">
        <f>VLOOKUP($F87,#REF!,33,1)</f>
        <v>#REF!</v>
      </c>
      <c r="AE87" s="206" t="e">
        <f t="shared" si="4"/>
        <v>#REF!</v>
      </c>
      <c r="AF87" s="206" t="e">
        <v>#N/A</v>
      </c>
      <c r="AG87" s="206" t="e">
        <f>VLOOKUP($F87,#REF!,35,1)</f>
        <v>#REF!</v>
      </c>
      <c r="AH87" s="206" t="e">
        <f t="shared" si="5"/>
        <v>#REF!</v>
      </c>
      <c r="AI87" s="206" t="e">
        <v>#N/A</v>
      </c>
      <c r="AJ87" s="206" t="e">
        <f>VLOOKUP($F87,#REF!,37,1)</f>
        <v>#REF!</v>
      </c>
    </row>
    <row r="88" spans="1:36" s="100" customFormat="1">
      <c r="A88" s="102"/>
      <c r="B88" s="97"/>
      <c r="C88" s="106" t="s">
        <v>1913</v>
      </c>
      <c r="D88" s="98" t="s">
        <v>2236</v>
      </c>
      <c r="E88" s="98" t="s">
        <v>2154</v>
      </c>
      <c r="F88" s="124"/>
      <c r="G88" s="97"/>
      <c r="H88" s="97"/>
      <c r="I88" s="97"/>
      <c r="P88" s="102"/>
      <c r="Q88" s="203"/>
      <c r="R88" s="203"/>
      <c r="S88" s="203"/>
      <c r="T88" s="203"/>
      <c r="U88" s="203"/>
      <c r="V88" s="203"/>
      <c r="W88" s="206" t="e">
        <f>VLOOKUP($F88,#REF!,16,1)</f>
        <v>#REF!</v>
      </c>
      <c r="X88" s="206" t="e">
        <f t="shared" si="6"/>
        <v>#REF!</v>
      </c>
      <c r="Y88" s="206" t="e">
        <v>#N/A</v>
      </c>
      <c r="Z88" s="206" t="e">
        <f>VLOOKUP($F88,#REF!,17,1)</f>
        <v>#REF!</v>
      </c>
      <c r="AA88" s="206" t="e">
        <f t="shared" si="7"/>
        <v>#REF!</v>
      </c>
      <c r="AB88" s="206" t="e">
        <v>#N/A</v>
      </c>
      <c r="AC88" s="206" t="e">
        <f>VLOOKUP($F88,#REF!,21,1)</f>
        <v>#REF!</v>
      </c>
      <c r="AD88" s="206" t="e">
        <f>VLOOKUP($F88,#REF!,33,1)</f>
        <v>#REF!</v>
      </c>
      <c r="AE88" s="206" t="e">
        <f t="shared" si="4"/>
        <v>#REF!</v>
      </c>
      <c r="AF88" s="206" t="e">
        <v>#N/A</v>
      </c>
      <c r="AG88" s="206" t="e">
        <f>VLOOKUP($F88,#REF!,35,1)</f>
        <v>#REF!</v>
      </c>
      <c r="AH88" s="206" t="e">
        <f t="shared" si="5"/>
        <v>#REF!</v>
      </c>
      <c r="AI88" s="206" t="e">
        <v>#N/A</v>
      </c>
      <c r="AJ88" s="206" t="e">
        <f>VLOOKUP($F88,#REF!,37,1)</f>
        <v>#REF!</v>
      </c>
    </row>
    <row r="89" spans="1:36" s="100" customFormat="1">
      <c r="A89" s="102"/>
      <c r="B89" s="97"/>
      <c r="C89" s="106" t="s">
        <v>1913</v>
      </c>
      <c r="D89" s="98" t="s">
        <v>2236</v>
      </c>
      <c r="E89" s="98" t="s">
        <v>2154</v>
      </c>
      <c r="F89" s="124"/>
      <c r="G89" s="97"/>
      <c r="H89" s="97"/>
      <c r="I89" s="97"/>
      <c r="P89" s="102"/>
      <c r="Q89" s="203"/>
      <c r="R89" s="203"/>
      <c r="S89" s="203"/>
      <c r="T89" s="203"/>
      <c r="U89" s="203"/>
      <c r="V89" s="203"/>
      <c r="W89" s="206" t="e">
        <f>VLOOKUP($F89,#REF!,16,1)</f>
        <v>#REF!</v>
      </c>
      <c r="X89" s="206" t="e">
        <f t="shared" si="6"/>
        <v>#REF!</v>
      </c>
      <c r="Y89" s="206" t="e">
        <v>#N/A</v>
      </c>
      <c r="Z89" s="206" t="e">
        <f>VLOOKUP($F89,#REF!,17,1)</f>
        <v>#REF!</v>
      </c>
      <c r="AA89" s="206" t="e">
        <f t="shared" si="7"/>
        <v>#REF!</v>
      </c>
      <c r="AB89" s="206" t="e">
        <v>#N/A</v>
      </c>
      <c r="AC89" s="206" t="e">
        <f>VLOOKUP($F89,#REF!,21,1)</f>
        <v>#REF!</v>
      </c>
      <c r="AD89" s="206" t="e">
        <f>VLOOKUP($F89,#REF!,33,1)</f>
        <v>#REF!</v>
      </c>
      <c r="AE89" s="206" t="e">
        <f t="shared" si="4"/>
        <v>#REF!</v>
      </c>
      <c r="AF89" s="206" t="e">
        <v>#N/A</v>
      </c>
      <c r="AG89" s="206" t="e">
        <f>VLOOKUP($F89,#REF!,35,1)</f>
        <v>#REF!</v>
      </c>
      <c r="AH89" s="206" t="e">
        <f t="shared" si="5"/>
        <v>#REF!</v>
      </c>
      <c r="AI89" s="206" t="e">
        <v>#N/A</v>
      </c>
      <c r="AJ89" s="206" t="e">
        <f>VLOOKUP($F89,#REF!,37,1)</f>
        <v>#REF!</v>
      </c>
    </row>
    <row r="90" spans="1:36" s="100" customFormat="1">
      <c r="A90" s="102"/>
      <c r="B90" s="97"/>
      <c r="C90" s="106" t="s">
        <v>1913</v>
      </c>
      <c r="D90" s="98" t="s">
        <v>2236</v>
      </c>
      <c r="E90" s="98" t="s">
        <v>2154</v>
      </c>
      <c r="F90" s="124"/>
      <c r="G90" s="97"/>
      <c r="H90" s="97"/>
      <c r="I90" s="97"/>
      <c r="P90" s="102"/>
      <c r="Q90" s="203"/>
      <c r="R90" s="203"/>
      <c r="S90" s="203"/>
      <c r="T90" s="203"/>
      <c r="U90" s="203"/>
      <c r="V90" s="203"/>
      <c r="W90" s="206" t="e">
        <f>VLOOKUP($F90,#REF!,16,1)</f>
        <v>#REF!</v>
      </c>
      <c r="X90" s="206" t="e">
        <f t="shared" si="6"/>
        <v>#REF!</v>
      </c>
      <c r="Y90" s="206" t="e">
        <v>#N/A</v>
      </c>
      <c r="Z90" s="206" t="e">
        <f>VLOOKUP($F90,#REF!,17,1)</f>
        <v>#REF!</v>
      </c>
      <c r="AA90" s="206" t="e">
        <f t="shared" si="7"/>
        <v>#REF!</v>
      </c>
      <c r="AB90" s="206" t="e">
        <v>#N/A</v>
      </c>
      <c r="AC90" s="206" t="e">
        <f>VLOOKUP($F90,#REF!,21,1)</f>
        <v>#REF!</v>
      </c>
      <c r="AD90" s="206" t="e">
        <f>VLOOKUP($F90,#REF!,33,1)</f>
        <v>#REF!</v>
      </c>
      <c r="AE90" s="206" t="e">
        <f t="shared" si="4"/>
        <v>#REF!</v>
      </c>
      <c r="AF90" s="206" t="e">
        <v>#N/A</v>
      </c>
      <c r="AG90" s="206" t="e">
        <f>VLOOKUP($F90,#REF!,35,1)</f>
        <v>#REF!</v>
      </c>
      <c r="AH90" s="206" t="e">
        <f t="shared" si="5"/>
        <v>#REF!</v>
      </c>
      <c r="AI90" s="206" t="e">
        <v>#N/A</v>
      </c>
      <c r="AJ90" s="206" t="e">
        <f>VLOOKUP($F90,#REF!,37,1)</f>
        <v>#REF!</v>
      </c>
    </row>
    <row r="91" spans="1:36">
      <c r="C91" s="106" t="s">
        <v>1913</v>
      </c>
      <c r="D91" s="98" t="s">
        <v>2236</v>
      </c>
      <c r="E91" s="98" t="s">
        <v>2154</v>
      </c>
      <c r="F91" s="124"/>
      <c r="Q91" s="203"/>
      <c r="R91" s="203"/>
      <c r="S91" s="203"/>
      <c r="T91" s="203"/>
      <c r="U91" s="203"/>
      <c r="V91" s="203"/>
      <c r="W91" s="206" t="e">
        <f>VLOOKUP($F91,#REF!,16,1)</f>
        <v>#REF!</v>
      </c>
      <c r="X91" s="206" t="e">
        <f t="shared" si="6"/>
        <v>#REF!</v>
      </c>
      <c r="Y91" s="206" t="e">
        <v>#N/A</v>
      </c>
      <c r="Z91" s="206" t="e">
        <f>VLOOKUP($F91,#REF!,17,1)</f>
        <v>#REF!</v>
      </c>
      <c r="AA91" s="206" t="e">
        <f t="shared" si="7"/>
        <v>#REF!</v>
      </c>
      <c r="AB91" s="206" t="e">
        <v>#N/A</v>
      </c>
      <c r="AC91" s="206" t="e">
        <f>VLOOKUP($F91,#REF!,21,1)</f>
        <v>#REF!</v>
      </c>
      <c r="AD91" s="206" t="e">
        <f>VLOOKUP($F91,#REF!,33,1)</f>
        <v>#REF!</v>
      </c>
      <c r="AE91" s="206" t="e">
        <f t="shared" si="4"/>
        <v>#REF!</v>
      </c>
      <c r="AF91" s="206" t="e">
        <v>#N/A</v>
      </c>
      <c r="AG91" s="206" t="e">
        <f>VLOOKUP($F91,#REF!,35,1)</f>
        <v>#REF!</v>
      </c>
      <c r="AH91" s="206" t="e">
        <f t="shared" si="5"/>
        <v>#REF!</v>
      </c>
      <c r="AI91" s="206" t="e">
        <v>#N/A</v>
      </c>
      <c r="AJ91" s="206" t="e">
        <f>VLOOKUP($F91,#REF!,37,1)</f>
        <v>#REF!</v>
      </c>
    </row>
    <row r="92" spans="1:36" s="100" customFormat="1">
      <c r="A92" s="102"/>
      <c r="B92" s="97"/>
      <c r="C92" s="106" t="s">
        <v>1913</v>
      </c>
      <c r="D92" s="98" t="s">
        <v>2236</v>
      </c>
      <c r="E92" s="98" t="s">
        <v>2154</v>
      </c>
      <c r="F92" s="124"/>
      <c r="G92" s="97"/>
      <c r="H92" s="97"/>
      <c r="I92" s="97"/>
      <c r="P92" s="102"/>
      <c r="Q92" s="203"/>
      <c r="R92" s="203"/>
      <c r="S92" s="203"/>
      <c r="T92" s="203"/>
      <c r="U92" s="203"/>
      <c r="V92" s="203"/>
      <c r="W92" s="206" t="e">
        <f>VLOOKUP($F92,#REF!,16,1)</f>
        <v>#REF!</v>
      </c>
      <c r="X92" s="206" t="e">
        <f t="shared" si="6"/>
        <v>#REF!</v>
      </c>
      <c r="Y92" s="206" t="e">
        <v>#N/A</v>
      </c>
      <c r="Z92" s="206" t="e">
        <f>VLOOKUP($F92,#REF!,17,1)</f>
        <v>#REF!</v>
      </c>
      <c r="AA92" s="206" t="e">
        <f t="shared" si="7"/>
        <v>#REF!</v>
      </c>
      <c r="AB92" s="206" t="e">
        <v>#N/A</v>
      </c>
      <c r="AC92" s="206" t="e">
        <f>VLOOKUP($F92,#REF!,21,1)</f>
        <v>#REF!</v>
      </c>
      <c r="AD92" s="206" t="e">
        <f>VLOOKUP($F92,#REF!,33,1)</f>
        <v>#REF!</v>
      </c>
      <c r="AE92" s="206" t="e">
        <f t="shared" si="4"/>
        <v>#REF!</v>
      </c>
      <c r="AF92" s="206" t="e">
        <v>#N/A</v>
      </c>
      <c r="AG92" s="206" t="e">
        <f>VLOOKUP($F92,#REF!,35,1)</f>
        <v>#REF!</v>
      </c>
      <c r="AH92" s="206" t="e">
        <f t="shared" si="5"/>
        <v>#REF!</v>
      </c>
      <c r="AI92" s="206" t="e">
        <v>#N/A</v>
      </c>
      <c r="AJ92" s="206" t="e">
        <f>VLOOKUP($F92,#REF!,37,1)</f>
        <v>#REF!</v>
      </c>
    </row>
    <row r="93" spans="1:36">
      <c r="C93" s="106" t="s">
        <v>1913</v>
      </c>
      <c r="D93" s="98" t="s">
        <v>2236</v>
      </c>
      <c r="E93" s="98" t="s">
        <v>2154</v>
      </c>
      <c r="F93" s="124"/>
      <c r="Q93" s="203"/>
      <c r="R93" s="203"/>
      <c r="S93" s="203"/>
      <c r="T93" s="203"/>
      <c r="U93" s="203"/>
      <c r="V93" s="203"/>
      <c r="W93" s="206" t="e">
        <f>VLOOKUP($F93,#REF!,16,1)</f>
        <v>#REF!</v>
      </c>
      <c r="X93" s="206" t="e">
        <f t="shared" si="6"/>
        <v>#REF!</v>
      </c>
      <c r="Y93" s="206" t="e">
        <v>#N/A</v>
      </c>
      <c r="Z93" s="206" t="e">
        <f>VLOOKUP($F93,#REF!,17,1)</f>
        <v>#REF!</v>
      </c>
      <c r="AA93" s="206" t="e">
        <f t="shared" si="7"/>
        <v>#REF!</v>
      </c>
      <c r="AB93" s="206" t="e">
        <v>#N/A</v>
      </c>
      <c r="AC93" s="206" t="e">
        <f>VLOOKUP($F93,#REF!,21,1)</f>
        <v>#REF!</v>
      </c>
      <c r="AD93" s="206" t="e">
        <f>VLOOKUP($F93,#REF!,33,1)</f>
        <v>#REF!</v>
      </c>
      <c r="AE93" s="206" t="e">
        <f t="shared" si="4"/>
        <v>#REF!</v>
      </c>
      <c r="AF93" s="206" t="e">
        <v>#N/A</v>
      </c>
      <c r="AG93" s="206" t="e">
        <f>VLOOKUP($F93,#REF!,35,1)</f>
        <v>#REF!</v>
      </c>
      <c r="AH93" s="206" t="e">
        <f t="shared" si="5"/>
        <v>#REF!</v>
      </c>
      <c r="AI93" s="206" t="e">
        <v>#N/A</v>
      </c>
      <c r="AJ93" s="206" t="e">
        <f>VLOOKUP($F93,#REF!,37,1)</f>
        <v>#REF!</v>
      </c>
    </row>
    <row r="94" spans="1:36" s="100" customFormat="1" ht="22.5">
      <c r="A94" s="102"/>
      <c r="B94" s="97"/>
      <c r="C94" s="110" t="s">
        <v>1914</v>
      </c>
      <c r="D94" s="98" t="s">
        <v>2237</v>
      </c>
      <c r="E94" s="98" t="s">
        <v>2154</v>
      </c>
      <c r="F94" s="120" t="s">
        <v>2018</v>
      </c>
      <c r="G94" s="97" t="s">
        <v>1929</v>
      </c>
      <c r="H94" s="97"/>
      <c r="I94" s="97"/>
      <c r="O94" s="48" t="s">
        <v>8</v>
      </c>
      <c r="P94" s="48"/>
      <c r="Q94" s="206" t="s">
        <v>2161</v>
      </c>
      <c r="R94" s="206">
        <f>ROW(F94)</f>
        <v>94</v>
      </c>
      <c r="S94" s="206" t="str">
        <f>CONCATENATE(";","'",D94,"'!","$B$9:$AL$89",";","21",";","1",")")</f>
        <v>;'EC EVALUACION'!$B$9:$AL$89;21;1)</v>
      </c>
      <c r="T94" s="203" t="s">
        <v>2192</v>
      </c>
      <c r="U94" s="206" t="str">
        <f>CONCATENATE("=BUSCARV($E",R94,T94)</f>
        <v>=BUSCARV($E94;'EC EVALUACION'!$B$9:$AL$89;21;1)</v>
      </c>
      <c r="V94" s="206"/>
      <c r="W94" s="206" t="e">
        <f>VLOOKUP($F94,#REF!,16,1)</f>
        <v>#REF!</v>
      </c>
      <c r="X94" s="206" t="e">
        <f t="shared" si="6"/>
        <v>#REF!</v>
      </c>
      <c r="Y94" s="206">
        <v>3</v>
      </c>
      <c r="Z94" s="206" t="e">
        <f>VLOOKUP($F94,#REF!,17,1)</f>
        <v>#REF!</v>
      </c>
      <c r="AA94" s="206" t="e">
        <f t="shared" si="7"/>
        <v>#REF!</v>
      </c>
      <c r="AB94" s="206">
        <v>2</v>
      </c>
      <c r="AC94" s="206" t="e">
        <f>VLOOKUP($F94,#REF!,21,1)</f>
        <v>#REF!</v>
      </c>
      <c r="AD94" s="206" t="e">
        <f>VLOOKUP($F94,#REF!,33,1)</f>
        <v>#REF!</v>
      </c>
      <c r="AE94" s="206" t="e">
        <f t="shared" si="4"/>
        <v>#REF!</v>
      </c>
      <c r="AF94" s="206">
        <v>2</v>
      </c>
      <c r="AG94" s="206" t="e">
        <f>VLOOKUP($F94,#REF!,35,1)</f>
        <v>#REF!</v>
      </c>
      <c r="AH94" s="206" t="e">
        <f t="shared" si="5"/>
        <v>#REF!</v>
      </c>
      <c r="AI94" s="206">
        <v>1</v>
      </c>
      <c r="AJ94" s="206" t="e">
        <f>VLOOKUP($F94,#REF!,37,1)</f>
        <v>#REF!</v>
      </c>
    </row>
    <row r="95" spans="1:36" s="100" customFormat="1" ht="22.5">
      <c r="A95" s="102"/>
      <c r="B95" s="97"/>
      <c r="C95" s="110" t="s">
        <v>1914</v>
      </c>
      <c r="D95" s="98" t="s">
        <v>2237</v>
      </c>
      <c r="E95" s="98" t="s">
        <v>2154</v>
      </c>
      <c r="F95" s="120" t="s">
        <v>2019</v>
      </c>
      <c r="G95" s="97" t="s">
        <v>1929</v>
      </c>
      <c r="H95" s="97"/>
      <c r="I95" s="97"/>
      <c r="J95" s="102"/>
      <c r="K95" s="102"/>
      <c r="L95" s="102"/>
      <c r="M95" s="102"/>
      <c r="N95" s="102"/>
      <c r="O95" s="102"/>
      <c r="P95" s="102"/>
      <c r="Q95" s="203"/>
      <c r="R95" s="203"/>
      <c r="S95" s="203"/>
      <c r="T95" s="203"/>
      <c r="U95" s="203"/>
      <c r="V95" s="203"/>
      <c r="W95" s="206" t="e">
        <f>VLOOKUP($F95,#REF!,16,1)</f>
        <v>#REF!</v>
      </c>
      <c r="X95" s="206" t="e">
        <f t="shared" si="6"/>
        <v>#REF!</v>
      </c>
      <c r="Y95" s="206">
        <v>2</v>
      </c>
      <c r="Z95" s="206" t="e">
        <f>VLOOKUP($F95,#REF!,17,1)</f>
        <v>#REF!</v>
      </c>
      <c r="AA95" s="206" t="e">
        <f t="shared" si="7"/>
        <v>#REF!</v>
      </c>
      <c r="AB95" s="206">
        <v>3</v>
      </c>
      <c r="AC95" s="206" t="e">
        <f>VLOOKUP($F95,#REF!,21,1)</f>
        <v>#REF!</v>
      </c>
      <c r="AD95" s="206" t="e">
        <f>VLOOKUP($F95,#REF!,33,1)</f>
        <v>#REF!</v>
      </c>
      <c r="AE95" s="206" t="e">
        <f t="shared" si="4"/>
        <v>#REF!</v>
      </c>
      <c r="AF95" s="206">
        <v>1</v>
      </c>
      <c r="AG95" s="206" t="e">
        <f>VLOOKUP($F95,#REF!,35,1)</f>
        <v>#REF!</v>
      </c>
      <c r="AH95" s="206" t="e">
        <f t="shared" si="5"/>
        <v>#REF!</v>
      </c>
      <c r="AI95" s="206">
        <v>1</v>
      </c>
      <c r="AJ95" s="206" t="e">
        <f>VLOOKUP($F95,#REF!,37,1)</f>
        <v>#REF!</v>
      </c>
    </row>
    <row r="96" spans="1:36" s="100" customFormat="1" ht="22.5">
      <c r="A96" s="102"/>
      <c r="B96" s="97"/>
      <c r="C96" s="110" t="s">
        <v>1914</v>
      </c>
      <c r="D96" s="98" t="s">
        <v>2237</v>
      </c>
      <c r="E96" s="98" t="s">
        <v>2154</v>
      </c>
      <c r="F96" s="120" t="s">
        <v>2020</v>
      </c>
      <c r="G96" s="97" t="s">
        <v>1929</v>
      </c>
      <c r="H96" s="97"/>
      <c r="I96" s="97"/>
      <c r="O96" s="48" t="s">
        <v>8</v>
      </c>
      <c r="P96" s="48"/>
      <c r="Q96" s="203"/>
      <c r="R96" s="203"/>
      <c r="S96" s="203"/>
      <c r="T96" s="203"/>
      <c r="U96" s="203"/>
      <c r="V96" s="203"/>
      <c r="W96" s="206" t="e">
        <f>VLOOKUP($F96,#REF!,16,1)</f>
        <v>#REF!</v>
      </c>
      <c r="X96" s="206" t="e">
        <f t="shared" si="6"/>
        <v>#REF!</v>
      </c>
      <c r="Y96" s="206">
        <v>4</v>
      </c>
      <c r="Z96" s="206" t="e">
        <f>VLOOKUP($F96,#REF!,17,1)</f>
        <v>#REF!</v>
      </c>
      <c r="AA96" s="206" t="e">
        <f t="shared" si="7"/>
        <v>#REF!</v>
      </c>
      <c r="AB96" s="206">
        <v>2</v>
      </c>
      <c r="AC96" s="206" t="e">
        <f>VLOOKUP($F96,#REF!,21,1)</f>
        <v>#REF!</v>
      </c>
      <c r="AD96" s="206" t="e">
        <f>VLOOKUP($F96,#REF!,33,1)</f>
        <v>#REF!</v>
      </c>
      <c r="AE96" s="206" t="e">
        <f t="shared" si="4"/>
        <v>#REF!</v>
      </c>
      <c r="AF96" s="206">
        <v>3</v>
      </c>
      <c r="AG96" s="206" t="e">
        <f>VLOOKUP($F96,#REF!,35,1)</f>
        <v>#REF!</v>
      </c>
      <c r="AH96" s="206" t="e">
        <f t="shared" si="5"/>
        <v>#REF!</v>
      </c>
      <c r="AI96" s="206">
        <v>1</v>
      </c>
      <c r="AJ96" s="206" t="e">
        <f>VLOOKUP($F96,#REF!,37,1)</f>
        <v>#REF!</v>
      </c>
    </row>
    <row r="97" spans="1:36" s="100" customFormat="1" ht="22.5">
      <c r="A97" s="102"/>
      <c r="B97" s="97"/>
      <c r="C97" s="110" t="s">
        <v>1914</v>
      </c>
      <c r="D97" s="98" t="s">
        <v>2237</v>
      </c>
      <c r="E97" s="98" t="s">
        <v>2154</v>
      </c>
      <c r="F97" s="120" t="s">
        <v>2021</v>
      </c>
      <c r="G97" s="97" t="s">
        <v>1929</v>
      </c>
      <c r="H97" s="97"/>
      <c r="I97" s="97"/>
      <c r="O97" s="48" t="s">
        <v>8</v>
      </c>
      <c r="P97" s="48"/>
      <c r="Q97" s="203"/>
      <c r="R97" s="203"/>
      <c r="S97" s="203"/>
      <c r="T97" s="203"/>
      <c r="U97" s="203"/>
      <c r="V97" s="203"/>
      <c r="W97" s="206" t="e">
        <f>VLOOKUP($F97,#REF!,16,1)</f>
        <v>#REF!</v>
      </c>
      <c r="X97" s="206" t="e">
        <f t="shared" si="6"/>
        <v>#REF!</v>
      </c>
      <c r="Y97" s="206">
        <v>3</v>
      </c>
      <c r="Z97" s="206" t="e">
        <f>VLOOKUP($F97,#REF!,17,1)</f>
        <v>#REF!</v>
      </c>
      <c r="AA97" s="206" t="e">
        <f t="shared" si="7"/>
        <v>#REF!</v>
      </c>
      <c r="AB97" s="206">
        <v>2</v>
      </c>
      <c r="AC97" s="206" t="e">
        <f>VLOOKUP($F97,#REF!,21,1)</f>
        <v>#REF!</v>
      </c>
      <c r="AD97" s="206" t="e">
        <f>VLOOKUP($F97,#REF!,33,1)</f>
        <v>#REF!</v>
      </c>
      <c r="AE97" s="206" t="e">
        <f t="shared" si="4"/>
        <v>#REF!</v>
      </c>
      <c r="AF97" s="206">
        <v>2</v>
      </c>
      <c r="AG97" s="206" t="e">
        <f>VLOOKUP($F97,#REF!,35,1)</f>
        <v>#REF!</v>
      </c>
      <c r="AH97" s="206" t="e">
        <f t="shared" si="5"/>
        <v>#REF!</v>
      </c>
      <c r="AI97" s="206">
        <v>2</v>
      </c>
      <c r="AJ97" s="206" t="e">
        <f>VLOOKUP($F97,#REF!,37,1)</f>
        <v>#REF!</v>
      </c>
    </row>
    <row r="98" spans="1:36" s="100" customFormat="1" ht="22.5">
      <c r="A98" s="102"/>
      <c r="B98" s="97"/>
      <c r="C98" s="110" t="s">
        <v>1914</v>
      </c>
      <c r="D98" s="98" t="s">
        <v>2237</v>
      </c>
      <c r="E98" s="98" t="s">
        <v>2154</v>
      </c>
      <c r="F98" s="120" t="s">
        <v>2022</v>
      </c>
      <c r="G98" s="97" t="s">
        <v>1929</v>
      </c>
      <c r="H98" s="97"/>
      <c r="I98" s="97"/>
      <c r="J98" s="102"/>
      <c r="K98" s="102"/>
      <c r="L98" s="102"/>
      <c r="M98" s="102"/>
      <c r="N98" s="102"/>
      <c r="O98" s="102"/>
      <c r="P98" s="102"/>
      <c r="Q98" s="203"/>
      <c r="R98" s="203"/>
      <c r="S98" s="203"/>
      <c r="T98" s="203"/>
      <c r="U98" s="203"/>
      <c r="V98" s="203"/>
      <c r="W98" s="206" t="e">
        <f>VLOOKUP($F98,#REF!,16,1)</f>
        <v>#REF!</v>
      </c>
      <c r="X98" s="206" t="e">
        <f t="shared" si="6"/>
        <v>#REF!</v>
      </c>
      <c r="Y98" s="206">
        <v>2</v>
      </c>
      <c r="Z98" s="206" t="e">
        <f>VLOOKUP($F98,#REF!,17,1)</f>
        <v>#REF!</v>
      </c>
      <c r="AA98" s="206" t="e">
        <f t="shared" si="7"/>
        <v>#REF!</v>
      </c>
      <c r="AB98" s="206">
        <v>1</v>
      </c>
      <c r="AC98" s="206" t="e">
        <f>VLOOKUP($F98,#REF!,21,1)</f>
        <v>#REF!</v>
      </c>
      <c r="AD98" s="206" t="e">
        <f>VLOOKUP($F98,#REF!,33,1)</f>
        <v>#REF!</v>
      </c>
      <c r="AE98" s="206" t="e">
        <f t="shared" si="4"/>
        <v>#REF!</v>
      </c>
      <c r="AF98" s="206">
        <v>1</v>
      </c>
      <c r="AG98" s="206" t="e">
        <f>VLOOKUP($F98,#REF!,35,1)</f>
        <v>#REF!</v>
      </c>
      <c r="AH98" s="206" t="e">
        <f t="shared" si="5"/>
        <v>#REF!</v>
      </c>
      <c r="AI98" s="206">
        <v>1</v>
      </c>
      <c r="AJ98" s="206" t="e">
        <f>VLOOKUP($F98,#REF!,37,1)</f>
        <v>#REF!</v>
      </c>
    </row>
    <row r="99" spans="1:36" s="100" customFormat="1" ht="22.5">
      <c r="A99" s="102"/>
      <c r="B99" s="97"/>
      <c r="C99" s="110" t="s">
        <v>1914</v>
      </c>
      <c r="D99" s="98" t="s">
        <v>2237</v>
      </c>
      <c r="E99" s="98" t="s">
        <v>2154</v>
      </c>
      <c r="F99" s="120" t="s">
        <v>2120</v>
      </c>
      <c r="G99" s="97" t="s">
        <v>1930</v>
      </c>
      <c r="H99" s="97"/>
      <c r="I99" s="97"/>
      <c r="J99" s="121"/>
      <c r="K99" s="121"/>
      <c r="L99" s="121"/>
      <c r="M99" s="121"/>
      <c r="N99" s="121"/>
      <c r="O99" s="121"/>
      <c r="P99" s="200"/>
      <c r="Q99" s="203"/>
      <c r="R99" s="203"/>
      <c r="S99" s="203"/>
      <c r="T99" s="203"/>
      <c r="U99" s="203"/>
      <c r="V99" s="203"/>
      <c r="W99" s="206"/>
      <c r="X99" s="206">
        <f t="shared" si="6"/>
        <v>1</v>
      </c>
      <c r="Y99" s="206">
        <v>1</v>
      </c>
      <c r="Z99" s="206"/>
      <c r="AA99" s="206">
        <f t="shared" si="7"/>
        <v>1</v>
      </c>
      <c r="AB99" s="206">
        <v>1</v>
      </c>
      <c r="AC99" s="206"/>
      <c r="AD99" s="206"/>
      <c r="AE99" s="206">
        <f t="shared" si="4"/>
        <v>1</v>
      </c>
      <c r="AF99" s="206">
        <v>1</v>
      </c>
      <c r="AG99" s="206"/>
      <c r="AH99" s="206">
        <f t="shared" si="5"/>
        <v>1</v>
      </c>
      <c r="AI99" s="206">
        <v>1</v>
      </c>
      <c r="AJ99" s="206"/>
    </row>
    <row r="100" spans="1:36" s="100" customFormat="1" ht="22.5">
      <c r="A100" s="102"/>
      <c r="B100" s="97"/>
      <c r="C100" s="110" t="s">
        <v>1914</v>
      </c>
      <c r="D100" s="98" t="s">
        <v>2237</v>
      </c>
      <c r="E100" s="98" t="s">
        <v>2154</v>
      </c>
      <c r="F100" s="120" t="s">
        <v>2023</v>
      </c>
      <c r="G100" s="97" t="s">
        <v>1929</v>
      </c>
      <c r="H100" s="97"/>
      <c r="I100" s="97"/>
      <c r="J100" s="102"/>
      <c r="K100" s="102"/>
      <c r="L100" s="102"/>
      <c r="M100" s="102"/>
      <c r="N100" s="102"/>
      <c r="O100" s="102"/>
      <c r="P100" s="102"/>
      <c r="Q100" s="203"/>
      <c r="R100" s="203"/>
      <c r="S100" s="203"/>
      <c r="T100" s="203"/>
      <c r="U100" s="203"/>
      <c r="V100" s="203"/>
      <c r="W100" s="206" t="e">
        <f>VLOOKUP($F100,#REF!,16,1)</f>
        <v>#REF!</v>
      </c>
      <c r="X100" s="206" t="e">
        <f t="shared" si="6"/>
        <v>#REF!</v>
      </c>
      <c r="Y100" s="206">
        <v>2</v>
      </c>
      <c r="Z100" s="206" t="e">
        <f>VLOOKUP($F100,#REF!,17,1)</f>
        <v>#REF!</v>
      </c>
      <c r="AA100" s="206" t="e">
        <f t="shared" si="7"/>
        <v>#REF!</v>
      </c>
      <c r="AB100" s="206">
        <v>2</v>
      </c>
      <c r="AC100" s="206" t="e">
        <f>VLOOKUP($F100,#REF!,21,1)</f>
        <v>#REF!</v>
      </c>
      <c r="AD100" s="206" t="e">
        <f>VLOOKUP($F100,#REF!,33,1)</f>
        <v>#REF!</v>
      </c>
      <c r="AE100" s="206" t="e">
        <f t="shared" si="4"/>
        <v>#REF!</v>
      </c>
      <c r="AF100" s="206">
        <v>1</v>
      </c>
      <c r="AG100" s="206" t="e">
        <f>VLOOKUP($F100,#REF!,35,1)</f>
        <v>#REF!</v>
      </c>
      <c r="AH100" s="206" t="e">
        <f t="shared" si="5"/>
        <v>#REF!</v>
      </c>
      <c r="AI100" s="206">
        <v>1</v>
      </c>
      <c r="AJ100" s="206" t="e">
        <f>VLOOKUP($F100,#REF!,37,1)</f>
        <v>#REF!</v>
      </c>
    </row>
    <row r="101" spans="1:36" s="100" customFormat="1" ht="22.5">
      <c r="A101" s="102"/>
      <c r="B101" s="97"/>
      <c r="C101" s="110" t="s">
        <v>1914</v>
      </c>
      <c r="D101" s="98" t="s">
        <v>2237</v>
      </c>
      <c r="E101" s="98" t="s">
        <v>2154</v>
      </c>
      <c r="F101" s="120" t="s">
        <v>2024</v>
      </c>
      <c r="G101" s="97" t="s">
        <v>1929</v>
      </c>
      <c r="H101" s="97"/>
      <c r="I101" s="97"/>
      <c r="J101" s="102"/>
      <c r="K101" s="102"/>
      <c r="L101" s="102"/>
      <c r="M101" s="102"/>
      <c r="N101" s="102"/>
      <c r="O101" s="102"/>
      <c r="P101" s="102"/>
      <c r="Q101" s="203"/>
      <c r="R101" s="203"/>
      <c r="S101" s="203"/>
      <c r="T101" s="203"/>
      <c r="U101" s="203"/>
      <c r="V101" s="203"/>
      <c r="W101" s="206" t="e">
        <f>VLOOKUP($F101,#REF!,16,1)</f>
        <v>#REF!</v>
      </c>
      <c r="X101" s="206" t="e">
        <f t="shared" si="6"/>
        <v>#REF!</v>
      </c>
      <c r="Y101" s="206">
        <v>2</v>
      </c>
      <c r="Z101" s="206" t="e">
        <f>VLOOKUP($F101,#REF!,17,1)</f>
        <v>#REF!</v>
      </c>
      <c r="AA101" s="206" t="e">
        <f t="shared" si="7"/>
        <v>#REF!</v>
      </c>
      <c r="AB101" s="206">
        <v>2</v>
      </c>
      <c r="AC101" s="206" t="e">
        <f>VLOOKUP($F101,#REF!,21,1)</f>
        <v>#REF!</v>
      </c>
      <c r="AD101" s="206" t="e">
        <f>VLOOKUP($F101,#REF!,33,1)</f>
        <v>#REF!</v>
      </c>
      <c r="AE101" s="206" t="e">
        <f t="shared" si="4"/>
        <v>#REF!</v>
      </c>
      <c r="AF101" s="206">
        <v>1</v>
      </c>
      <c r="AG101" s="206" t="e">
        <f>VLOOKUP($F101,#REF!,35,1)</f>
        <v>#REF!</v>
      </c>
      <c r="AH101" s="206" t="e">
        <f t="shared" si="5"/>
        <v>#REF!</v>
      </c>
      <c r="AI101" s="206">
        <v>2</v>
      </c>
      <c r="AJ101" s="206" t="e">
        <f>VLOOKUP($F101,#REF!,37,1)</f>
        <v>#REF!</v>
      </c>
    </row>
    <row r="102" spans="1:36" s="100" customFormat="1" ht="22.5">
      <c r="A102" s="102"/>
      <c r="B102" s="97"/>
      <c r="C102" s="110" t="s">
        <v>1914</v>
      </c>
      <c r="D102" s="98" t="s">
        <v>2237</v>
      </c>
      <c r="E102" s="98" t="s">
        <v>2154</v>
      </c>
      <c r="F102" s="120" t="s">
        <v>2026</v>
      </c>
      <c r="G102" s="97" t="s">
        <v>1929</v>
      </c>
      <c r="H102" s="97"/>
      <c r="I102" s="97"/>
      <c r="J102" s="102"/>
      <c r="K102" s="102"/>
      <c r="L102" s="102"/>
      <c r="M102" s="102"/>
      <c r="N102" s="102"/>
      <c r="O102" s="102"/>
      <c r="P102" s="102"/>
      <c r="Q102" s="203"/>
      <c r="R102" s="203"/>
      <c r="S102" s="203"/>
      <c r="T102" s="203"/>
      <c r="U102" s="203"/>
      <c r="V102" s="203"/>
      <c r="W102" s="206" t="e">
        <f>VLOOKUP($F102,#REF!,16,1)</f>
        <v>#REF!</v>
      </c>
      <c r="X102" s="206" t="e">
        <f t="shared" si="6"/>
        <v>#REF!</v>
      </c>
      <c r="Y102" s="206">
        <v>2</v>
      </c>
      <c r="Z102" s="206" t="e">
        <f>VLOOKUP($F102,#REF!,17,1)</f>
        <v>#REF!</v>
      </c>
      <c r="AA102" s="206" t="e">
        <f t="shared" si="7"/>
        <v>#REF!</v>
      </c>
      <c r="AB102" s="206">
        <v>2</v>
      </c>
      <c r="AC102" s="206" t="e">
        <f>VLOOKUP($F102,#REF!,21,1)</f>
        <v>#REF!</v>
      </c>
      <c r="AD102" s="206" t="e">
        <f>VLOOKUP($F102,#REF!,33,1)</f>
        <v>#REF!</v>
      </c>
      <c r="AE102" s="206" t="e">
        <f t="shared" si="4"/>
        <v>#REF!</v>
      </c>
      <c r="AF102" s="206">
        <v>1</v>
      </c>
      <c r="AG102" s="206" t="e">
        <f>VLOOKUP($F102,#REF!,35,1)</f>
        <v>#REF!</v>
      </c>
      <c r="AH102" s="206" t="e">
        <f t="shared" si="5"/>
        <v>#REF!</v>
      </c>
      <c r="AI102" s="206">
        <v>1</v>
      </c>
      <c r="AJ102" s="206" t="e">
        <f>VLOOKUP($F102,#REF!,37,1)</f>
        <v>#REF!</v>
      </c>
    </row>
    <row r="103" spans="1:36" s="100" customFormat="1" ht="22.5">
      <c r="A103" s="102"/>
      <c r="B103" s="97"/>
      <c r="C103" s="110" t="s">
        <v>1914</v>
      </c>
      <c r="D103" s="98" t="s">
        <v>2237</v>
      </c>
      <c r="E103" s="98" t="s">
        <v>2154</v>
      </c>
      <c r="F103" s="120" t="s">
        <v>2025</v>
      </c>
      <c r="G103" s="97" t="s">
        <v>1929</v>
      </c>
      <c r="H103" s="97"/>
      <c r="I103" s="97"/>
      <c r="J103" s="102"/>
      <c r="K103" s="102"/>
      <c r="L103" s="102"/>
      <c r="M103" s="102"/>
      <c r="N103" s="102"/>
      <c r="O103" s="102"/>
      <c r="P103" s="102"/>
      <c r="Q103" s="203"/>
      <c r="R103" s="203"/>
      <c r="S103" s="203"/>
      <c r="T103" s="203"/>
      <c r="U103" s="203"/>
      <c r="V103" s="203"/>
      <c r="W103" s="206" t="e">
        <f>VLOOKUP($F103,#REF!,16,1)</f>
        <v>#REF!</v>
      </c>
      <c r="X103" s="206" t="e">
        <f t="shared" si="6"/>
        <v>#REF!</v>
      </c>
      <c r="Y103" s="206">
        <v>3</v>
      </c>
      <c r="Z103" s="206" t="e">
        <f>VLOOKUP($F103,#REF!,17,1)</f>
        <v>#REF!</v>
      </c>
      <c r="AA103" s="206" t="e">
        <f t="shared" si="7"/>
        <v>#REF!</v>
      </c>
      <c r="AB103" s="206">
        <v>2</v>
      </c>
      <c r="AC103" s="206" t="e">
        <f>VLOOKUP($F103,#REF!,21,1)</f>
        <v>#REF!</v>
      </c>
      <c r="AD103" s="206" t="e">
        <f>VLOOKUP($F103,#REF!,33,1)</f>
        <v>#REF!</v>
      </c>
      <c r="AE103" s="206" t="e">
        <f t="shared" si="4"/>
        <v>#REF!</v>
      </c>
      <c r="AF103" s="206">
        <v>2</v>
      </c>
      <c r="AG103" s="206" t="e">
        <f>VLOOKUP($F103,#REF!,35,1)</f>
        <v>#REF!</v>
      </c>
      <c r="AH103" s="206" t="e">
        <f t="shared" si="5"/>
        <v>#REF!</v>
      </c>
      <c r="AI103" s="206">
        <v>2</v>
      </c>
      <c r="AJ103" s="206" t="e">
        <f>VLOOKUP($F103,#REF!,37,1)</f>
        <v>#REF!</v>
      </c>
    </row>
    <row r="104" spans="1:36" s="100" customFormat="1" ht="22.5">
      <c r="A104" s="102"/>
      <c r="B104" s="97"/>
      <c r="C104" s="110" t="s">
        <v>1914</v>
      </c>
      <c r="D104" s="98" t="s">
        <v>2237</v>
      </c>
      <c r="E104" s="98" t="s">
        <v>2154</v>
      </c>
      <c r="F104" s="124"/>
      <c r="G104" s="97"/>
      <c r="H104" s="97"/>
      <c r="I104" s="97"/>
      <c r="P104" s="102"/>
      <c r="Q104" s="203"/>
      <c r="R104" s="203"/>
      <c r="S104" s="203"/>
      <c r="T104" s="203"/>
      <c r="U104" s="203"/>
      <c r="V104" s="203"/>
      <c r="W104" s="206" t="e">
        <f>VLOOKUP($F104,#REF!,16,1)</f>
        <v>#REF!</v>
      </c>
      <c r="X104" s="206" t="e">
        <f t="shared" si="6"/>
        <v>#REF!</v>
      </c>
      <c r="Y104" s="206" t="e">
        <v>#N/A</v>
      </c>
      <c r="Z104" s="206" t="e">
        <f>VLOOKUP($F104,#REF!,17,1)</f>
        <v>#REF!</v>
      </c>
      <c r="AA104" s="206" t="e">
        <f t="shared" si="7"/>
        <v>#REF!</v>
      </c>
      <c r="AB104" s="206" t="e">
        <v>#N/A</v>
      </c>
      <c r="AC104" s="206" t="e">
        <f>VLOOKUP($F104,#REF!,21,1)</f>
        <v>#REF!</v>
      </c>
      <c r="AD104" s="206" t="e">
        <f>VLOOKUP($F104,#REF!,33,1)</f>
        <v>#REF!</v>
      </c>
      <c r="AE104" s="206" t="e">
        <f t="shared" si="4"/>
        <v>#REF!</v>
      </c>
      <c r="AF104" s="206" t="e">
        <v>#N/A</v>
      </c>
      <c r="AG104" s="206" t="e">
        <f>VLOOKUP($F104,#REF!,35,1)</f>
        <v>#REF!</v>
      </c>
      <c r="AH104" s="206" t="e">
        <f t="shared" si="5"/>
        <v>#REF!</v>
      </c>
      <c r="AI104" s="206" t="e">
        <v>#N/A</v>
      </c>
      <c r="AJ104" s="206" t="e">
        <f>VLOOKUP($F104,#REF!,37,1)</f>
        <v>#REF!</v>
      </c>
    </row>
    <row r="105" spans="1:36" s="100" customFormat="1" ht="22.5">
      <c r="A105" s="102"/>
      <c r="B105" s="97"/>
      <c r="C105" s="110" t="s">
        <v>1914</v>
      </c>
      <c r="D105" s="98" t="s">
        <v>2237</v>
      </c>
      <c r="E105" s="98" t="s">
        <v>2154</v>
      </c>
      <c r="F105" s="124"/>
      <c r="G105" s="97"/>
      <c r="H105" s="97"/>
      <c r="I105" s="97"/>
      <c r="P105" s="102"/>
      <c r="Q105" s="203"/>
      <c r="R105" s="203"/>
      <c r="S105" s="203"/>
      <c r="T105" s="203"/>
      <c r="U105" s="203"/>
      <c r="V105" s="203"/>
      <c r="W105" s="206" t="e">
        <f>VLOOKUP($F105,#REF!,16,1)</f>
        <v>#REF!</v>
      </c>
      <c r="X105" s="206" t="e">
        <f t="shared" si="6"/>
        <v>#REF!</v>
      </c>
      <c r="Y105" s="206" t="e">
        <v>#N/A</v>
      </c>
      <c r="Z105" s="206" t="e">
        <f>VLOOKUP($F105,#REF!,17,1)</f>
        <v>#REF!</v>
      </c>
      <c r="AA105" s="206" t="e">
        <f t="shared" si="7"/>
        <v>#REF!</v>
      </c>
      <c r="AB105" s="206" t="e">
        <v>#N/A</v>
      </c>
      <c r="AC105" s="206" t="e">
        <f>VLOOKUP($F105,#REF!,21,1)</f>
        <v>#REF!</v>
      </c>
      <c r="AD105" s="206" t="e">
        <f>VLOOKUP($F105,#REF!,33,1)</f>
        <v>#REF!</v>
      </c>
      <c r="AE105" s="206" t="e">
        <f t="shared" si="4"/>
        <v>#REF!</v>
      </c>
      <c r="AF105" s="206" t="e">
        <v>#N/A</v>
      </c>
      <c r="AG105" s="206" t="e">
        <f>VLOOKUP($F105,#REF!,35,1)</f>
        <v>#REF!</v>
      </c>
      <c r="AH105" s="206" t="e">
        <f t="shared" si="5"/>
        <v>#REF!</v>
      </c>
      <c r="AI105" s="206" t="e">
        <v>#N/A</v>
      </c>
      <c r="AJ105" s="206" t="e">
        <f>VLOOKUP($F105,#REF!,37,1)</f>
        <v>#REF!</v>
      </c>
    </row>
    <row r="106" spans="1:36" s="100" customFormat="1" ht="22.5">
      <c r="A106" s="102"/>
      <c r="B106" s="97"/>
      <c r="C106" s="110" t="s">
        <v>1914</v>
      </c>
      <c r="D106" s="98" t="s">
        <v>2237</v>
      </c>
      <c r="E106" s="98" t="s">
        <v>2154</v>
      </c>
      <c r="F106" s="124"/>
      <c r="G106" s="97"/>
      <c r="H106" s="97"/>
      <c r="I106" s="97"/>
      <c r="P106" s="102"/>
      <c r="Q106" s="203"/>
      <c r="R106" s="203"/>
      <c r="S106" s="203"/>
      <c r="T106" s="203"/>
      <c r="U106" s="203"/>
      <c r="V106" s="203"/>
      <c r="W106" s="206" t="e">
        <f>VLOOKUP($F106,#REF!,16,1)</f>
        <v>#REF!</v>
      </c>
      <c r="X106" s="206" t="e">
        <f t="shared" si="6"/>
        <v>#REF!</v>
      </c>
      <c r="Y106" s="206" t="e">
        <v>#N/A</v>
      </c>
      <c r="Z106" s="206" t="e">
        <f>VLOOKUP($F106,#REF!,17,1)</f>
        <v>#REF!</v>
      </c>
      <c r="AA106" s="206" t="e">
        <f t="shared" si="7"/>
        <v>#REF!</v>
      </c>
      <c r="AB106" s="206" t="e">
        <v>#N/A</v>
      </c>
      <c r="AC106" s="206" t="e">
        <f>VLOOKUP($F106,#REF!,21,1)</f>
        <v>#REF!</v>
      </c>
      <c r="AD106" s="206" t="e">
        <f>VLOOKUP($F106,#REF!,33,1)</f>
        <v>#REF!</v>
      </c>
      <c r="AE106" s="206" t="e">
        <f t="shared" si="4"/>
        <v>#REF!</v>
      </c>
      <c r="AF106" s="206" t="e">
        <v>#N/A</v>
      </c>
      <c r="AG106" s="206" t="e">
        <f>VLOOKUP($F106,#REF!,35,1)</f>
        <v>#REF!</v>
      </c>
      <c r="AH106" s="206" t="e">
        <f t="shared" si="5"/>
        <v>#REF!</v>
      </c>
      <c r="AI106" s="206" t="e">
        <v>#N/A</v>
      </c>
      <c r="AJ106" s="206" t="e">
        <f>VLOOKUP($F106,#REF!,37,1)</f>
        <v>#REF!</v>
      </c>
    </row>
    <row r="107" spans="1:36" s="100" customFormat="1" ht="22.5">
      <c r="A107" s="102"/>
      <c r="B107" s="97"/>
      <c r="C107" s="110" t="s">
        <v>1914</v>
      </c>
      <c r="D107" s="98" t="s">
        <v>2237</v>
      </c>
      <c r="E107" s="98" t="s">
        <v>2154</v>
      </c>
      <c r="F107" s="124"/>
      <c r="G107" s="97"/>
      <c r="H107" s="97"/>
      <c r="I107" s="97"/>
      <c r="P107" s="102"/>
      <c r="Q107" s="203"/>
      <c r="R107" s="203"/>
      <c r="S107" s="203"/>
      <c r="T107" s="203"/>
      <c r="U107" s="203"/>
      <c r="V107" s="203"/>
      <c r="W107" s="206" t="e">
        <f>VLOOKUP($F107,#REF!,16,1)</f>
        <v>#REF!</v>
      </c>
      <c r="X107" s="206" t="e">
        <f t="shared" si="6"/>
        <v>#REF!</v>
      </c>
      <c r="Y107" s="206" t="e">
        <v>#N/A</v>
      </c>
      <c r="Z107" s="206" t="e">
        <f>VLOOKUP($F107,#REF!,17,1)</f>
        <v>#REF!</v>
      </c>
      <c r="AA107" s="206" t="e">
        <f t="shared" si="7"/>
        <v>#REF!</v>
      </c>
      <c r="AB107" s="206" t="e">
        <v>#N/A</v>
      </c>
      <c r="AC107" s="206" t="e">
        <f>VLOOKUP($F107,#REF!,21,1)</f>
        <v>#REF!</v>
      </c>
      <c r="AD107" s="206" t="e">
        <f>VLOOKUP($F107,#REF!,33,1)</f>
        <v>#REF!</v>
      </c>
      <c r="AE107" s="206" t="e">
        <f t="shared" si="4"/>
        <v>#REF!</v>
      </c>
      <c r="AF107" s="206" t="e">
        <v>#N/A</v>
      </c>
      <c r="AG107" s="206" t="e">
        <f>VLOOKUP($F107,#REF!,35,1)</f>
        <v>#REF!</v>
      </c>
      <c r="AH107" s="206" t="e">
        <f t="shared" si="5"/>
        <v>#REF!</v>
      </c>
      <c r="AI107" s="206" t="e">
        <v>#N/A</v>
      </c>
      <c r="AJ107" s="206" t="e">
        <f>VLOOKUP($F107,#REF!,37,1)</f>
        <v>#REF!</v>
      </c>
    </row>
    <row r="108" spans="1:36" s="100" customFormat="1" ht="22.5">
      <c r="A108" s="102"/>
      <c r="B108" s="97"/>
      <c r="C108" s="110" t="s">
        <v>1914</v>
      </c>
      <c r="D108" s="98" t="s">
        <v>2237</v>
      </c>
      <c r="E108" s="98" t="s">
        <v>2154</v>
      </c>
      <c r="F108" s="124"/>
      <c r="G108" s="97"/>
      <c r="H108" s="97"/>
      <c r="I108" s="97"/>
      <c r="P108" s="102"/>
      <c r="Q108" s="203"/>
      <c r="R108" s="203"/>
      <c r="S108" s="203"/>
      <c r="T108" s="203"/>
      <c r="U108" s="203"/>
      <c r="V108" s="203"/>
      <c r="W108" s="206" t="e">
        <f>VLOOKUP($F108,#REF!,16,1)</f>
        <v>#REF!</v>
      </c>
      <c r="X108" s="206" t="e">
        <f t="shared" si="6"/>
        <v>#REF!</v>
      </c>
      <c r="Y108" s="206" t="e">
        <v>#N/A</v>
      </c>
      <c r="Z108" s="206" t="e">
        <f>VLOOKUP($F108,#REF!,17,1)</f>
        <v>#REF!</v>
      </c>
      <c r="AA108" s="206" t="e">
        <f t="shared" si="7"/>
        <v>#REF!</v>
      </c>
      <c r="AB108" s="206" t="e">
        <v>#N/A</v>
      </c>
      <c r="AC108" s="206" t="e">
        <f>VLOOKUP($F108,#REF!,21,1)</f>
        <v>#REF!</v>
      </c>
      <c r="AD108" s="206" t="e">
        <f>VLOOKUP($F108,#REF!,33,1)</f>
        <v>#REF!</v>
      </c>
      <c r="AE108" s="206" t="e">
        <f t="shared" si="4"/>
        <v>#REF!</v>
      </c>
      <c r="AF108" s="206" t="e">
        <v>#N/A</v>
      </c>
      <c r="AG108" s="206" t="e">
        <f>VLOOKUP($F108,#REF!,35,1)</f>
        <v>#REF!</v>
      </c>
      <c r="AH108" s="206" t="e">
        <f t="shared" si="5"/>
        <v>#REF!</v>
      </c>
      <c r="AI108" s="206" t="e">
        <v>#N/A</v>
      </c>
      <c r="AJ108" s="206" t="e">
        <f>VLOOKUP($F108,#REF!,37,1)</f>
        <v>#REF!</v>
      </c>
    </row>
    <row r="109" spans="1:36" s="100" customFormat="1" ht="22.5">
      <c r="A109" s="102"/>
      <c r="B109" s="97"/>
      <c r="C109" s="113" t="s">
        <v>1915</v>
      </c>
      <c r="D109" s="98" t="s">
        <v>2238</v>
      </c>
      <c r="E109" s="98" t="s">
        <v>2154</v>
      </c>
      <c r="F109" s="120" t="s">
        <v>1963</v>
      </c>
      <c r="G109" s="97" t="s">
        <v>1929</v>
      </c>
      <c r="H109" s="97"/>
      <c r="I109" s="97"/>
      <c r="J109" s="48" t="s">
        <v>8</v>
      </c>
      <c r="L109" s="48" t="s">
        <v>8</v>
      </c>
      <c r="P109" s="102"/>
      <c r="Q109" s="206" t="s">
        <v>2161</v>
      </c>
      <c r="R109" s="206">
        <f>ROW(F109)</f>
        <v>109</v>
      </c>
      <c r="S109" s="206" t="str">
        <f>CONCATENATE(";","'",D109,"'!","$B$9:$AL$89",";","21",";","1",")")</f>
        <v>;'E INTERINSTITUCIONAL'!$B$9:$AL$89;21;1)</v>
      </c>
      <c r="T109" s="203" t="s">
        <v>2193</v>
      </c>
      <c r="U109" s="206" t="str">
        <f>CONCATENATE("=BUSCARV($E",R109,T109)</f>
        <v>=BUSCARV($E109;'E INTERINSTITUCIONAL'!$B$9:$AL$89;21;1)</v>
      </c>
      <c r="V109" s="206"/>
      <c r="W109" s="206" t="e">
        <f>VLOOKUP($F109,#REF!,16,1)</f>
        <v>#REF!</v>
      </c>
      <c r="X109" s="206" t="e">
        <f t="shared" si="6"/>
        <v>#REF!</v>
      </c>
      <c r="Y109" s="206">
        <v>3</v>
      </c>
      <c r="Z109" s="206" t="e">
        <f>VLOOKUP($F109,#REF!,17,1)</f>
        <v>#REF!</v>
      </c>
      <c r="AA109" s="206" t="e">
        <f t="shared" si="7"/>
        <v>#REF!</v>
      </c>
      <c r="AB109" s="206">
        <v>3</v>
      </c>
      <c r="AC109" s="206" t="e">
        <f>VLOOKUP($F109,#REF!,21,1)</f>
        <v>#REF!</v>
      </c>
      <c r="AD109" s="206" t="e">
        <f>VLOOKUP($F109,#REF!,33,1)</f>
        <v>#REF!</v>
      </c>
      <c r="AE109" s="206" t="e">
        <f t="shared" si="4"/>
        <v>#REF!</v>
      </c>
      <c r="AF109" s="206">
        <v>2</v>
      </c>
      <c r="AG109" s="206" t="e">
        <f>VLOOKUP($F109,#REF!,35,1)</f>
        <v>#REF!</v>
      </c>
      <c r="AH109" s="206" t="e">
        <f t="shared" si="5"/>
        <v>#REF!</v>
      </c>
      <c r="AI109" s="206">
        <v>2</v>
      </c>
      <c r="AJ109" s="206" t="e">
        <f>VLOOKUP($F109,#REF!,37,1)</f>
        <v>#REF!</v>
      </c>
    </row>
    <row r="110" spans="1:36" s="100" customFormat="1" ht="22.5">
      <c r="A110" s="102"/>
      <c r="B110" s="97"/>
      <c r="C110" s="113" t="s">
        <v>1915</v>
      </c>
      <c r="D110" s="98" t="s">
        <v>2238</v>
      </c>
      <c r="E110" s="98" t="s">
        <v>2154</v>
      </c>
      <c r="F110" s="120" t="s">
        <v>1964</v>
      </c>
      <c r="G110" s="97" t="s">
        <v>1929</v>
      </c>
      <c r="H110" s="97"/>
      <c r="I110" s="97"/>
      <c r="J110" s="48" t="s">
        <v>8</v>
      </c>
      <c r="P110" s="102"/>
      <c r="Q110" s="203"/>
      <c r="R110" s="203"/>
      <c r="S110" s="203"/>
      <c r="T110" s="203"/>
      <c r="U110" s="203"/>
      <c r="V110" s="203"/>
      <c r="W110" s="206" t="e">
        <f>VLOOKUP($F110,#REF!,16,1)</f>
        <v>#REF!</v>
      </c>
      <c r="X110" s="206" t="e">
        <f t="shared" si="6"/>
        <v>#REF!</v>
      </c>
      <c r="Y110" s="206">
        <v>3</v>
      </c>
      <c r="Z110" s="206" t="e">
        <f>VLOOKUP($F110,#REF!,17,1)</f>
        <v>#REF!</v>
      </c>
      <c r="AA110" s="206" t="e">
        <f t="shared" si="7"/>
        <v>#REF!</v>
      </c>
      <c r="AB110" s="206">
        <v>2</v>
      </c>
      <c r="AC110" s="206" t="e">
        <f>VLOOKUP($F110,#REF!,21,1)</f>
        <v>#REF!</v>
      </c>
      <c r="AD110" s="206" t="e">
        <f>VLOOKUP($F110,#REF!,33,1)</f>
        <v>#REF!</v>
      </c>
      <c r="AE110" s="206" t="e">
        <f t="shared" si="4"/>
        <v>#REF!</v>
      </c>
      <c r="AF110" s="206">
        <v>2</v>
      </c>
      <c r="AG110" s="206" t="e">
        <f>VLOOKUP($F110,#REF!,35,1)</f>
        <v>#REF!</v>
      </c>
      <c r="AH110" s="206" t="e">
        <f t="shared" si="5"/>
        <v>#REF!</v>
      </c>
      <c r="AI110" s="206">
        <v>1</v>
      </c>
      <c r="AJ110" s="206" t="e">
        <f>VLOOKUP($F110,#REF!,37,1)</f>
        <v>#REF!</v>
      </c>
    </row>
    <row r="111" spans="1:36" ht="26.25" customHeight="1">
      <c r="C111" s="113" t="s">
        <v>1915</v>
      </c>
      <c r="D111" s="98" t="s">
        <v>2238</v>
      </c>
      <c r="E111" s="98" t="s">
        <v>2154</v>
      </c>
      <c r="F111" s="120" t="s">
        <v>1965</v>
      </c>
      <c r="G111" s="97" t="s">
        <v>1929</v>
      </c>
      <c r="J111" s="48" t="s">
        <v>8</v>
      </c>
      <c r="L111" s="48" t="s">
        <v>8</v>
      </c>
      <c r="Q111" s="203"/>
      <c r="R111" s="203"/>
      <c r="S111" s="203"/>
      <c r="T111" s="203"/>
      <c r="U111" s="203"/>
      <c r="V111" s="203"/>
      <c r="W111" s="206" t="e">
        <f>VLOOKUP($F111,#REF!,16,1)</f>
        <v>#REF!</v>
      </c>
      <c r="X111" s="206" t="e">
        <f t="shared" si="6"/>
        <v>#REF!</v>
      </c>
      <c r="Y111" s="206">
        <v>4</v>
      </c>
      <c r="Z111" s="206" t="e">
        <f>VLOOKUP($F111,#REF!,17,1)</f>
        <v>#REF!</v>
      </c>
      <c r="AA111" s="206" t="e">
        <f t="shared" si="7"/>
        <v>#REF!</v>
      </c>
      <c r="AB111" s="206">
        <v>2</v>
      </c>
      <c r="AC111" s="206" t="e">
        <f>VLOOKUP($F111,#REF!,21,1)</f>
        <v>#REF!</v>
      </c>
      <c r="AD111" s="206" t="e">
        <f>VLOOKUP($F111,#REF!,33,1)</f>
        <v>#REF!</v>
      </c>
      <c r="AE111" s="206" t="e">
        <f t="shared" si="4"/>
        <v>#REF!</v>
      </c>
      <c r="AF111" s="206">
        <v>3</v>
      </c>
      <c r="AG111" s="206" t="e">
        <f>VLOOKUP($F111,#REF!,35,1)</f>
        <v>#REF!</v>
      </c>
      <c r="AH111" s="206" t="e">
        <f t="shared" si="5"/>
        <v>#REF!</v>
      </c>
      <c r="AI111" s="206">
        <v>1</v>
      </c>
      <c r="AJ111" s="206" t="e">
        <f>VLOOKUP($F111,#REF!,37,1)</f>
        <v>#REF!</v>
      </c>
    </row>
    <row r="112" spans="1:36" ht="22.5">
      <c r="C112" s="113" t="s">
        <v>1915</v>
      </c>
      <c r="D112" s="98" t="s">
        <v>2238</v>
      </c>
      <c r="E112" s="98" t="s">
        <v>2154</v>
      </c>
      <c r="F112" s="124"/>
      <c r="Q112" s="203"/>
      <c r="R112" s="203"/>
      <c r="S112" s="203"/>
      <c r="T112" s="203"/>
      <c r="U112" s="203"/>
      <c r="V112" s="203"/>
      <c r="W112" s="206" t="e">
        <f>VLOOKUP($F112,#REF!,16,1)</f>
        <v>#REF!</v>
      </c>
      <c r="X112" s="206" t="e">
        <f t="shared" si="6"/>
        <v>#REF!</v>
      </c>
      <c r="Y112" s="206" t="e">
        <v>#N/A</v>
      </c>
      <c r="Z112" s="206" t="e">
        <f>VLOOKUP($F112,#REF!,17,1)</f>
        <v>#REF!</v>
      </c>
      <c r="AA112" s="206" t="e">
        <f t="shared" si="7"/>
        <v>#REF!</v>
      </c>
      <c r="AB112" s="206" t="e">
        <v>#N/A</v>
      </c>
      <c r="AC112" s="206" t="e">
        <f>VLOOKUP($F112,#REF!,21,1)</f>
        <v>#REF!</v>
      </c>
      <c r="AD112" s="206" t="e">
        <f>VLOOKUP($F112,#REF!,33,1)</f>
        <v>#REF!</v>
      </c>
      <c r="AE112" s="206" t="e">
        <f t="shared" si="4"/>
        <v>#REF!</v>
      </c>
      <c r="AF112" s="206" t="e">
        <v>#N/A</v>
      </c>
      <c r="AG112" s="206" t="e">
        <f>VLOOKUP($F112,#REF!,35,1)</f>
        <v>#REF!</v>
      </c>
      <c r="AH112" s="206" t="e">
        <f t="shared" si="5"/>
        <v>#REF!</v>
      </c>
      <c r="AI112" s="206" t="e">
        <v>#N/A</v>
      </c>
      <c r="AJ112" s="206" t="e">
        <f>VLOOKUP($F112,#REF!,37,1)</f>
        <v>#REF!</v>
      </c>
    </row>
    <row r="113" spans="2:36" ht="22.5">
      <c r="C113" s="113" t="s">
        <v>1915</v>
      </c>
      <c r="D113" s="98" t="s">
        <v>2238</v>
      </c>
      <c r="E113" s="98" t="s">
        <v>2154</v>
      </c>
      <c r="F113" s="124"/>
      <c r="Q113" s="203"/>
      <c r="R113" s="203"/>
      <c r="S113" s="203"/>
      <c r="T113" s="203"/>
      <c r="U113" s="203"/>
      <c r="V113" s="203"/>
      <c r="W113" s="206" t="e">
        <f>VLOOKUP($F113,#REF!,16,1)</f>
        <v>#REF!</v>
      </c>
      <c r="X113" s="206" t="e">
        <f t="shared" si="6"/>
        <v>#REF!</v>
      </c>
      <c r="Y113" s="206" t="e">
        <v>#N/A</v>
      </c>
      <c r="Z113" s="206" t="e">
        <f>VLOOKUP($F113,#REF!,17,1)</f>
        <v>#REF!</v>
      </c>
      <c r="AA113" s="206" t="e">
        <f t="shared" si="7"/>
        <v>#REF!</v>
      </c>
      <c r="AB113" s="206" t="e">
        <v>#N/A</v>
      </c>
      <c r="AC113" s="206" t="e">
        <f>VLOOKUP($F113,#REF!,21,1)</f>
        <v>#REF!</v>
      </c>
      <c r="AD113" s="206" t="e">
        <f>VLOOKUP($F113,#REF!,33,1)</f>
        <v>#REF!</v>
      </c>
      <c r="AE113" s="206" t="e">
        <f t="shared" si="4"/>
        <v>#REF!</v>
      </c>
      <c r="AF113" s="206" t="e">
        <v>#N/A</v>
      </c>
      <c r="AG113" s="206" t="e">
        <f>VLOOKUP($F113,#REF!,35,1)</f>
        <v>#REF!</v>
      </c>
      <c r="AH113" s="206" t="e">
        <f t="shared" si="5"/>
        <v>#REF!</v>
      </c>
      <c r="AI113" s="206" t="e">
        <v>#N/A</v>
      </c>
      <c r="AJ113" s="206" t="e">
        <f>VLOOKUP($F113,#REF!,37,1)</f>
        <v>#REF!</v>
      </c>
    </row>
    <row r="114" spans="2:36" ht="22.5">
      <c r="C114" s="113" t="s">
        <v>1915</v>
      </c>
      <c r="D114" s="98" t="s">
        <v>2238</v>
      </c>
      <c r="E114" s="98" t="s">
        <v>2154</v>
      </c>
      <c r="F114" s="124"/>
      <c r="Q114" s="203"/>
      <c r="R114" s="203"/>
      <c r="S114" s="203"/>
      <c r="T114" s="203"/>
      <c r="U114" s="203"/>
      <c r="V114" s="203"/>
      <c r="W114" s="206" t="e">
        <f>VLOOKUP($F114,#REF!,16,1)</f>
        <v>#REF!</v>
      </c>
      <c r="X114" s="206" t="e">
        <f t="shared" si="6"/>
        <v>#REF!</v>
      </c>
      <c r="Y114" s="206" t="e">
        <v>#N/A</v>
      </c>
      <c r="Z114" s="206" t="e">
        <f>VLOOKUP($F114,#REF!,17,1)</f>
        <v>#REF!</v>
      </c>
      <c r="AA114" s="206" t="e">
        <f t="shared" si="7"/>
        <v>#REF!</v>
      </c>
      <c r="AB114" s="206" t="e">
        <v>#N/A</v>
      </c>
      <c r="AC114" s="206" t="e">
        <f>VLOOKUP($F114,#REF!,21,1)</f>
        <v>#REF!</v>
      </c>
      <c r="AD114" s="206" t="e">
        <f>VLOOKUP($F114,#REF!,33,1)</f>
        <v>#REF!</v>
      </c>
      <c r="AE114" s="206" t="e">
        <f t="shared" si="4"/>
        <v>#REF!</v>
      </c>
      <c r="AF114" s="206" t="e">
        <v>#N/A</v>
      </c>
      <c r="AG114" s="206" t="e">
        <f>VLOOKUP($F114,#REF!,35,1)</f>
        <v>#REF!</v>
      </c>
      <c r="AH114" s="206" t="e">
        <f t="shared" si="5"/>
        <v>#REF!</v>
      </c>
      <c r="AI114" s="206" t="e">
        <v>#N/A</v>
      </c>
      <c r="AJ114" s="206" t="e">
        <f>VLOOKUP($F114,#REF!,37,1)</f>
        <v>#REF!</v>
      </c>
    </row>
    <row r="115" spans="2:36" s="102" customFormat="1" ht="22.5">
      <c r="B115" s="97"/>
      <c r="C115" s="113" t="s">
        <v>1915</v>
      </c>
      <c r="D115" s="98" t="s">
        <v>2238</v>
      </c>
      <c r="E115" s="98" t="s">
        <v>2154</v>
      </c>
      <c r="F115" s="124"/>
      <c r="G115" s="97"/>
      <c r="H115" s="97"/>
      <c r="I115" s="97"/>
      <c r="Q115" s="203"/>
      <c r="R115" s="203"/>
      <c r="S115" s="203"/>
      <c r="T115" s="203"/>
      <c r="U115" s="203"/>
      <c r="V115" s="203"/>
      <c r="W115" s="206" t="e">
        <f>VLOOKUP($F115,#REF!,16,1)</f>
        <v>#REF!</v>
      </c>
      <c r="X115" s="206" t="e">
        <f t="shared" si="6"/>
        <v>#REF!</v>
      </c>
      <c r="Y115" s="206" t="e">
        <v>#N/A</v>
      </c>
      <c r="Z115" s="206" t="e">
        <f>VLOOKUP($F115,#REF!,17,1)</f>
        <v>#REF!</v>
      </c>
      <c r="AA115" s="206" t="e">
        <f t="shared" si="7"/>
        <v>#REF!</v>
      </c>
      <c r="AB115" s="206" t="e">
        <v>#N/A</v>
      </c>
      <c r="AC115" s="206" t="e">
        <f>VLOOKUP($F115,#REF!,21,1)</f>
        <v>#REF!</v>
      </c>
      <c r="AD115" s="206" t="e">
        <f>VLOOKUP($F115,#REF!,33,1)</f>
        <v>#REF!</v>
      </c>
      <c r="AE115" s="206" t="e">
        <f t="shared" si="4"/>
        <v>#REF!</v>
      </c>
      <c r="AF115" s="206" t="e">
        <v>#N/A</v>
      </c>
      <c r="AG115" s="206" t="e">
        <f>VLOOKUP($F115,#REF!,35,1)</f>
        <v>#REF!</v>
      </c>
      <c r="AH115" s="206" t="e">
        <f t="shared" si="5"/>
        <v>#REF!</v>
      </c>
      <c r="AI115" s="206" t="e">
        <v>#N/A</v>
      </c>
      <c r="AJ115" s="206" t="e">
        <f>VLOOKUP($F115,#REF!,37,1)</f>
        <v>#REF!</v>
      </c>
    </row>
    <row r="116" spans="2:36" s="102" customFormat="1" ht="22.5">
      <c r="B116" s="97"/>
      <c r="C116" s="113" t="s">
        <v>1915</v>
      </c>
      <c r="D116" s="98" t="s">
        <v>2238</v>
      </c>
      <c r="E116" s="98" t="s">
        <v>2154</v>
      </c>
      <c r="F116" s="124"/>
      <c r="G116" s="97"/>
      <c r="H116" s="97"/>
      <c r="I116" s="97"/>
      <c r="Q116" s="203"/>
      <c r="R116" s="203"/>
      <c r="S116" s="203"/>
      <c r="T116" s="203"/>
      <c r="U116" s="203"/>
      <c r="V116" s="203"/>
      <c r="W116" s="206" t="e">
        <f>VLOOKUP($F116,#REF!,16,1)</f>
        <v>#REF!</v>
      </c>
      <c r="X116" s="206" t="e">
        <f t="shared" si="6"/>
        <v>#REF!</v>
      </c>
      <c r="Y116" s="206" t="e">
        <v>#N/A</v>
      </c>
      <c r="Z116" s="206" t="e">
        <f>VLOOKUP($F116,#REF!,17,1)</f>
        <v>#REF!</v>
      </c>
      <c r="AA116" s="206" t="e">
        <f t="shared" si="7"/>
        <v>#REF!</v>
      </c>
      <c r="AB116" s="206" t="e">
        <v>#N/A</v>
      </c>
      <c r="AC116" s="206" t="e">
        <f>VLOOKUP($F116,#REF!,21,1)</f>
        <v>#REF!</v>
      </c>
      <c r="AD116" s="206" t="e">
        <f>VLOOKUP($F116,#REF!,33,1)</f>
        <v>#REF!</v>
      </c>
      <c r="AE116" s="206" t="e">
        <f t="shared" si="4"/>
        <v>#REF!</v>
      </c>
      <c r="AF116" s="206" t="e">
        <v>#N/A</v>
      </c>
      <c r="AG116" s="206" t="e">
        <f>VLOOKUP($F116,#REF!,35,1)</f>
        <v>#REF!</v>
      </c>
      <c r="AH116" s="206" t="e">
        <f t="shared" si="5"/>
        <v>#REF!</v>
      </c>
      <c r="AI116" s="206" t="e">
        <v>#N/A</v>
      </c>
      <c r="AJ116" s="206" t="e">
        <f>VLOOKUP($F116,#REF!,37,1)</f>
        <v>#REF!</v>
      </c>
    </row>
    <row r="117" spans="2:36" s="102" customFormat="1" ht="22.5">
      <c r="B117" s="97"/>
      <c r="C117" s="113" t="s">
        <v>1915</v>
      </c>
      <c r="D117" s="98" t="s">
        <v>2238</v>
      </c>
      <c r="E117" s="98" t="s">
        <v>2154</v>
      </c>
      <c r="F117" s="124"/>
      <c r="G117" s="97"/>
      <c r="H117" s="97"/>
      <c r="I117" s="97"/>
      <c r="Q117" s="203"/>
      <c r="R117" s="203"/>
      <c r="S117" s="203"/>
      <c r="T117" s="203"/>
      <c r="U117" s="203"/>
      <c r="V117" s="203"/>
      <c r="W117" s="206" t="e">
        <f>VLOOKUP($F117,#REF!,16,1)</f>
        <v>#REF!</v>
      </c>
      <c r="X117" s="206" t="e">
        <f t="shared" si="6"/>
        <v>#REF!</v>
      </c>
      <c r="Y117" s="206" t="e">
        <v>#N/A</v>
      </c>
      <c r="Z117" s="206" t="e">
        <f>VLOOKUP($F117,#REF!,17,1)</f>
        <v>#REF!</v>
      </c>
      <c r="AA117" s="206" t="e">
        <f t="shared" si="7"/>
        <v>#REF!</v>
      </c>
      <c r="AB117" s="206" t="e">
        <v>#N/A</v>
      </c>
      <c r="AC117" s="206" t="e">
        <f>VLOOKUP($F117,#REF!,21,1)</f>
        <v>#REF!</v>
      </c>
      <c r="AD117" s="206" t="e">
        <f>VLOOKUP($F117,#REF!,33,1)</f>
        <v>#REF!</v>
      </c>
      <c r="AE117" s="206" t="e">
        <f t="shared" si="4"/>
        <v>#REF!</v>
      </c>
      <c r="AF117" s="206" t="e">
        <v>#N/A</v>
      </c>
      <c r="AG117" s="206" t="e">
        <f>VLOOKUP($F117,#REF!,35,1)</f>
        <v>#REF!</v>
      </c>
      <c r="AH117" s="206" t="e">
        <f t="shared" si="5"/>
        <v>#REF!</v>
      </c>
      <c r="AI117" s="206" t="e">
        <v>#N/A</v>
      </c>
      <c r="AJ117" s="206" t="e">
        <f>VLOOKUP($F117,#REF!,37,1)</f>
        <v>#REF!</v>
      </c>
    </row>
    <row r="118" spans="2:36" ht="22.5">
      <c r="C118" s="113" t="s">
        <v>1915</v>
      </c>
      <c r="D118" s="98" t="s">
        <v>2238</v>
      </c>
      <c r="E118" s="98" t="s">
        <v>2154</v>
      </c>
      <c r="F118" s="124"/>
      <c r="Q118" s="203"/>
      <c r="R118" s="203"/>
      <c r="S118" s="203"/>
      <c r="T118" s="203"/>
      <c r="U118" s="203"/>
      <c r="V118" s="203"/>
      <c r="W118" s="206" t="e">
        <f>VLOOKUP($F118,#REF!,16,1)</f>
        <v>#REF!</v>
      </c>
      <c r="X118" s="206" t="e">
        <f t="shared" si="6"/>
        <v>#REF!</v>
      </c>
      <c r="Y118" s="206" t="e">
        <v>#N/A</v>
      </c>
      <c r="Z118" s="206" t="e">
        <f>VLOOKUP($F118,#REF!,17,1)</f>
        <v>#REF!</v>
      </c>
      <c r="AA118" s="206" t="e">
        <f t="shared" si="7"/>
        <v>#REF!</v>
      </c>
      <c r="AB118" s="206" t="e">
        <v>#N/A</v>
      </c>
      <c r="AC118" s="206" t="e">
        <f>VLOOKUP($F118,#REF!,21,1)</f>
        <v>#REF!</v>
      </c>
      <c r="AD118" s="206" t="e">
        <f>VLOOKUP($F118,#REF!,33,1)</f>
        <v>#REF!</v>
      </c>
      <c r="AE118" s="206" t="e">
        <f t="shared" si="4"/>
        <v>#REF!</v>
      </c>
      <c r="AF118" s="206" t="e">
        <v>#N/A</v>
      </c>
      <c r="AG118" s="206" t="e">
        <f>VLOOKUP($F118,#REF!,35,1)</f>
        <v>#REF!</v>
      </c>
      <c r="AH118" s="206" t="e">
        <f t="shared" si="5"/>
        <v>#REF!</v>
      </c>
      <c r="AI118" s="206" t="e">
        <v>#N/A</v>
      </c>
      <c r="AJ118" s="206" t="e">
        <f>VLOOKUP($F118,#REF!,37,1)</f>
        <v>#REF!</v>
      </c>
    </row>
    <row r="119" spans="2:36" ht="22.5">
      <c r="C119" s="113" t="s">
        <v>1915</v>
      </c>
      <c r="D119" s="98" t="s">
        <v>2238</v>
      </c>
      <c r="E119" s="98" t="s">
        <v>2154</v>
      </c>
      <c r="F119" s="124"/>
      <c r="Q119" s="203"/>
      <c r="R119" s="203"/>
      <c r="S119" s="203"/>
      <c r="T119" s="203"/>
      <c r="U119" s="203"/>
      <c r="V119" s="203"/>
      <c r="W119" s="206" t="e">
        <f>VLOOKUP($F119,#REF!,16,1)</f>
        <v>#REF!</v>
      </c>
      <c r="X119" s="206" t="e">
        <f t="shared" si="6"/>
        <v>#REF!</v>
      </c>
      <c r="Y119" s="206" t="e">
        <v>#N/A</v>
      </c>
      <c r="Z119" s="206" t="e">
        <f>VLOOKUP($F119,#REF!,17,1)</f>
        <v>#REF!</v>
      </c>
      <c r="AA119" s="206" t="e">
        <f t="shared" si="7"/>
        <v>#REF!</v>
      </c>
      <c r="AB119" s="206" t="e">
        <v>#N/A</v>
      </c>
      <c r="AC119" s="206" t="e">
        <f>VLOOKUP($F119,#REF!,21,1)</f>
        <v>#REF!</v>
      </c>
      <c r="AD119" s="206" t="e">
        <f>VLOOKUP($F119,#REF!,33,1)</f>
        <v>#REF!</v>
      </c>
      <c r="AE119" s="206" t="e">
        <f t="shared" si="4"/>
        <v>#REF!</v>
      </c>
      <c r="AF119" s="206" t="e">
        <v>#N/A</v>
      </c>
      <c r="AG119" s="206" t="e">
        <f>VLOOKUP($F119,#REF!,35,1)</f>
        <v>#REF!</v>
      </c>
      <c r="AH119" s="206" t="e">
        <f t="shared" si="5"/>
        <v>#REF!</v>
      </c>
      <c r="AI119" s="206" t="e">
        <v>#N/A</v>
      </c>
      <c r="AJ119" s="206" t="e">
        <f>VLOOKUP($F119,#REF!,37,1)</f>
        <v>#REF!</v>
      </c>
    </row>
    <row r="120" spans="2:36" ht="22.5">
      <c r="C120" s="113" t="s">
        <v>1915</v>
      </c>
      <c r="D120" s="98" t="s">
        <v>2238</v>
      </c>
      <c r="E120" s="98" t="s">
        <v>2154</v>
      </c>
      <c r="F120" s="124"/>
      <c r="Q120" s="203"/>
      <c r="R120" s="203"/>
      <c r="S120" s="203"/>
      <c r="T120" s="203"/>
      <c r="U120" s="203"/>
      <c r="V120" s="203"/>
      <c r="W120" s="206" t="e">
        <f>VLOOKUP($F120,#REF!,16,1)</f>
        <v>#REF!</v>
      </c>
      <c r="X120" s="206" t="e">
        <f t="shared" si="6"/>
        <v>#REF!</v>
      </c>
      <c r="Y120" s="206" t="e">
        <v>#N/A</v>
      </c>
      <c r="Z120" s="206" t="e">
        <f>VLOOKUP($F120,#REF!,17,1)</f>
        <v>#REF!</v>
      </c>
      <c r="AA120" s="206" t="e">
        <f t="shared" si="7"/>
        <v>#REF!</v>
      </c>
      <c r="AB120" s="206" t="e">
        <v>#N/A</v>
      </c>
      <c r="AC120" s="206" t="e">
        <f>VLOOKUP($F120,#REF!,21,1)</f>
        <v>#REF!</v>
      </c>
      <c r="AD120" s="206" t="e">
        <f>VLOOKUP($F120,#REF!,33,1)</f>
        <v>#REF!</v>
      </c>
      <c r="AE120" s="206" t="e">
        <f t="shared" si="4"/>
        <v>#REF!</v>
      </c>
      <c r="AF120" s="206" t="e">
        <v>#N/A</v>
      </c>
      <c r="AG120" s="206" t="e">
        <f>VLOOKUP($F120,#REF!,35,1)</f>
        <v>#REF!</v>
      </c>
      <c r="AH120" s="206" t="e">
        <f t="shared" si="5"/>
        <v>#REF!</v>
      </c>
      <c r="AI120" s="206" t="e">
        <v>#N/A</v>
      </c>
      <c r="AJ120" s="206" t="e">
        <f>VLOOKUP($F120,#REF!,37,1)</f>
        <v>#REF!</v>
      </c>
    </row>
    <row r="121" spans="2:36" ht="22.5">
      <c r="C121" s="113" t="s">
        <v>1915</v>
      </c>
      <c r="D121" s="98" t="s">
        <v>2238</v>
      </c>
      <c r="E121" s="98" t="s">
        <v>2154</v>
      </c>
      <c r="F121" s="124"/>
      <c r="Q121" s="203"/>
      <c r="R121" s="203"/>
      <c r="S121" s="203"/>
      <c r="T121" s="203"/>
      <c r="U121" s="203"/>
      <c r="V121" s="203"/>
      <c r="W121" s="206" t="e">
        <f>VLOOKUP($F121,#REF!,16,1)</f>
        <v>#REF!</v>
      </c>
      <c r="X121" s="206" t="e">
        <f t="shared" si="6"/>
        <v>#REF!</v>
      </c>
      <c r="Y121" s="206" t="e">
        <v>#N/A</v>
      </c>
      <c r="Z121" s="206" t="e">
        <f>VLOOKUP($F121,#REF!,17,1)</f>
        <v>#REF!</v>
      </c>
      <c r="AA121" s="206" t="e">
        <f t="shared" si="7"/>
        <v>#REF!</v>
      </c>
      <c r="AB121" s="206" t="e">
        <v>#N/A</v>
      </c>
      <c r="AC121" s="206" t="e">
        <f>VLOOKUP($F121,#REF!,21,1)</f>
        <v>#REF!</v>
      </c>
      <c r="AD121" s="206" t="e">
        <f>VLOOKUP($F137,#REF!,33,1)</f>
        <v>#REF!</v>
      </c>
      <c r="AE121" s="206" t="e">
        <f t="shared" si="4"/>
        <v>#REF!</v>
      </c>
      <c r="AF121" s="206" t="e">
        <v>#N/A</v>
      </c>
      <c r="AG121" s="206" t="e">
        <f>VLOOKUP($F137,#REF!,35,1)</f>
        <v>#REF!</v>
      </c>
      <c r="AH121" s="206" t="e">
        <f t="shared" si="5"/>
        <v>#REF!</v>
      </c>
      <c r="AI121" s="206" t="e">
        <v>#N/A</v>
      </c>
      <c r="AJ121" s="206" t="e">
        <f>VLOOKUP($F137,#REF!,37,1)</f>
        <v>#REF!</v>
      </c>
    </row>
    <row r="122" spans="2:36" ht="22.5">
      <c r="C122" s="113" t="s">
        <v>1915</v>
      </c>
      <c r="D122" s="98" t="s">
        <v>2238</v>
      </c>
      <c r="E122" s="98" t="s">
        <v>2154</v>
      </c>
      <c r="F122" s="124"/>
      <c r="Q122" s="203"/>
      <c r="R122" s="203"/>
      <c r="S122" s="203"/>
      <c r="T122" s="203"/>
      <c r="U122" s="203"/>
      <c r="V122" s="203"/>
      <c r="W122" s="206" t="e">
        <f>VLOOKUP($F122,#REF!,16,1)</f>
        <v>#REF!</v>
      </c>
      <c r="X122" s="206" t="e">
        <f t="shared" si="6"/>
        <v>#REF!</v>
      </c>
      <c r="Y122" s="206" t="e">
        <v>#N/A</v>
      </c>
      <c r="Z122" s="206" t="e">
        <f>VLOOKUP($F122,#REF!,17,1)</f>
        <v>#REF!</v>
      </c>
      <c r="AA122" s="206" t="e">
        <f t="shared" si="7"/>
        <v>#REF!</v>
      </c>
      <c r="AB122" s="206" t="e">
        <v>#N/A</v>
      </c>
      <c r="AC122" s="206" t="e">
        <f>VLOOKUP($F122,#REF!,21,1)</f>
        <v>#REF!</v>
      </c>
      <c r="AD122" s="206" t="e">
        <f>VLOOKUP($F122,#REF!,33,1)</f>
        <v>#REF!</v>
      </c>
      <c r="AE122" s="206" t="e">
        <f t="shared" si="4"/>
        <v>#REF!</v>
      </c>
      <c r="AF122" s="206" t="e">
        <v>#N/A</v>
      </c>
      <c r="AG122" s="206" t="e">
        <f>VLOOKUP($F122,#REF!,35,1)</f>
        <v>#REF!</v>
      </c>
      <c r="AH122" s="206" t="e">
        <f t="shared" si="5"/>
        <v>#REF!</v>
      </c>
      <c r="AI122" s="206" t="e">
        <v>#N/A</v>
      </c>
      <c r="AJ122" s="206" t="e">
        <f>VLOOKUP($F122,#REF!,37,1)</f>
        <v>#REF!</v>
      </c>
    </row>
    <row r="123" spans="2:36" ht="22.5">
      <c r="C123" s="113" t="s">
        <v>1915</v>
      </c>
      <c r="D123" s="98" t="s">
        <v>2238</v>
      </c>
      <c r="E123" s="98" t="s">
        <v>2154</v>
      </c>
      <c r="F123" s="124"/>
      <c r="Q123" s="203"/>
      <c r="R123" s="203"/>
      <c r="S123" s="203"/>
      <c r="T123" s="203"/>
      <c r="U123" s="203"/>
      <c r="V123" s="203"/>
      <c r="W123" s="206" t="e">
        <f>VLOOKUP($F123,#REF!,16,1)</f>
        <v>#REF!</v>
      </c>
      <c r="X123" s="206" t="e">
        <f t="shared" si="6"/>
        <v>#REF!</v>
      </c>
      <c r="Y123" s="206" t="e">
        <v>#N/A</v>
      </c>
      <c r="Z123" s="206" t="e">
        <f>VLOOKUP($F123,#REF!,17,1)</f>
        <v>#REF!</v>
      </c>
      <c r="AA123" s="206" t="e">
        <f t="shared" si="7"/>
        <v>#REF!</v>
      </c>
      <c r="AB123" s="206" t="e">
        <v>#N/A</v>
      </c>
      <c r="AC123" s="206" t="e">
        <f>VLOOKUP($F123,#REF!,21,1)</f>
        <v>#REF!</v>
      </c>
      <c r="AD123" s="206" t="e">
        <f>VLOOKUP($F123,#REF!,33,1)</f>
        <v>#REF!</v>
      </c>
      <c r="AE123" s="206" t="e">
        <f t="shared" si="4"/>
        <v>#REF!</v>
      </c>
      <c r="AF123" s="206" t="e">
        <v>#N/A</v>
      </c>
      <c r="AG123" s="206" t="e">
        <f>VLOOKUP($F123,#REF!,35,1)</f>
        <v>#REF!</v>
      </c>
      <c r="AH123" s="206" t="e">
        <f t="shared" si="5"/>
        <v>#REF!</v>
      </c>
      <c r="AI123" s="206" t="e">
        <v>#N/A</v>
      </c>
      <c r="AJ123" s="206" t="e">
        <f>VLOOKUP($F123,#REF!,37,1)</f>
        <v>#REF!</v>
      </c>
    </row>
    <row r="124" spans="2:36" ht="22.5">
      <c r="C124" s="111" t="s">
        <v>1916</v>
      </c>
      <c r="D124" s="98" t="s">
        <v>2239</v>
      </c>
      <c r="E124" s="98" t="s">
        <v>2154</v>
      </c>
      <c r="F124" s="120" t="s">
        <v>1963</v>
      </c>
      <c r="G124" s="97" t="s">
        <v>1929</v>
      </c>
      <c r="N124" s="48" t="s">
        <v>8</v>
      </c>
      <c r="Q124" s="206" t="s">
        <v>2161</v>
      </c>
      <c r="R124" s="206">
        <f>ROW(F124)</f>
        <v>124</v>
      </c>
      <c r="S124" s="206" t="str">
        <f>CONCATENATE(";","'",D124,"'!","$B$9:$AL$89",";","21",";","1",")")</f>
        <v>;'E INNOVACION'!$B$9:$AL$89;21;1)</v>
      </c>
      <c r="T124" s="203" t="s">
        <v>2194</v>
      </c>
      <c r="U124" s="206" t="str">
        <f>CONCATENATE("=BUSCARV($E",R124,T124)</f>
        <v>=BUSCARV($E124;'E INNOVACION'!$B$9:$AL$89;21;1)</v>
      </c>
      <c r="V124" s="206"/>
      <c r="W124" s="206" t="e">
        <f>VLOOKUP($F124,#REF!,16,1)</f>
        <v>#REF!</v>
      </c>
      <c r="X124" s="206" t="e">
        <f t="shared" si="6"/>
        <v>#REF!</v>
      </c>
      <c r="Y124" s="206">
        <v>3</v>
      </c>
      <c r="Z124" s="206" t="e">
        <f>VLOOKUP($F124,#REF!,17,1)</f>
        <v>#REF!</v>
      </c>
      <c r="AA124" s="206" t="e">
        <f t="shared" si="7"/>
        <v>#REF!</v>
      </c>
      <c r="AB124" s="206">
        <v>2</v>
      </c>
      <c r="AC124" s="206" t="e">
        <f>VLOOKUP($F124,#REF!,21,1)</f>
        <v>#REF!</v>
      </c>
      <c r="AD124" s="206" t="e">
        <f>VLOOKUP($F124,#REF!,33,1)</f>
        <v>#REF!</v>
      </c>
      <c r="AE124" s="206" t="e">
        <f t="shared" si="4"/>
        <v>#REF!</v>
      </c>
      <c r="AF124" s="206">
        <v>1</v>
      </c>
      <c r="AG124" s="206" t="e">
        <f>VLOOKUP($F124,#REF!,35,1)</f>
        <v>#REF!</v>
      </c>
      <c r="AH124" s="206" t="e">
        <f t="shared" si="5"/>
        <v>#REF!</v>
      </c>
      <c r="AI124" s="206">
        <v>2</v>
      </c>
      <c r="AJ124" s="206" t="e">
        <f>VLOOKUP($F124,#REF!,37,1)</f>
        <v>#REF!</v>
      </c>
    </row>
    <row r="125" spans="2:36" s="102" customFormat="1" ht="22.5">
      <c r="B125" s="97"/>
      <c r="C125" s="111" t="s">
        <v>1916</v>
      </c>
      <c r="D125" s="98" t="s">
        <v>2239</v>
      </c>
      <c r="E125" s="98" t="s">
        <v>2154</v>
      </c>
      <c r="F125" s="124"/>
      <c r="G125" s="97"/>
      <c r="H125" s="97"/>
      <c r="I125" s="97"/>
      <c r="Q125" s="203"/>
      <c r="R125" s="203"/>
      <c r="S125" s="203"/>
      <c r="T125" s="203"/>
      <c r="U125" s="203"/>
      <c r="V125" s="203"/>
      <c r="W125" s="206" t="e">
        <f>VLOOKUP($F125,#REF!,16,1)</f>
        <v>#REF!</v>
      </c>
      <c r="X125" s="206" t="e">
        <f t="shared" si="6"/>
        <v>#REF!</v>
      </c>
      <c r="Y125" s="206" t="e">
        <v>#N/A</v>
      </c>
      <c r="Z125" s="206" t="e">
        <f>VLOOKUP($F125,#REF!,17,1)</f>
        <v>#REF!</v>
      </c>
      <c r="AA125" s="206" t="e">
        <f t="shared" si="7"/>
        <v>#REF!</v>
      </c>
      <c r="AB125" s="206" t="e">
        <v>#N/A</v>
      </c>
      <c r="AC125" s="206" t="e">
        <f>VLOOKUP($F125,#REF!,21,1)</f>
        <v>#REF!</v>
      </c>
      <c r="AD125" s="206" t="e">
        <f>VLOOKUP($F125,#REF!,33,1)</f>
        <v>#REF!</v>
      </c>
      <c r="AE125" s="206" t="e">
        <f t="shared" si="4"/>
        <v>#REF!</v>
      </c>
      <c r="AF125" s="206" t="e">
        <v>#N/A</v>
      </c>
      <c r="AG125" s="206" t="e">
        <f>VLOOKUP($F125,#REF!,35,1)</f>
        <v>#REF!</v>
      </c>
      <c r="AH125" s="206" t="e">
        <f t="shared" si="5"/>
        <v>#REF!</v>
      </c>
      <c r="AI125" s="206" t="e">
        <v>#N/A</v>
      </c>
      <c r="AJ125" s="206" t="e">
        <f>VLOOKUP($F125,#REF!,37,1)</f>
        <v>#REF!</v>
      </c>
    </row>
    <row r="126" spans="2:36" s="102" customFormat="1" ht="22.5">
      <c r="B126" s="97"/>
      <c r="C126" s="111" t="s">
        <v>1916</v>
      </c>
      <c r="D126" s="98" t="s">
        <v>2239</v>
      </c>
      <c r="E126" s="98" t="s">
        <v>2154</v>
      </c>
      <c r="F126" s="124"/>
      <c r="G126" s="97"/>
      <c r="H126" s="97"/>
      <c r="I126" s="97"/>
      <c r="Q126" s="203"/>
      <c r="R126" s="203"/>
      <c r="S126" s="203"/>
      <c r="T126" s="203"/>
      <c r="U126" s="203"/>
      <c r="V126" s="203"/>
      <c r="W126" s="206" t="e">
        <f>VLOOKUP($F126,#REF!,16,1)</f>
        <v>#REF!</v>
      </c>
      <c r="X126" s="206" t="e">
        <f t="shared" si="6"/>
        <v>#REF!</v>
      </c>
      <c r="Y126" s="206" t="e">
        <v>#N/A</v>
      </c>
      <c r="Z126" s="206" t="e">
        <f>VLOOKUP($F126,#REF!,17,1)</f>
        <v>#REF!</v>
      </c>
      <c r="AA126" s="206" t="e">
        <f t="shared" si="7"/>
        <v>#REF!</v>
      </c>
      <c r="AB126" s="206" t="e">
        <v>#N/A</v>
      </c>
      <c r="AC126" s="206" t="e">
        <f>VLOOKUP($F126,#REF!,21,1)</f>
        <v>#REF!</v>
      </c>
      <c r="AD126" s="206" t="e">
        <f>VLOOKUP($F126,#REF!,33,1)</f>
        <v>#REF!</v>
      </c>
      <c r="AE126" s="206" t="e">
        <f t="shared" si="4"/>
        <v>#REF!</v>
      </c>
      <c r="AF126" s="206" t="e">
        <v>#N/A</v>
      </c>
      <c r="AG126" s="206" t="e">
        <f>VLOOKUP($F126,#REF!,35,1)</f>
        <v>#REF!</v>
      </c>
      <c r="AH126" s="206" t="e">
        <f t="shared" si="5"/>
        <v>#REF!</v>
      </c>
      <c r="AI126" s="206" t="e">
        <v>#N/A</v>
      </c>
      <c r="AJ126" s="206" t="e">
        <f>VLOOKUP($F126,#REF!,37,1)</f>
        <v>#REF!</v>
      </c>
    </row>
    <row r="127" spans="2:36" s="102" customFormat="1" ht="22.5">
      <c r="B127" s="97"/>
      <c r="C127" s="111" t="s">
        <v>1916</v>
      </c>
      <c r="D127" s="98" t="s">
        <v>2239</v>
      </c>
      <c r="E127" s="98" t="s">
        <v>2154</v>
      </c>
      <c r="F127" s="124"/>
      <c r="G127" s="97"/>
      <c r="H127" s="97"/>
      <c r="I127" s="97"/>
      <c r="Q127" s="203"/>
      <c r="R127" s="203"/>
      <c r="S127" s="203"/>
      <c r="T127" s="203"/>
      <c r="U127" s="203"/>
      <c r="V127" s="203"/>
      <c r="W127" s="206" t="e">
        <f>VLOOKUP($F127,#REF!,16,1)</f>
        <v>#REF!</v>
      </c>
      <c r="X127" s="206" t="e">
        <f t="shared" si="6"/>
        <v>#REF!</v>
      </c>
      <c r="Y127" s="206" t="e">
        <v>#N/A</v>
      </c>
      <c r="Z127" s="206" t="e">
        <f>VLOOKUP($F127,#REF!,17,1)</f>
        <v>#REF!</v>
      </c>
      <c r="AA127" s="206" t="e">
        <f t="shared" si="7"/>
        <v>#REF!</v>
      </c>
      <c r="AB127" s="206" t="e">
        <v>#N/A</v>
      </c>
      <c r="AC127" s="206" t="e">
        <f>VLOOKUP($F127,#REF!,21,1)</f>
        <v>#REF!</v>
      </c>
      <c r="AD127" s="206" t="e">
        <f>VLOOKUP($F127,#REF!,33,1)</f>
        <v>#REF!</v>
      </c>
      <c r="AE127" s="206" t="e">
        <f t="shared" si="4"/>
        <v>#REF!</v>
      </c>
      <c r="AF127" s="206" t="e">
        <v>#N/A</v>
      </c>
      <c r="AG127" s="206" t="e">
        <f>VLOOKUP($F127,#REF!,35,1)</f>
        <v>#REF!</v>
      </c>
      <c r="AH127" s="206" t="e">
        <f t="shared" si="5"/>
        <v>#REF!</v>
      </c>
      <c r="AI127" s="206" t="e">
        <v>#N/A</v>
      </c>
      <c r="AJ127" s="206" t="e">
        <f>VLOOKUP($F127,#REF!,37,1)</f>
        <v>#REF!</v>
      </c>
    </row>
    <row r="128" spans="2:36" s="102" customFormat="1" ht="22.5">
      <c r="B128" s="97"/>
      <c r="C128" s="111" t="s">
        <v>1916</v>
      </c>
      <c r="D128" s="98" t="s">
        <v>2239</v>
      </c>
      <c r="E128" s="98" t="s">
        <v>2154</v>
      </c>
      <c r="F128" s="124"/>
      <c r="G128" s="97"/>
      <c r="H128" s="97"/>
      <c r="I128" s="97"/>
      <c r="Q128" s="203"/>
      <c r="R128" s="203"/>
      <c r="S128" s="203"/>
      <c r="T128" s="203"/>
      <c r="U128" s="203"/>
      <c r="V128" s="203"/>
      <c r="W128" s="206" t="e">
        <f>VLOOKUP($F128,#REF!,16,1)</f>
        <v>#REF!</v>
      </c>
      <c r="X128" s="206" t="e">
        <f t="shared" si="6"/>
        <v>#REF!</v>
      </c>
      <c r="Y128" s="206" t="e">
        <v>#N/A</v>
      </c>
      <c r="Z128" s="206" t="e">
        <f>VLOOKUP($F128,#REF!,17,1)</f>
        <v>#REF!</v>
      </c>
      <c r="AA128" s="206" t="e">
        <f t="shared" si="7"/>
        <v>#REF!</v>
      </c>
      <c r="AB128" s="206" t="e">
        <v>#N/A</v>
      </c>
      <c r="AC128" s="206" t="e">
        <f>VLOOKUP($F128,#REF!,21,1)</f>
        <v>#REF!</v>
      </c>
      <c r="AD128" s="206" t="e">
        <f>VLOOKUP($F128,#REF!,33,1)</f>
        <v>#REF!</v>
      </c>
      <c r="AE128" s="206" t="e">
        <f t="shared" si="4"/>
        <v>#REF!</v>
      </c>
      <c r="AF128" s="206" t="e">
        <v>#N/A</v>
      </c>
      <c r="AG128" s="206" t="e">
        <f>VLOOKUP($F128,#REF!,35,1)</f>
        <v>#REF!</v>
      </c>
      <c r="AH128" s="206" t="e">
        <f t="shared" si="5"/>
        <v>#REF!</v>
      </c>
      <c r="AI128" s="206" t="e">
        <v>#N/A</v>
      </c>
      <c r="AJ128" s="206" t="e">
        <f>VLOOKUP($F128,#REF!,37,1)</f>
        <v>#REF!</v>
      </c>
    </row>
    <row r="129" spans="2:36" s="102" customFormat="1" ht="22.5">
      <c r="B129" s="97"/>
      <c r="C129" s="111" t="s">
        <v>1916</v>
      </c>
      <c r="D129" s="98" t="s">
        <v>2239</v>
      </c>
      <c r="E129" s="98" t="s">
        <v>2154</v>
      </c>
      <c r="F129" s="124"/>
      <c r="G129" s="97"/>
      <c r="H129" s="97"/>
      <c r="I129" s="97"/>
      <c r="Q129" s="203"/>
      <c r="R129" s="203"/>
      <c r="S129" s="203"/>
      <c r="T129" s="203"/>
      <c r="U129" s="203"/>
      <c r="V129" s="203"/>
      <c r="W129" s="206" t="e">
        <f>VLOOKUP($F129,#REF!,16,1)</f>
        <v>#REF!</v>
      </c>
      <c r="X129" s="206" t="e">
        <f t="shared" si="6"/>
        <v>#REF!</v>
      </c>
      <c r="Y129" s="206" t="e">
        <v>#N/A</v>
      </c>
      <c r="Z129" s="206" t="e">
        <f>VLOOKUP($F129,#REF!,17,1)</f>
        <v>#REF!</v>
      </c>
      <c r="AA129" s="206" t="e">
        <f t="shared" si="7"/>
        <v>#REF!</v>
      </c>
      <c r="AB129" s="206" t="e">
        <v>#N/A</v>
      </c>
      <c r="AC129" s="206" t="e">
        <f>VLOOKUP($F129,#REF!,21,1)</f>
        <v>#REF!</v>
      </c>
      <c r="AD129" s="206" t="e">
        <f>VLOOKUP($F129,#REF!,33,1)</f>
        <v>#REF!</v>
      </c>
      <c r="AE129" s="206" t="e">
        <f t="shared" si="4"/>
        <v>#REF!</v>
      </c>
      <c r="AF129" s="206" t="e">
        <v>#N/A</v>
      </c>
      <c r="AG129" s="206" t="e">
        <f>VLOOKUP($F129,#REF!,35,1)</f>
        <v>#REF!</v>
      </c>
      <c r="AH129" s="206" t="e">
        <f t="shared" si="5"/>
        <v>#REF!</v>
      </c>
      <c r="AI129" s="206" t="e">
        <v>#N/A</v>
      </c>
      <c r="AJ129" s="206" t="e">
        <f>VLOOKUP($F129,#REF!,37,1)</f>
        <v>#REF!</v>
      </c>
    </row>
    <row r="130" spans="2:36" s="102" customFormat="1" ht="22.5">
      <c r="B130" s="97"/>
      <c r="C130" s="111" t="s">
        <v>1916</v>
      </c>
      <c r="D130" s="98" t="s">
        <v>2239</v>
      </c>
      <c r="E130" s="98" t="s">
        <v>2154</v>
      </c>
      <c r="F130" s="124"/>
      <c r="G130" s="97"/>
      <c r="H130" s="97"/>
      <c r="I130" s="97"/>
      <c r="Q130" s="203"/>
      <c r="R130" s="203"/>
      <c r="S130" s="203"/>
      <c r="T130" s="203"/>
      <c r="U130" s="203"/>
      <c r="V130" s="203"/>
      <c r="W130" s="206" t="e">
        <f>VLOOKUP($F130,#REF!,16,1)</f>
        <v>#REF!</v>
      </c>
      <c r="X130" s="206" t="e">
        <f t="shared" si="6"/>
        <v>#REF!</v>
      </c>
      <c r="Y130" s="206" t="e">
        <v>#N/A</v>
      </c>
      <c r="Z130" s="206" t="e">
        <f>VLOOKUP($F130,#REF!,17,1)</f>
        <v>#REF!</v>
      </c>
      <c r="AA130" s="206" t="e">
        <f t="shared" si="7"/>
        <v>#REF!</v>
      </c>
      <c r="AB130" s="206" t="e">
        <v>#N/A</v>
      </c>
      <c r="AC130" s="206" t="e">
        <f>VLOOKUP($F130,#REF!,21,1)</f>
        <v>#REF!</v>
      </c>
      <c r="AD130" s="206" t="e">
        <f>VLOOKUP($F130,#REF!,33,1)</f>
        <v>#REF!</v>
      </c>
      <c r="AE130" s="206" t="e">
        <f t="shared" si="4"/>
        <v>#REF!</v>
      </c>
      <c r="AF130" s="206" t="e">
        <v>#N/A</v>
      </c>
      <c r="AG130" s="206" t="e">
        <f>VLOOKUP($F130,#REF!,35,1)</f>
        <v>#REF!</v>
      </c>
      <c r="AH130" s="206" t="e">
        <f t="shared" si="5"/>
        <v>#REF!</v>
      </c>
      <c r="AI130" s="206" t="e">
        <v>#N/A</v>
      </c>
      <c r="AJ130" s="206" t="e">
        <f>VLOOKUP($F130,#REF!,37,1)</f>
        <v>#REF!</v>
      </c>
    </row>
    <row r="131" spans="2:36" s="102" customFormat="1" ht="22.5">
      <c r="B131" s="97"/>
      <c r="C131" s="111" t="s">
        <v>1916</v>
      </c>
      <c r="D131" s="98" t="s">
        <v>2239</v>
      </c>
      <c r="E131" s="98" t="s">
        <v>2154</v>
      </c>
      <c r="F131" s="124"/>
      <c r="G131" s="97"/>
      <c r="H131" s="97"/>
      <c r="I131" s="97"/>
      <c r="Q131" s="203"/>
      <c r="R131" s="203"/>
      <c r="S131" s="203"/>
      <c r="T131" s="203"/>
      <c r="U131" s="203"/>
      <c r="V131" s="203"/>
      <c r="W131" s="206" t="e">
        <f>VLOOKUP($F131,#REF!,16,1)</f>
        <v>#REF!</v>
      </c>
      <c r="X131" s="206" t="e">
        <f t="shared" si="6"/>
        <v>#REF!</v>
      </c>
      <c r="Y131" s="206" t="e">
        <v>#N/A</v>
      </c>
      <c r="Z131" s="206" t="e">
        <f>VLOOKUP($F131,#REF!,17,1)</f>
        <v>#REF!</v>
      </c>
      <c r="AA131" s="206" t="e">
        <f t="shared" si="7"/>
        <v>#REF!</v>
      </c>
      <c r="AB131" s="206" t="e">
        <v>#N/A</v>
      </c>
      <c r="AC131" s="206" t="e">
        <f>VLOOKUP($F131,#REF!,21,1)</f>
        <v>#REF!</v>
      </c>
      <c r="AD131" s="206" t="e">
        <f>VLOOKUP($F131,#REF!,33,1)</f>
        <v>#REF!</v>
      </c>
      <c r="AE131" s="206" t="e">
        <f t="shared" si="4"/>
        <v>#REF!</v>
      </c>
      <c r="AF131" s="206" t="e">
        <v>#N/A</v>
      </c>
      <c r="AG131" s="206" t="e">
        <f>VLOOKUP($F131,#REF!,35,1)</f>
        <v>#REF!</v>
      </c>
      <c r="AH131" s="206" t="e">
        <f t="shared" si="5"/>
        <v>#REF!</v>
      </c>
      <c r="AI131" s="206" t="e">
        <v>#N/A</v>
      </c>
      <c r="AJ131" s="206" t="e">
        <f>VLOOKUP($F131,#REF!,37,1)</f>
        <v>#REF!</v>
      </c>
    </row>
    <row r="132" spans="2:36" ht="22.5">
      <c r="C132" s="111" t="s">
        <v>1916</v>
      </c>
      <c r="D132" s="98" t="s">
        <v>2239</v>
      </c>
      <c r="E132" s="98" t="s">
        <v>2154</v>
      </c>
      <c r="F132" s="124"/>
      <c r="Q132" s="203"/>
      <c r="R132" s="203"/>
      <c r="S132" s="203"/>
      <c r="T132" s="203"/>
      <c r="U132" s="203"/>
      <c r="V132" s="203"/>
      <c r="W132" s="206" t="e">
        <f>VLOOKUP($F132,#REF!,16,1)</f>
        <v>#REF!</v>
      </c>
      <c r="X132" s="206" t="e">
        <f t="shared" si="6"/>
        <v>#REF!</v>
      </c>
      <c r="Y132" s="206" t="e">
        <v>#N/A</v>
      </c>
      <c r="Z132" s="206" t="e">
        <f>VLOOKUP($F132,#REF!,17,1)</f>
        <v>#REF!</v>
      </c>
      <c r="AA132" s="206" t="e">
        <f t="shared" si="7"/>
        <v>#REF!</v>
      </c>
      <c r="AB132" s="206" t="e">
        <v>#N/A</v>
      </c>
      <c r="AC132" s="206" t="e">
        <f>VLOOKUP($F132,#REF!,21,1)</f>
        <v>#REF!</v>
      </c>
      <c r="AD132" s="206" t="e">
        <f>VLOOKUP($F132,#REF!,33,1)</f>
        <v>#REF!</v>
      </c>
      <c r="AE132" s="206" t="e">
        <f t="shared" ref="AE132:AE195" si="8">IF(AD132="Casi Seguro",5,IF(AD132="Alta",4,IF(AD132="Posible",3,IF(AD132="Baja",2,1))))</f>
        <v>#REF!</v>
      </c>
      <c r="AF132" s="206" t="e">
        <v>#N/A</v>
      </c>
      <c r="AG132" s="206" t="e">
        <f>VLOOKUP($F132,#REF!,35,1)</f>
        <v>#REF!</v>
      </c>
      <c r="AH132" s="206" t="e">
        <f t="shared" ref="AH132:AH195" si="9">IF(AG132="Catastrófico",5,IF(AG132="Mayor",4,IF(AG132="Moderado",3,IF(AG132="menor",2,1))))</f>
        <v>#REF!</v>
      </c>
      <c r="AI132" s="206" t="e">
        <v>#N/A</v>
      </c>
      <c r="AJ132" s="206" t="e">
        <f>VLOOKUP($F132,#REF!,37,1)</f>
        <v>#REF!</v>
      </c>
    </row>
    <row r="133" spans="2:36" ht="22.5">
      <c r="C133" s="111" t="s">
        <v>1916</v>
      </c>
      <c r="D133" s="98" t="s">
        <v>2239</v>
      </c>
      <c r="E133" s="98" t="s">
        <v>2154</v>
      </c>
      <c r="F133" s="124"/>
      <c r="Q133" s="203"/>
      <c r="R133" s="203"/>
      <c r="S133" s="203"/>
      <c r="T133" s="203"/>
      <c r="U133" s="203"/>
      <c r="V133" s="203"/>
      <c r="W133" s="206" t="e">
        <f>VLOOKUP($F133,#REF!,16,1)</f>
        <v>#REF!</v>
      </c>
      <c r="X133" s="206" t="e">
        <f t="shared" ref="X133:X196" si="10">IF(W133="Casi Seguro",5,IF(W133="Alta",4,IF(W133="Posible",3,IF(W133="Baja",2,1))))</f>
        <v>#REF!</v>
      </c>
      <c r="Y133" s="206" t="e">
        <v>#N/A</v>
      </c>
      <c r="Z133" s="206" t="e">
        <f>VLOOKUP($F133,#REF!,17,1)</f>
        <v>#REF!</v>
      </c>
      <c r="AA133" s="206" t="e">
        <f t="shared" ref="AA133:AA196" si="11">IF(Z133="Catastrófico",5,IF(Z133="Mayor",4,IF(Z133="Moderado",3,IF(Z133="menor",2,1))))</f>
        <v>#REF!</v>
      </c>
      <c r="AB133" s="206" t="e">
        <v>#N/A</v>
      </c>
      <c r="AC133" s="206" t="e">
        <f>VLOOKUP($F133,#REF!,21,1)</f>
        <v>#REF!</v>
      </c>
      <c r="AD133" s="206" t="e">
        <f>VLOOKUP($F133,#REF!,33,1)</f>
        <v>#REF!</v>
      </c>
      <c r="AE133" s="206" t="e">
        <f t="shared" si="8"/>
        <v>#REF!</v>
      </c>
      <c r="AF133" s="206" t="e">
        <v>#N/A</v>
      </c>
      <c r="AG133" s="206" t="e">
        <f>VLOOKUP($F133,#REF!,35,1)</f>
        <v>#REF!</v>
      </c>
      <c r="AH133" s="206" t="e">
        <f t="shared" si="9"/>
        <v>#REF!</v>
      </c>
      <c r="AI133" s="206" t="e">
        <v>#N/A</v>
      </c>
      <c r="AJ133" s="206" t="e">
        <f>VLOOKUP($F133,#REF!,37,1)</f>
        <v>#REF!</v>
      </c>
    </row>
    <row r="134" spans="2:36" ht="22.5">
      <c r="C134" s="111" t="s">
        <v>1916</v>
      </c>
      <c r="D134" s="98" t="s">
        <v>2239</v>
      </c>
      <c r="E134" s="98" t="s">
        <v>2154</v>
      </c>
      <c r="F134" s="124"/>
      <c r="Q134" s="203"/>
      <c r="R134" s="203"/>
      <c r="S134" s="203"/>
      <c r="T134" s="203"/>
      <c r="U134" s="203"/>
      <c r="V134" s="203"/>
      <c r="W134" s="206" t="e">
        <f>VLOOKUP($F134,#REF!,16,1)</f>
        <v>#REF!</v>
      </c>
      <c r="X134" s="206" t="e">
        <f t="shared" si="10"/>
        <v>#REF!</v>
      </c>
      <c r="Y134" s="206" t="e">
        <v>#N/A</v>
      </c>
      <c r="Z134" s="206" t="e">
        <f>VLOOKUP($F134,#REF!,17,1)</f>
        <v>#REF!</v>
      </c>
      <c r="AA134" s="206" t="e">
        <f t="shared" si="11"/>
        <v>#REF!</v>
      </c>
      <c r="AB134" s="206" t="e">
        <v>#N/A</v>
      </c>
      <c r="AC134" s="206" t="e">
        <f>VLOOKUP($F134,#REF!,21,1)</f>
        <v>#REF!</v>
      </c>
      <c r="AD134" s="206" t="e">
        <f>VLOOKUP($F134,#REF!,33,1)</f>
        <v>#REF!</v>
      </c>
      <c r="AE134" s="206" t="e">
        <f t="shared" si="8"/>
        <v>#REF!</v>
      </c>
      <c r="AF134" s="206" t="e">
        <v>#N/A</v>
      </c>
      <c r="AG134" s="206" t="e">
        <f>VLOOKUP($F134,#REF!,35,1)</f>
        <v>#REF!</v>
      </c>
      <c r="AH134" s="206" t="e">
        <f t="shared" si="9"/>
        <v>#REF!</v>
      </c>
      <c r="AI134" s="206" t="e">
        <v>#N/A</v>
      </c>
      <c r="AJ134" s="206" t="e">
        <f>VLOOKUP($F134,#REF!,37,1)</f>
        <v>#REF!</v>
      </c>
    </row>
    <row r="135" spans="2:36" ht="22.5">
      <c r="C135" s="111" t="s">
        <v>1916</v>
      </c>
      <c r="D135" s="98" t="s">
        <v>2239</v>
      </c>
      <c r="E135" s="98" t="s">
        <v>2154</v>
      </c>
      <c r="F135" s="124"/>
      <c r="Q135" s="203"/>
      <c r="R135" s="203"/>
      <c r="S135" s="203"/>
      <c r="T135" s="203"/>
      <c r="U135" s="203"/>
      <c r="V135" s="203"/>
      <c r="W135" s="206" t="e">
        <f>VLOOKUP($F135,#REF!,16,1)</f>
        <v>#REF!</v>
      </c>
      <c r="X135" s="206" t="e">
        <f t="shared" si="10"/>
        <v>#REF!</v>
      </c>
      <c r="Y135" s="206" t="e">
        <v>#N/A</v>
      </c>
      <c r="Z135" s="206" t="e">
        <f>VLOOKUP($F135,#REF!,17,1)</f>
        <v>#REF!</v>
      </c>
      <c r="AA135" s="206" t="e">
        <f t="shared" si="11"/>
        <v>#REF!</v>
      </c>
      <c r="AB135" s="206" t="e">
        <v>#N/A</v>
      </c>
      <c r="AC135" s="206" t="e">
        <f>VLOOKUP($F135,#REF!,21,1)</f>
        <v>#REF!</v>
      </c>
      <c r="AD135" s="206" t="e">
        <f>VLOOKUP($F135,#REF!,33,1)</f>
        <v>#REF!</v>
      </c>
      <c r="AE135" s="206" t="e">
        <f t="shared" si="8"/>
        <v>#REF!</v>
      </c>
      <c r="AF135" s="206" t="e">
        <v>#N/A</v>
      </c>
      <c r="AG135" s="206" t="e">
        <f>VLOOKUP($F135,#REF!,35,1)</f>
        <v>#REF!</v>
      </c>
      <c r="AH135" s="206" t="e">
        <f t="shared" si="9"/>
        <v>#REF!</v>
      </c>
      <c r="AI135" s="206" t="e">
        <v>#N/A</v>
      </c>
      <c r="AJ135" s="206" t="e">
        <f>VLOOKUP($F135,#REF!,37,1)</f>
        <v>#REF!</v>
      </c>
    </row>
    <row r="136" spans="2:36" ht="22.5">
      <c r="C136" s="111" t="s">
        <v>1916</v>
      </c>
      <c r="D136" s="98" t="s">
        <v>2239</v>
      </c>
      <c r="E136" s="98" t="s">
        <v>2154</v>
      </c>
      <c r="F136" s="124"/>
      <c r="Q136" s="203"/>
      <c r="R136" s="203"/>
      <c r="S136" s="203"/>
      <c r="T136" s="203"/>
      <c r="U136" s="203"/>
      <c r="V136" s="203"/>
      <c r="W136" s="206" t="e">
        <f>VLOOKUP($F136,#REF!,16,1)</f>
        <v>#REF!</v>
      </c>
      <c r="X136" s="206" t="e">
        <f t="shared" si="10"/>
        <v>#REF!</v>
      </c>
      <c r="Y136" s="206" t="e">
        <v>#N/A</v>
      </c>
      <c r="Z136" s="206" t="e">
        <f>VLOOKUP($F136,#REF!,17,1)</f>
        <v>#REF!</v>
      </c>
      <c r="AA136" s="206" t="e">
        <f t="shared" si="11"/>
        <v>#REF!</v>
      </c>
      <c r="AB136" s="206" t="e">
        <v>#N/A</v>
      </c>
      <c r="AC136" s="206" t="e">
        <f>VLOOKUP($F136,#REF!,21,1)</f>
        <v>#REF!</v>
      </c>
      <c r="AD136" s="206" t="e">
        <f>VLOOKUP($F136,#REF!,33,1)</f>
        <v>#REF!</v>
      </c>
      <c r="AE136" s="206" t="e">
        <f t="shared" si="8"/>
        <v>#REF!</v>
      </c>
      <c r="AF136" s="206" t="e">
        <v>#N/A</v>
      </c>
      <c r="AG136" s="206" t="e">
        <f>VLOOKUP($F136,#REF!,35,1)</f>
        <v>#REF!</v>
      </c>
      <c r="AH136" s="206" t="e">
        <f t="shared" si="9"/>
        <v>#REF!</v>
      </c>
      <c r="AI136" s="206" t="e">
        <v>#N/A</v>
      </c>
      <c r="AJ136" s="206" t="e">
        <f>VLOOKUP($F136,#REF!,37,1)</f>
        <v>#REF!</v>
      </c>
    </row>
    <row r="137" spans="2:36" ht="22.5">
      <c r="C137" s="111" t="s">
        <v>1916</v>
      </c>
      <c r="D137" s="98" t="s">
        <v>2239</v>
      </c>
      <c r="E137" s="98" t="s">
        <v>2154</v>
      </c>
      <c r="F137" s="124"/>
      <c r="Q137" s="203"/>
      <c r="R137" s="203"/>
      <c r="S137" s="203"/>
      <c r="T137" s="203"/>
      <c r="U137" s="203"/>
      <c r="V137" s="203"/>
      <c r="W137" s="206" t="e">
        <f>VLOOKUP($F137,#REF!,16,1)</f>
        <v>#REF!</v>
      </c>
      <c r="X137" s="206" t="e">
        <f t="shared" si="10"/>
        <v>#REF!</v>
      </c>
      <c r="Y137" s="206" t="e">
        <v>#N/A</v>
      </c>
      <c r="Z137" s="206" t="e">
        <f>VLOOKUP($F137,#REF!,17,1)</f>
        <v>#REF!</v>
      </c>
      <c r="AA137" s="206" t="e">
        <f t="shared" si="11"/>
        <v>#REF!</v>
      </c>
      <c r="AB137" s="206" t="e">
        <v>#N/A</v>
      </c>
      <c r="AC137" s="206" t="e">
        <f>VLOOKUP($F137,#REF!,21,1)</f>
        <v>#REF!</v>
      </c>
      <c r="AD137" s="206" t="e">
        <f>VLOOKUP($F137,#REF!,33,1)</f>
        <v>#REF!</v>
      </c>
      <c r="AE137" s="206" t="e">
        <f t="shared" si="8"/>
        <v>#REF!</v>
      </c>
      <c r="AF137" s="206" t="e">
        <v>#N/A</v>
      </c>
      <c r="AG137" s="206" t="e">
        <f>VLOOKUP($F137,#REF!,35,1)</f>
        <v>#REF!</v>
      </c>
      <c r="AH137" s="206" t="e">
        <f t="shared" si="9"/>
        <v>#REF!</v>
      </c>
      <c r="AI137" s="206" t="e">
        <v>#N/A</v>
      </c>
      <c r="AJ137" s="206" t="e">
        <f>VLOOKUP($F137,#REF!,37,1)</f>
        <v>#REF!</v>
      </c>
    </row>
    <row r="138" spans="2:36" ht="22.5">
      <c r="C138" s="111" t="s">
        <v>1916</v>
      </c>
      <c r="D138" s="98" t="s">
        <v>2239</v>
      </c>
      <c r="E138" s="98" t="s">
        <v>2154</v>
      </c>
      <c r="F138" s="124"/>
      <c r="Q138" s="203"/>
      <c r="R138" s="203"/>
      <c r="S138" s="203"/>
      <c r="T138" s="203"/>
      <c r="U138" s="203"/>
      <c r="V138" s="203"/>
      <c r="W138" s="206" t="e">
        <f>VLOOKUP($F138,#REF!,16,1)</f>
        <v>#REF!</v>
      </c>
      <c r="X138" s="206" t="e">
        <f t="shared" si="10"/>
        <v>#REF!</v>
      </c>
      <c r="Y138" s="206" t="e">
        <v>#N/A</v>
      </c>
      <c r="Z138" s="206" t="e">
        <f>VLOOKUP($F138,#REF!,17,1)</f>
        <v>#REF!</v>
      </c>
      <c r="AA138" s="206" t="e">
        <f t="shared" si="11"/>
        <v>#REF!</v>
      </c>
      <c r="AB138" s="206" t="e">
        <v>#N/A</v>
      </c>
      <c r="AC138" s="206" t="e">
        <f>VLOOKUP($F138,#REF!,21,1)</f>
        <v>#REF!</v>
      </c>
      <c r="AD138" s="206" t="e">
        <f>VLOOKUP($F138,#REF!,33,1)</f>
        <v>#REF!</v>
      </c>
      <c r="AE138" s="206" t="e">
        <f t="shared" si="8"/>
        <v>#REF!</v>
      </c>
      <c r="AF138" s="206" t="e">
        <v>#N/A</v>
      </c>
      <c r="AG138" s="206" t="e">
        <f>VLOOKUP($F138,#REF!,35,1)</f>
        <v>#REF!</v>
      </c>
      <c r="AH138" s="206" t="e">
        <f t="shared" si="9"/>
        <v>#REF!</v>
      </c>
      <c r="AI138" s="206" t="e">
        <v>#N/A</v>
      </c>
      <c r="AJ138" s="206" t="e">
        <f>VLOOKUP($F138,#REF!,37,1)</f>
        <v>#REF!</v>
      </c>
    </row>
    <row r="139" spans="2:36" s="102" customFormat="1">
      <c r="B139" s="97"/>
      <c r="C139" s="117" t="s">
        <v>1917</v>
      </c>
      <c r="D139" s="98" t="s">
        <v>2240</v>
      </c>
      <c r="E139" s="98" t="s">
        <v>2154</v>
      </c>
      <c r="F139" s="120" t="s">
        <v>1969</v>
      </c>
      <c r="G139" s="97" t="s">
        <v>1929</v>
      </c>
      <c r="H139" s="97"/>
      <c r="I139" s="97"/>
      <c r="K139" s="48" t="s">
        <v>8</v>
      </c>
      <c r="L139" s="48" t="s">
        <v>8</v>
      </c>
      <c r="Q139" s="206" t="s">
        <v>2161</v>
      </c>
      <c r="R139" s="206">
        <f>ROW(F139)</f>
        <v>139</v>
      </c>
      <c r="S139" s="206" t="str">
        <f>CONCATENATE(";","'",D139,"'!","$B$9:$AL$89",";","21",";","1",")")</f>
        <v>;'M FACTIBILIDAD'!$B$9:$AL$89;21;1)</v>
      </c>
      <c r="T139" s="203" t="s">
        <v>2195</v>
      </c>
      <c r="U139" s="206" t="str">
        <f>CONCATENATE("=BUSCARV($E",R139,T139)</f>
        <v>=BUSCARV($E139;'M FACTIBILIDAD'!$B$9:$AL$89;21;1)</v>
      </c>
      <c r="V139" s="206"/>
      <c r="W139" s="206" t="e">
        <f>VLOOKUP($F139,#REF!,16,1)</f>
        <v>#REF!</v>
      </c>
      <c r="X139" s="206" t="e">
        <f t="shared" si="10"/>
        <v>#REF!</v>
      </c>
      <c r="Y139" s="206">
        <v>4</v>
      </c>
      <c r="Z139" s="206" t="e">
        <f>VLOOKUP($F139,#REF!,17,1)</f>
        <v>#REF!</v>
      </c>
      <c r="AA139" s="206" t="e">
        <f t="shared" si="11"/>
        <v>#REF!</v>
      </c>
      <c r="AB139" s="206">
        <v>3</v>
      </c>
      <c r="AC139" s="206" t="e">
        <f>VLOOKUP($F139,#REF!,21,1)</f>
        <v>#REF!</v>
      </c>
      <c r="AD139" s="206" t="e">
        <f>VLOOKUP($F139,#REF!,33,1)</f>
        <v>#REF!</v>
      </c>
      <c r="AE139" s="206" t="e">
        <f t="shared" si="8"/>
        <v>#REF!</v>
      </c>
      <c r="AF139" s="206">
        <v>3</v>
      </c>
      <c r="AG139" s="206" t="e">
        <f>VLOOKUP($F139,#REF!,35,1)</f>
        <v>#REF!</v>
      </c>
      <c r="AH139" s="206" t="e">
        <f t="shared" si="9"/>
        <v>#REF!</v>
      </c>
      <c r="AI139" s="206">
        <v>2</v>
      </c>
      <c r="AJ139" s="206" t="e">
        <f>VLOOKUP($F139,#REF!,37,1)</f>
        <v>#REF!</v>
      </c>
    </row>
    <row r="140" spans="2:36" s="102" customFormat="1">
      <c r="B140" s="97"/>
      <c r="C140" s="117" t="s">
        <v>1917</v>
      </c>
      <c r="D140" s="98" t="s">
        <v>2240</v>
      </c>
      <c r="E140" s="98" t="s">
        <v>2154</v>
      </c>
      <c r="F140" s="120" t="s">
        <v>1970</v>
      </c>
      <c r="G140" s="97" t="s">
        <v>1929</v>
      </c>
      <c r="H140" s="97"/>
      <c r="I140" s="97"/>
      <c r="K140" s="48" t="s">
        <v>8</v>
      </c>
      <c r="Q140" s="203"/>
      <c r="R140" s="203"/>
      <c r="S140" s="203"/>
      <c r="T140" s="203"/>
      <c r="U140" s="203"/>
      <c r="V140" s="203"/>
      <c r="W140" s="206" t="e">
        <f>VLOOKUP($F140,#REF!,16,1)</f>
        <v>#REF!</v>
      </c>
      <c r="X140" s="206" t="e">
        <f t="shared" si="10"/>
        <v>#REF!</v>
      </c>
      <c r="Y140" s="206">
        <v>3</v>
      </c>
      <c r="Z140" s="206" t="e">
        <f>VLOOKUP($F140,#REF!,17,1)</f>
        <v>#REF!</v>
      </c>
      <c r="AA140" s="206" t="e">
        <f t="shared" si="11"/>
        <v>#REF!</v>
      </c>
      <c r="AB140" s="206">
        <v>3</v>
      </c>
      <c r="AC140" s="206" t="e">
        <f>VLOOKUP($F140,#REF!,21,1)</f>
        <v>#REF!</v>
      </c>
      <c r="AD140" s="206" t="e">
        <f>VLOOKUP($F140,#REF!,33,1)</f>
        <v>#REF!</v>
      </c>
      <c r="AE140" s="206" t="e">
        <f t="shared" si="8"/>
        <v>#REF!</v>
      </c>
      <c r="AF140" s="206">
        <v>2</v>
      </c>
      <c r="AG140" s="206" t="e">
        <f>VLOOKUP($F140,#REF!,35,1)</f>
        <v>#REF!</v>
      </c>
      <c r="AH140" s="206" t="e">
        <f t="shared" si="9"/>
        <v>#REF!</v>
      </c>
      <c r="AI140" s="206">
        <v>2</v>
      </c>
      <c r="AJ140" s="206" t="e">
        <f>VLOOKUP($F140,#REF!,37,1)</f>
        <v>#REF!</v>
      </c>
    </row>
    <row r="141" spans="2:36" s="102" customFormat="1">
      <c r="B141" s="97"/>
      <c r="C141" s="117" t="s">
        <v>1917</v>
      </c>
      <c r="D141" s="98" t="s">
        <v>2240</v>
      </c>
      <c r="E141" s="98" t="s">
        <v>2154</v>
      </c>
      <c r="F141" s="124"/>
      <c r="G141" s="97"/>
      <c r="H141" s="97"/>
      <c r="I141" s="97"/>
      <c r="Q141" s="203"/>
      <c r="R141" s="203"/>
      <c r="S141" s="203"/>
      <c r="T141" s="203"/>
      <c r="U141" s="203"/>
      <c r="V141" s="203"/>
      <c r="W141" s="206" t="e">
        <f>VLOOKUP($F141,#REF!,16,1)</f>
        <v>#REF!</v>
      </c>
      <c r="X141" s="206" t="e">
        <f t="shared" si="10"/>
        <v>#REF!</v>
      </c>
      <c r="Y141" s="206" t="e">
        <v>#N/A</v>
      </c>
      <c r="Z141" s="206" t="e">
        <f>VLOOKUP($F141,#REF!,17,1)</f>
        <v>#REF!</v>
      </c>
      <c r="AA141" s="206" t="e">
        <f t="shared" si="11"/>
        <v>#REF!</v>
      </c>
      <c r="AB141" s="206" t="e">
        <v>#N/A</v>
      </c>
      <c r="AC141" s="206" t="e">
        <f>VLOOKUP($F141,#REF!,21,1)</f>
        <v>#REF!</v>
      </c>
      <c r="AD141" s="206" t="e">
        <f>VLOOKUP($F141,#REF!,33,1)</f>
        <v>#REF!</v>
      </c>
      <c r="AE141" s="206" t="e">
        <f t="shared" si="8"/>
        <v>#REF!</v>
      </c>
      <c r="AF141" s="206" t="e">
        <v>#N/A</v>
      </c>
      <c r="AG141" s="206" t="e">
        <f>VLOOKUP($F141,#REF!,35,1)</f>
        <v>#REF!</v>
      </c>
      <c r="AH141" s="206" t="e">
        <f t="shared" si="9"/>
        <v>#REF!</v>
      </c>
      <c r="AI141" s="206" t="e">
        <v>#N/A</v>
      </c>
      <c r="AJ141" s="206" t="e">
        <f>VLOOKUP($F141,#REF!,37,1)</f>
        <v>#REF!</v>
      </c>
    </row>
    <row r="142" spans="2:36" s="102" customFormat="1">
      <c r="B142" s="97"/>
      <c r="C142" s="117" t="s">
        <v>1917</v>
      </c>
      <c r="D142" s="98" t="s">
        <v>2240</v>
      </c>
      <c r="E142" s="98" t="s">
        <v>2154</v>
      </c>
      <c r="F142" s="124"/>
      <c r="G142" s="97"/>
      <c r="H142" s="97"/>
      <c r="I142" s="97"/>
      <c r="Q142" s="203"/>
      <c r="R142" s="203"/>
      <c r="S142" s="203"/>
      <c r="T142" s="203"/>
      <c r="U142" s="203"/>
      <c r="V142" s="203"/>
      <c r="W142" s="206" t="e">
        <f>VLOOKUP($F142,#REF!,16,1)</f>
        <v>#REF!</v>
      </c>
      <c r="X142" s="206" t="e">
        <f t="shared" si="10"/>
        <v>#REF!</v>
      </c>
      <c r="Y142" s="206" t="e">
        <v>#N/A</v>
      </c>
      <c r="Z142" s="206" t="e">
        <f>VLOOKUP($F142,#REF!,17,1)</f>
        <v>#REF!</v>
      </c>
      <c r="AA142" s="206" t="e">
        <f t="shared" si="11"/>
        <v>#REF!</v>
      </c>
      <c r="AB142" s="206" t="e">
        <v>#N/A</v>
      </c>
      <c r="AC142" s="206" t="e">
        <f>VLOOKUP($F142,#REF!,21,1)</f>
        <v>#REF!</v>
      </c>
      <c r="AD142" s="206" t="e">
        <f>VLOOKUP($F142,#REF!,33,1)</f>
        <v>#REF!</v>
      </c>
      <c r="AE142" s="206" t="e">
        <f t="shared" si="8"/>
        <v>#REF!</v>
      </c>
      <c r="AF142" s="206" t="e">
        <v>#N/A</v>
      </c>
      <c r="AG142" s="206" t="e">
        <f>VLOOKUP($F142,#REF!,35,1)</f>
        <v>#REF!</v>
      </c>
      <c r="AH142" s="206" t="e">
        <f t="shared" si="9"/>
        <v>#REF!</v>
      </c>
      <c r="AI142" s="206" t="e">
        <v>#N/A</v>
      </c>
      <c r="AJ142" s="206" t="e">
        <f>VLOOKUP($F142,#REF!,37,1)</f>
        <v>#REF!</v>
      </c>
    </row>
    <row r="143" spans="2:36" s="102" customFormat="1">
      <c r="B143" s="97"/>
      <c r="C143" s="117" t="s">
        <v>1917</v>
      </c>
      <c r="D143" s="98" t="s">
        <v>2240</v>
      </c>
      <c r="E143" s="98" t="s">
        <v>2154</v>
      </c>
      <c r="F143" s="124"/>
      <c r="G143" s="97"/>
      <c r="H143" s="97"/>
      <c r="I143" s="97"/>
      <c r="Q143" s="203"/>
      <c r="R143" s="203"/>
      <c r="S143" s="203"/>
      <c r="T143" s="203"/>
      <c r="U143" s="203"/>
      <c r="V143" s="203"/>
      <c r="W143" s="206" t="e">
        <f>VLOOKUP($F143,#REF!,16,1)</f>
        <v>#REF!</v>
      </c>
      <c r="X143" s="206" t="e">
        <f t="shared" si="10"/>
        <v>#REF!</v>
      </c>
      <c r="Y143" s="206" t="e">
        <v>#N/A</v>
      </c>
      <c r="Z143" s="206" t="e">
        <f>VLOOKUP($F143,#REF!,17,1)</f>
        <v>#REF!</v>
      </c>
      <c r="AA143" s="206" t="e">
        <f t="shared" si="11"/>
        <v>#REF!</v>
      </c>
      <c r="AB143" s="206" t="e">
        <v>#N/A</v>
      </c>
      <c r="AC143" s="206" t="e">
        <f>VLOOKUP($F143,#REF!,21,1)</f>
        <v>#REF!</v>
      </c>
      <c r="AD143" s="206" t="e">
        <f>VLOOKUP($F143,#REF!,33,1)</f>
        <v>#REF!</v>
      </c>
      <c r="AE143" s="206" t="e">
        <f t="shared" si="8"/>
        <v>#REF!</v>
      </c>
      <c r="AF143" s="206" t="e">
        <v>#N/A</v>
      </c>
      <c r="AG143" s="206" t="e">
        <f>VLOOKUP($F143,#REF!,35,1)</f>
        <v>#REF!</v>
      </c>
      <c r="AH143" s="206" t="e">
        <f t="shared" si="9"/>
        <v>#REF!</v>
      </c>
      <c r="AI143" s="206" t="e">
        <v>#N/A</v>
      </c>
      <c r="AJ143" s="206" t="e">
        <f>VLOOKUP($F143,#REF!,37,1)</f>
        <v>#REF!</v>
      </c>
    </row>
    <row r="144" spans="2:36" s="102" customFormat="1">
      <c r="B144" s="97"/>
      <c r="C144" s="117" t="s">
        <v>1917</v>
      </c>
      <c r="D144" s="98" t="s">
        <v>2240</v>
      </c>
      <c r="E144" s="98" t="s">
        <v>2154</v>
      </c>
      <c r="F144" s="124"/>
      <c r="G144" s="97"/>
      <c r="H144" s="97"/>
      <c r="I144" s="97"/>
      <c r="Q144" s="203"/>
      <c r="R144" s="203"/>
      <c r="S144" s="203"/>
      <c r="T144" s="203"/>
      <c r="U144" s="203"/>
      <c r="V144" s="203"/>
      <c r="W144" s="206" t="e">
        <f>VLOOKUP($F144,#REF!,16,1)</f>
        <v>#REF!</v>
      </c>
      <c r="X144" s="206" t="e">
        <f t="shared" si="10"/>
        <v>#REF!</v>
      </c>
      <c r="Y144" s="206" t="e">
        <v>#N/A</v>
      </c>
      <c r="Z144" s="206" t="e">
        <f>VLOOKUP($F144,#REF!,17,1)</f>
        <v>#REF!</v>
      </c>
      <c r="AA144" s="206" t="e">
        <f t="shared" si="11"/>
        <v>#REF!</v>
      </c>
      <c r="AB144" s="206" t="e">
        <v>#N/A</v>
      </c>
      <c r="AC144" s="206" t="e">
        <f>VLOOKUP($F144,#REF!,21,1)</f>
        <v>#REF!</v>
      </c>
      <c r="AD144" s="206" t="e">
        <f>VLOOKUP($F144,#REF!,33,1)</f>
        <v>#REF!</v>
      </c>
      <c r="AE144" s="206" t="e">
        <f t="shared" si="8"/>
        <v>#REF!</v>
      </c>
      <c r="AF144" s="206" t="e">
        <v>#N/A</v>
      </c>
      <c r="AG144" s="206" t="e">
        <f>VLOOKUP($F144,#REF!,35,1)</f>
        <v>#REF!</v>
      </c>
      <c r="AH144" s="206" t="e">
        <f t="shared" si="9"/>
        <v>#REF!</v>
      </c>
      <c r="AI144" s="206" t="e">
        <v>#N/A</v>
      </c>
      <c r="AJ144" s="206" t="e">
        <f>VLOOKUP($F144,#REF!,37,1)</f>
        <v>#REF!</v>
      </c>
    </row>
    <row r="145" spans="2:36" s="102" customFormat="1">
      <c r="B145" s="97"/>
      <c r="C145" s="117" t="s">
        <v>1917</v>
      </c>
      <c r="D145" s="98" t="s">
        <v>2240</v>
      </c>
      <c r="E145" s="98" t="s">
        <v>2154</v>
      </c>
      <c r="F145" s="124"/>
      <c r="G145" s="97"/>
      <c r="H145" s="97"/>
      <c r="I145" s="97"/>
      <c r="Q145" s="203"/>
      <c r="R145" s="203"/>
      <c r="S145" s="203"/>
      <c r="T145" s="203"/>
      <c r="U145" s="203"/>
      <c r="V145" s="203"/>
      <c r="W145" s="206" t="e">
        <f>VLOOKUP($F145,#REF!,16,1)</f>
        <v>#REF!</v>
      </c>
      <c r="X145" s="206" t="e">
        <f t="shared" si="10"/>
        <v>#REF!</v>
      </c>
      <c r="Y145" s="206" t="e">
        <v>#N/A</v>
      </c>
      <c r="Z145" s="206" t="e">
        <f>VLOOKUP($F145,#REF!,17,1)</f>
        <v>#REF!</v>
      </c>
      <c r="AA145" s="206" t="e">
        <f t="shared" si="11"/>
        <v>#REF!</v>
      </c>
      <c r="AB145" s="206" t="e">
        <v>#N/A</v>
      </c>
      <c r="AC145" s="206" t="e">
        <f>VLOOKUP($F145,#REF!,21,1)</f>
        <v>#REF!</v>
      </c>
      <c r="AD145" s="206" t="e">
        <f>VLOOKUP($F145,#REF!,33,1)</f>
        <v>#REF!</v>
      </c>
      <c r="AE145" s="206" t="e">
        <f t="shared" si="8"/>
        <v>#REF!</v>
      </c>
      <c r="AF145" s="206" t="e">
        <v>#N/A</v>
      </c>
      <c r="AG145" s="206" t="e">
        <f>VLOOKUP($F145,#REF!,35,1)</f>
        <v>#REF!</v>
      </c>
      <c r="AH145" s="206" t="e">
        <f t="shared" si="9"/>
        <v>#REF!</v>
      </c>
      <c r="AI145" s="206" t="e">
        <v>#N/A</v>
      </c>
      <c r="AJ145" s="206" t="e">
        <f>VLOOKUP($F145,#REF!,37,1)</f>
        <v>#REF!</v>
      </c>
    </row>
    <row r="146" spans="2:36" s="102" customFormat="1">
      <c r="B146" s="97"/>
      <c r="C146" s="117" t="s">
        <v>1917</v>
      </c>
      <c r="D146" s="98" t="s">
        <v>2240</v>
      </c>
      <c r="E146" s="98" t="s">
        <v>2154</v>
      </c>
      <c r="F146" s="124"/>
      <c r="G146" s="97"/>
      <c r="H146" s="97"/>
      <c r="I146" s="97"/>
      <c r="Q146" s="203"/>
      <c r="R146" s="203"/>
      <c r="S146" s="203"/>
      <c r="T146" s="203"/>
      <c r="U146" s="203"/>
      <c r="V146" s="203"/>
      <c r="W146" s="206" t="e">
        <f>VLOOKUP($F146,#REF!,16,1)</f>
        <v>#REF!</v>
      </c>
      <c r="X146" s="206" t="e">
        <f t="shared" si="10"/>
        <v>#REF!</v>
      </c>
      <c r="Y146" s="206" t="e">
        <v>#N/A</v>
      </c>
      <c r="Z146" s="206" t="e">
        <f>VLOOKUP($F146,#REF!,17,1)</f>
        <v>#REF!</v>
      </c>
      <c r="AA146" s="206" t="e">
        <f t="shared" si="11"/>
        <v>#REF!</v>
      </c>
      <c r="AB146" s="206" t="e">
        <v>#N/A</v>
      </c>
      <c r="AC146" s="206" t="e">
        <f>VLOOKUP($F146,#REF!,21,1)</f>
        <v>#REF!</v>
      </c>
      <c r="AD146" s="206" t="e">
        <f>VLOOKUP($F146,#REF!,33,1)</f>
        <v>#REF!</v>
      </c>
      <c r="AE146" s="206" t="e">
        <f t="shared" si="8"/>
        <v>#REF!</v>
      </c>
      <c r="AF146" s="206" t="e">
        <v>#N/A</v>
      </c>
      <c r="AG146" s="206" t="e">
        <f>VLOOKUP($F146,#REF!,35,1)</f>
        <v>#REF!</v>
      </c>
      <c r="AH146" s="206" t="e">
        <f t="shared" si="9"/>
        <v>#REF!</v>
      </c>
      <c r="AI146" s="206" t="e">
        <v>#N/A</v>
      </c>
      <c r="AJ146" s="206" t="e">
        <f>VLOOKUP($F146,#REF!,37,1)</f>
        <v>#REF!</v>
      </c>
    </row>
    <row r="147" spans="2:36" s="102" customFormat="1">
      <c r="B147" s="97"/>
      <c r="C147" s="117" t="s">
        <v>1917</v>
      </c>
      <c r="D147" s="98" t="s">
        <v>2240</v>
      </c>
      <c r="E147" s="98" t="s">
        <v>2154</v>
      </c>
      <c r="F147" s="124"/>
      <c r="G147" s="97"/>
      <c r="H147" s="97"/>
      <c r="I147" s="97"/>
      <c r="Q147" s="203"/>
      <c r="R147" s="203"/>
      <c r="S147" s="203"/>
      <c r="T147" s="203"/>
      <c r="U147" s="203"/>
      <c r="V147" s="203"/>
      <c r="W147" s="206" t="e">
        <f>VLOOKUP($F147,#REF!,16,1)</f>
        <v>#REF!</v>
      </c>
      <c r="X147" s="206" t="e">
        <f t="shared" si="10"/>
        <v>#REF!</v>
      </c>
      <c r="Y147" s="206" t="e">
        <v>#N/A</v>
      </c>
      <c r="Z147" s="206" t="e">
        <f>VLOOKUP($F147,#REF!,17,1)</f>
        <v>#REF!</v>
      </c>
      <c r="AA147" s="206" t="e">
        <f t="shared" si="11"/>
        <v>#REF!</v>
      </c>
      <c r="AB147" s="206" t="e">
        <v>#N/A</v>
      </c>
      <c r="AC147" s="206" t="e">
        <f>VLOOKUP($F147,#REF!,21,1)</f>
        <v>#REF!</v>
      </c>
      <c r="AD147" s="206" t="e">
        <f>VLOOKUP($F147,#REF!,33,1)</f>
        <v>#REF!</v>
      </c>
      <c r="AE147" s="206" t="e">
        <f t="shared" si="8"/>
        <v>#REF!</v>
      </c>
      <c r="AF147" s="206" t="e">
        <v>#N/A</v>
      </c>
      <c r="AG147" s="206" t="e">
        <f>VLOOKUP($F147,#REF!,35,1)</f>
        <v>#REF!</v>
      </c>
      <c r="AH147" s="206" t="e">
        <f t="shared" si="9"/>
        <v>#REF!</v>
      </c>
      <c r="AI147" s="206" t="e">
        <v>#N/A</v>
      </c>
      <c r="AJ147" s="206" t="e">
        <f>VLOOKUP($F147,#REF!,37,1)</f>
        <v>#REF!</v>
      </c>
    </row>
    <row r="148" spans="2:36" s="102" customFormat="1">
      <c r="B148" s="97"/>
      <c r="C148" s="117" t="s">
        <v>1917</v>
      </c>
      <c r="D148" s="98" t="s">
        <v>2240</v>
      </c>
      <c r="E148" s="98" t="s">
        <v>2154</v>
      </c>
      <c r="F148" s="124"/>
      <c r="G148" s="97"/>
      <c r="H148" s="97"/>
      <c r="I148" s="97"/>
      <c r="Q148" s="203"/>
      <c r="R148" s="203"/>
      <c r="S148" s="203"/>
      <c r="T148" s="203"/>
      <c r="U148" s="203"/>
      <c r="V148" s="203"/>
      <c r="W148" s="206" t="e">
        <f>VLOOKUP($F148,#REF!,16,1)</f>
        <v>#REF!</v>
      </c>
      <c r="X148" s="206" t="e">
        <f t="shared" si="10"/>
        <v>#REF!</v>
      </c>
      <c r="Y148" s="206" t="e">
        <v>#N/A</v>
      </c>
      <c r="Z148" s="206" t="e">
        <f>VLOOKUP($F148,#REF!,17,1)</f>
        <v>#REF!</v>
      </c>
      <c r="AA148" s="206" t="e">
        <f t="shared" si="11"/>
        <v>#REF!</v>
      </c>
      <c r="AB148" s="206" t="e">
        <v>#N/A</v>
      </c>
      <c r="AC148" s="206" t="e">
        <f>VLOOKUP($F148,#REF!,21,1)</f>
        <v>#REF!</v>
      </c>
      <c r="AD148" s="206" t="e">
        <f>VLOOKUP($F148,#REF!,33,1)</f>
        <v>#REF!</v>
      </c>
      <c r="AE148" s="206" t="e">
        <f t="shared" si="8"/>
        <v>#REF!</v>
      </c>
      <c r="AF148" s="206" t="e">
        <v>#N/A</v>
      </c>
      <c r="AG148" s="206" t="e">
        <f>VLOOKUP($F148,#REF!,35,1)</f>
        <v>#REF!</v>
      </c>
      <c r="AH148" s="206" t="e">
        <f t="shared" si="9"/>
        <v>#REF!</v>
      </c>
      <c r="AI148" s="206" t="e">
        <v>#N/A</v>
      </c>
      <c r="AJ148" s="206" t="e">
        <f>VLOOKUP($F148,#REF!,37,1)</f>
        <v>#REF!</v>
      </c>
    </row>
    <row r="149" spans="2:36" s="102" customFormat="1">
      <c r="B149" s="97"/>
      <c r="C149" s="117" t="s">
        <v>1917</v>
      </c>
      <c r="D149" s="98" t="s">
        <v>2240</v>
      </c>
      <c r="E149" s="98" t="s">
        <v>2154</v>
      </c>
      <c r="F149" s="124"/>
      <c r="G149" s="97"/>
      <c r="H149" s="97"/>
      <c r="I149" s="97"/>
      <c r="Q149" s="203"/>
      <c r="R149" s="203"/>
      <c r="S149" s="203"/>
      <c r="T149" s="203"/>
      <c r="U149" s="203"/>
      <c r="V149" s="203"/>
      <c r="W149" s="206" t="e">
        <f>VLOOKUP($F149,#REF!,16,1)</f>
        <v>#REF!</v>
      </c>
      <c r="X149" s="206" t="e">
        <f t="shared" si="10"/>
        <v>#REF!</v>
      </c>
      <c r="Y149" s="206" t="e">
        <v>#N/A</v>
      </c>
      <c r="Z149" s="206" t="e">
        <f>VLOOKUP($F149,#REF!,17,1)</f>
        <v>#REF!</v>
      </c>
      <c r="AA149" s="206" t="e">
        <f t="shared" si="11"/>
        <v>#REF!</v>
      </c>
      <c r="AB149" s="206" t="e">
        <v>#N/A</v>
      </c>
      <c r="AC149" s="206" t="e">
        <f>VLOOKUP($F149,#REF!,21,1)</f>
        <v>#REF!</v>
      </c>
      <c r="AD149" s="206" t="e">
        <f>VLOOKUP($F149,#REF!,33,1)</f>
        <v>#REF!</v>
      </c>
      <c r="AE149" s="206" t="e">
        <f t="shared" si="8"/>
        <v>#REF!</v>
      </c>
      <c r="AF149" s="206" t="e">
        <v>#N/A</v>
      </c>
      <c r="AG149" s="206" t="e">
        <f>VLOOKUP($F149,#REF!,35,1)</f>
        <v>#REF!</v>
      </c>
      <c r="AH149" s="206" t="e">
        <f t="shared" si="9"/>
        <v>#REF!</v>
      </c>
      <c r="AI149" s="206" t="e">
        <v>#N/A</v>
      </c>
      <c r="AJ149" s="206" t="e">
        <f>VLOOKUP($F149,#REF!,37,1)</f>
        <v>#REF!</v>
      </c>
    </row>
    <row r="150" spans="2:36" s="102" customFormat="1">
      <c r="B150" s="97"/>
      <c r="C150" s="117" t="s">
        <v>1917</v>
      </c>
      <c r="D150" s="98" t="s">
        <v>2240</v>
      </c>
      <c r="E150" s="98" t="s">
        <v>2154</v>
      </c>
      <c r="F150" s="124"/>
      <c r="G150" s="97"/>
      <c r="H150" s="97"/>
      <c r="I150" s="97"/>
      <c r="Q150" s="203"/>
      <c r="R150" s="203"/>
      <c r="S150" s="203"/>
      <c r="T150" s="203"/>
      <c r="U150" s="203"/>
      <c r="V150" s="203"/>
      <c r="W150" s="206" t="e">
        <f>VLOOKUP($F150,#REF!,16,1)</f>
        <v>#REF!</v>
      </c>
      <c r="X150" s="206" t="e">
        <f t="shared" si="10"/>
        <v>#REF!</v>
      </c>
      <c r="Y150" s="206" t="e">
        <v>#N/A</v>
      </c>
      <c r="Z150" s="206" t="e">
        <f>VLOOKUP($F150,#REF!,17,1)</f>
        <v>#REF!</v>
      </c>
      <c r="AA150" s="206" t="e">
        <f t="shared" si="11"/>
        <v>#REF!</v>
      </c>
      <c r="AB150" s="206" t="e">
        <v>#N/A</v>
      </c>
      <c r="AC150" s="206" t="e">
        <f>VLOOKUP($F150,#REF!,21,1)</f>
        <v>#REF!</v>
      </c>
      <c r="AD150" s="206" t="e">
        <f>VLOOKUP($F150,#REF!,33,1)</f>
        <v>#REF!</v>
      </c>
      <c r="AE150" s="206" t="e">
        <f t="shared" si="8"/>
        <v>#REF!</v>
      </c>
      <c r="AF150" s="206" t="e">
        <v>#N/A</v>
      </c>
      <c r="AG150" s="206" t="e">
        <f>VLOOKUP($F150,#REF!,35,1)</f>
        <v>#REF!</v>
      </c>
      <c r="AH150" s="206" t="e">
        <f t="shared" si="9"/>
        <v>#REF!</v>
      </c>
      <c r="AI150" s="206" t="e">
        <v>#N/A</v>
      </c>
      <c r="AJ150" s="206" t="e">
        <f>VLOOKUP($F150,#REF!,37,1)</f>
        <v>#REF!</v>
      </c>
    </row>
    <row r="151" spans="2:36" s="102" customFormat="1">
      <c r="B151" s="97"/>
      <c r="C151" s="117" t="s">
        <v>1917</v>
      </c>
      <c r="D151" s="98" t="s">
        <v>2240</v>
      </c>
      <c r="E151" s="98" t="s">
        <v>2154</v>
      </c>
      <c r="F151" s="124"/>
      <c r="G151" s="97"/>
      <c r="H151" s="97"/>
      <c r="I151" s="97"/>
      <c r="Q151" s="203"/>
      <c r="R151" s="203"/>
      <c r="S151" s="203"/>
      <c r="T151" s="203"/>
      <c r="U151" s="203"/>
      <c r="V151" s="203"/>
      <c r="W151" s="206" t="e">
        <f>VLOOKUP($F151,#REF!,16,1)</f>
        <v>#REF!</v>
      </c>
      <c r="X151" s="206" t="e">
        <f t="shared" si="10"/>
        <v>#REF!</v>
      </c>
      <c r="Y151" s="206" t="e">
        <v>#N/A</v>
      </c>
      <c r="Z151" s="206" t="e">
        <f>VLOOKUP($F151,#REF!,17,1)</f>
        <v>#REF!</v>
      </c>
      <c r="AA151" s="206" t="e">
        <f t="shared" si="11"/>
        <v>#REF!</v>
      </c>
      <c r="AB151" s="206" t="e">
        <v>#N/A</v>
      </c>
      <c r="AC151" s="206" t="e">
        <f>VLOOKUP($F151,#REF!,21,1)</f>
        <v>#REF!</v>
      </c>
      <c r="AD151" s="206" t="e">
        <f>VLOOKUP($F151,#REF!,33,1)</f>
        <v>#REF!</v>
      </c>
      <c r="AE151" s="206" t="e">
        <f t="shared" si="8"/>
        <v>#REF!</v>
      </c>
      <c r="AF151" s="206" t="e">
        <v>#N/A</v>
      </c>
      <c r="AG151" s="206" t="e">
        <f>VLOOKUP($F151,#REF!,35,1)</f>
        <v>#REF!</v>
      </c>
      <c r="AH151" s="206" t="e">
        <f t="shared" si="9"/>
        <v>#REF!</v>
      </c>
      <c r="AI151" s="206" t="e">
        <v>#N/A</v>
      </c>
      <c r="AJ151" s="206" t="e">
        <f>VLOOKUP($F151,#REF!,37,1)</f>
        <v>#REF!</v>
      </c>
    </row>
    <row r="152" spans="2:36" s="102" customFormat="1">
      <c r="B152" s="97"/>
      <c r="C152" s="117" t="s">
        <v>1917</v>
      </c>
      <c r="D152" s="98" t="s">
        <v>2240</v>
      </c>
      <c r="E152" s="98" t="s">
        <v>2154</v>
      </c>
      <c r="F152" s="124"/>
      <c r="G152" s="97"/>
      <c r="H152" s="97"/>
      <c r="I152" s="97"/>
      <c r="Q152" s="203"/>
      <c r="R152" s="203"/>
      <c r="S152" s="203"/>
      <c r="T152" s="203"/>
      <c r="U152" s="203"/>
      <c r="V152" s="203"/>
      <c r="W152" s="206" t="e">
        <f>VLOOKUP($F152,#REF!,16,1)</f>
        <v>#REF!</v>
      </c>
      <c r="X152" s="206" t="e">
        <f t="shared" si="10"/>
        <v>#REF!</v>
      </c>
      <c r="Y152" s="206" t="e">
        <v>#N/A</v>
      </c>
      <c r="Z152" s="206" t="e">
        <f>VLOOKUP($F152,#REF!,17,1)</f>
        <v>#REF!</v>
      </c>
      <c r="AA152" s="206" t="e">
        <f t="shared" si="11"/>
        <v>#REF!</v>
      </c>
      <c r="AB152" s="206" t="e">
        <v>#N/A</v>
      </c>
      <c r="AC152" s="206" t="e">
        <f>VLOOKUP($F152,#REF!,21,1)</f>
        <v>#REF!</v>
      </c>
      <c r="AD152" s="206" t="e">
        <f>VLOOKUP($F152,#REF!,33,1)</f>
        <v>#REF!</v>
      </c>
      <c r="AE152" s="206" t="e">
        <f t="shared" si="8"/>
        <v>#REF!</v>
      </c>
      <c r="AF152" s="206" t="e">
        <v>#N/A</v>
      </c>
      <c r="AG152" s="206" t="e">
        <f>VLOOKUP($F152,#REF!,35,1)</f>
        <v>#REF!</v>
      </c>
      <c r="AH152" s="206" t="e">
        <f t="shared" si="9"/>
        <v>#REF!</v>
      </c>
      <c r="AI152" s="206" t="e">
        <v>#N/A</v>
      </c>
      <c r="AJ152" s="206" t="e">
        <f>VLOOKUP($F152,#REF!,37,1)</f>
        <v>#REF!</v>
      </c>
    </row>
    <row r="153" spans="2:36" s="102" customFormat="1">
      <c r="B153" s="97"/>
      <c r="C153" s="117" t="s">
        <v>1917</v>
      </c>
      <c r="D153" s="98" t="s">
        <v>2240</v>
      </c>
      <c r="E153" s="98" t="s">
        <v>2154</v>
      </c>
      <c r="F153" s="124"/>
      <c r="G153" s="97"/>
      <c r="H153" s="97"/>
      <c r="I153" s="97"/>
      <c r="Q153" s="203"/>
      <c r="R153" s="203"/>
      <c r="S153" s="203"/>
      <c r="T153" s="203"/>
      <c r="U153" s="203"/>
      <c r="V153" s="203"/>
      <c r="W153" s="206" t="e">
        <f>VLOOKUP($F153,#REF!,16,1)</f>
        <v>#REF!</v>
      </c>
      <c r="X153" s="206" t="e">
        <f t="shared" si="10"/>
        <v>#REF!</v>
      </c>
      <c r="Y153" s="206" t="e">
        <v>#N/A</v>
      </c>
      <c r="Z153" s="206" t="e">
        <f>VLOOKUP($F153,#REF!,17,1)</f>
        <v>#REF!</v>
      </c>
      <c r="AA153" s="206" t="e">
        <f t="shared" si="11"/>
        <v>#REF!</v>
      </c>
      <c r="AB153" s="206" t="e">
        <v>#N/A</v>
      </c>
      <c r="AC153" s="206" t="e">
        <f>VLOOKUP($F153,#REF!,21,1)</f>
        <v>#REF!</v>
      </c>
      <c r="AD153" s="206" t="e">
        <f>VLOOKUP($F153,#REF!,33,1)</f>
        <v>#REF!</v>
      </c>
      <c r="AE153" s="206" t="e">
        <f t="shared" si="8"/>
        <v>#REF!</v>
      </c>
      <c r="AF153" s="206" t="e">
        <v>#N/A</v>
      </c>
      <c r="AG153" s="206" t="e">
        <f>VLOOKUP($F153,#REF!,35,1)</f>
        <v>#REF!</v>
      </c>
      <c r="AH153" s="206" t="e">
        <f t="shared" si="9"/>
        <v>#REF!</v>
      </c>
      <c r="AI153" s="206" t="e">
        <v>#N/A</v>
      </c>
      <c r="AJ153" s="206" t="e">
        <f>VLOOKUP($F153,#REF!,37,1)</f>
        <v>#REF!</v>
      </c>
    </row>
    <row r="154" spans="2:36" s="102" customFormat="1" ht="22.5">
      <c r="B154" s="97"/>
      <c r="C154" s="115" t="s">
        <v>1918</v>
      </c>
      <c r="D154" s="98" t="s">
        <v>2241</v>
      </c>
      <c r="E154" s="98" t="s">
        <v>2154</v>
      </c>
      <c r="F154" s="120" t="s">
        <v>2032</v>
      </c>
      <c r="G154" s="97" t="s">
        <v>1929</v>
      </c>
      <c r="H154" s="97"/>
      <c r="I154" s="97"/>
      <c r="J154" s="48" t="s">
        <v>8</v>
      </c>
      <c r="L154" s="48" t="s">
        <v>8</v>
      </c>
      <c r="Q154" s="206" t="s">
        <v>2161</v>
      </c>
      <c r="R154" s="206">
        <f>ROW(F154)</f>
        <v>154</v>
      </c>
      <c r="S154" s="206" t="str">
        <f>CONCATENATE(";","'",D154,"'!","$B$9:$AL$89",";","21",";","1",")")</f>
        <v>;'M PREDIAL'!$B$9:$AL$89;21;1)</v>
      </c>
      <c r="T154" s="203" t="s">
        <v>2196</v>
      </c>
      <c r="U154" s="206" t="str">
        <f>CONCATENATE("=BUSCARV($E",R154,T154)</f>
        <v>=BUSCARV($E154;'M PREDIAL'!$B$9:$AL$89;21;1)</v>
      </c>
      <c r="V154" s="206"/>
      <c r="W154" s="206" t="e">
        <f>VLOOKUP($F154,#REF!,16,1)</f>
        <v>#REF!</v>
      </c>
      <c r="X154" s="206" t="e">
        <f t="shared" si="10"/>
        <v>#REF!</v>
      </c>
      <c r="Y154" s="206">
        <v>2</v>
      </c>
      <c r="Z154" s="206" t="e">
        <f>VLOOKUP($F154,#REF!,17,1)</f>
        <v>#REF!</v>
      </c>
      <c r="AA154" s="206" t="e">
        <f t="shared" si="11"/>
        <v>#REF!</v>
      </c>
      <c r="AB154" s="206">
        <v>3</v>
      </c>
      <c r="AC154" s="206" t="e">
        <f>VLOOKUP($F154,#REF!,21,1)</f>
        <v>#REF!</v>
      </c>
      <c r="AD154" s="206" t="e">
        <f>VLOOKUP($F154,#REF!,33,1)</f>
        <v>#REF!</v>
      </c>
      <c r="AE154" s="206" t="e">
        <f t="shared" si="8"/>
        <v>#REF!</v>
      </c>
      <c r="AF154" s="206">
        <v>1</v>
      </c>
      <c r="AG154" s="206" t="e">
        <f>VLOOKUP($F154,#REF!,35,1)</f>
        <v>#REF!</v>
      </c>
      <c r="AH154" s="206" t="e">
        <f t="shared" si="9"/>
        <v>#REF!</v>
      </c>
      <c r="AI154" s="206">
        <v>3</v>
      </c>
      <c r="AJ154" s="206" t="e">
        <f>VLOOKUP($F154,#REF!,37,1)</f>
        <v>#REF!</v>
      </c>
    </row>
    <row r="155" spans="2:36" s="102" customFormat="1" ht="22.5">
      <c r="B155" s="97"/>
      <c r="C155" s="115" t="s">
        <v>1918</v>
      </c>
      <c r="D155" s="98" t="s">
        <v>2241</v>
      </c>
      <c r="E155" s="98" t="s">
        <v>2154</v>
      </c>
      <c r="F155" s="120" t="s">
        <v>2121</v>
      </c>
      <c r="G155" s="97" t="s">
        <v>1930</v>
      </c>
      <c r="H155" s="97"/>
      <c r="I155" s="97"/>
      <c r="J155" s="121"/>
      <c r="K155" s="121"/>
      <c r="L155" s="121"/>
      <c r="M155" s="121"/>
      <c r="N155" s="121"/>
      <c r="O155" s="121"/>
      <c r="P155" s="200"/>
      <c r="Q155" s="203"/>
      <c r="R155" s="203"/>
      <c r="S155" s="203"/>
      <c r="T155" s="203"/>
      <c r="U155" s="203"/>
      <c r="V155" s="203"/>
      <c r="W155" s="206"/>
      <c r="X155" s="206">
        <f t="shared" si="10"/>
        <v>1</v>
      </c>
      <c r="Y155" s="206">
        <v>1</v>
      </c>
      <c r="Z155" s="206"/>
      <c r="AA155" s="206">
        <f t="shared" si="11"/>
        <v>1</v>
      </c>
      <c r="AB155" s="206">
        <v>1</v>
      </c>
      <c r="AC155" s="206"/>
      <c r="AD155" s="206"/>
      <c r="AE155" s="206">
        <f t="shared" si="8"/>
        <v>1</v>
      </c>
      <c r="AF155" s="206">
        <v>1</v>
      </c>
      <c r="AG155" s="206"/>
      <c r="AH155" s="206">
        <f t="shared" si="9"/>
        <v>1</v>
      </c>
      <c r="AI155" s="206">
        <v>1</v>
      </c>
      <c r="AJ155" s="206"/>
    </row>
    <row r="156" spans="2:36" s="102" customFormat="1" ht="22.5">
      <c r="B156" s="97"/>
      <c r="C156" s="115" t="s">
        <v>1918</v>
      </c>
      <c r="D156" s="98" t="s">
        <v>2241</v>
      </c>
      <c r="E156" s="98" t="s">
        <v>2154</v>
      </c>
      <c r="F156" s="120" t="s">
        <v>2033</v>
      </c>
      <c r="G156" s="97" t="s">
        <v>1929</v>
      </c>
      <c r="H156" s="97"/>
      <c r="I156" s="97"/>
      <c r="J156" s="48" t="s">
        <v>8</v>
      </c>
      <c r="Q156" s="203"/>
      <c r="R156" s="203"/>
      <c r="S156" s="203"/>
      <c r="T156" s="203"/>
      <c r="U156" s="203"/>
      <c r="V156" s="203"/>
      <c r="W156" s="206" t="e">
        <f>VLOOKUP($F156,#REF!,16,1)</f>
        <v>#REF!</v>
      </c>
      <c r="X156" s="206" t="e">
        <f t="shared" si="10"/>
        <v>#REF!</v>
      </c>
      <c r="Y156" s="206">
        <v>3</v>
      </c>
      <c r="Z156" s="206" t="e">
        <f>VLOOKUP($F156,#REF!,17,1)</f>
        <v>#REF!</v>
      </c>
      <c r="AA156" s="206" t="e">
        <f t="shared" si="11"/>
        <v>#REF!</v>
      </c>
      <c r="AB156" s="206">
        <v>3</v>
      </c>
      <c r="AC156" s="206" t="e">
        <f>VLOOKUP($F156,#REF!,21,1)</f>
        <v>#REF!</v>
      </c>
      <c r="AD156" s="206" t="e">
        <f>VLOOKUP($F156,#REF!,33,1)</f>
        <v>#REF!</v>
      </c>
      <c r="AE156" s="206" t="e">
        <f t="shared" si="8"/>
        <v>#REF!</v>
      </c>
      <c r="AF156" s="206">
        <v>1</v>
      </c>
      <c r="AG156" s="206" t="e">
        <f>VLOOKUP($F156,#REF!,35,1)</f>
        <v>#REF!</v>
      </c>
      <c r="AH156" s="206" t="e">
        <f t="shared" si="9"/>
        <v>#REF!</v>
      </c>
      <c r="AI156" s="206">
        <v>1</v>
      </c>
      <c r="AJ156" s="206" t="e">
        <f>VLOOKUP($F156,#REF!,37,1)</f>
        <v>#REF!</v>
      </c>
    </row>
    <row r="157" spans="2:36" s="102" customFormat="1" ht="22.5">
      <c r="B157" s="97"/>
      <c r="C157" s="115" t="s">
        <v>1918</v>
      </c>
      <c r="D157" s="98" t="s">
        <v>2241</v>
      </c>
      <c r="E157" s="98" t="s">
        <v>2154</v>
      </c>
      <c r="F157" s="120" t="s">
        <v>2034</v>
      </c>
      <c r="G157" s="97" t="s">
        <v>1929</v>
      </c>
      <c r="H157" s="97"/>
      <c r="I157" s="97"/>
      <c r="J157" s="48" t="s">
        <v>8</v>
      </c>
      <c r="L157" s="48" t="s">
        <v>8</v>
      </c>
      <c r="Q157" s="203"/>
      <c r="R157" s="203"/>
      <c r="S157" s="203"/>
      <c r="T157" s="203"/>
      <c r="U157" s="203"/>
      <c r="V157" s="203"/>
      <c r="W157" s="206" t="e">
        <f>VLOOKUP($F157,#REF!,16,1)</f>
        <v>#REF!</v>
      </c>
      <c r="X157" s="206" t="e">
        <f t="shared" si="10"/>
        <v>#REF!</v>
      </c>
      <c r="Y157" s="206">
        <v>3</v>
      </c>
      <c r="Z157" s="206" t="e">
        <f>VLOOKUP($F157,#REF!,17,1)</f>
        <v>#REF!</v>
      </c>
      <c r="AA157" s="206" t="e">
        <f t="shared" si="11"/>
        <v>#REF!</v>
      </c>
      <c r="AB157" s="206">
        <v>4</v>
      </c>
      <c r="AC157" s="206" t="e">
        <f>VLOOKUP($F157,#REF!,21,1)</f>
        <v>#REF!</v>
      </c>
      <c r="AD157" s="206" t="e">
        <f>VLOOKUP($F157,#REF!,33,1)</f>
        <v>#REF!</v>
      </c>
      <c r="AE157" s="206" t="e">
        <f t="shared" si="8"/>
        <v>#REF!</v>
      </c>
      <c r="AF157" s="206">
        <v>1</v>
      </c>
      <c r="AG157" s="206" t="e">
        <f>VLOOKUP($F157,#REF!,35,1)</f>
        <v>#REF!</v>
      </c>
      <c r="AH157" s="206" t="e">
        <f t="shared" si="9"/>
        <v>#REF!</v>
      </c>
      <c r="AI157" s="206">
        <v>2</v>
      </c>
      <c r="AJ157" s="206" t="e">
        <f>VLOOKUP($F157,#REF!,37,1)</f>
        <v>#REF!</v>
      </c>
    </row>
    <row r="158" spans="2:36" s="102" customFormat="1" ht="22.5">
      <c r="B158" s="97"/>
      <c r="C158" s="115" t="s">
        <v>1918</v>
      </c>
      <c r="D158" s="98" t="s">
        <v>2241</v>
      </c>
      <c r="E158" s="98" t="s">
        <v>2154</v>
      </c>
      <c r="F158" s="120" t="s">
        <v>2035</v>
      </c>
      <c r="G158" s="97" t="s">
        <v>1929</v>
      </c>
      <c r="H158" s="97"/>
      <c r="I158" s="97"/>
      <c r="J158" s="48" t="s">
        <v>8</v>
      </c>
      <c r="Q158" s="203"/>
      <c r="R158" s="203"/>
      <c r="S158" s="203"/>
      <c r="T158" s="203"/>
      <c r="U158" s="203"/>
      <c r="V158" s="203"/>
      <c r="W158" s="206" t="e">
        <f>VLOOKUP($F158,#REF!,16,1)</f>
        <v>#REF!</v>
      </c>
      <c r="X158" s="206" t="e">
        <f t="shared" si="10"/>
        <v>#REF!</v>
      </c>
      <c r="Y158" s="206">
        <v>3</v>
      </c>
      <c r="Z158" s="206" t="e">
        <f>VLOOKUP($F158,#REF!,17,1)</f>
        <v>#REF!</v>
      </c>
      <c r="AA158" s="206" t="e">
        <f t="shared" si="11"/>
        <v>#REF!</v>
      </c>
      <c r="AB158" s="206">
        <v>4</v>
      </c>
      <c r="AC158" s="206" t="e">
        <f>VLOOKUP($F158,#REF!,21,1)</f>
        <v>#REF!</v>
      </c>
      <c r="AD158" s="206" t="e">
        <f>VLOOKUP($F158,#REF!,33,1)</f>
        <v>#REF!</v>
      </c>
      <c r="AE158" s="206" t="e">
        <f t="shared" si="8"/>
        <v>#REF!</v>
      </c>
      <c r="AF158" s="206">
        <v>1</v>
      </c>
      <c r="AG158" s="206" t="e">
        <f>VLOOKUP($F158,#REF!,35,1)</f>
        <v>#REF!</v>
      </c>
      <c r="AH158" s="206" t="e">
        <f t="shared" si="9"/>
        <v>#REF!</v>
      </c>
      <c r="AI158" s="206">
        <v>4</v>
      </c>
      <c r="AJ158" s="206" t="e">
        <f>VLOOKUP($F158,#REF!,37,1)</f>
        <v>#REF!</v>
      </c>
    </row>
    <row r="159" spans="2:36" s="102" customFormat="1" ht="22.5">
      <c r="B159" s="97"/>
      <c r="C159" s="115" t="s">
        <v>1918</v>
      </c>
      <c r="D159" s="98" t="s">
        <v>2241</v>
      </c>
      <c r="E159" s="98" t="s">
        <v>2154</v>
      </c>
      <c r="F159" s="120" t="s">
        <v>2122</v>
      </c>
      <c r="G159" s="97" t="s">
        <v>1930</v>
      </c>
      <c r="H159" s="97"/>
      <c r="I159" s="97"/>
      <c r="J159" s="121"/>
      <c r="K159" s="121"/>
      <c r="L159" s="121"/>
      <c r="M159" s="121"/>
      <c r="N159" s="121"/>
      <c r="O159" s="121"/>
      <c r="P159" s="200"/>
      <c r="Q159" s="203"/>
      <c r="R159" s="203"/>
      <c r="S159" s="203"/>
      <c r="T159" s="203"/>
      <c r="U159" s="203"/>
      <c r="V159" s="203"/>
      <c r="W159" s="206"/>
      <c r="X159" s="206">
        <f t="shared" si="10"/>
        <v>1</v>
      </c>
      <c r="Y159" s="206">
        <v>1</v>
      </c>
      <c r="Z159" s="206"/>
      <c r="AA159" s="206">
        <f t="shared" si="11"/>
        <v>1</v>
      </c>
      <c r="AB159" s="206">
        <v>1</v>
      </c>
      <c r="AC159" s="206"/>
      <c r="AD159" s="206"/>
      <c r="AE159" s="206">
        <f t="shared" si="8"/>
        <v>1</v>
      </c>
      <c r="AF159" s="206">
        <v>1</v>
      </c>
      <c r="AG159" s="206"/>
      <c r="AH159" s="206">
        <f t="shared" si="9"/>
        <v>1</v>
      </c>
      <c r="AI159" s="206">
        <v>1</v>
      </c>
      <c r="AJ159" s="206"/>
    </row>
    <row r="160" spans="2:36" s="102" customFormat="1" ht="22.5">
      <c r="B160" s="97"/>
      <c r="C160" s="115" t="s">
        <v>1918</v>
      </c>
      <c r="D160" s="98" t="s">
        <v>2241</v>
      </c>
      <c r="E160" s="98" t="s">
        <v>2154</v>
      </c>
      <c r="F160" s="120" t="s">
        <v>2036</v>
      </c>
      <c r="G160" s="97" t="s">
        <v>1929</v>
      </c>
      <c r="H160" s="97"/>
      <c r="I160" s="97"/>
      <c r="J160" s="48" t="s">
        <v>8</v>
      </c>
      <c r="Q160" s="203"/>
      <c r="R160" s="203"/>
      <c r="S160" s="203"/>
      <c r="T160" s="203"/>
      <c r="U160" s="203"/>
      <c r="V160" s="203"/>
      <c r="W160" s="206" t="e">
        <f>VLOOKUP($F160,#REF!,16,1)</f>
        <v>#REF!</v>
      </c>
      <c r="X160" s="206" t="e">
        <f t="shared" si="10"/>
        <v>#REF!</v>
      </c>
      <c r="Y160" s="206">
        <v>3</v>
      </c>
      <c r="Z160" s="206" t="e">
        <f>VLOOKUP($F160,#REF!,17,1)</f>
        <v>#REF!</v>
      </c>
      <c r="AA160" s="206" t="e">
        <f t="shared" si="11"/>
        <v>#REF!</v>
      </c>
      <c r="AB160" s="206">
        <v>4</v>
      </c>
      <c r="AC160" s="206" t="e">
        <f>VLOOKUP($F160,#REF!,21,1)</f>
        <v>#REF!</v>
      </c>
      <c r="AD160" s="206" t="e">
        <f>VLOOKUP($F160,#REF!,33,1)</f>
        <v>#REF!</v>
      </c>
      <c r="AE160" s="206" t="e">
        <f t="shared" si="8"/>
        <v>#REF!</v>
      </c>
      <c r="AF160" s="206">
        <v>1</v>
      </c>
      <c r="AG160" s="206" t="e">
        <f>VLOOKUP($F160,#REF!,35,1)</f>
        <v>#REF!</v>
      </c>
      <c r="AH160" s="206" t="e">
        <f t="shared" si="9"/>
        <v>#REF!</v>
      </c>
      <c r="AI160" s="206">
        <v>2</v>
      </c>
      <c r="AJ160" s="206" t="e">
        <f>VLOOKUP($F160,#REF!,37,1)</f>
        <v>#REF!</v>
      </c>
    </row>
    <row r="161" spans="2:36" s="102" customFormat="1" ht="22.5">
      <c r="B161" s="97"/>
      <c r="C161" s="115" t="s">
        <v>1918</v>
      </c>
      <c r="D161" s="98" t="s">
        <v>2241</v>
      </c>
      <c r="E161" s="98" t="s">
        <v>2154</v>
      </c>
      <c r="F161" s="120" t="s">
        <v>2031</v>
      </c>
      <c r="G161" s="97" t="s">
        <v>1929</v>
      </c>
      <c r="H161" s="97"/>
      <c r="I161" s="97"/>
      <c r="N161" s="48" t="s">
        <v>8</v>
      </c>
      <c r="Q161" s="203"/>
      <c r="R161" s="203"/>
      <c r="S161" s="203"/>
      <c r="T161" s="203"/>
      <c r="U161" s="203"/>
      <c r="V161" s="203"/>
      <c r="W161" s="206" t="e">
        <f>VLOOKUP($F161,#REF!,16,1)</f>
        <v>#REF!</v>
      </c>
      <c r="X161" s="206" t="e">
        <f t="shared" si="10"/>
        <v>#REF!</v>
      </c>
      <c r="Y161" s="206">
        <v>3</v>
      </c>
      <c r="Z161" s="206" t="e">
        <f>VLOOKUP($F161,#REF!,17,1)</f>
        <v>#REF!</v>
      </c>
      <c r="AA161" s="206" t="e">
        <f t="shared" si="11"/>
        <v>#REF!</v>
      </c>
      <c r="AB161" s="206">
        <v>3</v>
      </c>
      <c r="AC161" s="206" t="e">
        <f>VLOOKUP($F161,#REF!,21,1)</f>
        <v>#REF!</v>
      </c>
      <c r="AD161" s="206" t="e">
        <f>VLOOKUP($F161,#REF!,33,1)</f>
        <v>#REF!</v>
      </c>
      <c r="AE161" s="206" t="e">
        <f t="shared" si="8"/>
        <v>#REF!</v>
      </c>
      <c r="AF161" s="206">
        <v>1</v>
      </c>
      <c r="AG161" s="206" t="e">
        <f>VLOOKUP($F161,#REF!,35,1)</f>
        <v>#REF!</v>
      </c>
      <c r="AH161" s="206" t="e">
        <f t="shared" si="9"/>
        <v>#REF!</v>
      </c>
      <c r="AI161" s="206">
        <v>3</v>
      </c>
      <c r="AJ161" s="206" t="e">
        <f>VLOOKUP($F161,#REF!,37,1)</f>
        <v>#REF!</v>
      </c>
    </row>
    <row r="162" spans="2:36" s="102" customFormat="1" ht="22.5">
      <c r="B162" s="97"/>
      <c r="C162" s="115" t="s">
        <v>1918</v>
      </c>
      <c r="D162" s="98" t="s">
        <v>2241</v>
      </c>
      <c r="E162" s="98" t="s">
        <v>2154</v>
      </c>
      <c r="F162" s="124"/>
      <c r="G162" s="97"/>
      <c r="H162" s="97"/>
      <c r="I162" s="97"/>
      <c r="Q162" s="203"/>
      <c r="R162" s="203"/>
      <c r="S162" s="203"/>
      <c r="T162" s="203"/>
      <c r="U162" s="203"/>
      <c r="V162" s="203"/>
      <c r="W162" s="206" t="e">
        <f>VLOOKUP($F162,#REF!,16,1)</f>
        <v>#REF!</v>
      </c>
      <c r="X162" s="206" t="e">
        <f t="shared" si="10"/>
        <v>#REF!</v>
      </c>
      <c r="Y162" s="206" t="e">
        <v>#N/A</v>
      </c>
      <c r="Z162" s="206" t="e">
        <f>VLOOKUP($F162,#REF!,17,1)</f>
        <v>#REF!</v>
      </c>
      <c r="AA162" s="206" t="e">
        <f t="shared" si="11"/>
        <v>#REF!</v>
      </c>
      <c r="AB162" s="206" t="e">
        <v>#N/A</v>
      </c>
      <c r="AC162" s="206" t="e">
        <f>VLOOKUP($F162,#REF!,21,1)</f>
        <v>#REF!</v>
      </c>
      <c r="AD162" s="206" t="e">
        <f>VLOOKUP($F162,#REF!,33,1)</f>
        <v>#REF!</v>
      </c>
      <c r="AE162" s="206" t="e">
        <f t="shared" si="8"/>
        <v>#REF!</v>
      </c>
      <c r="AF162" s="206" t="e">
        <v>#N/A</v>
      </c>
      <c r="AG162" s="206" t="e">
        <f>VLOOKUP($F162,#REF!,35,1)</f>
        <v>#REF!</v>
      </c>
      <c r="AH162" s="206" t="e">
        <f t="shared" si="9"/>
        <v>#REF!</v>
      </c>
      <c r="AI162" s="206" t="e">
        <v>#N/A</v>
      </c>
      <c r="AJ162" s="206" t="e">
        <f>VLOOKUP($F162,#REF!,37,1)</f>
        <v>#REF!</v>
      </c>
    </row>
    <row r="163" spans="2:36" s="102" customFormat="1" ht="22.5">
      <c r="B163" s="97"/>
      <c r="C163" s="115" t="s">
        <v>1918</v>
      </c>
      <c r="D163" s="98" t="s">
        <v>2241</v>
      </c>
      <c r="E163" s="98" t="s">
        <v>2154</v>
      </c>
      <c r="F163" s="124"/>
      <c r="G163" s="97"/>
      <c r="H163" s="97"/>
      <c r="I163" s="97"/>
      <c r="Q163" s="203"/>
      <c r="R163" s="203"/>
      <c r="S163" s="203"/>
      <c r="T163" s="203"/>
      <c r="U163" s="203"/>
      <c r="V163" s="203"/>
      <c r="W163" s="206" t="e">
        <f>VLOOKUP($F163,#REF!,16,1)</f>
        <v>#REF!</v>
      </c>
      <c r="X163" s="206" t="e">
        <f t="shared" si="10"/>
        <v>#REF!</v>
      </c>
      <c r="Y163" s="206" t="e">
        <v>#N/A</v>
      </c>
      <c r="Z163" s="206" t="e">
        <f>VLOOKUP($F163,#REF!,17,1)</f>
        <v>#REF!</v>
      </c>
      <c r="AA163" s="206" t="e">
        <f t="shared" si="11"/>
        <v>#REF!</v>
      </c>
      <c r="AB163" s="206" t="e">
        <v>#N/A</v>
      </c>
      <c r="AC163" s="206" t="e">
        <f>VLOOKUP($F163,#REF!,21,1)</f>
        <v>#REF!</v>
      </c>
      <c r="AD163" s="206" t="e">
        <f>VLOOKUP($F163,#REF!,33,1)</f>
        <v>#REF!</v>
      </c>
      <c r="AE163" s="206" t="e">
        <f t="shared" si="8"/>
        <v>#REF!</v>
      </c>
      <c r="AF163" s="206" t="e">
        <v>#N/A</v>
      </c>
      <c r="AG163" s="206" t="e">
        <f>VLOOKUP($F163,#REF!,35,1)</f>
        <v>#REF!</v>
      </c>
      <c r="AH163" s="206" t="e">
        <f t="shared" si="9"/>
        <v>#REF!</v>
      </c>
      <c r="AI163" s="206" t="e">
        <v>#N/A</v>
      </c>
      <c r="AJ163" s="206" t="e">
        <f>VLOOKUP($F163,#REF!,37,1)</f>
        <v>#REF!</v>
      </c>
    </row>
    <row r="164" spans="2:36" s="102" customFormat="1" ht="22.5">
      <c r="B164" s="97"/>
      <c r="C164" s="115" t="s">
        <v>1918</v>
      </c>
      <c r="D164" s="98" t="s">
        <v>2241</v>
      </c>
      <c r="E164" s="98" t="s">
        <v>2154</v>
      </c>
      <c r="F164" s="124"/>
      <c r="G164" s="97"/>
      <c r="H164" s="97"/>
      <c r="I164" s="97"/>
      <c r="Q164" s="203"/>
      <c r="R164" s="203"/>
      <c r="S164" s="203"/>
      <c r="T164" s="203"/>
      <c r="U164" s="203"/>
      <c r="V164" s="203"/>
      <c r="W164" s="206" t="e">
        <f>VLOOKUP($F164,#REF!,16,1)</f>
        <v>#REF!</v>
      </c>
      <c r="X164" s="206" t="e">
        <f t="shared" si="10"/>
        <v>#REF!</v>
      </c>
      <c r="Y164" s="206" t="e">
        <v>#N/A</v>
      </c>
      <c r="Z164" s="206" t="e">
        <f>VLOOKUP($F164,#REF!,17,1)</f>
        <v>#REF!</v>
      </c>
      <c r="AA164" s="206" t="e">
        <f t="shared" si="11"/>
        <v>#REF!</v>
      </c>
      <c r="AB164" s="206" t="e">
        <v>#N/A</v>
      </c>
      <c r="AC164" s="206" t="e">
        <f>VLOOKUP($F164,#REF!,21,1)</f>
        <v>#REF!</v>
      </c>
      <c r="AD164" s="206" t="e">
        <f>VLOOKUP($F164,#REF!,33,1)</f>
        <v>#REF!</v>
      </c>
      <c r="AE164" s="206" t="e">
        <f t="shared" si="8"/>
        <v>#REF!</v>
      </c>
      <c r="AF164" s="206" t="e">
        <v>#N/A</v>
      </c>
      <c r="AG164" s="206" t="e">
        <f>VLOOKUP($F164,#REF!,35,1)</f>
        <v>#REF!</v>
      </c>
      <c r="AH164" s="206" t="e">
        <f t="shared" si="9"/>
        <v>#REF!</v>
      </c>
      <c r="AI164" s="206" t="e">
        <v>#N/A</v>
      </c>
      <c r="AJ164" s="206" t="e">
        <f>VLOOKUP($F164,#REF!,37,1)</f>
        <v>#REF!</v>
      </c>
    </row>
    <row r="165" spans="2:36" s="102" customFormat="1" ht="22.5">
      <c r="B165" s="97"/>
      <c r="C165" s="115" t="s">
        <v>1918</v>
      </c>
      <c r="D165" s="98" t="s">
        <v>2241</v>
      </c>
      <c r="E165" s="98" t="s">
        <v>2154</v>
      </c>
      <c r="F165" s="124"/>
      <c r="G165" s="97"/>
      <c r="H165" s="97"/>
      <c r="I165" s="97"/>
      <c r="Q165" s="203"/>
      <c r="R165" s="203"/>
      <c r="S165" s="203"/>
      <c r="T165" s="203"/>
      <c r="U165" s="203"/>
      <c r="V165" s="203"/>
      <c r="W165" s="206" t="e">
        <f>VLOOKUP($F165,#REF!,16,1)</f>
        <v>#REF!</v>
      </c>
      <c r="X165" s="206" t="e">
        <f t="shared" si="10"/>
        <v>#REF!</v>
      </c>
      <c r="Y165" s="206" t="e">
        <v>#N/A</v>
      </c>
      <c r="Z165" s="206" t="e">
        <f>VLOOKUP($F165,#REF!,17,1)</f>
        <v>#REF!</v>
      </c>
      <c r="AA165" s="206" t="e">
        <f t="shared" si="11"/>
        <v>#REF!</v>
      </c>
      <c r="AB165" s="206" t="e">
        <v>#N/A</v>
      </c>
      <c r="AC165" s="206" t="e">
        <f>VLOOKUP($F165,#REF!,21,1)</f>
        <v>#REF!</v>
      </c>
      <c r="AD165" s="206" t="e">
        <f>VLOOKUP($F165,#REF!,33,1)</f>
        <v>#REF!</v>
      </c>
      <c r="AE165" s="206" t="e">
        <f t="shared" si="8"/>
        <v>#REF!</v>
      </c>
      <c r="AF165" s="206" t="e">
        <v>#N/A</v>
      </c>
      <c r="AG165" s="206" t="e">
        <f>VLOOKUP($F165,#REF!,35,1)</f>
        <v>#REF!</v>
      </c>
      <c r="AH165" s="206" t="e">
        <f t="shared" si="9"/>
        <v>#REF!</v>
      </c>
      <c r="AI165" s="206" t="e">
        <v>#N/A</v>
      </c>
      <c r="AJ165" s="206" t="e">
        <f>VLOOKUP($F165,#REF!,37,1)</f>
        <v>#REF!</v>
      </c>
    </row>
    <row r="166" spans="2:36" s="102" customFormat="1" ht="22.5">
      <c r="B166" s="97"/>
      <c r="C166" s="115" t="s">
        <v>1918</v>
      </c>
      <c r="D166" s="98" t="s">
        <v>2241</v>
      </c>
      <c r="E166" s="98" t="s">
        <v>2154</v>
      </c>
      <c r="F166" s="124"/>
      <c r="G166" s="97"/>
      <c r="H166" s="97"/>
      <c r="I166" s="97"/>
      <c r="Q166" s="203"/>
      <c r="R166" s="203"/>
      <c r="S166" s="203"/>
      <c r="T166" s="203"/>
      <c r="U166" s="203"/>
      <c r="V166" s="203"/>
      <c r="W166" s="206" t="e">
        <f>VLOOKUP($F166,#REF!,16,1)</f>
        <v>#REF!</v>
      </c>
      <c r="X166" s="206" t="e">
        <f t="shared" si="10"/>
        <v>#REF!</v>
      </c>
      <c r="Y166" s="206" t="e">
        <v>#N/A</v>
      </c>
      <c r="Z166" s="206" t="e">
        <f>VLOOKUP($F166,#REF!,17,1)</f>
        <v>#REF!</v>
      </c>
      <c r="AA166" s="206" t="e">
        <f t="shared" si="11"/>
        <v>#REF!</v>
      </c>
      <c r="AB166" s="206" t="e">
        <v>#N/A</v>
      </c>
      <c r="AC166" s="206" t="e">
        <f>VLOOKUP($F166,#REF!,21,1)</f>
        <v>#REF!</v>
      </c>
      <c r="AD166" s="206" t="e">
        <f>VLOOKUP($F166,#REF!,33,1)</f>
        <v>#REF!</v>
      </c>
      <c r="AE166" s="206" t="e">
        <f t="shared" si="8"/>
        <v>#REF!</v>
      </c>
      <c r="AF166" s="206" t="e">
        <v>#N/A</v>
      </c>
      <c r="AG166" s="206" t="e">
        <f>VLOOKUP($F166,#REF!,35,1)</f>
        <v>#REF!</v>
      </c>
      <c r="AH166" s="206" t="e">
        <f t="shared" si="9"/>
        <v>#REF!</v>
      </c>
      <c r="AI166" s="206" t="e">
        <v>#N/A</v>
      </c>
      <c r="AJ166" s="206" t="e">
        <f>VLOOKUP($F166,#REF!,37,1)</f>
        <v>#REF!</v>
      </c>
    </row>
    <row r="167" spans="2:36" s="102" customFormat="1" ht="22.5">
      <c r="B167" s="97"/>
      <c r="C167" s="115" t="s">
        <v>1918</v>
      </c>
      <c r="D167" s="98" t="s">
        <v>2241</v>
      </c>
      <c r="E167" s="98" t="s">
        <v>2154</v>
      </c>
      <c r="F167" s="124"/>
      <c r="G167" s="97"/>
      <c r="H167" s="97"/>
      <c r="I167" s="97"/>
      <c r="Q167" s="203"/>
      <c r="R167" s="203"/>
      <c r="S167" s="203"/>
      <c r="T167" s="203"/>
      <c r="U167" s="203"/>
      <c r="V167" s="203"/>
      <c r="W167" s="206" t="e">
        <f>VLOOKUP($F167,#REF!,16,1)</f>
        <v>#REF!</v>
      </c>
      <c r="X167" s="206" t="e">
        <f t="shared" si="10"/>
        <v>#REF!</v>
      </c>
      <c r="Y167" s="206" t="e">
        <v>#N/A</v>
      </c>
      <c r="Z167" s="206" t="e">
        <f>VLOOKUP($F167,#REF!,17,1)</f>
        <v>#REF!</v>
      </c>
      <c r="AA167" s="206" t="e">
        <f t="shared" si="11"/>
        <v>#REF!</v>
      </c>
      <c r="AB167" s="206" t="e">
        <v>#N/A</v>
      </c>
      <c r="AC167" s="206" t="e">
        <f>VLOOKUP($F167,#REF!,21,1)</f>
        <v>#REF!</v>
      </c>
      <c r="AD167" s="206" t="e">
        <f>VLOOKUP($F167,#REF!,33,1)</f>
        <v>#REF!</v>
      </c>
      <c r="AE167" s="206" t="e">
        <f t="shared" si="8"/>
        <v>#REF!</v>
      </c>
      <c r="AF167" s="206" t="e">
        <v>#N/A</v>
      </c>
      <c r="AG167" s="206" t="e">
        <f>VLOOKUP($F167,#REF!,35,1)</f>
        <v>#REF!</v>
      </c>
      <c r="AH167" s="206" t="e">
        <f t="shared" si="9"/>
        <v>#REF!</v>
      </c>
      <c r="AI167" s="206" t="e">
        <v>#N/A</v>
      </c>
      <c r="AJ167" s="206" t="e">
        <f>VLOOKUP($F167,#REF!,37,1)</f>
        <v>#REF!</v>
      </c>
    </row>
    <row r="168" spans="2:36" s="102" customFormat="1" ht="22.5">
      <c r="B168" s="97"/>
      <c r="C168" s="115" t="s">
        <v>1918</v>
      </c>
      <c r="D168" s="98" t="s">
        <v>2241</v>
      </c>
      <c r="E168" s="98" t="s">
        <v>2154</v>
      </c>
      <c r="F168" s="124"/>
      <c r="G168" s="97"/>
      <c r="H168" s="97"/>
      <c r="I168" s="97"/>
      <c r="Q168" s="203"/>
      <c r="R168" s="203"/>
      <c r="S168" s="203"/>
      <c r="T168" s="203"/>
      <c r="U168" s="203"/>
      <c r="V168" s="203"/>
      <c r="W168" s="206" t="e">
        <f>VLOOKUP($F168,#REF!,16,1)</f>
        <v>#REF!</v>
      </c>
      <c r="X168" s="206" t="e">
        <f t="shared" si="10"/>
        <v>#REF!</v>
      </c>
      <c r="Y168" s="206" t="e">
        <v>#N/A</v>
      </c>
      <c r="Z168" s="206" t="e">
        <f>VLOOKUP($F168,#REF!,17,1)</f>
        <v>#REF!</v>
      </c>
      <c r="AA168" s="206" t="e">
        <f t="shared" si="11"/>
        <v>#REF!</v>
      </c>
      <c r="AB168" s="206" t="e">
        <v>#N/A</v>
      </c>
      <c r="AC168" s="206" t="e">
        <f>VLOOKUP($F168,#REF!,21,1)</f>
        <v>#REF!</v>
      </c>
      <c r="AD168" s="206" t="e">
        <f>VLOOKUP($F168,#REF!,33,1)</f>
        <v>#REF!</v>
      </c>
      <c r="AE168" s="206" t="e">
        <f t="shared" si="8"/>
        <v>#REF!</v>
      </c>
      <c r="AF168" s="206" t="e">
        <v>#N/A</v>
      </c>
      <c r="AG168" s="206" t="e">
        <f>VLOOKUP($F168,#REF!,35,1)</f>
        <v>#REF!</v>
      </c>
      <c r="AH168" s="206" t="e">
        <f t="shared" si="9"/>
        <v>#REF!</v>
      </c>
      <c r="AI168" s="206" t="e">
        <v>#N/A</v>
      </c>
      <c r="AJ168" s="206" t="e">
        <f>VLOOKUP($F168,#REF!,37,1)</f>
        <v>#REF!</v>
      </c>
    </row>
    <row r="169" spans="2:36" s="102" customFormat="1">
      <c r="B169" s="97"/>
      <c r="C169" s="109" t="s">
        <v>1919</v>
      </c>
      <c r="D169" s="98" t="s">
        <v>2242</v>
      </c>
      <c r="E169" s="98" t="s">
        <v>2154</v>
      </c>
      <c r="F169" s="120" t="s">
        <v>2123</v>
      </c>
      <c r="G169" s="97" t="s">
        <v>1930</v>
      </c>
      <c r="H169" s="97"/>
      <c r="I169" s="97"/>
      <c r="J169" s="122"/>
      <c r="K169" s="122"/>
      <c r="L169" s="122"/>
      <c r="M169" s="122"/>
      <c r="N169" s="122"/>
      <c r="O169" s="122"/>
      <c r="P169" s="200"/>
      <c r="Q169" s="206" t="s">
        <v>2161</v>
      </c>
      <c r="R169" s="206">
        <f>ROW(F169)</f>
        <v>169</v>
      </c>
      <c r="S169" s="203"/>
      <c r="T169" s="203"/>
      <c r="U169" s="203"/>
      <c r="V169" s="203"/>
      <c r="W169" s="203"/>
      <c r="X169" s="206">
        <f t="shared" si="10"/>
        <v>1</v>
      </c>
      <c r="Y169" s="206">
        <v>1</v>
      </c>
      <c r="Z169" s="203"/>
      <c r="AA169" s="206">
        <f t="shared" si="11"/>
        <v>1</v>
      </c>
      <c r="AB169" s="206">
        <v>1</v>
      </c>
      <c r="AC169" s="203"/>
      <c r="AD169" s="203"/>
      <c r="AE169" s="206">
        <f t="shared" si="8"/>
        <v>1</v>
      </c>
      <c r="AF169" s="206">
        <v>1</v>
      </c>
      <c r="AG169" s="203"/>
      <c r="AH169" s="206">
        <f t="shared" si="9"/>
        <v>1</v>
      </c>
      <c r="AI169" s="206">
        <v>1</v>
      </c>
      <c r="AJ169" s="203"/>
    </row>
    <row r="170" spans="2:36" s="102" customFormat="1">
      <c r="B170" s="97"/>
      <c r="C170" s="109" t="s">
        <v>1919</v>
      </c>
      <c r="D170" s="98" t="s">
        <v>2242</v>
      </c>
      <c r="E170" s="98" t="s">
        <v>2154</v>
      </c>
      <c r="F170" s="120" t="s">
        <v>2037</v>
      </c>
      <c r="G170" s="97" t="s">
        <v>1929</v>
      </c>
      <c r="H170" s="97"/>
      <c r="I170" s="97"/>
      <c r="J170" s="48" t="s">
        <v>8</v>
      </c>
      <c r="K170" s="48" t="s">
        <v>8</v>
      </c>
      <c r="Q170" s="206" t="s">
        <v>2161</v>
      </c>
      <c r="R170" s="206">
        <f>ROW(F170)</f>
        <v>170</v>
      </c>
      <c r="S170" s="206" t="str">
        <f>CONCATENATE(";","'",D170,"'!","$B$9:$AL$89",";","21",";","1",")")</f>
        <v>;'M DISEÑO P.'!$B$9:$AL$89;21;1)</v>
      </c>
      <c r="T170" s="203" t="s">
        <v>2197</v>
      </c>
      <c r="U170" s="206" t="str">
        <f>CONCATENATE("=BUSCARV($E",R170,T170)</f>
        <v>=BUSCARV($E170;'M DISEÑO P.'!$B$9:$AL$89;21;1)</v>
      </c>
      <c r="V170" s="206"/>
      <c r="W170" s="203" t="e">
        <f>VLOOKUP($F170,#REF!,16,1)</f>
        <v>#REF!</v>
      </c>
      <c r="X170" s="206" t="e">
        <f t="shared" si="10"/>
        <v>#REF!</v>
      </c>
      <c r="Y170" s="206">
        <v>4</v>
      </c>
      <c r="Z170" s="203" t="e">
        <f>VLOOKUP($F170,#REF!,17,1)</f>
        <v>#REF!</v>
      </c>
      <c r="AA170" s="206" t="e">
        <f t="shared" si="11"/>
        <v>#REF!</v>
      </c>
      <c r="AB170" s="206">
        <v>3</v>
      </c>
      <c r="AC170" s="203" t="e">
        <f>VLOOKUP($F170,#REF!,21,1)</f>
        <v>#REF!</v>
      </c>
      <c r="AD170" s="203" t="e">
        <f>VLOOKUP($F170,#REF!,33,1)</f>
        <v>#REF!</v>
      </c>
      <c r="AE170" s="206" t="e">
        <f t="shared" si="8"/>
        <v>#REF!</v>
      </c>
      <c r="AF170" s="206">
        <v>3</v>
      </c>
      <c r="AG170" s="203" t="e">
        <f>VLOOKUP($F170,#REF!,35,1)</f>
        <v>#REF!</v>
      </c>
      <c r="AH170" s="206" t="e">
        <f t="shared" si="9"/>
        <v>#REF!</v>
      </c>
      <c r="AI170" s="206">
        <v>2</v>
      </c>
      <c r="AJ170" s="203" t="e">
        <f>VLOOKUP($F170,#REF!,37,1)</f>
        <v>#REF!</v>
      </c>
    </row>
    <row r="171" spans="2:36" s="102" customFormat="1">
      <c r="B171" s="97"/>
      <c r="C171" s="109" t="s">
        <v>1919</v>
      </c>
      <c r="D171" s="98" t="s">
        <v>2242</v>
      </c>
      <c r="E171" s="98" t="s">
        <v>2154</v>
      </c>
      <c r="F171" s="120" t="s">
        <v>2124</v>
      </c>
      <c r="G171" s="97" t="s">
        <v>1930</v>
      </c>
      <c r="H171" s="97"/>
      <c r="I171" s="97"/>
      <c r="J171" s="122"/>
      <c r="K171" s="122"/>
      <c r="L171" s="122"/>
      <c r="M171" s="122"/>
      <c r="N171" s="122"/>
      <c r="O171" s="122"/>
      <c r="P171" s="200"/>
      <c r="Q171" s="203"/>
      <c r="R171" s="203"/>
      <c r="S171" s="203"/>
      <c r="T171" s="203"/>
      <c r="U171" s="203"/>
      <c r="V171" s="203"/>
      <c r="W171" s="203"/>
      <c r="X171" s="206">
        <f t="shared" si="10"/>
        <v>1</v>
      </c>
      <c r="Y171" s="206">
        <v>1</v>
      </c>
      <c r="Z171" s="203"/>
      <c r="AA171" s="206">
        <f t="shared" si="11"/>
        <v>1</v>
      </c>
      <c r="AB171" s="206">
        <v>1</v>
      </c>
      <c r="AC171" s="203"/>
      <c r="AD171" s="203"/>
      <c r="AE171" s="206">
        <f t="shared" si="8"/>
        <v>1</v>
      </c>
      <c r="AF171" s="206">
        <v>1</v>
      </c>
      <c r="AG171" s="203"/>
      <c r="AH171" s="206">
        <f t="shared" si="9"/>
        <v>1</v>
      </c>
      <c r="AI171" s="206">
        <v>1</v>
      </c>
      <c r="AJ171" s="203"/>
    </row>
    <row r="172" spans="2:36" s="102" customFormat="1">
      <c r="B172" s="97"/>
      <c r="C172" s="109" t="s">
        <v>1919</v>
      </c>
      <c r="D172" s="98" t="s">
        <v>2242</v>
      </c>
      <c r="E172" s="98" t="s">
        <v>2154</v>
      </c>
      <c r="F172" s="120" t="s">
        <v>2038</v>
      </c>
      <c r="G172" s="97" t="s">
        <v>1929</v>
      </c>
      <c r="H172" s="97"/>
      <c r="I172" s="97"/>
      <c r="J172" s="48" t="s">
        <v>8</v>
      </c>
      <c r="K172" s="48" t="s">
        <v>8</v>
      </c>
      <c r="Q172" s="203"/>
      <c r="R172" s="203"/>
      <c r="S172" s="203"/>
      <c r="T172" s="203"/>
      <c r="U172" s="203"/>
      <c r="V172" s="203"/>
      <c r="W172" s="203" t="e">
        <f>VLOOKUP($F172,#REF!,16,1)</f>
        <v>#REF!</v>
      </c>
      <c r="X172" s="206" t="e">
        <f t="shared" si="10"/>
        <v>#REF!</v>
      </c>
      <c r="Y172" s="206">
        <v>4</v>
      </c>
      <c r="Z172" s="203" t="e">
        <f>VLOOKUP($F172,#REF!,17,1)</f>
        <v>#REF!</v>
      </c>
      <c r="AA172" s="206" t="e">
        <f t="shared" si="11"/>
        <v>#REF!</v>
      </c>
      <c r="AB172" s="206">
        <v>4</v>
      </c>
      <c r="AC172" s="203" t="e">
        <f>VLOOKUP($F172,#REF!,21,1)</f>
        <v>#REF!</v>
      </c>
      <c r="AD172" s="203" t="e">
        <f>VLOOKUP($F172,#REF!,33,1)</f>
        <v>#REF!</v>
      </c>
      <c r="AE172" s="206" t="e">
        <f t="shared" si="8"/>
        <v>#REF!</v>
      </c>
      <c r="AF172" s="206">
        <v>3</v>
      </c>
      <c r="AG172" s="203" t="e">
        <f>VLOOKUP($F172,#REF!,35,1)</f>
        <v>#REF!</v>
      </c>
      <c r="AH172" s="206" t="e">
        <f t="shared" si="9"/>
        <v>#REF!</v>
      </c>
      <c r="AI172" s="206">
        <v>3</v>
      </c>
      <c r="AJ172" s="203" t="e">
        <f>VLOOKUP($F172,#REF!,37,1)</f>
        <v>#REF!</v>
      </c>
    </row>
    <row r="173" spans="2:36" s="102" customFormat="1">
      <c r="B173" s="97"/>
      <c r="C173" s="109" t="s">
        <v>1919</v>
      </c>
      <c r="D173" s="98" t="s">
        <v>2242</v>
      </c>
      <c r="E173" s="98" t="s">
        <v>2154</v>
      </c>
      <c r="F173" s="120" t="s">
        <v>2039</v>
      </c>
      <c r="G173" s="97" t="s">
        <v>1929</v>
      </c>
      <c r="H173" s="97"/>
      <c r="I173" s="97"/>
      <c r="J173" s="48" t="s">
        <v>8</v>
      </c>
      <c r="Q173" s="203"/>
      <c r="R173" s="203"/>
      <c r="S173" s="203"/>
      <c r="T173" s="203"/>
      <c r="U173" s="203"/>
      <c r="V173" s="203"/>
      <c r="W173" s="203" t="e">
        <f>VLOOKUP($F173,#REF!,16,1)</f>
        <v>#REF!</v>
      </c>
      <c r="X173" s="206" t="e">
        <f t="shared" si="10"/>
        <v>#REF!</v>
      </c>
      <c r="Y173" s="206">
        <v>5</v>
      </c>
      <c r="Z173" s="203" t="e">
        <f>VLOOKUP($F173,#REF!,17,1)</f>
        <v>#REF!</v>
      </c>
      <c r="AA173" s="206" t="e">
        <f t="shared" si="11"/>
        <v>#REF!</v>
      </c>
      <c r="AB173" s="206">
        <v>2</v>
      </c>
      <c r="AC173" s="203" t="e">
        <f>VLOOKUP($F173,#REF!,21,1)</f>
        <v>#REF!</v>
      </c>
      <c r="AD173" s="203" t="e">
        <f>VLOOKUP($F173,#REF!,33,1)</f>
        <v>#REF!</v>
      </c>
      <c r="AE173" s="206" t="e">
        <f t="shared" si="8"/>
        <v>#REF!</v>
      </c>
      <c r="AF173" s="206">
        <v>4</v>
      </c>
      <c r="AG173" s="203" t="e">
        <f>VLOOKUP($F173,#REF!,35,1)</f>
        <v>#REF!</v>
      </c>
      <c r="AH173" s="206" t="e">
        <f t="shared" si="9"/>
        <v>#REF!</v>
      </c>
      <c r="AI173" s="206">
        <v>1</v>
      </c>
      <c r="AJ173" s="203" t="e">
        <f>VLOOKUP($F173,#REF!,37,1)</f>
        <v>#REF!</v>
      </c>
    </row>
    <row r="174" spans="2:36" s="102" customFormat="1">
      <c r="B174" s="97"/>
      <c r="C174" s="109" t="s">
        <v>1919</v>
      </c>
      <c r="D174" s="98" t="s">
        <v>2242</v>
      </c>
      <c r="E174" s="98" t="s">
        <v>2154</v>
      </c>
      <c r="F174" s="124"/>
      <c r="G174" s="97"/>
      <c r="H174" s="97"/>
      <c r="I174" s="97"/>
      <c r="Q174" s="203"/>
      <c r="R174" s="203"/>
      <c r="S174" s="203"/>
      <c r="T174" s="203"/>
      <c r="U174" s="203"/>
      <c r="V174" s="203"/>
      <c r="W174" s="203" t="e">
        <f>VLOOKUP($F174,#REF!,16,1)</f>
        <v>#REF!</v>
      </c>
      <c r="X174" s="206" t="e">
        <f t="shared" si="10"/>
        <v>#REF!</v>
      </c>
      <c r="Y174" s="206" t="e">
        <v>#N/A</v>
      </c>
      <c r="Z174" s="203" t="e">
        <f>VLOOKUP($F174,#REF!,17,1)</f>
        <v>#REF!</v>
      </c>
      <c r="AA174" s="206" t="e">
        <f t="shared" si="11"/>
        <v>#REF!</v>
      </c>
      <c r="AB174" s="206" t="e">
        <v>#N/A</v>
      </c>
      <c r="AC174" s="203" t="e">
        <f>VLOOKUP($F174,#REF!,21,1)</f>
        <v>#REF!</v>
      </c>
      <c r="AD174" s="203" t="e">
        <f>VLOOKUP($F174,#REF!,33,1)</f>
        <v>#REF!</v>
      </c>
      <c r="AE174" s="206" t="e">
        <f t="shared" si="8"/>
        <v>#REF!</v>
      </c>
      <c r="AF174" s="206" t="e">
        <v>#N/A</v>
      </c>
      <c r="AG174" s="203" t="e">
        <f>VLOOKUP($F174,#REF!,35,1)</f>
        <v>#REF!</v>
      </c>
      <c r="AH174" s="206" t="e">
        <f t="shared" si="9"/>
        <v>#REF!</v>
      </c>
      <c r="AI174" s="206" t="e">
        <v>#N/A</v>
      </c>
      <c r="AJ174" s="203" t="e">
        <f>VLOOKUP($F174,#REF!,37,1)</f>
        <v>#REF!</v>
      </c>
    </row>
    <row r="175" spans="2:36" s="102" customFormat="1">
      <c r="B175" s="97"/>
      <c r="C175" s="109" t="s">
        <v>1919</v>
      </c>
      <c r="D175" s="98" t="s">
        <v>2242</v>
      </c>
      <c r="E175" s="98" t="s">
        <v>2154</v>
      </c>
      <c r="F175" s="124"/>
      <c r="G175" s="97"/>
      <c r="H175" s="97"/>
      <c r="I175" s="97"/>
      <c r="Q175" s="203"/>
      <c r="R175" s="203"/>
      <c r="S175" s="203"/>
      <c r="T175" s="203"/>
      <c r="U175" s="203"/>
      <c r="V175" s="203"/>
      <c r="W175" s="203" t="e">
        <f>VLOOKUP($F175,#REF!,16,1)</f>
        <v>#REF!</v>
      </c>
      <c r="X175" s="206" t="e">
        <f t="shared" si="10"/>
        <v>#REF!</v>
      </c>
      <c r="Y175" s="206" t="e">
        <v>#N/A</v>
      </c>
      <c r="Z175" s="203" t="e">
        <f>VLOOKUP($F175,#REF!,17,1)</f>
        <v>#REF!</v>
      </c>
      <c r="AA175" s="206" t="e">
        <f t="shared" si="11"/>
        <v>#REF!</v>
      </c>
      <c r="AB175" s="206" t="e">
        <v>#N/A</v>
      </c>
      <c r="AC175" s="203" t="e">
        <f>VLOOKUP($F175,#REF!,21,1)</f>
        <v>#REF!</v>
      </c>
      <c r="AD175" s="203" t="e">
        <f>VLOOKUP($F175,#REF!,33,1)</f>
        <v>#REF!</v>
      </c>
      <c r="AE175" s="206" t="e">
        <f t="shared" si="8"/>
        <v>#REF!</v>
      </c>
      <c r="AF175" s="206" t="e">
        <v>#N/A</v>
      </c>
      <c r="AG175" s="203" t="e">
        <f>VLOOKUP($F175,#REF!,35,1)</f>
        <v>#REF!</v>
      </c>
      <c r="AH175" s="206" t="e">
        <f t="shared" si="9"/>
        <v>#REF!</v>
      </c>
      <c r="AI175" s="206" t="e">
        <v>#N/A</v>
      </c>
      <c r="AJ175" s="203" t="e">
        <f>VLOOKUP($F175,#REF!,37,1)</f>
        <v>#REF!</v>
      </c>
    </row>
    <row r="176" spans="2:36" s="102" customFormat="1">
      <c r="B176" s="97"/>
      <c r="C176" s="109" t="s">
        <v>1919</v>
      </c>
      <c r="D176" s="98" t="s">
        <v>2242</v>
      </c>
      <c r="E176" s="98" t="s">
        <v>2154</v>
      </c>
      <c r="F176" s="124"/>
      <c r="G176" s="97"/>
      <c r="H176" s="97"/>
      <c r="I176" s="97"/>
      <c r="Q176" s="203"/>
      <c r="R176" s="203"/>
      <c r="S176" s="203"/>
      <c r="T176" s="203"/>
      <c r="U176" s="203"/>
      <c r="V176" s="203"/>
      <c r="W176" s="203" t="e">
        <f>VLOOKUP($F176,#REF!,16,1)</f>
        <v>#REF!</v>
      </c>
      <c r="X176" s="206" t="e">
        <f t="shared" si="10"/>
        <v>#REF!</v>
      </c>
      <c r="Y176" s="206" t="e">
        <v>#N/A</v>
      </c>
      <c r="Z176" s="203" t="e">
        <f>VLOOKUP($F176,#REF!,17,1)</f>
        <v>#REF!</v>
      </c>
      <c r="AA176" s="206" t="e">
        <f t="shared" si="11"/>
        <v>#REF!</v>
      </c>
      <c r="AB176" s="206" t="e">
        <v>#N/A</v>
      </c>
      <c r="AC176" s="203" t="e">
        <f>VLOOKUP($F176,#REF!,21,1)</f>
        <v>#REF!</v>
      </c>
      <c r="AD176" s="203" t="e">
        <f>VLOOKUP($F176,#REF!,33,1)</f>
        <v>#REF!</v>
      </c>
      <c r="AE176" s="206" t="e">
        <f t="shared" si="8"/>
        <v>#REF!</v>
      </c>
      <c r="AF176" s="206" t="e">
        <v>#N/A</v>
      </c>
      <c r="AG176" s="203" t="e">
        <f>VLOOKUP($F176,#REF!,35,1)</f>
        <v>#REF!</v>
      </c>
      <c r="AH176" s="206" t="e">
        <f t="shared" si="9"/>
        <v>#REF!</v>
      </c>
      <c r="AI176" s="206" t="e">
        <v>#N/A</v>
      </c>
      <c r="AJ176" s="203" t="e">
        <f>VLOOKUP($F176,#REF!,37,1)</f>
        <v>#REF!</v>
      </c>
    </row>
    <row r="177" spans="2:36" s="102" customFormat="1">
      <c r="B177" s="97"/>
      <c r="C177" s="109" t="s">
        <v>1919</v>
      </c>
      <c r="D177" s="98" t="s">
        <v>2242</v>
      </c>
      <c r="E177" s="98" t="s">
        <v>2154</v>
      </c>
      <c r="F177" s="124"/>
      <c r="G177" s="97"/>
      <c r="H177" s="97"/>
      <c r="I177" s="97"/>
      <c r="Q177" s="203"/>
      <c r="R177" s="203"/>
      <c r="S177" s="203"/>
      <c r="T177" s="203"/>
      <c r="U177" s="203"/>
      <c r="V177" s="203"/>
      <c r="W177" s="203" t="e">
        <f>VLOOKUP($F177,#REF!,16,1)</f>
        <v>#REF!</v>
      </c>
      <c r="X177" s="206" t="e">
        <f t="shared" si="10"/>
        <v>#REF!</v>
      </c>
      <c r="Y177" s="206" t="e">
        <v>#N/A</v>
      </c>
      <c r="Z177" s="203" t="e">
        <f>VLOOKUP($F177,#REF!,17,1)</f>
        <v>#REF!</v>
      </c>
      <c r="AA177" s="206" t="e">
        <f t="shared" si="11"/>
        <v>#REF!</v>
      </c>
      <c r="AB177" s="206" t="e">
        <v>#N/A</v>
      </c>
      <c r="AC177" s="203" t="e">
        <f>VLOOKUP($F177,#REF!,21,1)</f>
        <v>#REF!</v>
      </c>
      <c r="AD177" s="203" t="e">
        <f>VLOOKUP($F177,#REF!,33,1)</f>
        <v>#REF!</v>
      </c>
      <c r="AE177" s="206" t="e">
        <f t="shared" si="8"/>
        <v>#REF!</v>
      </c>
      <c r="AF177" s="206" t="e">
        <v>#N/A</v>
      </c>
      <c r="AG177" s="203" t="e">
        <f>VLOOKUP($F177,#REF!,35,1)</f>
        <v>#REF!</v>
      </c>
      <c r="AH177" s="206" t="e">
        <f t="shared" si="9"/>
        <v>#REF!</v>
      </c>
      <c r="AI177" s="206" t="e">
        <v>#N/A</v>
      </c>
      <c r="AJ177" s="203" t="e">
        <f>VLOOKUP($F177,#REF!,37,1)</f>
        <v>#REF!</v>
      </c>
    </row>
    <row r="178" spans="2:36" s="102" customFormat="1">
      <c r="B178" s="97"/>
      <c r="C178" s="109" t="s">
        <v>1919</v>
      </c>
      <c r="D178" s="98" t="s">
        <v>2242</v>
      </c>
      <c r="E178" s="98" t="s">
        <v>2154</v>
      </c>
      <c r="F178" s="124"/>
      <c r="G178" s="97"/>
      <c r="H178" s="97"/>
      <c r="I178" s="97"/>
      <c r="Q178" s="203"/>
      <c r="R178" s="203"/>
      <c r="S178" s="203"/>
      <c r="T178" s="203"/>
      <c r="U178" s="203"/>
      <c r="V178" s="203"/>
      <c r="W178" s="203" t="e">
        <f>VLOOKUP($F178,#REF!,16,1)</f>
        <v>#REF!</v>
      </c>
      <c r="X178" s="206" t="e">
        <f t="shared" si="10"/>
        <v>#REF!</v>
      </c>
      <c r="Y178" s="206" t="e">
        <v>#N/A</v>
      </c>
      <c r="Z178" s="203" t="e">
        <f>VLOOKUP($F178,#REF!,17,1)</f>
        <v>#REF!</v>
      </c>
      <c r="AA178" s="206" t="e">
        <f t="shared" si="11"/>
        <v>#REF!</v>
      </c>
      <c r="AB178" s="206" t="e">
        <v>#N/A</v>
      </c>
      <c r="AC178" s="203" t="e">
        <f>VLOOKUP($F178,#REF!,21,1)</f>
        <v>#REF!</v>
      </c>
      <c r="AD178" s="203" t="e">
        <f>VLOOKUP($F178,#REF!,33,1)</f>
        <v>#REF!</v>
      </c>
      <c r="AE178" s="206" t="e">
        <f t="shared" si="8"/>
        <v>#REF!</v>
      </c>
      <c r="AF178" s="206" t="e">
        <v>#N/A</v>
      </c>
      <c r="AG178" s="203" t="e">
        <f>VLOOKUP($F178,#REF!,35,1)</f>
        <v>#REF!</v>
      </c>
      <c r="AH178" s="206" t="e">
        <f t="shared" si="9"/>
        <v>#REF!</v>
      </c>
      <c r="AI178" s="206" t="e">
        <v>#N/A</v>
      </c>
      <c r="AJ178" s="203" t="e">
        <f>VLOOKUP($F178,#REF!,37,1)</f>
        <v>#REF!</v>
      </c>
    </row>
    <row r="179" spans="2:36" s="102" customFormat="1">
      <c r="B179" s="97"/>
      <c r="C179" s="109" t="s">
        <v>1919</v>
      </c>
      <c r="D179" s="98" t="s">
        <v>2242</v>
      </c>
      <c r="E179" s="98" t="s">
        <v>2154</v>
      </c>
      <c r="F179" s="124"/>
      <c r="G179" s="97"/>
      <c r="H179" s="97"/>
      <c r="I179" s="97"/>
      <c r="Q179" s="203"/>
      <c r="R179" s="203"/>
      <c r="S179" s="203"/>
      <c r="T179" s="203"/>
      <c r="U179" s="203"/>
      <c r="V179" s="203"/>
      <c r="W179" s="203" t="e">
        <f>VLOOKUP($F179,#REF!,16,1)</f>
        <v>#REF!</v>
      </c>
      <c r="X179" s="206" t="e">
        <f t="shared" si="10"/>
        <v>#REF!</v>
      </c>
      <c r="Y179" s="206" t="e">
        <v>#N/A</v>
      </c>
      <c r="Z179" s="203" t="e">
        <f>VLOOKUP($F179,#REF!,17,1)</f>
        <v>#REF!</v>
      </c>
      <c r="AA179" s="206" t="e">
        <f t="shared" si="11"/>
        <v>#REF!</v>
      </c>
      <c r="AB179" s="206" t="e">
        <v>#N/A</v>
      </c>
      <c r="AC179" s="203" t="e">
        <f>VLOOKUP($F179,#REF!,21,1)</f>
        <v>#REF!</v>
      </c>
      <c r="AD179" s="203" t="e">
        <f>VLOOKUP($F179,#REF!,33,1)</f>
        <v>#REF!</v>
      </c>
      <c r="AE179" s="206" t="e">
        <f t="shared" si="8"/>
        <v>#REF!</v>
      </c>
      <c r="AF179" s="206" t="e">
        <v>#N/A</v>
      </c>
      <c r="AG179" s="203" t="e">
        <f>VLOOKUP($F179,#REF!,35,1)</f>
        <v>#REF!</v>
      </c>
      <c r="AH179" s="206" t="e">
        <f t="shared" si="9"/>
        <v>#REF!</v>
      </c>
      <c r="AI179" s="206" t="e">
        <v>#N/A</v>
      </c>
      <c r="AJ179" s="203" t="e">
        <f>VLOOKUP($F179,#REF!,37,1)</f>
        <v>#REF!</v>
      </c>
    </row>
    <row r="180" spans="2:36" s="102" customFormat="1">
      <c r="B180" s="97"/>
      <c r="C180" s="109" t="s">
        <v>1919</v>
      </c>
      <c r="D180" s="98" t="s">
        <v>2242</v>
      </c>
      <c r="E180" s="98" t="s">
        <v>2154</v>
      </c>
      <c r="F180" s="124"/>
      <c r="G180" s="97"/>
      <c r="H180" s="97"/>
      <c r="I180" s="97"/>
      <c r="Q180" s="203"/>
      <c r="R180" s="203"/>
      <c r="S180" s="203"/>
      <c r="T180" s="203"/>
      <c r="U180" s="203"/>
      <c r="V180" s="203"/>
      <c r="W180" s="203" t="e">
        <f>VLOOKUP($F180,#REF!,16,1)</f>
        <v>#REF!</v>
      </c>
      <c r="X180" s="206" t="e">
        <f t="shared" si="10"/>
        <v>#REF!</v>
      </c>
      <c r="Y180" s="206" t="e">
        <v>#N/A</v>
      </c>
      <c r="Z180" s="203" t="e">
        <f>VLOOKUP($F180,#REF!,17,1)</f>
        <v>#REF!</v>
      </c>
      <c r="AA180" s="206" t="e">
        <f t="shared" si="11"/>
        <v>#REF!</v>
      </c>
      <c r="AB180" s="206" t="e">
        <v>#N/A</v>
      </c>
      <c r="AC180" s="203" t="e">
        <f>VLOOKUP($F180,#REF!,21,1)</f>
        <v>#REF!</v>
      </c>
      <c r="AD180" s="203" t="e">
        <f>VLOOKUP($F180,#REF!,33,1)</f>
        <v>#REF!</v>
      </c>
      <c r="AE180" s="206" t="e">
        <f t="shared" si="8"/>
        <v>#REF!</v>
      </c>
      <c r="AF180" s="206" t="e">
        <v>#N/A</v>
      </c>
      <c r="AG180" s="203" t="e">
        <f>VLOOKUP($F180,#REF!,35,1)</f>
        <v>#REF!</v>
      </c>
      <c r="AH180" s="206" t="e">
        <f t="shared" si="9"/>
        <v>#REF!</v>
      </c>
      <c r="AI180" s="206" t="e">
        <v>#N/A</v>
      </c>
      <c r="AJ180" s="203" t="e">
        <f>VLOOKUP($F180,#REF!,37,1)</f>
        <v>#REF!</v>
      </c>
    </row>
    <row r="181" spans="2:36" s="102" customFormat="1">
      <c r="B181" s="97"/>
      <c r="C181" s="109" t="s">
        <v>1919</v>
      </c>
      <c r="D181" s="98" t="s">
        <v>2242</v>
      </c>
      <c r="E181" s="98" t="s">
        <v>2154</v>
      </c>
      <c r="F181" s="124"/>
      <c r="G181" s="97"/>
      <c r="H181" s="97"/>
      <c r="I181" s="97"/>
      <c r="Q181" s="203"/>
      <c r="R181" s="203"/>
      <c r="S181" s="203"/>
      <c r="T181" s="203"/>
      <c r="U181" s="203"/>
      <c r="V181" s="203"/>
      <c r="W181" s="203" t="e">
        <f>VLOOKUP($F181,#REF!,16,1)</f>
        <v>#REF!</v>
      </c>
      <c r="X181" s="206" t="e">
        <f t="shared" si="10"/>
        <v>#REF!</v>
      </c>
      <c r="Y181" s="206" t="e">
        <v>#N/A</v>
      </c>
      <c r="Z181" s="203" t="e">
        <f>VLOOKUP($F181,#REF!,17,1)</f>
        <v>#REF!</v>
      </c>
      <c r="AA181" s="206" t="e">
        <f t="shared" si="11"/>
        <v>#REF!</v>
      </c>
      <c r="AB181" s="206" t="e">
        <v>#N/A</v>
      </c>
      <c r="AC181" s="203" t="e">
        <f>VLOOKUP($F181,#REF!,21,1)</f>
        <v>#REF!</v>
      </c>
      <c r="AD181" s="203" t="e">
        <f>VLOOKUP($F181,#REF!,33,1)</f>
        <v>#REF!</v>
      </c>
      <c r="AE181" s="206" t="e">
        <f t="shared" si="8"/>
        <v>#REF!</v>
      </c>
      <c r="AF181" s="206" t="e">
        <v>#N/A</v>
      </c>
      <c r="AG181" s="203" t="e">
        <f>VLOOKUP($F181,#REF!,35,1)</f>
        <v>#REF!</v>
      </c>
      <c r="AH181" s="206" t="e">
        <f t="shared" si="9"/>
        <v>#REF!</v>
      </c>
      <c r="AI181" s="206" t="e">
        <v>#N/A</v>
      </c>
      <c r="AJ181" s="203" t="e">
        <f>VLOOKUP($F181,#REF!,37,1)</f>
        <v>#REF!</v>
      </c>
    </row>
    <row r="182" spans="2:36" s="102" customFormat="1">
      <c r="B182" s="97"/>
      <c r="C182" s="109" t="s">
        <v>1919</v>
      </c>
      <c r="D182" s="98" t="s">
        <v>2242</v>
      </c>
      <c r="E182" s="98" t="s">
        <v>2154</v>
      </c>
      <c r="F182" s="124"/>
      <c r="G182" s="97"/>
      <c r="H182" s="97"/>
      <c r="I182" s="97"/>
      <c r="Q182" s="203"/>
      <c r="R182" s="203"/>
      <c r="S182" s="203"/>
      <c r="T182" s="203"/>
      <c r="U182" s="203"/>
      <c r="V182" s="203"/>
      <c r="W182" s="203" t="e">
        <f>VLOOKUP($F182,#REF!,16,1)</f>
        <v>#REF!</v>
      </c>
      <c r="X182" s="206" t="e">
        <f t="shared" si="10"/>
        <v>#REF!</v>
      </c>
      <c r="Y182" s="206" t="e">
        <v>#N/A</v>
      </c>
      <c r="Z182" s="203" t="e">
        <f>VLOOKUP($F182,#REF!,17,1)</f>
        <v>#REF!</v>
      </c>
      <c r="AA182" s="206" t="e">
        <f t="shared" si="11"/>
        <v>#REF!</v>
      </c>
      <c r="AB182" s="206" t="e">
        <v>#N/A</v>
      </c>
      <c r="AC182" s="203" t="e">
        <f>VLOOKUP($F182,#REF!,21,1)</f>
        <v>#REF!</v>
      </c>
      <c r="AD182" s="203" t="e">
        <f>VLOOKUP($F182,#REF!,33,1)</f>
        <v>#REF!</v>
      </c>
      <c r="AE182" s="206" t="e">
        <f t="shared" si="8"/>
        <v>#REF!</v>
      </c>
      <c r="AF182" s="206" t="e">
        <v>#N/A</v>
      </c>
      <c r="AG182" s="203" t="e">
        <f>VLOOKUP($F182,#REF!,35,1)</f>
        <v>#REF!</v>
      </c>
      <c r="AH182" s="206" t="e">
        <f t="shared" si="9"/>
        <v>#REF!</v>
      </c>
      <c r="AI182" s="206" t="e">
        <v>#N/A</v>
      </c>
      <c r="AJ182" s="203" t="e">
        <f>VLOOKUP($F182,#REF!,37,1)</f>
        <v>#REF!</v>
      </c>
    </row>
    <row r="183" spans="2:36" s="102" customFormat="1">
      <c r="B183" s="97"/>
      <c r="C183" s="109" t="s">
        <v>1919</v>
      </c>
      <c r="D183" s="98" t="s">
        <v>2242</v>
      </c>
      <c r="E183" s="98" t="s">
        <v>2154</v>
      </c>
      <c r="F183" s="124"/>
      <c r="G183" s="97"/>
      <c r="H183" s="97"/>
      <c r="I183" s="97"/>
      <c r="Q183" s="203"/>
      <c r="R183" s="203"/>
      <c r="S183" s="203"/>
      <c r="T183" s="203"/>
      <c r="U183" s="203"/>
      <c r="V183" s="203"/>
      <c r="W183" s="203" t="e">
        <f>VLOOKUP($F183,#REF!,16,1)</f>
        <v>#REF!</v>
      </c>
      <c r="X183" s="206" t="e">
        <f t="shared" si="10"/>
        <v>#REF!</v>
      </c>
      <c r="Y183" s="206" t="e">
        <v>#N/A</v>
      </c>
      <c r="Z183" s="203" t="e">
        <f>VLOOKUP($F183,#REF!,17,1)</f>
        <v>#REF!</v>
      </c>
      <c r="AA183" s="206" t="e">
        <f t="shared" si="11"/>
        <v>#REF!</v>
      </c>
      <c r="AB183" s="206" t="e">
        <v>#N/A</v>
      </c>
      <c r="AC183" s="203" t="e">
        <f>VLOOKUP($F183,#REF!,21,1)</f>
        <v>#REF!</v>
      </c>
      <c r="AD183" s="203" t="e">
        <f>VLOOKUP($F183,#REF!,33,1)</f>
        <v>#REF!</v>
      </c>
      <c r="AE183" s="206" t="e">
        <f t="shared" si="8"/>
        <v>#REF!</v>
      </c>
      <c r="AF183" s="206" t="e">
        <v>#N/A</v>
      </c>
      <c r="AG183" s="203" t="e">
        <f>VLOOKUP($F183,#REF!,35,1)</f>
        <v>#REF!</v>
      </c>
      <c r="AH183" s="206" t="e">
        <f t="shared" si="9"/>
        <v>#REF!</v>
      </c>
      <c r="AI183" s="206" t="e">
        <v>#N/A</v>
      </c>
      <c r="AJ183" s="203" t="e">
        <f>VLOOKUP($F183,#REF!,37,1)</f>
        <v>#REF!</v>
      </c>
    </row>
    <row r="184" spans="2:36" s="102" customFormat="1">
      <c r="B184" s="97"/>
      <c r="C184" s="114" t="s">
        <v>1920</v>
      </c>
      <c r="D184" s="98" t="s">
        <v>2243</v>
      </c>
      <c r="E184" s="98" t="s">
        <v>2154</v>
      </c>
      <c r="F184" s="120" t="s">
        <v>1974</v>
      </c>
      <c r="G184" s="97" t="s">
        <v>1929</v>
      </c>
      <c r="H184" s="97"/>
      <c r="I184" s="97"/>
      <c r="J184" s="48" t="s">
        <v>8</v>
      </c>
      <c r="Q184" s="206" t="s">
        <v>2161</v>
      </c>
      <c r="R184" s="206">
        <f>ROW(F184)</f>
        <v>184</v>
      </c>
      <c r="S184" s="206" t="str">
        <f>CONCATENATE(";","'",D184,"'!","$B$9:$AL$89",";","21",";","1",")")</f>
        <v>;'M EJECUCION O.'!$B$9:$AL$89;21;1)</v>
      </c>
      <c r="T184" s="203" t="s">
        <v>2198</v>
      </c>
      <c r="U184" s="206" t="str">
        <f>CONCATENATE("=BUSCARV($E",R184,T184)</f>
        <v>=BUSCARV($E184;'M EJECUCION O.'!$B$9:$AL$89;21;1)</v>
      </c>
      <c r="V184" s="206"/>
      <c r="W184" s="206" t="e">
        <f>VLOOKUP($F184,#REF!,16,1)</f>
        <v>#REF!</v>
      </c>
      <c r="X184" s="206" t="e">
        <f t="shared" si="10"/>
        <v>#REF!</v>
      </c>
      <c r="Y184" s="206">
        <v>4</v>
      </c>
      <c r="Z184" s="206" t="e">
        <f>VLOOKUP($F184,#REF!,17,1)</f>
        <v>#REF!</v>
      </c>
      <c r="AA184" s="206" t="e">
        <f t="shared" si="11"/>
        <v>#REF!</v>
      </c>
      <c r="AB184" s="206">
        <v>3</v>
      </c>
      <c r="AC184" s="206" t="e">
        <f>VLOOKUP($F184,#REF!,21,1)</f>
        <v>#REF!</v>
      </c>
      <c r="AD184" s="206" t="e">
        <f>VLOOKUP($F184,#REF!,33,1)</f>
        <v>#REF!</v>
      </c>
      <c r="AE184" s="206" t="e">
        <f t="shared" si="8"/>
        <v>#REF!</v>
      </c>
      <c r="AF184" s="206">
        <v>3</v>
      </c>
      <c r="AG184" s="206" t="e">
        <f>VLOOKUP($F184,#REF!,35,1)</f>
        <v>#REF!</v>
      </c>
      <c r="AH184" s="206" t="e">
        <f t="shared" si="9"/>
        <v>#REF!</v>
      </c>
      <c r="AI184" s="206">
        <v>2</v>
      </c>
      <c r="AJ184" s="206" t="e">
        <f>VLOOKUP($F184,#REF!,37,1)</f>
        <v>#REF!</v>
      </c>
    </row>
    <row r="185" spans="2:36" s="102" customFormat="1">
      <c r="B185" s="97"/>
      <c r="C185" s="114" t="s">
        <v>1920</v>
      </c>
      <c r="D185" s="98" t="s">
        <v>2243</v>
      </c>
      <c r="E185" s="98" t="s">
        <v>2154</v>
      </c>
      <c r="F185" s="120" t="s">
        <v>2125</v>
      </c>
      <c r="G185" s="97" t="s">
        <v>1930</v>
      </c>
      <c r="H185" s="97"/>
      <c r="I185" s="97"/>
      <c r="J185" s="122"/>
      <c r="K185" s="122"/>
      <c r="L185" s="122"/>
      <c r="M185" s="122"/>
      <c r="N185" s="122"/>
      <c r="O185" s="122"/>
      <c r="P185" s="200"/>
      <c r="Q185" s="203"/>
      <c r="R185" s="203"/>
      <c r="S185" s="203"/>
      <c r="T185" s="203"/>
      <c r="U185" s="203"/>
      <c r="V185" s="203"/>
      <c r="W185" s="206"/>
      <c r="X185" s="206">
        <f t="shared" si="10"/>
        <v>1</v>
      </c>
      <c r="Y185" s="206">
        <v>1</v>
      </c>
      <c r="Z185" s="206"/>
      <c r="AA185" s="206">
        <f t="shared" si="11"/>
        <v>1</v>
      </c>
      <c r="AB185" s="206">
        <v>1</v>
      </c>
      <c r="AC185" s="206"/>
      <c r="AD185" s="206"/>
      <c r="AE185" s="206">
        <f t="shared" si="8"/>
        <v>1</v>
      </c>
      <c r="AF185" s="206">
        <v>1</v>
      </c>
      <c r="AG185" s="206"/>
      <c r="AH185" s="206">
        <f t="shared" si="9"/>
        <v>1</v>
      </c>
      <c r="AI185" s="206">
        <v>1</v>
      </c>
      <c r="AJ185" s="206"/>
    </row>
    <row r="186" spans="2:36" s="102" customFormat="1">
      <c r="B186" s="97"/>
      <c r="C186" s="114" t="s">
        <v>1920</v>
      </c>
      <c r="D186" s="98" t="s">
        <v>2243</v>
      </c>
      <c r="E186" s="98" t="s">
        <v>2154</v>
      </c>
      <c r="F186" s="120" t="s">
        <v>1975</v>
      </c>
      <c r="G186" s="97" t="s">
        <v>1929</v>
      </c>
      <c r="H186" s="97"/>
      <c r="I186" s="97"/>
      <c r="K186" s="48" t="s">
        <v>8</v>
      </c>
      <c r="Q186" s="203"/>
      <c r="R186" s="203"/>
      <c r="S186" s="203"/>
      <c r="T186" s="203"/>
      <c r="U186" s="203"/>
      <c r="V186" s="203"/>
      <c r="W186" s="206" t="e">
        <f>VLOOKUP($F186,#REF!,16,1)</f>
        <v>#REF!</v>
      </c>
      <c r="X186" s="206" t="e">
        <f t="shared" si="10"/>
        <v>#REF!</v>
      </c>
      <c r="Y186" s="206">
        <v>4</v>
      </c>
      <c r="Z186" s="206" t="e">
        <f>VLOOKUP($F186,#REF!,17,1)</f>
        <v>#REF!</v>
      </c>
      <c r="AA186" s="206" t="e">
        <f t="shared" si="11"/>
        <v>#REF!</v>
      </c>
      <c r="AB186" s="206">
        <v>3</v>
      </c>
      <c r="AC186" s="206" t="e">
        <f>VLOOKUP($F186,#REF!,21,1)</f>
        <v>#REF!</v>
      </c>
      <c r="AD186" s="206" t="e">
        <f>VLOOKUP($F186,#REF!,33,1)</f>
        <v>#REF!</v>
      </c>
      <c r="AE186" s="206" t="e">
        <f t="shared" si="8"/>
        <v>#REF!</v>
      </c>
      <c r="AF186" s="206">
        <v>3</v>
      </c>
      <c r="AG186" s="206" t="e">
        <f>VLOOKUP($F186,#REF!,35,1)</f>
        <v>#REF!</v>
      </c>
      <c r="AH186" s="206" t="e">
        <f t="shared" si="9"/>
        <v>#REF!</v>
      </c>
      <c r="AI186" s="206">
        <v>2</v>
      </c>
      <c r="AJ186" s="206" t="e">
        <f>VLOOKUP($F186,#REF!,37,1)</f>
        <v>#REF!</v>
      </c>
    </row>
    <row r="187" spans="2:36" s="102" customFormat="1">
      <c r="B187" s="97"/>
      <c r="C187" s="114" t="s">
        <v>1920</v>
      </c>
      <c r="D187" s="98" t="s">
        <v>2243</v>
      </c>
      <c r="E187" s="98" t="s">
        <v>2154</v>
      </c>
      <c r="F187" s="120" t="s">
        <v>2126</v>
      </c>
      <c r="G187" s="97" t="s">
        <v>1929</v>
      </c>
      <c r="H187" s="97"/>
      <c r="I187" s="97"/>
      <c r="J187" s="48" t="s">
        <v>8</v>
      </c>
      <c r="Q187" s="203"/>
      <c r="R187" s="203"/>
      <c r="S187" s="203"/>
      <c r="T187" s="203"/>
      <c r="U187" s="203"/>
      <c r="V187" s="203"/>
      <c r="W187" s="206" t="e">
        <f>VLOOKUP($F187,#REF!,16,1)</f>
        <v>#REF!</v>
      </c>
      <c r="X187" s="206" t="e">
        <f t="shared" si="10"/>
        <v>#REF!</v>
      </c>
      <c r="Y187" s="206">
        <v>4</v>
      </c>
      <c r="Z187" s="206" t="e">
        <f>VLOOKUP($F187,#REF!,17,1)</f>
        <v>#REF!</v>
      </c>
      <c r="AA187" s="206" t="e">
        <f t="shared" si="11"/>
        <v>#REF!</v>
      </c>
      <c r="AB187" s="206">
        <v>3</v>
      </c>
      <c r="AC187" s="206" t="e">
        <f>VLOOKUP($F187,#REF!,21,1)</f>
        <v>#REF!</v>
      </c>
      <c r="AD187" s="206" t="e">
        <f>VLOOKUP($F187,#REF!,33,1)</f>
        <v>#REF!</v>
      </c>
      <c r="AE187" s="206" t="e">
        <f t="shared" si="8"/>
        <v>#REF!</v>
      </c>
      <c r="AF187" s="206">
        <v>3</v>
      </c>
      <c r="AG187" s="206" t="e">
        <f>VLOOKUP($F187,#REF!,35,1)</f>
        <v>#REF!</v>
      </c>
      <c r="AH187" s="206" t="e">
        <f t="shared" si="9"/>
        <v>#REF!</v>
      </c>
      <c r="AI187" s="206">
        <v>2</v>
      </c>
      <c r="AJ187" s="206" t="e">
        <f>VLOOKUP($F187,#REF!,37,1)</f>
        <v>#REF!</v>
      </c>
    </row>
    <row r="188" spans="2:36" s="102" customFormat="1">
      <c r="B188" s="97"/>
      <c r="C188" s="114" t="s">
        <v>1920</v>
      </c>
      <c r="D188" s="98" t="s">
        <v>2243</v>
      </c>
      <c r="E188" s="98" t="s">
        <v>2154</v>
      </c>
      <c r="F188" s="120" t="s">
        <v>1977</v>
      </c>
      <c r="G188" s="97" t="s">
        <v>1929</v>
      </c>
      <c r="H188" s="97"/>
      <c r="I188" s="97"/>
      <c r="K188" s="48" t="s">
        <v>8</v>
      </c>
      <c r="Q188" s="203"/>
      <c r="R188" s="203"/>
      <c r="S188" s="203"/>
      <c r="T188" s="203"/>
      <c r="U188" s="203"/>
      <c r="V188" s="203"/>
      <c r="W188" s="206" t="e">
        <f>VLOOKUP($F188,#REF!,16,1)</f>
        <v>#REF!</v>
      </c>
      <c r="X188" s="206" t="e">
        <f t="shared" si="10"/>
        <v>#REF!</v>
      </c>
      <c r="Y188" s="206">
        <v>4</v>
      </c>
      <c r="Z188" s="206" t="e">
        <f>VLOOKUP($F188,#REF!,17,1)</f>
        <v>#REF!</v>
      </c>
      <c r="AA188" s="206" t="e">
        <f t="shared" si="11"/>
        <v>#REF!</v>
      </c>
      <c r="AB188" s="206">
        <v>2</v>
      </c>
      <c r="AC188" s="206" t="e">
        <f>VLOOKUP($F188,#REF!,21,1)</f>
        <v>#REF!</v>
      </c>
      <c r="AD188" s="206" t="e">
        <f>VLOOKUP($F188,#REF!,33,1)</f>
        <v>#REF!</v>
      </c>
      <c r="AE188" s="206" t="e">
        <f t="shared" si="8"/>
        <v>#REF!</v>
      </c>
      <c r="AF188" s="206">
        <v>3</v>
      </c>
      <c r="AG188" s="206" t="e">
        <f>VLOOKUP($F188,#REF!,35,1)</f>
        <v>#REF!</v>
      </c>
      <c r="AH188" s="206" t="e">
        <f t="shared" si="9"/>
        <v>#REF!</v>
      </c>
      <c r="AI188" s="206">
        <v>1</v>
      </c>
      <c r="AJ188" s="206" t="e">
        <f>VLOOKUP($F188,#REF!,37,1)</f>
        <v>#REF!</v>
      </c>
    </row>
    <row r="189" spans="2:36" s="102" customFormat="1">
      <c r="B189" s="97"/>
      <c r="C189" s="114" t="s">
        <v>1920</v>
      </c>
      <c r="D189" s="98" t="s">
        <v>2243</v>
      </c>
      <c r="E189" s="98" t="s">
        <v>2154</v>
      </c>
      <c r="F189" s="120" t="s">
        <v>2127</v>
      </c>
      <c r="G189" s="97" t="s">
        <v>1930</v>
      </c>
      <c r="H189" s="97"/>
      <c r="I189" s="97"/>
      <c r="J189" s="122"/>
      <c r="K189" s="122"/>
      <c r="L189" s="122"/>
      <c r="M189" s="122"/>
      <c r="N189" s="122"/>
      <c r="O189" s="122"/>
      <c r="P189" s="200"/>
      <c r="Q189" s="203"/>
      <c r="R189" s="203"/>
      <c r="S189" s="203"/>
      <c r="T189" s="203"/>
      <c r="U189" s="203"/>
      <c r="V189" s="203"/>
      <c r="W189" s="206"/>
      <c r="X189" s="206">
        <f t="shared" si="10"/>
        <v>1</v>
      </c>
      <c r="Y189" s="206">
        <v>1</v>
      </c>
      <c r="Z189" s="206"/>
      <c r="AA189" s="206">
        <f t="shared" si="11"/>
        <v>1</v>
      </c>
      <c r="AB189" s="206">
        <v>1</v>
      </c>
      <c r="AC189" s="206"/>
      <c r="AD189" s="206"/>
      <c r="AE189" s="206">
        <f t="shared" si="8"/>
        <v>1</v>
      </c>
      <c r="AF189" s="206">
        <v>1</v>
      </c>
      <c r="AG189" s="206"/>
      <c r="AH189" s="206">
        <f t="shared" si="9"/>
        <v>1</v>
      </c>
      <c r="AI189" s="206">
        <v>1</v>
      </c>
      <c r="AJ189" s="206"/>
    </row>
    <row r="190" spans="2:36" s="102" customFormat="1">
      <c r="B190" s="97"/>
      <c r="C190" s="114" t="s">
        <v>1920</v>
      </c>
      <c r="D190" s="98" t="s">
        <v>2243</v>
      </c>
      <c r="E190" s="98" t="s">
        <v>2154</v>
      </c>
      <c r="F190" s="120" t="s">
        <v>2128</v>
      </c>
      <c r="G190" s="97" t="s">
        <v>1930</v>
      </c>
      <c r="H190" s="97"/>
      <c r="I190" s="97"/>
      <c r="J190" s="122"/>
      <c r="K190" s="122"/>
      <c r="L190" s="122"/>
      <c r="M190" s="122"/>
      <c r="N190" s="122"/>
      <c r="O190" s="122"/>
      <c r="P190" s="200"/>
      <c r="Q190" s="203"/>
      <c r="R190" s="203"/>
      <c r="S190" s="203"/>
      <c r="T190" s="203"/>
      <c r="U190" s="203"/>
      <c r="V190" s="203"/>
      <c r="W190" s="206"/>
      <c r="X190" s="206">
        <f t="shared" si="10"/>
        <v>1</v>
      </c>
      <c r="Y190" s="206">
        <v>1</v>
      </c>
      <c r="Z190" s="206"/>
      <c r="AA190" s="206">
        <f t="shared" si="11"/>
        <v>1</v>
      </c>
      <c r="AB190" s="206">
        <v>1</v>
      </c>
      <c r="AC190" s="206"/>
      <c r="AD190" s="206"/>
      <c r="AE190" s="206">
        <f t="shared" si="8"/>
        <v>1</v>
      </c>
      <c r="AF190" s="206">
        <v>1</v>
      </c>
      <c r="AG190" s="206"/>
      <c r="AH190" s="206">
        <f t="shared" si="9"/>
        <v>1</v>
      </c>
      <c r="AI190" s="206">
        <v>1</v>
      </c>
      <c r="AJ190" s="206"/>
    </row>
    <row r="191" spans="2:36" s="102" customFormat="1">
      <c r="B191" s="97"/>
      <c r="C191" s="114" t="s">
        <v>1920</v>
      </c>
      <c r="D191" s="98" t="s">
        <v>2243</v>
      </c>
      <c r="E191" s="98" t="s">
        <v>2154</v>
      </c>
      <c r="F191" s="120" t="s">
        <v>1978</v>
      </c>
      <c r="G191" s="97" t="s">
        <v>1929</v>
      </c>
      <c r="H191" s="97"/>
      <c r="I191" s="97"/>
      <c r="N191" s="102" t="s">
        <v>8</v>
      </c>
      <c r="Q191" s="203"/>
      <c r="R191" s="203"/>
      <c r="S191" s="203"/>
      <c r="T191" s="203"/>
      <c r="U191" s="203"/>
      <c r="V191" s="203"/>
      <c r="W191" s="206" t="e">
        <f>VLOOKUP($F191,#REF!,16,1)</f>
        <v>#REF!</v>
      </c>
      <c r="X191" s="206" t="e">
        <f t="shared" si="10"/>
        <v>#REF!</v>
      </c>
      <c r="Y191" s="206">
        <v>3</v>
      </c>
      <c r="Z191" s="206" t="e">
        <f>VLOOKUP($F191,#REF!,17,1)</f>
        <v>#REF!</v>
      </c>
      <c r="AA191" s="206" t="e">
        <f t="shared" si="11"/>
        <v>#REF!</v>
      </c>
      <c r="AB191" s="206">
        <v>2</v>
      </c>
      <c r="AC191" s="206" t="e">
        <f>VLOOKUP($F191,#REF!,21,1)</f>
        <v>#REF!</v>
      </c>
      <c r="AD191" s="206" t="e">
        <f>VLOOKUP($F191,#REF!,33,1)</f>
        <v>#REF!</v>
      </c>
      <c r="AE191" s="206" t="e">
        <f t="shared" si="8"/>
        <v>#REF!</v>
      </c>
      <c r="AF191" s="206">
        <v>2</v>
      </c>
      <c r="AG191" s="206" t="e">
        <f>VLOOKUP($F191,#REF!,35,1)</f>
        <v>#REF!</v>
      </c>
      <c r="AH191" s="206" t="e">
        <f t="shared" si="9"/>
        <v>#REF!</v>
      </c>
      <c r="AI191" s="206">
        <v>1</v>
      </c>
      <c r="AJ191" s="206" t="e">
        <f>VLOOKUP($F191,#REF!,37,1)</f>
        <v>#REF!</v>
      </c>
    </row>
    <row r="192" spans="2:36" s="102" customFormat="1">
      <c r="B192" s="97"/>
      <c r="C192" s="114" t="s">
        <v>1920</v>
      </c>
      <c r="D192" s="98" t="s">
        <v>2243</v>
      </c>
      <c r="E192" s="98" t="s">
        <v>2154</v>
      </c>
      <c r="F192" s="120" t="s">
        <v>1979</v>
      </c>
      <c r="G192" s="97" t="s">
        <v>1929</v>
      </c>
      <c r="H192" s="97"/>
      <c r="I192" s="97"/>
      <c r="J192" s="48" t="s">
        <v>8</v>
      </c>
      <c r="Q192" s="203"/>
      <c r="R192" s="203"/>
      <c r="S192" s="203"/>
      <c r="T192" s="203"/>
      <c r="U192" s="203"/>
      <c r="V192" s="203"/>
      <c r="W192" s="206" t="e">
        <f>VLOOKUP($F192,#REF!,16,1)</f>
        <v>#REF!</v>
      </c>
      <c r="X192" s="206" t="e">
        <f t="shared" si="10"/>
        <v>#REF!</v>
      </c>
      <c r="Y192" s="206">
        <v>1</v>
      </c>
      <c r="Z192" s="206" t="e">
        <f>VLOOKUP($F192,#REF!,17,1)</f>
        <v>#REF!</v>
      </c>
      <c r="AA192" s="206" t="e">
        <f t="shared" si="11"/>
        <v>#REF!</v>
      </c>
      <c r="AB192" s="206">
        <v>2</v>
      </c>
      <c r="AC192" s="206" t="e">
        <f>VLOOKUP($F192,#REF!,21,1)</f>
        <v>#REF!</v>
      </c>
      <c r="AD192" s="206" t="e">
        <f>VLOOKUP($F192,#REF!,33,1)</f>
        <v>#REF!</v>
      </c>
      <c r="AE192" s="206" t="e">
        <f t="shared" si="8"/>
        <v>#REF!</v>
      </c>
      <c r="AF192" s="206">
        <v>1</v>
      </c>
      <c r="AG192" s="206" t="e">
        <f>VLOOKUP($F192,#REF!,35,1)</f>
        <v>#REF!</v>
      </c>
      <c r="AH192" s="206" t="e">
        <f t="shared" si="9"/>
        <v>#REF!</v>
      </c>
      <c r="AI192" s="206">
        <v>1</v>
      </c>
      <c r="AJ192" s="206" t="e">
        <f>VLOOKUP($F192,#REF!,37,1)</f>
        <v>#REF!</v>
      </c>
    </row>
    <row r="193" spans="2:36" s="102" customFormat="1">
      <c r="B193" s="97"/>
      <c r="C193" s="114" t="s">
        <v>1920</v>
      </c>
      <c r="D193" s="98" t="s">
        <v>2243</v>
      </c>
      <c r="E193" s="98" t="s">
        <v>2154</v>
      </c>
      <c r="F193" s="124"/>
      <c r="G193" s="97"/>
      <c r="H193" s="97"/>
      <c r="I193" s="97"/>
      <c r="Q193" s="203"/>
      <c r="R193" s="203"/>
      <c r="S193" s="203"/>
      <c r="T193" s="203"/>
      <c r="U193" s="203"/>
      <c r="V193" s="203"/>
      <c r="W193" s="206" t="e">
        <f>VLOOKUP($F193,#REF!,16,1)</f>
        <v>#REF!</v>
      </c>
      <c r="X193" s="206" t="e">
        <f t="shared" si="10"/>
        <v>#REF!</v>
      </c>
      <c r="Y193" s="206" t="e">
        <v>#N/A</v>
      </c>
      <c r="Z193" s="206" t="e">
        <f>VLOOKUP($F193,#REF!,17,1)</f>
        <v>#REF!</v>
      </c>
      <c r="AA193" s="206" t="e">
        <f t="shared" si="11"/>
        <v>#REF!</v>
      </c>
      <c r="AB193" s="206" t="e">
        <v>#N/A</v>
      </c>
      <c r="AC193" s="206" t="e">
        <f>VLOOKUP($F193,#REF!,21,1)</f>
        <v>#REF!</v>
      </c>
      <c r="AD193" s="206" t="e">
        <f>VLOOKUP($F193,#REF!,33,1)</f>
        <v>#REF!</v>
      </c>
      <c r="AE193" s="206" t="e">
        <f t="shared" si="8"/>
        <v>#REF!</v>
      </c>
      <c r="AF193" s="206" t="e">
        <v>#N/A</v>
      </c>
      <c r="AG193" s="206" t="e">
        <f>VLOOKUP($F193,#REF!,35,1)</f>
        <v>#REF!</v>
      </c>
      <c r="AH193" s="206" t="e">
        <f t="shared" si="9"/>
        <v>#REF!</v>
      </c>
      <c r="AI193" s="206" t="e">
        <v>#N/A</v>
      </c>
      <c r="AJ193" s="206" t="e">
        <f>VLOOKUP($F193,#REF!,37,1)</f>
        <v>#REF!</v>
      </c>
    </row>
    <row r="194" spans="2:36" s="102" customFormat="1">
      <c r="B194" s="97"/>
      <c r="C194" s="114" t="s">
        <v>1920</v>
      </c>
      <c r="D194" s="98" t="s">
        <v>2243</v>
      </c>
      <c r="E194" s="98" t="s">
        <v>2154</v>
      </c>
      <c r="F194" s="124"/>
      <c r="G194" s="97"/>
      <c r="H194" s="97"/>
      <c r="I194" s="97"/>
      <c r="Q194" s="203"/>
      <c r="R194" s="203"/>
      <c r="S194" s="203"/>
      <c r="T194" s="203"/>
      <c r="U194" s="203"/>
      <c r="V194" s="203"/>
      <c r="W194" s="206" t="e">
        <f>VLOOKUP($F194,#REF!,16,1)</f>
        <v>#REF!</v>
      </c>
      <c r="X194" s="206" t="e">
        <f t="shared" si="10"/>
        <v>#REF!</v>
      </c>
      <c r="Y194" s="206" t="e">
        <v>#N/A</v>
      </c>
      <c r="Z194" s="206" t="e">
        <f>VLOOKUP($F194,#REF!,17,1)</f>
        <v>#REF!</v>
      </c>
      <c r="AA194" s="206" t="e">
        <f t="shared" si="11"/>
        <v>#REF!</v>
      </c>
      <c r="AB194" s="206" t="e">
        <v>#N/A</v>
      </c>
      <c r="AC194" s="206" t="e">
        <f>VLOOKUP($F194,#REF!,21,1)</f>
        <v>#REF!</v>
      </c>
      <c r="AD194" s="206" t="e">
        <f>VLOOKUP($F194,#REF!,33,1)</f>
        <v>#REF!</v>
      </c>
      <c r="AE194" s="206" t="e">
        <f t="shared" si="8"/>
        <v>#REF!</v>
      </c>
      <c r="AF194" s="206" t="e">
        <v>#N/A</v>
      </c>
      <c r="AG194" s="206" t="e">
        <f>VLOOKUP($F194,#REF!,35,1)</f>
        <v>#REF!</v>
      </c>
      <c r="AH194" s="206" t="e">
        <f t="shared" si="9"/>
        <v>#REF!</v>
      </c>
      <c r="AI194" s="206" t="e">
        <v>#N/A</v>
      </c>
      <c r="AJ194" s="206" t="e">
        <f>VLOOKUP($F194,#REF!,37,1)</f>
        <v>#REF!</v>
      </c>
    </row>
    <row r="195" spans="2:36" s="102" customFormat="1">
      <c r="B195" s="97"/>
      <c r="C195" s="114" t="s">
        <v>1920</v>
      </c>
      <c r="D195" s="98" t="s">
        <v>2243</v>
      </c>
      <c r="E195" s="98" t="s">
        <v>2154</v>
      </c>
      <c r="F195" s="124"/>
      <c r="G195" s="97"/>
      <c r="H195" s="97"/>
      <c r="I195" s="97"/>
      <c r="Q195" s="203"/>
      <c r="R195" s="203"/>
      <c r="S195" s="203"/>
      <c r="T195" s="203"/>
      <c r="U195" s="203"/>
      <c r="V195" s="203"/>
      <c r="W195" s="206" t="e">
        <f>VLOOKUP($F195,#REF!,16,1)</f>
        <v>#REF!</v>
      </c>
      <c r="X195" s="206" t="e">
        <f t="shared" si="10"/>
        <v>#REF!</v>
      </c>
      <c r="Y195" s="206" t="e">
        <v>#N/A</v>
      </c>
      <c r="Z195" s="206" t="e">
        <f>VLOOKUP($F195,#REF!,17,1)</f>
        <v>#REF!</v>
      </c>
      <c r="AA195" s="206" t="e">
        <f t="shared" si="11"/>
        <v>#REF!</v>
      </c>
      <c r="AB195" s="206" t="e">
        <v>#N/A</v>
      </c>
      <c r="AC195" s="206" t="e">
        <f>VLOOKUP($F195,#REF!,21,1)</f>
        <v>#REF!</v>
      </c>
      <c r="AD195" s="206" t="e">
        <f>VLOOKUP($F195,#REF!,33,1)</f>
        <v>#REF!</v>
      </c>
      <c r="AE195" s="206" t="e">
        <f t="shared" si="8"/>
        <v>#REF!</v>
      </c>
      <c r="AF195" s="206" t="e">
        <v>#N/A</v>
      </c>
      <c r="AG195" s="206" t="e">
        <f>VLOOKUP($F195,#REF!,35,1)</f>
        <v>#REF!</v>
      </c>
      <c r="AH195" s="206" t="e">
        <f t="shared" si="9"/>
        <v>#REF!</v>
      </c>
      <c r="AI195" s="206" t="e">
        <v>#N/A</v>
      </c>
      <c r="AJ195" s="206" t="e">
        <f>VLOOKUP($F195,#REF!,37,1)</f>
        <v>#REF!</v>
      </c>
    </row>
    <row r="196" spans="2:36" s="102" customFormat="1">
      <c r="B196" s="97"/>
      <c r="C196" s="114" t="s">
        <v>1920</v>
      </c>
      <c r="D196" s="98" t="s">
        <v>2243</v>
      </c>
      <c r="E196" s="98" t="s">
        <v>2154</v>
      </c>
      <c r="F196" s="124"/>
      <c r="G196" s="97"/>
      <c r="H196" s="97"/>
      <c r="I196" s="97"/>
      <c r="Q196" s="203"/>
      <c r="R196" s="203"/>
      <c r="S196" s="203"/>
      <c r="T196" s="203"/>
      <c r="U196" s="203"/>
      <c r="V196" s="203"/>
      <c r="W196" s="206" t="e">
        <f>VLOOKUP($F196,#REF!,16,1)</f>
        <v>#REF!</v>
      </c>
      <c r="X196" s="206" t="e">
        <f t="shared" si="10"/>
        <v>#REF!</v>
      </c>
      <c r="Y196" s="206" t="e">
        <v>#N/A</v>
      </c>
      <c r="Z196" s="206" t="e">
        <f>VLOOKUP($F196,#REF!,17,1)</f>
        <v>#REF!</v>
      </c>
      <c r="AA196" s="206" t="e">
        <f t="shared" si="11"/>
        <v>#REF!</v>
      </c>
      <c r="AB196" s="206" t="e">
        <v>#N/A</v>
      </c>
      <c r="AC196" s="206" t="e">
        <f>VLOOKUP($F196,#REF!,21,1)</f>
        <v>#REF!</v>
      </c>
      <c r="AD196" s="206" t="e">
        <f>VLOOKUP($F196,#REF!,33,1)</f>
        <v>#REF!</v>
      </c>
      <c r="AE196" s="206" t="e">
        <f t="shared" ref="AE196:AE259" si="12">IF(AD196="Casi Seguro",5,IF(AD196="Alta",4,IF(AD196="Posible",3,IF(AD196="Baja",2,1))))</f>
        <v>#REF!</v>
      </c>
      <c r="AF196" s="206" t="e">
        <v>#N/A</v>
      </c>
      <c r="AG196" s="206" t="e">
        <f>VLOOKUP($F196,#REF!,35,1)</f>
        <v>#REF!</v>
      </c>
      <c r="AH196" s="206" t="e">
        <f t="shared" ref="AH196:AH259" si="13">IF(AG196="Catastrófico",5,IF(AG196="Mayor",4,IF(AG196="Moderado",3,IF(AG196="menor",2,1))))</f>
        <v>#REF!</v>
      </c>
      <c r="AI196" s="206" t="e">
        <v>#N/A</v>
      </c>
      <c r="AJ196" s="206" t="e">
        <f>VLOOKUP($F196,#REF!,37,1)</f>
        <v>#REF!</v>
      </c>
    </row>
    <row r="197" spans="2:36" s="102" customFormat="1">
      <c r="B197" s="97"/>
      <c r="C197" s="114" t="s">
        <v>1920</v>
      </c>
      <c r="D197" s="98" t="s">
        <v>2243</v>
      </c>
      <c r="E197" s="98" t="s">
        <v>2154</v>
      </c>
      <c r="F197" s="124"/>
      <c r="G197" s="97"/>
      <c r="H197" s="97"/>
      <c r="I197" s="97"/>
      <c r="Q197" s="203"/>
      <c r="R197" s="203"/>
      <c r="S197" s="203"/>
      <c r="T197" s="203"/>
      <c r="U197" s="203"/>
      <c r="V197" s="203"/>
      <c r="W197" s="206" t="e">
        <f>VLOOKUP($F197,#REF!,16,1)</f>
        <v>#REF!</v>
      </c>
      <c r="X197" s="206" t="e">
        <f t="shared" ref="X197:X260" si="14">IF(W197="Casi Seguro",5,IF(W197="Alta",4,IF(W197="Posible",3,IF(W197="Baja",2,1))))</f>
        <v>#REF!</v>
      </c>
      <c r="Y197" s="206" t="e">
        <v>#N/A</v>
      </c>
      <c r="Z197" s="206" t="e">
        <f>VLOOKUP($F197,#REF!,17,1)</f>
        <v>#REF!</v>
      </c>
      <c r="AA197" s="206" t="e">
        <f t="shared" ref="AA197:AA260" si="15">IF(Z197="Catastrófico",5,IF(Z197="Mayor",4,IF(Z197="Moderado",3,IF(Z197="menor",2,1))))</f>
        <v>#REF!</v>
      </c>
      <c r="AB197" s="206" t="e">
        <v>#N/A</v>
      </c>
      <c r="AC197" s="206" t="e">
        <f>VLOOKUP($F197,#REF!,21,1)</f>
        <v>#REF!</v>
      </c>
      <c r="AD197" s="206" t="e">
        <f>VLOOKUP($F197,#REF!,33,1)</f>
        <v>#REF!</v>
      </c>
      <c r="AE197" s="206" t="e">
        <f t="shared" si="12"/>
        <v>#REF!</v>
      </c>
      <c r="AF197" s="206" t="e">
        <v>#N/A</v>
      </c>
      <c r="AG197" s="206" t="e">
        <f>VLOOKUP($F197,#REF!,35,1)</f>
        <v>#REF!</v>
      </c>
      <c r="AH197" s="206" t="e">
        <f t="shared" si="13"/>
        <v>#REF!</v>
      </c>
      <c r="AI197" s="206" t="e">
        <v>#N/A</v>
      </c>
      <c r="AJ197" s="206" t="e">
        <f>VLOOKUP($F197,#REF!,37,1)</f>
        <v>#REF!</v>
      </c>
    </row>
    <row r="198" spans="2:36" s="102" customFormat="1">
      <c r="B198" s="97"/>
      <c r="C198" s="114" t="s">
        <v>1920</v>
      </c>
      <c r="D198" s="98" t="s">
        <v>2243</v>
      </c>
      <c r="E198" s="98" t="s">
        <v>2154</v>
      </c>
      <c r="F198" s="124"/>
      <c r="G198" s="97"/>
      <c r="H198" s="97"/>
      <c r="I198" s="97"/>
      <c r="Q198" s="203"/>
      <c r="R198" s="203"/>
      <c r="S198" s="203"/>
      <c r="T198" s="203"/>
      <c r="U198" s="203"/>
      <c r="V198" s="203"/>
      <c r="W198" s="206" t="e">
        <f>VLOOKUP($F198,#REF!,16,1)</f>
        <v>#REF!</v>
      </c>
      <c r="X198" s="206" t="e">
        <f t="shared" si="14"/>
        <v>#REF!</v>
      </c>
      <c r="Y198" s="206" t="e">
        <v>#N/A</v>
      </c>
      <c r="Z198" s="206" t="e">
        <f>VLOOKUP($F198,#REF!,17,1)</f>
        <v>#REF!</v>
      </c>
      <c r="AA198" s="206" t="e">
        <f t="shared" si="15"/>
        <v>#REF!</v>
      </c>
      <c r="AB198" s="206" t="e">
        <v>#N/A</v>
      </c>
      <c r="AC198" s="206" t="e">
        <f>VLOOKUP($F198,#REF!,21,1)</f>
        <v>#REF!</v>
      </c>
      <c r="AD198" s="206" t="e">
        <f>VLOOKUP($F198,#REF!,33,1)</f>
        <v>#REF!</v>
      </c>
      <c r="AE198" s="206" t="e">
        <f t="shared" si="12"/>
        <v>#REF!</v>
      </c>
      <c r="AF198" s="206" t="e">
        <v>#N/A</v>
      </c>
      <c r="AG198" s="206" t="e">
        <f>VLOOKUP($F198,#REF!,35,1)</f>
        <v>#REF!</v>
      </c>
      <c r="AH198" s="206" t="e">
        <f t="shared" si="13"/>
        <v>#REF!</v>
      </c>
      <c r="AI198" s="206" t="e">
        <v>#N/A</v>
      </c>
      <c r="AJ198" s="206" t="e">
        <f>VLOOKUP($F198,#REF!,37,1)</f>
        <v>#REF!</v>
      </c>
    </row>
    <row r="199" spans="2:36" s="102" customFormat="1" ht="33.75">
      <c r="B199" s="97"/>
      <c r="C199" s="118" t="s">
        <v>1933</v>
      </c>
      <c r="D199" s="98" t="s">
        <v>2253</v>
      </c>
      <c r="E199" s="98" t="s">
        <v>2154</v>
      </c>
      <c r="F199" s="120" t="s">
        <v>2056</v>
      </c>
      <c r="G199" s="97" t="s">
        <v>1929</v>
      </c>
      <c r="H199" s="97"/>
      <c r="I199" s="97"/>
      <c r="Q199" s="206" t="s">
        <v>2161</v>
      </c>
      <c r="R199" s="206">
        <f>ROW(F199)</f>
        <v>199</v>
      </c>
      <c r="S199" s="206" t="str">
        <f>CONCATENATE(";","'",D199,"'!","$B$9:$AL$89",";","21",";","1",")")</f>
        <v>;'M CONSERVACION-DTAI'!$B$9:$AL$89;21;1)</v>
      </c>
      <c r="T199" s="206" t="s">
        <v>2254</v>
      </c>
      <c r="U199" s="206" t="str">
        <f>CONCATENATE("=BUSCARV($E",R199,T199)</f>
        <v>=BUSCARV($E199;'M CONSERVACION-DTAI'!$B$9:$AL$89;21;1)</v>
      </c>
      <c r="V199" s="206"/>
      <c r="W199" s="206" t="e">
        <f>VLOOKUP($F199,#REF!,16,1)</f>
        <v>#REF!</v>
      </c>
      <c r="X199" s="206" t="e">
        <f t="shared" si="14"/>
        <v>#REF!</v>
      </c>
      <c r="Y199" s="206">
        <v>2</v>
      </c>
      <c r="Z199" s="206" t="e">
        <f>VLOOKUP($F199,#REF!,17,1)</f>
        <v>#REF!</v>
      </c>
      <c r="AA199" s="206" t="e">
        <f t="shared" si="15"/>
        <v>#REF!</v>
      </c>
      <c r="AB199" s="206">
        <v>3</v>
      </c>
      <c r="AC199" s="206" t="e">
        <f>VLOOKUP($F199,#REF!,21,1)</f>
        <v>#REF!</v>
      </c>
      <c r="AD199" s="206" t="e">
        <f>VLOOKUP($F199,#REF!,33,1)</f>
        <v>#REF!</v>
      </c>
      <c r="AE199" s="206" t="e">
        <f t="shared" si="12"/>
        <v>#REF!</v>
      </c>
      <c r="AF199" s="206">
        <v>1</v>
      </c>
      <c r="AG199" s="206" t="e">
        <f>VLOOKUP($F199,#REF!,35,1)</f>
        <v>#REF!</v>
      </c>
      <c r="AH199" s="206" t="e">
        <f t="shared" si="13"/>
        <v>#REF!</v>
      </c>
      <c r="AI199" s="206">
        <v>1</v>
      </c>
      <c r="AJ199" s="206" t="e">
        <f>VLOOKUP($F199,#REF!,37,1)</f>
        <v>#REF!</v>
      </c>
    </row>
    <row r="200" spans="2:36" s="102" customFormat="1" ht="33.75">
      <c r="B200" s="97"/>
      <c r="C200" s="118" t="s">
        <v>1933</v>
      </c>
      <c r="D200" s="98" t="s">
        <v>2253</v>
      </c>
      <c r="E200" s="98" t="s">
        <v>2154</v>
      </c>
      <c r="F200" s="120" t="s">
        <v>2057</v>
      </c>
      <c r="G200" s="97" t="s">
        <v>1929</v>
      </c>
      <c r="H200" s="97"/>
      <c r="I200" s="97"/>
      <c r="Q200" s="203"/>
      <c r="R200" s="203"/>
      <c r="S200" s="203"/>
      <c r="T200" s="203"/>
      <c r="U200" s="203"/>
      <c r="V200" s="203"/>
      <c r="W200" s="206" t="e">
        <f>VLOOKUP($F200,#REF!,16,1)</f>
        <v>#REF!</v>
      </c>
      <c r="X200" s="206" t="e">
        <f t="shared" si="14"/>
        <v>#REF!</v>
      </c>
      <c r="Y200" s="206">
        <v>1</v>
      </c>
      <c r="Z200" s="206" t="e">
        <f>VLOOKUP($F200,#REF!,17,1)</f>
        <v>#REF!</v>
      </c>
      <c r="AA200" s="206" t="e">
        <f t="shared" si="15"/>
        <v>#REF!</v>
      </c>
      <c r="AB200" s="206">
        <v>2</v>
      </c>
      <c r="AC200" s="206" t="e">
        <f>VLOOKUP($F200,#REF!,21,1)</f>
        <v>#REF!</v>
      </c>
      <c r="AD200" s="206" t="e">
        <f>VLOOKUP($F200,#REF!,33,1)</f>
        <v>#REF!</v>
      </c>
      <c r="AE200" s="206" t="e">
        <f t="shared" si="12"/>
        <v>#REF!</v>
      </c>
      <c r="AF200" s="206">
        <v>1</v>
      </c>
      <c r="AG200" s="206" t="e">
        <f>VLOOKUP($F200,#REF!,35,1)</f>
        <v>#REF!</v>
      </c>
      <c r="AH200" s="206" t="e">
        <f t="shared" si="13"/>
        <v>#REF!</v>
      </c>
      <c r="AI200" s="206">
        <v>1</v>
      </c>
      <c r="AJ200" s="206" t="e">
        <f>VLOOKUP($F200,#REF!,37,1)</f>
        <v>#REF!</v>
      </c>
    </row>
    <row r="201" spans="2:36" s="102" customFormat="1" ht="33.75">
      <c r="B201" s="97"/>
      <c r="C201" s="118" t="s">
        <v>1933</v>
      </c>
      <c r="D201" s="98" t="s">
        <v>2253</v>
      </c>
      <c r="E201" s="98" t="s">
        <v>2154</v>
      </c>
      <c r="F201" s="120" t="s">
        <v>2058</v>
      </c>
      <c r="G201" s="97" t="s">
        <v>1929</v>
      </c>
      <c r="H201" s="97"/>
      <c r="I201" s="97"/>
      <c r="Q201" s="203"/>
      <c r="R201" s="203"/>
      <c r="S201" s="203"/>
      <c r="T201" s="203"/>
      <c r="U201" s="203"/>
      <c r="V201" s="203"/>
      <c r="W201" s="206" t="e">
        <f>VLOOKUP($F201,#REF!,16,1)</f>
        <v>#REF!</v>
      </c>
      <c r="X201" s="206" t="e">
        <f t="shared" si="14"/>
        <v>#REF!</v>
      </c>
      <c r="Y201" s="206">
        <v>2</v>
      </c>
      <c r="Z201" s="206" t="e">
        <f>VLOOKUP($F201,#REF!,17,1)</f>
        <v>#REF!</v>
      </c>
      <c r="AA201" s="206" t="e">
        <f t="shared" si="15"/>
        <v>#REF!</v>
      </c>
      <c r="AB201" s="206">
        <v>3</v>
      </c>
      <c r="AC201" s="206" t="e">
        <f>VLOOKUP($F201,#REF!,21,1)</f>
        <v>#REF!</v>
      </c>
      <c r="AD201" s="206" t="e">
        <f>VLOOKUP($F201,#REF!,33,1)</f>
        <v>#REF!</v>
      </c>
      <c r="AE201" s="206" t="e">
        <f t="shared" si="12"/>
        <v>#REF!</v>
      </c>
      <c r="AF201" s="206">
        <v>1</v>
      </c>
      <c r="AG201" s="206" t="e">
        <f>VLOOKUP($F201,#REF!,35,1)</f>
        <v>#REF!</v>
      </c>
      <c r="AH201" s="206" t="e">
        <f t="shared" si="13"/>
        <v>#REF!</v>
      </c>
      <c r="AI201" s="206">
        <v>1</v>
      </c>
      <c r="AJ201" s="206" t="e">
        <f>VLOOKUP($F201,#REF!,37,1)</f>
        <v>#REF!</v>
      </c>
    </row>
    <row r="202" spans="2:36" s="102" customFormat="1" ht="33.75">
      <c r="B202" s="97"/>
      <c r="C202" s="118" t="s">
        <v>1933</v>
      </c>
      <c r="D202" s="98" t="s">
        <v>2253</v>
      </c>
      <c r="E202" s="98" t="s">
        <v>2154</v>
      </c>
      <c r="F202" s="120" t="s">
        <v>2059</v>
      </c>
      <c r="G202" s="97" t="s">
        <v>1929</v>
      </c>
      <c r="H202" s="97"/>
      <c r="I202" s="97"/>
      <c r="Q202" s="203"/>
      <c r="R202" s="203"/>
      <c r="S202" s="203"/>
      <c r="T202" s="203"/>
      <c r="U202" s="203"/>
      <c r="V202" s="203"/>
      <c r="W202" s="206" t="e">
        <f>VLOOKUP($F202,#REF!,16,1)</f>
        <v>#REF!</v>
      </c>
      <c r="X202" s="206" t="e">
        <f t="shared" si="14"/>
        <v>#REF!</v>
      </c>
      <c r="Y202" s="206">
        <v>2</v>
      </c>
      <c r="Z202" s="206" t="e">
        <f>VLOOKUP($F202,#REF!,17,1)</f>
        <v>#REF!</v>
      </c>
      <c r="AA202" s="206" t="e">
        <f t="shared" si="15"/>
        <v>#REF!</v>
      </c>
      <c r="AB202" s="206">
        <v>3</v>
      </c>
      <c r="AC202" s="206" t="e">
        <f>VLOOKUP($F202,#REF!,21,1)</f>
        <v>#REF!</v>
      </c>
      <c r="AD202" s="206" t="e">
        <f>VLOOKUP($F202,#REF!,33,1)</f>
        <v>#REF!</v>
      </c>
      <c r="AE202" s="206" t="e">
        <f t="shared" si="12"/>
        <v>#REF!</v>
      </c>
      <c r="AF202" s="206">
        <v>1</v>
      </c>
      <c r="AG202" s="206" t="e">
        <f>VLOOKUP($F202,#REF!,35,1)</f>
        <v>#REF!</v>
      </c>
      <c r="AH202" s="206" t="e">
        <f t="shared" si="13"/>
        <v>#REF!</v>
      </c>
      <c r="AI202" s="206">
        <v>1</v>
      </c>
      <c r="AJ202" s="206" t="e">
        <f>VLOOKUP($F202,#REF!,37,1)</f>
        <v>#REF!</v>
      </c>
    </row>
    <row r="203" spans="2:36" s="102" customFormat="1" ht="33.75">
      <c r="B203" s="97"/>
      <c r="C203" s="118" t="s">
        <v>1933</v>
      </c>
      <c r="D203" s="98" t="s">
        <v>2253</v>
      </c>
      <c r="E203" s="98" t="s">
        <v>2154</v>
      </c>
      <c r="F203" s="120" t="s">
        <v>2060</v>
      </c>
      <c r="G203" s="97" t="s">
        <v>1929</v>
      </c>
      <c r="H203" s="97"/>
      <c r="I203" s="97"/>
      <c r="Q203" s="203"/>
      <c r="R203" s="203"/>
      <c r="S203" s="203"/>
      <c r="T203" s="203"/>
      <c r="U203" s="203"/>
      <c r="V203" s="203"/>
      <c r="W203" s="206" t="e">
        <f>VLOOKUP($F203,#REF!,16,1)</f>
        <v>#REF!</v>
      </c>
      <c r="X203" s="206" t="e">
        <f t="shared" si="14"/>
        <v>#REF!</v>
      </c>
      <c r="Y203" s="206">
        <v>3</v>
      </c>
      <c r="Z203" s="206" t="e">
        <f>VLOOKUP($F203,#REF!,17,1)</f>
        <v>#REF!</v>
      </c>
      <c r="AA203" s="206" t="e">
        <f t="shared" si="15"/>
        <v>#REF!</v>
      </c>
      <c r="AB203" s="206">
        <v>3</v>
      </c>
      <c r="AC203" s="206" t="e">
        <f>VLOOKUP($F203,#REF!,21,1)</f>
        <v>#REF!</v>
      </c>
      <c r="AD203" s="206" t="e">
        <f>VLOOKUP($F203,#REF!,33,1)</f>
        <v>#REF!</v>
      </c>
      <c r="AE203" s="206" t="e">
        <f t="shared" si="12"/>
        <v>#REF!</v>
      </c>
      <c r="AF203" s="206">
        <v>1</v>
      </c>
      <c r="AG203" s="206" t="e">
        <f>VLOOKUP($F203,#REF!,35,1)</f>
        <v>#REF!</v>
      </c>
      <c r="AH203" s="206" t="e">
        <f t="shared" si="13"/>
        <v>#REF!</v>
      </c>
      <c r="AI203" s="206">
        <v>1</v>
      </c>
      <c r="AJ203" s="206" t="e">
        <f>VLOOKUP($F203,#REF!,37,1)</f>
        <v>#REF!</v>
      </c>
    </row>
    <row r="204" spans="2:36" s="102" customFormat="1" ht="33.75">
      <c r="B204" s="97"/>
      <c r="C204" s="118" t="s">
        <v>1933</v>
      </c>
      <c r="D204" s="98" t="s">
        <v>2253</v>
      </c>
      <c r="E204" s="98" t="s">
        <v>2154</v>
      </c>
      <c r="F204" s="120" t="s">
        <v>2061</v>
      </c>
      <c r="G204" s="97" t="s">
        <v>1929</v>
      </c>
      <c r="H204" s="97"/>
      <c r="I204" s="97"/>
      <c r="Q204" s="203"/>
      <c r="R204" s="203"/>
      <c r="S204" s="203"/>
      <c r="T204" s="203"/>
      <c r="U204" s="203"/>
      <c r="V204" s="203"/>
      <c r="W204" s="206" t="e">
        <f>VLOOKUP($F204,#REF!,16,1)</f>
        <v>#REF!</v>
      </c>
      <c r="X204" s="206" t="e">
        <f t="shared" si="14"/>
        <v>#REF!</v>
      </c>
      <c r="Y204" s="206">
        <v>4</v>
      </c>
      <c r="Z204" s="206" t="e">
        <f>VLOOKUP($F204,#REF!,17,1)</f>
        <v>#REF!</v>
      </c>
      <c r="AA204" s="206" t="e">
        <f t="shared" si="15"/>
        <v>#REF!</v>
      </c>
      <c r="AB204" s="206">
        <v>3</v>
      </c>
      <c r="AC204" s="206" t="e">
        <f>VLOOKUP($F204,#REF!,21,1)</f>
        <v>#REF!</v>
      </c>
      <c r="AD204" s="206" t="e">
        <f>VLOOKUP($F204,#REF!,33,1)</f>
        <v>#REF!</v>
      </c>
      <c r="AE204" s="206" t="e">
        <f t="shared" si="12"/>
        <v>#REF!</v>
      </c>
      <c r="AF204" s="206">
        <v>1</v>
      </c>
      <c r="AG204" s="206" t="e">
        <f>VLOOKUP($F204,#REF!,35,1)</f>
        <v>#REF!</v>
      </c>
      <c r="AH204" s="206" t="e">
        <f t="shared" si="13"/>
        <v>#REF!</v>
      </c>
      <c r="AI204" s="206">
        <v>1</v>
      </c>
      <c r="AJ204" s="206" t="e">
        <f>VLOOKUP($F204,#REF!,37,1)</f>
        <v>#REF!</v>
      </c>
    </row>
    <row r="205" spans="2:36" s="102" customFormat="1" ht="33.75">
      <c r="B205" s="97"/>
      <c r="C205" s="118" t="s">
        <v>1933</v>
      </c>
      <c r="D205" s="98" t="s">
        <v>2244</v>
      </c>
      <c r="E205" s="98" t="s">
        <v>2154</v>
      </c>
      <c r="F205" s="120" t="s">
        <v>2048</v>
      </c>
      <c r="G205" s="97" t="s">
        <v>1929</v>
      </c>
      <c r="H205" s="97"/>
      <c r="I205" s="97"/>
      <c r="J205" s="48" t="s">
        <v>8</v>
      </c>
      <c r="Q205" s="206" t="s">
        <v>2161</v>
      </c>
      <c r="R205" s="206">
        <f>ROW(F205)</f>
        <v>205</v>
      </c>
      <c r="S205" s="206" t="str">
        <f>CONCATENATE(";","'",D205,"'!","$B$9:$AL$89",";","21",";","1",")")</f>
        <v>;'M CONSERVACION-DTM'!$B$9:$AL$89;21;1)</v>
      </c>
      <c r="T205" s="203" t="s">
        <v>2199</v>
      </c>
      <c r="U205" s="206" t="str">
        <f>CONCATENATE("=BUSCARV($E",R205,T205)</f>
        <v>=BUSCARV($E205;'M CONSERVACION-DTM'!$B$9:$AL$89;21;1)</v>
      </c>
      <c r="V205" s="206"/>
      <c r="W205" s="206" t="e">
        <f>VLOOKUP($F205,#REF!,16,1)</f>
        <v>#REF!</v>
      </c>
      <c r="X205" s="206" t="e">
        <f t="shared" si="14"/>
        <v>#REF!</v>
      </c>
      <c r="Y205" s="206">
        <v>3</v>
      </c>
      <c r="Z205" s="206" t="e">
        <f>VLOOKUP($F205,#REF!,17,1)</f>
        <v>#REF!</v>
      </c>
      <c r="AA205" s="206" t="e">
        <f t="shared" si="15"/>
        <v>#REF!</v>
      </c>
      <c r="AB205" s="206">
        <v>3</v>
      </c>
      <c r="AC205" s="206" t="e">
        <f>VLOOKUP($F205,#REF!,21,1)</f>
        <v>#REF!</v>
      </c>
      <c r="AD205" s="206" t="e">
        <f>VLOOKUP($F205,#REF!,33,1)</f>
        <v>#REF!</v>
      </c>
      <c r="AE205" s="206" t="e">
        <f t="shared" si="12"/>
        <v>#REF!</v>
      </c>
      <c r="AF205" s="206">
        <v>2</v>
      </c>
      <c r="AG205" s="206" t="e">
        <f>VLOOKUP($F205,#REF!,35,1)</f>
        <v>#REF!</v>
      </c>
      <c r="AH205" s="206" t="e">
        <f t="shared" si="13"/>
        <v>#REF!</v>
      </c>
      <c r="AI205" s="206">
        <v>2</v>
      </c>
      <c r="AJ205" s="206" t="e">
        <f>VLOOKUP($F205,#REF!,37,1)</f>
        <v>#REF!</v>
      </c>
    </row>
    <row r="206" spans="2:36" s="102" customFormat="1" ht="33.75">
      <c r="B206" s="97"/>
      <c r="C206" s="118" t="s">
        <v>1933</v>
      </c>
      <c r="D206" s="98" t="s">
        <v>2244</v>
      </c>
      <c r="E206" s="98" t="s">
        <v>2154</v>
      </c>
      <c r="F206" s="120" t="s">
        <v>2049</v>
      </c>
      <c r="G206" s="97" t="s">
        <v>1929</v>
      </c>
      <c r="H206" s="97"/>
      <c r="I206" s="97"/>
      <c r="J206" s="48" t="s">
        <v>8</v>
      </c>
      <c r="Q206" s="203"/>
      <c r="R206" s="203"/>
      <c r="S206" s="203"/>
      <c r="T206" s="203"/>
      <c r="U206" s="203"/>
      <c r="V206" s="203"/>
      <c r="W206" s="206" t="e">
        <f>VLOOKUP($F206,#REF!,16,1)</f>
        <v>#REF!</v>
      </c>
      <c r="X206" s="206" t="e">
        <f t="shared" si="14"/>
        <v>#REF!</v>
      </c>
      <c r="Y206" s="206">
        <v>2</v>
      </c>
      <c r="Z206" s="206" t="e">
        <f>VLOOKUP($F206,#REF!,17,1)</f>
        <v>#REF!</v>
      </c>
      <c r="AA206" s="206" t="e">
        <f t="shared" si="15"/>
        <v>#REF!</v>
      </c>
      <c r="AB206" s="206">
        <v>3</v>
      </c>
      <c r="AC206" s="206" t="e">
        <f>VLOOKUP($F206,#REF!,21,1)</f>
        <v>#REF!</v>
      </c>
      <c r="AD206" s="206" t="e">
        <f>VLOOKUP($F206,#REF!,33,1)</f>
        <v>#REF!</v>
      </c>
      <c r="AE206" s="206" t="e">
        <f t="shared" si="12"/>
        <v>#REF!</v>
      </c>
      <c r="AF206" s="206">
        <v>1</v>
      </c>
      <c r="AG206" s="206" t="e">
        <f>VLOOKUP($F206,#REF!,35,1)</f>
        <v>#REF!</v>
      </c>
      <c r="AH206" s="206" t="e">
        <f t="shared" si="13"/>
        <v>#REF!</v>
      </c>
      <c r="AI206" s="206">
        <v>1</v>
      </c>
      <c r="AJ206" s="206" t="e">
        <f>VLOOKUP($F206,#REF!,37,1)</f>
        <v>#REF!</v>
      </c>
    </row>
    <row r="207" spans="2:36" s="102" customFormat="1" ht="33.75">
      <c r="B207" s="97"/>
      <c r="C207" s="118" t="s">
        <v>1933</v>
      </c>
      <c r="D207" s="98" t="s">
        <v>2244</v>
      </c>
      <c r="E207" s="98" t="s">
        <v>2154</v>
      </c>
      <c r="F207" s="120" t="s">
        <v>2050</v>
      </c>
      <c r="G207" s="97" t="s">
        <v>1929</v>
      </c>
      <c r="H207" s="97"/>
      <c r="I207" s="97"/>
      <c r="K207" s="48" t="s">
        <v>8</v>
      </c>
      <c r="Q207" s="203"/>
      <c r="R207" s="203"/>
      <c r="S207" s="203"/>
      <c r="T207" s="203"/>
      <c r="U207" s="203"/>
      <c r="V207" s="203"/>
      <c r="W207" s="206" t="e">
        <f>VLOOKUP($F207,#REF!,16,1)</f>
        <v>#REF!</v>
      </c>
      <c r="X207" s="206" t="e">
        <f t="shared" si="14"/>
        <v>#REF!</v>
      </c>
      <c r="Y207" s="206">
        <v>3</v>
      </c>
      <c r="Z207" s="206" t="e">
        <f>VLOOKUP($F207,#REF!,17,1)</f>
        <v>#REF!</v>
      </c>
      <c r="AA207" s="206" t="e">
        <f t="shared" si="15"/>
        <v>#REF!</v>
      </c>
      <c r="AB207" s="206">
        <v>2</v>
      </c>
      <c r="AC207" s="206" t="e">
        <f>VLOOKUP($F207,#REF!,21,1)</f>
        <v>#REF!</v>
      </c>
      <c r="AD207" s="206" t="e">
        <f>VLOOKUP($F207,#REF!,33,1)</f>
        <v>#REF!</v>
      </c>
      <c r="AE207" s="206" t="e">
        <f t="shared" si="12"/>
        <v>#REF!</v>
      </c>
      <c r="AF207" s="206">
        <v>1</v>
      </c>
      <c r="AG207" s="206" t="e">
        <f>VLOOKUP($F207,#REF!,35,1)</f>
        <v>#REF!</v>
      </c>
      <c r="AH207" s="206" t="e">
        <f t="shared" si="13"/>
        <v>#REF!</v>
      </c>
      <c r="AI207" s="206">
        <v>2</v>
      </c>
      <c r="AJ207" s="206" t="e">
        <f>VLOOKUP($F207,#REF!,37,1)</f>
        <v>#REF!</v>
      </c>
    </row>
    <row r="208" spans="2:36" s="102" customFormat="1" ht="33.75">
      <c r="B208" s="97"/>
      <c r="C208" s="118" t="s">
        <v>1933</v>
      </c>
      <c r="D208" s="98" t="s">
        <v>2244</v>
      </c>
      <c r="E208" s="98" t="s">
        <v>2154</v>
      </c>
      <c r="F208" s="120" t="s">
        <v>2051</v>
      </c>
      <c r="G208" s="97" t="s">
        <v>1929</v>
      </c>
      <c r="H208" s="97"/>
      <c r="I208" s="97"/>
      <c r="K208" s="48" t="s">
        <v>8</v>
      </c>
      <c r="Q208" s="203"/>
      <c r="R208" s="203"/>
      <c r="S208" s="203"/>
      <c r="T208" s="203"/>
      <c r="U208" s="203"/>
      <c r="V208" s="203"/>
      <c r="W208" s="206" t="e">
        <f>VLOOKUP($F208,#REF!,16,1)</f>
        <v>#REF!</v>
      </c>
      <c r="X208" s="206" t="e">
        <f t="shared" si="14"/>
        <v>#REF!</v>
      </c>
      <c r="Y208" s="206">
        <v>2</v>
      </c>
      <c r="Z208" s="206" t="e">
        <f>VLOOKUP($F208,#REF!,17,1)</f>
        <v>#REF!</v>
      </c>
      <c r="AA208" s="206" t="e">
        <f t="shared" si="15"/>
        <v>#REF!</v>
      </c>
      <c r="AB208" s="206">
        <v>2</v>
      </c>
      <c r="AC208" s="206" t="e">
        <f>VLOOKUP($F208,#REF!,21,1)</f>
        <v>#REF!</v>
      </c>
      <c r="AD208" s="206" t="e">
        <f>VLOOKUP($F208,#REF!,33,1)</f>
        <v>#REF!</v>
      </c>
      <c r="AE208" s="206" t="e">
        <f t="shared" si="12"/>
        <v>#REF!</v>
      </c>
      <c r="AF208" s="206">
        <v>1</v>
      </c>
      <c r="AG208" s="206" t="e">
        <f>VLOOKUP($F208,#REF!,35,1)</f>
        <v>#REF!</v>
      </c>
      <c r="AH208" s="206" t="e">
        <f t="shared" si="13"/>
        <v>#REF!</v>
      </c>
      <c r="AI208" s="206">
        <v>2</v>
      </c>
      <c r="AJ208" s="206" t="e">
        <f>VLOOKUP($F208,#REF!,37,1)</f>
        <v>#REF!</v>
      </c>
    </row>
    <row r="209" spans="2:36" s="102" customFormat="1" ht="33.75">
      <c r="B209" s="97"/>
      <c r="C209" s="118" t="s">
        <v>1933</v>
      </c>
      <c r="D209" s="98" t="s">
        <v>2244</v>
      </c>
      <c r="E209" s="98" t="s">
        <v>2154</v>
      </c>
      <c r="F209" s="120" t="s">
        <v>2052</v>
      </c>
      <c r="G209" s="97" t="s">
        <v>1929</v>
      </c>
      <c r="H209" s="97"/>
      <c r="I209" s="97"/>
      <c r="K209" s="48" t="s">
        <v>8</v>
      </c>
      <c r="Q209" s="203"/>
      <c r="R209" s="203"/>
      <c r="S209" s="203"/>
      <c r="T209" s="203"/>
      <c r="U209" s="203"/>
      <c r="V209" s="203"/>
      <c r="W209" s="206" t="e">
        <f>VLOOKUP($F209,#REF!,16,1)</f>
        <v>#REF!</v>
      </c>
      <c r="X209" s="206" t="e">
        <f t="shared" si="14"/>
        <v>#REF!</v>
      </c>
      <c r="Y209" s="206">
        <v>3</v>
      </c>
      <c r="Z209" s="206" t="e">
        <f>VLOOKUP($F209,#REF!,17,1)</f>
        <v>#REF!</v>
      </c>
      <c r="AA209" s="206" t="e">
        <f t="shared" si="15"/>
        <v>#REF!</v>
      </c>
      <c r="AB209" s="206">
        <v>2</v>
      </c>
      <c r="AC209" s="206" t="e">
        <f>VLOOKUP($F209,#REF!,21,1)</f>
        <v>#REF!</v>
      </c>
      <c r="AD209" s="206" t="e">
        <f>VLOOKUP($F209,#REF!,33,1)</f>
        <v>#REF!</v>
      </c>
      <c r="AE209" s="206" t="e">
        <f t="shared" si="12"/>
        <v>#REF!</v>
      </c>
      <c r="AF209" s="206">
        <v>1</v>
      </c>
      <c r="AG209" s="206" t="e">
        <f>VLOOKUP($F209,#REF!,35,1)</f>
        <v>#REF!</v>
      </c>
      <c r="AH209" s="206" t="e">
        <f t="shared" si="13"/>
        <v>#REF!</v>
      </c>
      <c r="AI209" s="206">
        <v>2</v>
      </c>
      <c r="AJ209" s="206" t="e">
        <f>VLOOKUP($F209,#REF!,37,1)</f>
        <v>#REF!</v>
      </c>
    </row>
    <row r="210" spans="2:36" s="102" customFormat="1" ht="33.75">
      <c r="B210" s="97"/>
      <c r="C210" s="118" t="s">
        <v>1933</v>
      </c>
      <c r="D210" s="98" t="s">
        <v>2244</v>
      </c>
      <c r="E210" s="98" t="s">
        <v>2154</v>
      </c>
      <c r="F210" s="120" t="s">
        <v>2053</v>
      </c>
      <c r="G210" s="97" t="s">
        <v>1929</v>
      </c>
      <c r="H210" s="97"/>
      <c r="I210" s="97"/>
      <c r="K210" s="48" t="s">
        <v>8</v>
      </c>
      <c r="Q210" s="203"/>
      <c r="R210" s="203"/>
      <c r="S210" s="203"/>
      <c r="T210" s="203"/>
      <c r="U210" s="203"/>
      <c r="V210" s="203"/>
      <c r="W210" s="206" t="e">
        <f>VLOOKUP($F210,#REF!,16,1)</f>
        <v>#REF!</v>
      </c>
      <c r="X210" s="206" t="e">
        <f t="shared" si="14"/>
        <v>#REF!</v>
      </c>
      <c r="Y210" s="206">
        <v>3</v>
      </c>
      <c r="Z210" s="206" t="e">
        <f>VLOOKUP($F210,#REF!,17,1)</f>
        <v>#REF!</v>
      </c>
      <c r="AA210" s="206" t="e">
        <f t="shared" si="15"/>
        <v>#REF!</v>
      </c>
      <c r="AB210" s="206">
        <v>3</v>
      </c>
      <c r="AC210" s="206" t="e">
        <f>VLOOKUP($F210,#REF!,21,1)</f>
        <v>#REF!</v>
      </c>
      <c r="AD210" s="206" t="e">
        <f>VLOOKUP($F210,#REF!,33,1)</f>
        <v>#REF!</v>
      </c>
      <c r="AE210" s="206" t="e">
        <f t="shared" si="12"/>
        <v>#REF!</v>
      </c>
      <c r="AF210" s="206">
        <v>1</v>
      </c>
      <c r="AG210" s="206" t="e">
        <f>VLOOKUP($F210,#REF!,35,1)</f>
        <v>#REF!</v>
      </c>
      <c r="AH210" s="206" t="e">
        <f t="shared" si="13"/>
        <v>#REF!</v>
      </c>
      <c r="AI210" s="206">
        <v>1</v>
      </c>
      <c r="AJ210" s="206" t="e">
        <f>VLOOKUP($F210,#REF!,37,1)</f>
        <v>#REF!</v>
      </c>
    </row>
    <row r="211" spans="2:36" s="102" customFormat="1" ht="33.75">
      <c r="B211" s="97"/>
      <c r="C211" s="118" t="s">
        <v>1933</v>
      </c>
      <c r="D211" s="98" t="s">
        <v>2244</v>
      </c>
      <c r="E211" s="98" t="s">
        <v>2154</v>
      </c>
      <c r="F211" s="120" t="s">
        <v>2054</v>
      </c>
      <c r="G211" s="97" t="s">
        <v>1929</v>
      </c>
      <c r="H211" s="97"/>
      <c r="I211" s="97"/>
      <c r="N211" s="48" t="s">
        <v>8</v>
      </c>
      <c r="Q211" s="203"/>
      <c r="R211" s="203"/>
      <c r="S211" s="203"/>
      <c r="T211" s="203"/>
      <c r="U211" s="203"/>
      <c r="V211" s="203"/>
      <c r="W211" s="206" t="e">
        <f>VLOOKUP($F211,#REF!,16,1)</f>
        <v>#REF!</v>
      </c>
      <c r="X211" s="206" t="e">
        <f t="shared" si="14"/>
        <v>#REF!</v>
      </c>
      <c r="Y211" s="206">
        <v>2</v>
      </c>
      <c r="Z211" s="206" t="e">
        <f>VLOOKUP($F211,#REF!,17,1)</f>
        <v>#REF!</v>
      </c>
      <c r="AA211" s="206" t="e">
        <f t="shared" si="15"/>
        <v>#REF!</v>
      </c>
      <c r="AB211" s="206">
        <v>3</v>
      </c>
      <c r="AC211" s="206" t="e">
        <f>VLOOKUP($F211,#REF!,21,1)</f>
        <v>#REF!</v>
      </c>
      <c r="AD211" s="206" t="e">
        <f>VLOOKUP($F211,#REF!,33,1)</f>
        <v>#REF!</v>
      </c>
      <c r="AE211" s="206" t="e">
        <f t="shared" si="12"/>
        <v>#REF!</v>
      </c>
      <c r="AF211" s="206">
        <v>1</v>
      </c>
      <c r="AG211" s="206" t="e">
        <f>VLOOKUP($F211,#REF!,35,1)</f>
        <v>#REF!</v>
      </c>
      <c r="AH211" s="206" t="e">
        <f t="shared" si="13"/>
        <v>#REF!</v>
      </c>
      <c r="AI211" s="206">
        <v>1</v>
      </c>
      <c r="AJ211" s="206" t="e">
        <f>VLOOKUP($F211,#REF!,37,1)</f>
        <v>#REF!</v>
      </c>
    </row>
    <row r="212" spans="2:36" s="102" customFormat="1" ht="33.75">
      <c r="B212" s="97"/>
      <c r="C212" s="118" t="s">
        <v>1933</v>
      </c>
      <c r="D212" s="98" t="s">
        <v>2244</v>
      </c>
      <c r="E212" s="98" t="s">
        <v>2154</v>
      </c>
      <c r="F212" s="120" t="s">
        <v>2055</v>
      </c>
      <c r="G212" s="97" t="s">
        <v>1929</v>
      </c>
      <c r="H212" s="97"/>
      <c r="I212" s="97"/>
      <c r="J212" s="48" t="s">
        <v>8</v>
      </c>
      <c r="Q212" s="203"/>
      <c r="R212" s="203"/>
      <c r="S212" s="203"/>
      <c r="T212" s="203"/>
      <c r="U212" s="203"/>
      <c r="V212" s="203"/>
      <c r="W212" s="206" t="e">
        <f>VLOOKUP($F212,#REF!,16,1)</f>
        <v>#REF!</v>
      </c>
      <c r="X212" s="206" t="e">
        <f t="shared" si="14"/>
        <v>#REF!</v>
      </c>
      <c r="Y212" s="206">
        <v>2</v>
      </c>
      <c r="Z212" s="206" t="e">
        <f>VLOOKUP($F212,#REF!,17,1)</f>
        <v>#REF!</v>
      </c>
      <c r="AA212" s="206" t="e">
        <f t="shared" si="15"/>
        <v>#REF!</v>
      </c>
      <c r="AB212" s="206">
        <v>3</v>
      </c>
      <c r="AC212" s="206" t="e">
        <f>VLOOKUP($F212,#REF!,21,1)</f>
        <v>#REF!</v>
      </c>
      <c r="AD212" s="206" t="e">
        <f>VLOOKUP($F212,#REF!,33,1)</f>
        <v>#REF!</v>
      </c>
      <c r="AE212" s="206" t="e">
        <f t="shared" si="12"/>
        <v>#REF!</v>
      </c>
      <c r="AF212" s="206">
        <v>1</v>
      </c>
      <c r="AG212" s="206" t="e">
        <f>VLOOKUP($F212,#REF!,35,1)</f>
        <v>#REF!</v>
      </c>
      <c r="AH212" s="206" t="e">
        <f t="shared" si="13"/>
        <v>#REF!</v>
      </c>
      <c r="AI212" s="206">
        <v>2</v>
      </c>
      <c r="AJ212" s="206" t="e">
        <f>VLOOKUP($F212,#REF!,37,1)</f>
        <v>#REF!</v>
      </c>
    </row>
    <row r="213" spans="2:36" s="102" customFormat="1" ht="33.75">
      <c r="B213" s="97"/>
      <c r="C213" s="118" t="s">
        <v>1933</v>
      </c>
      <c r="D213" s="98" t="s">
        <v>2244</v>
      </c>
      <c r="E213" s="98" t="s">
        <v>2154</v>
      </c>
      <c r="F213" s="124"/>
      <c r="G213" s="97"/>
      <c r="H213" s="97"/>
      <c r="I213" s="97"/>
      <c r="Q213" s="203"/>
      <c r="R213" s="203"/>
      <c r="S213" s="203"/>
      <c r="T213" s="203"/>
      <c r="U213" s="203"/>
      <c r="V213" s="203"/>
      <c r="W213" s="206" t="e">
        <f>VLOOKUP($F213,#REF!,16,1)</f>
        <v>#REF!</v>
      </c>
      <c r="X213" s="206" t="e">
        <f t="shared" si="14"/>
        <v>#REF!</v>
      </c>
      <c r="Y213" s="206" t="e">
        <v>#N/A</v>
      </c>
      <c r="Z213" s="206" t="e">
        <f>VLOOKUP($F213,#REF!,17,1)</f>
        <v>#REF!</v>
      </c>
      <c r="AA213" s="206" t="e">
        <f t="shared" si="15"/>
        <v>#REF!</v>
      </c>
      <c r="AB213" s="206" t="e">
        <v>#N/A</v>
      </c>
      <c r="AC213" s="206" t="e">
        <f>VLOOKUP($F213,#REF!,21,1)</f>
        <v>#REF!</v>
      </c>
      <c r="AD213" s="206" t="e">
        <f>VLOOKUP($F213,#REF!,33,1)</f>
        <v>#REF!</v>
      </c>
      <c r="AE213" s="206" t="e">
        <f t="shared" si="12"/>
        <v>#REF!</v>
      </c>
      <c r="AF213" s="206" t="e">
        <v>#N/A</v>
      </c>
      <c r="AG213" s="206" t="e">
        <f>VLOOKUP($F213,#REF!,35,1)</f>
        <v>#REF!</v>
      </c>
      <c r="AH213" s="206" t="e">
        <f t="shared" si="13"/>
        <v>#REF!</v>
      </c>
      <c r="AI213" s="206" t="e">
        <v>#N/A</v>
      </c>
      <c r="AJ213" s="206" t="e">
        <f>VLOOKUP($F213,#REF!,37,1)</f>
        <v>#REF!</v>
      </c>
    </row>
    <row r="214" spans="2:36" s="102" customFormat="1">
      <c r="B214" s="97"/>
      <c r="C214" s="117" t="s">
        <v>1921</v>
      </c>
      <c r="D214" s="98" t="s">
        <v>2245</v>
      </c>
      <c r="E214" s="98" t="s">
        <v>2154</v>
      </c>
      <c r="F214" s="120" t="s">
        <v>2063</v>
      </c>
      <c r="G214" s="97" t="s">
        <v>1929</v>
      </c>
      <c r="H214" s="97"/>
      <c r="I214" s="97"/>
      <c r="J214" s="102" t="s">
        <v>8</v>
      </c>
      <c r="L214" s="48" t="s">
        <v>8</v>
      </c>
      <c r="Q214" s="206" t="s">
        <v>2161</v>
      </c>
      <c r="R214" s="206">
        <f>ROW(F214)</f>
        <v>214</v>
      </c>
      <c r="S214" s="206" t="str">
        <f>CONCATENATE(";","'",D214,"'!","$B$9:$AL$89",";","21",";","1",")")</f>
        <v>;'A CONTRACTUAL'!$B$9:$AL$89;21;1)</v>
      </c>
      <c r="T214" s="203" t="s">
        <v>2200</v>
      </c>
      <c r="U214" s="206" t="str">
        <f>CONCATENATE("=BUSCARV($E",R214,T214)</f>
        <v>=BUSCARV($E214;'A CONTRACTUAL'!$B$9:$AL$89;21;1)</v>
      </c>
      <c r="V214" s="206"/>
      <c r="W214" s="206" t="e">
        <f>VLOOKUP($F214,#REF!,16,1)</f>
        <v>#REF!</v>
      </c>
      <c r="X214" s="206" t="e">
        <f t="shared" si="14"/>
        <v>#REF!</v>
      </c>
      <c r="Y214" s="206">
        <v>3</v>
      </c>
      <c r="Z214" s="206" t="e">
        <f>VLOOKUP($F214,#REF!,17,1)</f>
        <v>#REF!</v>
      </c>
      <c r="AA214" s="206" t="e">
        <f t="shared" si="15"/>
        <v>#REF!</v>
      </c>
      <c r="AB214" s="206">
        <v>3</v>
      </c>
      <c r="AC214" s="206" t="e">
        <f>VLOOKUP($F214,#REF!,21,1)</f>
        <v>#REF!</v>
      </c>
      <c r="AD214" s="206" t="e">
        <f>VLOOKUP($F214,#REF!,33,1)</f>
        <v>#REF!</v>
      </c>
      <c r="AE214" s="206" t="e">
        <f>IF(AD214="Casi Seguro",5,IF(AD214="Alta",4,IF(AD214="Posible",3,IF(AD214="Baja",2,1))))</f>
        <v>#REF!</v>
      </c>
      <c r="AF214" s="206">
        <v>2</v>
      </c>
      <c r="AG214" s="206" t="e">
        <f>VLOOKUP($F214,#REF!,35,1)</f>
        <v>#REF!</v>
      </c>
      <c r="AH214" s="206" t="e">
        <f t="shared" si="13"/>
        <v>#REF!</v>
      </c>
      <c r="AI214" s="206">
        <v>3</v>
      </c>
      <c r="AJ214" s="206" t="e">
        <f>VLOOKUP($F659,#REF!,37,1)</f>
        <v>#REF!</v>
      </c>
    </row>
    <row r="215" spans="2:36" s="102" customFormat="1">
      <c r="B215" s="97"/>
      <c r="C215" s="117" t="s">
        <v>1921</v>
      </c>
      <c r="D215" s="98" t="s">
        <v>2245</v>
      </c>
      <c r="E215" s="98" t="s">
        <v>2154</v>
      </c>
      <c r="F215" s="120" t="s">
        <v>2065</v>
      </c>
      <c r="G215" s="97" t="s">
        <v>1929</v>
      </c>
      <c r="H215" s="97"/>
      <c r="I215" s="97"/>
      <c r="J215" s="102" t="s">
        <v>8</v>
      </c>
      <c r="Q215" s="203"/>
      <c r="R215" s="203"/>
      <c r="S215" s="203"/>
      <c r="T215" s="203"/>
      <c r="U215" s="203"/>
      <c r="V215" s="203"/>
      <c r="W215" s="206" t="e">
        <f>VLOOKUP($F215,#REF!,16,1)</f>
        <v>#REF!</v>
      </c>
      <c r="X215" s="206" t="e">
        <f t="shared" si="14"/>
        <v>#REF!</v>
      </c>
      <c r="Y215" s="206">
        <v>3</v>
      </c>
      <c r="Z215" s="206" t="e">
        <f>VLOOKUP($F215,#REF!,17,1)</f>
        <v>#REF!</v>
      </c>
      <c r="AA215" s="206" t="e">
        <f t="shared" si="15"/>
        <v>#REF!</v>
      </c>
      <c r="AB215" s="206">
        <v>3</v>
      </c>
      <c r="AC215" s="206" t="e">
        <f>VLOOKUP($F215,#REF!,21,1)</f>
        <v>#REF!</v>
      </c>
      <c r="AD215" s="206" t="e">
        <f>VLOOKUP($F215,#REF!,33,1)</f>
        <v>#REF!</v>
      </c>
      <c r="AE215" s="206" t="e">
        <f t="shared" si="12"/>
        <v>#REF!</v>
      </c>
      <c r="AF215" s="206">
        <v>2</v>
      </c>
      <c r="AG215" s="206" t="e">
        <f>VLOOKUP($F215,#REF!,35,1)</f>
        <v>#REF!</v>
      </c>
      <c r="AH215" s="206" t="e">
        <f t="shared" si="13"/>
        <v>#REF!</v>
      </c>
      <c r="AI215" s="206">
        <v>3</v>
      </c>
      <c r="AJ215" s="206" t="e">
        <f>VLOOKUP(#REF!,#REF!,37,1)</f>
        <v>#REF!</v>
      </c>
    </row>
    <row r="216" spans="2:36" s="102" customFormat="1">
      <c r="B216" s="97"/>
      <c r="C216" s="117" t="s">
        <v>1921</v>
      </c>
      <c r="D216" s="98" t="s">
        <v>2245</v>
      </c>
      <c r="E216" s="98" t="s">
        <v>2154</v>
      </c>
      <c r="F216" s="120" t="s">
        <v>2064</v>
      </c>
      <c r="G216" s="97" t="s">
        <v>1929</v>
      </c>
      <c r="H216" s="97"/>
      <c r="I216" s="97"/>
      <c r="J216" s="102" t="s">
        <v>8</v>
      </c>
      <c r="Q216" s="203"/>
      <c r="R216" s="203"/>
      <c r="S216" s="203"/>
      <c r="T216" s="203"/>
      <c r="U216" s="203"/>
      <c r="V216" s="203"/>
      <c r="W216" s="206" t="e">
        <f>VLOOKUP($F216,#REF!,16,1)</f>
        <v>#REF!</v>
      </c>
      <c r="X216" s="206" t="e">
        <f t="shared" si="14"/>
        <v>#REF!</v>
      </c>
      <c r="Y216" s="206">
        <v>3</v>
      </c>
      <c r="Z216" s="206" t="e">
        <f>VLOOKUP($F216,#REF!,17,1)</f>
        <v>#REF!</v>
      </c>
      <c r="AA216" s="206" t="e">
        <f t="shared" si="15"/>
        <v>#REF!</v>
      </c>
      <c r="AB216" s="206">
        <v>4</v>
      </c>
      <c r="AC216" s="206" t="e">
        <f>VLOOKUP($F216,#REF!,21,1)</f>
        <v>#REF!</v>
      </c>
      <c r="AD216" s="206" t="e">
        <f>VLOOKUP($F216,#REF!,33,1)</f>
        <v>#REF!</v>
      </c>
      <c r="AE216" s="206" t="e">
        <f t="shared" si="12"/>
        <v>#REF!</v>
      </c>
      <c r="AF216" s="206">
        <v>2</v>
      </c>
      <c r="AG216" s="206" t="e">
        <f>VLOOKUP($F216,#REF!,35,1)</f>
        <v>#REF!</v>
      </c>
      <c r="AH216" s="206" t="e">
        <f t="shared" si="13"/>
        <v>#REF!</v>
      </c>
      <c r="AI216" s="206">
        <v>3</v>
      </c>
      <c r="AJ216" s="206" t="e">
        <f>VLOOKUP(#REF!,#REF!,37,1)</f>
        <v>#REF!</v>
      </c>
    </row>
    <row r="217" spans="2:36" s="102" customFormat="1">
      <c r="B217" s="97"/>
      <c r="C217" s="117" t="s">
        <v>1921</v>
      </c>
      <c r="D217" s="98" t="s">
        <v>2245</v>
      </c>
      <c r="E217" s="98" t="s">
        <v>2154</v>
      </c>
      <c r="F217" s="120" t="s">
        <v>2066</v>
      </c>
      <c r="G217" s="97" t="s">
        <v>1929</v>
      </c>
      <c r="H217" s="97"/>
      <c r="I217" s="97"/>
      <c r="J217" s="102" t="s">
        <v>8</v>
      </c>
      <c r="L217" s="48" t="s">
        <v>8</v>
      </c>
      <c r="Q217" s="203"/>
      <c r="R217" s="203"/>
      <c r="S217" s="203"/>
      <c r="T217" s="203"/>
      <c r="U217" s="203"/>
      <c r="V217" s="203"/>
      <c r="W217" s="206" t="e">
        <f>VLOOKUP($F217,#REF!,16,1)</f>
        <v>#REF!</v>
      </c>
      <c r="X217" s="206" t="e">
        <f t="shared" si="14"/>
        <v>#REF!</v>
      </c>
      <c r="Y217" s="206">
        <v>3</v>
      </c>
      <c r="Z217" s="206" t="e">
        <f>VLOOKUP($F217,#REF!,17,1)</f>
        <v>#REF!</v>
      </c>
      <c r="AA217" s="206" t="e">
        <f t="shared" si="15"/>
        <v>#REF!</v>
      </c>
      <c r="AB217" s="206">
        <v>3</v>
      </c>
      <c r="AC217" s="206" t="e">
        <f>VLOOKUP($F217,#REF!,21,1)</f>
        <v>#REF!</v>
      </c>
      <c r="AD217" s="206" t="e">
        <f>VLOOKUP($F217,#REF!,33,1)</f>
        <v>#REF!</v>
      </c>
      <c r="AE217" s="206" t="e">
        <f>IF(AD217="Casi Seguro",5,IF(AD217="Alta",4,IF(AD217="Posible",3,IF(AD217="Baja",2,1))))</f>
        <v>#REF!</v>
      </c>
      <c r="AF217" s="206">
        <v>2</v>
      </c>
      <c r="AG217" s="206" t="e">
        <f>VLOOKUP($F217,#REF!,35,1)</f>
        <v>#REF!</v>
      </c>
      <c r="AH217" s="206" t="e">
        <f t="shared" si="13"/>
        <v>#REF!</v>
      </c>
      <c r="AI217" s="206">
        <v>2</v>
      </c>
      <c r="AJ217" s="206" t="e">
        <f>VLOOKUP(#REF!,#REF!,37,1)</f>
        <v>#REF!</v>
      </c>
    </row>
    <row r="218" spans="2:36" s="102" customFormat="1">
      <c r="B218" s="97"/>
      <c r="C218" s="117" t="s">
        <v>1921</v>
      </c>
      <c r="D218" s="98" t="s">
        <v>2245</v>
      </c>
      <c r="E218" s="98" t="s">
        <v>2154</v>
      </c>
      <c r="F218" s="120" t="s">
        <v>2062</v>
      </c>
      <c r="G218" s="97" t="s">
        <v>1929</v>
      </c>
      <c r="H218" s="97"/>
      <c r="I218" s="97"/>
      <c r="J218" s="102" t="s">
        <v>8</v>
      </c>
      <c r="Q218" s="203"/>
      <c r="R218" s="203"/>
      <c r="S218" s="203"/>
      <c r="T218" s="203"/>
      <c r="U218" s="203"/>
      <c r="V218" s="203"/>
      <c r="W218" s="206" t="e">
        <f>VLOOKUP($F218,#REF!,16,1)</f>
        <v>#REF!</v>
      </c>
      <c r="X218" s="206" t="e">
        <f t="shared" si="14"/>
        <v>#REF!</v>
      </c>
      <c r="Y218" s="206">
        <v>3</v>
      </c>
      <c r="Z218" s="206" t="e">
        <f>VLOOKUP($F218,#REF!,17,1)</f>
        <v>#REF!</v>
      </c>
      <c r="AA218" s="206" t="e">
        <f t="shared" si="15"/>
        <v>#REF!</v>
      </c>
      <c r="AB218" s="206">
        <v>3</v>
      </c>
      <c r="AC218" s="206" t="e">
        <f>VLOOKUP($F218,#REF!,21,1)</f>
        <v>#REF!</v>
      </c>
      <c r="AD218" s="206" t="e">
        <f>VLOOKUP($F218,#REF!,33,1)</f>
        <v>#REF!</v>
      </c>
      <c r="AE218" s="206" t="e">
        <f t="shared" si="12"/>
        <v>#REF!</v>
      </c>
      <c r="AF218" s="206">
        <v>2</v>
      </c>
      <c r="AG218" s="206" t="e">
        <f>VLOOKUP($F218,#REF!,35,1)</f>
        <v>#REF!</v>
      </c>
      <c r="AH218" s="206" t="e">
        <f t="shared" si="13"/>
        <v>#REF!</v>
      </c>
      <c r="AI218" s="206">
        <v>3</v>
      </c>
      <c r="AJ218" s="206" t="e">
        <f>VLOOKUP(#REF!,#REF!,37,1)</f>
        <v>#REF!</v>
      </c>
    </row>
    <row r="219" spans="2:36" s="102" customFormat="1">
      <c r="B219" s="97"/>
      <c r="C219" s="117" t="s">
        <v>1921</v>
      </c>
      <c r="D219" s="98" t="s">
        <v>2245</v>
      </c>
      <c r="E219" s="98" t="s">
        <v>2154</v>
      </c>
      <c r="F219" s="124"/>
      <c r="G219" s="97"/>
      <c r="H219" s="97"/>
      <c r="I219" s="97"/>
      <c r="Q219" s="203"/>
      <c r="R219" s="203"/>
      <c r="S219" s="203"/>
      <c r="T219" s="203"/>
      <c r="U219" s="203"/>
      <c r="V219" s="203"/>
      <c r="W219" s="206" t="e">
        <f>VLOOKUP($F219,#REF!,16,1)</f>
        <v>#REF!</v>
      </c>
      <c r="X219" s="206" t="e">
        <f t="shared" si="14"/>
        <v>#REF!</v>
      </c>
      <c r="Y219" s="206" t="e">
        <v>#N/A</v>
      </c>
      <c r="Z219" s="206" t="e">
        <f>VLOOKUP($F219,#REF!,17,1)</f>
        <v>#REF!</v>
      </c>
      <c r="AA219" s="206" t="e">
        <f t="shared" si="15"/>
        <v>#REF!</v>
      </c>
      <c r="AB219" s="206" t="e">
        <v>#N/A</v>
      </c>
      <c r="AC219" s="206" t="e">
        <f>VLOOKUP($F219,#REF!,21,1)</f>
        <v>#REF!</v>
      </c>
      <c r="AD219" s="206" t="e">
        <f>VLOOKUP($F219,#REF!,33,1)</f>
        <v>#REF!</v>
      </c>
      <c r="AE219" s="206" t="e">
        <f>IF(AD219="Casi Seguro",5,IF(AD219="Alta",4,IF(AD219="Posible",3,IF(AD219="Baja",2,1))))</f>
        <v>#REF!</v>
      </c>
      <c r="AF219" s="206" t="e">
        <v>#N/A</v>
      </c>
      <c r="AG219" s="206" t="e">
        <f>VLOOKUP($F219,#REF!,35,1)</f>
        <v>#REF!</v>
      </c>
      <c r="AH219" s="206" t="e">
        <f t="shared" si="13"/>
        <v>#REF!</v>
      </c>
      <c r="AI219" s="206" t="e">
        <v>#N/A</v>
      </c>
      <c r="AJ219" s="206" t="e">
        <f>VLOOKUP(#REF!,#REF!,37,1)</f>
        <v>#REF!</v>
      </c>
    </row>
    <row r="220" spans="2:36" s="102" customFormat="1">
      <c r="B220" s="97"/>
      <c r="C220" s="117" t="s">
        <v>1921</v>
      </c>
      <c r="D220" s="98" t="s">
        <v>2245</v>
      </c>
      <c r="E220" s="98" t="s">
        <v>2154</v>
      </c>
      <c r="F220" s="124"/>
      <c r="G220" s="97"/>
      <c r="H220" s="97"/>
      <c r="I220" s="97"/>
      <c r="Q220" s="203"/>
      <c r="R220" s="203"/>
      <c r="S220" s="203"/>
      <c r="T220" s="203"/>
      <c r="U220" s="203"/>
      <c r="V220" s="203"/>
      <c r="W220" s="206" t="e">
        <f>VLOOKUP($F220,#REF!,16,1)</f>
        <v>#REF!</v>
      </c>
      <c r="X220" s="206" t="e">
        <f t="shared" si="14"/>
        <v>#REF!</v>
      </c>
      <c r="Y220" s="206" t="e">
        <v>#N/A</v>
      </c>
      <c r="Z220" s="206" t="e">
        <f>VLOOKUP($F220,#REF!,17,1)</f>
        <v>#REF!</v>
      </c>
      <c r="AA220" s="206" t="e">
        <f t="shared" si="15"/>
        <v>#REF!</v>
      </c>
      <c r="AB220" s="206" t="e">
        <v>#N/A</v>
      </c>
      <c r="AC220" s="206" t="e">
        <f>VLOOKUP($F220,#REF!,21,1)</f>
        <v>#REF!</v>
      </c>
      <c r="AD220" s="206" t="e">
        <f>VLOOKUP($F220,#REF!,33,1)</f>
        <v>#REF!</v>
      </c>
      <c r="AE220" s="206" t="e">
        <f t="shared" si="12"/>
        <v>#REF!</v>
      </c>
      <c r="AF220" s="206" t="e">
        <v>#N/A</v>
      </c>
      <c r="AG220" s="206" t="e">
        <f>VLOOKUP($F220,#REF!,35,1)</f>
        <v>#REF!</v>
      </c>
      <c r="AH220" s="206" t="e">
        <f t="shared" si="13"/>
        <v>#REF!</v>
      </c>
      <c r="AI220" s="206" t="e">
        <v>#N/A</v>
      </c>
      <c r="AJ220" s="206" t="e">
        <f>VLOOKUP($F220,#REF!,37,1)</f>
        <v>#REF!</v>
      </c>
    </row>
    <row r="221" spans="2:36" s="102" customFormat="1">
      <c r="B221" s="97"/>
      <c r="C221" s="117" t="s">
        <v>1921</v>
      </c>
      <c r="D221" s="98" t="s">
        <v>2245</v>
      </c>
      <c r="E221" s="98" t="s">
        <v>2154</v>
      </c>
      <c r="F221" s="124"/>
      <c r="G221" s="97"/>
      <c r="H221" s="97"/>
      <c r="I221" s="97"/>
      <c r="Q221" s="203"/>
      <c r="R221" s="203"/>
      <c r="S221" s="203"/>
      <c r="T221" s="203"/>
      <c r="U221" s="203"/>
      <c r="V221" s="203"/>
      <c r="W221" s="206" t="e">
        <f>VLOOKUP($F221,#REF!,16,1)</f>
        <v>#REF!</v>
      </c>
      <c r="X221" s="206" t="e">
        <f t="shared" si="14"/>
        <v>#REF!</v>
      </c>
      <c r="Y221" s="206" t="e">
        <v>#N/A</v>
      </c>
      <c r="Z221" s="206" t="e">
        <f>VLOOKUP($F221,#REF!,17,1)</f>
        <v>#REF!</v>
      </c>
      <c r="AA221" s="206" t="e">
        <f t="shared" si="15"/>
        <v>#REF!</v>
      </c>
      <c r="AB221" s="206" t="e">
        <v>#N/A</v>
      </c>
      <c r="AC221" s="206" t="e">
        <f>VLOOKUP($F221,#REF!,21,1)</f>
        <v>#REF!</v>
      </c>
      <c r="AD221" s="206" t="e">
        <f>VLOOKUP($F221,#REF!,33,1)</f>
        <v>#REF!</v>
      </c>
      <c r="AE221" s="206" t="e">
        <f t="shared" si="12"/>
        <v>#REF!</v>
      </c>
      <c r="AF221" s="206" t="e">
        <v>#N/A</v>
      </c>
      <c r="AG221" s="206" t="e">
        <f>VLOOKUP($F221,#REF!,35,1)</f>
        <v>#REF!</v>
      </c>
      <c r="AH221" s="206" t="e">
        <f t="shared" si="13"/>
        <v>#REF!</v>
      </c>
      <c r="AI221" s="206" t="e">
        <v>#N/A</v>
      </c>
      <c r="AJ221" s="206" t="e">
        <f>VLOOKUP($F237,#REF!,37,1)</f>
        <v>#REF!</v>
      </c>
    </row>
    <row r="222" spans="2:36" s="102" customFormat="1">
      <c r="B222" s="97"/>
      <c r="C222" s="117" t="s">
        <v>1921</v>
      </c>
      <c r="D222" s="98" t="s">
        <v>2245</v>
      </c>
      <c r="E222" s="98" t="s">
        <v>2154</v>
      </c>
      <c r="F222" s="124"/>
      <c r="G222" s="97"/>
      <c r="H222" s="97"/>
      <c r="I222" s="97"/>
      <c r="Q222" s="203"/>
      <c r="R222" s="203"/>
      <c r="S222" s="203"/>
      <c r="T222" s="203"/>
      <c r="U222" s="203"/>
      <c r="V222" s="203"/>
      <c r="W222" s="206" t="e">
        <f>VLOOKUP($F222,#REF!,16,1)</f>
        <v>#REF!</v>
      </c>
      <c r="X222" s="206" t="e">
        <f t="shared" si="14"/>
        <v>#REF!</v>
      </c>
      <c r="Y222" s="206" t="e">
        <v>#N/A</v>
      </c>
      <c r="Z222" s="206" t="e">
        <f>VLOOKUP($F222,#REF!,17,1)</f>
        <v>#REF!</v>
      </c>
      <c r="AA222" s="206" t="e">
        <f t="shared" si="15"/>
        <v>#REF!</v>
      </c>
      <c r="AB222" s="206" t="e">
        <v>#N/A</v>
      </c>
      <c r="AC222" s="206" t="e">
        <f>VLOOKUP($F222,#REF!,21,1)</f>
        <v>#REF!</v>
      </c>
      <c r="AD222" s="206" t="e">
        <f>VLOOKUP($F222,#REF!,33,1)</f>
        <v>#REF!</v>
      </c>
      <c r="AE222" s="206" t="e">
        <f t="shared" si="12"/>
        <v>#REF!</v>
      </c>
      <c r="AF222" s="206" t="e">
        <v>#N/A</v>
      </c>
      <c r="AG222" s="206" t="e">
        <f>VLOOKUP($F222,#REF!,35,1)</f>
        <v>#REF!</v>
      </c>
      <c r="AH222" s="206" t="e">
        <f t="shared" si="13"/>
        <v>#REF!</v>
      </c>
      <c r="AI222" s="206" t="e">
        <v>#N/A</v>
      </c>
      <c r="AJ222" s="206" t="e">
        <f>VLOOKUP($F222,#REF!,37,1)</f>
        <v>#REF!</v>
      </c>
    </row>
    <row r="223" spans="2:36" s="102" customFormat="1">
      <c r="B223" s="97"/>
      <c r="C223" s="117" t="s">
        <v>1921</v>
      </c>
      <c r="D223" s="98" t="s">
        <v>2245</v>
      </c>
      <c r="E223" s="98" t="s">
        <v>2154</v>
      </c>
      <c r="F223" s="124"/>
      <c r="G223" s="97"/>
      <c r="H223" s="97"/>
      <c r="I223" s="97"/>
      <c r="Q223" s="203"/>
      <c r="R223" s="203"/>
      <c r="S223" s="203"/>
      <c r="T223" s="203"/>
      <c r="U223" s="203"/>
      <c r="V223" s="203"/>
      <c r="W223" s="206" t="e">
        <f>VLOOKUP($F223,#REF!,16,1)</f>
        <v>#REF!</v>
      </c>
      <c r="X223" s="206" t="e">
        <f t="shared" si="14"/>
        <v>#REF!</v>
      </c>
      <c r="Y223" s="206" t="e">
        <v>#N/A</v>
      </c>
      <c r="Z223" s="206" t="e">
        <f>VLOOKUP($F223,#REF!,17,1)</f>
        <v>#REF!</v>
      </c>
      <c r="AA223" s="206" t="e">
        <f t="shared" si="15"/>
        <v>#REF!</v>
      </c>
      <c r="AB223" s="206" t="e">
        <v>#N/A</v>
      </c>
      <c r="AC223" s="206" t="e">
        <f>VLOOKUP($F223,#REF!,21,1)</f>
        <v>#REF!</v>
      </c>
      <c r="AD223" s="206" t="e">
        <f>VLOOKUP($F223,#REF!,33,1)</f>
        <v>#REF!</v>
      </c>
      <c r="AE223" s="206" t="e">
        <f t="shared" si="12"/>
        <v>#REF!</v>
      </c>
      <c r="AF223" s="206" t="e">
        <v>#N/A</v>
      </c>
      <c r="AG223" s="206" t="e">
        <f>VLOOKUP($F223,#REF!,35,1)</f>
        <v>#REF!</v>
      </c>
      <c r="AH223" s="206" t="e">
        <f t="shared" si="13"/>
        <v>#REF!</v>
      </c>
      <c r="AI223" s="206" t="e">
        <v>#N/A</v>
      </c>
      <c r="AJ223" s="206" t="e">
        <f>VLOOKUP($F223,#REF!,37,1)</f>
        <v>#REF!</v>
      </c>
    </row>
    <row r="224" spans="2:36" s="102" customFormat="1">
      <c r="B224" s="97"/>
      <c r="C224" s="117" t="s">
        <v>1921</v>
      </c>
      <c r="D224" s="98" t="s">
        <v>2245</v>
      </c>
      <c r="E224" s="98" t="s">
        <v>2154</v>
      </c>
      <c r="F224" s="124"/>
      <c r="G224" s="97"/>
      <c r="H224" s="97"/>
      <c r="I224" s="97"/>
      <c r="Q224" s="203"/>
      <c r="R224" s="203"/>
      <c r="S224" s="203"/>
      <c r="T224" s="203"/>
      <c r="U224" s="203"/>
      <c r="V224" s="203"/>
      <c r="W224" s="206" t="e">
        <f>VLOOKUP($F224,#REF!,16,1)</f>
        <v>#REF!</v>
      </c>
      <c r="X224" s="206" t="e">
        <f t="shared" si="14"/>
        <v>#REF!</v>
      </c>
      <c r="Y224" s="206" t="e">
        <v>#N/A</v>
      </c>
      <c r="Z224" s="206" t="e">
        <f>VLOOKUP($F224,#REF!,17,1)</f>
        <v>#REF!</v>
      </c>
      <c r="AA224" s="206" t="e">
        <f t="shared" si="15"/>
        <v>#REF!</v>
      </c>
      <c r="AB224" s="206" t="e">
        <v>#N/A</v>
      </c>
      <c r="AC224" s="206" t="e">
        <f>VLOOKUP($F224,#REF!,21,1)</f>
        <v>#REF!</v>
      </c>
      <c r="AD224" s="206" t="e">
        <f>VLOOKUP($F224,#REF!,33,1)</f>
        <v>#REF!</v>
      </c>
      <c r="AE224" s="206" t="e">
        <f t="shared" si="12"/>
        <v>#REF!</v>
      </c>
      <c r="AF224" s="206" t="e">
        <v>#N/A</v>
      </c>
      <c r="AG224" s="206" t="e">
        <f>VLOOKUP($F224,#REF!,35,1)</f>
        <v>#REF!</v>
      </c>
      <c r="AH224" s="206" t="e">
        <f t="shared" si="13"/>
        <v>#REF!</v>
      </c>
      <c r="AI224" s="206" t="e">
        <v>#N/A</v>
      </c>
      <c r="AJ224" s="206" t="e">
        <f>VLOOKUP($F224,#REF!,37,1)</f>
        <v>#REF!</v>
      </c>
    </row>
    <row r="225" spans="2:36" s="102" customFormat="1">
      <c r="B225" s="97"/>
      <c r="C225" s="117" t="s">
        <v>1921</v>
      </c>
      <c r="D225" s="98" t="s">
        <v>2245</v>
      </c>
      <c r="E225" s="98" t="s">
        <v>2154</v>
      </c>
      <c r="F225" s="124"/>
      <c r="G225" s="97"/>
      <c r="H225" s="97"/>
      <c r="I225" s="97"/>
      <c r="Q225" s="203"/>
      <c r="R225" s="203"/>
      <c r="S225" s="203"/>
      <c r="T225" s="203"/>
      <c r="U225" s="203"/>
      <c r="V225" s="203"/>
      <c r="W225" s="206" t="e">
        <f>VLOOKUP($F225,#REF!,16,1)</f>
        <v>#REF!</v>
      </c>
      <c r="X225" s="206" t="e">
        <f t="shared" si="14"/>
        <v>#REF!</v>
      </c>
      <c r="Y225" s="206" t="e">
        <v>#N/A</v>
      </c>
      <c r="Z225" s="206" t="e">
        <f>VLOOKUP($F225,#REF!,17,1)</f>
        <v>#REF!</v>
      </c>
      <c r="AA225" s="206" t="e">
        <f t="shared" si="15"/>
        <v>#REF!</v>
      </c>
      <c r="AB225" s="206" t="e">
        <v>#N/A</v>
      </c>
      <c r="AC225" s="206" t="e">
        <f>VLOOKUP($F225,#REF!,21,1)</f>
        <v>#REF!</v>
      </c>
      <c r="AD225" s="206" t="e">
        <f>VLOOKUP($F225,#REF!,33,1)</f>
        <v>#REF!</v>
      </c>
      <c r="AE225" s="206" t="e">
        <f t="shared" si="12"/>
        <v>#REF!</v>
      </c>
      <c r="AF225" s="206" t="e">
        <v>#N/A</v>
      </c>
      <c r="AG225" s="206" t="e">
        <f>VLOOKUP($F225,#REF!,35,1)</f>
        <v>#REF!</v>
      </c>
      <c r="AH225" s="206" t="e">
        <f t="shared" si="13"/>
        <v>#REF!</v>
      </c>
      <c r="AI225" s="206" t="e">
        <v>#N/A</v>
      </c>
      <c r="AJ225" s="206" t="e">
        <f>VLOOKUP($F225,#REF!,37,1)</f>
        <v>#REF!</v>
      </c>
    </row>
    <row r="226" spans="2:36" s="102" customFormat="1">
      <c r="B226" s="97"/>
      <c r="C226" s="117" t="s">
        <v>1921</v>
      </c>
      <c r="D226" s="98" t="s">
        <v>2245</v>
      </c>
      <c r="E226" s="98" t="s">
        <v>2154</v>
      </c>
      <c r="F226" s="124"/>
      <c r="G226" s="97"/>
      <c r="H226" s="97"/>
      <c r="I226" s="97"/>
      <c r="Q226" s="203"/>
      <c r="R226" s="203"/>
      <c r="S226" s="203"/>
      <c r="T226" s="203"/>
      <c r="U226" s="203"/>
      <c r="V226" s="203"/>
      <c r="W226" s="206" t="e">
        <f>VLOOKUP($F226,#REF!,16,1)</f>
        <v>#REF!</v>
      </c>
      <c r="X226" s="206" t="e">
        <f t="shared" si="14"/>
        <v>#REF!</v>
      </c>
      <c r="Y226" s="206" t="e">
        <v>#N/A</v>
      </c>
      <c r="Z226" s="206" t="e">
        <f>VLOOKUP($F226,#REF!,17,1)</f>
        <v>#REF!</v>
      </c>
      <c r="AA226" s="206" t="e">
        <f t="shared" si="15"/>
        <v>#REF!</v>
      </c>
      <c r="AB226" s="206" t="e">
        <v>#N/A</v>
      </c>
      <c r="AC226" s="206" t="e">
        <f>VLOOKUP($F226,#REF!,21,1)</f>
        <v>#REF!</v>
      </c>
      <c r="AD226" s="206" t="e">
        <f>VLOOKUP($F226,#REF!,33,1)</f>
        <v>#REF!</v>
      </c>
      <c r="AE226" s="206" t="e">
        <f t="shared" si="12"/>
        <v>#REF!</v>
      </c>
      <c r="AF226" s="206" t="e">
        <v>#N/A</v>
      </c>
      <c r="AG226" s="206" t="e">
        <f>VLOOKUP($F226,#REF!,35,1)</f>
        <v>#REF!</v>
      </c>
      <c r="AH226" s="206" t="e">
        <f t="shared" si="13"/>
        <v>#REF!</v>
      </c>
      <c r="AI226" s="206" t="e">
        <v>#N/A</v>
      </c>
      <c r="AJ226" s="206" t="e">
        <f>VLOOKUP($F226,#REF!,37,1)</f>
        <v>#REF!</v>
      </c>
    </row>
    <row r="227" spans="2:36" s="102" customFormat="1">
      <c r="B227" s="97"/>
      <c r="C227" s="117" t="s">
        <v>1921</v>
      </c>
      <c r="D227" s="98" t="s">
        <v>2245</v>
      </c>
      <c r="E227" s="98" t="s">
        <v>2154</v>
      </c>
      <c r="F227" s="124"/>
      <c r="G227" s="97"/>
      <c r="H227" s="97"/>
      <c r="I227" s="97"/>
      <c r="Q227" s="203"/>
      <c r="R227" s="203"/>
      <c r="S227" s="203"/>
      <c r="T227" s="203"/>
      <c r="U227" s="203"/>
      <c r="V227" s="203"/>
      <c r="W227" s="206" t="e">
        <f>VLOOKUP($F227,#REF!,16,1)</f>
        <v>#REF!</v>
      </c>
      <c r="X227" s="206" t="e">
        <f t="shared" si="14"/>
        <v>#REF!</v>
      </c>
      <c r="Y227" s="206" t="e">
        <v>#N/A</v>
      </c>
      <c r="Z227" s="206" t="e">
        <f>VLOOKUP($F227,#REF!,17,1)</f>
        <v>#REF!</v>
      </c>
      <c r="AA227" s="206" t="e">
        <f t="shared" si="15"/>
        <v>#REF!</v>
      </c>
      <c r="AB227" s="206" t="e">
        <v>#N/A</v>
      </c>
      <c r="AC227" s="206" t="e">
        <f>VLOOKUP($F227,#REF!,21,1)</f>
        <v>#REF!</v>
      </c>
      <c r="AD227" s="206" t="e">
        <f>VLOOKUP($F227,#REF!,33,1)</f>
        <v>#REF!</v>
      </c>
      <c r="AE227" s="206" t="e">
        <f t="shared" si="12"/>
        <v>#REF!</v>
      </c>
      <c r="AF227" s="206" t="e">
        <v>#N/A</v>
      </c>
      <c r="AG227" s="206" t="e">
        <f>VLOOKUP($F227,#REF!,35,1)</f>
        <v>#REF!</v>
      </c>
      <c r="AH227" s="206" t="e">
        <f t="shared" si="13"/>
        <v>#REF!</v>
      </c>
      <c r="AI227" s="206" t="e">
        <v>#N/A</v>
      </c>
      <c r="AJ227" s="206" t="e">
        <f>VLOOKUP($F227,#REF!,37,1)</f>
        <v>#REF!</v>
      </c>
    </row>
    <row r="228" spans="2:36" s="102" customFormat="1">
      <c r="B228" s="97"/>
      <c r="C228" s="117" t="s">
        <v>1921</v>
      </c>
      <c r="D228" s="98" t="s">
        <v>2245</v>
      </c>
      <c r="E228" s="98" t="s">
        <v>2154</v>
      </c>
      <c r="F228" s="124"/>
      <c r="G228" s="97"/>
      <c r="H228" s="97"/>
      <c r="I228" s="97"/>
      <c r="Q228" s="203"/>
      <c r="R228" s="203"/>
      <c r="S228" s="203"/>
      <c r="T228" s="203"/>
      <c r="U228" s="203"/>
      <c r="V228" s="203"/>
      <c r="W228" s="206" t="e">
        <f>VLOOKUP($F228,#REF!,16,1)</f>
        <v>#REF!</v>
      </c>
      <c r="X228" s="206" t="e">
        <f t="shared" si="14"/>
        <v>#REF!</v>
      </c>
      <c r="Y228" s="206" t="e">
        <v>#N/A</v>
      </c>
      <c r="Z228" s="206" t="e">
        <f>VLOOKUP($F228,#REF!,17,1)</f>
        <v>#REF!</v>
      </c>
      <c r="AA228" s="206" t="e">
        <f t="shared" si="15"/>
        <v>#REF!</v>
      </c>
      <c r="AB228" s="206" t="e">
        <v>#N/A</v>
      </c>
      <c r="AC228" s="206" t="e">
        <f>VLOOKUP($F228,#REF!,21,1)</f>
        <v>#REF!</v>
      </c>
      <c r="AD228" s="206" t="e">
        <f>VLOOKUP($F228,#REF!,33,1)</f>
        <v>#REF!</v>
      </c>
      <c r="AE228" s="206" t="e">
        <f t="shared" si="12"/>
        <v>#REF!</v>
      </c>
      <c r="AF228" s="206" t="e">
        <v>#N/A</v>
      </c>
      <c r="AG228" s="206" t="e">
        <f>VLOOKUP($F228,#REF!,35,1)</f>
        <v>#REF!</v>
      </c>
      <c r="AH228" s="206" t="e">
        <f t="shared" si="13"/>
        <v>#REF!</v>
      </c>
      <c r="AI228" s="206" t="e">
        <v>#N/A</v>
      </c>
      <c r="AJ228" s="206" t="e">
        <f>VLOOKUP($F228,#REF!,37,1)</f>
        <v>#REF!</v>
      </c>
    </row>
    <row r="229" spans="2:36" s="102" customFormat="1">
      <c r="B229" s="97"/>
      <c r="C229" s="107" t="s">
        <v>1922</v>
      </c>
      <c r="D229" s="98" t="s">
        <v>2246</v>
      </c>
      <c r="E229" s="98" t="s">
        <v>2154</v>
      </c>
      <c r="F229" s="120" t="s">
        <v>1985</v>
      </c>
      <c r="G229" s="97" t="s">
        <v>1929</v>
      </c>
      <c r="H229" s="97"/>
      <c r="I229" s="97"/>
      <c r="N229" s="48" t="s">
        <v>8</v>
      </c>
      <c r="Q229" s="206" t="s">
        <v>2161</v>
      </c>
      <c r="R229" s="206">
        <f>ROW(F229)</f>
        <v>229</v>
      </c>
      <c r="S229" s="206" t="str">
        <f>CONCATENATE(";","'",D229,"'!","$B$9:$AL$89",";","21",";","1",")")</f>
        <v>;'A LEGAL'!$B$9:$AL$89;21;1)</v>
      </c>
      <c r="T229" s="203" t="s">
        <v>2201</v>
      </c>
      <c r="U229" s="206" t="str">
        <f>CONCATENATE("=BUSCARV($E",R229,T229)</f>
        <v>=BUSCARV($E229;'A LEGAL'!$B$9:$AL$89;21;1)</v>
      </c>
      <c r="V229" s="206"/>
      <c r="W229" s="206" t="e">
        <f>VLOOKUP($F229,#REF!,16,1)</f>
        <v>#REF!</v>
      </c>
      <c r="X229" s="206" t="e">
        <f t="shared" si="14"/>
        <v>#REF!</v>
      </c>
      <c r="Y229" s="206">
        <v>3</v>
      </c>
      <c r="Z229" s="206" t="e">
        <f>VLOOKUP($F229,#REF!,17,1)</f>
        <v>#REF!</v>
      </c>
      <c r="AA229" s="206" t="e">
        <f t="shared" si="15"/>
        <v>#REF!</v>
      </c>
      <c r="AB229" s="206">
        <v>2</v>
      </c>
      <c r="AC229" s="206" t="e">
        <f>VLOOKUP($F229,#REF!,21,1)</f>
        <v>#REF!</v>
      </c>
      <c r="AD229" s="206" t="e">
        <f>VLOOKUP($F229,#REF!,33,1)</f>
        <v>#REF!</v>
      </c>
      <c r="AE229" s="206" t="e">
        <f t="shared" si="12"/>
        <v>#REF!</v>
      </c>
      <c r="AF229" s="206">
        <v>2</v>
      </c>
      <c r="AG229" s="206" t="e">
        <f>VLOOKUP($F229,#REF!,35,1)</f>
        <v>#REF!</v>
      </c>
      <c r="AH229" s="206" t="e">
        <f t="shared" si="13"/>
        <v>#REF!</v>
      </c>
      <c r="AI229" s="206">
        <v>2</v>
      </c>
      <c r="AJ229" s="206" t="e">
        <f>VLOOKUP($F229,#REF!,37,1)</f>
        <v>#REF!</v>
      </c>
    </row>
    <row r="230" spans="2:36" s="102" customFormat="1">
      <c r="B230" s="97"/>
      <c r="C230" s="107" t="s">
        <v>1922</v>
      </c>
      <c r="D230" s="98" t="s">
        <v>2246</v>
      </c>
      <c r="E230" s="98" t="s">
        <v>2154</v>
      </c>
      <c r="F230" s="120" t="s">
        <v>1986</v>
      </c>
      <c r="G230" s="97" t="s">
        <v>1929</v>
      </c>
      <c r="H230" s="97"/>
      <c r="I230" s="97"/>
      <c r="N230" s="48" t="s">
        <v>8</v>
      </c>
      <c r="Q230" s="203"/>
      <c r="R230" s="203"/>
      <c r="S230" s="203"/>
      <c r="T230" s="203"/>
      <c r="U230" s="203"/>
      <c r="V230" s="203"/>
      <c r="W230" s="206" t="e">
        <f>VLOOKUP($F230,#REF!,16,1)</f>
        <v>#REF!</v>
      </c>
      <c r="X230" s="206" t="e">
        <f t="shared" si="14"/>
        <v>#REF!</v>
      </c>
      <c r="Y230" s="206">
        <v>4</v>
      </c>
      <c r="Z230" s="206" t="e">
        <f>VLOOKUP($F230,#REF!,17,1)</f>
        <v>#REF!</v>
      </c>
      <c r="AA230" s="206" t="e">
        <f t="shared" si="15"/>
        <v>#REF!</v>
      </c>
      <c r="AB230" s="206">
        <v>2</v>
      </c>
      <c r="AC230" s="206" t="e">
        <f>VLOOKUP($F230,#REF!,21,1)</f>
        <v>#REF!</v>
      </c>
      <c r="AD230" s="206" t="e">
        <f>VLOOKUP($F230,#REF!,33,1)</f>
        <v>#REF!</v>
      </c>
      <c r="AE230" s="206" t="e">
        <f t="shared" si="12"/>
        <v>#REF!</v>
      </c>
      <c r="AF230" s="206">
        <v>3</v>
      </c>
      <c r="AG230" s="206" t="e">
        <f>VLOOKUP($F230,#REF!,35,1)</f>
        <v>#REF!</v>
      </c>
      <c r="AH230" s="206" t="e">
        <f t="shared" si="13"/>
        <v>#REF!</v>
      </c>
      <c r="AI230" s="206">
        <v>2</v>
      </c>
      <c r="AJ230" s="206" t="e">
        <f>VLOOKUP($F230,#REF!,37,1)</f>
        <v>#REF!</v>
      </c>
    </row>
    <row r="231" spans="2:36" s="102" customFormat="1">
      <c r="B231" s="97"/>
      <c r="C231" s="107" t="s">
        <v>1922</v>
      </c>
      <c r="D231" s="98" t="s">
        <v>2246</v>
      </c>
      <c r="E231" s="98" t="s">
        <v>2154</v>
      </c>
      <c r="F231" s="120" t="s">
        <v>1987</v>
      </c>
      <c r="G231" s="97" t="s">
        <v>1929</v>
      </c>
      <c r="H231" s="97"/>
      <c r="I231" s="97"/>
      <c r="N231" s="48" t="s">
        <v>8</v>
      </c>
      <c r="Q231" s="203"/>
      <c r="R231" s="203"/>
      <c r="S231" s="203"/>
      <c r="T231" s="203"/>
      <c r="U231" s="203"/>
      <c r="V231" s="203"/>
      <c r="W231" s="206" t="e">
        <f>VLOOKUP($F231,#REF!,16,1)</f>
        <v>#REF!</v>
      </c>
      <c r="X231" s="206" t="e">
        <f t="shared" si="14"/>
        <v>#REF!</v>
      </c>
      <c r="Y231" s="206">
        <v>3</v>
      </c>
      <c r="Z231" s="206" t="e">
        <f>VLOOKUP($F231,#REF!,17,1)</f>
        <v>#REF!</v>
      </c>
      <c r="AA231" s="206" t="e">
        <f t="shared" si="15"/>
        <v>#REF!</v>
      </c>
      <c r="AB231" s="206">
        <v>3</v>
      </c>
      <c r="AC231" s="206" t="e">
        <f>VLOOKUP($F231,#REF!,21,1)</f>
        <v>#REF!</v>
      </c>
      <c r="AD231" s="206" t="e">
        <f>VLOOKUP($F231,#REF!,33,1)</f>
        <v>#REF!</v>
      </c>
      <c r="AE231" s="206" t="e">
        <f t="shared" si="12"/>
        <v>#REF!</v>
      </c>
      <c r="AF231" s="206">
        <v>2</v>
      </c>
      <c r="AG231" s="206" t="e">
        <f>VLOOKUP($F231,#REF!,35,1)</f>
        <v>#REF!</v>
      </c>
      <c r="AH231" s="206" t="e">
        <f t="shared" si="13"/>
        <v>#REF!</v>
      </c>
      <c r="AI231" s="206">
        <v>2</v>
      </c>
      <c r="AJ231" s="206" t="e">
        <f>VLOOKUP($F231,#REF!,37,1)</f>
        <v>#REF!</v>
      </c>
    </row>
    <row r="232" spans="2:36" s="102" customFormat="1">
      <c r="B232" s="97"/>
      <c r="C232" s="107" t="s">
        <v>1922</v>
      </c>
      <c r="D232" s="98" t="s">
        <v>2246</v>
      </c>
      <c r="E232" s="98" t="s">
        <v>2154</v>
      </c>
      <c r="F232" s="120" t="s">
        <v>1988</v>
      </c>
      <c r="G232" s="97" t="s">
        <v>1929</v>
      </c>
      <c r="H232" s="97"/>
      <c r="I232" s="97"/>
      <c r="N232" s="48" t="s">
        <v>8</v>
      </c>
      <c r="Q232" s="203"/>
      <c r="R232" s="203"/>
      <c r="S232" s="203"/>
      <c r="T232" s="203"/>
      <c r="U232" s="203"/>
      <c r="V232" s="203"/>
      <c r="W232" s="206" t="e">
        <f>VLOOKUP($F232,#REF!,16,1)</f>
        <v>#REF!</v>
      </c>
      <c r="X232" s="206" t="e">
        <f t="shared" si="14"/>
        <v>#REF!</v>
      </c>
      <c r="Y232" s="206">
        <v>3</v>
      </c>
      <c r="Z232" s="206" t="e">
        <f>VLOOKUP($F232,#REF!,17,1)</f>
        <v>#REF!</v>
      </c>
      <c r="AA232" s="206" t="e">
        <f t="shared" si="15"/>
        <v>#REF!</v>
      </c>
      <c r="AB232" s="206">
        <v>2</v>
      </c>
      <c r="AC232" s="206" t="e">
        <f>VLOOKUP($F232,#REF!,21,1)</f>
        <v>#REF!</v>
      </c>
      <c r="AD232" s="206" t="e">
        <f>VLOOKUP($F232,#REF!,33,1)</f>
        <v>#REF!</v>
      </c>
      <c r="AE232" s="206" t="e">
        <f t="shared" si="12"/>
        <v>#REF!</v>
      </c>
      <c r="AF232" s="206">
        <v>2</v>
      </c>
      <c r="AG232" s="206" t="e">
        <f>VLOOKUP($F232,#REF!,35,1)</f>
        <v>#REF!</v>
      </c>
      <c r="AH232" s="206" t="e">
        <f t="shared" si="13"/>
        <v>#REF!</v>
      </c>
      <c r="AI232" s="206">
        <v>2</v>
      </c>
      <c r="AJ232" s="206" t="e">
        <f>VLOOKUP($F232,#REF!,37,1)</f>
        <v>#REF!</v>
      </c>
    </row>
    <row r="233" spans="2:36" s="102" customFormat="1">
      <c r="B233" s="97"/>
      <c r="C233" s="107" t="s">
        <v>1922</v>
      </c>
      <c r="D233" s="98" t="s">
        <v>2246</v>
      </c>
      <c r="E233" s="98" t="s">
        <v>2154</v>
      </c>
      <c r="F233" s="120" t="s">
        <v>1989</v>
      </c>
      <c r="G233" s="97" t="s">
        <v>1929</v>
      </c>
      <c r="H233" s="97"/>
      <c r="I233" s="97"/>
      <c r="N233" s="48" t="s">
        <v>8</v>
      </c>
      <c r="Q233" s="203"/>
      <c r="R233" s="203"/>
      <c r="S233" s="203"/>
      <c r="T233" s="203"/>
      <c r="U233" s="203"/>
      <c r="V233" s="203"/>
      <c r="W233" s="206" t="e">
        <f>VLOOKUP($F233,#REF!,16,1)</f>
        <v>#REF!</v>
      </c>
      <c r="X233" s="206" t="e">
        <f t="shared" si="14"/>
        <v>#REF!</v>
      </c>
      <c r="Y233" s="206">
        <v>3</v>
      </c>
      <c r="Z233" s="206" t="e">
        <f>VLOOKUP($F233,#REF!,17,1)</f>
        <v>#REF!</v>
      </c>
      <c r="AA233" s="206" t="e">
        <f t="shared" si="15"/>
        <v>#REF!</v>
      </c>
      <c r="AB233" s="206">
        <v>2</v>
      </c>
      <c r="AC233" s="206" t="e">
        <f>VLOOKUP($F233,#REF!,21,1)</f>
        <v>#REF!</v>
      </c>
      <c r="AD233" s="206" t="e">
        <f>VLOOKUP($F233,#REF!,33,1)</f>
        <v>#REF!</v>
      </c>
      <c r="AE233" s="206" t="e">
        <f t="shared" si="12"/>
        <v>#REF!</v>
      </c>
      <c r="AF233" s="206">
        <v>1</v>
      </c>
      <c r="AG233" s="206" t="e">
        <f>VLOOKUP($F233,#REF!,35,1)</f>
        <v>#REF!</v>
      </c>
      <c r="AH233" s="206" t="e">
        <f t="shared" si="13"/>
        <v>#REF!</v>
      </c>
      <c r="AI233" s="206">
        <v>2</v>
      </c>
      <c r="AJ233" s="206" t="e">
        <f>VLOOKUP($F233,#REF!,37,1)</f>
        <v>#REF!</v>
      </c>
    </row>
    <row r="234" spans="2:36" s="102" customFormat="1">
      <c r="B234" s="97"/>
      <c r="C234" s="107" t="s">
        <v>1922</v>
      </c>
      <c r="D234" s="98" t="s">
        <v>2246</v>
      </c>
      <c r="E234" s="98" t="s">
        <v>2154</v>
      </c>
      <c r="F234" s="120" t="s">
        <v>1990</v>
      </c>
      <c r="G234" s="97" t="s">
        <v>1929</v>
      </c>
      <c r="H234" s="97"/>
      <c r="I234" s="97"/>
      <c r="N234" s="48" t="s">
        <v>8</v>
      </c>
      <c r="Q234" s="203"/>
      <c r="R234" s="203"/>
      <c r="S234" s="203"/>
      <c r="T234" s="203"/>
      <c r="U234" s="203"/>
      <c r="V234" s="203"/>
      <c r="W234" s="206" t="e">
        <f>VLOOKUP($F234,#REF!,16,1)</f>
        <v>#REF!</v>
      </c>
      <c r="X234" s="206" t="e">
        <f t="shared" si="14"/>
        <v>#REF!</v>
      </c>
      <c r="Y234" s="206">
        <v>4</v>
      </c>
      <c r="Z234" s="206" t="e">
        <f>VLOOKUP($F234,#REF!,17,1)</f>
        <v>#REF!</v>
      </c>
      <c r="AA234" s="206" t="e">
        <f t="shared" si="15"/>
        <v>#REF!</v>
      </c>
      <c r="AB234" s="206">
        <v>2</v>
      </c>
      <c r="AC234" s="206" t="e">
        <f>VLOOKUP($F234,#REF!,21,1)</f>
        <v>#REF!</v>
      </c>
      <c r="AD234" s="206" t="e">
        <f>VLOOKUP($F234,#REF!,33,1)</f>
        <v>#REF!</v>
      </c>
      <c r="AE234" s="206" t="e">
        <f t="shared" si="12"/>
        <v>#REF!</v>
      </c>
      <c r="AF234" s="206">
        <v>3</v>
      </c>
      <c r="AG234" s="206" t="e">
        <f>VLOOKUP($F234,#REF!,35,1)</f>
        <v>#REF!</v>
      </c>
      <c r="AH234" s="206" t="e">
        <f t="shared" si="13"/>
        <v>#REF!</v>
      </c>
      <c r="AI234" s="206">
        <v>2</v>
      </c>
      <c r="AJ234" s="206" t="e">
        <f>VLOOKUP($F234,#REF!,37,1)</f>
        <v>#REF!</v>
      </c>
    </row>
    <row r="235" spans="2:36" s="102" customFormat="1">
      <c r="B235" s="97"/>
      <c r="C235" s="107" t="s">
        <v>1922</v>
      </c>
      <c r="D235" s="98" t="s">
        <v>2246</v>
      </c>
      <c r="E235" s="98" t="s">
        <v>2154</v>
      </c>
      <c r="F235" s="120" t="s">
        <v>1991</v>
      </c>
      <c r="G235" s="97" t="s">
        <v>1929</v>
      </c>
      <c r="H235" s="97"/>
      <c r="I235" s="97"/>
      <c r="N235" s="48" t="s">
        <v>8</v>
      </c>
      <c r="Q235" s="203"/>
      <c r="R235" s="203"/>
      <c r="S235" s="203"/>
      <c r="T235" s="203"/>
      <c r="U235" s="203"/>
      <c r="V235" s="203"/>
      <c r="W235" s="206" t="e">
        <f>VLOOKUP($F235,#REF!,16,1)</f>
        <v>#REF!</v>
      </c>
      <c r="X235" s="206" t="e">
        <f t="shared" si="14"/>
        <v>#REF!</v>
      </c>
      <c r="Y235" s="206">
        <v>3</v>
      </c>
      <c r="Z235" s="206" t="e">
        <f>VLOOKUP($F235,#REF!,17,1)</f>
        <v>#REF!</v>
      </c>
      <c r="AA235" s="206" t="e">
        <f t="shared" si="15"/>
        <v>#REF!</v>
      </c>
      <c r="AB235" s="206">
        <v>3</v>
      </c>
      <c r="AC235" s="206" t="e">
        <f>VLOOKUP($F235,#REF!,21,1)</f>
        <v>#REF!</v>
      </c>
      <c r="AD235" s="206" t="e">
        <f>VLOOKUP($F235,#REF!,33,1)</f>
        <v>#REF!</v>
      </c>
      <c r="AE235" s="206" t="e">
        <f t="shared" si="12"/>
        <v>#REF!</v>
      </c>
      <c r="AF235" s="206">
        <v>2</v>
      </c>
      <c r="AG235" s="206" t="e">
        <f>VLOOKUP($F235,#REF!,35,1)</f>
        <v>#REF!</v>
      </c>
      <c r="AH235" s="206" t="e">
        <f t="shared" si="13"/>
        <v>#REF!</v>
      </c>
      <c r="AI235" s="206">
        <v>3</v>
      </c>
      <c r="AJ235" s="206" t="e">
        <f>VLOOKUP($F235,#REF!,37,1)</f>
        <v>#REF!</v>
      </c>
    </row>
    <row r="236" spans="2:36" s="102" customFormat="1">
      <c r="B236" s="97"/>
      <c r="C236" s="107" t="s">
        <v>1922</v>
      </c>
      <c r="D236" s="98" t="s">
        <v>2246</v>
      </c>
      <c r="E236" s="98" t="s">
        <v>2154</v>
      </c>
      <c r="F236" s="124"/>
      <c r="G236" s="97"/>
      <c r="H236" s="97"/>
      <c r="I236" s="97"/>
      <c r="Q236" s="203"/>
      <c r="R236" s="203"/>
      <c r="S236" s="203"/>
      <c r="T236" s="203"/>
      <c r="U236" s="203"/>
      <c r="V236" s="203"/>
      <c r="W236" s="206" t="e">
        <f>VLOOKUP($F236,#REF!,16,1)</f>
        <v>#REF!</v>
      </c>
      <c r="X236" s="206" t="e">
        <f t="shared" si="14"/>
        <v>#REF!</v>
      </c>
      <c r="Y236" s="206" t="e">
        <v>#N/A</v>
      </c>
      <c r="Z236" s="206" t="e">
        <f>VLOOKUP($F236,#REF!,17,1)</f>
        <v>#REF!</v>
      </c>
      <c r="AA236" s="206" t="e">
        <f t="shared" si="15"/>
        <v>#REF!</v>
      </c>
      <c r="AB236" s="206" t="e">
        <v>#N/A</v>
      </c>
      <c r="AC236" s="206" t="e">
        <f>VLOOKUP($F236,#REF!,21,1)</f>
        <v>#REF!</v>
      </c>
      <c r="AD236" s="206" t="e">
        <f>VLOOKUP($F236,#REF!,33,1)</f>
        <v>#REF!</v>
      </c>
      <c r="AE236" s="206" t="e">
        <f t="shared" si="12"/>
        <v>#REF!</v>
      </c>
      <c r="AF236" s="206" t="e">
        <v>#N/A</v>
      </c>
      <c r="AG236" s="206" t="e">
        <f>VLOOKUP($F236,#REF!,35,1)</f>
        <v>#REF!</v>
      </c>
      <c r="AH236" s="206" t="e">
        <f t="shared" si="13"/>
        <v>#REF!</v>
      </c>
      <c r="AI236" s="206" t="e">
        <v>#N/A</v>
      </c>
      <c r="AJ236" s="206" t="e">
        <f>VLOOKUP($F236,#REF!,37,1)</f>
        <v>#REF!</v>
      </c>
    </row>
    <row r="237" spans="2:36" s="102" customFormat="1">
      <c r="B237" s="97"/>
      <c r="C237" s="107" t="s">
        <v>1922</v>
      </c>
      <c r="D237" s="98" t="s">
        <v>2246</v>
      </c>
      <c r="E237" s="98" t="s">
        <v>2154</v>
      </c>
      <c r="F237" s="124"/>
      <c r="G237" s="97"/>
      <c r="H237" s="97"/>
      <c r="I237" s="97"/>
      <c r="Q237" s="203"/>
      <c r="R237" s="203"/>
      <c r="S237" s="203"/>
      <c r="T237" s="203"/>
      <c r="U237" s="203"/>
      <c r="V237" s="203"/>
      <c r="W237" s="206" t="e">
        <f>VLOOKUP($F237,#REF!,16,1)</f>
        <v>#REF!</v>
      </c>
      <c r="X237" s="206" t="e">
        <f t="shared" si="14"/>
        <v>#REF!</v>
      </c>
      <c r="Y237" s="206" t="e">
        <v>#N/A</v>
      </c>
      <c r="Z237" s="206" t="e">
        <f>VLOOKUP($F237,#REF!,17,1)</f>
        <v>#REF!</v>
      </c>
      <c r="AA237" s="206" t="e">
        <f t="shared" si="15"/>
        <v>#REF!</v>
      </c>
      <c r="AB237" s="206" t="e">
        <v>#N/A</v>
      </c>
      <c r="AC237" s="206" t="e">
        <f>VLOOKUP($F237,#REF!,21,1)</f>
        <v>#REF!</v>
      </c>
      <c r="AD237" s="206" t="e">
        <f>VLOOKUP($F237,#REF!,33,1)</f>
        <v>#REF!</v>
      </c>
      <c r="AE237" s="206" t="e">
        <f t="shared" si="12"/>
        <v>#REF!</v>
      </c>
      <c r="AF237" s="206" t="e">
        <v>#N/A</v>
      </c>
      <c r="AG237" s="206" t="e">
        <f>VLOOKUP($F237,#REF!,35,1)</f>
        <v>#REF!</v>
      </c>
      <c r="AH237" s="206" t="e">
        <f t="shared" si="13"/>
        <v>#REF!</v>
      </c>
      <c r="AI237" s="206" t="e">
        <v>#N/A</v>
      </c>
      <c r="AJ237" s="206" t="e">
        <f>VLOOKUP($F237,#REF!,37,1)</f>
        <v>#REF!</v>
      </c>
    </row>
    <row r="238" spans="2:36" s="102" customFormat="1">
      <c r="B238" s="97"/>
      <c r="C238" s="107" t="s">
        <v>1922</v>
      </c>
      <c r="D238" s="98" t="s">
        <v>2246</v>
      </c>
      <c r="E238" s="98" t="s">
        <v>2154</v>
      </c>
      <c r="F238" s="124"/>
      <c r="G238" s="97"/>
      <c r="H238" s="97"/>
      <c r="I238" s="97"/>
      <c r="Q238" s="203"/>
      <c r="R238" s="203"/>
      <c r="S238" s="203"/>
      <c r="T238" s="203"/>
      <c r="U238" s="203"/>
      <c r="V238" s="203"/>
      <c r="W238" s="206" t="e">
        <f>VLOOKUP($F238,#REF!,16,1)</f>
        <v>#REF!</v>
      </c>
      <c r="X238" s="206" t="e">
        <f t="shared" si="14"/>
        <v>#REF!</v>
      </c>
      <c r="Y238" s="206" t="e">
        <v>#N/A</v>
      </c>
      <c r="Z238" s="206" t="e">
        <f>VLOOKUP($F238,#REF!,17,1)</f>
        <v>#REF!</v>
      </c>
      <c r="AA238" s="206" t="e">
        <f t="shared" si="15"/>
        <v>#REF!</v>
      </c>
      <c r="AB238" s="206" t="e">
        <v>#N/A</v>
      </c>
      <c r="AC238" s="206" t="e">
        <f>VLOOKUP($F238,#REF!,21,1)</f>
        <v>#REF!</v>
      </c>
      <c r="AD238" s="206" t="e">
        <f>VLOOKUP($F238,#REF!,33,1)</f>
        <v>#REF!</v>
      </c>
      <c r="AE238" s="206" t="e">
        <f t="shared" si="12"/>
        <v>#REF!</v>
      </c>
      <c r="AF238" s="206" t="e">
        <v>#N/A</v>
      </c>
      <c r="AG238" s="206" t="e">
        <f>VLOOKUP($F238,#REF!,35,1)</f>
        <v>#REF!</v>
      </c>
      <c r="AH238" s="206" t="e">
        <f t="shared" si="13"/>
        <v>#REF!</v>
      </c>
      <c r="AI238" s="206" t="e">
        <v>#N/A</v>
      </c>
      <c r="AJ238" s="206" t="e">
        <f>VLOOKUP($F238,#REF!,37,1)</f>
        <v>#REF!</v>
      </c>
    </row>
    <row r="239" spans="2:36" s="102" customFormat="1">
      <c r="B239" s="97"/>
      <c r="C239" s="107" t="s">
        <v>1922</v>
      </c>
      <c r="D239" s="98" t="s">
        <v>2246</v>
      </c>
      <c r="E239" s="98" t="s">
        <v>2154</v>
      </c>
      <c r="F239" s="124"/>
      <c r="G239" s="97"/>
      <c r="H239" s="97"/>
      <c r="I239" s="97"/>
      <c r="Q239" s="203"/>
      <c r="R239" s="203"/>
      <c r="S239" s="203"/>
      <c r="T239" s="203"/>
      <c r="U239" s="203"/>
      <c r="V239" s="203"/>
      <c r="W239" s="206" t="e">
        <f>VLOOKUP($F239,#REF!,16,1)</f>
        <v>#REF!</v>
      </c>
      <c r="X239" s="206" t="e">
        <f t="shared" si="14"/>
        <v>#REF!</v>
      </c>
      <c r="Y239" s="206" t="e">
        <v>#N/A</v>
      </c>
      <c r="Z239" s="206" t="e">
        <f>VLOOKUP($F239,#REF!,17,1)</f>
        <v>#REF!</v>
      </c>
      <c r="AA239" s="206" t="e">
        <f t="shared" si="15"/>
        <v>#REF!</v>
      </c>
      <c r="AB239" s="206" t="e">
        <v>#N/A</v>
      </c>
      <c r="AC239" s="206" t="e">
        <f>VLOOKUP($F239,#REF!,21,1)</f>
        <v>#REF!</v>
      </c>
      <c r="AD239" s="206" t="e">
        <f>VLOOKUP($F239,#REF!,33,1)</f>
        <v>#REF!</v>
      </c>
      <c r="AE239" s="206" t="e">
        <f t="shared" si="12"/>
        <v>#REF!</v>
      </c>
      <c r="AF239" s="206" t="e">
        <v>#N/A</v>
      </c>
      <c r="AG239" s="206" t="e">
        <f>VLOOKUP($F239,#REF!,35,1)</f>
        <v>#REF!</v>
      </c>
      <c r="AH239" s="206" t="e">
        <f t="shared" si="13"/>
        <v>#REF!</v>
      </c>
      <c r="AI239" s="206" t="e">
        <v>#N/A</v>
      </c>
      <c r="AJ239" s="206" t="e">
        <f>VLOOKUP($F239,#REF!,37,1)</f>
        <v>#REF!</v>
      </c>
    </row>
    <row r="240" spans="2:36" s="102" customFormat="1">
      <c r="B240" s="97"/>
      <c r="C240" s="107" t="s">
        <v>1922</v>
      </c>
      <c r="D240" s="98" t="s">
        <v>2246</v>
      </c>
      <c r="E240" s="98" t="s">
        <v>2154</v>
      </c>
      <c r="F240" s="124"/>
      <c r="G240" s="97"/>
      <c r="H240" s="97"/>
      <c r="I240" s="97"/>
      <c r="Q240" s="203"/>
      <c r="R240" s="203"/>
      <c r="S240" s="203"/>
      <c r="T240" s="203"/>
      <c r="U240" s="203"/>
      <c r="V240" s="203"/>
      <c r="W240" s="206" t="e">
        <f>VLOOKUP($F240,#REF!,16,1)</f>
        <v>#REF!</v>
      </c>
      <c r="X240" s="206" t="e">
        <f t="shared" si="14"/>
        <v>#REF!</v>
      </c>
      <c r="Y240" s="206" t="e">
        <v>#N/A</v>
      </c>
      <c r="Z240" s="206" t="e">
        <f>VLOOKUP($F240,#REF!,17,1)</f>
        <v>#REF!</v>
      </c>
      <c r="AA240" s="206" t="e">
        <f t="shared" si="15"/>
        <v>#REF!</v>
      </c>
      <c r="AB240" s="206" t="e">
        <v>#N/A</v>
      </c>
      <c r="AC240" s="206" t="e">
        <f>VLOOKUP($F240,#REF!,21,1)</f>
        <v>#REF!</v>
      </c>
      <c r="AD240" s="206" t="e">
        <f>VLOOKUP($F240,#REF!,33,1)</f>
        <v>#REF!</v>
      </c>
      <c r="AE240" s="206" t="e">
        <f t="shared" si="12"/>
        <v>#REF!</v>
      </c>
      <c r="AF240" s="206" t="e">
        <v>#N/A</v>
      </c>
      <c r="AG240" s="206" t="e">
        <f>VLOOKUP($F240,#REF!,35,1)</f>
        <v>#REF!</v>
      </c>
      <c r="AH240" s="206" t="e">
        <f t="shared" si="13"/>
        <v>#REF!</v>
      </c>
      <c r="AI240" s="206" t="e">
        <v>#N/A</v>
      </c>
      <c r="AJ240" s="206" t="e">
        <f>VLOOKUP($F240,#REF!,37,1)</f>
        <v>#REF!</v>
      </c>
    </row>
    <row r="241" spans="2:36" s="102" customFormat="1">
      <c r="B241" s="97"/>
      <c r="C241" s="107" t="s">
        <v>1922</v>
      </c>
      <c r="D241" s="98" t="s">
        <v>2246</v>
      </c>
      <c r="E241" s="98" t="s">
        <v>2154</v>
      </c>
      <c r="F241" s="124"/>
      <c r="G241" s="97"/>
      <c r="H241" s="97"/>
      <c r="I241" s="97"/>
      <c r="Q241" s="203"/>
      <c r="R241" s="203"/>
      <c r="S241" s="203"/>
      <c r="T241" s="203"/>
      <c r="U241" s="203"/>
      <c r="V241" s="203"/>
      <c r="W241" s="206" t="e">
        <f>VLOOKUP($F241,#REF!,16,1)</f>
        <v>#REF!</v>
      </c>
      <c r="X241" s="206" t="e">
        <f t="shared" si="14"/>
        <v>#REF!</v>
      </c>
      <c r="Y241" s="206" t="e">
        <v>#N/A</v>
      </c>
      <c r="Z241" s="206" t="e">
        <f>VLOOKUP($F241,#REF!,17,1)</f>
        <v>#REF!</v>
      </c>
      <c r="AA241" s="206" t="e">
        <f t="shared" si="15"/>
        <v>#REF!</v>
      </c>
      <c r="AB241" s="206" t="e">
        <v>#N/A</v>
      </c>
      <c r="AC241" s="206" t="e">
        <f>VLOOKUP($F241,#REF!,21,1)</f>
        <v>#REF!</v>
      </c>
      <c r="AD241" s="206" t="e">
        <f>VLOOKUP($F241,#REF!,33,1)</f>
        <v>#REF!</v>
      </c>
      <c r="AE241" s="206" t="e">
        <f t="shared" si="12"/>
        <v>#REF!</v>
      </c>
      <c r="AF241" s="206" t="e">
        <v>#N/A</v>
      </c>
      <c r="AG241" s="206" t="e">
        <f>VLOOKUP($F241,#REF!,35,1)</f>
        <v>#REF!</v>
      </c>
      <c r="AH241" s="206" t="e">
        <f t="shared" si="13"/>
        <v>#REF!</v>
      </c>
      <c r="AI241" s="206" t="e">
        <v>#N/A</v>
      </c>
      <c r="AJ241" s="206" t="e">
        <f>VLOOKUP($F241,#REF!,37,1)</f>
        <v>#REF!</v>
      </c>
    </row>
    <row r="242" spans="2:36" s="102" customFormat="1">
      <c r="B242" s="97"/>
      <c r="C242" s="107" t="s">
        <v>1922</v>
      </c>
      <c r="D242" s="98" t="s">
        <v>2246</v>
      </c>
      <c r="E242" s="98" t="s">
        <v>2154</v>
      </c>
      <c r="F242" s="124"/>
      <c r="G242" s="97"/>
      <c r="H242" s="97"/>
      <c r="I242" s="97"/>
      <c r="Q242" s="203"/>
      <c r="R242" s="203"/>
      <c r="S242" s="203"/>
      <c r="T242" s="203"/>
      <c r="U242" s="203"/>
      <c r="V242" s="203"/>
      <c r="W242" s="206" t="e">
        <f>VLOOKUP($F242,#REF!,16,1)</f>
        <v>#REF!</v>
      </c>
      <c r="X242" s="206" t="e">
        <f t="shared" si="14"/>
        <v>#REF!</v>
      </c>
      <c r="Y242" s="206" t="e">
        <v>#N/A</v>
      </c>
      <c r="Z242" s="206" t="e">
        <f>VLOOKUP($F242,#REF!,17,1)</f>
        <v>#REF!</v>
      </c>
      <c r="AA242" s="206" t="e">
        <f t="shared" si="15"/>
        <v>#REF!</v>
      </c>
      <c r="AB242" s="206" t="e">
        <v>#N/A</v>
      </c>
      <c r="AC242" s="206" t="e">
        <f>VLOOKUP($F242,#REF!,21,1)</f>
        <v>#REF!</v>
      </c>
      <c r="AD242" s="206" t="e">
        <f>VLOOKUP($F242,#REF!,33,1)</f>
        <v>#REF!</v>
      </c>
      <c r="AE242" s="206" t="e">
        <f t="shared" si="12"/>
        <v>#REF!</v>
      </c>
      <c r="AF242" s="206" t="e">
        <v>#N/A</v>
      </c>
      <c r="AG242" s="206" t="e">
        <f>VLOOKUP($F242,#REF!,35,1)</f>
        <v>#REF!</v>
      </c>
      <c r="AH242" s="206" t="e">
        <f t="shared" si="13"/>
        <v>#REF!</v>
      </c>
      <c r="AI242" s="206" t="e">
        <v>#N/A</v>
      </c>
      <c r="AJ242" s="206" t="e">
        <f>VLOOKUP($F242,#REF!,37,1)</f>
        <v>#REF!</v>
      </c>
    </row>
    <row r="243" spans="2:36" s="102" customFormat="1">
      <c r="B243" s="97"/>
      <c r="C243" s="107" t="s">
        <v>1922</v>
      </c>
      <c r="D243" s="98" t="s">
        <v>2246</v>
      </c>
      <c r="E243" s="98" t="s">
        <v>2154</v>
      </c>
      <c r="F243" s="124"/>
      <c r="G243" s="97"/>
      <c r="H243" s="97"/>
      <c r="I243" s="97"/>
      <c r="Q243" s="203"/>
      <c r="R243" s="203"/>
      <c r="S243" s="203"/>
      <c r="T243" s="203"/>
      <c r="U243" s="203"/>
      <c r="V243" s="203"/>
      <c r="W243" s="206" t="e">
        <f>VLOOKUP($F243,#REF!,16,1)</f>
        <v>#REF!</v>
      </c>
      <c r="X243" s="206" t="e">
        <f t="shared" si="14"/>
        <v>#REF!</v>
      </c>
      <c r="Y243" s="206" t="e">
        <v>#N/A</v>
      </c>
      <c r="Z243" s="206" t="e">
        <f>VLOOKUP($F243,#REF!,17,1)</f>
        <v>#REF!</v>
      </c>
      <c r="AA243" s="206" t="e">
        <f t="shared" si="15"/>
        <v>#REF!</v>
      </c>
      <c r="AB243" s="206" t="e">
        <v>#N/A</v>
      </c>
      <c r="AC243" s="206" t="e">
        <f>VLOOKUP($F243,#REF!,21,1)</f>
        <v>#REF!</v>
      </c>
      <c r="AD243" s="206" t="e">
        <f>VLOOKUP($F243,#REF!,33,1)</f>
        <v>#REF!</v>
      </c>
      <c r="AE243" s="206" t="e">
        <f t="shared" si="12"/>
        <v>#REF!</v>
      </c>
      <c r="AF243" s="206" t="e">
        <v>#N/A</v>
      </c>
      <c r="AG243" s="206" t="e">
        <f>VLOOKUP($F243,#REF!,35,1)</f>
        <v>#REF!</v>
      </c>
      <c r="AH243" s="206" t="e">
        <f t="shared" si="13"/>
        <v>#REF!</v>
      </c>
      <c r="AI243" s="206" t="e">
        <v>#N/A</v>
      </c>
      <c r="AJ243" s="206" t="e">
        <f>VLOOKUP($F243,#REF!,37,1)</f>
        <v>#REF!</v>
      </c>
    </row>
    <row r="244" spans="2:36" s="102" customFormat="1">
      <c r="B244" s="97"/>
      <c r="C244" s="103" t="s">
        <v>1923</v>
      </c>
      <c r="D244" s="98" t="s">
        <v>2247</v>
      </c>
      <c r="E244" s="98" t="s">
        <v>2154</v>
      </c>
      <c r="F244" s="120" t="s">
        <v>2067</v>
      </c>
      <c r="G244" s="97" t="s">
        <v>1929</v>
      </c>
      <c r="H244" s="97"/>
      <c r="I244" s="97"/>
      <c r="Q244" s="206" t="s">
        <v>2161</v>
      </c>
      <c r="R244" s="206">
        <f>ROW(F244)</f>
        <v>244</v>
      </c>
      <c r="S244" s="206" t="str">
        <f>CONCATENATE(";","'",D244,"'!","$B$9:$AL$89",";","21",";","1",")")</f>
        <v>;'A FINANCIERA'!$B$9:$AL$89;21;1)</v>
      </c>
      <c r="T244" s="203" t="s">
        <v>2202</v>
      </c>
      <c r="U244" s="206" t="str">
        <f>CONCATENATE("=BUSCARV($E",R244,T244)</f>
        <v>=BUSCARV($E244;'A FINANCIERA'!$B$9:$AL$89;21;1)</v>
      </c>
      <c r="V244" s="206"/>
      <c r="W244" s="206" t="e">
        <f>VLOOKUP($F244,#REF!,16,1)</f>
        <v>#REF!</v>
      </c>
      <c r="X244" s="206" t="e">
        <f t="shared" si="14"/>
        <v>#REF!</v>
      </c>
      <c r="Y244" s="206">
        <v>2</v>
      </c>
      <c r="Z244" s="206" t="e">
        <f>VLOOKUP($F244,#REF!,17,1)</f>
        <v>#REF!</v>
      </c>
      <c r="AA244" s="206" t="e">
        <f t="shared" si="15"/>
        <v>#REF!</v>
      </c>
      <c r="AB244" s="206">
        <v>2</v>
      </c>
      <c r="AC244" s="206" t="e">
        <f>VLOOKUP($F244,#REF!,21,1)</f>
        <v>#REF!</v>
      </c>
      <c r="AD244" s="206" t="e">
        <f>VLOOKUP($F244,#REF!,33,1)</f>
        <v>#REF!</v>
      </c>
      <c r="AE244" s="206" t="e">
        <f t="shared" si="12"/>
        <v>#REF!</v>
      </c>
      <c r="AF244" s="206">
        <v>1</v>
      </c>
      <c r="AG244" s="206" t="e">
        <f>VLOOKUP($F244,#REF!,35,1)</f>
        <v>#REF!</v>
      </c>
      <c r="AH244" s="206" t="e">
        <f t="shared" si="13"/>
        <v>#REF!</v>
      </c>
      <c r="AI244" s="206">
        <v>1</v>
      </c>
      <c r="AJ244" s="206" t="e">
        <f>VLOOKUP($F244,#REF!,37,1)</f>
        <v>#REF!</v>
      </c>
    </row>
    <row r="245" spans="2:36" s="102" customFormat="1">
      <c r="B245" s="97"/>
      <c r="C245" s="103" t="s">
        <v>1923</v>
      </c>
      <c r="D245" s="98" t="s">
        <v>2247</v>
      </c>
      <c r="E245" s="98" t="s">
        <v>2154</v>
      </c>
      <c r="F245" s="120" t="s">
        <v>2068</v>
      </c>
      <c r="G245" s="97" t="s">
        <v>1929</v>
      </c>
      <c r="H245" s="97"/>
      <c r="I245" s="97"/>
      <c r="Q245" s="203"/>
      <c r="R245" s="203"/>
      <c r="S245" s="203"/>
      <c r="T245" s="203"/>
      <c r="U245" s="203"/>
      <c r="V245" s="203"/>
      <c r="W245" s="206" t="e">
        <f>VLOOKUP($F245,#REF!,16,1)</f>
        <v>#REF!</v>
      </c>
      <c r="X245" s="206" t="e">
        <f t="shared" si="14"/>
        <v>#REF!</v>
      </c>
      <c r="Y245" s="206">
        <v>2</v>
      </c>
      <c r="Z245" s="206" t="e">
        <f>VLOOKUP($F245,#REF!,17,1)</f>
        <v>#REF!</v>
      </c>
      <c r="AA245" s="206" t="e">
        <f t="shared" si="15"/>
        <v>#REF!</v>
      </c>
      <c r="AB245" s="206">
        <v>2</v>
      </c>
      <c r="AC245" s="206" t="e">
        <f>VLOOKUP($F245,#REF!,21,1)</f>
        <v>#REF!</v>
      </c>
      <c r="AD245" s="206" t="e">
        <f>VLOOKUP($F245,#REF!,33,1)</f>
        <v>#REF!</v>
      </c>
      <c r="AE245" s="206" t="e">
        <f t="shared" si="12"/>
        <v>#REF!</v>
      </c>
      <c r="AF245" s="206">
        <v>1</v>
      </c>
      <c r="AG245" s="206" t="e">
        <f>VLOOKUP($F245,#REF!,35,1)</f>
        <v>#REF!</v>
      </c>
      <c r="AH245" s="206" t="e">
        <f t="shared" si="13"/>
        <v>#REF!</v>
      </c>
      <c r="AI245" s="206">
        <v>1</v>
      </c>
      <c r="AJ245" s="206" t="e">
        <f>VLOOKUP($F245,#REF!,37,1)</f>
        <v>#REF!</v>
      </c>
    </row>
    <row r="246" spans="2:36" s="102" customFormat="1">
      <c r="B246" s="97"/>
      <c r="C246" s="103" t="s">
        <v>1923</v>
      </c>
      <c r="D246" s="98" t="s">
        <v>2247</v>
      </c>
      <c r="E246" s="98" t="s">
        <v>2154</v>
      </c>
      <c r="F246" s="120" t="s">
        <v>2069</v>
      </c>
      <c r="G246" s="97" t="s">
        <v>1929</v>
      </c>
      <c r="H246" s="97"/>
      <c r="I246" s="97"/>
      <c r="N246" s="48" t="s">
        <v>8</v>
      </c>
      <c r="Q246" s="203"/>
      <c r="R246" s="203"/>
      <c r="S246" s="203"/>
      <c r="T246" s="203"/>
      <c r="U246" s="203"/>
      <c r="V246" s="203"/>
      <c r="W246" s="206" t="e">
        <f>VLOOKUP($F246,#REF!,16,1)</f>
        <v>#REF!</v>
      </c>
      <c r="X246" s="206" t="e">
        <f t="shared" si="14"/>
        <v>#REF!</v>
      </c>
      <c r="Y246" s="206">
        <v>2</v>
      </c>
      <c r="Z246" s="206" t="e">
        <f>VLOOKUP($F246,#REF!,17,1)</f>
        <v>#REF!</v>
      </c>
      <c r="AA246" s="206" t="e">
        <f t="shared" si="15"/>
        <v>#REF!</v>
      </c>
      <c r="AB246" s="206">
        <v>3</v>
      </c>
      <c r="AC246" s="206" t="e">
        <f>VLOOKUP($F246,#REF!,21,1)</f>
        <v>#REF!</v>
      </c>
      <c r="AD246" s="206" t="e">
        <f>VLOOKUP($F246,#REF!,33,1)</f>
        <v>#REF!</v>
      </c>
      <c r="AE246" s="206" t="e">
        <f t="shared" si="12"/>
        <v>#REF!</v>
      </c>
      <c r="AF246" s="206">
        <v>1</v>
      </c>
      <c r="AG246" s="206" t="e">
        <f>VLOOKUP($F246,#REF!,35,1)</f>
        <v>#REF!</v>
      </c>
      <c r="AH246" s="206" t="e">
        <f t="shared" si="13"/>
        <v>#REF!</v>
      </c>
      <c r="AI246" s="206">
        <v>1</v>
      </c>
      <c r="AJ246" s="206" t="e">
        <f>VLOOKUP($F246,#REF!,37,1)</f>
        <v>#REF!</v>
      </c>
    </row>
    <row r="247" spans="2:36" s="102" customFormat="1">
      <c r="B247" s="97"/>
      <c r="C247" s="103" t="s">
        <v>1923</v>
      </c>
      <c r="D247" s="98" t="s">
        <v>2247</v>
      </c>
      <c r="E247" s="98" t="s">
        <v>2154</v>
      </c>
      <c r="F247" s="120" t="s">
        <v>2070</v>
      </c>
      <c r="G247" s="97" t="s">
        <v>1929</v>
      </c>
      <c r="H247" s="97"/>
      <c r="I247" s="97"/>
      <c r="Q247" s="203"/>
      <c r="R247" s="203"/>
      <c r="S247" s="203"/>
      <c r="T247" s="203"/>
      <c r="U247" s="203"/>
      <c r="V247" s="203"/>
      <c r="W247" s="206" t="e">
        <f>VLOOKUP($F247,#REF!,16,1)</f>
        <v>#REF!</v>
      </c>
      <c r="X247" s="206" t="e">
        <f t="shared" si="14"/>
        <v>#REF!</v>
      </c>
      <c r="Y247" s="206">
        <v>2</v>
      </c>
      <c r="Z247" s="206" t="e">
        <f>VLOOKUP($F247,#REF!,17,1)</f>
        <v>#REF!</v>
      </c>
      <c r="AA247" s="206" t="e">
        <f t="shared" si="15"/>
        <v>#REF!</v>
      </c>
      <c r="AB247" s="206">
        <v>3</v>
      </c>
      <c r="AC247" s="206" t="e">
        <f>VLOOKUP($F247,#REF!,21,1)</f>
        <v>#REF!</v>
      </c>
      <c r="AD247" s="206" t="e">
        <f>VLOOKUP($F247,#REF!,33,1)</f>
        <v>#REF!</v>
      </c>
      <c r="AE247" s="206" t="e">
        <f t="shared" si="12"/>
        <v>#REF!</v>
      </c>
      <c r="AF247" s="206">
        <v>1</v>
      </c>
      <c r="AG247" s="206" t="e">
        <f>VLOOKUP($F247,#REF!,35,1)</f>
        <v>#REF!</v>
      </c>
      <c r="AH247" s="206" t="e">
        <f t="shared" si="13"/>
        <v>#REF!</v>
      </c>
      <c r="AI247" s="206">
        <v>1</v>
      </c>
      <c r="AJ247" s="206" t="e">
        <f>VLOOKUP($F247,#REF!,37,1)</f>
        <v>#REF!</v>
      </c>
    </row>
    <row r="248" spans="2:36" s="102" customFormat="1">
      <c r="B248" s="97"/>
      <c r="C248" s="103" t="s">
        <v>1923</v>
      </c>
      <c r="D248" s="98" t="s">
        <v>2247</v>
      </c>
      <c r="E248" s="98" t="s">
        <v>2154</v>
      </c>
      <c r="F248" s="120" t="s">
        <v>2071</v>
      </c>
      <c r="G248" s="97" t="s">
        <v>1929</v>
      </c>
      <c r="H248" s="97"/>
      <c r="I248" s="97"/>
      <c r="O248" s="48" t="s">
        <v>8</v>
      </c>
      <c r="P248" s="48"/>
      <c r="Q248" s="203"/>
      <c r="R248" s="203"/>
      <c r="S248" s="203"/>
      <c r="T248" s="203"/>
      <c r="U248" s="203"/>
      <c r="V248" s="203"/>
      <c r="W248" s="206" t="e">
        <f>VLOOKUP($F248,#REF!,16,1)</f>
        <v>#REF!</v>
      </c>
      <c r="X248" s="206" t="e">
        <f t="shared" si="14"/>
        <v>#REF!</v>
      </c>
      <c r="Y248" s="206">
        <v>1</v>
      </c>
      <c r="Z248" s="206" t="e">
        <f>VLOOKUP($F248,#REF!,17,1)</f>
        <v>#REF!</v>
      </c>
      <c r="AA248" s="206" t="e">
        <f t="shared" si="15"/>
        <v>#REF!</v>
      </c>
      <c r="AB248" s="206">
        <v>2</v>
      </c>
      <c r="AC248" s="206" t="e">
        <f>VLOOKUP($F248,#REF!,21,1)</f>
        <v>#REF!</v>
      </c>
      <c r="AD248" s="206" t="e">
        <f>VLOOKUP($F248,#REF!,33,1)</f>
        <v>#REF!</v>
      </c>
      <c r="AE248" s="206" t="e">
        <f t="shared" si="12"/>
        <v>#REF!</v>
      </c>
      <c r="AF248" s="206">
        <v>1</v>
      </c>
      <c r="AG248" s="206" t="e">
        <f>VLOOKUP($F248,#REF!,35,1)</f>
        <v>#REF!</v>
      </c>
      <c r="AH248" s="206" t="e">
        <f t="shared" si="13"/>
        <v>#REF!</v>
      </c>
      <c r="AI248" s="206">
        <v>1</v>
      </c>
      <c r="AJ248" s="206" t="e">
        <f>VLOOKUP($F248,#REF!,37,1)</f>
        <v>#REF!</v>
      </c>
    </row>
    <row r="249" spans="2:36" s="102" customFormat="1">
      <c r="B249" s="97"/>
      <c r="C249" s="103" t="s">
        <v>1923</v>
      </c>
      <c r="D249" s="98" t="s">
        <v>2247</v>
      </c>
      <c r="E249" s="98" t="s">
        <v>2154</v>
      </c>
      <c r="F249" s="120" t="s">
        <v>2072</v>
      </c>
      <c r="G249" s="97" t="s">
        <v>1929</v>
      </c>
      <c r="H249" s="97"/>
      <c r="I249" s="97"/>
      <c r="Q249" s="203"/>
      <c r="R249" s="203"/>
      <c r="S249" s="203"/>
      <c r="T249" s="203"/>
      <c r="U249" s="203"/>
      <c r="V249" s="203"/>
      <c r="W249" s="206" t="e">
        <f>VLOOKUP($F249,#REF!,16,1)</f>
        <v>#REF!</v>
      </c>
      <c r="X249" s="206" t="e">
        <f t="shared" si="14"/>
        <v>#REF!</v>
      </c>
      <c r="Y249" s="206">
        <v>1</v>
      </c>
      <c r="Z249" s="206" t="e">
        <f>VLOOKUP($F249,#REF!,17,1)</f>
        <v>#REF!</v>
      </c>
      <c r="AA249" s="206" t="e">
        <f t="shared" si="15"/>
        <v>#REF!</v>
      </c>
      <c r="AB249" s="206">
        <v>3</v>
      </c>
      <c r="AC249" s="206" t="e">
        <f>VLOOKUP($F249,#REF!,21,1)</f>
        <v>#REF!</v>
      </c>
      <c r="AD249" s="206" t="e">
        <f>VLOOKUP($F249,#REF!,33,1)</f>
        <v>#REF!</v>
      </c>
      <c r="AE249" s="206" t="e">
        <f t="shared" si="12"/>
        <v>#REF!</v>
      </c>
      <c r="AF249" s="206">
        <v>1</v>
      </c>
      <c r="AG249" s="206" t="e">
        <f>VLOOKUP($F249,#REF!,35,1)</f>
        <v>#REF!</v>
      </c>
      <c r="AH249" s="206" t="e">
        <f t="shared" si="13"/>
        <v>#REF!</v>
      </c>
      <c r="AI249" s="206">
        <v>1</v>
      </c>
      <c r="AJ249" s="206" t="e">
        <f>VLOOKUP($F249,#REF!,37,1)</f>
        <v>#REF!</v>
      </c>
    </row>
    <row r="250" spans="2:36" s="102" customFormat="1">
      <c r="B250" s="97"/>
      <c r="C250" s="103" t="s">
        <v>1923</v>
      </c>
      <c r="D250" s="98" t="s">
        <v>2247</v>
      </c>
      <c r="E250" s="98" t="s">
        <v>2154</v>
      </c>
      <c r="F250" s="120" t="s">
        <v>2073</v>
      </c>
      <c r="G250" s="97" t="s">
        <v>1929</v>
      </c>
      <c r="H250" s="97"/>
      <c r="I250" s="97"/>
      <c r="Q250" s="203"/>
      <c r="R250" s="203"/>
      <c r="S250" s="203"/>
      <c r="T250" s="203"/>
      <c r="U250" s="203"/>
      <c r="V250" s="203"/>
      <c r="W250" s="206" t="e">
        <f>VLOOKUP($F250,#REF!,16,1)</f>
        <v>#REF!</v>
      </c>
      <c r="X250" s="206" t="e">
        <f t="shared" si="14"/>
        <v>#REF!</v>
      </c>
      <c r="Y250" s="206">
        <v>2</v>
      </c>
      <c r="Z250" s="206" t="e">
        <f>VLOOKUP($F250,#REF!,17,1)</f>
        <v>#REF!</v>
      </c>
      <c r="AA250" s="206" t="e">
        <f t="shared" si="15"/>
        <v>#REF!</v>
      </c>
      <c r="AB250" s="206">
        <v>3</v>
      </c>
      <c r="AC250" s="206" t="e">
        <f>VLOOKUP($F250,#REF!,21,1)</f>
        <v>#REF!</v>
      </c>
      <c r="AD250" s="206" t="e">
        <f>VLOOKUP($F250,#REF!,33,1)</f>
        <v>#REF!</v>
      </c>
      <c r="AE250" s="206" t="e">
        <f t="shared" si="12"/>
        <v>#REF!</v>
      </c>
      <c r="AF250" s="206">
        <v>1</v>
      </c>
      <c r="AG250" s="206" t="e">
        <f>VLOOKUP($F250,#REF!,35,1)</f>
        <v>#REF!</v>
      </c>
      <c r="AH250" s="206" t="e">
        <f t="shared" si="13"/>
        <v>#REF!</v>
      </c>
      <c r="AI250" s="206">
        <v>1</v>
      </c>
      <c r="AJ250" s="206" t="e">
        <f>VLOOKUP($F250,#REF!,37,1)</f>
        <v>#REF!</v>
      </c>
    </row>
    <row r="251" spans="2:36" s="102" customFormat="1">
      <c r="B251" s="97"/>
      <c r="C251" s="103" t="s">
        <v>1923</v>
      </c>
      <c r="D251" s="98" t="s">
        <v>2247</v>
      </c>
      <c r="E251" s="98" t="s">
        <v>2154</v>
      </c>
      <c r="F251" s="120" t="s">
        <v>2074</v>
      </c>
      <c r="G251" s="97" t="s">
        <v>1929</v>
      </c>
      <c r="H251" s="97"/>
      <c r="I251" s="97"/>
      <c r="Q251" s="203"/>
      <c r="R251" s="203"/>
      <c r="S251" s="203"/>
      <c r="T251" s="203"/>
      <c r="U251" s="203"/>
      <c r="V251" s="203"/>
      <c r="W251" s="206" t="e">
        <f>VLOOKUP($F251,#REF!,16,1)</f>
        <v>#REF!</v>
      </c>
      <c r="X251" s="206" t="e">
        <f t="shared" si="14"/>
        <v>#REF!</v>
      </c>
      <c r="Y251" s="206">
        <v>3</v>
      </c>
      <c r="Z251" s="206" t="e">
        <f>VLOOKUP($F251,#REF!,17,1)</f>
        <v>#REF!</v>
      </c>
      <c r="AA251" s="206" t="e">
        <f t="shared" si="15"/>
        <v>#REF!</v>
      </c>
      <c r="AB251" s="206">
        <v>3</v>
      </c>
      <c r="AC251" s="206" t="e">
        <f>VLOOKUP($F251,#REF!,21,1)</f>
        <v>#REF!</v>
      </c>
      <c r="AD251" s="206" t="e">
        <f>VLOOKUP($F251,#REF!,33,1)</f>
        <v>#REF!</v>
      </c>
      <c r="AE251" s="206" t="e">
        <f t="shared" si="12"/>
        <v>#REF!</v>
      </c>
      <c r="AF251" s="206">
        <v>1</v>
      </c>
      <c r="AG251" s="206" t="e">
        <f>VLOOKUP($F251,#REF!,35,1)</f>
        <v>#REF!</v>
      </c>
      <c r="AH251" s="206" t="e">
        <f t="shared" si="13"/>
        <v>#REF!</v>
      </c>
      <c r="AI251" s="206">
        <v>1</v>
      </c>
      <c r="AJ251" s="206" t="e">
        <f>VLOOKUP($F251,#REF!,37,1)</f>
        <v>#REF!</v>
      </c>
    </row>
    <row r="252" spans="2:36" s="102" customFormat="1">
      <c r="B252" s="97"/>
      <c r="C252" s="103" t="s">
        <v>1923</v>
      </c>
      <c r="D252" s="98" t="s">
        <v>2247</v>
      </c>
      <c r="E252" s="98" t="s">
        <v>2154</v>
      </c>
      <c r="F252" s="120" t="s">
        <v>2075</v>
      </c>
      <c r="G252" s="97" t="s">
        <v>1929</v>
      </c>
      <c r="H252" s="97"/>
      <c r="I252" s="97"/>
      <c r="O252" s="48" t="s">
        <v>8</v>
      </c>
      <c r="P252" s="48"/>
      <c r="Q252" s="203"/>
      <c r="R252" s="203"/>
      <c r="S252" s="203"/>
      <c r="T252" s="203"/>
      <c r="U252" s="203"/>
      <c r="V252" s="203"/>
      <c r="W252" s="206" t="e">
        <f>VLOOKUP($F252,#REF!,16,1)</f>
        <v>#REF!</v>
      </c>
      <c r="X252" s="206" t="e">
        <f t="shared" si="14"/>
        <v>#REF!</v>
      </c>
      <c r="Y252" s="206">
        <v>3</v>
      </c>
      <c r="Z252" s="206" t="e">
        <f>VLOOKUP($F252,#REF!,17,1)</f>
        <v>#REF!</v>
      </c>
      <c r="AA252" s="206" t="e">
        <f t="shared" si="15"/>
        <v>#REF!</v>
      </c>
      <c r="AB252" s="206">
        <v>2</v>
      </c>
      <c r="AC252" s="206" t="e">
        <f>VLOOKUP($F252,#REF!,21,1)</f>
        <v>#REF!</v>
      </c>
      <c r="AD252" s="206" t="e">
        <f>VLOOKUP($F252,#REF!,33,1)</f>
        <v>#REF!</v>
      </c>
      <c r="AE252" s="206" t="e">
        <f t="shared" si="12"/>
        <v>#REF!</v>
      </c>
      <c r="AF252" s="206">
        <v>2</v>
      </c>
      <c r="AG252" s="206" t="e">
        <f>VLOOKUP($F252,#REF!,35,1)</f>
        <v>#REF!</v>
      </c>
      <c r="AH252" s="206" t="e">
        <f t="shared" si="13"/>
        <v>#REF!</v>
      </c>
      <c r="AI252" s="206">
        <v>1</v>
      </c>
      <c r="AJ252" s="206" t="e">
        <f>VLOOKUP($F252,#REF!,37,1)</f>
        <v>#REF!</v>
      </c>
    </row>
    <row r="253" spans="2:36" s="102" customFormat="1">
      <c r="B253" s="97"/>
      <c r="C253" s="103" t="s">
        <v>1923</v>
      </c>
      <c r="D253" s="98" t="s">
        <v>2247</v>
      </c>
      <c r="E253" s="98" t="s">
        <v>2154</v>
      </c>
      <c r="F253" s="120" t="s">
        <v>2076</v>
      </c>
      <c r="G253" s="97" t="s">
        <v>1929</v>
      </c>
      <c r="H253" s="97"/>
      <c r="I253" s="97"/>
      <c r="O253" s="48" t="s">
        <v>8</v>
      </c>
      <c r="P253" s="48"/>
      <c r="Q253" s="203"/>
      <c r="R253" s="203"/>
      <c r="S253" s="203"/>
      <c r="T253" s="203"/>
      <c r="U253" s="203"/>
      <c r="V253" s="203"/>
      <c r="W253" s="206" t="e">
        <f>VLOOKUP($F253,#REF!,16,1)</f>
        <v>#REF!</v>
      </c>
      <c r="X253" s="206" t="e">
        <f t="shared" si="14"/>
        <v>#REF!</v>
      </c>
      <c r="Y253" s="206">
        <v>3</v>
      </c>
      <c r="Z253" s="206" t="e">
        <f>VLOOKUP($F253,#REF!,17,1)</f>
        <v>#REF!</v>
      </c>
      <c r="AA253" s="206" t="e">
        <f t="shared" si="15"/>
        <v>#REF!</v>
      </c>
      <c r="AB253" s="206">
        <v>2</v>
      </c>
      <c r="AC253" s="206" t="e">
        <f>VLOOKUP($F253,#REF!,21,1)</f>
        <v>#REF!</v>
      </c>
      <c r="AD253" s="206" t="e">
        <f>VLOOKUP($F253,#REF!,33,1)</f>
        <v>#REF!</v>
      </c>
      <c r="AE253" s="206" t="e">
        <f t="shared" si="12"/>
        <v>#REF!</v>
      </c>
      <c r="AF253" s="206">
        <v>2</v>
      </c>
      <c r="AG253" s="206" t="e">
        <f>VLOOKUP($F253,#REF!,35,1)</f>
        <v>#REF!</v>
      </c>
      <c r="AH253" s="206" t="e">
        <f t="shared" si="13"/>
        <v>#REF!</v>
      </c>
      <c r="AI253" s="206">
        <v>1</v>
      </c>
      <c r="AJ253" s="206" t="e">
        <f>VLOOKUP($F253,#REF!,37,1)</f>
        <v>#REF!</v>
      </c>
    </row>
    <row r="254" spans="2:36" s="102" customFormat="1">
      <c r="B254" s="97"/>
      <c r="C254" s="103" t="s">
        <v>1923</v>
      </c>
      <c r="D254" s="98" t="s">
        <v>2247</v>
      </c>
      <c r="E254" s="98" t="s">
        <v>2154</v>
      </c>
      <c r="F254" s="120" t="s">
        <v>2129</v>
      </c>
      <c r="G254" s="97" t="s">
        <v>1930</v>
      </c>
      <c r="H254" s="97"/>
      <c r="I254" s="97"/>
      <c r="J254" s="122"/>
      <c r="K254" s="122"/>
      <c r="L254" s="122"/>
      <c r="M254" s="122"/>
      <c r="N254" s="122"/>
      <c r="O254" s="122"/>
      <c r="P254" s="200"/>
      <c r="Q254" s="203"/>
      <c r="R254" s="203"/>
      <c r="S254" s="203"/>
      <c r="T254" s="203"/>
      <c r="U254" s="203"/>
      <c r="V254" s="203"/>
      <c r="W254" s="206"/>
      <c r="X254" s="206">
        <f t="shared" si="14"/>
        <v>1</v>
      </c>
      <c r="Y254" s="206">
        <v>1</v>
      </c>
      <c r="Z254" s="206"/>
      <c r="AA254" s="206">
        <f t="shared" si="15"/>
        <v>1</v>
      </c>
      <c r="AB254" s="206">
        <v>1</v>
      </c>
      <c r="AC254" s="206"/>
      <c r="AD254" s="206"/>
      <c r="AE254" s="206">
        <f t="shared" si="12"/>
        <v>1</v>
      </c>
      <c r="AF254" s="206">
        <v>1</v>
      </c>
      <c r="AG254" s="206"/>
      <c r="AH254" s="206">
        <f t="shared" si="13"/>
        <v>1</v>
      </c>
      <c r="AI254" s="206">
        <v>1</v>
      </c>
      <c r="AJ254" s="206"/>
    </row>
    <row r="255" spans="2:36" s="102" customFormat="1">
      <c r="B255" s="97"/>
      <c r="C255" s="103" t="s">
        <v>1923</v>
      </c>
      <c r="D255" s="98" t="s">
        <v>2247</v>
      </c>
      <c r="E255" s="98" t="s">
        <v>2154</v>
      </c>
      <c r="F255" s="120" t="s">
        <v>2077</v>
      </c>
      <c r="G255" s="97" t="s">
        <v>1929</v>
      </c>
      <c r="H255" s="97"/>
      <c r="I255" s="97"/>
      <c r="O255" s="48" t="s">
        <v>8</v>
      </c>
      <c r="P255" s="48"/>
      <c r="Q255" s="203"/>
      <c r="R255" s="203"/>
      <c r="S255" s="203"/>
      <c r="T255" s="203"/>
      <c r="U255" s="203"/>
      <c r="V255" s="203"/>
      <c r="W255" s="206" t="e">
        <f>VLOOKUP($F255,#REF!,16,1)</f>
        <v>#REF!</v>
      </c>
      <c r="X255" s="206" t="e">
        <f t="shared" si="14"/>
        <v>#REF!</v>
      </c>
      <c r="Y255" s="206">
        <v>3</v>
      </c>
      <c r="Z255" s="206" t="e">
        <f>VLOOKUP($F255,#REF!,17,1)</f>
        <v>#REF!</v>
      </c>
      <c r="AA255" s="206" t="e">
        <f t="shared" si="15"/>
        <v>#REF!</v>
      </c>
      <c r="AB255" s="206">
        <v>1</v>
      </c>
      <c r="AC255" s="206" t="e">
        <f>VLOOKUP($F255,#REF!,21,1)</f>
        <v>#REF!</v>
      </c>
      <c r="AD255" s="206" t="e">
        <f>VLOOKUP($F255,#REF!,33,1)</f>
        <v>#REF!</v>
      </c>
      <c r="AE255" s="206" t="e">
        <f t="shared" si="12"/>
        <v>#REF!</v>
      </c>
      <c r="AF255" s="206">
        <v>2</v>
      </c>
      <c r="AG255" s="206" t="e">
        <f>VLOOKUP($F255,#REF!,35,1)</f>
        <v>#REF!</v>
      </c>
      <c r="AH255" s="206" t="e">
        <f t="shared" si="13"/>
        <v>#REF!</v>
      </c>
      <c r="AI255" s="206">
        <v>1</v>
      </c>
      <c r="AJ255" s="206" t="e">
        <f>VLOOKUP($F255,#REF!,37,1)</f>
        <v>#REF!</v>
      </c>
    </row>
    <row r="256" spans="2:36" s="102" customFormat="1">
      <c r="B256" s="97"/>
      <c r="C256" s="103" t="s">
        <v>1923</v>
      </c>
      <c r="D256" s="98" t="s">
        <v>2247</v>
      </c>
      <c r="E256" s="98" t="s">
        <v>2154</v>
      </c>
      <c r="F256" s="124"/>
      <c r="G256" s="97"/>
      <c r="H256" s="97"/>
      <c r="I256" s="97"/>
      <c r="Q256" s="203"/>
      <c r="R256" s="203"/>
      <c r="S256" s="203"/>
      <c r="T256" s="203"/>
      <c r="U256" s="203"/>
      <c r="V256" s="203"/>
      <c r="W256" s="206" t="e">
        <f>VLOOKUP($F256,#REF!,16,1)</f>
        <v>#REF!</v>
      </c>
      <c r="X256" s="206" t="e">
        <f t="shared" si="14"/>
        <v>#REF!</v>
      </c>
      <c r="Y256" s="206" t="e">
        <v>#N/A</v>
      </c>
      <c r="Z256" s="206" t="e">
        <f>VLOOKUP($F256,#REF!,17,1)</f>
        <v>#REF!</v>
      </c>
      <c r="AA256" s="206" t="e">
        <f t="shared" si="15"/>
        <v>#REF!</v>
      </c>
      <c r="AB256" s="206" t="e">
        <v>#N/A</v>
      </c>
      <c r="AC256" s="206" t="e">
        <f>VLOOKUP($F256,#REF!,21,1)</f>
        <v>#REF!</v>
      </c>
      <c r="AD256" s="206" t="e">
        <f>VLOOKUP($F256,#REF!,33,1)</f>
        <v>#REF!</v>
      </c>
      <c r="AE256" s="206" t="e">
        <f t="shared" si="12"/>
        <v>#REF!</v>
      </c>
      <c r="AF256" s="206" t="e">
        <v>#N/A</v>
      </c>
      <c r="AG256" s="206" t="e">
        <f>VLOOKUP($F256,#REF!,35,1)</f>
        <v>#REF!</v>
      </c>
      <c r="AH256" s="206" t="e">
        <f t="shared" si="13"/>
        <v>#REF!</v>
      </c>
      <c r="AI256" s="206" t="e">
        <v>#N/A</v>
      </c>
      <c r="AJ256" s="206" t="e">
        <f>VLOOKUP($F256,#REF!,37,1)</f>
        <v>#REF!</v>
      </c>
    </row>
    <row r="257" spans="2:36" s="102" customFormat="1">
      <c r="B257" s="97"/>
      <c r="C257" s="103" t="s">
        <v>1923</v>
      </c>
      <c r="D257" s="98" t="s">
        <v>2247</v>
      </c>
      <c r="E257" s="98" t="s">
        <v>2154</v>
      </c>
      <c r="F257" s="124"/>
      <c r="G257" s="97"/>
      <c r="H257" s="97"/>
      <c r="I257" s="97"/>
      <c r="Q257" s="203"/>
      <c r="R257" s="203"/>
      <c r="S257" s="203"/>
      <c r="T257" s="203"/>
      <c r="U257" s="203"/>
      <c r="V257" s="203"/>
      <c r="W257" s="206" t="e">
        <f>VLOOKUP($F257,#REF!,16,1)</f>
        <v>#REF!</v>
      </c>
      <c r="X257" s="206" t="e">
        <f t="shared" si="14"/>
        <v>#REF!</v>
      </c>
      <c r="Y257" s="206" t="e">
        <v>#N/A</v>
      </c>
      <c r="Z257" s="206" t="e">
        <f>VLOOKUP($F257,#REF!,17,1)</f>
        <v>#REF!</v>
      </c>
      <c r="AA257" s="206" t="e">
        <f t="shared" si="15"/>
        <v>#REF!</v>
      </c>
      <c r="AB257" s="206" t="e">
        <v>#N/A</v>
      </c>
      <c r="AC257" s="206" t="e">
        <f>VLOOKUP($F257,#REF!,21,1)</f>
        <v>#REF!</v>
      </c>
      <c r="AD257" s="206" t="e">
        <f>VLOOKUP($F257,#REF!,33,1)</f>
        <v>#REF!</v>
      </c>
      <c r="AE257" s="206" t="e">
        <f t="shared" si="12"/>
        <v>#REF!</v>
      </c>
      <c r="AF257" s="206" t="e">
        <v>#N/A</v>
      </c>
      <c r="AG257" s="206" t="e">
        <f>VLOOKUP($F257,#REF!,35,1)</f>
        <v>#REF!</v>
      </c>
      <c r="AH257" s="206" t="e">
        <f t="shared" si="13"/>
        <v>#REF!</v>
      </c>
      <c r="AI257" s="206" t="e">
        <v>#N/A</v>
      </c>
      <c r="AJ257" s="206" t="e">
        <f>VLOOKUP($F257,#REF!,37,1)</f>
        <v>#REF!</v>
      </c>
    </row>
    <row r="258" spans="2:36" s="102" customFormat="1">
      <c r="B258" s="97"/>
      <c r="C258" s="103" t="s">
        <v>1923</v>
      </c>
      <c r="D258" s="98" t="s">
        <v>2247</v>
      </c>
      <c r="E258" s="98" t="s">
        <v>2154</v>
      </c>
      <c r="F258" s="124"/>
      <c r="G258" s="97"/>
      <c r="H258" s="97"/>
      <c r="I258" s="97"/>
      <c r="Q258" s="203"/>
      <c r="R258" s="203"/>
      <c r="S258" s="203"/>
      <c r="T258" s="203"/>
      <c r="U258" s="203"/>
      <c r="V258" s="203"/>
      <c r="W258" s="206" t="e">
        <f>VLOOKUP($F258,#REF!,16,1)</f>
        <v>#REF!</v>
      </c>
      <c r="X258" s="206" t="e">
        <f t="shared" si="14"/>
        <v>#REF!</v>
      </c>
      <c r="Y258" s="206" t="e">
        <v>#N/A</v>
      </c>
      <c r="Z258" s="206" t="e">
        <f>VLOOKUP($F258,#REF!,17,1)</f>
        <v>#REF!</v>
      </c>
      <c r="AA258" s="206" t="e">
        <f t="shared" si="15"/>
        <v>#REF!</v>
      </c>
      <c r="AB258" s="206" t="e">
        <v>#N/A</v>
      </c>
      <c r="AC258" s="206" t="e">
        <f>VLOOKUP($F258,#REF!,21,1)</f>
        <v>#REF!</v>
      </c>
      <c r="AD258" s="206" t="e">
        <f>VLOOKUP($F258,#REF!,33,1)</f>
        <v>#REF!</v>
      </c>
      <c r="AE258" s="206" t="e">
        <f t="shared" si="12"/>
        <v>#REF!</v>
      </c>
      <c r="AF258" s="206" t="e">
        <v>#N/A</v>
      </c>
      <c r="AG258" s="206" t="e">
        <f>VLOOKUP($F258,#REF!,35,1)</f>
        <v>#REF!</v>
      </c>
      <c r="AH258" s="206" t="e">
        <f t="shared" si="13"/>
        <v>#REF!</v>
      </c>
      <c r="AI258" s="206" t="e">
        <v>#N/A</v>
      </c>
      <c r="AJ258" s="206" t="e">
        <f>VLOOKUP($F258,#REF!,37,1)</f>
        <v>#REF!</v>
      </c>
    </row>
    <row r="259" spans="2:36" s="102" customFormat="1">
      <c r="B259" s="97"/>
      <c r="C259" s="108" t="s">
        <v>1924</v>
      </c>
      <c r="D259" s="98" t="s">
        <v>2248</v>
      </c>
      <c r="E259" s="98" t="s">
        <v>2154</v>
      </c>
      <c r="F259" s="120" t="s">
        <v>1992</v>
      </c>
      <c r="G259" s="97" t="s">
        <v>1929</v>
      </c>
      <c r="H259" s="97"/>
      <c r="I259" s="97"/>
      <c r="O259" s="48" t="s">
        <v>8</v>
      </c>
      <c r="P259" s="48"/>
      <c r="Q259" s="206" t="s">
        <v>2161</v>
      </c>
      <c r="R259" s="206">
        <f>ROW(F259)</f>
        <v>259</v>
      </c>
      <c r="S259" s="206" t="str">
        <f>CONCATENATE(";","'",D259,"'!","$B$9:$AL$89",";","21",";","1",")")</f>
        <v>;'A THUMANOS'!$B$9:$AL$89;21;1)</v>
      </c>
      <c r="T259" s="203" t="s">
        <v>2203</v>
      </c>
      <c r="U259" s="206" t="str">
        <f>CONCATENATE("=BUSCARV($E",R259,T259)</f>
        <v>=BUSCARV($E259;'A THUMANOS'!$B$9:$AL$89;21;1)</v>
      </c>
      <c r="V259" s="206"/>
      <c r="W259" s="206" t="e">
        <f>VLOOKUP($F259,#REF!,16,1)</f>
        <v>#REF!</v>
      </c>
      <c r="X259" s="206" t="e">
        <f t="shared" si="14"/>
        <v>#REF!</v>
      </c>
      <c r="Y259" s="206">
        <v>3</v>
      </c>
      <c r="Z259" s="206" t="e">
        <f>VLOOKUP($F259,#REF!,17,1)</f>
        <v>#REF!</v>
      </c>
      <c r="AA259" s="206" t="e">
        <f t="shared" si="15"/>
        <v>#REF!</v>
      </c>
      <c r="AB259" s="206">
        <v>2</v>
      </c>
      <c r="AC259" s="206" t="e">
        <f>VLOOKUP($F259,#REF!,21,1)</f>
        <v>#REF!</v>
      </c>
      <c r="AD259" s="206" t="e">
        <f>VLOOKUP($F259,#REF!,33,1)</f>
        <v>#REF!</v>
      </c>
      <c r="AE259" s="206" t="e">
        <f t="shared" si="12"/>
        <v>#REF!</v>
      </c>
      <c r="AF259" s="206">
        <v>2</v>
      </c>
      <c r="AG259" s="206" t="e">
        <f>VLOOKUP($F259,#REF!,35,1)</f>
        <v>#REF!</v>
      </c>
      <c r="AH259" s="206" t="e">
        <f t="shared" si="13"/>
        <v>#REF!</v>
      </c>
      <c r="AI259" s="206">
        <v>1</v>
      </c>
      <c r="AJ259" s="206" t="e">
        <f>VLOOKUP($F259,#REF!,37,1)</f>
        <v>#REF!</v>
      </c>
    </row>
    <row r="260" spans="2:36" s="102" customFormat="1">
      <c r="B260" s="97"/>
      <c r="C260" s="108" t="s">
        <v>1924</v>
      </c>
      <c r="D260" s="98" t="s">
        <v>2248</v>
      </c>
      <c r="E260" s="98" t="s">
        <v>2154</v>
      </c>
      <c r="F260" s="120" t="s">
        <v>1993</v>
      </c>
      <c r="G260" s="97" t="s">
        <v>1929</v>
      </c>
      <c r="H260" s="97"/>
      <c r="I260" s="97"/>
      <c r="O260" s="48" t="s">
        <v>8</v>
      </c>
      <c r="P260" s="48"/>
      <c r="Q260" s="203"/>
      <c r="R260" s="203"/>
      <c r="S260" s="203"/>
      <c r="T260" s="203"/>
      <c r="U260" s="203"/>
      <c r="V260" s="203"/>
      <c r="W260" s="206" t="e">
        <f>VLOOKUP($F260,#REF!,16,1)</f>
        <v>#REF!</v>
      </c>
      <c r="X260" s="206" t="e">
        <f t="shared" si="14"/>
        <v>#REF!</v>
      </c>
      <c r="Y260" s="206">
        <v>2</v>
      </c>
      <c r="Z260" s="206" t="e">
        <f>VLOOKUP($F260,#REF!,17,1)</f>
        <v>#REF!</v>
      </c>
      <c r="AA260" s="206" t="e">
        <f t="shared" si="15"/>
        <v>#REF!</v>
      </c>
      <c r="AB260" s="206">
        <v>2</v>
      </c>
      <c r="AC260" s="206" t="e">
        <f>VLOOKUP($F260,#REF!,21,1)</f>
        <v>#REF!</v>
      </c>
      <c r="AD260" s="206" t="e">
        <f>VLOOKUP($F260,#REF!,33,1)</f>
        <v>#REF!</v>
      </c>
      <c r="AE260" s="206" t="e">
        <f t="shared" ref="AE260:AE323" si="16">IF(AD260="Casi Seguro",5,IF(AD260="Alta",4,IF(AD260="Posible",3,IF(AD260="Baja",2,1))))</f>
        <v>#REF!</v>
      </c>
      <c r="AF260" s="206">
        <v>1</v>
      </c>
      <c r="AG260" s="206" t="e">
        <f>VLOOKUP($F260,#REF!,35,1)</f>
        <v>#REF!</v>
      </c>
      <c r="AH260" s="206" t="e">
        <f t="shared" ref="AH260:AH323" si="17">IF(AG260="Catastrófico",5,IF(AG260="Mayor",4,IF(AG260="Moderado",3,IF(AG260="menor",2,1))))</f>
        <v>#REF!</v>
      </c>
      <c r="AI260" s="206">
        <v>2</v>
      </c>
      <c r="AJ260" s="206" t="e">
        <f>VLOOKUP($F260,#REF!,37,1)</f>
        <v>#REF!</v>
      </c>
    </row>
    <row r="261" spans="2:36" s="102" customFormat="1">
      <c r="B261" s="97"/>
      <c r="C261" s="108" t="s">
        <v>1924</v>
      </c>
      <c r="D261" s="98" t="s">
        <v>2248</v>
      </c>
      <c r="E261" s="98" t="s">
        <v>2154</v>
      </c>
      <c r="F261" s="120" t="s">
        <v>1994</v>
      </c>
      <c r="G261" s="97" t="s">
        <v>1929</v>
      </c>
      <c r="H261" s="97"/>
      <c r="I261" s="97"/>
      <c r="O261" s="48" t="s">
        <v>8</v>
      </c>
      <c r="P261" s="48"/>
      <c r="Q261" s="203"/>
      <c r="R261" s="203"/>
      <c r="S261" s="203"/>
      <c r="T261" s="203"/>
      <c r="U261" s="203"/>
      <c r="V261" s="203"/>
      <c r="W261" s="206" t="e">
        <f>VLOOKUP($F261,#REF!,16,1)</f>
        <v>#REF!</v>
      </c>
      <c r="X261" s="206" t="e">
        <f t="shared" ref="X261:X324" si="18">IF(W261="Casi Seguro",5,IF(W261="Alta",4,IF(W261="Posible",3,IF(W261="Baja",2,1))))</f>
        <v>#REF!</v>
      </c>
      <c r="Y261" s="206">
        <v>3</v>
      </c>
      <c r="Z261" s="206" t="e">
        <f>VLOOKUP($F261,#REF!,17,1)</f>
        <v>#REF!</v>
      </c>
      <c r="AA261" s="206" t="e">
        <f t="shared" ref="AA261:AA324" si="19">IF(Z261="Catastrófico",5,IF(Z261="Mayor",4,IF(Z261="Moderado",3,IF(Z261="menor",2,1))))</f>
        <v>#REF!</v>
      </c>
      <c r="AB261" s="206">
        <v>2</v>
      </c>
      <c r="AC261" s="206" t="e">
        <f>VLOOKUP($F261,#REF!,21,1)</f>
        <v>#REF!</v>
      </c>
      <c r="AD261" s="206" t="e">
        <f>VLOOKUP($F261,#REF!,33,1)</f>
        <v>#REF!</v>
      </c>
      <c r="AE261" s="206" t="e">
        <f t="shared" si="16"/>
        <v>#REF!</v>
      </c>
      <c r="AF261" s="206">
        <v>2</v>
      </c>
      <c r="AG261" s="206" t="e">
        <f>VLOOKUP($F261,#REF!,35,1)</f>
        <v>#REF!</v>
      </c>
      <c r="AH261" s="206" t="e">
        <f t="shared" si="17"/>
        <v>#REF!</v>
      </c>
      <c r="AI261" s="206">
        <v>1</v>
      </c>
      <c r="AJ261" s="206" t="e">
        <f>VLOOKUP($F261,#REF!,37,1)</f>
        <v>#REF!</v>
      </c>
    </row>
    <row r="262" spans="2:36" s="102" customFormat="1">
      <c r="B262" s="97"/>
      <c r="C262" s="108" t="s">
        <v>1924</v>
      </c>
      <c r="D262" s="98" t="s">
        <v>2248</v>
      </c>
      <c r="E262" s="98" t="s">
        <v>2154</v>
      </c>
      <c r="F262" s="120" t="s">
        <v>2130</v>
      </c>
      <c r="G262" s="97" t="s">
        <v>1930</v>
      </c>
      <c r="H262" s="97"/>
      <c r="I262" s="97"/>
      <c r="J262" s="122"/>
      <c r="K262" s="122"/>
      <c r="L262" s="122"/>
      <c r="M262" s="122"/>
      <c r="N262" s="122"/>
      <c r="O262" s="122"/>
      <c r="P262" s="200"/>
      <c r="Q262" s="203"/>
      <c r="R262" s="203"/>
      <c r="S262" s="203"/>
      <c r="T262" s="203"/>
      <c r="U262" s="203"/>
      <c r="V262" s="203"/>
      <c r="W262" s="206"/>
      <c r="X262" s="206">
        <f t="shared" si="18"/>
        <v>1</v>
      </c>
      <c r="Y262" s="206">
        <v>1</v>
      </c>
      <c r="Z262" s="206"/>
      <c r="AA262" s="206">
        <f t="shared" si="19"/>
        <v>1</v>
      </c>
      <c r="AB262" s="206">
        <v>1</v>
      </c>
      <c r="AC262" s="206"/>
      <c r="AD262" s="206"/>
      <c r="AE262" s="206">
        <f t="shared" si="16"/>
        <v>1</v>
      </c>
      <c r="AF262" s="206">
        <v>1</v>
      </c>
      <c r="AG262" s="206"/>
      <c r="AH262" s="206">
        <f t="shared" si="17"/>
        <v>1</v>
      </c>
      <c r="AI262" s="206">
        <v>1</v>
      </c>
      <c r="AJ262" s="206"/>
    </row>
    <row r="263" spans="2:36" s="102" customFormat="1">
      <c r="B263" s="97"/>
      <c r="C263" s="108" t="s">
        <v>1924</v>
      </c>
      <c r="D263" s="98" t="s">
        <v>2248</v>
      </c>
      <c r="E263" s="98" t="s">
        <v>2154</v>
      </c>
      <c r="F263" s="120" t="s">
        <v>1995</v>
      </c>
      <c r="G263" s="97" t="s">
        <v>1929</v>
      </c>
      <c r="H263" s="97"/>
      <c r="I263" s="97"/>
      <c r="O263" s="48" t="s">
        <v>8</v>
      </c>
      <c r="P263" s="48"/>
      <c r="Q263" s="203"/>
      <c r="R263" s="203"/>
      <c r="S263" s="203"/>
      <c r="T263" s="203"/>
      <c r="U263" s="203"/>
      <c r="V263" s="203"/>
      <c r="W263" s="206" t="e">
        <f>VLOOKUP($F263,#REF!,16,1)</f>
        <v>#REF!</v>
      </c>
      <c r="X263" s="206" t="e">
        <f t="shared" si="18"/>
        <v>#REF!</v>
      </c>
      <c r="Y263" s="206">
        <v>2</v>
      </c>
      <c r="Z263" s="206" t="e">
        <f>VLOOKUP($F263,#REF!,17,1)</f>
        <v>#REF!</v>
      </c>
      <c r="AA263" s="206" t="e">
        <f t="shared" si="19"/>
        <v>#REF!</v>
      </c>
      <c r="AB263" s="206">
        <v>2</v>
      </c>
      <c r="AC263" s="206" t="e">
        <f>VLOOKUP($F263,#REF!,21,1)</f>
        <v>#REF!</v>
      </c>
      <c r="AD263" s="206" t="e">
        <f>VLOOKUP($F263,#REF!,33,1)</f>
        <v>#REF!</v>
      </c>
      <c r="AE263" s="206" t="e">
        <f t="shared" si="16"/>
        <v>#REF!</v>
      </c>
      <c r="AF263" s="206">
        <v>1</v>
      </c>
      <c r="AG263" s="206" t="e">
        <f>VLOOKUP($F263,#REF!,35,1)</f>
        <v>#REF!</v>
      </c>
      <c r="AH263" s="206" t="e">
        <f t="shared" si="17"/>
        <v>#REF!</v>
      </c>
      <c r="AI263" s="206">
        <v>1</v>
      </c>
      <c r="AJ263" s="206" t="e">
        <f>VLOOKUP($F263,#REF!,37,1)</f>
        <v>#REF!</v>
      </c>
    </row>
    <row r="264" spans="2:36" s="102" customFormat="1">
      <c r="B264" s="97"/>
      <c r="C264" s="108" t="s">
        <v>1924</v>
      </c>
      <c r="D264" s="98" t="s">
        <v>2248</v>
      </c>
      <c r="E264" s="98" t="s">
        <v>2154</v>
      </c>
      <c r="F264" s="120" t="s">
        <v>1996</v>
      </c>
      <c r="G264" s="97" t="s">
        <v>1929</v>
      </c>
      <c r="H264" s="97"/>
      <c r="I264" s="97"/>
      <c r="O264" s="48" t="s">
        <v>8</v>
      </c>
      <c r="P264" s="48"/>
      <c r="Q264" s="203"/>
      <c r="R264" s="203"/>
      <c r="S264" s="203"/>
      <c r="T264" s="203"/>
      <c r="U264" s="203"/>
      <c r="V264" s="203"/>
      <c r="W264" s="206" t="e">
        <f>VLOOKUP($F264,#REF!,16,1)</f>
        <v>#REF!</v>
      </c>
      <c r="X264" s="206" t="e">
        <f t="shared" si="18"/>
        <v>#REF!</v>
      </c>
      <c r="Y264" s="206">
        <v>3</v>
      </c>
      <c r="Z264" s="206" t="e">
        <f>VLOOKUP($F264,#REF!,17,1)</f>
        <v>#REF!</v>
      </c>
      <c r="AA264" s="206" t="e">
        <f t="shared" si="19"/>
        <v>#REF!</v>
      </c>
      <c r="AB264" s="206">
        <v>2</v>
      </c>
      <c r="AC264" s="206" t="e">
        <f>VLOOKUP($F264,#REF!,21,1)</f>
        <v>#REF!</v>
      </c>
      <c r="AD264" s="206" t="e">
        <f>VLOOKUP($F264,#REF!,33,1)</f>
        <v>#REF!</v>
      </c>
      <c r="AE264" s="206" t="e">
        <f t="shared" si="16"/>
        <v>#REF!</v>
      </c>
      <c r="AF264" s="206">
        <v>2</v>
      </c>
      <c r="AG264" s="206" t="e">
        <f>VLOOKUP($F264,#REF!,35,1)</f>
        <v>#REF!</v>
      </c>
      <c r="AH264" s="206" t="e">
        <f t="shared" si="17"/>
        <v>#REF!</v>
      </c>
      <c r="AI264" s="206">
        <v>1</v>
      </c>
      <c r="AJ264" s="206" t="e">
        <f>VLOOKUP($F264,#REF!,37,1)</f>
        <v>#REF!</v>
      </c>
    </row>
    <row r="265" spans="2:36" s="102" customFormat="1">
      <c r="B265" s="97"/>
      <c r="C265" s="108" t="s">
        <v>1924</v>
      </c>
      <c r="D265" s="98" t="s">
        <v>2248</v>
      </c>
      <c r="E265" s="98" t="s">
        <v>2154</v>
      </c>
      <c r="F265" s="120" t="s">
        <v>1997</v>
      </c>
      <c r="G265" s="97" t="s">
        <v>1929</v>
      </c>
      <c r="H265" s="97"/>
      <c r="I265" s="97"/>
      <c r="O265" s="48" t="s">
        <v>8</v>
      </c>
      <c r="P265" s="48"/>
      <c r="Q265" s="203"/>
      <c r="R265" s="203"/>
      <c r="S265" s="203"/>
      <c r="T265" s="203"/>
      <c r="U265" s="203"/>
      <c r="V265" s="203"/>
      <c r="W265" s="206" t="e">
        <f>VLOOKUP($F265,#REF!,16,1)</f>
        <v>#REF!</v>
      </c>
      <c r="X265" s="206" t="e">
        <f t="shared" si="18"/>
        <v>#REF!</v>
      </c>
      <c r="Y265" s="206">
        <v>2</v>
      </c>
      <c r="Z265" s="206" t="e">
        <f>VLOOKUP($F265,#REF!,17,1)</f>
        <v>#REF!</v>
      </c>
      <c r="AA265" s="206" t="e">
        <f t="shared" si="19"/>
        <v>#REF!</v>
      </c>
      <c r="AB265" s="206">
        <v>2</v>
      </c>
      <c r="AC265" s="206" t="e">
        <f>VLOOKUP($F265,#REF!,21,1)</f>
        <v>#REF!</v>
      </c>
      <c r="AD265" s="206" t="e">
        <f>VLOOKUP($F265,#REF!,33,1)</f>
        <v>#REF!</v>
      </c>
      <c r="AE265" s="206" t="e">
        <f t="shared" si="16"/>
        <v>#REF!</v>
      </c>
      <c r="AF265" s="206">
        <v>1</v>
      </c>
      <c r="AG265" s="206" t="e">
        <f>VLOOKUP($F265,#REF!,35,1)</f>
        <v>#REF!</v>
      </c>
      <c r="AH265" s="206" t="e">
        <f t="shared" si="17"/>
        <v>#REF!</v>
      </c>
      <c r="AI265" s="206">
        <v>1</v>
      </c>
      <c r="AJ265" s="206" t="e">
        <f>VLOOKUP($F265,#REF!,37,1)</f>
        <v>#REF!</v>
      </c>
    </row>
    <row r="266" spans="2:36" s="102" customFormat="1">
      <c r="B266" s="97"/>
      <c r="C266" s="108" t="s">
        <v>1924</v>
      </c>
      <c r="D266" s="98" t="s">
        <v>2248</v>
      </c>
      <c r="E266" s="98" t="s">
        <v>2154</v>
      </c>
      <c r="F266" s="120" t="s">
        <v>1998</v>
      </c>
      <c r="G266" s="97" t="s">
        <v>1929</v>
      </c>
      <c r="H266" s="97"/>
      <c r="I266" s="97"/>
      <c r="O266" s="48" t="s">
        <v>8</v>
      </c>
      <c r="P266" s="48"/>
      <c r="Q266" s="203"/>
      <c r="R266" s="203"/>
      <c r="S266" s="203"/>
      <c r="T266" s="203"/>
      <c r="U266" s="203"/>
      <c r="V266" s="203"/>
      <c r="W266" s="206" t="e">
        <f>VLOOKUP($F266,#REF!,16,1)</f>
        <v>#REF!</v>
      </c>
      <c r="X266" s="206" t="e">
        <f t="shared" si="18"/>
        <v>#REF!</v>
      </c>
      <c r="Y266" s="206">
        <v>2</v>
      </c>
      <c r="Z266" s="206" t="e">
        <f>VLOOKUP($F266,#REF!,17,1)</f>
        <v>#REF!</v>
      </c>
      <c r="AA266" s="206" t="e">
        <f t="shared" si="19"/>
        <v>#REF!</v>
      </c>
      <c r="AB266" s="206">
        <v>3</v>
      </c>
      <c r="AC266" s="206" t="e">
        <f>VLOOKUP($F266,#REF!,21,1)</f>
        <v>#REF!</v>
      </c>
      <c r="AD266" s="206" t="e">
        <f>VLOOKUP($F266,#REF!,33,1)</f>
        <v>#REF!</v>
      </c>
      <c r="AE266" s="206" t="e">
        <f t="shared" si="16"/>
        <v>#REF!</v>
      </c>
      <c r="AF266" s="206">
        <v>1</v>
      </c>
      <c r="AG266" s="206" t="e">
        <f>VLOOKUP($F266,#REF!,35,1)</f>
        <v>#REF!</v>
      </c>
      <c r="AH266" s="206" t="e">
        <f t="shared" si="17"/>
        <v>#REF!</v>
      </c>
      <c r="AI266" s="206">
        <v>3</v>
      </c>
      <c r="AJ266" s="206" t="e">
        <f>VLOOKUP($F266,#REF!,37,1)</f>
        <v>#REF!</v>
      </c>
    </row>
    <row r="267" spans="2:36" s="102" customFormat="1">
      <c r="B267" s="97"/>
      <c r="C267" s="108" t="s">
        <v>1924</v>
      </c>
      <c r="D267" s="98" t="s">
        <v>2248</v>
      </c>
      <c r="E267" s="98" t="s">
        <v>2154</v>
      </c>
      <c r="F267" s="124"/>
      <c r="G267" s="97"/>
      <c r="H267" s="97"/>
      <c r="I267" s="97"/>
      <c r="Q267" s="203"/>
      <c r="R267" s="203"/>
      <c r="S267" s="203"/>
      <c r="T267" s="203"/>
      <c r="U267" s="203"/>
      <c r="V267" s="203"/>
      <c r="W267" s="206" t="e">
        <f>VLOOKUP($F267,#REF!,16,1)</f>
        <v>#REF!</v>
      </c>
      <c r="X267" s="206" t="e">
        <f t="shared" si="18"/>
        <v>#REF!</v>
      </c>
      <c r="Y267" s="206" t="e">
        <v>#N/A</v>
      </c>
      <c r="Z267" s="206" t="e">
        <f>VLOOKUP($F267,#REF!,17,1)</f>
        <v>#REF!</v>
      </c>
      <c r="AA267" s="206" t="e">
        <f t="shared" si="19"/>
        <v>#REF!</v>
      </c>
      <c r="AB267" s="206" t="e">
        <v>#N/A</v>
      </c>
      <c r="AC267" s="206" t="e">
        <f>VLOOKUP($F267,#REF!,21,1)</f>
        <v>#REF!</v>
      </c>
      <c r="AD267" s="206" t="e">
        <f>VLOOKUP($F267,#REF!,33,1)</f>
        <v>#REF!</v>
      </c>
      <c r="AE267" s="206" t="e">
        <f t="shared" si="16"/>
        <v>#REF!</v>
      </c>
      <c r="AF267" s="206" t="e">
        <v>#N/A</v>
      </c>
      <c r="AG267" s="206" t="e">
        <f>VLOOKUP($F267,#REF!,35,1)</f>
        <v>#REF!</v>
      </c>
      <c r="AH267" s="206" t="e">
        <f t="shared" si="17"/>
        <v>#REF!</v>
      </c>
      <c r="AI267" s="206" t="e">
        <v>#N/A</v>
      </c>
      <c r="AJ267" s="206" t="e">
        <f>VLOOKUP($F267,#REF!,37,1)</f>
        <v>#REF!</v>
      </c>
    </row>
    <row r="268" spans="2:36" s="102" customFormat="1">
      <c r="B268" s="97"/>
      <c r="C268" s="108" t="s">
        <v>1924</v>
      </c>
      <c r="D268" s="98" t="s">
        <v>2248</v>
      </c>
      <c r="E268" s="98" t="s">
        <v>2154</v>
      </c>
      <c r="F268" s="124"/>
      <c r="G268" s="97"/>
      <c r="H268" s="97"/>
      <c r="I268" s="97"/>
      <c r="Q268" s="203"/>
      <c r="R268" s="203"/>
      <c r="S268" s="203"/>
      <c r="T268" s="203"/>
      <c r="U268" s="203"/>
      <c r="V268" s="203"/>
      <c r="W268" s="206" t="e">
        <f>VLOOKUP($F268,#REF!,16,1)</f>
        <v>#REF!</v>
      </c>
      <c r="X268" s="206" t="e">
        <f t="shared" si="18"/>
        <v>#REF!</v>
      </c>
      <c r="Y268" s="206" t="e">
        <v>#N/A</v>
      </c>
      <c r="Z268" s="206" t="e">
        <f>VLOOKUP($F268,#REF!,17,1)</f>
        <v>#REF!</v>
      </c>
      <c r="AA268" s="206" t="e">
        <f t="shared" si="19"/>
        <v>#REF!</v>
      </c>
      <c r="AB268" s="206" t="e">
        <v>#N/A</v>
      </c>
      <c r="AC268" s="206" t="e">
        <f>VLOOKUP($F268,#REF!,21,1)</f>
        <v>#REF!</v>
      </c>
      <c r="AD268" s="206" t="e">
        <f>VLOOKUP($F268,#REF!,33,1)</f>
        <v>#REF!</v>
      </c>
      <c r="AE268" s="206" t="e">
        <f t="shared" si="16"/>
        <v>#REF!</v>
      </c>
      <c r="AF268" s="206" t="e">
        <v>#N/A</v>
      </c>
      <c r="AG268" s="206" t="e">
        <f>VLOOKUP($F268,#REF!,35,1)</f>
        <v>#REF!</v>
      </c>
      <c r="AH268" s="206" t="e">
        <f t="shared" si="17"/>
        <v>#REF!</v>
      </c>
      <c r="AI268" s="206" t="e">
        <v>#N/A</v>
      </c>
      <c r="AJ268" s="206" t="e">
        <f>VLOOKUP($F268,#REF!,37,1)</f>
        <v>#REF!</v>
      </c>
    </row>
    <row r="269" spans="2:36" s="102" customFormat="1">
      <c r="B269" s="97"/>
      <c r="C269" s="108" t="s">
        <v>1924</v>
      </c>
      <c r="D269" s="98" t="s">
        <v>2248</v>
      </c>
      <c r="E269" s="98" t="s">
        <v>2154</v>
      </c>
      <c r="F269" s="124"/>
      <c r="G269" s="97"/>
      <c r="H269" s="97"/>
      <c r="I269" s="97"/>
      <c r="Q269" s="203"/>
      <c r="R269" s="203"/>
      <c r="S269" s="203"/>
      <c r="T269" s="203"/>
      <c r="U269" s="203"/>
      <c r="V269" s="203"/>
      <c r="W269" s="206" t="e">
        <f>VLOOKUP($F269,#REF!,16,1)</f>
        <v>#REF!</v>
      </c>
      <c r="X269" s="206" t="e">
        <f t="shared" si="18"/>
        <v>#REF!</v>
      </c>
      <c r="Y269" s="206" t="e">
        <v>#N/A</v>
      </c>
      <c r="Z269" s="206" t="e">
        <f>VLOOKUP($F269,#REF!,17,1)</f>
        <v>#REF!</v>
      </c>
      <c r="AA269" s="206" t="e">
        <f t="shared" si="19"/>
        <v>#REF!</v>
      </c>
      <c r="AB269" s="206" t="e">
        <v>#N/A</v>
      </c>
      <c r="AC269" s="206" t="e">
        <f>VLOOKUP($F269,#REF!,21,1)</f>
        <v>#REF!</v>
      </c>
      <c r="AD269" s="206" t="e">
        <f>VLOOKUP($F269,#REF!,33,1)</f>
        <v>#REF!</v>
      </c>
      <c r="AE269" s="206" t="e">
        <f t="shared" si="16"/>
        <v>#REF!</v>
      </c>
      <c r="AF269" s="206" t="e">
        <v>#N/A</v>
      </c>
      <c r="AG269" s="206" t="e">
        <f>VLOOKUP($F269,#REF!,35,1)</f>
        <v>#REF!</v>
      </c>
      <c r="AH269" s="206" t="e">
        <f t="shared" si="17"/>
        <v>#REF!</v>
      </c>
      <c r="AI269" s="206" t="e">
        <v>#N/A</v>
      </c>
      <c r="AJ269" s="206" t="e">
        <f>VLOOKUP($F269,#REF!,37,1)</f>
        <v>#REF!</v>
      </c>
    </row>
    <row r="270" spans="2:36" s="102" customFormat="1">
      <c r="B270" s="97"/>
      <c r="C270" s="108" t="s">
        <v>1924</v>
      </c>
      <c r="D270" s="98" t="s">
        <v>2248</v>
      </c>
      <c r="E270" s="98" t="s">
        <v>2154</v>
      </c>
      <c r="F270" s="124"/>
      <c r="G270" s="97"/>
      <c r="H270" s="97"/>
      <c r="I270" s="97"/>
      <c r="Q270" s="203"/>
      <c r="R270" s="203"/>
      <c r="S270" s="203"/>
      <c r="T270" s="203"/>
      <c r="U270" s="203"/>
      <c r="V270" s="203"/>
      <c r="W270" s="206" t="e">
        <f>VLOOKUP($F270,#REF!,16,1)</f>
        <v>#REF!</v>
      </c>
      <c r="X270" s="206" t="e">
        <f t="shared" si="18"/>
        <v>#REF!</v>
      </c>
      <c r="Y270" s="206" t="e">
        <v>#N/A</v>
      </c>
      <c r="Z270" s="206" t="e">
        <f>VLOOKUP($F270,#REF!,17,1)</f>
        <v>#REF!</v>
      </c>
      <c r="AA270" s="206" t="e">
        <f t="shared" si="19"/>
        <v>#REF!</v>
      </c>
      <c r="AB270" s="206" t="e">
        <v>#N/A</v>
      </c>
      <c r="AC270" s="206" t="e">
        <f>VLOOKUP($F270,#REF!,21,1)</f>
        <v>#REF!</v>
      </c>
      <c r="AD270" s="206" t="e">
        <f>VLOOKUP($F270,#REF!,33,1)</f>
        <v>#REF!</v>
      </c>
      <c r="AE270" s="206" t="e">
        <f t="shared" si="16"/>
        <v>#REF!</v>
      </c>
      <c r="AF270" s="206" t="e">
        <v>#N/A</v>
      </c>
      <c r="AG270" s="206" t="e">
        <f>VLOOKUP($F270,#REF!,35,1)</f>
        <v>#REF!</v>
      </c>
      <c r="AH270" s="206" t="e">
        <f t="shared" si="17"/>
        <v>#REF!</v>
      </c>
      <c r="AI270" s="206" t="e">
        <v>#N/A</v>
      </c>
      <c r="AJ270" s="206" t="e">
        <f>VLOOKUP($F270,#REF!,37,1)</f>
        <v>#REF!</v>
      </c>
    </row>
    <row r="271" spans="2:36" s="102" customFormat="1">
      <c r="B271" s="97"/>
      <c r="C271" s="108" t="s">
        <v>1924</v>
      </c>
      <c r="D271" s="98" t="s">
        <v>2248</v>
      </c>
      <c r="E271" s="98" t="s">
        <v>2154</v>
      </c>
      <c r="F271" s="124"/>
      <c r="G271" s="97"/>
      <c r="H271" s="97"/>
      <c r="I271" s="97"/>
      <c r="Q271" s="203"/>
      <c r="R271" s="203"/>
      <c r="S271" s="203"/>
      <c r="T271" s="203"/>
      <c r="U271" s="203"/>
      <c r="V271" s="203"/>
      <c r="W271" s="206" t="e">
        <f>VLOOKUP($F271,#REF!,16,1)</f>
        <v>#REF!</v>
      </c>
      <c r="X271" s="206" t="e">
        <f t="shared" si="18"/>
        <v>#REF!</v>
      </c>
      <c r="Y271" s="206" t="e">
        <v>#N/A</v>
      </c>
      <c r="Z271" s="206" t="e">
        <f>VLOOKUP($F271,#REF!,17,1)</f>
        <v>#REF!</v>
      </c>
      <c r="AA271" s="206" t="e">
        <f t="shared" si="19"/>
        <v>#REF!</v>
      </c>
      <c r="AB271" s="206" t="e">
        <v>#N/A</v>
      </c>
      <c r="AC271" s="206" t="e">
        <f>VLOOKUP($F271,#REF!,21,1)</f>
        <v>#REF!</v>
      </c>
      <c r="AD271" s="206" t="e">
        <f>VLOOKUP($F271,#REF!,33,1)</f>
        <v>#REF!</v>
      </c>
      <c r="AE271" s="206" t="e">
        <f t="shared" si="16"/>
        <v>#REF!</v>
      </c>
      <c r="AF271" s="206" t="e">
        <v>#N/A</v>
      </c>
      <c r="AG271" s="206" t="e">
        <f>VLOOKUP($F271,#REF!,35,1)</f>
        <v>#REF!</v>
      </c>
      <c r="AH271" s="206" t="e">
        <f t="shared" si="17"/>
        <v>#REF!</v>
      </c>
      <c r="AI271" s="206" t="e">
        <v>#N/A</v>
      </c>
      <c r="AJ271" s="206" t="e">
        <f>VLOOKUP($F271,#REF!,37,1)</f>
        <v>#REF!</v>
      </c>
    </row>
    <row r="272" spans="2:36" s="102" customFormat="1">
      <c r="B272" s="97"/>
      <c r="C272" s="108" t="s">
        <v>1924</v>
      </c>
      <c r="D272" s="98" t="s">
        <v>2248</v>
      </c>
      <c r="E272" s="98" t="s">
        <v>2154</v>
      </c>
      <c r="F272" s="124"/>
      <c r="G272" s="97"/>
      <c r="H272" s="97"/>
      <c r="I272" s="97"/>
      <c r="Q272" s="203"/>
      <c r="R272" s="203"/>
      <c r="S272" s="203"/>
      <c r="T272" s="203"/>
      <c r="U272" s="203"/>
      <c r="V272" s="203"/>
      <c r="W272" s="206" t="e">
        <f>VLOOKUP($F272,#REF!,16,1)</f>
        <v>#REF!</v>
      </c>
      <c r="X272" s="206" t="e">
        <f t="shared" si="18"/>
        <v>#REF!</v>
      </c>
      <c r="Y272" s="206" t="e">
        <v>#N/A</v>
      </c>
      <c r="Z272" s="206" t="e">
        <f>VLOOKUP($F272,#REF!,17,1)</f>
        <v>#REF!</v>
      </c>
      <c r="AA272" s="206" t="e">
        <f t="shared" si="19"/>
        <v>#REF!</v>
      </c>
      <c r="AB272" s="206" t="e">
        <v>#N/A</v>
      </c>
      <c r="AC272" s="206" t="e">
        <f>VLOOKUP($F272,#REF!,21,1)</f>
        <v>#REF!</v>
      </c>
      <c r="AD272" s="206" t="e">
        <f>VLOOKUP($F272,#REF!,33,1)</f>
        <v>#REF!</v>
      </c>
      <c r="AE272" s="206" t="e">
        <f t="shared" si="16"/>
        <v>#REF!</v>
      </c>
      <c r="AF272" s="206" t="e">
        <v>#N/A</v>
      </c>
      <c r="AG272" s="206" t="e">
        <f>VLOOKUP($F272,#REF!,35,1)</f>
        <v>#REF!</v>
      </c>
      <c r="AH272" s="206" t="e">
        <f t="shared" si="17"/>
        <v>#REF!</v>
      </c>
      <c r="AI272" s="206" t="e">
        <v>#N/A</v>
      </c>
      <c r="AJ272" s="206" t="e">
        <f>VLOOKUP($F272,#REF!,37,1)</f>
        <v>#REF!</v>
      </c>
    </row>
    <row r="273" spans="2:36" s="102" customFormat="1">
      <c r="B273" s="97"/>
      <c r="C273" s="108" t="s">
        <v>1924</v>
      </c>
      <c r="D273" s="98" t="s">
        <v>2248</v>
      </c>
      <c r="E273" s="98" t="s">
        <v>2154</v>
      </c>
      <c r="F273" s="124"/>
      <c r="G273" s="97"/>
      <c r="H273" s="97"/>
      <c r="I273" s="97"/>
      <c r="Q273" s="203"/>
      <c r="R273" s="203"/>
      <c r="S273" s="203"/>
      <c r="T273" s="203"/>
      <c r="U273" s="203"/>
      <c r="V273" s="203"/>
      <c r="W273" s="206" t="e">
        <f>VLOOKUP($F273,#REF!,16,1)</f>
        <v>#REF!</v>
      </c>
      <c r="X273" s="206" t="e">
        <f t="shared" si="18"/>
        <v>#REF!</v>
      </c>
      <c r="Y273" s="206" t="e">
        <v>#N/A</v>
      </c>
      <c r="Z273" s="206" t="e">
        <f>VLOOKUP($F273,#REF!,17,1)</f>
        <v>#REF!</v>
      </c>
      <c r="AA273" s="206" t="e">
        <f t="shared" si="19"/>
        <v>#REF!</v>
      </c>
      <c r="AB273" s="206" t="e">
        <v>#N/A</v>
      </c>
      <c r="AC273" s="206" t="e">
        <f>VLOOKUP($F273,#REF!,21,1)</f>
        <v>#REF!</v>
      </c>
      <c r="AD273" s="206" t="e">
        <f>VLOOKUP($F273,#REF!,33,1)</f>
        <v>#REF!</v>
      </c>
      <c r="AE273" s="206" t="e">
        <f t="shared" si="16"/>
        <v>#REF!</v>
      </c>
      <c r="AF273" s="206" t="e">
        <v>#N/A</v>
      </c>
      <c r="AG273" s="206" t="e">
        <f>VLOOKUP($F273,#REF!,35,1)</f>
        <v>#REF!</v>
      </c>
      <c r="AH273" s="206" t="e">
        <f t="shared" si="17"/>
        <v>#REF!</v>
      </c>
      <c r="AI273" s="206" t="e">
        <v>#N/A</v>
      </c>
      <c r="AJ273" s="206" t="e">
        <f>VLOOKUP($F273,#REF!,37,1)</f>
        <v>#REF!</v>
      </c>
    </row>
    <row r="274" spans="2:36" s="102" customFormat="1">
      <c r="B274" s="97"/>
      <c r="C274" s="114" t="s">
        <v>1925</v>
      </c>
      <c r="D274" s="98" t="s">
        <v>2249</v>
      </c>
      <c r="E274" s="98" t="s">
        <v>2154</v>
      </c>
      <c r="F274" s="120" t="s">
        <v>2078</v>
      </c>
      <c r="G274" s="97" t="s">
        <v>1929</v>
      </c>
      <c r="H274" s="97"/>
      <c r="I274" s="97"/>
      <c r="Q274" s="206" t="s">
        <v>2161</v>
      </c>
      <c r="R274" s="206">
        <f>ROW(F274)</f>
        <v>274</v>
      </c>
      <c r="S274" s="206" t="str">
        <f>CONCATENATE(";","'",D274,"'!","$B$9:$AL$89",";","21",";","1",")")</f>
        <v>;'A RFISICOS'!$B$9:$AL$89;21;1)</v>
      </c>
      <c r="T274" s="203" t="s">
        <v>2204</v>
      </c>
      <c r="U274" s="206" t="str">
        <f>CONCATENATE("=BUSCARV($E",R274,T274)</f>
        <v>=BUSCARV($E274;'A RFISICOS'!$B$9:$AL$89;21;1)</v>
      </c>
      <c r="V274" s="206"/>
      <c r="W274" s="206" t="e">
        <f>VLOOKUP($F274,#REF!,16,1)</f>
        <v>#REF!</v>
      </c>
      <c r="X274" s="206" t="e">
        <f t="shared" si="18"/>
        <v>#REF!</v>
      </c>
      <c r="Y274" s="206">
        <v>3</v>
      </c>
      <c r="Z274" s="206" t="e">
        <f>VLOOKUP($F274,#REF!,17,1)</f>
        <v>#REF!</v>
      </c>
      <c r="AA274" s="206" t="e">
        <f t="shared" si="19"/>
        <v>#REF!</v>
      </c>
      <c r="AB274" s="206">
        <v>3</v>
      </c>
      <c r="AC274" s="206" t="e">
        <f>VLOOKUP($F274,#REF!,21,1)</f>
        <v>#REF!</v>
      </c>
      <c r="AD274" s="206" t="e">
        <f>VLOOKUP($F274,#REF!,33,1)</f>
        <v>#REF!</v>
      </c>
      <c r="AE274" s="206" t="e">
        <f t="shared" si="16"/>
        <v>#REF!</v>
      </c>
      <c r="AF274" s="206">
        <v>2</v>
      </c>
      <c r="AG274" s="206" t="e">
        <f>VLOOKUP($F274,#REF!,35,1)</f>
        <v>#REF!</v>
      </c>
      <c r="AH274" s="206" t="e">
        <f t="shared" si="17"/>
        <v>#REF!</v>
      </c>
      <c r="AI274" s="206">
        <v>3</v>
      </c>
      <c r="AJ274" s="206" t="e">
        <f>VLOOKUP($F274,#REF!,37,1)</f>
        <v>#REF!</v>
      </c>
    </row>
    <row r="275" spans="2:36" s="102" customFormat="1">
      <c r="B275" s="97"/>
      <c r="C275" s="114" t="s">
        <v>1925</v>
      </c>
      <c r="D275" s="98" t="s">
        <v>2249</v>
      </c>
      <c r="E275" s="98" t="s">
        <v>2154</v>
      </c>
      <c r="F275" s="120" t="s">
        <v>2079</v>
      </c>
      <c r="G275" s="97" t="s">
        <v>1929</v>
      </c>
      <c r="H275" s="97"/>
      <c r="I275" s="97"/>
      <c r="Q275" s="203"/>
      <c r="R275" s="203"/>
      <c r="S275" s="203"/>
      <c r="T275" s="203"/>
      <c r="U275" s="203"/>
      <c r="V275" s="203"/>
      <c r="W275" s="206" t="e">
        <f>VLOOKUP($F275,#REF!,16,1)</f>
        <v>#REF!</v>
      </c>
      <c r="X275" s="206" t="e">
        <f t="shared" si="18"/>
        <v>#REF!</v>
      </c>
      <c r="Y275" s="206">
        <v>3</v>
      </c>
      <c r="Z275" s="206" t="e">
        <f>VLOOKUP($F275,#REF!,17,1)</f>
        <v>#REF!</v>
      </c>
      <c r="AA275" s="206" t="e">
        <f t="shared" si="19"/>
        <v>#REF!</v>
      </c>
      <c r="AB275" s="206">
        <v>3</v>
      </c>
      <c r="AC275" s="206" t="e">
        <f>VLOOKUP($F275,#REF!,21,1)</f>
        <v>#REF!</v>
      </c>
      <c r="AD275" s="206" t="e">
        <f>VLOOKUP($F275,#REF!,33,1)</f>
        <v>#REF!</v>
      </c>
      <c r="AE275" s="206" t="e">
        <f t="shared" si="16"/>
        <v>#REF!</v>
      </c>
      <c r="AF275" s="206">
        <v>1</v>
      </c>
      <c r="AG275" s="206" t="e">
        <f>VLOOKUP($F275,#REF!,35,1)</f>
        <v>#REF!</v>
      </c>
      <c r="AH275" s="206" t="e">
        <f t="shared" si="17"/>
        <v>#REF!</v>
      </c>
      <c r="AI275" s="206">
        <v>1</v>
      </c>
      <c r="AJ275" s="206" t="e">
        <f>VLOOKUP($F275,#REF!,37,1)</f>
        <v>#REF!</v>
      </c>
    </row>
    <row r="276" spans="2:36" s="102" customFormat="1">
      <c r="B276" s="97"/>
      <c r="C276" s="114" t="s">
        <v>1925</v>
      </c>
      <c r="D276" s="98" t="s">
        <v>2249</v>
      </c>
      <c r="E276" s="98" t="s">
        <v>2154</v>
      </c>
      <c r="F276" s="120" t="s">
        <v>2080</v>
      </c>
      <c r="G276" s="97" t="s">
        <v>1929</v>
      </c>
      <c r="H276" s="97"/>
      <c r="I276" s="97"/>
      <c r="Q276" s="203"/>
      <c r="R276" s="203"/>
      <c r="S276" s="203"/>
      <c r="T276" s="203"/>
      <c r="U276" s="203"/>
      <c r="V276" s="203"/>
      <c r="W276" s="206" t="e">
        <f>VLOOKUP($F276,#REF!,16,1)</f>
        <v>#REF!</v>
      </c>
      <c r="X276" s="206" t="e">
        <f t="shared" si="18"/>
        <v>#REF!</v>
      </c>
      <c r="Y276" s="206">
        <v>4</v>
      </c>
      <c r="Z276" s="206" t="e">
        <f>VLOOKUP($F276,#REF!,17,1)</f>
        <v>#REF!</v>
      </c>
      <c r="AA276" s="206" t="e">
        <f t="shared" si="19"/>
        <v>#REF!</v>
      </c>
      <c r="AB276" s="206">
        <v>3</v>
      </c>
      <c r="AC276" s="206" t="e">
        <f>VLOOKUP($F276,#REF!,21,1)</f>
        <v>#REF!</v>
      </c>
      <c r="AD276" s="206" t="e">
        <f>VLOOKUP($F276,#REF!,33,1)</f>
        <v>#REF!</v>
      </c>
      <c r="AE276" s="206" t="e">
        <f t="shared" si="16"/>
        <v>#REF!</v>
      </c>
      <c r="AF276" s="206">
        <v>3</v>
      </c>
      <c r="AG276" s="206" t="e">
        <f>VLOOKUP($F276,#REF!,35,1)</f>
        <v>#REF!</v>
      </c>
      <c r="AH276" s="206" t="e">
        <f t="shared" si="17"/>
        <v>#REF!</v>
      </c>
      <c r="AI276" s="206">
        <v>3</v>
      </c>
      <c r="AJ276" s="206" t="e">
        <f>VLOOKUP($F276,#REF!,37,1)</f>
        <v>#REF!</v>
      </c>
    </row>
    <row r="277" spans="2:36" s="102" customFormat="1">
      <c r="B277" s="97"/>
      <c r="C277" s="114" t="s">
        <v>1925</v>
      </c>
      <c r="D277" s="98" t="s">
        <v>2249</v>
      </c>
      <c r="E277" s="98" t="s">
        <v>2154</v>
      </c>
      <c r="F277" s="120" t="s">
        <v>2081</v>
      </c>
      <c r="G277" s="97" t="s">
        <v>1929</v>
      </c>
      <c r="H277" s="97"/>
      <c r="I277" s="97"/>
      <c r="Q277" s="203"/>
      <c r="R277" s="203"/>
      <c r="S277" s="203"/>
      <c r="T277" s="203"/>
      <c r="U277" s="203"/>
      <c r="V277" s="203"/>
      <c r="W277" s="206" t="e">
        <f>VLOOKUP($F277,#REF!,16,1)</f>
        <v>#REF!</v>
      </c>
      <c r="X277" s="206" t="e">
        <f t="shared" si="18"/>
        <v>#REF!</v>
      </c>
      <c r="Y277" s="206">
        <v>3</v>
      </c>
      <c r="Z277" s="206" t="e">
        <f>VLOOKUP($F277,#REF!,17,1)</f>
        <v>#REF!</v>
      </c>
      <c r="AA277" s="206" t="e">
        <f t="shared" si="19"/>
        <v>#REF!</v>
      </c>
      <c r="AB277" s="206">
        <v>3</v>
      </c>
      <c r="AC277" s="206" t="e">
        <f>VLOOKUP($F277,#REF!,21,1)</f>
        <v>#REF!</v>
      </c>
      <c r="AD277" s="206" t="e">
        <f>VLOOKUP($F277,#REF!,33,1)</f>
        <v>#REF!</v>
      </c>
      <c r="AE277" s="206" t="e">
        <f t="shared" si="16"/>
        <v>#REF!</v>
      </c>
      <c r="AF277" s="206">
        <v>2</v>
      </c>
      <c r="AG277" s="206" t="e">
        <f>VLOOKUP($F277,#REF!,35,1)</f>
        <v>#REF!</v>
      </c>
      <c r="AH277" s="206" t="e">
        <f t="shared" si="17"/>
        <v>#REF!</v>
      </c>
      <c r="AI277" s="206">
        <v>2</v>
      </c>
      <c r="AJ277" s="206" t="e">
        <f>VLOOKUP($F277,#REF!,37,1)</f>
        <v>#REF!</v>
      </c>
    </row>
    <row r="278" spans="2:36" s="102" customFormat="1">
      <c r="B278" s="97"/>
      <c r="C278" s="114" t="s">
        <v>1925</v>
      </c>
      <c r="D278" s="98" t="s">
        <v>2249</v>
      </c>
      <c r="E278" s="98" t="s">
        <v>2154</v>
      </c>
      <c r="F278" s="120" t="s">
        <v>2082</v>
      </c>
      <c r="G278" s="97" t="s">
        <v>1929</v>
      </c>
      <c r="H278" s="97"/>
      <c r="I278" s="97"/>
      <c r="Q278" s="203"/>
      <c r="R278" s="203"/>
      <c r="S278" s="203"/>
      <c r="T278" s="203"/>
      <c r="U278" s="203"/>
      <c r="V278" s="203"/>
      <c r="W278" s="206" t="e">
        <f>VLOOKUP($F278,#REF!,16,1)</f>
        <v>#REF!</v>
      </c>
      <c r="X278" s="206" t="e">
        <f t="shared" si="18"/>
        <v>#REF!</v>
      </c>
      <c r="Y278" s="206">
        <v>2</v>
      </c>
      <c r="Z278" s="206" t="e">
        <f>VLOOKUP($F278,#REF!,17,1)</f>
        <v>#REF!</v>
      </c>
      <c r="AA278" s="206" t="e">
        <f t="shared" si="19"/>
        <v>#REF!</v>
      </c>
      <c r="AB278" s="206">
        <v>4</v>
      </c>
      <c r="AC278" s="206" t="e">
        <f>VLOOKUP($F278,#REF!,21,1)</f>
        <v>#REF!</v>
      </c>
      <c r="AD278" s="206" t="e">
        <f>VLOOKUP($F278,#REF!,33,1)</f>
        <v>#REF!</v>
      </c>
      <c r="AE278" s="206" t="e">
        <f t="shared" si="16"/>
        <v>#REF!</v>
      </c>
      <c r="AF278" s="206">
        <v>1</v>
      </c>
      <c r="AG278" s="206" t="e">
        <f>VLOOKUP($F278,#REF!,35,1)</f>
        <v>#REF!</v>
      </c>
      <c r="AH278" s="206" t="e">
        <f t="shared" si="17"/>
        <v>#REF!</v>
      </c>
      <c r="AI278" s="206">
        <v>4</v>
      </c>
      <c r="AJ278" s="206" t="e">
        <f>VLOOKUP($F278,#REF!,37,1)</f>
        <v>#REF!</v>
      </c>
    </row>
    <row r="279" spans="2:36" s="102" customFormat="1">
      <c r="B279" s="97"/>
      <c r="C279" s="114" t="s">
        <v>1925</v>
      </c>
      <c r="D279" s="98" t="s">
        <v>2249</v>
      </c>
      <c r="E279" s="98" t="s">
        <v>2154</v>
      </c>
      <c r="F279" s="120" t="s">
        <v>2083</v>
      </c>
      <c r="G279" s="97" t="s">
        <v>1929</v>
      </c>
      <c r="H279" s="97"/>
      <c r="I279" s="97"/>
      <c r="Q279" s="203"/>
      <c r="R279" s="203"/>
      <c r="S279" s="203"/>
      <c r="T279" s="203"/>
      <c r="U279" s="203"/>
      <c r="V279" s="203"/>
      <c r="W279" s="206" t="e">
        <f>VLOOKUP($F279,#REF!,16,1)</f>
        <v>#REF!</v>
      </c>
      <c r="X279" s="206" t="e">
        <f t="shared" si="18"/>
        <v>#REF!</v>
      </c>
      <c r="Y279" s="206">
        <v>4</v>
      </c>
      <c r="Z279" s="206" t="e">
        <f>VLOOKUP($F279,#REF!,17,1)</f>
        <v>#REF!</v>
      </c>
      <c r="AA279" s="206" t="e">
        <f t="shared" si="19"/>
        <v>#REF!</v>
      </c>
      <c r="AB279" s="206">
        <v>2</v>
      </c>
      <c r="AC279" s="206" t="e">
        <f>VLOOKUP($F279,#REF!,21,1)</f>
        <v>#REF!</v>
      </c>
      <c r="AD279" s="206" t="e">
        <f>VLOOKUP($F279,#REF!,33,1)</f>
        <v>#REF!</v>
      </c>
      <c r="AE279" s="206" t="e">
        <f t="shared" si="16"/>
        <v>#REF!</v>
      </c>
      <c r="AF279" s="206">
        <v>3</v>
      </c>
      <c r="AG279" s="206" t="e">
        <f>VLOOKUP($F279,#REF!,35,1)</f>
        <v>#REF!</v>
      </c>
      <c r="AH279" s="206" t="e">
        <f t="shared" si="17"/>
        <v>#REF!</v>
      </c>
      <c r="AI279" s="206">
        <v>2</v>
      </c>
      <c r="AJ279" s="206" t="e">
        <f>VLOOKUP($F279,#REF!,37,1)</f>
        <v>#REF!</v>
      </c>
    </row>
    <row r="280" spans="2:36" s="102" customFormat="1">
      <c r="B280" s="97"/>
      <c r="C280" s="114" t="s">
        <v>1925</v>
      </c>
      <c r="D280" s="98" t="s">
        <v>2249</v>
      </c>
      <c r="E280" s="98" t="s">
        <v>2154</v>
      </c>
      <c r="F280" s="120" t="s">
        <v>2084</v>
      </c>
      <c r="G280" s="97" t="s">
        <v>1929</v>
      </c>
      <c r="H280" s="97"/>
      <c r="I280" s="97"/>
      <c r="Q280" s="203"/>
      <c r="R280" s="203"/>
      <c r="S280" s="203"/>
      <c r="T280" s="203"/>
      <c r="U280" s="203"/>
      <c r="V280" s="203"/>
      <c r="W280" s="206" t="e">
        <f>VLOOKUP($F280,#REF!,16,1)</f>
        <v>#REF!</v>
      </c>
      <c r="X280" s="206" t="e">
        <f t="shared" si="18"/>
        <v>#REF!</v>
      </c>
      <c r="Y280" s="206">
        <v>4</v>
      </c>
      <c r="Z280" s="206" t="e">
        <f>VLOOKUP($F280,#REF!,17,1)</f>
        <v>#REF!</v>
      </c>
      <c r="AA280" s="206" t="e">
        <f t="shared" si="19"/>
        <v>#REF!</v>
      </c>
      <c r="AB280" s="206">
        <v>2</v>
      </c>
      <c r="AC280" s="206" t="e">
        <f>VLOOKUP($F280,#REF!,21,1)</f>
        <v>#REF!</v>
      </c>
      <c r="AD280" s="206" t="e">
        <f>VLOOKUP($F280,#REF!,33,1)</f>
        <v>#REF!</v>
      </c>
      <c r="AE280" s="206" t="e">
        <f t="shared" si="16"/>
        <v>#REF!</v>
      </c>
      <c r="AF280" s="206">
        <v>3</v>
      </c>
      <c r="AG280" s="206" t="e">
        <f>VLOOKUP($F280,#REF!,35,1)</f>
        <v>#REF!</v>
      </c>
      <c r="AH280" s="206" t="e">
        <f t="shared" si="17"/>
        <v>#REF!</v>
      </c>
      <c r="AI280" s="206">
        <v>1</v>
      </c>
      <c r="AJ280" s="206" t="e">
        <f>VLOOKUP($F280,#REF!,37,1)</f>
        <v>#REF!</v>
      </c>
    </row>
    <row r="281" spans="2:36" s="102" customFormat="1">
      <c r="B281" s="97"/>
      <c r="C281" s="114" t="s">
        <v>1925</v>
      </c>
      <c r="D281" s="98" t="s">
        <v>2249</v>
      </c>
      <c r="E281" s="98" t="s">
        <v>2154</v>
      </c>
      <c r="F281" s="120" t="s">
        <v>2085</v>
      </c>
      <c r="G281" s="97" t="s">
        <v>1929</v>
      </c>
      <c r="H281" s="97"/>
      <c r="I281" s="97"/>
      <c r="Q281" s="203"/>
      <c r="R281" s="203"/>
      <c r="S281" s="203"/>
      <c r="T281" s="203"/>
      <c r="U281" s="203"/>
      <c r="V281" s="203"/>
      <c r="W281" s="206" t="e">
        <f>VLOOKUP($F281,#REF!,16,1)</f>
        <v>#REF!</v>
      </c>
      <c r="X281" s="206" t="e">
        <f t="shared" si="18"/>
        <v>#REF!</v>
      </c>
      <c r="Y281" s="206">
        <v>4</v>
      </c>
      <c r="Z281" s="206" t="e">
        <f>VLOOKUP($F281,#REF!,17,1)</f>
        <v>#REF!</v>
      </c>
      <c r="AA281" s="206" t="e">
        <f t="shared" si="19"/>
        <v>#REF!</v>
      </c>
      <c r="AB281" s="206">
        <v>2</v>
      </c>
      <c r="AC281" s="206" t="e">
        <f>VLOOKUP($F281,#REF!,21,1)</f>
        <v>#REF!</v>
      </c>
      <c r="AD281" s="206" t="e">
        <f>VLOOKUP($F281,#REF!,33,1)</f>
        <v>#REF!</v>
      </c>
      <c r="AE281" s="206" t="e">
        <f t="shared" si="16"/>
        <v>#REF!</v>
      </c>
      <c r="AF281" s="206">
        <v>2</v>
      </c>
      <c r="AG281" s="206" t="e">
        <f>VLOOKUP($F281,#REF!,35,1)</f>
        <v>#REF!</v>
      </c>
      <c r="AH281" s="206" t="e">
        <f t="shared" si="17"/>
        <v>#REF!</v>
      </c>
      <c r="AI281" s="206">
        <v>1</v>
      </c>
      <c r="AJ281" s="206" t="e">
        <f>VLOOKUP($F281,#REF!,37,1)</f>
        <v>#REF!</v>
      </c>
    </row>
    <row r="282" spans="2:36" s="102" customFormat="1">
      <c r="B282" s="97"/>
      <c r="C282" s="114" t="s">
        <v>1925</v>
      </c>
      <c r="D282" s="98" t="s">
        <v>2249</v>
      </c>
      <c r="E282" s="98" t="s">
        <v>2154</v>
      </c>
      <c r="F282" s="120" t="s">
        <v>2086</v>
      </c>
      <c r="G282" s="97" t="s">
        <v>1929</v>
      </c>
      <c r="H282" s="97"/>
      <c r="I282" s="97"/>
      <c r="Q282" s="203"/>
      <c r="R282" s="203"/>
      <c r="S282" s="203"/>
      <c r="T282" s="203"/>
      <c r="U282" s="203"/>
      <c r="V282" s="203"/>
      <c r="W282" s="206" t="e">
        <f>VLOOKUP($F282,#REF!,16,1)</f>
        <v>#REF!</v>
      </c>
      <c r="X282" s="206" t="e">
        <f t="shared" si="18"/>
        <v>#REF!</v>
      </c>
      <c r="Y282" s="206">
        <v>2</v>
      </c>
      <c r="Z282" s="206" t="e">
        <f>VLOOKUP($F282,#REF!,17,1)</f>
        <v>#REF!</v>
      </c>
      <c r="AA282" s="206" t="e">
        <f t="shared" si="19"/>
        <v>#REF!</v>
      </c>
      <c r="AB282" s="206">
        <v>2</v>
      </c>
      <c r="AC282" s="206" t="e">
        <f>VLOOKUP($F282,#REF!,21,1)</f>
        <v>#REF!</v>
      </c>
      <c r="AD282" s="206" t="e">
        <f>VLOOKUP($F282,#REF!,33,1)</f>
        <v>#REF!</v>
      </c>
      <c r="AE282" s="206" t="e">
        <f t="shared" si="16"/>
        <v>#REF!</v>
      </c>
      <c r="AF282" s="206">
        <v>1</v>
      </c>
      <c r="AG282" s="206" t="e">
        <f>VLOOKUP($F282,#REF!,35,1)</f>
        <v>#REF!</v>
      </c>
      <c r="AH282" s="206" t="e">
        <f t="shared" si="17"/>
        <v>#REF!</v>
      </c>
      <c r="AI282" s="206">
        <v>2</v>
      </c>
      <c r="AJ282" s="206" t="e">
        <f>VLOOKUP($F282,#REF!,37,1)</f>
        <v>#REF!</v>
      </c>
    </row>
    <row r="283" spans="2:36" s="102" customFormat="1">
      <c r="B283" s="97"/>
      <c r="C283" s="114" t="s">
        <v>1925</v>
      </c>
      <c r="D283" s="98" t="s">
        <v>2249</v>
      </c>
      <c r="E283" s="98" t="s">
        <v>2154</v>
      </c>
      <c r="F283" s="120" t="s">
        <v>2087</v>
      </c>
      <c r="G283" s="97" t="s">
        <v>1929</v>
      </c>
      <c r="H283" s="97"/>
      <c r="I283" s="97"/>
      <c r="Q283" s="203"/>
      <c r="R283" s="203"/>
      <c r="S283" s="203"/>
      <c r="T283" s="203"/>
      <c r="U283" s="203"/>
      <c r="V283" s="203"/>
      <c r="W283" s="206" t="e">
        <f>VLOOKUP($F283,#REF!,16,1)</f>
        <v>#REF!</v>
      </c>
      <c r="X283" s="206" t="e">
        <f t="shared" si="18"/>
        <v>#REF!</v>
      </c>
      <c r="Y283" s="206">
        <v>4</v>
      </c>
      <c r="Z283" s="206" t="e">
        <f>VLOOKUP($F283,#REF!,17,1)</f>
        <v>#REF!</v>
      </c>
      <c r="AA283" s="206" t="e">
        <f t="shared" si="19"/>
        <v>#REF!</v>
      </c>
      <c r="AB283" s="206">
        <v>2</v>
      </c>
      <c r="AC283" s="206" t="e">
        <f>VLOOKUP($F283,#REF!,21,1)</f>
        <v>#REF!</v>
      </c>
      <c r="AD283" s="206" t="e">
        <f>VLOOKUP($F283,#REF!,33,1)</f>
        <v>#REF!</v>
      </c>
      <c r="AE283" s="206" t="e">
        <f t="shared" si="16"/>
        <v>#REF!</v>
      </c>
      <c r="AF283" s="206">
        <v>3</v>
      </c>
      <c r="AG283" s="206" t="e">
        <f>VLOOKUP($F283,#REF!,35,1)</f>
        <v>#REF!</v>
      </c>
      <c r="AH283" s="206" t="e">
        <f t="shared" si="17"/>
        <v>#REF!</v>
      </c>
      <c r="AI283" s="206">
        <v>2</v>
      </c>
      <c r="AJ283" s="206" t="e">
        <f>VLOOKUP($F283,#REF!,37,1)</f>
        <v>#REF!</v>
      </c>
    </row>
    <row r="284" spans="2:36" s="102" customFormat="1">
      <c r="B284" s="97"/>
      <c r="C284" s="114" t="s">
        <v>1925</v>
      </c>
      <c r="D284" s="98" t="s">
        <v>2249</v>
      </c>
      <c r="E284" s="98" t="s">
        <v>2154</v>
      </c>
      <c r="F284" s="124"/>
      <c r="G284" s="97"/>
      <c r="H284" s="97"/>
      <c r="I284" s="97"/>
      <c r="Q284" s="203"/>
      <c r="R284" s="203"/>
      <c r="S284" s="203"/>
      <c r="T284" s="203"/>
      <c r="U284" s="203"/>
      <c r="V284" s="203"/>
      <c r="W284" s="206" t="e">
        <f>VLOOKUP($F284,#REF!,16,1)</f>
        <v>#REF!</v>
      </c>
      <c r="X284" s="206" t="e">
        <f t="shared" si="18"/>
        <v>#REF!</v>
      </c>
      <c r="Y284" s="206" t="e">
        <v>#N/A</v>
      </c>
      <c r="Z284" s="206" t="e">
        <f>VLOOKUP($F284,#REF!,17,1)</f>
        <v>#REF!</v>
      </c>
      <c r="AA284" s="206" t="e">
        <f t="shared" si="19"/>
        <v>#REF!</v>
      </c>
      <c r="AB284" s="206" t="e">
        <v>#N/A</v>
      </c>
      <c r="AC284" s="206" t="e">
        <f>VLOOKUP($F284,#REF!,21,1)</f>
        <v>#REF!</v>
      </c>
      <c r="AD284" s="206" t="e">
        <f>VLOOKUP($F284,#REF!,33,1)</f>
        <v>#REF!</v>
      </c>
      <c r="AE284" s="206" t="e">
        <f t="shared" si="16"/>
        <v>#REF!</v>
      </c>
      <c r="AF284" s="206" t="e">
        <v>#N/A</v>
      </c>
      <c r="AG284" s="206" t="e">
        <f>VLOOKUP($F284,#REF!,35,1)</f>
        <v>#REF!</v>
      </c>
      <c r="AH284" s="206" t="e">
        <f t="shared" si="17"/>
        <v>#REF!</v>
      </c>
      <c r="AI284" s="206" t="e">
        <v>#N/A</v>
      </c>
      <c r="AJ284" s="206" t="e">
        <f>VLOOKUP($F284,#REF!,37,1)</f>
        <v>#REF!</v>
      </c>
    </row>
    <row r="285" spans="2:36" s="102" customFormat="1">
      <c r="B285" s="97"/>
      <c r="C285" s="114" t="s">
        <v>1925</v>
      </c>
      <c r="D285" s="98" t="s">
        <v>2249</v>
      </c>
      <c r="E285" s="98" t="s">
        <v>2154</v>
      </c>
      <c r="F285" s="124"/>
      <c r="G285" s="97"/>
      <c r="H285" s="97"/>
      <c r="I285" s="97"/>
      <c r="Q285" s="203"/>
      <c r="R285" s="203"/>
      <c r="S285" s="203"/>
      <c r="T285" s="203"/>
      <c r="U285" s="203"/>
      <c r="V285" s="203"/>
      <c r="W285" s="206" t="e">
        <f>VLOOKUP($F285,#REF!,16,1)</f>
        <v>#REF!</v>
      </c>
      <c r="X285" s="206" t="e">
        <f t="shared" si="18"/>
        <v>#REF!</v>
      </c>
      <c r="Y285" s="206" t="e">
        <v>#N/A</v>
      </c>
      <c r="Z285" s="206" t="e">
        <f>VLOOKUP($F285,#REF!,17,1)</f>
        <v>#REF!</v>
      </c>
      <c r="AA285" s="206" t="e">
        <f t="shared" si="19"/>
        <v>#REF!</v>
      </c>
      <c r="AB285" s="206" t="e">
        <v>#N/A</v>
      </c>
      <c r="AC285" s="206" t="e">
        <f>VLOOKUP($F285,#REF!,21,1)</f>
        <v>#REF!</v>
      </c>
      <c r="AD285" s="206" t="e">
        <f>VLOOKUP($F285,#REF!,33,1)</f>
        <v>#REF!</v>
      </c>
      <c r="AE285" s="206" t="e">
        <f t="shared" si="16"/>
        <v>#REF!</v>
      </c>
      <c r="AF285" s="206" t="e">
        <v>#N/A</v>
      </c>
      <c r="AG285" s="206" t="e">
        <f>VLOOKUP($F285,#REF!,35,1)</f>
        <v>#REF!</v>
      </c>
      <c r="AH285" s="206" t="e">
        <f t="shared" si="17"/>
        <v>#REF!</v>
      </c>
      <c r="AI285" s="206" t="e">
        <v>#N/A</v>
      </c>
      <c r="AJ285" s="206" t="e">
        <f>VLOOKUP($F285,#REF!,37,1)</f>
        <v>#REF!</v>
      </c>
    </row>
    <row r="286" spans="2:36" s="102" customFormat="1">
      <c r="B286" s="97"/>
      <c r="C286" s="114" t="s">
        <v>1925</v>
      </c>
      <c r="D286" s="98" t="s">
        <v>2249</v>
      </c>
      <c r="E286" s="98" t="s">
        <v>2154</v>
      </c>
      <c r="F286" s="124"/>
      <c r="G286" s="97"/>
      <c r="H286" s="97"/>
      <c r="I286" s="97"/>
      <c r="Q286" s="203"/>
      <c r="R286" s="203"/>
      <c r="S286" s="203"/>
      <c r="T286" s="203"/>
      <c r="U286" s="203"/>
      <c r="V286" s="203"/>
      <c r="W286" s="206" t="e">
        <f>VLOOKUP($F286,#REF!,16,1)</f>
        <v>#REF!</v>
      </c>
      <c r="X286" s="206" t="e">
        <f t="shared" si="18"/>
        <v>#REF!</v>
      </c>
      <c r="Y286" s="206" t="e">
        <v>#N/A</v>
      </c>
      <c r="Z286" s="206" t="e">
        <f>VLOOKUP($F286,#REF!,17,1)</f>
        <v>#REF!</v>
      </c>
      <c r="AA286" s="206" t="e">
        <f t="shared" si="19"/>
        <v>#REF!</v>
      </c>
      <c r="AB286" s="206" t="e">
        <v>#N/A</v>
      </c>
      <c r="AC286" s="206" t="e">
        <f>VLOOKUP($F286,#REF!,21,1)</f>
        <v>#REF!</v>
      </c>
      <c r="AD286" s="206" t="e">
        <f>VLOOKUP($F286,#REF!,33,1)</f>
        <v>#REF!</v>
      </c>
      <c r="AE286" s="206" t="e">
        <f t="shared" si="16"/>
        <v>#REF!</v>
      </c>
      <c r="AF286" s="206" t="e">
        <v>#N/A</v>
      </c>
      <c r="AG286" s="206" t="e">
        <f>VLOOKUP($F286,#REF!,35,1)</f>
        <v>#REF!</v>
      </c>
      <c r="AH286" s="206" t="e">
        <f t="shared" si="17"/>
        <v>#REF!</v>
      </c>
      <c r="AI286" s="206" t="e">
        <v>#N/A</v>
      </c>
      <c r="AJ286" s="206" t="e">
        <f>VLOOKUP($F286,#REF!,37,1)</f>
        <v>#REF!</v>
      </c>
    </row>
    <row r="287" spans="2:36" s="102" customFormat="1">
      <c r="B287" s="97"/>
      <c r="C287" s="114" t="s">
        <v>1925</v>
      </c>
      <c r="D287" s="98" t="s">
        <v>2249</v>
      </c>
      <c r="E287" s="98" t="s">
        <v>2154</v>
      </c>
      <c r="F287" s="124"/>
      <c r="G287" s="97"/>
      <c r="H287" s="97"/>
      <c r="I287" s="97"/>
      <c r="Q287" s="203"/>
      <c r="R287" s="203"/>
      <c r="S287" s="203"/>
      <c r="T287" s="203"/>
      <c r="U287" s="203"/>
      <c r="V287" s="203"/>
      <c r="W287" s="206" t="e">
        <f>VLOOKUP($F287,#REF!,16,1)</f>
        <v>#REF!</v>
      </c>
      <c r="X287" s="206" t="e">
        <f t="shared" si="18"/>
        <v>#REF!</v>
      </c>
      <c r="Y287" s="206" t="e">
        <v>#N/A</v>
      </c>
      <c r="Z287" s="206" t="e">
        <f>VLOOKUP($F287,#REF!,17,1)</f>
        <v>#REF!</v>
      </c>
      <c r="AA287" s="206" t="e">
        <f t="shared" si="19"/>
        <v>#REF!</v>
      </c>
      <c r="AB287" s="206" t="e">
        <v>#N/A</v>
      </c>
      <c r="AC287" s="206" t="e">
        <f>VLOOKUP($F287,#REF!,21,1)</f>
        <v>#REF!</v>
      </c>
      <c r="AD287" s="206" t="e">
        <f>VLOOKUP($F287,#REF!,33,1)</f>
        <v>#REF!</v>
      </c>
      <c r="AE287" s="206" t="e">
        <f t="shared" si="16"/>
        <v>#REF!</v>
      </c>
      <c r="AF287" s="206" t="e">
        <v>#N/A</v>
      </c>
      <c r="AG287" s="206" t="e">
        <f>VLOOKUP($F287,#REF!,35,1)</f>
        <v>#REF!</v>
      </c>
      <c r="AH287" s="206" t="e">
        <f t="shared" si="17"/>
        <v>#REF!</v>
      </c>
      <c r="AI287" s="206" t="e">
        <v>#N/A</v>
      </c>
      <c r="AJ287" s="206" t="e">
        <f>VLOOKUP($F287,#REF!,37,1)</f>
        <v>#REF!</v>
      </c>
    </row>
    <row r="288" spans="2:36" s="102" customFormat="1">
      <c r="B288" s="97"/>
      <c r="C288" s="114" t="s">
        <v>1925</v>
      </c>
      <c r="D288" s="98" t="s">
        <v>2249</v>
      </c>
      <c r="E288" s="98" t="s">
        <v>2154</v>
      </c>
      <c r="F288" s="124"/>
      <c r="G288" s="97"/>
      <c r="H288" s="97"/>
      <c r="I288" s="97"/>
      <c r="Q288" s="203"/>
      <c r="R288" s="203"/>
      <c r="S288" s="203"/>
      <c r="T288" s="203"/>
      <c r="U288" s="203"/>
      <c r="V288" s="203"/>
      <c r="W288" s="206" t="e">
        <f>VLOOKUP($F288,#REF!,16,1)</f>
        <v>#REF!</v>
      </c>
      <c r="X288" s="206" t="e">
        <f t="shared" si="18"/>
        <v>#REF!</v>
      </c>
      <c r="Y288" s="206" t="e">
        <v>#N/A</v>
      </c>
      <c r="Z288" s="206" t="e">
        <f>VLOOKUP($F288,#REF!,17,1)</f>
        <v>#REF!</v>
      </c>
      <c r="AA288" s="206" t="e">
        <f t="shared" si="19"/>
        <v>#REF!</v>
      </c>
      <c r="AB288" s="206" t="e">
        <v>#N/A</v>
      </c>
      <c r="AC288" s="206" t="e">
        <f>VLOOKUP($F288,#REF!,21,1)</f>
        <v>#REF!</v>
      </c>
      <c r="AD288" s="206" t="e">
        <f>VLOOKUP($F288,#REF!,33,1)</f>
        <v>#REF!</v>
      </c>
      <c r="AE288" s="206" t="e">
        <f t="shared" si="16"/>
        <v>#REF!</v>
      </c>
      <c r="AF288" s="206" t="e">
        <v>#N/A</v>
      </c>
      <c r="AG288" s="206" t="e">
        <f>VLOOKUP($F288,#REF!,35,1)</f>
        <v>#REF!</v>
      </c>
      <c r="AH288" s="206" t="e">
        <f t="shared" si="17"/>
        <v>#REF!</v>
      </c>
      <c r="AI288" s="206" t="e">
        <v>#N/A</v>
      </c>
      <c r="AJ288" s="206" t="e">
        <f>VLOOKUP($F288,#REF!,37,1)</f>
        <v>#REF!</v>
      </c>
    </row>
    <row r="289" spans="2:36" s="102" customFormat="1">
      <c r="B289" s="97"/>
      <c r="C289" s="119" t="s">
        <v>1926</v>
      </c>
      <c r="D289" s="98" t="s">
        <v>2250</v>
      </c>
      <c r="E289" s="98" t="s">
        <v>2154</v>
      </c>
      <c r="F289" s="120" t="s">
        <v>2005</v>
      </c>
      <c r="G289" s="97" t="s">
        <v>1929</v>
      </c>
      <c r="H289" s="97"/>
      <c r="I289" s="97"/>
      <c r="Q289" s="206" t="s">
        <v>2161</v>
      </c>
      <c r="R289" s="206">
        <f>ROW(F289)</f>
        <v>289</v>
      </c>
      <c r="S289" s="206" t="str">
        <f>CONCATENATE(";","'",D289,"'!","$B$9:$AL$89",";","21",";","1",")")</f>
        <v>;'A DOCUMENTAL'!$B$9:$AL$89;21;1)</v>
      </c>
      <c r="T289" s="203" t="s">
        <v>2205</v>
      </c>
      <c r="U289" s="206" t="str">
        <f>CONCATENATE("=BUSCARV($E",R289,T289)</f>
        <v>=BUSCARV($E289;'A DOCUMENTAL'!$B$9:$AL$89;21;1)</v>
      </c>
      <c r="V289" s="206"/>
      <c r="W289" s="206" t="e">
        <f>VLOOKUP($F289,#REF!,16,1)</f>
        <v>#REF!</v>
      </c>
      <c r="X289" s="206" t="e">
        <f t="shared" si="18"/>
        <v>#REF!</v>
      </c>
      <c r="Y289" s="206">
        <v>4</v>
      </c>
      <c r="Z289" s="206" t="e">
        <f>VLOOKUP($F289,#REF!,17,1)</f>
        <v>#REF!</v>
      </c>
      <c r="AA289" s="206" t="e">
        <f t="shared" si="19"/>
        <v>#REF!</v>
      </c>
      <c r="AB289" s="206">
        <v>3</v>
      </c>
      <c r="AC289" s="206" t="e">
        <f>VLOOKUP($F289,#REF!,21,1)</f>
        <v>#REF!</v>
      </c>
      <c r="AD289" s="206" t="e">
        <f>VLOOKUP($F289,#REF!,33,1)</f>
        <v>#REF!</v>
      </c>
      <c r="AE289" s="206" t="e">
        <f t="shared" si="16"/>
        <v>#REF!</v>
      </c>
      <c r="AF289" s="206">
        <v>3</v>
      </c>
      <c r="AG289" s="206" t="e">
        <f>VLOOKUP($F289,#REF!,35,1)</f>
        <v>#REF!</v>
      </c>
      <c r="AH289" s="206" t="e">
        <f t="shared" si="17"/>
        <v>#REF!</v>
      </c>
      <c r="AI289" s="206">
        <v>2</v>
      </c>
      <c r="AJ289" s="206" t="e">
        <f>VLOOKUP($F289,#REF!,37,1)</f>
        <v>#REF!</v>
      </c>
    </row>
    <row r="290" spans="2:36" s="102" customFormat="1">
      <c r="B290" s="97"/>
      <c r="C290" s="119" t="s">
        <v>1926</v>
      </c>
      <c r="D290" s="98" t="s">
        <v>2250</v>
      </c>
      <c r="E290" s="98" t="s">
        <v>2154</v>
      </c>
      <c r="F290" s="120" t="s">
        <v>2006</v>
      </c>
      <c r="G290" s="97" t="s">
        <v>1929</v>
      </c>
      <c r="H290" s="97"/>
      <c r="I290" s="97"/>
      <c r="Q290" s="203"/>
      <c r="R290" s="203"/>
      <c r="S290" s="203"/>
      <c r="T290" s="203"/>
      <c r="U290" s="203"/>
      <c r="V290" s="203"/>
      <c r="W290" s="206" t="e">
        <f>VLOOKUP($F290,#REF!,16,1)</f>
        <v>#REF!</v>
      </c>
      <c r="X290" s="206" t="e">
        <f t="shared" si="18"/>
        <v>#REF!</v>
      </c>
      <c r="Y290" s="206">
        <v>4</v>
      </c>
      <c r="Z290" s="206" t="e">
        <f>VLOOKUP($F290,#REF!,17,1)</f>
        <v>#REF!</v>
      </c>
      <c r="AA290" s="206" t="e">
        <f t="shared" si="19"/>
        <v>#REF!</v>
      </c>
      <c r="AB290" s="206">
        <v>3</v>
      </c>
      <c r="AC290" s="206" t="e">
        <f>VLOOKUP($F290,#REF!,21,1)</f>
        <v>#REF!</v>
      </c>
      <c r="AD290" s="206" t="e">
        <f>VLOOKUP($F290,#REF!,33,1)</f>
        <v>#REF!</v>
      </c>
      <c r="AE290" s="206" t="e">
        <f t="shared" si="16"/>
        <v>#REF!</v>
      </c>
      <c r="AF290" s="206">
        <v>3</v>
      </c>
      <c r="AG290" s="206" t="e">
        <f>VLOOKUP($F290,#REF!,35,1)</f>
        <v>#REF!</v>
      </c>
      <c r="AH290" s="206" t="e">
        <f t="shared" si="17"/>
        <v>#REF!</v>
      </c>
      <c r="AI290" s="206">
        <v>2</v>
      </c>
      <c r="AJ290" s="206" t="e">
        <f>VLOOKUP($F290,#REF!,37,1)</f>
        <v>#REF!</v>
      </c>
    </row>
    <row r="291" spans="2:36" s="102" customFormat="1">
      <c r="B291" s="97"/>
      <c r="C291" s="119" t="s">
        <v>1926</v>
      </c>
      <c r="D291" s="98" t="s">
        <v>2250</v>
      </c>
      <c r="E291" s="98" t="s">
        <v>2154</v>
      </c>
      <c r="F291" s="120" t="s">
        <v>2007</v>
      </c>
      <c r="G291" s="97" t="s">
        <v>1929</v>
      </c>
      <c r="H291" s="97"/>
      <c r="I291" s="97"/>
      <c r="Q291" s="203"/>
      <c r="R291" s="203"/>
      <c r="S291" s="203"/>
      <c r="T291" s="203"/>
      <c r="U291" s="203"/>
      <c r="V291" s="203"/>
      <c r="W291" s="206" t="e">
        <f>VLOOKUP($F291,#REF!,16,1)</f>
        <v>#REF!</v>
      </c>
      <c r="X291" s="206" t="e">
        <f t="shared" si="18"/>
        <v>#REF!</v>
      </c>
      <c r="Y291" s="206">
        <v>3</v>
      </c>
      <c r="Z291" s="206" t="e">
        <f>VLOOKUP($F291,#REF!,17,1)</f>
        <v>#REF!</v>
      </c>
      <c r="AA291" s="206" t="e">
        <f t="shared" si="19"/>
        <v>#REF!</v>
      </c>
      <c r="AB291" s="206">
        <v>3</v>
      </c>
      <c r="AC291" s="206" t="e">
        <f>VLOOKUP($F291,#REF!,21,1)</f>
        <v>#REF!</v>
      </c>
      <c r="AD291" s="206" t="e">
        <f>VLOOKUP($F291,#REF!,33,1)</f>
        <v>#REF!</v>
      </c>
      <c r="AE291" s="206" t="e">
        <f t="shared" si="16"/>
        <v>#REF!</v>
      </c>
      <c r="AF291" s="206">
        <v>2</v>
      </c>
      <c r="AG291" s="206" t="e">
        <f>VLOOKUP($F291,#REF!,35,1)</f>
        <v>#REF!</v>
      </c>
      <c r="AH291" s="206" t="e">
        <f t="shared" si="17"/>
        <v>#REF!</v>
      </c>
      <c r="AI291" s="206">
        <v>2</v>
      </c>
      <c r="AJ291" s="206" t="e">
        <f>VLOOKUP($F291,#REF!,37,1)</f>
        <v>#REF!</v>
      </c>
    </row>
    <row r="292" spans="2:36" s="102" customFormat="1">
      <c r="B292" s="97"/>
      <c r="C292" s="119" t="s">
        <v>1926</v>
      </c>
      <c r="D292" s="98" t="s">
        <v>2250</v>
      </c>
      <c r="E292" s="98" t="s">
        <v>2154</v>
      </c>
      <c r="F292" s="120" t="s">
        <v>2008</v>
      </c>
      <c r="G292" s="97" t="s">
        <v>1929</v>
      </c>
      <c r="H292" s="97"/>
      <c r="I292" s="97"/>
      <c r="Q292" s="203"/>
      <c r="R292" s="203"/>
      <c r="S292" s="203"/>
      <c r="T292" s="203"/>
      <c r="U292" s="203"/>
      <c r="V292" s="203"/>
      <c r="W292" s="206" t="e">
        <f>VLOOKUP($F292,#REF!,16,1)</f>
        <v>#REF!</v>
      </c>
      <c r="X292" s="206" t="e">
        <f t="shared" si="18"/>
        <v>#REF!</v>
      </c>
      <c r="Y292" s="206">
        <v>3</v>
      </c>
      <c r="Z292" s="206" t="e">
        <f>VLOOKUP($F292,#REF!,17,1)</f>
        <v>#REF!</v>
      </c>
      <c r="AA292" s="206" t="e">
        <f t="shared" si="19"/>
        <v>#REF!</v>
      </c>
      <c r="AB292" s="206">
        <v>3</v>
      </c>
      <c r="AC292" s="206" t="e">
        <f>VLOOKUP($F292,#REF!,21,1)</f>
        <v>#REF!</v>
      </c>
      <c r="AD292" s="206" t="e">
        <f>VLOOKUP($F292,#REF!,33,1)</f>
        <v>#REF!</v>
      </c>
      <c r="AE292" s="206" t="e">
        <f t="shared" si="16"/>
        <v>#REF!</v>
      </c>
      <c r="AF292" s="206">
        <v>2</v>
      </c>
      <c r="AG292" s="206" t="e">
        <f>VLOOKUP($F292,#REF!,35,1)</f>
        <v>#REF!</v>
      </c>
      <c r="AH292" s="206" t="e">
        <f t="shared" si="17"/>
        <v>#REF!</v>
      </c>
      <c r="AI292" s="206">
        <v>3</v>
      </c>
      <c r="AJ292" s="206" t="e">
        <f>VLOOKUP($F292,#REF!,37,1)</f>
        <v>#REF!</v>
      </c>
    </row>
    <row r="293" spans="2:36" s="102" customFormat="1">
      <c r="B293" s="97"/>
      <c r="C293" s="119" t="s">
        <v>1926</v>
      </c>
      <c r="D293" s="98" t="s">
        <v>2250</v>
      </c>
      <c r="E293" s="98" t="s">
        <v>2154</v>
      </c>
      <c r="F293" s="124"/>
      <c r="G293" s="97"/>
      <c r="H293" s="97"/>
      <c r="I293" s="97"/>
      <c r="Q293" s="203"/>
      <c r="R293" s="203"/>
      <c r="S293" s="203"/>
      <c r="T293" s="203"/>
      <c r="U293" s="203"/>
      <c r="V293" s="203"/>
      <c r="W293" s="206" t="e">
        <f>VLOOKUP($F293,#REF!,16,1)</f>
        <v>#REF!</v>
      </c>
      <c r="X293" s="206" t="e">
        <f t="shared" si="18"/>
        <v>#REF!</v>
      </c>
      <c r="Y293" s="206" t="e">
        <v>#N/A</v>
      </c>
      <c r="Z293" s="206" t="e">
        <f>VLOOKUP($F293,#REF!,17,1)</f>
        <v>#REF!</v>
      </c>
      <c r="AA293" s="206" t="e">
        <f t="shared" si="19"/>
        <v>#REF!</v>
      </c>
      <c r="AB293" s="206" t="e">
        <v>#N/A</v>
      </c>
      <c r="AC293" s="206" t="e">
        <f>VLOOKUP($F293,#REF!,21,1)</f>
        <v>#REF!</v>
      </c>
      <c r="AD293" s="206" t="e">
        <f>VLOOKUP($F293,#REF!,33,1)</f>
        <v>#REF!</v>
      </c>
      <c r="AE293" s="206" t="e">
        <f t="shared" si="16"/>
        <v>#REF!</v>
      </c>
      <c r="AF293" s="206" t="e">
        <v>#N/A</v>
      </c>
      <c r="AG293" s="206" t="e">
        <f>VLOOKUP($F293,#REF!,35,1)</f>
        <v>#REF!</v>
      </c>
      <c r="AH293" s="206" t="e">
        <f t="shared" si="17"/>
        <v>#REF!</v>
      </c>
      <c r="AI293" s="206" t="e">
        <v>#N/A</v>
      </c>
      <c r="AJ293" s="206" t="e">
        <f>VLOOKUP($F293,#REF!,37,1)</f>
        <v>#REF!</v>
      </c>
    </row>
    <row r="294" spans="2:36" s="102" customFormat="1">
      <c r="B294" s="97"/>
      <c r="C294" s="119" t="s">
        <v>1926</v>
      </c>
      <c r="D294" s="98" t="s">
        <v>2250</v>
      </c>
      <c r="E294" s="98" t="s">
        <v>2154</v>
      </c>
      <c r="F294" s="124"/>
      <c r="G294" s="97"/>
      <c r="H294" s="97"/>
      <c r="I294" s="97"/>
      <c r="Q294" s="203"/>
      <c r="R294" s="203"/>
      <c r="S294" s="203"/>
      <c r="T294" s="203"/>
      <c r="U294" s="203"/>
      <c r="V294" s="203"/>
      <c r="W294" s="206" t="e">
        <f>VLOOKUP($F294,#REF!,16,1)</f>
        <v>#REF!</v>
      </c>
      <c r="X294" s="206" t="e">
        <f t="shared" si="18"/>
        <v>#REF!</v>
      </c>
      <c r="Y294" s="206" t="e">
        <v>#N/A</v>
      </c>
      <c r="Z294" s="206" t="e">
        <f>VLOOKUP($F294,#REF!,17,1)</f>
        <v>#REF!</v>
      </c>
      <c r="AA294" s="206" t="e">
        <f t="shared" si="19"/>
        <v>#REF!</v>
      </c>
      <c r="AB294" s="206" t="e">
        <v>#N/A</v>
      </c>
      <c r="AC294" s="206" t="e">
        <f>VLOOKUP($F294,#REF!,21,1)</f>
        <v>#REF!</v>
      </c>
      <c r="AD294" s="206" t="e">
        <f>VLOOKUP($F294,#REF!,33,1)</f>
        <v>#REF!</v>
      </c>
      <c r="AE294" s="206" t="e">
        <f t="shared" si="16"/>
        <v>#REF!</v>
      </c>
      <c r="AF294" s="206" t="e">
        <v>#N/A</v>
      </c>
      <c r="AG294" s="206" t="e">
        <f>VLOOKUP($F294,#REF!,35,1)</f>
        <v>#REF!</v>
      </c>
      <c r="AH294" s="206" t="e">
        <f t="shared" si="17"/>
        <v>#REF!</v>
      </c>
      <c r="AI294" s="206" t="e">
        <v>#N/A</v>
      </c>
      <c r="AJ294" s="206" t="e">
        <f>VLOOKUP($F294,#REF!,37,1)</f>
        <v>#REF!</v>
      </c>
    </row>
    <row r="295" spans="2:36" s="102" customFormat="1">
      <c r="B295" s="97"/>
      <c r="C295" s="119" t="s">
        <v>1926</v>
      </c>
      <c r="D295" s="98" t="s">
        <v>2250</v>
      </c>
      <c r="E295" s="98" t="s">
        <v>2154</v>
      </c>
      <c r="F295" s="124"/>
      <c r="G295" s="97"/>
      <c r="H295" s="97"/>
      <c r="I295" s="97"/>
      <c r="Q295" s="203"/>
      <c r="R295" s="203"/>
      <c r="S295" s="203"/>
      <c r="T295" s="203"/>
      <c r="U295" s="203"/>
      <c r="V295" s="203"/>
      <c r="W295" s="206" t="e">
        <f>VLOOKUP($F295,#REF!,16,1)</f>
        <v>#REF!</v>
      </c>
      <c r="X295" s="206" t="e">
        <f t="shared" si="18"/>
        <v>#REF!</v>
      </c>
      <c r="Y295" s="206" t="e">
        <v>#N/A</v>
      </c>
      <c r="Z295" s="206" t="e">
        <f>VLOOKUP($F295,#REF!,17,1)</f>
        <v>#REF!</v>
      </c>
      <c r="AA295" s="206" t="e">
        <f t="shared" si="19"/>
        <v>#REF!</v>
      </c>
      <c r="AB295" s="206" t="e">
        <v>#N/A</v>
      </c>
      <c r="AC295" s="206" t="e">
        <f>VLOOKUP($F295,#REF!,21,1)</f>
        <v>#REF!</v>
      </c>
      <c r="AD295" s="206" t="e">
        <f>VLOOKUP($F295,#REF!,33,1)</f>
        <v>#REF!</v>
      </c>
      <c r="AE295" s="206" t="e">
        <f t="shared" si="16"/>
        <v>#REF!</v>
      </c>
      <c r="AF295" s="206" t="e">
        <v>#N/A</v>
      </c>
      <c r="AG295" s="206" t="e">
        <f>VLOOKUP($F295,#REF!,35,1)</f>
        <v>#REF!</v>
      </c>
      <c r="AH295" s="206" t="e">
        <f t="shared" si="17"/>
        <v>#REF!</v>
      </c>
      <c r="AI295" s="206" t="e">
        <v>#N/A</v>
      </c>
      <c r="AJ295" s="206" t="e">
        <f>VLOOKUP($F295,#REF!,37,1)</f>
        <v>#REF!</v>
      </c>
    </row>
    <row r="296" spans="2:36" s="102" customFormat="1">
      <c r="B296" s="97"/>
      <c r="C296" s="119" t="s">
        <v>1926</v>
      </c>
      <c r="D296" s="98" t="s">
        <v>2250</v>
      </c>
      <c r="E296" s="98" t="s">
        <v>2154</v>
      </c>
      <c r="F296" s="124"/>
      <c r="G296" s="97"/>
      <c r="H296" s="97"/>
      <c r="I296" s="97"/>
      <c r="Q296" s="203"/>
      <c r="R296" s="203"/>
      <c r="S296" s="203"/>
      <c r="T296" s="203"/>
      <c r="U296" s="203"/>
      <c r="V296" s="203"/>
      <c r="W296" s="206" t="e">
        <f>VLOOKUP($F296,#REF!,16,1)</f>
        <v>#REF!</v>
      </c>
      <c r="X296" s="206" t="e">
        <f t="shared" si="18"/>
        <v>#REF!</v>
      </c>
      <c r="Y296" s="206" t="e">
        <v>#N/A</v>
      </c>
      <c r="Z296" s="206" t="e">
        <f>VLOOKUP($F296,#REF!,17,1)</f>
        <v>#REF!</v>
      </c>
      <c r="AA296" s="206" t="e">
        <f t="shared" si="19"/>
        <v>#REF!</v>
      </c>
      <c r="AB296" s="206" t="e">
        <v>#N/A</v>
      </c>
      <c r="AC296" s="206" t="e">
        <f>VLOOKUP($F296,#REF!,21,1)</f>
        <v>#REF!</v>
      </c>
      <c r="AD296" s="206" t="e">
        <f>VLOOKUP($F296,#REF!,33,1)</f>
        <v>#REF!</v>
      </c>
      <c r="AE296" s="206" t="e">
        <f t="shared" si="16"/>
        <v>#REF!</v>
      </c>
      <c r="AF296" s="206" t="e">
        <v>#N/A</v>
      </c>
      <c r="AG296" s="206" t="e">
        <f>VLOOKUP($F296,#REF!,35,1)</f>
        <v>#REF!</v>
      </c>
      <c r="AH296" s="206" t="e">
        <f t="shared" si="17"/>
        <v>#REF!</v>
      </c>
      <c r="AI296" s="206" t="e">
        <v>#N/A</v>
      </c>
      <c r="AJ296" s="206" t="e">
        <f>VLOOKUP($F296,#REF!,37,1)</f>
        <v>#REF!</v>
      </c>
    </row>
    <row r="297" spans="2:36" s="102" customFormat="1">
      <c r="B297" s="97"/>
      <c r="C297" s="119" t="s">
        <v>1926</v>
      </c>
      <c r="D297" s="98" t="s">
        <v>2250</v>
      </c>
      <c r="E297" s="98" t="s">
        <v>2154</v>
      </c>
      <c r="F297" s="124"/>
      <c r="G297" s="97"/>
      <c r="H297" s="97"/>
      <c r="I297" s="97"/>
      <c r="Q297" s="203"/>
      <c r="R297" s="203"/>
      <c r="S297" s="203"/>
      <c r="T297" s="203"/>
      <c r="U297" s="203"/>
      <c r="V297" s="203"/>
      <c r="W297" s="206" t="e">
        <f>VLOOKUP($F297,#REF!,16,1)</f>
        <v>#REF!</v>
      </c>
      <c r="X297" s="206" t="e">
        <f t="shared" si="18"/>
        <v>#REF!</v>
      </c>
      <c r="Y297" s="206" t="e">
        <v>#N/A</v>
      </c>
      <c r="Z297" s="206" t="e">
        <f>VLOOKUP($F297,#REF!,17,1)</f>
        <v>#REF!</v>
      </c>
      <c r="AA297" s="206" t="e">
        <f t="shared" si="19"/>
        <v>#REF!</v>
      </c>
      <c r="AB297" s="206" t="e">
        <v>#N/A</v>
      </c>
      <c r="AC297" s="206" t="e">
        <f>VLOOKUP($F297,#REF!,21,1)</f>
        <v>#REF!</v>
      </c>
      <c r="AD297" s="206" t="e">
        <f>VLOOKUP($F297,#REF!,33,1)</f>
        <v>#REF!</v>
      </c>
      <c r="AE297" s="206" t="e">
        <f t="shared" si="16"/>
        <v>#REF!</v>
      </c>
      <c r="AF297" s="206" t="e">
        <v>#N/A</v>
      </c>
      <c r="AG297" s="206" t="e">
        <f>VLOOKUP($F297,#REF!,35,1)</f>
        <v>#REF!</v>
      </c>
      <c r="AH297" s="206" t="e">
        <f t="shared" si="17"/>
        <v>#REF!</v>
      </c>
      <c r="AI297" s="206" t="e">
        <v>#N/A</v>
      </c>
      <c r="AJ297" s="206" t="e">
        <f>VLOOKUP($F297,#REF!,37,1)</f>
        <v>#REF!</v>
      </c>
    </row>
    <row r="298" spans="2:36" s="102" customFormat="1">
      <c r="B298" s="97"/>
      <c r="C298" s="119" t="s">
        <v>1926</v>
      </c>
      <c r="D298" s="98" t="s">
        <v>2250</v>
      </c>
      <c r="E298" s="98" t="s">
        <v>2154</v>
      </c>
      <c r="F298" s="124"/>
      <c r="G298" s="97"/>
      <c r="H298" s="97"/>
      <c r="I298" s="97"/>
      <c r="Q298" s="203"/>
      <c r="R298" s="203"/>
      <c r="S298" s="203"/>
      <c r="T298" s="203"/>
      <c r="U298" s="203"/>
      <c r="V298" s="203"/>
      <c r="W298" s="206" t="e">
        <f>VLOOKUP($F298,#REF!,16,1)</f>
        <v>#REF!</v>
      </c>
      <c r="X298" s="206" t="e">
        <f t="shared" si="18"/>
        <v>#REF!</v>
      </c>
      <c r="Y298" s="206" t="e">
        <v>#N/A</v>
      </c>
      <c r="Z298" s="206" t="e">
        <f>VLOOKUP($F298,#REF!,17,1)</f>
        <v>#REF!</v>
      </c>
      <c r="AA298" s="206" t="e">
        <f t="shared" si="19"/>
        <v>#REF!</v>
      </c>
      <c r="AB298" s="206" t="e">
        <v>#N/A</v>
      </c>
      <c r="AC298" s="206" t="e">
        <f>VLOOKUP($F298,#REF!,21,1)</f>
        <v>#REF!</v>
      </c>
      <c r="AD298" s="206" t="e">
        <f>VLOOKUP($F298,#REF!,33,1)</f>
        <v>#REF!</v>
      </c>
      <c r="AE298" s="206" t="e">
        <f t="shared" si="16"/>
        <v>#REF!</v>
      </c>
      <c r="AF298" s="206" t="e">
        <v>#N/A</v>
      </c>
      <c r="AG298" s="206" t="e">
        <f>VLOOKUP($F298,#REF!,35,1)</f>
        <v>#REF!</v>
      </c>
      <c r="AH298" s="206" t="e">
        <f t="shared" si="17"/>
        <v>#REF!</v>
      </c>
      <c r="AI298" s="206" t="e">
        <v>#N/A</v>
      </c>
      <c r="AJ298" s="206" t="e">
        <f>VLOOKUP($F298,#REF!,37,1)</f>
        <v>#REF!</v>
      </c>
    </row>
    <row r="299" spans="2:36" s="102" customFormat="1">
      <c r="B299" s="97"/>
      <c r="C299" s="119" t="s">
        <v>1926</v>
      </c>
      <c r="D299" s="98" t="s">
        <v>2250</v>
      </c>
      <c r="E299" s="98" t="s">
        <v>2154</v>
      </c>
      <c r="F299" s="124"/>
      <c r="G299" s="97"/>
      <c r="H299" s="97"/>
      <c r="I299" s="97"/>
      <c r="Q299" s="203"/>
      <c r="R299" s="203"/>
      <c r="S299" s="203"/>
      <c r="T299" s="203"/>
      <c r="U299" s="203"/>
      <c r="V299" s="203"/>
      <c r="W299" s="206" t="e">
        <f>VLOOKUP($F299,#REF!,16,1)</f>
        <v>#REF!</v>
      </c>
      <c r="X299" s="206" t="e">
        <f t="shared" si="18"/>
        <v>#REF!</v>
      </c>
      <c r="Y299" s="206" t="e">
        <v>#N/A</v>
      </c>
      <c r="Z299" s="206" t="e">
        <f>VLOOKUP($F299,#REF!,17,1)</f>
        <v>#REF!</v>
      </c>
      <c r="AA299" s="206" t="e">
        <f t="shared" si="19"/>
        <v>#REF!</v>
      </c>
      <c r="AB299" s="206" t="e">
        <v>#N/A</v>
      </c>
      <c r="AC299" s="206" t="e">
        <f>VLOOKUP($F299,#REF!,21,1)</f>
        <v>#REF!</v>
      </c>
      <c r="AD299" s="206" t="e">
        <f>VLOOKUP($F299,#REF!,33,1)</f>
        <v>#REF!</v>
      </c>
      <c r="AE299" s="206" t="e">
        <f t="shared" si="16"/>
        <v>#REF!</v>
      </c>
      <c r="AF299" s="206" t="e">
        <v>#N/A</v>
      </c>
      <c r="AG299" s="206" t="e">
        <f>VLOOKUP($F299,#REF!,35,1)</f>
        <v>#REF!</v>
      </c>
      <c r="AH299" s="206" t="e">
        <f t="shared" si="17"/>
        <v>#REF!</v>
      </c>
      <c r="AI299" s="206" t="e">
        <v>#N/A</v>
      </c>
      <c r="AJ299" s="206" t="e">
        <f>VLOOKUP($F299,#REF!,37,1)</f>
        <v>#REF!</v>
      </c>
    </row>
    <row r="300" spans="2:36" s="102" customFormat="1">
      <c r="B300" s="97"/>
      <c r="C300" s="119" t="s">
        <v>1926</v>
      </c>
      <c r="D300" s="98" t="s">
        <v>2250</v>
      </c>
      <c r="E300" s="98" t="s">
        <v>2154</v>
      </c>
      <c r="F300" s="124"/>
      <c r="G300" s="97"/>
      <c r="H300" s="97"/>
      <c r="I300" s="97"/>
      <c r="Q300" s="203"/>
      <c r="R300" s="203"/>
      <c r="S300" s="203"/>
      <c r="T300" s="203"/>
      <c r="U300" s="203"/>
      <c r="V300" s="203"/>
      <c r="W300" s="206" t="e">
        <f>VLOOKUP($F300,#REF!,16,1)</f>
        <v>#REF!</v>
      </c>
      <c r="X300" s="206" t="e">
        <f t="shared" si="18"/>
        <v>#REF!</v>
      </c>
      <c r="Y300" s="206" t="e">
        <v>#N/A</v>
      </c>
      <c r="Z300" s="206" t="e">
        <f>VLOOKUP($F300,#REF!,17,1)</f>
        <v>#REF!</v>
      </c>
      <c r="AA300" s="206" t="e">
        <f t="shared" si="19"/>
        <v>#REF!</v>
      </c>
      <c r="AB300" s="206" t="e">
        <v>#N/A</v>
      </c>
      <c r="AC300" s="206" t="e">
        <f>VLOOKUP($F300,#REF!,21,1)</f>
        <v>#REF!</v>
      </c>
      <c r="AD300" s="206" t="e">
        <f>VLOOKUP($F300,#REF!,33,1)</f>
        <v>#REF!</v>
      </c>
      <c r="AE300" s="206" t="e">
        <f t="shared" si="16"/>
        <v>#REF!</v>
      </c>
      <c r="AF300" s="206" t="e">
        <v>#N/A</v>
      </c>
      <c r="AG300" s="206" t="e">
        <f>VLOOKUP($F300,#REF!,35,1)</f>
        <v>#REF!</v>
      </c>
      <c r="AH300" s="206" t="e">
        <f t="shared" si="17"/>
        <v>#REF!</v>
      </c>
      <c r="AI300" s="206" t="e">
        <v>#N/A</v>
      </c>
      <c r="AJ300" s="206" t="e">
        <f>VLOOKUP($F300,#REF!,37,1)</f>
        <v>#REF!</v>
      </c>
    </row>
    <row r="301" spans="2:36" s="102" customFormat="1">
      <c r="B301" s="97"/>
      <c r="C301" s="119" t="s">
        <v>1926</v>
      </c>
      <c r="D301" s="98" t="s">
        <v>2250</v>
      </c>
      <c r="E301" s="98" t="s">
        <v>2154</v>
      </c>
      <c r="F301" s="124"/>
      <c r="G301" s="97"/>
      <c r="H301" s="97"/>
      <c r="I301" s="97"/>
      <c r="Q301" s="203"/>
      <c r="R301" s="203"/>
      <c r="S301" s="203"/>
      <c r="T301" s="203"/>
      <c r="U301" s="203"/>
      <c r="V301" s="203"/>
      <c r="W301" s="206" t="e">
        <f>VLOOKUP($F301,#REF!,16,1)</f>
        <v>#REF!</v>
      </c>
      <c r="X301" s="206" t="e">
        <f t="shared" si="18"/>
        <v>#REF!</v>
      </c>
      <c r="Y301" s="206" t="e">
        <v>#N/A</v>
      </c>
      <c r="Z301" s="206" t="e">
        <f>VLOOKUP($F301,#REF!,17,1)</f>
        <v>#REF!</v>
      </c>
      <c r="AA301" s="206" t="e">
        <f t="shared" si="19"/>
        <v>#REF!</v>
      </c>
      <c r="AB301" s="206" t="e">
        <v>#N/A</v>
      </c>
      <c r="AC301" s="206" t="e">
        <f>VLOOKUP($F301,#REF!,21,1)</f>
        <v>#REF!</v>
      </c>
      <c r="AD301" s="206" t="e">
        <f>VLOOKUP($F301,#REF!,33,1)</f>
        <v>#REF!</v>
      </c>
      <c r="AE301" s="206" t="e">
        <f t="shared" si="16"/>
        <v>#REF!</v>
      </c>
      <c r="AF301" s="206" t="e">
        <v>#N/A</v>
      </c>
      <c r="AG301" s="206" t="e">
        <f>VLOOKUP($F301,#REF!,35,1)</f>
        <v>#REF!</v>
      </c>
      <c r="AH301" s="206" t="e">
        <f t="shared" si="17"/>
        <v>#REF!</v>
      </c>
      <c r="AI301" s="206" t="e">
        <v>#N/A</v>
      </c>
      <c r="AJ301" s="206" t="e">
        <f>VLOOKUP($F301,#REF!,37,1)</f>
        <v>#REF!</v>
      </c>
    </row>
    <row r="302" spans="2:36" s="102" customFormat="1">
      <c r="B302" s="97"/>
      <c r="C302" s="119" t="s">
        <v>1926</v>
      </c>
      <c r="D302" s="98" t="s">
        <v>2250</v>
      </c>
      <c r="E302" s="98" t="s">
        <v>2154</v>
      </c>
      <c r="F302" s="124"/>
      <c r="G302" s="97"/>
      <c r="H302" s="97"/>
      <c r="I302" s="97"/>
      <c r="Q302" s="203"/>
      <c r="R302" s="203"/>
      <c r="S302" s="203"/>
      <c r="T302" s="203"/>
      <c r="U302" s="203"/>
      <c r="V302" s="203"/>
      <c r="W302" s="206" t="e">
        <f>VLOOKUP($F302,#REF!,16,1)</f>
        <v>#REF!</v>
      </c>
      <c r="X302" s="206" t="e">
        <f t="shared" si="18"/>
        <v>#REF!</v>
      </c>
      <c r="Y302" s="206" t="e">
        <v>#N/A</v>
      </c>
      <c r="Z302" s="206" t="e">
        <f>VLOOKUP($F302,#REF!,17,1)</f>
        <v>#REF!</v>
      </c>
      <c r="AA302" s="206" t="e">
        <f t="shared" si="19"/>
        <v>#REF!</v>
      </c>
      <c r="AB302" s="206" t="e">
        <v>#N/A</v>
      </c>
      <c r="AC302" s="206" t="e">
        <f>VLOOKUP($F302,#REF!,21,1)</f>
        <v>#REF!</v>
      </c>
      <c r="AD302" s="206" t="e">
        <f>VLOOKUP($F302,#REF!,33,1)</f>
        <v>#REF!</v>
      </c>
      <c r="AE302" s="206" t="e">
        <f t="shared" si="16"/>
        <v>#REF!</v>
      </c>
      <c r="AF302" s="206" t="e">
        <v>#N/A</v>
      </c>
      <c r="AG302" s="206" t="e">
        <f>VLOOKUP($F302,#REF!,35,1)</f>
        <v>#REF!</v>
      </c>
      <c r="AH302" s="206" t="e">
        <f t="shared" si="17"/>
        <v>#REF!</v>
      </c>
      <c r="AI302" s="206" t="e">
        <v>#N/A</v>
      </c>
      <c r="AJ302" s="206" t="e">
        <f>VLOOKUP($F302,#REF!,37,1)</f>
        <v>#REF!</v>
      </c>
    </row>
    <row r="303" spans="2:36" s="102" customFormat="1">
      <c r="B303" s="97"/>
      <c r="C303" s="119" t="s">
        <v>1926</v>
      </c>
      <c r="D303" s="98" t="s">
        <v>2250</v>
      </c>
      <c r="E303" s="98" t="s">
        <v>2154</v>
      </c>
      <c r="F303" s="124"/>
      <c r="G303" s="97"/>
      <c r="H303" s="97"/>
      <c r="I303" s="97"/>
      <c r="Q303" s="203"/>
      <c r="R303" s="203"/>
      <c r="S303" s="203"/>
      <c r="T303" s="203"/>
      <c r="U303" s="203"/>
      <c r="V303" s="203"/>
      <c r="W303" s="206" t="e">
        <f>VLOOKUP($F303,#REF!,16,1)</f>
        <v>#REF!</v>
      </c>
      <c r="X303" s="206" t="e">
        <f t="shared" si="18"/>
        <v>#REF!</v>
      </c>
      <c r="Y303" s="206" t="e">
        <v>#N/A</v>
      </c>
      <c r="Z303" s="206" t="e">
        <f>VLOOKUP($F303,#REF!,17,1)</f>
        <v>#REF!</v>
      </c>
      <c r="AA303" s="206" t="e">
        <f t="shared" si="19"/>
        <v>#REF!</v>
      </c>
      <c r="AB303" s="206" t="e">
        <v>#N/A</v>
      </c>
      <c r="AC303" s="206" t="e">
        <f>VLOOKUP($F303,#REF!,21,1)</f>
        <v>#REF!</v>
      </c>
      <c r="AD303" s="206" t="e">
        <f>VLOOKUP($F303,#REF!,33,1)</f>
        <v>#REF!</v>
      </c>
      <c r="AE303" s="206" t="e">
        <f t="shared" si="16"/>
        <v>#REF!</v>
      </c>
      <c r="AF303" s="206" t="e">
        <v>#N/A</v>
      </c>
      <c r="AG303" s="206" t="e">
        <f>VLOOKUP($F303,#REF!,35,1)</f>
        <v>#REF!</v>
      </c>
      <c r="AH303" s="206" t="e">
        <f t="shared" si="17"/>
        <v>#REF!</v>
      </c>
      <c r="AI303" s="206" t="e">
        <v>#N/A</v>
      </c>
      <c r="AJ303" s="206" t="e">
        <f>VLOOKUP($F303,#REF!,37,1)</f>
        <v>#REF!</v>
      </c>
    </row>
    <row r="304" spans="2:36" s="102" customFormat="1" ht="45">
      <c r="B304" s="97"/>
      <c r="C304" s="108" t="s">
        <v>1927</v>
      </c>
      <c r="D304" s="98" t="s">
        <v>2251</v>
      </c>
      <c r="E304" s="98" t="s">
        <v>2154</v>
      </c>
      <c r="F304" s="120" t="s">
        <v>2088</v>
      </c>
      <c r="G304" s="97" t="s">
        <v>1929</v>
      </c>
      <c r="H304" s="97"/>
      <c r="I304" s="97"/>
      <c r="O304" s="48" t="s">
        <v>8</v>
      </c>
      <c r="P304" s="48"/>
      <c r="Q304" s="206" t="s">
        <v>2161</v>
      </c>
      <c r="R304" s="206">
        <f>ROW(F304)</f>
        <v>304</v>
      </c>
      <c r="S304" s="206" t="str">
        <f>CONCATENATE(";","'",D304,"'!","$B$9:$AL$89",";","21",";","1",")")</f>
        <v>;'A TIC'!$B$9:$AL$89;21;1)</v>
      </c>
      <c r="T304" s="203" t="s">
        <v>2206</v>
      </c>
      <c r="U304" s="206" t="str">
        <f>CONCATENATE("=BUSCARV($E",R304,T304)</f>
        <v>=BUSCARV($E304;'A TIC'!$B$9:$AL$89;21;1)</v>
      </c>
      <c r="V304" s="206"/>
      <c r="W304" s="206" t="e">
        <f>VLOOKUP($F304,#REF!,16,1)</f>
        <v>#REF!</v>
      </c>
      <c r="X304" s="206" t="e">
        <f t="shared" si="18"/>
        <v>#REF!</v>
      </c>
      <c r="Y304" s="206">
        <v>3</v>
      </c>
      <c r="Z304" s="206" t="e">
        <f>VLOOKUP($F304,#REF!,17,1)</f>
        <v>#REF!</v>
      </c>
      <c r="AA304" s="206" t="e">
        <f t="shared" si="19"/>
        <v>#REF!</v>
      </c>
      <c r="AB304" s="206">
        <v>3</v>
      </c>
      <c r="AC304" s="206" t="e">
        <f>VLOOKUP($F304,#REF!,21,1)</f>
        <v>#REF!</v>
      </c>
      <c r="AD304" s="206" t="e">
        <f>VLOOKUP($F304,#REF!,33,1)</f>
        <v>#REF!</v>
      </c>
      <c r="AE304" s="206" t="e">
        <f t="shared" si="16"/>
        <v>#REF!</v>
      </c>
      <c r="AF304" s="206">
        <v>2</v>
      </c>
      <c r="AG304" s="206" t="e">
        <f>VLOOKUP($F304,#REF!,35,1)</f>
        <v>#REF!</v>
      </c>
      <c r="AH304" s="206" t="e">
        <f t="shared" si="17"/>
        <v>#REF!</v>
      </c>
      <c r="AI304" s="206">
        <v>3</v>
      </c>
      <c r="AJ304" s="206" t="e">
        <f>VLOOKUP($F304,#REF!,37,1)</f>
        <v>#REF!</v>
      </c>
    </row>
    <row r="305" spans="2:36" s="102" customFormat="1" ht="45">
      <c r="B305" s="97"/>
      <c r="C305" s="108" t="s">
        <v>1927</v>
      </c>
      <c r="D305" s="98" t="s">
        <v>2251</v>
      </c>
      <c r="E305" s="98" t="s">
        <v>2154</v>
      </c>
      <c r="F305" s="120" t="s">
        <v>2089</v>
      </c>
      <c r="G305" s="97" t="s">
        <v>1929</v>
      </c>
      <c r="H305" s="97"/>
      <c r="I305" s="97"/>
      <c r="J305" s="48" t="s">
        <v>8</v>
      </c>
      <c r="O305" s="48" t="s">
        <v>8</v>
      </c>
      <c r="P305" s="48"/>
      <c r="Q305" s="203"/>
      <c r="R305" s="203"/>
      <c r="S305" s="203"/>
      <c r="T305" s="203"/>
      <c r="U305" s="203"/>
      <c r="V305" s="203"/>
      <c r="W305" s="206" t="e">
        <f>VLOOKUP($F305,#REF!,16,1)</f>
        <v>#REF!</v>
      </c>
      <c r="X305" s="206" t="e">
        <f t="shared" si="18"/>
        <v>#REF!</v>
      </c>
      <c r="Y305" s="206">
        <v>4</v>
      </c>
      <c r="Z305" s="206" t="e">
        <f>VLOOKUP($F305,#REF!,17,1)</f>
        <v>#REF!</v>
      </c>
      <c r="AA305" s="206" t="e">
        <f t="shared" si="19"/>
        <v>#REF!</v>
      </c>
      <c r="AB305" s="206">
        <v>3</v>
      </c>
      <c r="AC305" s="206" t="e">
        <f>VLOOKUP($F305,#REF!,21,1)</f>
        <v>#REF!</v>
      </c>
      <c r="AD305" s="206" t="e">
        <f>VLOOKUP($F305,#REF!,33,1)</f>
        <v>#REF!</v>
      </c>
      <c r="AE305" s="206" t="e">
        <f t="shared" si="16"/>
        <v>#REF!</v>
      </c>
      <c r="AF305" s="206">
        <v>3</v>
      </c>
      <c r="AG305" s="206" t="e">
        <f>VLOOKUP($F305,#REF!,35,1)</f>
        <v>#REF!</v>
      </c>
      <c r="AH305" s="206" t="e">
        <f t="shared" si="17"/>
        <v>#REF!</v>
      </c>
      <c r="AI305" s="206">
        <v>3</v>
      </c>
      <c r="AJ305" s="206" t="e">
        <f>VLOOKUP($F305,#REF!,37,1)</f>
        <v>#REF!</v>
      </c>
    </row>
    <row r="306" spans="2:36" s="102" customFormat="1" ht="45">
      <c r="B306" s="97"/>
      <c r="C306" s="108" t="s">
        <v>1927</v>
      </c>
      <c r="D306" s="98" t="s">
        <v>2251</v>
      </c>
      <c r="E306" s="98" t="s">
        <v>2154</v>
      </c>
      <c r="F306" s="120" t="s">
        <v>2090</v>
      </c>
      <c r="G306" s="97" t="s">
        <v>1929</v>
      </c>
      <c r="H306" s="97"/>
      <c r="I306" s="97"/>
      <c r="O306" s="48" t="s">
        <v>8</v>
      </c>
      <c r="P306" s="48"/>
      <c r="Q306" s="203"/>
      <c r="R306" s="203"/>
      <c r="S306" s="203"/>
      <c r="T306" s="203"/>
      <c r="U306" s="203"/>
      <c r="V306" s="203"/>
      <c r="W306" s="206" t="e">
        <f>VLOOKUP($F306,#REF!,16,1)</f>
        <v>#REF!</v>
      </c>
      <c r="X306" s="206" t="e">
        <f t="shared" si="18"/>
        <v>#REF!</v>
      </c>
      <c r="Y306" s="206">
        <v>2</v>
      </c>
      <c r="Z306" s="206" t="e">
        <f>VLOOKUP($F306,#REF!,17,1)</f>
        <v>#REF!</v>
      </c>
      <c r="AA306" s="206" t="e">
        <f t="shared" si="19"/>
        <v>#REF!</v>
      </c>
      <c r="AB306" s="206">
        <v>4</v>
      </c>
      <c r="AC306" s="206" t="e">
        <f>VLOOKUP($F306,#REF!,21,1)</f>
        <v>#REF!</v>
      </c>
      <c r="AD306" s="206" t="e">
        <f>VLOOKUP($F306,#REF!,33,1)</f>
        <v>#REF!</v>
      </c>
      <c r="AE306" s="206" t="e">
        <f t="shared" si="16"/>
        <v>#REF!</v>
      </c>
      <c r="AF306" s="206">
        <v>1</v>
      </c>
      <c r="AG306" s="206" t="e">
        <f>VLOOKUP($F306,#REF!,35,1)</f>
        <v>#REF!</v>
      </c>
      <c r="AH306" s="206" t="e">
        <f t="shared" si="17"/>
        <v>#REF!</v>
      </c>
      <c r="AI306" s="206">
        <v>2</v>
      </c>
      <c r="AJ306" s="206" t="e">
        <f>VLOOKUP($F306,#REF!,37,1)</f>
        <v>#REF!</v>
      </c>
    </row>
    <row r="307" spans="2:36" s="102" customFormat="1" ht="45">
      <c r="B307" s="97"/>
      <c r="C307" s="108" t="s">
        <v>1927</v>
      </c>
      <c r="D307" s="98" t="s">
        <v>2251</v>
      </c>
      <c r="E307" s="98" t="s">
        <v>2154</v>
      </c>
      <c r="F307" s="120" t="s">
        <v>2091</v>
      </c>
      <c r="G307" s="97" t="s">
        <v>1929</v>
      </c>
      <c r="H307" s="97"/>
      <c r="I307" s="97"/>
      <c r="Q307" s="203"/>
      <c r="R307" s="203"/>
      <c r="S307" s="203"/>
      <c r="T307" s="203"/>
      <c r="U307" s="203"/>
      <c r="V307" s="203"/>
      <c r="W307" s="206" t="e">
        <f>VLOOKUP($F307,#REF!,16,1)</f>
        <v>#REF!</v>
      </c>
      <c r="X307" s="206" t="e">
        <f t="shared" si="18"/>
        <v>#REF!</v>
      </c>
      <c r="Y307" s="206">
        <v>1</v>
      </c>
      <c r="Z307" s="206" t="e">
        <f>VLOOKUP($F307,#REF!,17,1)</f>
        <v>#REF!</v>
      </c>
      <c r="AA307" s="206" t="e">
        <f t="shared" si="19"/>
        <v>#REF!</v>
      </c>
      <c r="AB307" s="206">
        <v>1</v>
      </c>
      <c r="AC307" s="206" t="e">
        <f>VLOOKUP($F307,#REF!,21,1)</f>
        <v>#REF!</v>
      </c>
      <c r="AD307" s="206" t="e">
        <f>VLOOKUP($F307,#REF!,33,1)</f>
        <v>#REF!</v>
      </c>
      <c r="AE307" s="206" t="e">
        <f t="shared" si="16"/>
        <v>#REF!</v>
      </c>
      <c r="AF307" s="206">
        <v>1</v>
      </c>
      <c r="AG307" s="206" t="e">
        <f>VLOOKUP($F307,#REF!,35,1)</f>
        <v>#REF!</v>
      </c>
      <c r="AH307" s="206" t="e">
        <f t="shared" si="17"/>
        <v>#REF!</v>
      </c>
      <c r="AI307" s="206">
        <v>1</v>
      </c>
      <c r="AJ307" s="206" t="e">
        <f>VLOOKUP($F307,#REF!,37,1)</f>
        <v>#REF!</v>
      </c>
    </row>
    <row r="308" spans="2:36" s="102" customFormat="1" ht="45">
      <c r="B308" s="97"/>
      <c r="C308" s="108" t="s">
        <v>1927</v>
      </c>
      <c r="D308" s="98" t="s">
        <v>2251</v>
      </c>
      <c r="E308" s="98" t="s">
        <v>2154</v>
      </c>
      <c r="F308" s="120" t="s">
        <v>2131</v>
      </c>
      <c r="G308" s="97" t="s">
        <v>1929</v>
      </c>
      <c r="H308" s="97"/>
      <c r="I308" s="97"/>
      <c r="O308" s="48" t="s">
        <v>8</v>
      </c>
      <c r="P308" s="48"/>
      <c r="Q308" s="203"/>
      <c r="R308" s="203"/>
      <c r="S308" s="203"/>
      <c r="T308" s="203"/>
      <c r="U308" s="203"/>
      <c r="V308" s="203"/>
      <c r="W308" s="206" t="e">
        <f>VLOOKUP($F308,#REF!,16,1)</f>
        <v>#REF!</v>
      </c>
      <c r="X308" s="206" t="e">
        <f t="shared" si="18"/>
        <v>#REF!</v>
      </c>
      <c r="Y308" s="206">
        <v>1</v>
      </c>
      <c r="Z308" s="206" t="e">
        <f>VLOOKUP($F308,#REF!,17,1)</f>
        <v>#REF!</v>
      </c>
      <c r="AA308" s="206" t="e">
        <f t="shared" si="19"/>
        <v>#REF!</v>
      </c>
      <c r="AB308" s="206">
        <v>1</v>
      </c>
      <c r="AC308" s="206" t="e">
        <f>VLOOKUP($F308,#REF!,21,1)</f>
        <v>#REF!</v>
      </c>
      <c r="AD308" s="206" t="e">
        <f>VLOOKUP($F308,#REF!,33,1)</f>
        <v>#REF!</v>
      </c>
      <c r="AE308" s="206" t="e">
        <f t="shared" si="16"/>
        <v>#REF!</v>
      </c>
      <c r="AF308" s="206">
        <v>1</v>
      </c>
      <c r="AG308" s="206" t="e">
        <f>VLOOKUP($F308,#REF!,35,1)</f>
        <v>#REF!</v>
      </c>
      <c r="AH308" s="206" t="e">
        <f t="shared" si="17"/>
        <v>#REF!</v>
      </c>
      <c r="AI308" s="206">
        <v>1</v>
      </c>
      <c r="AJ308" s="206" t="e">
        <f>VLOOKUP($F308,#REF!,37,1)</f>
        <v>#REF!</v>
      </c>
    </row>
    <row r="309" spans="2:36" s="102" customFormat="1" ht="45">
      <c r="B309" s="97"/>
      <c r="C309" s="108" t="s">
        <v>1927</v>
      </c>
      <c r="D309" s="98" t="s">
        <v>2251</v>
      </c>
      <c r="E309" s="98" t="s">
        <v>2154</v>
      </c>
      <c r="F309" s="120" t="s">
        <v>2132</v>
      </c>
      <c r="G309" s="97" t="s">
        <v>1929</v>
      </c>
      <c r="H309" s="97"/>
      <c r="I309" s="97"/>
      <c r="O309" s="48" t="s">
        <v>8</v>
      </c>
      <c r="P309" s="48"/>
      <c r="Q309" s="203"/>
      <c r="R309" s="203"/>
      <c r="S309" s="203"/>
      <c r="T309" s="203"/>
      <c r="U309" s="203"/>
      <c r="V309" s="203"/>
      <c r="W309" s="206" t="e">
        <f>VLOOKUP($F309,#REF!,16,1)</f>
        <v>#REF!</v>
      </c>
      <c r="X309" s="206" t="e">
        <f t="shared" si="18"/>
        <v>#REF!</v>
      </c>
      <c r="Y309" s="206">
        <v>1</v>
      </c>
      <c r="Z309" s="206" t="e">
        <f>VLOOKUP($F309,#REF!,17,1)</f>
        <v>#REF!</v>
      </c>
      <c r="AA309" s="206" t="e">
        <f t="shared" si="19"/>
        <v>#REF!</v>
      </c>
      <c r="AB309" s="206">
        <v>1</v>
      </c>
      <c r="AC309" s="206" t="e">
        <f>VLOOKUP($F309,#REF!,21,1)</f>
        <v>#REF!</v>
      </c>
      <c r="AD309" s="206" t="e">
        <f>VLOOKUP($F309,#REF!,33,1)</f>
        <v>#REF!</v>
      </c>
      <c r="AE309" s="206" t="e">
        <f t="shared" si="16"/>
        <v>#REF!</v>
      </c>
      <c r="AF309" s="206">
        <v>1</v>
      </c>
      <c r="AG309" s="206" t="e">
        <f>VLOOKUP($F309,#REF!,35,1)</f>
        <v>#REF!</v>
      </c>
      <c r="AH309" s="206" t="e">
        <f t="shared" si="17"/>
        <v>#REF!</v>
      </c>
      <c r="AI309" s="206">
        <v>1</v>
      </c>
      <c r="AJ309" s="206" t="e">
        <f>VLOOKUP($F309,#REF!,37,1)</f>
        <v>#REF!</v>
      </c>
    </row>
    <row r="310" spans="2:36" s="102" customFormat="1" ht="45">
      <c r="B310" s="97"/>
      <c r="C310" s="108" t="s">
        <v>1927</v>
      </c>
      <c r="D310" s="98" t="s">
        <v>2251</v>
      </c>
      <c r="E310" s="98" t="s">
        <v>2154</v>
      </c>
      <c r="F310" s="120" t="s">
        <v>2133</v>
      </c>
      <c r="G310" s="97" t="s">
        <v>1929</v>
      </c>
      <c r="H310" s="97"/>
      <c r="I310" s="97"/>
      <c r="O310" s="48" t="s">
        <v>8</v>
      </c>
      <c r="P310" s="48"/>
      <c r="Q310" s="203"/>
      <c r="R310" s="203"/>
      <c r="S310" s="203"/>
      <c r="T310" s="203"/>
      <c r="U310" s="203"/>
      <c r="V310" s="203"/>
      <c r="W310" s="206" t="e">
        <f>VLOOKUP($F310,#REF!,16,1)</f>
        <v>#REF!</v>
      </c>
      <c r="X310" s="206" t="e">
        <f t="shared" si="18"/>
        <v>#REF!</v>
      </c>
      <c r="Y310" s="206">
        <v>1</v>
      </c>
      <c r="Z310" s="206" t="e">
        <f>VLOOKUP($F310,#REF!,17,1)</f>
        <v>#REF!</v>
      </c>
      <c r="AA310" s="206" t="e">
        <f t="shared" si="19"/>
        <v>#REF!</v>
      </c>
      <c r="AB310" s="206">
        <v>1</v>
      </c>
      <c r="AC310" s="206" t="e">
        <f>VLOOKUP($F310,#REF!,21,1)</f>
        <v>#REF!</v>
      </c>
      <c r="AD310" s="206" t="e">
        <f>VLOOKUP($F310,#REF!,33,1)</f>
        <v>#REF!</v>
      </c>
      <c r="AE310" s="206" t="e">
        <f t="shared" si="16"/>
        <v>#REF!</v>
      </c>
      <c r="AF310" s="206">
        <v>1</v>
      </c>
      <c r="AG310" s="206" t="e">
        <f>VLOOKUP($F310,#REF!,35,1)</f>
        <v>#REF!</v>
      </c>
      <c r="AH310" s="206" t="e">
        <f t="shared" si="17"/>
        <v>#REF!</v>
      </c>
      <c r="AI310" s="206">
        <v>1</v>
      </c>
      <c r="AJ310" s="206" t="e">
        <f>VLOOKUP($F310,#REF!,37,1)</f>
        <v>#REF!</v>
      </c>
    </row>
    <row r="311" spans="2:36" s="102" customFormat="1" ht="45">
      <c r="B311" s="97"/>
      <c r="C311" s="108" t="s">
        <v>1927</v>
      </c>
      <c r="D311" s="98" t="s">
        <v>2251</v>
      </c>
      <c r="E311" s="98" t="s">
        <v>2154</v>
      </c>
      <c r="F311" s="120" t="s">
        <v>2134</v>
      </c>
      <c r="G311" s="97" t="s">
        <v>1929</v>
      </c>
      <c r="H311" s="97"/>
      <c r="I311" s="97"/>
      <c r="O311" s="48" t="s">
        <v>8</v>
      </c>
      <c r="P311" s="48"/>
      <c r="Q311" s="203"/>
      <c r="R311" s="203"/>
      <c r="S311" s="203"/>
      <c r="T311" s="203"/>
      <c r="U311" s="203"/>
      <c r="V311" s="203"/>
      <c r="W311" s="206" t="e">
        <f>VLOOKUP($F311,#REF!,16,1)</f>
        <v>#REF!</v>
      </c>
      <c r="X311" s="206" t="e">
        <f t="shared" si="18"/>
        <v>#REF!</v>
      </c>
      <c r="Y311" s="206">
        <v>1</v>
      </c>
      <c r="Z311" s="206" t="e">
        <f>VLOOKUP($F311,#REF!,17,1)</f>
        <v>#REF!</v>
      </c>
      <c r="AA311" s="206" t="e">
        <f t="shared" si="19"/>
        <v>#REF!</v>
      </c>
      <c r="AB311" s="206">
        <v>1</v>
      </c>
      <c r="AC311" s="206" t="e">
        <f>VLOOKUP($F311,#REF!,21,1)</f>
        <v>#REF!</v>
      </c>
      <c r="AD311" s="206" t="e">
        <f>VLOOKUP($F311,#REF!,33,1)</f>
        <v>#REF!</v>
      </c>
      <c r="AE311" s="206" t="e">
        <f t="shared" si="16"/>
        <v>#REF!</v>
      </c>
      <c r="AF311" s="206">
        <v>1</v>
      </c>
      <c r="AG311" s="206" t="e">
        <f>VLOOKUP($F311,#REF!,35,1)</f>
        <v>#REF!</v>
      </c>
      <c r="AH311" s="206" t="e">
        <f t="shared" si="17"/>
        <v>#REF!</v>
      </c>
      <c r="AI311" s="206">
        <v>1</v>
      </c>
      <c r="AJ311" s="206" t="e">
        <f>VLOOKUP($F311,#REF!,37,1)</f>
        <v>#REF!</v>
      </c>
    </row>
    <row r="312" spans="2:36" s="102" customFormat="1" ht="45">
      <c r="B312" s="97"/>
      <c r="C312" s="108" t="s">
        <v>1927</v>
      </c>
      <c r="D312" s="98" t="s">
        <v>2251</v>
      </c>
      <c r="E312" s="98" t="s">
        <v>2154</v>
      </c>
      <c r="F312" s="120" t="s">
        <v>2135</v>
      </c>
      <c r="G312" s="97" t="s">
        <v>1929</v>
      </c>
      <c r="H312" s="97"/>
      <c r="I312" s="97"/>
      <c r="O312" s="48" t="s">
        <v>8</v>
      </c>
      <c r="P312" s="48"/>
      <c r="Q312" s="203"/>
      <c r="R312" s="203"/>
      <c r="S312" s="203"/>
      <c r="T312" s="203"/>
      <c r="U312" s="203"/>
      <c r="V312" s="203"/>
      <c r="W312" s="206" t="e">
        <f>VLOOKUP($F312,#REF!,16,1)</f>
        <v>#REF!</v>
      </c>
      <c r="X312" s="206" t="e">
        <f t="shared" si="18"/>
        <v>#REF!</v>
      </c>
      <c r="Y312" s="206">
        <v>1</v>
      </c>
      <c r="Z312" s="206" t="e">
        <f>VLOOKUP($F312,#REF!,17,1)</f>
        <v>#REF!</v>
      </c>
      <c r="AA312" s="206" t="e">
        <f t="shared" si="19"/>
        <v>#REF!</v>
      </c>
      <c r="AB312" s="206">
        <v>1</v>
      </c>
      <c r="AC312" s="206" t="e">
        <f>VLOOKUP($F312,#REF!,21,1)</f>
        <v>#REF!</v>
      </c>
      <c r="AD312" s="206" t="e">
        <f>VLOOKUP($F312,#REF!,33,1)</f>
        <v>#REF!</v>
      </c>
      <c r="AE312" s="206" t="e">
        <f t="shared" si="16"/>
        <v>#REF!</v>
      </c>
      <c r="AF312" s="206">
        <v>1</v>
      </c>
      <c r="AG312" s="206" t="e">
        <f>VLOOKUP($F312,#REF!,35,1)</f>
        <v>#REF!</v>
      </c>
      <c r="AH312" s="206" t="e">
        <f t="shared" si="17"/>
        <v>#REF!</v>
      </c>
      <c r="AI312" s="206">
        <v>1</v>
      </c>
      <c r="AJ312" s="206" t="e">
        <f>VLOOKUP($F312,#REF!,37,1)</f>
        <v>#REF!</v>
      </c>
    </row>
    <row r="313" spans="2:36" s="102" customFormat="1" ht="45">
      <c r="B313" s="97"/>
      <c r="C313" s="108" t="s">
        <v>1927</v>
      </c>
      <c r="D313" s="98" t="s">
        <v>2251</v>
      </c>
      <c r="E313" s="98" t="s">
        <v>2154</v>
      </c>
      <c r="F313" s="120" t="s">
        <v>2136</v>
      </c>
      <c r="G313" s="97" t="s">
        <v>1929</v>
      </c>
      <c r="H313" s="97"/>
      <c r="I313" s="97"/>
      <c r="O313" s="48" t="s">
        <v>8</v>
      </c>
      <c r="P313" s="48"/>
      <c r="Q313" s="203"/>
      <c r="R313" s="203"/>
      <c r="S313" s="203"/>
      <c r="T313" s="203"/>
      <c r="U313" s="203"/>
      <c r="V313" s="203"/>
      <c r="W313" s="206" t="e">
        <f>VLOOKUP($F313,#REF!,16,1)</f>
        <v>#REF!</v>
      </c>
      <c r="X313" s="206" t="e">
        <f t="shared" si="18"/>
        <v>#REF!</v>
      </c>
      <c r="Y313" s="206">
        <v>1</v>
      </c>
      <c r="Z313" s="206" t="e">
        <f>VLOOKUP($F313,#REF!,17,1)</f>
        <v>#REF!</v>
      </c>
      <c r="AA313" s="206" t="e">
        <f t="shared" si="19"/>
        <v>#REF!</v>
      </c>
      <c r="AB313" s="206">
        <v>1</v>
      </c>
      <c r="AC313" s="206" t="e">
        <f>VLOOKUP($F313,#REF!,21,1)</f>
        <v>#REF!</v>
      </c>
      <c r="AD313" s="206" t="e">
        <f>VLOOKUP($F313,#REF!,33,1)</f>
        <v>#REF!</v>
      </c>
      <c r="AE313" s="206" t="e">
        <f t="shared" si="16"/>
        <v>#REF!</v>
      </c>
      <c r="AF313" s="206">
        <v>1</v>
      </c>
      <c r="AG313" s="206" t="e">
        <f>VLOOKUP($F313,#REF!,35,1)</f>
        <v>#REF!</v>
      </c>
      <c r="AH313" s="206" t="e">
        <f t="shared" si="17"/>
        <v>#REF!</v>
      </c>
      <c r="AI313" s="206">
        <v>1</v>
      </c>
      <c r="AJ313" s="206" t="e">
        <f>VLOOKUP($F313,#REF!,37,1)</f>
        <v>#REF!</v>
      </c>
    </row>
    <row r="314" spans="2:36" s="102" customFormat="1" ht="45">
      <c r="B314" s="97"/>
      <c r="C314" s="108" t="s">
        <v>1927</v>
      </c>
      <c r="D314" s="98" t="s">
        <v>2251</v>
      </c>
      <c r="E314" s="98" t="s">
        <v>2154</v>
      </c>
      <c r="F314" s="120" t="s">
        <v>2137</v>
      </c>
      <c r="G314" s="97" t="s">
        <v>1929</v>
      </c>
      <c r="H314" s="97"/>
      <c r="I314" s="97"/>
      <c r="O314" s="48" t="s">
        <v>8</v>
      </c>
      <c r="P314" s="48"/>
      <c r="Q314" s="203"/>
      <c r="R314" s="203"/>
      <c r="S314" s="203"/>
      <c r="T314" s="203"/>
      <c r="U314" s="203"/>
      <c r="V314" s="203"/>
      <c r="W314" s="206" t="e">
        <f>VLOOKUP($F314,#REF!,16,1)</f>
        <v>#REF!</v>
      </c>
      <c r="X314" s="206" t="e">
        <f t="shared" si="18"/>
        <v>#REF!</v>
      </c>
      <c r="Y314" s="206">
        <v>1</v>
      </c>
      <c r="Z314" s="206" t="e">
        <f>VLOOKUP($F314,#REF!,17,1)</f>
        <v>#REF!</v>
      </c>
      <c r="AA314" s="206" t="e">
        <f t="shared" si="19"/>
        <v>#REF!</v>
      </c>
      <c r="AB314" s="206">
        <v>1</v>
      </c>
      <c r="AC314" s="206" t="e">
        <f>VLOOKUP($F314,#REF!,21,1)</f>
        <v>#REF!</v>
      </c>
      <c r="AD314" s="206" t="e">
        <f>VLOOKUP($F314,#REF!,33,1)</f>
        <v>#REF!</v>
      </c>
      <c r="AE314" s="206" t="e">
        <f t="shared" si="16"/>
        <v>#REF!</v>
      </c>
      <c r="AF314" s="206">
        <v>1</v>
      </c>
      <c r="AG314" s="206" t="e">
        <f>VLOOKUP($F314,#REF!,35,1)</f>
        <v>#REF!</v>
      </c>
      <c r="AH314" s="206" t="e">
        <f t="shared" si="17"/>
        <v>#REF!</v>
      </c>
      <c r="AI314" s="206">
        <v>1</v>
      </c>
      <c r="AJ314" s="206" t="e">
        <f>VLOOKUP($F314,#REF!,37,1)</f>
        <v>#REF!</v>
      </c>
    </row>
    <row r="315" spans="2:36" s="102" customFormat="1" ht="45">
      <c r="B315" s="97"/>
      <c r="C315" s="108" t="s">
        <v>1927</v>
      </c>
      <c r="D315" s="98" t="s">
        <v>2251</v>
      </c>
      <c r="E315" s="98" t="s">
        <v>2154</v>
      </c>
      <c r="F315" s="120" t="s">
        <v>2138</v>
      </c>
      <c r="G315" s="97" t="s">
        <v>1929</v>
      </c>
      <c r="H315" s="97"/>
      <c r="I315" s="97"/>
      <c r="O315" s="48" t="s">
        <v>8</v>
      </c>
      <c r="P315" s="48"/>
      <c r="Q315" s="203"/>
      <c r="R315" s="203"/>
      <c r="S315" s="203"/>
      <c r="T315" s="203"/>
      <c r="U315" s="203"/>
      <c r="V315" s="203"/>
      <c r="W315" s="206" t="e">
        <f>VLOOKUP($F315,#REF!,16,1)</f>
        <v>#REF!</v>
      </c>
      <c r="X315" s="206" t="e">
        <f t="shared" si="18"/>
        <v>#REF!</v>
      </c>
      <c r="Y315" s="206">
        <v>1</v>
      </c>
      <c r="Z315" s="206" t="e">
        <f>VLOOKUP($F315,#REF!,17,1)</f>
        <v>#REF!</v>
      </c>
      <c r="AA315" s="206" t="e">
        <f t="shared" si="19"/>
        <v>#REF!</v>
      </c>
      <c r="AB315" s="206">
        <v>1</v>
      </c>
      <c r="AC315" s="206" t="e">
        <f>VLOOKUP($F315,#REF!,21,1)</f>
        <v>#REF!</v>
      </c>
      <c r="AD315" s="206" t="e">
        <f>VLOOKUP($F315,#REF!,33,1)</f>
        <v>#REF!</v>
      </c>
      <c r="AE315" s="206" t="e">
        <f t="shared" si="16"/>
        <v>#REF!</v>
      </c>
      <c r="AF315" s="206">
        <v>1</v>
      </c>
      <c r="AG315" s="206" t="e">
        <f>VLOOKUP($F315,#REF!,35,1)</f>
        <v>#REF!</v>
      </c>
      <c r="AH315" s="206" t="e">
        <f t="shared" si="17"/>
        <v>#REF!</v>
      </c>
      <c r="AI315" s="206">
        <v>1</v>
      </c>
      <c r="AJ315" s="206" t="e">
        <f>VLOOKUP($F315,#REF!,37,1)</f>
        <v>#REF!</v>
      </c>
    </row>
    <row r="316" spans="2:36" s="102" customFormat="1" ht="45">
      <c r="B316" s="97"/>
      <c r="C316" s="108" t="s">
        <v>1927</v>
      </c>
      <c r="D316" s="98" t="s">
        <v>2251</v>
      </c>
      <c r="E316" s="98" t="s">
        <v>2154</v>
      </c>
      <c r="F316" s="124"/>
      <c r="G316" s="97"/>
      <c r="H316" s="97"/>
      <c r="I316" s="97"/>
      <c r="Q316" s="203"/>
      <c r="R316" s="203"/>
      <c r="S316" s="203"/>
      <c r="T316" s="203"/>
      <c r="U316" s="203"/>
      <c r="V316" s="203"/>
      <c r="W316" s="206" t="e">
        <f>VLOOKUP($F316,#REF!,16,1)</f>
        <v>#REF!</v>
      </c>
      <c r="X316" s="206" t="e">
        <f t="shared" si="18"/>
        <v>#REF!</v>
      </c>
      <c r="Y316" s="206" t="e">
        <v>#N/A</v>
      </c>
      <c r="Z316" s="206" t="e">
        <f>VLOOKUP($F316,#REF!,17,1)</f>
        <v>#REF!</v>
      </c>
      <c r="AA316" s="206" t="e">
        <f t="shared" si="19"/>
        <v>#REF!</v>
      </c>
      <c r="AB316" s="206" t="e">
        <v>#N/A</v>
      </c>
      <c r="AC316" s="206" t="e">
        <f>VLOOKUP($F316,#REF!,21,1)</f>
        <v>#REF!</v>
      </c>
      <c r="AD316" s="206" t="e">
        <f>VLOOKUP($F316,#REF!,33,1)</f>
        <v>#REF!</v>
      </c>
      <c r="AE316" s="206" t="e">
        <f t="shared" si="16"/>
        <v>#REF!</v>
      </c>
      <c r="AF316" s="206" t="e">
        <v>#N/A</v>
      </c>
      <c r="AG316" s="206" t="e">
        <f>VLOOKUP($F316,#REF!,35,1)</f>
        <v>#REF!</v>
      </c>
      <c r="AH316" s="206" t="e">
        <f t="shared" si="17"/>
        <v>#REF!</v>
      </c>
      <c r="AI316" s="206" t="e">
        <v>#N/A</v>
      </c>
      <c r="AJ316" s="206" t="e">
        <f>VLOOKUP($F316,#REF!,37,1)</f>
        <v>#REF!</v>
      </c>
    </row>
    <row r="317" spans="2:36" s="102" customFormat="1" ht="45">
      <c r="B317" s="97"/>
      <c r="C317" s="108" t="s">
        <v>1927</v>
      </c>
      <c r="D317" s="98" t="s">
        <v>2251</v>
      </c>
      <c r="E317" s="98" t="s">
        <v>2154</v>
      </c>
      <c r="F317" s="124"/>
      <c r="G317" s="97"/>
      <c r="H317" s="97"/>
      <c r="I317" s="97"/>
      <c r="Q317" s="203"/>
      <c r="R317" s="203"/>
      <c r="S317" s="203"/>
      <c r="T317" s="203"/>
      <c r="U317" s="203"/>
      <c r="V317" s="203"/>
      <c r="W317" s="206" t="e">
        <f>VLOOKUP($F317,#REF!,16,1)</f>
        <v>#REF!</v>
      </c>
      <c r="X317" s="206" t="e">
        <f t="shared" si="18"/>
        <v>#REF!</v>
      </c>
      <c r="Y317" s="206" t="e">
        <v>#N/A</v>
      </c>
      <c r="Z317" s="206" t="e">
        <f>VLOOKUP($F317,#REF!,17,1)</f>
        <v>#REF!</v>
      </c>
      <c r="AA317" s="206" t="e">
        <f t="shared" si="19"/>
        <v>#REF!</v>
      </c>
      <c r="AB317" s="206" t="e">
        <v>#N/A</v>
      </c>
      <c r="AC317" s="206" t="e">
        <f>VLOOKUP($F317,#REF!,21,1)</f>
        <v>#REF!</v>
      </c>
      <c r="AD317" s="206" t="e">
        <f>VLOOKUP($F317,#REF!,33,1)</f>
        <v>#REF!</v>
      </c>
      <c r="AE317" s="206" t="e">
        <f t="shared" si="16"/>
        <v>#REF!</v>
      </c>
      <c r="AF317" s="206" t="e">
        <v>#N/A</v>
      </c>
      <c r="AG317" s="206" t="e">
        <f>VLOOKUP($F317,#REF!,35,1)</f>
        <v>#REF!</v>
      </c>
      <c r="AH317" s="206" t="e">
        <f t="shared" si="17"/>
        <v>#REF!</v>
      </c>
      <c r="AI317" s="206" t="e">
        <v>#N/A</v>
      </c>
      <c r="AJ317" s="206" t="e">
        <f>VLOOKUP($F317,#REF!,37,1)</f>
        <v>#REF!</v>
      </c>
    </row>
    <row r="318" spans="2:36" s="102" customFormat="1" ht="45">
      <c r="B318" s="97"/>
      <c r="C318" s="108" t="s">
        <v>1927</v>
      </c>
      <c r="D318" s="98" t="s">
        <v>2251</v>
      </c>
      <c r="E318" s="98" t="s">
        <v>2154</v>
      </c>
      <c r="F318" s="124"/>
      <c r="G318" s="97"/>
      <c r="H318" s="97"/>
      <c r="I318" s="97"/>
      <c r="Q318" s="203"/>
      <c r="R318" s="203"/>
      <c r="S318" s="203"/>
      <c r="T318" s="203"/>
      <c r="U318" s="203"/>
      <c r="V318" s="203"/>
      <c r="W318" s="206" t="e">
        <f>VLOOKUP($F318,#REF!,16,1)</f>
        <v>#REF!</v>
      </c>
      <c r="X318" s="206" t="e">
        <f t="shared" si="18"/>
        <v>#REF!</v>
      </c>
      <c r="Y318" s="206" t="e">
        <v>#N/A</v>
      </c>
      <c r="Z318" s="206" t="e">
        <f>VLOOKUP($F318,#REF!,17,1)</f>
        <v>#REF!</v>
      </c>
      <c r="AA318" s="206" t="e">
        <f t="shared" si="19"/>
        <v>#REF!</v>
      </c>
      <c r="AB318" s="206" t="e">
        <v>#N/A</v>
      </c>
      <c r="AC318" s="206" t="e">
        <f>VLOOKUP($F318,#REF!,21,1)</f>
        <v>#REF!</v>
      </c>
      <c r="AD318" s="206" t="e">
        <f>VLOOKUP($F318,#REF!,33,1)</f>
        <v>#REF!</v>
      </c>
      <c r="AE318" s="206" t="e">
        <f t="shared" si="16"/>
        <v>#REF!</v>
      </c>
      <c r="AF318" s="206" t="e">
        <v>#N/A</v>
      </c>
      <c r="AG318" s="206" t="e">
        <f>VLOOKUP($F318,#REF!,35,1)</f>
        <v>#REF!</v>
      </c>
      <c r="AH318" s="206" t="e">
        <f t="shared" si="17"/>
        <v>#REF!</v>
      </c>
      <c r="AI318" s="206" t="e">
        <v>#N/A</v>
      </c>
      <c r="AJ318" s="206" t="e">
        <f>VLOOKUP($F318,#REF!,37,1)</f>
        <v>#REF!</v>
      </c>
    </row>
    <row r="319" spans="2:36" s="102" customFormat="1" ht="22.5">
      <c r="B319" s="97"/>
      <c r="C319" s="99" t="s">
        <v>1928</v>
      </c>
      <c r="D319" s="98" t="s">
        <v>2252</v>
      </c>
      <c r="E319" s="98" t="s">
        <v>2154</v>
      </c>
      <c r="F319" s="120" t="s">
        <v>2101</v>
      </c>
      <c r="G319" s="97" t="s">
        <v>1929</v>
      </c>
      <c r="H319" s="97"/>
      <c r="I319" s="97"/>
      <c r="J319" s="48" t="s">
        <v>8</v>
      </c>
      <c r="Q319" s="206" t="s">
        <v>2161</v>
      </c>
      <c r="R319" s="206">
        <f>ROW(F319)</f>
        <v>319</v>
      </c>
      <c r="S319" s="206" t="str">
        <f>CONCATENATE(";","'",D319,"'!","$B$9:$AL$89",";","21",";","1",")")</f>
        <v>;'M VALORIZACION'!$B$9:$AL$89;21;1)</v>
      </c>
      <c r="T319" s="203" t="s">
        <v>2207</v>
      </c>
      <c r="U319" s="206" t="str">
        <f>CONCATENATE("=BUSCARV($E",R319,T319)</f>
        <v>=BUSCARV($E319;'M VALORIZACION'!$B$9:$AL$89;21;1)</v>
      </c>
      <c r="V319" s="206"/>
      <c r="W319" s="206" t="e">
        <f>VLOOKUP($F319,#REF!,16,1)</f>
        <v>#REF!</v>
      </c>
      <c r="X319" s="206" t="e">
        <f t="shared" si="18"/>
        <v>#REF!</v>
      </c>
      <c r="Y319" s="206">
        <v>2</v>
      </c>
      <c r="Z319" s="206" t="e">
        <f>VLOOKUP($F319,#REF!,17,1)</f>
        <v>#REF!</v>
      </c>
      <c r="AA319" s="206" t="e">
        <f t="shared" si="19"/>
        <v>#REF!</v>
      </c>
      <c r="AB319" s="206">
        <v>4</v>
      </c>
      <c r="AC319" s="206" t="e">
        <f>VLOOKUP($F319,#REF!,21,1)</f>
        <v>#REF!</v>
      </c>
      <c r="AD319" s="206" t="e">
        <f>VLOOKUP($F319,#REF!,33,1)</f>
        <v>#REF!</v>
      </c>
      <c r="AE319" s="206" t="e">
        <f t="shared" si="16"/>
        <v>#REF!</v>
      </c>
      <c r="AF319" s="206">
        <v>1</v>
      </c>
      <c r="AG319" s="206" t="e">
        <f>VLOOKUP($F319,#REF!,35,1)</f>
        <v>#REF!</v>
      </c>
      <c r="AH319" s="206" t="e">
        <f t="shared" si="17"/>
        <v>#REF!</v>
      </c>
      <c r="AI319" s="206">
        <v>2</v>
      </c>
      <c r="AJ319" s="206" t="e">
        <f>VLOOKUP($F319,#REF!,37,1)</f>
        <v>#REF!</v>
      </c>
    </row>
    <row r="320" spans="2:36" s="102" customFormat="1" ht="22.5">
      <c r="B320" s="97"/>
      <c r="C320" s="99" t="s">
        <v>1928</v>
      </c>
      <c r="D320" s="98" t="s">
        <v>2252</v>
      </c>
      <c r="E320" s="98" t="s">
        <v>2154</v>
      </c>
      <c r="F320" s="120" t="s">
        <v>2102</v>
      </c>
      <c r="G320" s="97" t="s">
        <v>1929</v>
      </c>
      <c r="H320" s="97"/>
      <c r="I320" s="97"/>
      <c r="M320" s="48" t="s">
        <v>8</v>
      </c>
      <c r="Q320" s="203"/>
      <c r="R320" s="203"/>
      <c r="S320" s="203"/>
      <c r="T320" s="203"/>
      <c r="U320" s="203"/>
      <c r="V320" s="203"/>
      <c r="W320" s="206" t="e">
        <f>VLOOKUP($F320,#REF!,16,1)</f>
        <v>#REF!</v>
      </c>
      <c r="X320" s="206" t="e">
        <f t="shared" si="18"/>
        <v>#REF!</v>
      </c>
      <c r="Y320" s="206">
        <v>1</v>
      </c>
      <c r="Z320" s="206" t="e">
        <f>VLOOKUP($F320,#REF!,17,1)</f>
        <v>#REF!</v>
      </c>
      <c r="AA320" s="206" t="e">
        <f t="shared" si="19"/>
        <v>#REF!</v>
      </c>
      <c r="AB320" s="206">
        <v>4</v>
      </c>
      <c r="AC320" s="206" t="e">
        <f>VLOOKUP($F320,#REF!,21,1)</f>
        <v>#REF!</v>
      </c>
      <c r="AD320" s="206" t="e">
        <f>VLOOKUP($F320,#REF!,33,1)</f>
        <v>#REF!</v>
      </c>
      <c r="AE320" s="206" t="e">
        <f t="shared" si="16"/>
        <v>#REF!</v>
      </c>
      <c r="AF320" s="206">
        <v>1</v>
      </c>
      <c r="AG320" s="206" t="e">
        <f>VLOOKUP($F320,#REF!,35,1)</f>
        <v>#REF!</v>
      </c>
      <c r="AH320" s="206" t="e">
        <f t="shared" si="17"/>
        <v>#REF!</v>
      </c>
      <c r="AI320" s="206">
        <v>1</v>
      </c>
      <c r="AJ320" s="206" t="e">
        <f>VLOOKUP($F320,#REF!,37,1)</f>
        <v>#REF!</v>
      </c>
    </row>
    <row r="321" spans="2:36" s="102" customFormat="1" ht="22.5">
      <c r="B321" s="97"/>
      <c r="C321" s="99" t="s">
        <v>1928</v>
      </c>
      <c r="D321" s="98" t="s">
        <v>2252</v>
      </c>
      <c r="E321" s="98" t="s">
        <v>2154</v>
      </c>
      <c r="F321" s="120" t="s">
        <v>2139</v>
      </c>
      <c r="G321" s="97" t="s">
        <v>1930</v>
      </c>
      <c r="H321" s="97"/>
      <c r="I321" s="97"/>
      <c r="J321" s="122"/>
      <c r="K321" s="122"/>
      <c r="L321" s="122"/>
      <c r="M321" s="122"/>
      <c r="N321" s="122"/>
      <c r="O321" s="122"/>
      <c r="P321" s="200"/>
      <c r="Q321" s="203"/>
      <c r="R321" s="203"/>
      <c r="S321" s="203"/>
      <c r="T321" s="203"/>
      <c r="U321" s="203"/>
      <c r="V321" s="203"/>
      <c r="W321" s="206"/>
      <c r="X321" s="206">
        <f t="shared" si="18"/>
        <v>1</v>
      </c>
      <c r="Y321" s="206">
        <v>1</v>
      </c>
      <c r="Z321" s="206"/>
      <c r="AA321" s="206">
        <f t="shared" si="19"/>
        <v>1</v>
      </c>
      <c r="AB321" s="206">
        <v>1</v>
      </c>
      <c r="AC321" s="206"/>
      <c r="AD321" s="206"/>
      <c r="AE321" s="206">
        <f t="shared" si="16"/>
        <v>1</v>
      </c>
      <c r="AF321" s="206">
        <v>1</v>
      </c>
      <c r="AG321" s="206"/>
      <c r="AH321" s="206">
        <f t="shared" si="17"/>
        <v>1</v>
      </c>
      <c r="AI321" s="206">
        <v>1</v>
      </c>
      <c r="AJ321" s="206"/>
    </row>
    <row r="322" spans="2:36" s="102" customFormat="1" ht="22.5">
      <c r="B322" s="97"/>
      <c r="C322" s="99" t="s">
        <v>1928</v>
      </c>
      <c r="D322" s="98" t="s">
        <v>2252</v>
      </c>
      <c r="E322" s="98" t="s">
        <v>2154</v>
      </c>
      <c r="F322" s="120" t="s">
        <v>2103</v>
      </c>
      <c r="G322" s="97" t="s">
        <v>1929</v>
      </c>
      <c r="H322" s="97"/>
      <c r="I322" s="97"/>
      <c r="J322" s="48" t="s">
        <v>8</v>
      </c>
      <c r="Q322" s="203"/>
      <c r="R322" s="203"/>
      <c r="S322" s="203"/>
      <c r="T322" s="203"/>
      <c r="U322" s="203"/>
      <c r="V322" s="203"/>
      <c r="W322" s="206" t="e">
        <f>VLOOKUP($F322,#REF!,16,1)</f>
        <v>#REF!</v>
      </c>
      <c r="X322" s="206" t="e">
        <f t="shared" si="18"/>
        <v>#REF!</v>
      </c>
      <c r="Y322" s="206">
        <v>3</v>
      </c>
      <c r="Z322" s="206" t="e">
        <f>VLOOKUP($F322,#REF!,17,1)</f>
        <v>#REF!</v>
      </c>
      <c r="AA322" s="206" t="e">
        <f t="shared" si="19"/>
        <v>#REF!</v>
      </c>
      <c r="AB322" s="206">
        <v>4</v>
      </c>
      <c r="AC322" s="206" t="e">
        <f>VLOOKUP($F322,#REF!,21,1)</f>
        <v>#REF!</v>
      </c>
      <c r="AD322" s="206" t="e">
        <f>VLOOKUP($F322,#REF!,33,1)</f>
        <v>#REF!</v>
      </c>
      <c r="AE322" s="206" t="e">
        <f t="shared" si="16"/>
        <v>#REF!</v>
      </c>
      <c r="AF322" s="206">
        <v>1</v>
      </c>
      <c r="AG322" s="206" t="e">
        <f>VLOOKUP($F322,#REF!,35,1)</f>
        <v>#REF!</v>
      </c>
      <c r="AH322" s="206" t="e">
        <f t="shared" si="17"/>
        <v>#REF!</v>
      </c>
      <c r="AI322" s="206">
        <v>1</v>
      </c>
      <c r="AJ322" s="206" t="e">
        <f>VLOOKUP($F322,#REF!,37,1)</f>
        <v>#REF!</v>
      </c>
    </row>
    <row r="323" spans="2:36" s="102" customFormat="1" ht="22.5">
      <c r="B323" s="97"/>
      <c r="C323" s="99" t="s">
        <v>1928</v>
      </c>
      <c r="D323" s="98" t="s">
        <v>2252</v>
      </c>
      <c r="E323" s="98" t="s">
        <v>2154</v>
      </c>
      <c r="F323" s="120" t="s">
        <v>2140</v>
      </c>
      <c r="G323" s="97" t="s">
        <v>1930</v>
      </c>
      <c r="H323" s="97"/>
      <c r="I323" s="97"/>
      <c r="J323" s="122"/>
      <c r="K323" s="122"/>
      <c r="L323" s="122"/>
      <c r="M323" s="122"/>
      <c r="N323" s="122"/>
      <c r="O323" s="122"/>
      <c r="P323" s="200"/>
      <c r="Q323" s="203"/>
      <c r="R323" s="203"/>
      <c r="S323" s="203"/>
      <c r="T323" s="203"/>
      <c r="U323" s="203"/>
      <c r="V323" s="203"/>
      <c r="W323" s="206"/>
      <c r="X323" s="206">
        <f t="shared" si="18"/>
        <v>1</v>
      </c>
      <c r="Y323" s="206">
        <v>1</v>
      </c>
      <c r="Z323" s="206"/>
      <c r="AA323" s="206">
        <f t="shared" si="19"/>
        <v>1</v>
      </c>
      <c r="AB323" s="206">
        <v>1</v>
      </c>
      <c r="AC323" s="206"/>
      <c r="AD323" s="206"/>
      <c r="AE323" s="206">
        <f t="shared" si="16"/>
        <v>1</v>
      </c>
      <c r="AF323" s="206">
        <v>1</v>
      </c>
      <c r="AG323" s="206"/>
      <c r="AH323" s="206">
        <f t="shared" si="17"/>
        <v>1</v>
      </c>
      <c r="AI323" s="206">
        <v>1</v>
      </c>
      <c r="AJ323" s="206"/>
    </row>
    <row r="324" spans="2:36" s="102" customFormat="1" ht="22.5">
      <c r="B324" s="97"/>
      <c r="C324" s="99" t="s">
        <v>1928</v>
      </c>
      <c r="D324" s="98" t="s">
        <v>2252</v>
      </c>
      <c r="E324" s="98" t="s">
        <v>2154</v>
      </c>
      <c r="F324" s="120" t="s">
        <v>2141</v>
      </c>
      <c r="G324" s="97" t="s">
        <v>1930</v>
      </c>
      <c r="H324" s="97"/>
      <c r="I324" s="97"/>
      <c r="J324" s="122"/>
      <c r="K324" s="122"/>
      <c r="L324" s="122"/>
      <c r="M324" s="122"/>
      <c r="N324" s="122"/>
      <c r="O324" s="122"/>
      <c r="P324" s="200"/>
      <c r="Q324" s="203"/>
      <c r="R324" s="203"/>
      <c r="S324" s="203"/>
      <c r="T324" s="203"/>
      <c r="U324" s="203"/>
      <c r="V324" s="203"/>
      <c r="W324" s="206"/>
      <c r="X324" s="206">
        <f t="shared" si="18"/>
        <v>1</v>
      </c>
      <c r="Y324" s="206">
        <v>1</v>
      </c>
      <c r="Z324" s="206"/>
      <c r="AA324" s="206">
        <f t="shared" si="19"/>
        <v>1</v>
      </c>
      <c r="AB324" s="206">
        <v>1</v>
      </c>
      <c r="AC324" s="206"/>
      <c r="AD324" s="206"/>
      <c r="AE324" s="206">
        <f t="shared" ref="AE324:AE333" si="20">IF(AD324="Casi Seguro",5,IF(AD324="Alta",4,IF(AD324="Posible",3,IF(AD324="Baja",2,1))))</f>
        <v>1</v>
      </c>
      <c r="AF324" s="206">
        <v>1</v>
      </c>
      <c r="AG324" s="206"/>
      <c r="AH324" s="206">
        <f t="shared" ref="AH324:AH333" si="21">IF(AG324="Catastrófico",5,IF(AG324="Mayor",4,IF(AG324="Moderado",3,IF(AG324="menor",2,1))))</f>
        <v>1</v>
      </c>
      <c r="AI324" s="206">
        <v>1</v>
      </c>
      <c r="AJ324" s="206"/>
    </row>
    <row r="325" spans="2:36" s="102" customFormat="1" ht="22.5">
      <c r="B325" s="97"/>
      <c r="C325" s="99" t="s">
        <v>1928</v>
      </c>
      <c r="D325" s="98" t="s">
        <v>2252</v>
      </c>
      <c r="E325" s="98" t="s">
        <v>2154</v>
      </c>
      <c r="F325" s="120" t="s">
        <v>2142</v>
      </c>
      <c r="G325" s="97" t="s">
        <v>1930</v>
      </c>
      <c r="H325" s="97"/>
      <c r="I325" s="97"/>
      <c r="J325" s="122"/>
      <c r="K325" s="122"/>
      <c r="L325" s="122"/>
      <c r="M325" s="122"/>
      <c r="N325" s="122"/>
      <c r="O325" s="122"/>
      <c r="P325" s="200"/>
      <c r="Q325" s="203"/>
      <c r="R325" s="203"/>
      <c r="S325" s="203"/>
      <c r="T325" s="203"/>
      <c r="U325" s="203"/>
      <c r="V325" s="203"/>
      <c r="W325" s="206"/>
      <c r="X325" s="206">
        <f t="shared" ref="X325:X333" si="22">IF(W325="Casi Seguro",5,IF(W325="Alta",4,IF(W325="Posible",3,IF(W325="Baja",2,1))))</f>
        <v>1</v>
      </c>
      <c r="Y325" s="206">
        <v>1</v>
      </c>
      <c r="Z325" s="206"/>
      <c r="AA325" s="206">
        <f t="shared" ref="AA325:AA333" si="23">IF(Z325="Catastrófico",5,IF(Z325="Mayor",4,IF(Z325="Moderado",3,IF(Z325="menor",2,1))))</f>
        <v>1</v>
      </c>
      <c r="AB325" s="206">
        <v>1</v>
      </c>
      <c r="AC325" s="206"/>
      <c r="AD325" s="206"/>
      <c r="AE325" s="206">
        <f t="shared" si="20"/>
        <v>1</v>
      </c>
      <c r="AF325" s="206">
        <v>1</v>
      </c>
      <c r="AG325" s="206"/>
      <c r="AH325" s="206">
        <f t="shared" si="21"/>
        <v>1</v>
      </c>
      <c r="AI325" s="206">
        <v>1</v>
      </c>
      <c r="AJ325" s="206"/>
    </row>
    <row r="326" spans="2:36" s="102" customFormat="1" ht="22.5">
      <c r="B326" s="97"/>
      <c r="C326" s="99" t="s">
        <v>1928</v>
      </c>
      <c r="D326" s="98" t="s">
        <v>2252</v>
      </c>
      <c r="E326" s="98" t="s">
        <v>2154</v>
      </c>
      <c r="F326" s="120" t="s">
        <v>2104</v>
      </c>
      <c r="G326" s="97" t="s">
        <v>1929</v>
      </c>
      <c r="H326" s="97"/>
      <c r="I326" s="97"/>
      <c r="J326" s="48" t="s">
        <v>8</v>
      </c>
      <c r="Q326" s="203"/>
      <c r="R326" s="203"/>
      <c r="S326" s="203"/>
      <c r="T326" s="203"/>
      <c r="U326" s="203"/>
      <c r="V326" s="203"/>
      <c r="W326" s="206" t="e">
        <f>VLOOKUP($F326,#REF!,16,1)</f>
        <v>#REF!</v>
      </c>
      <c r="X326" s="206" t="e">
        <f t="shared" si="22"/>
        <v>#REF!</v>
      </c>
      <c r="Y326" s="206">
        <v>3</v>
      </c>
      <c r="Z326" s="206" t="e">
        <f>VLOOKUP($F326,#REF!,17,1)</f>
        <v>#REF!</v>
      </c>
      <c r="AA326" s="206" t="e">
        <f t="shared" si="23"/>
        <v>#REF!</v>
      </c>
      <c r="AB326" s="206">
        <v>3</v>
      </c>
      <c r="AC326" s="206" t="e">
        <f>VLOOKUP($F326,#REF!,21,1)</f>
        <v>#REF!</v>
      </c>
      <c r="AD326" s="206" t="e">
        <f>VLOOKUP($F326,#REF!,33,1)</f>
        <v>#REF!</v>
      </c>
      <c r="AE326" s="206" t="e">
        <f t="shared" si="20"/>
        <v>#REF!</v>
      </c>
      <c r="AF326" s="206">
        <v>1</v>
      </c>
      <c r="AG326" s="206" t="e">
        <f>VLOOKUP($F326,#REF!,35,1)</f>
        <v>#REF!</v>
      </c>
      <c r="AH326" s="206" t="e">
        <f t="shared" si="21"/>
        <v>#REF!</v>
      </c>
      <c r="AI326" s="206">
        <v>1</v>
      </c>
      <c r="AJ326" s="206" t="e">
        <f>VLOOKUP($F326,#REF!,37,1)</f>
        <v>#REF!</v>
      </c>
    </row>
    <row r="327" spans="2:36" s="102" customFormat="1" ht="22.5">
      <c r="B327" s="97"/>
      <c r="C327" s="99" t="s">
        <v>1928</v>
      </c>
      <c r="D327" s="98" t="s">
        <v>2252</v>
      </c>
      <c r="E327" s="98" t="s">
        <v>2154</v>
      </c>
      <c r="F327" s="120" t="s">
        <v>2105</v>
      </c>
      <c r="G327" s="97" t="s">
        <v>1929</v>
      </c>
      <c r="H327" s="97"/>
      <c r="I327" s="97"/>
      <c r="J327" s="48" t="s">
        <v>8</v>
      </c>
      <c r="Q327" s="203"/>
      <c r="R327" s="203"/>
      <c r="S327" s="203"/>
      <c r="T327" s="203"/>
      <c r="U327" s="203"/>
      <c r="V327" s="203"/>
      <c r="W327" s="206" t="e">
        <f>VLOOKUP($F327,#REF!,16,1)</f>
        <v>#REF!</v>
      </c>
      <c r="X327" s="206" t="e">
        <f t="shared" si="22"/>
        <v>#REF!</v>
      </c>
      <c r="Y327" s="206">
        <v>2</v>
      </c>
      <c r="Z327" s="206" t="e">
        <f>VLOOKUP($F327,#REF!,17,1)</f>
        <v>#REF!</v>
      </c>
      <c r="AA327" s="206" t="e">
        <f t="shared" si="23"/>
        <v>#REF!</v>
      </c>
      <c r="AB327" s="206">
        <v>3</v>
      </c>
      <c r="AC327" s="206" t="e">
        <f>VLOOKUP($F327,#REF!,21,1)</f>
        <v>#REF!</v>
      </c>
      <c r="AD327" s="206" t="e">
        <f>VLOOKUP($F327,#REF!,33,1)</f>
        <v>#REF!</v>
      </c>
      <c r="AE327" s="206" t="e">
        <f t="shared" si="20"/>
        <v>#REF!</v>
      </c>
      <c r="AF327" s="206">
        <v>1</v>
      </c>
      <c r="AG327" s="206" t="e">
        <f>VLOOKUP($F327,#REF!,35,1)</f>
        <v>#REF!</v>
      </c>
      <c r="AH327" s="206" t="e">
        <f t="shared" si="21"/>
        <v>#REF!</v>
      </c>
      <c r="AI327" s="206">
        <v>1</v>
      </c>
      <c r="AJ327" s="206" t="e">
        <f>VLOOKUP($F327,#REF!,37,1)</f>
        <v>#REF!</v>
      </c>
    </row>
    <row r="328" spans="2:36" s="102" customFormat="1" ht="22.5">
      <c r="B328" s="97"/>
      <c r="C328" s="99" t="s">
        <v>1928</v>
      </c>
      <c r="D328" s="98" t="s">
        <v>2252</v>
      </c>
      <c r="E328" s="98" t="s">
        <v>2154</v>
      </c>
      <c r="F328" s="120" t="s">
        <v>2143</v>
      </c>
      <c r="G328" s="97" t="s">
        <v>1930</v>
      </c>
      <c r="H328" s="97"/>
      <c r="I328" s="97"/>
      <c r="J328" s="122"/>
      <c r="K328" s="122"/>
      <c r="L328" s="122"/>
      <c r="M328" s="122"/>
      <c r="N328" s="122"/>
      <c r="O328" s="122"/>
      <c r="P328" s="200"/>
      <c r="Q328" s="203"/>
      <c r="R328" s="203"/>
      <c r="S328" s="203"/>
      <c r="T328" s="203"/>
      <c r="U328" s="203"/>
      <c r="V328" s="203"/>
      <c r="W328" s="206"/>
      <c r="X328" s="206">
        <f t="shared" si="22"/>
        <v>1</v>
      </c>
      <c r="Y328" s="206">
        <v>1</v>
      </c>
      <c r="Z328" s="206"/>
      <c r="AA328" s="206">
        <f t="shared" si="23"/>
        <v>1</v>
      </c>
      <c r="AB328" s="206">
        <v>1</v>
      </c>
      <c r="AC328" s="206"/>
      <c r="AD328" s="206"/>
      <c r="AE328" s="206">
        <f t="shared" si="20"/>
        <v>1</v>
      </c>
      <c r="AF328" s="206">
        <v>1</v>
      </c>
      <c r="AG328" s="206"/>
      <c r="AH328" s="206">
        <f t="shared" si="21"/>
        <v>1</v>
      </c>
      <c r="AI328" s="206">
        <v>1</v>
      </c>
      <c r="AJ328" s="206"/>
    </row>
    <row r="329" spans="2:36" s="102" customFormat="1" ht="22.5">
      <c r="B329" s="97"/>
      <c r="C329" s="99" t="s">
        <v>1928</v>
      </c>
      <c r="D329" s="98" t="s">
        <v>2252</v>
      </c>
      <c r="E329" s="98" t="s">
        <v>2154</v>
      </c>
      <c r="F329" s="120" t="s">
        <v>2106</v>
      </c>
      <c r="G329" s="97" t="s">
        <v>1929</v>
      </c>
      <c r="H329" s="97"/>
      <c r="I329" s="97"/>
      <c r="J329" s="48" t="s">
        <v>8</v>
      </c>
      <c r="Q329" s="203"/>
      <c r="R329" s="203"/>
      <c r="S329" s="203"/>
      <c r="T329" s="203"/>
      <c r="U329" s="203"/>
      <c r="V329" s="203"/>
      <c r="W329" s="206" t="e">
        <f>VLOOKUP($F329,#REF!,16,1)</f>
        <v>#REF!</v>
      </c>
      <c r="X329" s="206" t="e">
        <f t="shared" si="22"/>
        <v>#REF!</v>
      </c>
      <c r="Y329" s="206">
        <v>2</v>
      </c>
      <c r="Z329" s="206" t="e">
        <f>VLOOKUP($F329,#REF!,17,1)</f>
        <v>#REF!</v>
      </c>
      <c r="AA329" s="206" t="e">
        <f t="shared" si="23"/>
        <v>#REF!</v>
      </c>
      <c r="AB329" s="206">
        <v>3</v>
      </c>
      <c r="AC329" s="206" t="e">
        <f>VLOOKUP($F329,#REF!,21,1)</f>
        <v>#REF!</v>
      </c>
      <c r="AD329" s="206" t="e">
        <f>VLOOKUP($F329,#REF!,33,1)</f>
        <v>#REF!</v>
      </c>
      <c r="AE329" s="206" t="e">
        <f t="shared" si="20"/>
        <v>#REF!</v>
      </c>
      <c r="AF329" s="206">
        <v>1</v>
      </c>
      <c r="AG329" s="206" t="e">
        <f>VLOOKUP($F329,#REF!,35,1)</f>
        <v>#REF!</v>
      </c>
      <c r="AH329" s="206" t="e">
        <f t="shared" si="21"/>
        <v>#REF!</v>
      </c>
      <c r="AI329" s="206">
        <v>1</v>
      </c>
      <c r="AJ329" s="206" t="e">
        <f>VLOOKUP($F329,#REF!,37,1)</f>
        <v>#REF!</v>
      </c>
    </row>
    <row r="330" spans="2:36" s="102" customFormat="1" ht="22.5">
      <c r="B330" s="97"/>
      <c r="C330" s="99" t="s">
        <v>1928</v>
      </c>
      <c r="D330" s="98" t="s">
        <v>2252</v>
      </c>
      <c r="E330" s="98" t="s">
        <v>2154</v>
      </c>
      <c r="F330" s="120" t="s">
        <v>2144</v>
      </c>
      <c r="G330" s="97" t="s">
        <v>1930</v>
      </c>
      <c r="H330" s="97"/>
      <c r="I330" s="97"/>
      <c r="J330" s="122"/>
      <c r="K330" s="122"/>
      <c r="L330" s="122"/>
      <c r="M330" s="122"/>
      <c r="N330" s="122"/>
      <c r="O330" s="122"/>
      <c r="P330" s="200"/>
      <c r="Q330" s="203"/>
      <c r="R330" s="203"/>
      <c r="S330" s="203"/>
      <c r="T330" s="203"/>
      <c r="U330" s="203"/>
      <c r="V330" s="203"/>
      <c r="W330" s="206"/>
      <c r="X330" s="206">
        <f t="shared" si="22"/>
        <v>1</v>
      </c>
      <c r="Y330" s="206">
        <v>1</v>
      </c>
      <c r="Z330" s="206"/>
      <c r="AA330" s="206">
        <f t="shared" si="23"/>
        <v>1</v>
      </c>
      <c r="AB330" s="206">
        <v>1</v>
      </c>
      <c r="AC330" s="206"/>
      <c r="AD330" s="206"/>
      <c r="AE330" s="206">
        <f t="shared" si="20"/>
        <v>1</v>
      </c>
      <c r="AF330" s="206">
        <v>1</v>
      </c>
      <c r="AG330" s="206"/>
      <c r="AH330" s="206">
        <f t="shared" si="21"/>
        <v>1</v>
      </c>
      <c r="AI330" s="206">
        <v>1</v>
      </c>
      <c r="AJ330" s="206"/>
    </row>
    <row r="331" spans="2:36" s="102" customFormat="1" ht="22.5">
      <c r="B331" s="97"/>
      <c r="C331" s="99" t="s">
        <v>1928</v>
      </c>
      <c r="D331" s="98" t="s">
        <v>2252</v>
      </c>
      <c r="E331" s="98" t="s">
        <v>2154</v>
      </c>
      <c r="F331" s="120" t="s">
        <v>2145</v>
      </c>
      <c r="G331" s="97" t="s">
        <v>1930</v>
      </c>
      <c r="H331" s="97"/>
      <c r="I331" s="97"/>
      <c r="J331" s="122"/>
      <c r="K331" s="122"/>
      <c r="L331" s="122"/>
      <c r="M331" s="122"/>
      <c r="N331" s="122"/>
      <c r="O331" s="122"/>
      <c r="P331" s="200"/>
      <c r="Q331" s="203"/>
      <c r="R331" s="203"/>
      <c r="S331" s="203"/>
      <c r="T331" s="203"/>
      <c r="U331" s="203"/>
      <c r="V331" s="203"/>
      <c r="W331" s="206"/>
      <c r="X331" s="206">
        <f t="shared" si="22"/>
        <v>1</v>
      </c>
      <c r="Y331" s="206">
        <v>1</v>
      </c>
      <c r="Z331" s="206"/>
      <c r="AA331" s="206">
        <f t="shared" si="23"/>
        <v>1</v>
      </c>
      <c r="AB331" s="206">
        <v>1</v>
      </c>
      <c r="AC331" s="206"/>
      <c r="AD331" s="206"/>
      <c r="AE331" s="206">
        <f t="shared" si="20"/>
        <v>1</v>
      </c>
      <c r="AF331" s="206">
        <v>1</v>
      </c>
      <c r="AG331" s="206"/>
      <c r="AH331" s="206">
        <f t="shared" si="21"/>
        <v>1</v>
      </c>
      <c r="AI331" s="206">
        <v>1</v>
      </c>
      <c r="AJ331" s="206"/>
    </row>
    <row r="332" spans="2:36" s="102" customFormat="1" ht="22.5">
      <c r="B332" s="97"/>
      <c r="C332" s="99" t="s">
        <v>1928</v>
      </c>
      <c r="D332" s="98" t="s">
        <v>2252</v>
      </c>
      <c r="E332" s="98" t="s">
        <v>2154</v>
      </c>
      <c r="F332" s="120" t="s">
        <v>2146</v>
      </c>
      <c r="G332" s="97" t="s">
        <v>1930</v>
      </c>
      <c r="H332" s="97"/>
      <c r="I332" s="97"/>
      <c r="J332" s="122"/>
      <c r="K332" s="122"/>
      <c r="L332" s="122"/>
      <c r="M332" s="122"/>
      <c r="N332" s="122"/>
      <c r="O332" s="122"/>
      <c r="P332" s="200"/>
      <c r="Q332" s="203"/>
      <c r="R332" s="203"/>
      <c r="S332" s="203"/>
      <c r="T332" s="203"/>
      <c r="U332" s="203"/>
      <c r="V332" s="203"/>
      <c r="W332" s="206"/>
      <c r="X332" s="206">
        <f t="shared" si="22"/>
        <v>1</v>
      </c>
      <c r="Y332" s="206">
        <v>1</v>
      </c>
      <c r="Z332" s="206"/>
      <c r="AA332" s="206">
        <f t="shared" si="23"/>
        <v>1</v>
      </c>
      <c r="AB332" s="206">
        <v>1</v>
      </c>
      <c r="AC332" s="206"/>
      <c r="AD332" s="206"/>
      <c r="AE332" s="206">
        <f t="shared" si="20"/>
        <v>1</v>
      </c>
      <c r="AF332" s="206">
        <v>1</v>
      </c>
      <c r="AG332" s="206"/>
      <c r="AH332" s="206">
        <f t="shared" si="21"/>
        <v>1</v>
      </c>
      <c r="AI332" s="206">
        <v>1</v>
      </c>
      <c r="AJ332" s="206"/>
    </row>
    <row r="333" spans="2:36" s="102" customFormat="1" ht="22.5">
      <c r="B333" s="97"/>
      <c r="C333" s="99" t="s">
        <v>1928</v>
      </c>
      <c r="D333" s="98" t="s">
        <v>2252</v>
      </c>
      <c r="E333" s="98" t="s">
        <v>2154</v>
      </c>
      <c r="F333" s="120" t="s">
        <v>2107</v>
      </c>
      <c r="G333" s="97" t="s">
        <v>1929</v>
      </c>
      <c r="H333" s="97"/>
      <c r="I333" s="97"/>
      <c r="J333" s="48" t="s">
        <v>8</v>
      </c>
      <c r="Q333" s="203"/>
      <c r="R333" s="203"/>
      <c r="S333" s="203"/>
      <c r="T333" s="203"/>
      <c r="U333" s="203"/>
      <c r="V333" s="203"/>
      <c r="W333" s="206" t="e">
        <f>VLOOKUP($F333,#REF!,16,1)</f>
        <v>#REF!</v>
      </c>
      <c r="X333" s="206" t="e">
        <f t="shared" si="22"/>
        <v>#REF!</v>
      </c>
      <c r="Y333" s="206">
        <v>3</v>
      </c>
      <c r="Z333" s="206" t="e">
        <f>VLOOKUP($F333,#REF!,17,1)</f>
        <v>#REF!</v>
      </c>
      <c r="AA333" s="206" t="e">
        <f t="shared" si="23"/>
        <v>#REF!</v>
      </c>
      <c r="AB333" s="206">
        <v>3</v>
      </c>
      <c r="AC333" s="206" t="e">
        <f>VLOOKUP($F333,#REF!,21,1)</f>
        <v>#REF!</v>
      </c>
      <c r="AD333" s="206" t="e">
        <f>VLOOKUP($F333,#REF!,33,1)</f>
        <v>#REF!</v>
      </c>
      <c r="AE333" s="206" t="e">
        <f t="shared" si="20"/>
        <v>#REF!</v>
      </c>
      <c r="AF333" s="206">
        <v>1</v>
      </c>
      <c r="AG333" s="206" t="e">
        <f>VLOOKUP($F333,#REF!,35,1)</f>
        <v>#REF!</v>
      </c>
      <c r="AH333" s="206" t="e">
        <f t="shared" si="21"/>
        <v>#REF!</v>
      </c>
      <c r="AI333" s="206">
        <v>3</v>
      </c>
      <c r="AJ333" s="206" t="e">
        <f>VLOOKUP($F333,#REF!,37,1)</f>
        <v>#REF!</v>
      </c>
    </row>
    <row r="334" spans="2:36" s="102" customFormat="1">
      <c r="B334" s="97"/>
      <c r="C334" s="97"/>
      <c r="D334" s="97"/>
      <c r="E334" s="97"/>
      <c r="Q334" s="206"/>
      <c r="R334" s="206"/>
      <c r="S334" s="206"/>
      <c r="T334" s="203"/>
      <c r="U334" s="206"/>
      <c r="V334" s="206"/>
      <c r="W334" s="206"/>
      <c r="X334" s="206"/>
      <c r="Y334" s="206"/>
      <c r="Z334" s="206"/>
      <c r="AA334" s="206"/>
      <c r="AB334" s="206"/>
      <c r="AC334" s="206"/>
      <c r="AD334" s="203"/>
      <c r="AE334" s="203"/>
      <c r="AF334" s="203"/>
      <c r="AG334" s="203"/>
      <c r="AH334" s="203"/>
      <c r="AI334" s="203"/>
      <c r="AJ334" s="203"/>
    </row>
    <row r="335" spans="2:36" s="102" customFormat="1" ht="29.25" customHeight="1">
      <c r="B335" s="97"/>
      <c r="C335" s="97"/>
      <c r="D335" s="201" t="s">
        <v>2186</v>
      </c>
      <c r="E335" s="97"/>
      <c r="Q335" s="206"/>
      <c r="R335" s="206"/>
      <c r="S335" s="206"/>
      <c r="T335" s="203"/>
      <c r="U335" s="206"/>
      <c r="V335" s="206"/>
      <c r="W335" s="206"/>
      <c r="X335" s="206"/>
      <c r="Y335" s="206"/>
      <c r="Z335" s="206"/>
      <c r="AA335" s="206"/>
      <c r="AB335" s="206"/>
      <c r="AC335" s="206"/>
      <c r="AD335" s="203"/>
      <c r="AE335" s="203"/>
      <c r="AF335" s="203"/>
      <c r="AG335" s="203"/>
      <c r="AH335" s="203"/>
      <c r="AI335" s="203"/>
      <c r="AJ335" s="203"/>
    </row>
    <row r="336" spans="2:36" s="102" customFormat="1">
      <c r="B336" s="97"/>
      <c r="C336" s="97" t="s">
        <v>140</v>
      </c>
      <c r="D336" s="97" t="s">
        <v>2159</v>
      </c>
      <c r="E336" s="97" t="s">
        <v>1932</v>
      </c>
      <c r="F336" s="97" t="s">
        <v>1908</v>
      </c>
      <c r="G336" s="97" t="s">
        <v>1909</v>
      </c>
      <c r="H336" s="112" t="s">
        <v>2267</v>
      </c>
      <c r="I336" s="116" t="s">
        <v>2268</v>
      </c>
      <c r="J336" s="101">
        <v>1</v>
      </c>
      <c r="K336" s="101">
        <v>2</v>
      </c>
      <c r="L336" s="101">
        <v>3</v>
      </c>
      <c r="M336" s="101">
        <v>4</v>
      </c>
      <c r="N336" s="101">
        <v>5</v>
      </c>
      <c r="O336" s="101">
        <v>6</v>
      </c>
      <c r="P336" s="101"/>
      <c r="Q336" s="203" t="s">
        <v>2269</v>
      </c>
      <c r="R336" s="203" t="s">
        <v>2270</v>
      </c>
      <c r="S336" s="203" t="s">
        <v>2271</v>
      </c>
      <c r="T336" s="203" t="s">
        <v>2273</v>
      </c>
      <c r="U336" s="203" t="s">
        <v>2272</v>
      </c>
      <c r="V336" s="203" t="s">
        <v>2274</v>
      </c>
      <c r="W336" s="203" t="s">
        <v>2256</v>
      </c>
      <c r="X336" s="203" t="s">
        <v>2264</v>
      </c>
      <c r="Y336" s="203" t="s">
        <v>2281</v>
      </c>
      <c r="Z336" s="203" t="s">
        <v>2257</v>
      </c>
      <c r="AA336" s="203" t="s">
        <v>2265</v>
      </c>
      <c r="AB336" s="203" t="s">
        <v>2283</v>
      </c>
      <c r="AC336" s="204" t="s">
        <v>2275</v>
      </c>
      <c r="AD336" s="203" t="s">
        <v>2258</v>
      </c>
      <c r="AE336" s="203" t="s">
        <v>2262</v>
      </c>
      <c r="AF336" s="203" t="s">
        <v>2282</v>
      </c>
      <c r="AG336" s="203" t="s">
        <v>2266</v>
      </c>
      <c r="AH336" s="203" t="s">
        <v>2263</v>
      </c>
      <c r="AI336" s="203" t="s">
        <v>2284</v>
      </c>
      <c r="AJ336" s="204" t="s">
        <v>2276</v>
      </c>
    </row>
    <row r="337" spans="2:36" s="102" customFormat="1" ht="22.5">
      <c r="B337" s="97"/>
      <c r="C337" s="99" t="s">
        <v>2158</v>
      </c>
      <c r="D337" t="s">
        <v>2163</v>
      </c>
      <c r="E337" s="123" t="s">
        <v>2260</v>
      </c>
      <c r="F337" s="102" t="s">
        <v>1897</v>
      </c>
      <c r="G337" s="97" t="s">
        <v>1929</v>
      </c>
      <c r="Q337" s="206" t="s">
        <v>2161</v>
      </c>
      <c r="R337" s="206">
        <f t="shared" ref="R337:R400" si="24">ROW(F337)</f>
        <v>337</v>
      </c>
      <c r="S337" s="206" t="str">
        <f t="shared" ref="S337:S400" si="25">CONCATENATE(";","'",D337,"'!","$E$10:$BD$100",";","14",";","1",")")</f>
        <v>;'C PLANEACION'!$E$10:$BD$100;14;1)</v>
      </c>
      <c r="T337" s="203" t="s">
        <v>2208</v>
      </c>
      <c r="U337" s="206" t="str">
        <f t="shared" ref="U337:U629" si="26">CONCATENATE("=BUSCARV($E",R337,T337)</f>
        <v>=BUSCARV($E337;'C PLANEACION'!$E$10:$BD$100;14;1)</v>
      </c>
      <c r="V337" s="206"/>
      <c r="W337" s="206" t="e">
        <f>VLOOKUP($F337,#REF!,8,1)</f>
        <v>#REF!</v>
      </c>
      <c r="X337" s="206" t="e">
        <f>IF(W337="Casi Seguro",5,IF(W337="Probable",4,IF(W337="Posible",3,IF(W337="Improbable",2,1))))</f>
        <v>#REF!</v>
      </c>
      <c r="Y337" s="206">
        <v>3</v>
      </c>
      <c r="Z337" s="206" t="e">
        <f>VLOOKUP($F337,#REF!,9,1)</f>
        <v>#REF!</v>
      </c>
      <c r="AA337" s="206" t="e">
        <f>IF(Z337="Catastrófico",20,IF(Z337="Mayor",10,5))</f>
        <v>#REF!</v>
      </c>
      <c r="AB337" s="206">
        <v>10</v>
      </c>
      <c r="AC337" s="206" t="e">
        <f>VLOOKUP($F337,#REF!,14,1)</f>
        <v>#REF!</v>
      </c>
      <c r="AD337" s="206" t="e">
        <f>VLOOKUP($F337,#REF!,40,0)</f>
        <v>#REF!</v>
      </c>
      <c r="AE337" s="206" t="e">
        <f>IF(AD337="Casi Seguro",5,IF(AD337="Probable",4,IF(AD337="Posible",3,IF(AD337="Improbable",2,1))))</f>
        <v>#REF!</v>
      </c>
      <c r="AF337" s="206">
        <v>2</v>
      </c>
      <c r="AG337" s="206" t="e">
        <f>VLOOKUP($F337,#REF!,42,0)</f>
        <v>#REF!</v>
      </c>
      <c r="AH337" s="206" t="e">
        <f>IF(AG337="Catastrófico",20,IF(AG337="Mayor",10,5))</f>
        <v>#REF!</v>
      </c>
      <c r="AI337" s="206">
        <v>10</v>
      </c>
      <c r="AJ337" s="206" t="e">
        <f>VLOOKUP($F337,#REF!,43,0)</f>
        <v>#REF!</v>
      </c>
    </row>
    <row r="338" spans="2:36" s="102" customFormat="1" ht="22.5">
      <c r="B338" s="97"/>
      <c r="C338" s="99" t="s">
        <v>2158</v>
      </c>
      <c r="D338" t="s">
        <v>2163</v>
      </c>
      <c r="E338" s="123" t="s">
        <v>2260</v>
      </c>
      <c r="F338" s="102" t="s">
        <v>1900</v>
      </c>
      <c r="G338" s="97" t="s">
        <v>1929</v>
      </c>
      <c r="Q338" s="206" t="s">
        <v>2161</v>
      </c>
      <c r="R338" s="206">
        <f t="shared" si="24"/>
        <v>338</v>
      </c>
      <c r="S338" s="206" t="str">
        <f t="shared" si="25"/>
        <v>;'C PLANEACION'!$E$10:$BD$100;14;1)</v>
      </c>
      <c r="T338" s="203" t="s">
        <v>2208</v>
      </c>
      <c r="U338" s="206" t="str">
        <f t="shared" ref="U338:U349" si="27">CONCATENATE("=BUSCARV($E",R338,T338)</f>
        <v>=BUSCARV($E338;'C PLANEACION'!$E$10:$BD$100;14;1)</v>
      </c>
      <c r="V338" s="206"/>
      <c r="W338" s="206" t="e">
        <f>VLOOKUP($F338,#REF!,8,1)</f>
        <v>#REF!</v>
      </c>
      <c r="X338" s="206" t="e">
        <f t="shared" ref="X338:X401" si="28">IF(W338="Casi Seguro",5,IF(W338="Probable",4,IF(W338="Posible",3,IF(W338="Improbable",2,1))))</f>
        <v>#REF!</v>
      </c>
      <c r="Y338" s="206">
        <v>1</v>
      </c>
      <c r="Z338" s="206" t="e">
        <f>VLOOKUP($F338,#REF!,9,1)</f>
        <v>#REF!</v>
      </c>
      <c r="AA338" s="206" t="e">
        <f>IF(Z338="Catastrófico",20,IF(Z338="Mayor",10,5))</f>
        <v>#REF!</v>
      </c>
      <c r="AB338" s="206">
        <v>10</v>
      </c>
      <c r="AC338" s="206" t="e">
        <f>VLOOKUP($F338,#REF!,14,1)</f>
        <v>#REF!</v>
      </c>
      <c r="AD338" s="206" t="e">
        <f>VLOOKUP($F338,#REF!,40,0)</f>
        <v>#REF!</v>
      </c>
      <c r="AE338" s="206" t="e">
        <f t="shared" ref="AE338:AE401" si="29">IF(AD338="Casi Seguro",5,IF(AD338="Probable",4,IF(AD338="Posible",3,IF(AD338="Improbable",2,1))))</f>
        <v>#REF!</v>
      </c>
      <c r="AF338" s="206">
        <v>1</v>
      </c>
      <c r="AG338" s="206" t="e">
        <f>VLOOKUP($F338,#REF!,42,0)</f>
        <v>#REF!</v>
      </c>
      <c r="AH338" s="206" t="e">
        <f t="shared" ref="AH338:AH401" si="30">IF(AG338="Catastrófico",20,IF(AG338="Mayor",10,5))</f>
        <v>#REF!</v>
      </c>
      <c r="AI338" s="206">
        <v>10</v>
      </c>
      <c r="AJ338" s="206" t="e">
        <f>VLOOKUP($F338,#REF!,43,0)</f>
        <v>#REF!</v>
      </c>
    </row>
    <row r="339" spans="2:36" s="102" customFormat="1" ht="22.5">
      <c r="B339" s="97"/>
      <c r="C339" s="99" t="s">
        <v>2158</v>
      </c>
      <c r="D339" t="s">
        <v>2163</v>
      </c>
      <c r="E339" s="123" t="s">
        <v>2260</v>
      </c>
      <c r="Q339" s="206" t="s">
        <v>2161</v>
      </c>
      <c r="R339" s="206">
        <f t="shared" si="24"/>
        <v>339</v>
      </c>
      <c r="S339" s="206" t="str">
        <f t="shared" si="25"/>
        <v>;'C PLANEACION'!$E$10:$BD$100;14;1)</v>
      </c>
      <c r="T339" s="203" t="s">
        <v>2208</v>
      </c>
      <c r="U339" s="206" t="str">
        <f t="shared" si="27"/>
        <v>=BUSCARV($E339;'C PLANEACION'!$E$10:$BD$100;14;1)</v>
      </c>
      <c r="V339" s="206"/>
      <c r="W339" s="206" t="e">
        <f>VLOOKUP($F339,#REF!,8,1)</f>
        <v>#REF!</v>
      </c>
      <c r="X339" s="206" t="e">
        <f t="shared" si="28"/>
        <v>#REF!</v>
      </c>
      <c r="Y339" s="206" t="e">
        <v>#N/A</v>
      </c>
      <c r="Z339" s="206" t="e">
        <f>VLOOKUP($F339,#REF!,9,1)</f>
        <v>#REF!</v>
      </c>
      <c r="AA339" s="206"/>
      <c r="AB339" s="206"/>
      <c r="AC339" s="206" t="e">
        <f>VLOOKUP($F339,#REF!,14,1)</f>
        <v>#REF!</v>
      </c>
      <c r="AD339" s="206" t="e">
        <f>VLOOKUP($F339,#REF!,40,0)</f>
        <v>#REF!</v>
      </c>
      <c r="AE339" s="206" t="e">
        <f t="shared" si="29"/>
        <v>#REF!</v>
      </c>
      <c r="AF339" s="206" t="e">
        <v>#N/A</v>
      </c>
      <c r="AG339" s="206" t="e">
        <f>VLOOKUP($F339,#REF!,42,0)</f>
        <v>#REF!</v>
      </c>
      <c r="AH339" s="206" t="e">
        <f t="shared" si="30"/>
        <v>#REF!</v>
      </c>
      <c r="AI339" s="206" t="e">
        <v>#N/A</v>
      </c>
      <c r="AJ339" s="206" t="e">
        <f>VLOOKUP($F339,#REF!,43,0)</f>
        <v>#REF!</v>
      </c>
    </row>
    <row r="340" spans="2:36" s="102" customFormat="1" ht="22.5">
      <c r="B340" s="97"/>
      <c r="C340" s="99" t="s">
        <v>2158</v>
      </c>
      <c r="D340" t="s">
        <v>2163</v>
      </c>
      <c r="E340" s="123" t="s">
        <v>2260</v>
      </c>
      <c r="Q340" s="206" t="s">
        <v>2161</v>
      </c>
      <c r="R340" s="206">
        <f t="shared" si="24"/>
        <v>340</v>
      </c>
      <c r="S340" s="206" t="str">
        <f t="shared" si="25"/>
        <v>;'C PLANEACION'!$E$10:$BD$100;14;1)</v>
      </c>
      <c r="T340" s="203" t="s">
        <v>2208</v>
      </c>
      <c r="U340" s="206" t="str">
        <f t="shared" si="27"/>
        <v>=BUSCARV($E340;'C PLANEACION'!$E$10:$BD$100;14;1)</v>
      </c>
      <c r="V340" s="206"/>
      <c r="W340" s="206" t="e">
        <f>VLOOKUP($F340,#REF!,8,1)</f>
        <v>#REF!</v>
      </c>
      <c r="X340" s="206" t="e">
        <f t="shared" si="28"/>
        <v>#REF!</v>
      </c>
      <c r="Y340" s="206" t="e">
        <v>#N/A</v>
      </c>
      <c r="Z340" s="206" t="e">
        <f>VLOOKUP($F340,#REF!,9,1)</f>
        <v>#REF!</v>
      </c>
      <c r="AA340" s="206"/>
      <c r="AB340" s="206"/>
      <c r="AC340" s="206" t="e">
        <f>VLOOKUP($F340,#REF!,14,1)</f>
        <v>#REF!</v>
      </c>
      <c r="AD340" s="206" t="e">
        <f>VLOOKUP($F340,#REF!,40,0)</f>
        <v>#REF!</v>
      </c>
      <c r="AE340" s="206" t="e">
        <f t="shared" si="29"/>
        <v>#REF!</v>
      </c>
      <c r="AF340" s="206" t="e">
        <v>#N/A</v>
      </c>
      <c r="AG340" s="206" t="e">
        <f>VLOOKUP($F340,#REF!,42,0)</f>
        <v>#REF!</v>
      </c>
      <c r="AH340" s="206" t="e">
        <f t="shared" si="30"/>
        <v>#REF!</v>
      </c>
      <c r="AI340" s="206" t="e">
        <v>#N/A</v>
      </c>
      <c r="AJ340" s="206" t="e">
        <f>VLOOKUP($F340,#REF!,43,0)</f>
        <v>#REF!</v>
      </c>
    </row>
    <row r="341" spans="2:36" s="102" customFormat="1" ht="22.5">
      <c r="B341" s="97"/>
      <c r="C341" s="99" t="s">
        <v>2158</v>
      </c>
      <c r="D341" t="s">
        <v>2163</v>
      </c>
      <c r="E341" s="123" t="s">
        <v>2260</v>
      </c>
      <c r="Q341" s="206" t="s">
        <v>2161</v>
      </c>
      <c r="R341" s="206">
        <f t="shared" si="24"/>
        <v>341</v>
      </c>
      <c r="S341" s="206" t="str">
        <f t="shared" si="25"/>
        <v>;'C PLANEACION'!$E$10:$BD$100;14;1)</v>
      </c>
      <c r="T341" s="203" t="s">
        <v>2208</v>
      </c>
      <c r="U341" s="206" t="str">
        <f t="shared" si="27"/>
        <v>=BUSCARV($E341;'C PLANEACION'!$E$10:$BD$100;14;1)</v>
      </c>
      <c r="V341" s="206"/>
      <c r="W341" s="206" t="e">
        <f>VLOOKUP($F341,#REF!,8,1)</f>
        <v>#REF!</v>
      </c>
      <c r="X341" s="206" t="e">
        <f t="shared" si="28"/>
        <v>#REF!</v>
      </c>
      <c r="Y341" s="206" t="e">
        <v>#N/A</v>
      </c>
      <c r="Z341" s="206" t="e">
        <f>VLOOKUP($F341,#REF!,9,1)</f>
        <v>#REF!</v>
      </c>
      <c r="AA341" s="206"/>
      <c r="AB341" s="206"/>
      <c r="AC341" s="206" t="e">
        <f>VLOOKUP($F341,#REF!,14,1)</f>
        <v>#REF!</v>
      </c>
      <c r="AD341" s="206" t="e">
        <f>VLOOKUP($F341,#REF!,40,0)</f>
        <v>#REF!</v>
      </c>
      <c r="AE341" s="206" t="e">
        <f t="shared" si="29"/>
        <v>#REF!</v>
      </c>
      <c r="AF341" s="206" t="e">
        <v>#N/A</v>
      </c>
      <c r="AG341" s="206" t="e">
        <f>VLOOKUP($F341,#REF!,42,0)</f>
        <v>#REF!</v>
      </c>
      <c r="AH341" s="206" t="e">
        <f t="shared" si="30"/>
        <v>#REF!</v>
      </c>
      <c r="AI341" s="206" t="e">
        <v>#N/A</v>
      </c>
      <c r="AJ341" s="206" t="e">
        <f>VLOOKUP($F341,#REF!,43,0)</f>
        <v>#REF!</v>
      </c>
    </row>
    <row r="342" spans="2:36" s="102" customFormat="1" ht="22.5">
      <c r="B342" s="97"/>
      <c r="C342" s="99" t="s">
        <v>2158</v>
      </c>
      <c r="D342" t="s">
        <v>2163</v>
      </c>
      <c r="E342" s="123" t="s">
        <v>2260</v>
      </c>
      <c r="Q342" s="206" t="s">
        <v>2161</v>
      </c>
      <c r="R342" s="206">
        <f t="shared" si="24"/>
        <v>342</v>
      </c>
      <c r="S342" s="206" t="str">
        <f t="shared" si="25"/>
        <v>;'C PLANEACION'!$E$10:$BD$100;14;1)</v>
      </c>
      <c r="T342" s="203" t="s">
        <v>2208</v>
      </c>
      <c r="U342" s="206" t="str">
        <f t="shared" si="27"/>
        <v>=BUSCARV($E342;'C PLANEACION'!$E$10:$BD$100;14;1)</v>
      </c>
      <c r="V342" s="206"/>
      <c r="W342" s="206" t="e">
        <f>VLOOKUP($F342,#REF!,8,1)</f>
        <v>#REF!</v>
      </c>
      <c r="X342" s="206" t="e">
        <f t="shared" si="28"/>
        <v>#REF!</v>
      </c>
      <c r="Y342" s="206" t="e">
        <v>#N/A</v>
      </c>
      <c r="Z342" s="206" t="e">
        <f>VLOOKUP($F342,#REF!,9,1)</f>
        <v>#REF!</v>
      </c>
      <c r="AA342" s="206"/>
      <c r="AB342" s="206"/>
      <c r="AC342" s="206" t="e">
        <f>VLOOKUP($F342,#REF!,14,1)</f>
        <v>#REF!</v>
      </c>
      <c r="AD342" s="206" t="e">
        <f>VLOOKUP($F342,#REF!,40,0)</f>
        <v>#REF!</v>
      </c>
      <c r="AE342" s="206" t="e">
        <f t="shared" si="29"/>
        <v>#REF!</v>
      </c>
      <c r="AF342" s="206" t="e">
        <v>#N/A</v>
      </c>
      <c r="AG342" s="206" t="e">
        <f>VLOOKUP($F342,#REF!,42,0)</f>
        <v>#REF!</v>
      </c>
      <c r="AH342" s="206" t="e">
        <f t="shared" si="30"/>
        <v>#REF!</v>
      </c>
      <c r="AI342" s="206" t="e">
        <v>#N/A</v>
      </c>
      <c r="AJ342" s="206" t="e">
        <f>VLOOKUP($F342,#REF!,43,0)</f>
        <v>#REF!</v>
      </c>
    </row>
    <row r="343" spans="2:36" s="102" customFormat="1" ht="22.5">
      <c r="B343" s="97"/>
      <c r="C343" s="99" t="s">
        <v>2158</v>
      </c>
      <c r="D343" t="s">
        <v>2163</v>
      </c>
      <c r="E343" s="123" t="s">
        <v>2260</v>
      </c>
      <c r="Q343" s="206" t="s">
        <v>2161</v>
      </c>
      <c r="R343" s="206">
        <f t="shared" si="24"/>
        <v>343</v>
      </c>
      <c r="S343" s="206" t="str">
        <f t="shared" si="25"/>
        <v>;'C PLANEACION'!$E$10:$BD$100;14;1)</v>
      </c>
      <c r="T343" s="203" t="s">
        <v>2208</v>
      </c>
      <c r="U343" s="206" t="str">
        <f t="shared" si="27"/>
        <v>=BUSCARV($E343;'C PLANEACION'!$E$10:$BD$100;14;1)</v>
      </c>
      <c r="V343" s="206"/>
      <c r="W343" s="206" t="e">
        <f>VLOOKUP($F343,#REF!,8,1)</f>
        <v>#REF!</v>
      </c>
      <c r="X343" s="206" t="e">
        <f t="shared" si="28"/>
        <v>#REF!</v>
      </c>
      <c r="Y343" s="206" t="e">
        <v>#N/A</v>
      </c>
      <c r="Z343" s="206" t="e">
        <f>VLOOKUP($F343,#REF!,9,1)</f>
        <v>#REF!</v>
      </c>
      <c r="AA343" s="206"/>
      <c r="AB343" s="206"/>
      <c r="AC343" s="206" t="e">
        <f>VLOOKUP($F343,#REF!,14,1)</f>
        <v>#REF!</v>
      </c>
      <c r="AD343" s="206" t="e">
        <f>VLOOKUP($F343,#REF!,40,0)</f>
        <v>#REF!</v>
      </c>
      <c r="AE343" s="206" t="e">
        <f t="shared" si="29"/>
        <v>#REF!</v>
      </c>
      <c r="AF343" s="206" t="e">
        <v>#N/A</v>
      </c>
      <c r="AG343" s="206" t="e">
        <f>VLOOKUP($F343,#REF!,42,0)</f>
        <v>#REF!</v>
      </c>
      <c r="AH343" s="206" t="e">
        <f t="shared" si="30"/>
        <v>#REF!</v>
      </c>
      <c r="AI343" s="206" t="e">
        <v>#N/A</v>
      </c>
      <c r="AJ343" s="206" t="e">
        <f>VLOOKUP($F343,#REF!,43,0)</f>
        <v>#REF!</v>
      </c>
    </row>
    <row r="344" spans="2:36" s="102" customFormat="1" ht="22.5">
      <c r="B344" s="97"/>
      <c r="C344" s="99" t="s">
        <v>2158</v>
      </c>
      <c r="D344" t="s">
        <v>2163</v>
      </c>
      <c r="E344" s="123" t="s">
        <v>2260</v>
      </c>
      <c r="Q344" s="206" t="s">
        <v>2161</v>
      </c>
      <c r="R344" s="206">
        <f t="shared" si="24"/>
        <v>344</v>
      </c>
      <c r="S344" s="206" t="str">
        <f t="shared" si="25"/>
        <v>;'C PLANEACION'!$E$10:$BD$100;14;1)</v>
      </c>
      <c r="T344" s="203" t="s">
        <v>2208</v>
      </c>
      <c r="U344" s="206" t="str">
        <f t="shared" si="27"/>
        <v>=BUSCARV($E344;'C PLANEACION'!$E$10:$BD$100;14;1)</v>
      </c>
      <c r="V344" s="206"/>
      <c r="W344" s="206" t="e">
        <f>VLOOKUP($F344,#REF!,8,1)</f>
        <v>#REF!</v>
      </c>
      <c r="X344" s="206" t="e">
        <f t="shared" si="28"/>
        <v>#REF!</v>
      </c>
      <c r="Y344" s="206" t="e">
        <v>#N/A</v>
      </c>
      <c r="Z344" s="206" t="e">
        <f>VLOOKUP($F344,#REF!,9,1)</f>
        <v>#REF!</v>
      </c>
      <c r="AA344" s="206"/>
      <c r="AB344" s="206"/>
      <c r="AC344" s="206" t="e">
        <f>VLOOKUP($F344,#REF!,14,1)</f>
        <v>#REF!</v>
      </c>
      <c r="AD344" s="206" t="e">
        <f>VLOOKUP($F344,#REF!,40,0)</f>
        <v>#REF!</v>
      </c>
      <c r="AE344" s="206" t="e">
        <f t="shared" si="29"/>
        <v>#REF!</v>
      </c>
      <c r="AF344" s="206" t="e">
        <v>#N/A</v>
      </c>
      <c r="AG344" s="206" t="e">
        <f>VLOOKUP($F344,#REF!,42,0)</f>
        <v>#REF!</v>
      </c>
      <c r="AH344" s="206" t="e">
        <f t="shared" si="30"/>
        <v>#REF!</v>
      </c>
      <c r="AI344" s="206" t="e">
        <v>#N/A</v>
      </c>
      <c r="AJ344" s="206" t="e">
        <f>VLOOKUP($F344,#REF!,43,0)</f>
        <v>#REF!</v>
      </c>
    </row>
    <row r="345" spans="2:36" s="102" customFormat="1" ht="22.5">
      <c r="B345" s="97"/>
      <c r="C345" s="99" t="s">
        <v>2158</v>
      </c>
      <c r="D345" t="s">
        <v>2163</v>
      </c>
      <c r="E345" s="123" t="s">
        <v>2260</v>
      </c>
      <c r="Q345" s="206" t="s">
        <v>2161</v>
      </c>
      <c r="R345" s="206">
        <f t="shared" si="24"/>
        <v>345</v>
      </c>
      <c r="S345" s="206" t="str">
        <f t="shared" si="25"/>
        <v>;'C PLANEACION'!$E$10:$BD$100;14;1)</v>
      </c>
      <c r="T345" s="203" t="s">
        <v>2208</v>
      </c>
      <c r="U345" s="206" t="str">
        <f t="shared" si="27"/>
        <v>=BUSCARV($E345;'C PLANEACION'!$E$10:$BD$100;14;1)</v>
      </c>
      <c r="V345" s="206"/>
      <c r="W345" s="206" t="e">
        <f>VLOOKUP($F345,#REF!,8,1)</f>
        <v>#REF!</v>
      </c>
      <c r="X345" s="206" t="e">
        <f t="shared" si="28"/>
        <v>#REF!</v>
      </c>
      <c r="Y345" s="206" t="e">
        <v>#N/A</v>
      </c>
      <c r="Z345" s="206" t="e">
        <f>VLOOKUP($F345,#REF!,9,1)</f>
        <v>#REF!</v>
      </c>
      <c r="AA345" s="206"/>
      <c r="AB345" s="206"/>
      <c r="AC345" s="206" t="e">
        <f>VLOOKUP($F345,#REF!,14,1)</f>
        <v>#REF!</v>
      </c>
      <c r="AD345" s="206" t="e">
        <f>VLOOKUP($F345,#REF!,40,0)</f>
        <v>#REF!</v>
      </c>
      <c r="AE345" s="206" t="e">
        <f t="shared" si="29"/>
        <v>#REF!</v>
      </c>
      <c r="AF345" s="206" t="e">
        <v>#N/A</v>
      </c>
      <c r="AG345" s="206" t="e">
        <f>VLOOKUP($F345,#REF!,42,0)</f>
        <v>#REF!</v>
      </c>
      <c r="AH345" s="206" t="e">
        <f t="shared" si="30"/>
        <v>#REF!</v>
      </c>
      <c r="AI345" s="206" t="e">
        <v>#N/A</v>
      </c>
      <c r="AJ345" s="206" t="e">
        <f>VLOOKUP($F345,#REF!,43,0)</f>
        <v>#REF!</v>
      </c>
    </row>
    <row r="346" spans="2:36" s="102" customFormat="1" ht="22.5">
      <c r="B346" s="97"/>
      <c r="C346" s="99" t="s">
        <v>2158</v>
      </c>
      <c r="D346" t="s">
        <v>2163</v>
      </c>
      <c r="E346" s="123" t="s">
        <v>2260</v>
      </c>
      <c r="Q346" s="206" t="s">
        <v>2161</v>
      </c>
      <c r="R346" s="206">
        <f t="shared" si="24"/>
        <v>346</v>
      </c>
      <c r="S346" s="206" t="str">
        <f t="shared" si="25"/>
        <v>;'C PLANEACION'!$E$10:$BD$100;14;1)</v>
      </c>
      <c r="T346" s="203" t="s">
        <v>2208</v>
      </c>
      <c r="U346" s="206" t="str">
        <f t="shared" si="27"/>
        <v>=BUSCARV($E346;'C PLANEACION'!$E$10:$BD$100;14;1)</v>
      </c>
      <c r="V346" s="206"/>
      <c r="W346" s="206" t="e">
        <f>VLOOKUP($F346,#REF!,8,1)</f>
        <v>#REF!</v>
      </c>
      <c r="X346" s="206" t="e">
        <f t="shared" si="28"/>
        <v>#REF!</v>
      </c>
      <c r="Y346" s="206" t="e">
        <v>#N/A</v>
      </c>
      <c r="Z346" s="206" t="e">
        <f>VLOOKUP($F346,#REF!,9,1)</f>
        <v>#REF!</v>
      </c>
      <c r="AA346" s="206"/>
      <c r="AB346" s="206"/>
      <c r="AC346" s="206" t="e">
        <f>VLOOKUP($F346,#REF!,14,1)</f>
        <v>#REF!</v>
      </c>
      <c r="AD346" s="206" t="e">
        <f>VLOOKUP($F346,#REF!,40,0)</f>
        <v>#REF!</v>
      </c>
      <c r="AE346" s="206" t="e">
        <f t="shared" si="29"/>
        <v>#REF!</v>
      </c>
      <c r="AF346" s="206" t="e">
        <v>#N/A</v>
      </c>
      <c r="AG346" s="206" t="e">
        <f>VLOOKUP($F346,#REF!,42,0)</f>
        <v>#REF!</v>
      </c>
      <c r="AH346" s="206" t="e">
        <f t="shared" si="30"/>
        <v>#REF!</v>
      </c>
      <c r="AI346" s="206" t="e">
        <v>#N/A</v>
      </c>
      <c r="AJ346" s="206" t="e">
        <f>VLOOKUP($F346,#REF!,43,0)</f>
        <v>#REF!</v>
      </c>
    </row>
    <row r="347" spans="2:36" s="102" customFormat="1" ht="22.5">
      <c r="B347" s="97"/>
      <c r="C347" s="99" t="s">
        <v>2158</v>
      </c>
      <c r="D347" t="s">
        <v>2163</v>
      </c>
      <c r="E347" s="123" t="s">
        <v>2260</v>
      </c>
      <c r="Q347" s="206" t="s">
        <v>2161</v>
      </c>
      <c r="R347" s="206">
        <f t="shared" si="24"/>
        <v>347</v>
      </c>
      <c r="S347" s="206" t="str">
        <f t="shared" si="25"/>
        <v>;'C PLANEACION'!$E$10:$BD$100;14;1)</v>
      </c>
      <c r="T347" s="203" t="s">
        <v>2208</v>
      </c>
      <c r="U347" s="206" t="str">
        <f t="shared" si="27"/>
        <v>=BUSCARV($E347;'C PLANEACION'!$E$10:$BD$100;14;1)</v>
      </c>
      <c r="V347" s="206"/>
      <c r="W347" s="206" t="e">
        <f>VLOOKUP($F347,#REF!,8,1)</f>
        <v>#REF!</v>
      </c>
      <c r="X347" s="206" t="e">
        <f t="shared" si="28"/>
        <v>#REF!</v>
      </c>
      <c r="Y347" s="206" t="e">
        <v>#N/A</v>
      </c>
      <c r="Z347" s="206" t="e">
        <f>VLOOKUP($F347,#REF!,9,1)</f>
        <v>#REF!</v>
      </c>
      <c r="AA347" s="206"/>
      <c r="AB347" s="206"/>
      <c r="AC347" s="206" t="e">
        <f>VLOOKUP($F347,#REF!,14,1)</f>
        <v>#REF!</v>
      </c>
      <c r="AD347" s="206" t="e">
        <f>VLOOKUP($F347,#REF!,40,0)</f>
        <v>#REF!</v>
      </c>
      <c r="AE347" s="206" t="e">
        <f t="shared" si="29"/>
        <v>#REF!</v>
      </c>
      <c r="AF347" s="206" t="e">
        <v>#N/A</v>
      </c>
      <c r="AG347" s="206" t="e">
        <f>VLOOKUP($F347,#REF!,42,0)</f>
        <v>#REF!</v>
      </c>
      <c r="AH347" s="206" t="e">
        <f t="shared" si="30"/>
        <v>#REF!</v>
      </c>
      <c r="AI347" s="206" t="e">
        <v>#N/A</v>
      </c>
      <c r="AJ347" s="206" t="e">
        <f>VLOOKUP($F347,#REF!,43,0)</f>
        <v>#REF!</v>
      </c>
    </row>
    <row r="348" spans="2:36" s="102" customFormat="1" ht="22.5">
      <c r="B348" s="97"/>
      <c r="C348" s="99" t="s">
        <v>2158</v>
      </c>
      <c r="D348" t="s">
        <v>2163</v>
      </c>
      <c r="E348" s="123" t="s">
        <v>2260</v>
      </c>
      <c r="Q348" s="206" t="s">
        <v>2161</v>
      </c>
      <c r="R348" s="206">
        <f t="shared" si="24"/>
        <v>348</v>
      </c>
      <c r="S348" s="206" t="str">
        <f t="shared" si="25"/>
        <v>;'C PLANEACION'!$E$10:$BD$100;14;1)</v>
      </c>
      <c r="T348" s="203" t="s">
        <v>2208</v>
      </c>
      <c r="U348" s="206" t="str">
        <f t="shared" si="27"/>
        <v>=BUSCARV($E348;'C PLANEACION'!$E$10:$BD$100;14;1)</v>
      </c>
      <c r="V348" s="206"/>
      <c r="W348" s="206" t="e">
        <f>VLOOKUP($F348,#REF!,8,1)</f>
        <v>#REF!</v>
      </c>
      <c r="X348" s="206" t="e">
        <f t="shared" si="28"/>
        <v>#REF!</v>
      </c>
      <c r="Y348" s="206" t="e">
        <v>#N/A</v>
      </c>
      <c r="Z348" s="206" t="e">
        <f>VLOOKUP($F348,#REF!,9,1)</f>
        <v>#REF!</v>
      </c>
      <c r="AA348" s="206"/>
      <c r="AB348" s="206"/>
      <c r="AC348" s="206" t="e">
        <f>VLOOKUP($F348,#REF!,14,1)</f>
        <v>#REF!</v>
      </c>
      <c r="AD348" s="206" t="e">
        <f>VLOOKUP($F348,#REF!,40,0)</f>
        <v>#REF!</v>
      </c>
      <c r="AE348" s="206" t="e">
        <f t="shared" si="29"/>
        <v>#REF!</v>
      </c>
      <c r="AF348" s="206" t="e">
        <v>#N/A</v>
      </c>
      <c r="AG348" s="206" t="e">
        <f>VLOOKUP($F348,#REF!,42,0)</f>
        <v>#REF!</v>
      </c>
      <c r="AH348" s="206" t="e">
        <f t="shared" si="30"/>
        <v>#REF!</v>
      </c>
      <c r="AI348" s="206" t="e">
        <v>#N/A</v>
      </c>
      <c r="AJ348" s="206" t="e">
        <f>VLOOKUP($F348,#REF!,43,0)</f>
        <v>#REF!</v>
      </c>
    </row>
    <row r="349" spans="2:36" s="102" customFormat="1" ht="22.5">
      <c r="B349" s="97"/>
      <c r="C349" s="99" t="s">
        <v>2158</v>
      </c>
      <c r="D349" t="s">
        <v>2163</v>
      </c>
      <c r="E349" s="123" t="s">
        <v>2260</v>
      </c>
      <c r="Q349" s="206" t="s">
        <v>2161</v>
      </c>
      <c r="R349" s="206">
        <f t="shared" si="24"/>
        <v>349</v>
      </c>
      <c r="S349" s="206" t="str">
        <f t="shared" si="25"/>
        <v>;'C PLANEACION'!$E$10:$BD$100;14;1)</v>
      </c>
      <c r="T349" s="203" t="s">
        <v>2208</v>
      </c>
      <c r="U349" s="206" t="str">
        <f t="shared" si="27"/>
        <v>=BUSCARV($E349;'C PLANEACION'!$E$10:$BD$100;14;1)</v>
      </c>
      <c r="V349" s="206"/>
      <c r="W349" s="206" t="e">
        <f>VLOOKUP($F349,#REF!,8,1)</f>
        <v>#REF!</v>
      </c>
      <c r="X349" s="206" t="e">
        <f t="shared" si="28"/>
        <v>#REF!</v>
      </c>
      <c r="Y349" s="206" t="e">
        <v>#N/A</v>
      </c>
      <c r="Z349" s="206" t="e">
        <f>VLOOKUP($F349,#REF!,9,1)</f>
        <v>#REF!</v>
      </c>
      <c r="AA349" s="206"/>
      <c r="AB349" s="206"/>
      <c r="AC349" s="206" t="e">
        <f>VLOOKUP($F349,#REF!,14,1)</f>
        <v>#REF!</v>
      </c>
      <c r="AD349" s="206" t="e">
        <f>VLOOKUP($F349,#REF!,40,0)</f>
        <v>#REF!</v>
      </c>
      <c r="AE349" s="206" t="e">
        <f t="shared" si="29"/>
        <v>#REF!</v>
      </c>
      <c r="AF349" s="206" t="e">
        <v>#N/A</v>
      </c>
      <c r="AG349" s="206" t="e">
        <f>VLOOKUP($F349,#REF!,42,0)</f>
        <v>#REF!</v>
      </c>
      <c r="AH349" s="206" t="e">
        <f t="shared" si="30"/>
        <v>#REF!</v>
      </c>
      <c r="AI349" s="206" t="e">
        <v>#N/A</v>
      </c>
      <c r="AJ349" s="206" t="e">
        <f>VLOOKUP($F349,#REF!,43,0)</f>
        <v>#REF!</v>
      </c>
    </row>
    <row r="350" spans="2:36" s="102" customFormat="1" ht="22.5">
      <c r="B350" s="97"/>
      <c r="C350" s="111" t="s">
        <v>1916</v>
      </c>
      <c r="D350" t="s">
        <v>2164</v>
      </c>
      <c r="E350" s="123" t="s">
        <v>2260</v>
      </c>
      <c r="F350" s="102" t="s">
        <v>2029</v>
      </c>
      <c r="G350" s="97" t="s">
        <v>1929</v>
      </c>
      <c r="Q350" s="206" t="s">
        <v>2161</v>
      </c>
      <c r="R350" s="206">
        <f t="shared" si="24"/>
        <v>350</v>
      </c>
      <c r="S350" s="206" t="str">
        <f t="shared" si="25"/>
        <v>;'C INNOVACION'!$E$10:$BD$100;14;1)</v>
      </c>
      <c r="T350" s="203" t="s">
        <v>2209</v>
      </c>
      <c r="U350" s="206" t="str">
        <f>CONCATENATE("=BUSCARV($E",R350,T350)</f>
        <v>=BUSCARV($E350;'C INNOVACION'!$E$10:$BD$100;14;1)</v>
      </c>
      <c r="V350" s="206"/>
      <c r="W350" s="206" t="e">
        <f>VLOOKUP($F350,#REF!,8,1)</f>
        <v>#REF!</v>
      </c>
      <c r="X350" s="206" t="e">
        <f t="shared" si="28"/>
        <v>#REF!</v>
      </c>
      <c r="Y350" s="206">
        <v>1</v>
      </c>
      <c r="Z350" s="206" t="e">
        <f>VLOOKUP($F350,#REF!,9,1)</f>
        <v>#REF!</v>
      </c>
      <c r="AA350" s="206" t="e">
        <f>IF(Z350="Catastrófico",20,IF(Z350="Mayor",10,5))</f>
        <v>#REF!</v>
      </c>
      <c r="AB350" s="206">
        <v>10</v>
      </c>
      <c r="AC350" s="206" t="e">
        <f>VLOOKUP($F350,#REF!,14,1)</f>
        <v>#REF!</v>
      </c>
      <c r="AD350" s="206" t="e">
        <f>VLOOKUP($F350,#REF!,40,0)</f>
        <v>#REF!</v>
      </c>
      <c r="AE350" s="206" t="e">
        <f t="shared" si="29"/>
        <v>#REF!</v>
      </c>
      <c r="AF350" s="206">
        <v>1</v>
      </c>
      <c r="AG350" s="206" t="e">
        <f>VLOOKUP($F350,#REF!,42,0)</f>
        <v>#REF!</v>
      </c>
      <c r="AH350" s="206" t="e">
        <f t="shared" si="30"/>
        <v>#REF!</v>
      </c>
      <c r="AI350" s="206">
        <v>10</v>
      </c>
      <c r="AJ350" s="206" t="e">
        <f>VLOOKUP($F350,#REF!,43,0)</f>
        <v>#REF!</v>
      </c>
    </row>
    <row r="351" spans="2:36" s="102" customFormat="1" ht="22.5">
      <c r="B351" s="97"/>
      <c r="C351" s="111" t="s">
        <v>1916</v>
      </c>
      <c r="D351" t="s">
        <v>2164</v>
      </c>
      <c r="E351" s="123" t="s">
        <v>2260</v>
      </c>
      <c r="F351" s="102" t="s">
        <v>2030</v>
      </c>
      <c r="G351" s="97" t="s">
        <v>1929</v>
      </c>
      <c r="Q351" s="206" t="s">
        <v>2161</v>
      </c>
      <c r="R351" s="206">
        <f t="shared" si="24"/>
        <v>351</v>
      </c>
      <c r="S351" s="206" t="str">
        <f t="shared" si="25"/>
        <v>;'C INNOVACION'!$E$10:$BD$100;14;1)</v>
      </c>
      <c r="T351" s="203" t="s">
        <v>2209</v>
      </c>
      <c r="U351" s="206" t="str">
        <f t="shared" ref="U351:U360" si="31">CONCATENATE("=BUSCARV($E",R351,T351)</f>
        <v>=BUSCARV($E351;'C INNOVACION'!$E$10:$BD$100;14;1)</v>
      </c>
      <c r="V351" s="206"/>
      <c r="W351" s="206" t="e">
        <f>VLOOKUP($F351,#REF!,8,1)</f>
        <v>#REF!</v>
      </c>
      <c r="X351" s="206" t="e">
        <f t="shared" si="28"/>
        <v>#REF!</v>
      </c>
      <c r="Y351" s="206">
        <v>1</v>
      </c>
      <c r="Z351" s="206" t="e">
        <f>VLOOKUP($F351,#REF!,9,1)</f>
        <v>#REF!</v>
      </c>
      <c r="AA351" s="206" t="e">
        <f>IF(Z351="Catastrófico",20,IF(Z351="Mayor",10,5))</f>
        <v>#REF!</v>
      </c>
      <c r="AB351" s="206">
        <v>20</v>
      </c>
      <c r="AC351" s="206" t="e">
        <f>VLOOKUP($F351,#REF!,14,1)</f>
        <v>#REF!</v>
      </c>
      <c r="AD351" s="206" t="e">
        <f>VLOOKUP($F351,#REF!,40,0)</f>
        <v>#REF!</v>
      </c>
      <c r="AE351" s="206" t="e">
        <f t="shared" si="29"/>
        <v>#REF!</v>
      </c>
      <c r="AF351" s="206">
        <v>1</v>
      </c>
      <c r="AG351" s="206" t="e">
        <f>VLOOKUP($F351,#REF!,42,0)</f>
        <v>#REF!</v>
      </c>
      <c r="AH351" s="206" t="e">
        <f t="shared" si="30"/>
        <v>#REF!</v>
      </c>
      <c r="AI351" s="206">
        <v>20</v>
      </c>
      <c r="AJ351" s="206" t="e">
        <f>VLOOKUP($F351,#REF!,43,0)</f>
        <v>#REF!</v>
      </c>
    </row>
    <row r="352" spans="2:36" s="102" customFormat="1" ht="22.5">
      <c r="B352" s="97"/>
      <c r="C352" s="111" t="s">
        <v>1916</v>
      </c>
      <c r="D352" t="s">
        <v>2164</v>
      </c>
      <c r="E352" s="123" t="s">
        <v>2260</v>
      </c>
      <c r="Q352" s="206" t="s">
        <v>2161</v>
      </c>
      <c r="R352" s="206">
        <f t="shared" si="24"/>
        <v>352</v>
      </c>
      <c r="S352" s="206" t="str">
        <f t="shared" si="25"/>
        <v>;'C INNOVACION'!$E$10:$BD$100;14;1)</v>
      </c>
      <c r="T352" s="203" t="s">
        <v>2209</v>
      </c>
      <c r="U352" s="206" t="str">
        <f t="shared" si="31"/>
        <v>=BUSCARV($E352;'C INNOVACION'!$E$10:$BD$100;14;1)</v>
      </c>
      <c r="V352" s="206"/>
      <c r="W352" s="206" t="e">
        <f>VLOOKUP($F352,#REF!,8,1)</f>
        <v>#REF!</v>
      </c>
      <c r="X352" s="206" t="e">
        <f t="shared" si="28"/>
        <v>#REF!</v>
      </c>
      <c r="Y352" s="206" t="e">
        <v>#N/A</v>
      </c>
      <c r="Z352" s="206" t="e">
        <f>VLOOKUP($F352,#REF!,9,1)</f>
        <v>#REF!</v>
      </c>
      <c r="AA352" s="206"/>
      <c r="AB352" s="206"/>
      <c r="AC352" s="206" t="e">
        <f>VLOOKUP($F352,#REF!,14,1)</f>
        <v>#REF!</v>
      </c>
      <c r="AD352" s="206" t="e">
        <f>VLOOKUP($F352,#REF!,40,0)</f>
        <v>#REF!</v>
      </c>
      <c r="AE352" s="206" t="e">
        <f t="shared" si="29"/>
        <v>#REF!</v>
      </c>
      <c r="AF352" s="206" t="e">
        <v>#N/A</v>
      </c>
      <c r="AG352" s="206" t="e">
        <f>VLOOKUP($F352,#REF!,42,0)</f>
        <v>#REF!</v>
      </c>
      <c r="AH352" s="206" t="e">
        <f t="shared" si="30"/>
        <v>#REF!</v>
      </c>
      <c r="AI352" s="206" t="e">
        <v>#N/A</v>
      </c>
      <c r="AJ352" s="206" t="e">
        <f>VLOOKUP($F352,#REF!,43,0)</f>
        <v>#REF!</v>
      </c>
    </row>
    <row r="353" spans="2:36" s="102" customFormat="1" ht="22.5">
      <c r="B353" s="97"/>
      <c r="C353" s="111" t="s">
        <v>1916</v>
      </c>
      <c r="D353" t="s">
        <v>2164</v>
      </c>
      <c r="E353" s="123" t="s">
        <v>2260</v>
      </c>
      <c r="Q353" s="206" t="s">
        <v>2161</v>
      </c>
      <c r="R353" s="206">
        <f t="shared" si="24"/>
        <v>353</v>
      </c>
      <c r="S353" s="206" t="str">
        <f t="shared" si="25"/>
        <v>;'C INNOVACION'!$E$10:$BD$100;14;1)</v>
      </c>
      <c r="T353" s="203" t="s">
        <v>2209</v>
      </c>
      <c r="U353" s="206" t="str">
        <f t="shared" si="31"/>
        <v>=BUSCARV($E353;'C INNOVACION'!$E$10:$BD$100;14;1)</v>
      </c>
      <c r="V353" s="206"/>
      <c r="W353" s="206" t="e">
        <f>VLOOKUP($F353,#REF!,8,1)</f>
        <v>#REF!</v>
      </c>
      <c r="X353" s="206" t="e">
        <f t="shared" si="28"/>
        <v>#REF!</v>
      </c>
      <c r="Y353" s="206" t="e">
        <v>#N/A</v>
      </c>
      <c r="Z353" s="206" t="e">
        <f>VLOOKUP($F353,#REF!,9,1)</f>
        <v>#REF!</v>
      </c>
      <c r="AA353" s="206"/>
      <c r="AB353" s="206"/>
      <c r="AC353" s="206" t="e">
        <f>VLOOKUP($F353,#REF!,14,1)</f>
        <v>#REF!</v>
      </c>
      <c r="AD353" s="206" t="e">
        <f>VLOOKUP($F353,#REF!,40,0)</f>
        <v>#REF!</v>
      </c>
      <c r="AE353" s="206" t="e">
        <f t="shared" si="29"/>
        <v>#REF!</v>
      </c>
      <c r="AF353" s="206" t="e">
        <v>#N/A</v>
      </c>
      <c r="AG353" s="206" t="e">
        <f>VLOOKUP($F353,#REF!,42,0)</f>
        <v>#REF!</v>
      </c>
      <c r="AH353" s="206" t="e">
        <f t="shared" si="30"/>
        <v>#REF!</v>
      </c>
      <c r="AI353" s="206" t="e">
        <v>#N/A</v>
      </c>
      <c r="AJ353" s="206" t="e">
        <f>VLOOKUP($F353,#REF!,43,0)</f>
        <v>#REF!</v>
      </c>
    </row>
    <row r="354" spans="2:36" s="102" customFormat="1" ht="22.5">
      <c r="B354" s="97"/>
      <c r="C354" s="111" t="s">
        <v>1916</v>
      </c>
      <c r="D354" t="s">
        <v>2164</v>
      </c>
      <c r="E354" s="123" t="s">
        <v>2260</v>
      </c>
      <c r="Q354" s="206" t="s">
        <v>2161</v>
      </c>
      <c r="R354" s="206">
        <f t="shared" si="24"/>
        <v>354</v>
      </c>
      <c r="S354" s="206" t="str">
        <f t="shared" si="25"/>
        <v>;'C INNOVACION'!$E$10:$BD$100;14;1)</v>
      </c>
      <c r="T354" s="203" t="s">
        <v>2209</v>
      </c>
      <c r="U354" s="206" t="str">
        <f t="shared" si="31"/>
        <v>=BUSCARV($E354;'C INNOVACION'!$E$10:$BD$100;14;1)</v>
      </c>
      <c r="V354" s="206"/>
      <c r="W354" s="206" t="e">
        <f>VLOOKUP($F354,#REF!,8,1)</f>
        <v>#REF!</v>
      </c>
      <c r="X354" s="206" t="e">
        <f t="shared" si="28"/>
        <v>#REF!</v>
      </c>
      <c r="Y354" s="206" t="e">
        <v>#N/A</v>
      </c>
      <c r="Z354" s="206" t="e">
        <f>VLOOKUP($F354,#REF!,9,1)</f>
        <v>#REF!</v>
      </c>
      <c r="AA354" s="206"/>
      <c r="AB354" s="206"/>
      <c r="AC354" s="206" t="e">
        <f>VLOOKUP($F354,#REF!,14,1)</f>
        <v>#REF!</v>
      </c>
      <c r="AD354" s="206" t="e">
        <f>VLOOKUP($F354,#REF!,40,0)</f>
        <v>#REF!</v>
      </c>
      <c r="AE354" s="206" t="e">
        <f t="shared" si="29"/>
        <v>#REF!</v>
      </c>
      <c r="AF354" s="206" t="e">
        <v>#N/A</v>
      </c>
      <c r="AG354" s="206" t="e">
        <f>VLOOKUP($F354,#REF!,42,0)</f>
        <v>#REF!</v>
      </c>
      <c r="AH354" s="206" t="e">
        <f t="shared" si="30"/>
        <v>#REF!</v>
      </c>
      <c r="AI354" s="206" t="e">
        <v>#N/A</v>
      </c>
      <c r="AJ354" s="206" t="e">
        <f>VLOOKUP($F354,#REF!,43,0)</f>
        <v>#REF!</v>
      </c>
    </row>
    <row r="355" spans="2:36" s="102" customFormat="1" ht="22.5">
      <c r="B355" s="97"/>
      <c r="C355" s="111" t="s">
        <v>1916</v>
      </c>
      <c r="D355" t="s">
        <v>2164</v>
      </c>
      <c r="E355" s="123" t="s">
        <v>2260</v>
      </c>
      <c r="Q355" s="206" t="s">
        <v>2161</v>
      </c>
      <c r="R355" s="206">
        <f t="shared" si="24"/>
        <v>355</v>
      </c>
      <c r="S355" s="206" t="str">
        <f t="shared" si="25"/>
        <v>;'C INNOVACION'!$E$10:$BD$100;14;1)</v>
      </c>
      <c r="T355" s="203" t="s">
        <v>2209</v>
      </c>
      <c r="U355" s="206" t="str">
        <f t="shared" si="31"/>
        <v>=BUSCARV($E355;'C INNOVACION'!$E$10:$BD$100;14;1)</v>
      </c>
      <c r="V355" s="206"/>
      <c r="W355" s="206" t="e">
        <f>VLOOKUP($F355,#REF!,8,1)</f>
        <v>#REF!</v>
      </c>
      <c r="X355" s="206" t="e">
        <f t="shared" si="28"/>
        <v>#REF!</v>
      </c>
      <c r="Y355" s="206" t="e">
        <v>#N/A</v>
      </c>
      <c r="Z355" s="206" t="e">
        <f>VLOOKUP($F355,#REF!,9,1)</f>
        <v>#REF!</v>
      </c>
      <c r="AA355" s="206"/>
      <c r="AB355" s="206"/>
      <c r="AC355" s="206" t="e">
        <f>VLOOKUP($F355,#REF!,14,1)</f>
        <v>#REF!</v>
      </c>
      <c r="AD355" s="206" t="e">
        <f>VLOOKUP($F355,#REF!,40,0)</f>
        <v>#REF!</v>
      </c>
      <c r="AE355" s="206" t="e">
        <f t="shared" si="29"/>
        <v>#REF!</v>
      </c>
      <c r="AF355" s="206" t="e">
        <v>#N/A</v>
      </c>
      <c r="AG355" s="206" t="e">
        <f>VLOOKUP($F355,#REF!,42,0)</f>
        <v>#REF!</v>
      </c>
      <c r="AH355" s="206" t="e">
        <f t="shared" si="30"/>
        <v>#REF!</v>
      </c>
      <c r="AI355" s="206" t="e">
        <v>#N/A</v>
      </c>
      <c r="AJ355" s="206" t="e">
        <f>VLOOKUP($F355,#REF!,43,0)</f>
        <v>#REF!</v>
      </c>
    </row>
    <row r="356" spans="2:36" s="102" customFormat="1" ht="22.5">
      <c r="B356" s="97"/>
      <c r="C356" s="111" t="s">
        <v>1916</v>
      </c>
      <c r="D356" t="s">
        <v>2164</v>
      </c>
      <c r="E356" s="123" t="s">
        <v>2260</v>
      </c>
      <c r="Q356" s="206" t="s">
        <v>2161</v>
      </c>
      <c r="R356" s="206">
        <f t="shared" si="24"/>
        <v>356</v>
      </c>
      <c r="S356" s="206" t="str">
        <f t="shared" si="25"/>
        <v>;'C INNOVACION'!$E$10:$BD$100;14;1)</v>
      </c>
      <c r="T356" s="203" t="s">
        <v>2209</v>
      </c>
      <c r="U356" s="206" t="str">
        <f t="shared" si="31"/>
        <v>=BUSCARV($E356;'C INNOVACION'!$E$10:$BD$100;14;1)</v>
      </c>
      <c r="V356" s="206"/>
      <c r="W356" s="206" t="e">
        <f>VLOOKUP($F356,#REF!,8,1)</f>
        <v>#REF!</v>
      </c>
      <c r="X356" s="206" t="e">
        <f t="shared" si="28"/>
        <v>#REF!</v>
      </c>
      <c r="Y356" s="206" t="e">
        <v>#N/A</v>
      </c>
      <c r="Z356" s="206" t="e">
        <f>VLOOKUP($F356,#REF!,9,1)</f>
        <v>#REF!</v>
      </c>
      <c r="AA356" s="206"/>
      <c r="AB356" s="206"/>
      <c r="AC356" s="206" t="e">
        <f>VLOOKUP($F356,#REF!,14,1)</f>
        <v>#REF!</v>
      </c>
      <c r="AD356" s="206" t="e">
        <f>VLOOKUP($F356,#REF!,40,0)</f>
        <v>#REF!</v>
      </c>
      <c r="AE356" s="206" t="e">
        <f t="shared" si="29"/>
        <v>#REF!</v>
      </c>
      <c r="AF356" s="206" t="e">
        <v>#N/A</v>
      </c>
      <c r="AG356" s="206" t="e">
        <f>VLOOKUP($F356,#REF!,42,0)</f>
        <v>#REF!</v>
      </c>
      <c r="AH356" s="206" t="e">
        <f t="shared" si="30"/>
        <v>#REF!</v>
      </c>
      <c r="AI356" s="206" t="e">
        <v>#N/A</v>
      </c>
      <c r="AJ356" s="206" t="e">
        <f>VLOOKUP($F356,#REF!,43,0)</f>
        <v>#REF!</v>
      </c>
    </row>
    <row r="357" spans="2:36" s="102" customFormat="1" ht="22.5">
      <c r="B357" s="97"/>
      <c r="C357" s="111" t="s">
        <v>1916</v>
      </c>
      <c r="D357" t="s">
        <v>2164</v>
      </c>
      <c r="E357" s="123" t="s">
        <v>2260</v>
      </c>
      <c r="Q357" s="206" t="s">
        <v>2161</v>
      </c>
      <c r="R357" s="206">
        <f t="shared" si="24"/>
        <v>357</v>
      </c>
      <c r="S357" s="206" t="str">
        <f t="shared" si="25"/>
        <v>;'C INNOVACION'!$E$10:$BD$100;14;1)</v>
      </c>
      <c r="T357" s="203" t="s">
        <v>2209</v>
      </c>
      <c r="U357" s="206" t="str">
        <f t="shared" si="31"/>
        <v>=BUSCARV($E357;'C INNOVACION'!$E$10:$BD$100;14;1)</v>
      </c>
      <c r="V357" s="206"/>
      <c r="W357" s="206" t="e">
        <f>VLOOKUP($F357,#REF!,8,1)</f>
        <v>#REF!</v>
      </c>
      <c r="X357" s="206" t="e">
        <f t="shared" si="28"/>
        <v>#REF!</v>
      </c>
      <c r="Y357" s="206" t="e">
        <v>#N/A</v>
      </c>
      <c r="Z357" s="206" t="e">
        <f>VLOOKUP($F357,#REF!,9,1)</f>
        <v>#REF!</v>
      </c>
      <c r="AA357" s="206"/>
      <c r="AB357" s="206"/>
      <c r="AC357" s="206" t="e">
        <f>VLOOKUP($F357,#REF!,14,1)</f>
        <v>#REF!</v>
      </c>
      <c r="AD357" s="206" t="e">
        <f>VLOOKUP($F357,#REF!,40,0)</f>
        <v>#REF!</v>
      </c>
      <c r="AE357" s="206" t="e">
        <f t="shared" si="29"/>
        <v>#REF!</v>
      </c>
      <c r="AF357" s="206" t="e">
        <v>#N/A</v>
      </c>
      <c r="AG357" s="206" t="e">
        <f>VLOOKUP($F357,#REF!,42,0)</f>
        <v>#REF!</v>
      </c>
      <c r="AH357" s="206" t="e">
        <f t="shared" si="30"/>
        <v>#REF!</v>
      </c>
      <c r="AI357" s="206" t="e">
        <v>#N/A</v>
      </c>
      <c r="AJ357" s="206" t="e">
        <f>VLOOKUP($F357,#REF!,43,0)</f>
        <v>#REF!</v>
      </c>
    </row>
    <row r="358" spans="2:36" s="102" customFormat="1" ht="22.5">
      <c r="B358" s="97"/>
      <c r="C358" s="111" t="s">
        <v>1916</v>
      </c>
      <c r="D358" t="s">
        <v>2164</v>
      </c>
      <c r="E358" s="123" t="s">
        <v>2260</v>
      </c>
      <c r="Q358" s="206" t="s">
        <v>2161</v>
      </c>
      <c r="R358" s="206">
        <f t="shared" si="24"/>
        <v>358</v>
      </c>
      <c r="S358" s="206" t="str">
        <f t="shared" si="25"/>
        <v>;'C INNOVACION'!$E$10:$BD$100;14;1)</v>
      </c>
      <c r="T358" s="203" t="s">
        <v>2209</v>
      </c>
      <c r="U358" s="206" t="str">
        <f t="shared" si="31"/>
        <v>=BUSCARV($E358;'C INNOVACION'!$E$10:$BD$100;14;1)</v>
      </c>
      <c r="V358" s="206"/>
      <c r="W358" s="206" t="e">
        <f>VLOOKUP($F358,#REF!,8,1)</f>
        <v>#REF!</v>
      </c>
      <c r="X358" s="206" t="e">
        <f t="shared" si="28"/>
        <v>#REF!</v>
      </c>
      <c r="Y358" s="206" t="e">
        <v>#N/A</v>
      </c>
      <c r="Z358" s="206" t="e">
        <f>VLOOKUP($F358,#REF!,9,1)</f>
        <v>#REF!</v>
      </c>
      <c r="AA358" s="206"/>
      <c r="AB358" s="206"/>
      <c r="AC358" s="206" t="e">
        <f>VLOOKUP($F358,#REF!,14,1)</f>
        <v>#REF!</v>
      </c>
      <c r="AD358" s="206" t="e">
        <f>VLOOKUP($F358,#REF!,40,0)</f>
        <v>#REF!</v>
      </c>
      <c r="AE358" s="206" t="e">
        <f t="shared" si="29"/>
        <v>#REF!</v>
      </c>
      <c r="AF358" s="206" t="e">
        <v>#N/A</v>
      </c>
      <c r="AG358" s="206" t="e">
        <f>VLOOKUP($F358,#REF!,42,0)</f>
        <v>#REF!</v>
      </c>
      <c r="AH358" s="206" t="e">
        <f t="shared" si="30"/>
        <v>#REF!</v>
      </c>
      <c r="AI358" s="206" t="e">
        <v>#N/A</v>
      </c>
      <c r="AJ358" s="206" t="e">
        <f>VLOOKUP($F358,#REF!,43,0)</f>
        <v>#REF!</v>
      </c>
    </row>
    <row r="359" spans="2:36" s="102" customFormat="1" ht="22.5">
      <c r="B359" s="97"/>
      <c r="C359" s="111" t="s">
        <v>1916</v>
      </c>
      <c r="D359" t="s">
        <v>2164</v>
      </c>
      <c r="E359" s="123" t="s">
        <v>2260</v>
      </c>
      <c r="Q359" s="206" t="s">
        <v>2161</v>
      </c>
      <c r="R359" s="206">
        <f t="shared" si="24"/>
        <v>359</v>
      </c>
      <c r="S359" s="206" t="str">
        <f t="shared" si="25"/>
        <v>;'C INNOVACION'!$E$10:$BD$100;14;1)</v>
      </c>
      <c r="T359" s="203" t="s">
        <v>2209</v>
      </c>
      <c r="U359" s="206" t="str">
        <f t="shared" si="31"/>
        <v>=BUSCARV($E359;'C INNOVACION'!$E$10:$BD$100;14;1)</v>
      </c>
      <c r="V359" s="206"/>
      <c r="W359" s="206" t="e">
        <f>VLOOKUP($F359,#REF!,8,1)</f>
        <v>#REF!</v>
      </c>
      <c r="X359" s="206" t="e">
        <f t="shared" si="28"/>
        <v>#REF!</v>
      </c>
      <c r="Y359" s="206" t="e">
        <v>#N/A</v>
      </c>
      <c r="Z359" s="206" t="e">
        <f>VLOOKUP($F359,#REF!,9,1)</f>
        <v>#REF!</v>
      </c>
      <c r="AA359" s="206"/>
      <c r="AB359" s="206"/>
      <c r="AC359" s="206" t="e">
        <f>VLOOKUP($F359,#REF!,14,1)</f>
        <v>#REF!</v>
      </c>
      <c r="AD359" s="206" t="e">
        <f>VLOOKUP($F359,#REF!,40,0)</f>
        <v>#REF!</v>
      </c>
      <c r="AE359" s="206" t="e">
        <f t="shared" si="29"/>
        <v>#REF!</v>
      </c>
      <c r="AF359" s="206" t="e">
        <v>#N/A</v>
      </c>
      <c r="AG359" s="206" t="e">
        <f>VLOOKUP($F359,#REF!,42,0)</f>
        <v>#REF!</v>
      </c>
      <c r="AH359" s="206" t="e">
        <f t="shared" si="30"/>
        <v>#REF!</v>
      </c>
      <c r="AI359" s="206" t="e">
        <v>#N/A</v>
      </c>
      <c r="AJ359" s="206" t="e">
        <f>VLOOKUP($F359,#REF!,43,0)</f>
        <v>#REF!</v>
      </c>
    </row>
    <row r="360" spans="2:36" s="102" customFormat="1" ht="22.5">
      <c r="B360" s="97"/>
      <c r="C360" s="111" t="s">
        <v>1916</v>
      </c>
      <c r="D360" t="s">
        <v>2164</v>
      </c>
      <c r="E360" s="123" t="s">
        <v>2260</v>
      </c>
      <c r="Q360" s="206" t="s">
        <v>2161</v>
      </c>
      <c r="R360" s="206">
        <f t="shared" si="24"/>
        <v>360</v>
      </c>
      <c r="S360" s="206" t="str">
        <f t="shared" si="25"/>
        <v>;'C INNOVACION'!$E$10:$BD$100;14;1)</v>
      </c>
      <c r="T360" s="203" t="s">
        <v>2209</v>
      </c>
      <c r="U360" s="206" t="str">
        <f t="shared" si="31"/>
        <v>=BUSCARV($E360;'C INNOVACION'!$E$10:$BD$100;14;1)</v>
      </c>
      <c r="V360" s="206"/>
      <c r="W360" s="206" t="e">
        <f>VLOOKUP($F360,#REF!,8,1)</f>
        <v>#REF!</v>
      </c>
      <c r="X360" s="206" t="e">
        <f t="shared" si="28"/>
        <v>#REF!</v>
      </c>
      <c r="Y360" s="206" t="e">
        <v>#N/A</v>
      </c>
      <c r="Z360" s="206" t="e">
        <f>VLOOKUP($F360,#REF!,9,1)</f>
        <v>#REF!</v>
      </c>
      <c r="AA360" s="206"/>
      <c r="AB360" s="206"/>
      <c r="AC360" s="206" t="e">
        <f>VLOOKUP($F360,#REF!,14,1)</f>
        <v>#REF!</v>
      </c>
      <c r="AD360" s="206" t="e">
        <f>VLOOKUP($F360,#REF!,40,0)</f>
        <v>#REF!</v>
      </c>
      <c r="AE360" s="206" t="e">
        <f t="shared" si="29"/>
        <v>#REF!</v>
      </c>
      <c r="AF360" s="206" t="e">
        <v>#N/A</v>
      </c>
      <c r="AG360" s="206" t="e">
        <f>VLOOKUP($F360,#REF!,42,0)</f>
        <v>#REF!</v>
      </c>
      <c r="AH360" s="206" t="e">
        <f t="shared" si="30"/>
        <v>#REF!</v>
      </c>
      <c r="AI360" s="206" t="e">
        <v>#N/A</v>
      </c>
      <c r="AJ360" s="206" t="e">
        <f>VLOOKUP($F360,#REF!,43,0)</f>
        <v>#REF!</v>
      </c>
    </row>
    <row r="361" spans="2:36" s="102" customFormat="1" ht="22.5">
      <c r="B361" s="97"/>
      <c r="C361" s="108" t="s">
        <v>1912</v>
      </c>
      <c r="D361" t="s">
        <v>2165</v>
      </c>
      <c r="E361" s="123" t="s">
        <v>2260</v>
      </c>
      <c r="F361" s="102" t="s">
        <v>1961</v>
      </c>
      <c r="G361" s="97" t="s">
        <v>1929</v>
      </c>
      <c r="Q361" s="206" t="s">
        <v>2161</v>
      </c>
      <c r="R361" s="206">
        <f t="shared" si="24"/>
        <v>361</v>
      </c>
      <c r="S361" s="206" t="str">
        <f t="shared" si="25"/>
        <v>;'C GESTION SOCIAL'!$E$10:$BD$100;14;1)</v>
      </c>
      <c r="T361" s="203" t="s">
        <v>2210</v>
      </c>
      <c r="U361" s="206" t="str">
        <f t="shared" si="26"/>
        <v>=BUSCARV($E361;'C GESTION SOCIAL'!$E$10:$BD$100;14;1)</v>
      </c>
      <c r="V361" s="206" t="s">
        <v>2259</v>
      </c>
      <c r="W361" s="206" t="e">
        <f>VLOOKUP($F361,#REF!,8,1)</f>
        <v>#REF!</v>
      </c>
      <c r="X361" s="206" t="e">
        <f t="shared" si="28"/>
        <v>#REF!</v>
      </c>
      <c r="Y361" s="206">
        <v>1</v>
      </c>
      <c r="Z361" s="206" t="e">
        <f>VLOOKUP($F361,#REF!,11,1)</f>
        <v>#REF!</v>
      </c>
      <c r="AA361" s="206" t="e">
        <f>IF(Z361="Catastrófico",20,IF(Z361="Mayor",10,5))</f>
        <v>#REF!</v>
      </c>
      <c r="AB361" s="206">
        <v>5</v>
      </c>
      <c r="AC361" s="206" t="e">
        <f>VLOOKUP($F361,#REF!,13,1)</f>
        <v>#REF!</v>
      </c>
      <c r="AD361" s="206" t="e">
        <f>VLOOKUP($F361,#REF!,38,0)</f>
        <v>#REF!</v>
      </c>
      <c r="AE361" s="206" t="e">
        <f t="shared" si="29"/>
        <v>#REF!</v>
      </c>
      <c r="AF361" s="206">
        <v>1</v>
      </c>
      <c r="AG361" s="206" t="e">
        <f>VLOOKUP($F361,#REF!,40,0)</f>
        <v>#REF!</v>
      </c>
      <c r="AH361" s="206" t="e">
        <f t="shared" si="30"/>
        <v>#REF!</v>
      </c>
      <c r="AI361" s="206">
        <v>5</v>
      </c>
      <c r="AJ361" s="206" t="e">
        <f>VLOOKUP($F361,#REF!,41,0)</f>
        <v>#REF!</v>
      </c>
    </row>
    <row r="362" spans="2:36" s="102" customFormat="1" ht="22.5">
      <c r="B362" s="97"/>
      <c r="C362" s="108" t="s">
        <v>1912</v>
      </c>
      <c r="D362" t="s">
        <v>2165</v>
      </c>
      <c r="E362" s="123" t="s">
        <v>2260</v>
      </c>
      <c r="F362" s="102" t="s">
        <v>1962</v>
      </c>
      <c r="G362" s="97" t="s">
        <v>1929</v>
      </c>
      <c r="Q362" s="206" t="s">
        <v>2161</v>
      </c>
      <c r="R362" s="206">
        <f t="shared" si="24"/>
        <v>362</v>
      </c>
      <c r="S362" s="206" t="str">
        <f t="shared" si="25"/>
        <v>;'C GESTION SOCIAL'!$E$10:$BD$100;14;1)</v>
      </c>
      <c r="T362" s="203" t="s">
        <v>2210</v>
      </c>
      <c r="U362" s="206" t="str">
        <f t="shared" ref="U362:U373" si="32">CONCATENATE("=BUSCARV($E",R362,T362)</f>
        <v>=BUSCARV($E362;'C GESTION SOCIAL'!$E$10:$BD$100;14;1)</v>
      </c>
      <c r="V362" s="206" t="s">
        <v>2259</v>
      </c>
      <c r="W362" s="206" t="e">
        <f>VLOOKUP($F362,#REF!,8,1)</f>
        <v>#REF!</v>
      </c>
      <c r="X362" s="206" t="e">
        <f t="shared" si="28"/>
        <v>#REF!</v>
      </c>
      <c r="Y362" s="206">
        <v>3</v>
      </c>
      <c r="Z362" s="206" t="e">
        <f>VLOOKUP($F362,#REF!,11,1)</f>
        <v>#REF!</v>
      </c>
      <c r="AA362" s="206" t="e">
        <f t="shared" ref="AA362:AA425" si="33">IF(Z362="Catastrófico",20,IF(Z362="Mayor",10,5))</f>
        <v>#REF!</v>
      </c>
      <c r="AB362" s="206">
        <v>10</v>
      </c>
      <c r="AC362" s="206" t="e">
        <f>VLOOKUP($F362,#REF!,13,1)</f>
        <v>#REF!</v>
      </c>
      <c r="AD362" s="206" t="e">
        <f>VLOOKUP($F362,#REF!,38,0)</f>
        <v>#REF!</v>
      </c>
      <c r="AE362" s="206" t="e">
        <f t="shared" si="29"/>
        <v>#REF!</v>
      </c>
      <c r="AF362" s="206">
        <v>1</v>
      </c>
      <c r="AG362" s="206" t="e">
        <f>VLOOKUP($F362,#REF!,40,0)</f>
        <v>#REF!</v>
      </c>
      <c r="AH362" s="206" t="e">
        <f t="shared" si="30"/>
        <v>#REF!</v>
      </c>
      <c r="AI362" s="206">
        <v>10</v>
      </c>
      <c r="AJ362" s="206" t="e">
        <f>VLOOKUP($F362,#REF!,41,0)</f>
        <v>#REF!</v>
      </c>
    </row>
    <row r="363" spans="2:36" s="102" customFormat="1" ht="22.5">
      <c r="B363" s="97"/>
      <c r="C363" s="108" t="s">
        <v>1912</v>
      </c>
      <c r="D363" t="s">
        <v>2165</v>
      </c>
      <c r="E363" s="123" t="s">
        <v>2260</v>
      </c>
      <c r="Q363" s="206" t="s">
        <v>2161</v>
      </c>
      <c r="R363" s="206">
        <f t="shared" si="24"/>
        <v>363</v>
      </c>
      <c r="S363" s="206" t="str">
        <f t="shared" si="25"/>
        <v>;'C GESTION SOCIAL'!$E$10:$BD$100;14;1)</v>
      </c>
      <c r="T363" s="203" t="s">
        <v>2210</v>
      </c>
      <c r="U363" s="206" t="str">
        <f t="shared" si="32"/>
        <v>=BUSCARV($E363;'C GESTION SOCIAL'!$E$10:$BD$100;14;1)</v>
      </c>
      <c r="V363" s="206" t="s">
        <v>2259</v>
      </c>
      <c r="W363" s="206" t="e">
        <f>VLOOKUP($F363,#REF!,8,1)</f>
        <v>#REF!</v>
      </c>
      <c r="X363" s="206" t="e">
        <f t="shared" si="28"/>
        <v>#REF!</v>
      </c>
      <c r="Y363" s="206" t="e">
        <v>#N/A</v>
      </c>
      <c r="Z363" s="206" t="e">
        <f>VLOOKUP($F363,#REF!,11,1)</f>
        <v>#REF!</v>
      </c>
      <c r="AA363" s="206" t="e">
        <f t="shared" si="33"/>
        <v>#REF!</v>
      </c>
      <c r="AB363" s="206" t="e">
        <v>#N/A</v>
      </c>
      <c r="AC363" s="206" t="e">
        <f>VLOOKUP($F363,#REF!,13,1)</f>
        <v>#REF!</v>
      </c>
      <c r="AD363" s="206" t="e">
        <f>VLOOKUP($F363,#REF!,38,0)</f>
        <v>#REF!</v>
      </c>
      <c r="AE363" s="206" t="e">
        <f t="shared" si="29"/>
        <v>#REF!</v>
      </c>
      <c r="AF363" s="206" t="e">
        <v>#N/A</v>
      </c>
      <c r="AG363" s="206" t="e">
        <f>VLOOKUP($F363,#REF!,40,0)</f>
        <v>#REF!</v>
      </c>
      <c r="AH363" s="206" t="e">
        <f t="shared" si="30"/>
        <v>#REF!</v>
      </c>
      <c r="AI363" s="206" t="e">
        <v>#N/A</v>
      </c>
      <c r="AJ363" s="206" t="e">
        <f>VLOOKUP($F363,#REF!,41,0)</f>
        <v>#REF!</v>
      </c>
    </row>
    <row r="364" spans="2:36" s="102" customFormat="1" ht="22.5">
      <c r="B364" s="97"/>
      <c r="C364" s="108" t="s">
        <v>1912</v>
      </c>
      <c r="D364" t="s">
        <v>2165</v>
      </c>
      <c r="E364" s="123" t="s">
        <v>2260</v>
      </c>
      <c r="Q364" s="206" t="s">
        <v>2161</v>
      </c>
      <c r="R364" s="206">
        <f t="shared" si="24"/>
        <v>364</v>
      </c>
      <c r="S364" s="206" t="str">
        <f t="shared" si="25"/>
        <v>;'C GESTION SOCIAL'!$E$10:$BD$100;14;1)</v>
      </c>
      <c r="T364" s="203" t="s">
        <v>2210</v>
      </c>
      <c r="U364" s="206" t="str">
        <f t="shared" si="32"/>
        <v>=BUSCARV($E364;'C GESTION SOCIAL'!$E$10:$BD$100;14;1)</v>
      </c>
      <c r="V364" s="206" t="s">
        <v>2259</v>
      </c>
      <c r="W364" s="206" t="e">
        <f>VLOOKUP($F364,#REF!,8,1)</f>
        <v>#REF!</v>
      </c>
      <c r="X364" s="206" t="e">
        <f t="shared" si="28"/>
        <v>#REF!</v>
      </c>
      <c r="Y364" s="206" t="e">
        <v>#N/A</v>
      </c>
      <c r="Z364" s="206" t="e">
        <f>VLOOKUP($F364,#REF!,11,1)</f>
        <v>#REF!</v>
      </c>
      <c r="AA364" s="206" t="e">
        <f t="shared" si="33"/>
        <v>#REF!</v>
      </c>
      <c r="AB364" s="206" t="e">
        <v>#N/A</v>
      </c>
      <c r="AC364" s="206" t="e">
        <f>VLOOKUP($F364,#REF!,13,1)</f>
        <v>#REF!</v>
      </c>
      <c r="AD364" s="206" t="e">
        <f>VLOOKUP($F364,#REF!,38,0)</f>
        <v>#REF!</v>
      </c>
      <c r="AE364" s="206" t="e">
        <f t="shared" si="29"/>
        <v>#REF!</v>
      </c>
      <c r="AF364" s="206" t="e">
        <v>#N/A</v>
      </c>
      <c r="AG364" s="206" t="e">
        <f>VLOOKUP($F364,#REF!,40,0)</f>
        <v>#REF!</v>
      </c>
      <c r="AH364" s="206" t="e">
        <f t="shared" si="30"/>
        <v>#REF!</v>
      </c>
      <c r="AI364" s="206" t="e">
        <v>#N/A</v>
      </c>
      <c r="AJ364" s="206" t="e">
        <f>VLOOKUP($F364,#REF!,41,0)</f>
        <v>#REF!</v>
      </c>
    </row>
    <row r="365" spans="2:36" s="102" customFormat="1" ht="22.5">
      <c r="B365" s="97"/>
      <c r="C365" s="108" t="s">
        <v>1912</v>
      </c>
      <c r="D365" t="s">
        <v>2165</v>
      </c>
      <c r="E365" s="123" t="s">
        <v>2260</v>
      </c>
      <c r="Q365" s="206" t="s">
        <v>2161</v>
      </c>
      <c r="R365" s="206">
        <f t="shared" si="24"/>
        <v>365</v>
      </c>
      <c r="S365" s="206" t="str">
        <f t="shared" si="25"/>
        <v>;'C GESTION SOCIAL'!$E$10:$BD$100;14;1)</v>
      </c>
      <c r="T365" s="203" t="s">
        <v>2210</v>
      </c>
      <c r="U365" s="206" t="str">
        <f t="shared" si="32"/>
        <v>=BUSCARV($E365;'C GESTION SOCIAL'!$E$10:$BD$100;14;1)</v>
      </c>
      <c r="V365" s="206" t="s">
        <v>2259</v>
      </c>
      <c r="W365" s="206" t="e">
        <f>VLOOKUP($F365,#REF!,8,1)</f>
        <v>#REF!</v>
      </c>
      <c r="X365" s="206" t="e">
        <f t="shared" si="28"/>
        <v>#REF!</v>
      </c>
      <c r="Y365" s="206" t="e">
        <v>#N/A</v>
      </c>
      <c r="Z365" s="206" t="e">
        <f>VLOOKUP($F365,#REF!,11,1)</f>
        <v>#REF!</v>
      </c>
      <c r="AA365" s="206" t="e">
        <f t="shared" si="33"/>
        <v>#REF!</v>
      </c>
      <c r="AB365" s="206" t="e">
        <v>#N/A</v>
      </c>
      <c r="AC365" s="206" t="e">
        <f>VLOOKUP($F365,#REF!,13,1)</f>
        <v>#REF!</v>
      </c>
      <c r="AD365" s="206" t="e">
        <f>VLOOKUP($F365,#REF!,38,0)</f>
        <v>#REF!</v>
      </c>
      <c r="AE365" s="206" t="e">
        <f t="shared" si="29"/>
        <v>#REF!</v>
      </c>
      <c r="AF365" s="206" t="e">
        <v>#N/A</v>
      </c>
      <c r="AG365" s="206" t="e">
        <f>VLOOKUP($F365,#REF!,40,0)</f>
        <v>#REF!</v>
      </c>
      <c r="AH365" s="206" t="e">
        <f t="shared" si="30"/>
        <v>#REF!</v>
      </c>
      <c r="AI365" s="206" t="e">
        <v>#N/A</v>
      </c>
      <c r="AJ365" s="206" t="e">
        <f>VLOOKUP($F365,#REF!,41,0)</f>
        <v>#REF!</v>
      </c>
    </row>
    <row r="366" spans="2:36" s="102" customFormat="1" ht="22.5">
      <c r="B366" s="97"/>
      <c r="C366" s="108" t="s">
        <v>1912</v>
      </c>
      <c r="D366" t="s">
        <v>2165</v>
      </c>
      <c r="E366" s="123" t="s">
        <v>2260</v>
      </c>
      <c r="Q366" s="206" t="s">
        <v>2161</v>
      </c>
      <c r="R366" s="206">
        <f t="shared" si="24"/>
        <v>366</v>
      </c>
      <c r="S366" s="206" t="str">
        <f t="shared" si="25"/>
        <v>;'C GESTION SOCIAL'!$E$10:$BD$100;14;1)</v>
      </c>
      <c r="T366" s="203" t="s">
        <v>2210</v>
      </c>
      <c r="U366" s="206" t="str">
        <f t="shared" si="32"/>
        <v>=BUSCARV($E366;'C GESTION SOCIAL'!$E$10:$BD$100;14;1)</v>
      </c>
      <c r="V366" s="206" t="s">
        <v>2259</v>
      </c>
      <c r="W366" s="206" t="e">
        <f>VLOOKUP($F366,#REF!,8,1)</f>
        <v>#REF!</v>
      </c>
      <c r="X366" s="206" t="e">
        <f t="shared" si="28"/>
        <v>#REF!</v>
      </c>
      <c r="Y366" s="206" t="e">
        <v>#N/A</v>
      </c>
      <c r="Z366" s="206" t="e">
        <f>VLOOKUP($F366,#REF!,11,1)</f>
        <v>#REF!</v>
      </c>
      <c r="AA366" s="206" t="e">
        <f t="shared" si="33"/>
        <v>#REF!</v>
      </c>
      <c r="AB366" s="206" t="e">
        <v>#N/A</v>
      </c>
      <c r="AC366" s="206" t="e">
        <f>VLOOKUP($F366,#REF!,13,1)</f>
        <v>#REF!</v>
      </c>
      <c r="AD366" s="206" t="e">
        <f>VLOOKUP($F366,#REF!,38,0)</f>
        <v>#REF!</v>
      </c>
      <c r="AE366" s="206" t="e">
        <f t="shared" si="29"/>
        <v>#REF!</v>
      </c>
      <c r="AF366" s="206" t="e">
        <v>#N/A</v>
      </c>
      <c r="AG366" s="206" t="e">
        <f>VLOOKUP($F366,#REF!,40,0)</f>
        <v>#REF!</v>
      </c>
      <c r="AH366" s="206" t="e">
        <f t="shared" si="30"/>
        <v>#REF!</v>
      </c>
      <c r="AI366" s="206" t="e">
        <v>#N/A</v>
      </c>
      <c r="AJ366" s="206" t="e">
        <f>VLOOKUP($F366,#REF!,41,0)</f>
        <v>#REF!</v>
      </c>
    </row>
    <row r="367" spans="2:36" s="102" customFormat="1" ht="22.5">
      <c r="B367" s="97"/>
      <c r="C367" s="108" t="s">
        <v>1912</v>
      </c>
      <c r="D367" t="s">
        <v>2165</v>
      </c>
      <c r="E367" s="123" t="s">
        <v>2260</v>
      </c>
      <c r="Q367" s="206" t="s">
        <v>2161</v>
      </c>
      <c r="R367" s="206">
        <f t="shared" si="24"/>
        <v>367</v>
      </c>
      <c r="S367" s="206" t="str">
        <f t="shared" si="25"/>
        <v>;'C GESTION SOCIAL'!$E$10:$BD$100;14;1)</v>
      </c>
      <c r="T367" s="203" t="s">
        <v>2210</v>
      </c>
      <c r="U367" s="206" t="str">
        <f t="shared" si="32"/>
        <v>=BUSCARV($E367;'C GESTION SOCIAL'!$E$10:$BD$100;14;1)</v>
      </c>
      <c r="V367" s="206" t="s">
        <v>2259</v>
      </c>
      <c r="W367" s="206" t="e">
        <f>VLOOKUP($F367,#REF!,8,1)</f>
        <v>#REF!</v>
      </c>
      <c r="X367" s="206" t="e">
        <f t="shared" si="28"/>
        <v>#REF!</v>
      </c>
      <c r="Y367" s="206" t="e">
        <v>#N/A</v>
      </c>
      <c r="Z367" s="206" t="e">
        <f>VLOOKUP($F367,#REF!,11,1)</f>
        <v>#REF!</v>
      </c>
      <c r="AA367" s="206" t="e">
        <f t="shared" si="33"/>
        <v>#REF!</v>
      </c>
      <c r="AB367" s="206" t="e">
        <v>#N/A</v>
      </c>
      <c r="AC367" s="206" t="e">
        <f>VLOOKUP($F367,#REF!,13,1)</f>
        <v>#REF!</v>
      </c>
      <c r="AD367" s="206" t="e">
        <f>VLOOKUP($F367,#REF!,38,0)</f>
        <v>#REF!</v>
      </c>
      <c r="AE367" s="206" t="e">
        <f t="shared" si="29"/>
        <v>#REF!</v>
      </c>
      <c r="AF367" s="206" t="e">
        <v>#N/A</v>
      </c>
      <c r="AG367" s="206" t="e">
        <f>VLOOKUP($F367,#REF!,40,0)</f>
        <v>#REF!</v>
      </c>
      <c r="AH367" s="206" t="e">
        <f t="shared" si="30"/>
        <v>#REF!</v>
      </c>
      <c r="AI367" s="206" t="e">
        <v>#N/A</v>
      </c>
      <c r="AJ367" s="206" t="e">
        <f>VLOOKUP($F367,#REF!,41,0)</f>
        <v>#REF!</v>
      </c>
    </row>
    <row r="368" spans="2:36" s="102" customFormat="1" ht="22.5">
      <c r="B368" s="97"/>
      <c r="C368" s="108" t="s">
        <v>1912</v>
      </c>
      <c r="D368" t="s">
        <v>2165</v>
      </c>
      <c r="E368" s="123" t="s">
        <v>2260</v>
      </c>
      <c r="Q368" s="206" t="s">
        <v>2161</v>
      </c>
      <c r="R368" s="206">
        <f t="shared" si="24"/>
        <v>368</v>
      </c>
      <c r="S368" s="206" t="str">
        <f t="shared" si="25"/>
        <v>;'C GESTION SOCIAL'!$E$10:$BD$100;14;1)</v>
      </c>
      <c r="T368" s="203" t="s">
        <v>2210</v>
      </c>
      <c r="U368" s="206" t="str">
        <f t="shared" si="32"/>
        <v>=BUSCARV($E368;'C GESTION SOCIAL'!$E$10:$BD$100;14;1)</v>
      </c>
      <c r="V368" s="206" t="s">
        <v>2259</v>
      </c>
      <c r="W368" s="206" t="e">
        <f>VLOOKUP($F368,#REF!,8,1)</f>
        <v>#REF!</v>
      </c>
      <c r="X368" s="206" t="e">
        <f t="shared" si="28"/>
        <v>#REF!</v>
      </c>
      <c r="Y368" s="206" t="e">
        <v>#N/A</v>
      </c>
      <c r="Z368" s="206" t="e">
        <f>VLOOKUP($F368,#REF!,11,1)</f>
        <v>#REF!</v>
      </c>
      <c r="AA368" s="206" t="e">
        <f t="shared" si="33"/>
        <v>#REF!</v>
      </c>
      <c r="AB368" s="206" t="e">
        <v>#N/A</v>
      </c>
      <c r="AC368" s="206" t="e">
        <f>VLOOKUP($F368,#REF!,13,1)</f>
        <v>#REF!</v>
      </c>
      <c r="AD368" s="206" t="e">
        <f>VLOOKUP($F368,#REF!,38,0)</f>
        <v>#REF!</v>
      </c>
      <c r="AE368" s="206" t="e">
        <f t="shared" si="29"/>
        <v>#REF!</v>
      </c>
      <c r="AF368" s="206" t="e">
        <v>#N/A</v>
      </c>
      <c r="AG368" s="206" t="e">
        <f>VLOOKUP($F368,#REF!,40,0)</f>
        <v>#REF!</v>
      </c>
      <c r="AH368" s="206" t="e">
        <f t="shared" si="30"/>
        <v>#REF!</v>
      </c>
      <c r="AI368" s="206" t="e">
        <v>#N/A</v>
      </c>
      <c r="AJ368" s="206" t="e">
        <f>VLOOKUP($F368,#REF!,41,0)</f>
        <v>#REF!</v>
      </c>
    </row>
    <row r="369" spans="2:36" s="102" customFormat="1" ht="22.5">
      <c r="B369" s="97"/>
      <c r="C369" s="108" t="s">
        <v>1912</v>
      </c>
      <c r="D369" t="s">
        <v>2165</v>
      </c>
      <c r="E369" s="123" t="s">
        <v>2260</v>
      </c>
      <c r="Q369" s="206" t="s">
        <v>2161</v>
      </c>
      <c r="R369" s="206">
        <f t="shared" si="24"/>
        <v>369</v>
      </c>
      <c r="S369" s="206" t="str">
        <f t="shared" si="25"/>
        <v>;'C GESTION SOCIAL'!$E$10:$BD$100;14;1)</v>
      </c>
      <c r="T369" s="203" t="s">
        <v>2210</v>
      </c>
      <c r="U369" s="206" t="str">
        <f t="shared" si="32"/>
        <v>=BUSCARV($E369;'C GESTION SOCIAL'!$E$10:$BD$100;14;1)</v>
      </c>
      <c r="V369" s="206" t="s">
        <v>2259</v>
      </c>
      <c r="W369" s="206" t="e">
        <f>VLOOKUP($F369,#REF!,8,1)</f>
        <v>#REF!</v>
      </c>
      <c r="X369" s="206" t="e">
        <f t="shared" si="28"/>
        <v>#REF!</v>
      </c>
      <c r="Y369" s="206" t="e">
        <v>#N/A</v>
      </c>
      <c r="Z369" s="206" t="e">
        <f>VLOOKUP($F369,#REF!,11,1)</f>
        <v>#REF!</v>
      </c>
      <c r="AA369" s="206" t="e">
        <f t="shared" si="33"/>
        <v>#REF!</v>
      </c>
      <c r="AB369" s="206" t="e">
        <v>#N/A</v>
      </c>
      <c r="AC369" s="206" t="e">
        <f>VLOOKUP($F369,#REF!,13,1)</f>
        <v>#REF!</v>
      </c>
      <c r="AD369" s="206" t="e">
        <f>VLOOKUP($F369,#REF!,38,0)</f>
        <v>#REF!</v>
      </c>
      <c r="AE369" s="206" t="e">
        <f t="shared" si="29"/>
        <v>#REF!</v>
      </c>
      <c r="AF369" s="206" t="e">
        <v>#N/A</v>
      </c>
      <c r="AG369" s="206" t="e">
        <f>VLOOKUP($F369,#REF!,40,0)</f>
        <v>#REF!</v>
      </c>
      <c r="AH369" s="206" t="e">
        <f t="shared" si="30"/>
        <v>#REF!</v>
      </c>
      <c r="AI369" s="206" t="e">
        <v>#N/A</v>
      </c>
      <c r="AJ369" s="206" t="e">
        <f>VLOOKUP($F369,#REF!,41,0)</f>
        <v>#REF!</v>
      </c>
    </row>
    <row r="370" spans="2:36" s="102" customFormat="1" ht="22.5">
      <c r="B370" s="97"/>
      <c r="C370" s="108" t="s">
        <v>1912</v>
      </c>
      <c r="D370" t="s">
        <v>2165</v>
      </c>
      <c r="E370" s="123" t="s">
        <v>2260</v>
      </c>
      <c r="Q370" s="206" t="s">
        <v>2161</v>
      </c>
      <c r="R370" s="206">
        <f t="shared" si="24"/>
        <v>370</v>
      </c>
      <c r="S370" s="206" t="str">
        <f t="shared" si="25"/>
        <v>;'C GESTION SOCIAL'!$E$10:$BD$100;14;1)</v>
      </c>
      <c r="T370" s="203" t="s">
        <v>2210</v>
      </c>
      <c r="U370" s="206" t="str">
        <f t="shared" si="32"/>
        <v>=BUSCARV($E370;'C GESTION SOCIAL'!$E$10:$BD$100;14;1)</v>
      </c>
      <c r="V370" s="206" t="s">
        <v>2259</v>
      </c>
      <c r="W370" s="206" t="e">
        <f>VLOOKUP($F370,#REF!,8,1)</f>
        <v>#REF!</v>
      </c>
      <c r="X370" s="206" t="e">
        <f t="shared" si="28"/>
        <v>#REF!</v>
      </c>
      <c r="Y370" s="206" t="e">
        <v>#N/A</v>
      </c>
      <c r="Z370" s="206" t="e">
        <f>VLOOKUP($F370,#REF!,11,1)</f>
        <v>#REF!</v>
      </c>
      <c r="AA370" s="206" t="e">
        <f t="shared" si="33"/>
        <v>#REF!</v>
      </c>
      <c r="AB370" s="206" t="e">
        <v>#N/A</v>
      </c>
      <c r="AC370" s="206" t="e">
        <f>VLOOKUP($F370,#REF!,13,1)</f>
        <v>#REF!</v>
      </c>
      <c r="AD370" s="206" t="e">
        <f>VLOOKUP($F370,#REF!,38,0)</f>
        <v>#REF!</v>
      </c>
      <c r="AE370" s="206" t="e">
        <f t="shared" si="29"/>
        <v>#REF!</v>
      </c>
      <c r="AF370" s="206" t="e">
        <v>#N/A</v>
      </c>
      <c r="AG370" s="206" t="e">
        <f>VLOOKUP($F370,#REF!,40,0)</f>
        <v>#REF!</v>
      </c>
      <c r="AH370" s="206" t="e">
        <f t="shared" si="30"/>
        <v>#REF!</v>
      </c>
      <c r="AI370" s="206" t="e">
        <v>#N/A</v>
      </c>
      <c r="AJ370" s="206" t="e">
        <f>VLOOKUP($F370,#REF!,41,0)</f>
        <v>#REF!</v>
      </c>
    </row>
    <row r="371" spans="2:36" s="102" customFormat="1" ht="22.5">
      <c r="B371" s="97"/>
      <c r="C371" s="108" t="s">
        <v>1912</v>
      </c>
      <c r="D371" t="s">
        <v>2165</v>
      </c>
      <c r="E371" s="123" t="s">
        <v>2260</v>
      </c>
      <c r="Q371" s="206" t="s">
        <v>2161</v>
      </c>
      <c r="R371" s="206">
        <f t="shared" si="24"/>
        <v>371</v>
      </c>
      <c r="S371" s="206" t="str">
        <f t="shared" si="25"/>
        <v>;'C GESTION SOCIAL'!$E$10:$BD$100;14;1)</v>
      </c>
      <c r="T371" s="203" t="s">
        <v>2210</v>
      </c>
      <c r="U371" s="206" t="str">
        <f t="shared" si="32"/>
        <v>=BUSCARV($E371;'C GESTION SOCIAL'!$E$10:$BD$100;14;1)</v>
      </c>
      <c r="V371" s="206" t="s">
        <v>2259</v>
      </c>
      <c r="W371" s="206" t="e">
        <f>VLOOKUP($F371,#REF!,8,1)</f>
        <v>#REF!</v>
      </c>
      <c r="X371" s="206" t="e">
        <f t="shared" si="28"/>
        <v>#REF!</v>
      </c>
      <c r="Y371" s="206" t="e">
        <v>#N/A</v>
      </c>
      <c r="Z371" s="206" t="e">
        <f>VLOOKUP($F371,#REF!,11,1)</f>
        <v>#REF!</v>
      </c>
      <c r="AA371" s="206" t="e">
        <f t="shared" si="33"/>
        <v>#REF!</v>
      </c>
      <c r="AB371" s="206" t="e">
        <v>#N/A</v>
      </c>
      <c r="AC371" s="206" t="e">
        <f>VLOOKUP($F371,#REF!,13,1)</f>
        <v>#REF!</v>
      </c>
      <c r="AD371" s="206" t="e">
        <f>VLOOKUP($F371,#REF!,38,0)</f>
        <v>#REF!</v>
      </c>
      <c r="AE371" s="206" t="e">
        <f t="shared" si="29"/>
        <v>#REF!</v>
      </c>
      <c r="AF371" s="206" t="e">
        <v>#N/A</v>
      </c>
      <c r="AG371" s="206" t="e">
        <f>VLOOKUP($F371,#REF!,40,0)</f>
        <v>#REF!</v>
      </c>
      <c r="AH371" s="206" t="e">
        <f t="shared" si="30"/>
        <v>#REF!</v>
      </c>
      <c r="AI371" s="206" t="e">
        <v>#N/A</v>
      </c>
      <c r="AJ371" s="206" t="e">
        <f>VLOOKUP($F371,#REF!,41,0)</f>
        <v>#REF!</v>
      </c>
    </row>
    <row r="372" spans="2:36" s="102" customFormat="1" ht="22.5">
      <c r="B372" s="97"/>
      <c r="C372" s="108" t="s">
        <v>1912</v>
      </c>
      <c r="D372" t="s">
        <v>2165</v>
      </c>
      <c r="E372" s="123" t="s">
        <v>2260</v>
      </c>
      <c r="Q372" s="206" t="s">
        <v>2161</v>
      </c>
      <c r="R372" s="206">
        <f t="shared" si="24"/>
        <v>372</v>
      </c>
      <c r="S372" s="206" t="str">
        <f t="shared" si="25"/>
        <v>;'C GESTION SOCIAL'!$E$10:$BD$100;14;1)</v>
      </c>
      <c r="T372" s="203" t="s">
        <v>2210</v>
      </c>
      <c r="U372" s="206" t="str">
        <f t="shared" si="32"/>
        <v>=BUSCARV($E372;'C GESTION SOCIAL'!$E$10:$BD$100;14;1)</v>
      </c>
      <c r="V372" s="206" t="s">
        <v>2259</v>
      </c>
      <c r="W372" s="206" t="e">
        <f>VLOOKUP($F372,#REF!,8,1)</f>
        <v>#REF!</v>
      </c>
      <c r="X372" s="206" t="e">
        <f t="shared" si="28"/>
        <v>#REF!</v>
      </c>
      <c r="Y372" s="206" t="e">
        <v>#N/A</v>
      </c>
      <c r="Z372" s="206" t="e">
        <f>VLOOKUP($F372,#REF!,11,1)</f>
        <v>#REF!</v>
      </c>
      <c r="AA372" s="206" t="e">
        <f t="shared" si="33"/>
        <v>#REF!</v>
      </c>
      <c r="AB372" s="206" t="e">
        <v>#N/A</v>
      </c>
      <c r="AC372" s="206" t="e">
        <f>VLOOKUP($F372,#REF!,13,1)</f>
        <v>#REF!</v>
      </c>
      <c r="AD372" s="206" t="e">
        <f>VLOOKUP($F372,#REF!,38,0)</f>
        <v>#REF!</v>
      </c>
      <c r="AE372" s="206" t="e">
        <f t="shared" si="29"/>
        <v>#REF!</v>
      </c>
      <c r="AF372" s="206" t="e">
        <v>#N/A</v>
      </c>
      <c r="AG372" s="206" t="e">
        <f>VLOOKUP($F372,#REF!,40,0)</f>
        <v>#REF!</v>
      </c>
      <c r="AH372" s="206" t="e">
        <f t="shared" si="30"/>
        <v>#REF!</v>
      </c>
      <c r="AI372" s="206" t="e">
        <v>#N/A</v>
      </c>
      <c r="AJ372" s="206" t="e">
        <f>VLOOKUP($F372,#REF!,41,0)</f>
        <v>#REF!</v>
      </c>
    </row>
    <row r="373" spans="2:36" s="102" customFormat="1" ht="22.5">
      <c r="B373" s="97"/>
      <c r="C373" s="108" t="s">
        <v>1912</v>
      </c>
      <c r="D373" t="s">
        <v>2165</v>
      </c>
      <c r="E373" s="123" t="s">
        <v>2260</v>
      </c>
      <c r="Q373" s="206" t="s">
        <v>2161</v>
      </c>
      <c r="R373" s="206">
        <f t="shared" si="24"/>
        <v>373</v>
      </c>
      <c r="S373" s="206" t="str">
        <f t="shared" si="25"/>
        <v>;'C GESTION SOCIAL'!$E$10:$BD$100;14;1)</v>
      </c>
      <c r="T373" s="203" t="s">
        <v>2210</v>
      </c>
      <c r="U373" s="206" t="str">
        <f t="shared" si="32"/>
        <v>=BUSCARV($E373;'C GESTION SOCIAL'!$E$10:$BD$100;14;1)</v>
      </c>
      <c r="V373" s="206" t="s">
        <v>2259</v>
      </c>
      <c r="W373" s="206" t="e">
        <f>VLOOKUP($F373,#REF!,8,1)</f>
        <v>#REF!</v>
      </c>
      <c r="X373" s="206" t="e">
        <f t="shared" si="28"/>
        <v>#REF!</v>
      </c>
      <c r="Y373" s="206" t="e">
        <v>#N/A</v>
      </c>
      <c r="Z373" s="206" t="e">
        <f>VLOOKUP($F373,#REF!,11,1)</f>
        <v>#REF!</v>
      </c>
      <c r="AA373" s="206" t="e">
        <f t="shared" si="33"/>
        <v>#REF!</v>
      </c>
      <c r="AB373" s="206" t="e">
        <v>#N/A</v>
      </c>
      <c r="AC373" s="206" t="e">
        <f>VLOOKUP($F373,#REF!,13,1)</f>
        <v>#REF!</v>
      </c>
      <c r="AD373" s="206" t="e">
        <f>VLOOKUP($F373,#REF!,38,0)</f>
        <v>#REF!</v>
      </c>
      <c r="AE373" s="206" t="e">
        <f t="shared" si="29"/>
        <v>#REF!</v>
      </c>
      <c r="AF373" s="206" t="e">
        <v>#N/A</v>
      </c>
      <c r="AG373" s="206" t="e">
        <f>VLOOKUP($F373,#REF!,40,0)</f>
        <v>#REF!</v>
      </c>
      <c r="AH373" s="206" t="e">
        <f t="shared" si="30"/>
        <v>#REF!</v>
      </c>
      <c r="AI373" s="206" t="e">
        <v>#N/A</v>
      </c>
      <c r="AJ373" s="206" t="e">
        <f>VLOOKUP($F373,#REF!,41,0)</f>
        <v>#REF!</v>
      </c>
    </row>
    <row r="374" spans="2:36" s="102" customFormat="1" ht="22.5">
      <c r="B374" s="97"/>
      <c r="C374" s="113" t="s">
        <v>1915</v>
      </c>
      <c r="D374" t="s">
        <v>2166</v>
      </c>
      <c r="E374" s="123" t="s">
        <v>2260</v>
      </c>
      <c r="F374" s="102" t="s">
        <v>2027</v>
      </c>
      <c r="G374" s="97" t="s">
        <v>1929</v>
      </c>
      <c r="Q374" s="206" t="s">
        <v>2161</v>
      </c>
      <c r="R374" s="206">
        <f t="shared" si="24"/>
        <v>374</v>
      </c>
      <c r="S374" s="206" t="str">
        <f t="shared" si="25"/>
        <v>;'C INTERISTITUCIONAL'!$E$10:$BD$100;14;1)</v>
      </c>
      <c r="T374" s="203" t="s">
        <v>2211</v>
      </c>
      <c r="U374" s="206" t="str">
        <f t="shared" si="26"/>
        <v>=BUSCARV($E374;'C INTERISTITUCIONAL'!$E$10:$BD$100;14;1)</v>
      </c>
      <c r="V374" s="206"/>
      <c r="W374" s="206" t="e">
        <f>VLOOKUP($F374,#REF!,8,1)</f>
        <v>#REF!</v>
      </c>
      <c r="X374" s="206" t="e">
        <f t="shared" si="28"/>
        <v>#REF!</v>
      </c>
      <c r="Y374" s="206">
        <v>2</v>
      </c>
      <c r="Z374" s="206" t="e">
        <f>VLOOKUP($F374,#REF!,9,1)</f>
        <v>#REF!</v>
      </c>
      <c r="AA374" s="206" t="e">
        <f t="shared" si="33"/>
        <v>#REF!</v>
      </c>
      <c r="AB374" s="206">
        <v>20</v>
      </c>
      <c r="AC374" s="206" t="e">
        <f>VLOOKUP($F374,#REF!,14,1)</f>
        <v>#REF!</v>
      </c>
      <c r="AD374" s="206" t="e">
        <f>VLOOKUP($F374,#REF!,40,0)</f>
        <v>#REF!</v>
      </c>
      <c r="AE374" s="206" t="e">
        <f t="shared" si="29"/>
        <v>#REF!</v>
      </c>
      <c r="AF374" s="206">
        <v>1</v>
      </c>
      <c r="AG374" s="206" t="e">
        <f>VLOOKUP($F374,#REF!,42,0)</f>
        <v>#REF!</v>
      </c>
      <c r="AH374" s="206" t="e">
        <f t="shared" si="30"/>
        <v>#REF!</v>
      </c>
      <c r="AI374" s="206">
        <v>5</v>
      </c>
      <c r="AJ374" s="206" t="e">
        <f>VLOOKUP($F374,#REF!,43,0)</f>
        <v>#REF!</v>
      </c>
    </row>
    <row r="375" spans="2:36" s="102" customFormat="1" ht="22.5">
      <c r="B375" s="97"/>
      <c r="C375" s="113" t="s">
        <v>1915</v>
      </c>
      <c r="D375" t="s">
        <v>2166</v>
      </c>
      <c r="E375" s="123" t="s">
        <v>2260</v>
      </c>
      <c r="Q375" s="206" t="s">
        <v>2161</v>
      </c>
      <c r="R375" s="206">
        <f t="shared" si="24"/>
        <v>375</v>
      </c>
      <c r="S375" s="206" t="str">
        <f t="shared" si="25"/>
        <v>;'C INTERISTITUCIONAL'!$E$10:$BD$100;14;1)</v>
      </c>
      <c r="T375" s="203" t="s">
        <v>2211</v>
      </c>
      <c r="U375" s="206" t="str">
        <f t="shared" ref="U375:U387" si="34">CONCATENATE("=BUSCARV($E",R375,T375)</f>
        <v>=BUSCARV($E375;'C INTERISTITUCIONAL'!$E$10:$BD$100;14;1)</v>
      </c>
      <c r="V375" s="206"/>
      <c r="W375" s="206" t="e">
        <f>VLOOKUP($F375,#REF!,8,1)</f>
        <v>#REF!</v>
      </c>
      <c r="X375" s="206" t="e">
        <f t="shared" si="28"/>
        <v>#REF!</v>
      </c>
      <c r="Y375" s="206" t="e">
        <v>#N/A</v>
      </c>
      <c r="Z375" s="206" t="e">
        <f>VLOOKUP($F375,#REF!,9,1)</f>
        <v>#REF!</v>
      </c>
      <c r="AA375" s="206" t="e">
        <f t="shared" si="33"/>
        <v>#REF!</v>
      </c>
      <c r="AB375" s="206" t="e">
        <v>#N/A</v>
      </c>
      <c r="AC375" s="206" t="e">
        <f>VLOOKUP($F375,#REF!,14,1)</f>
        <v>#REF!</v>
      </c>
      <c r="AD375" s="206" t="e">
        <f>VLOOKUP($F375,#REF!,40,0)</f>
        <v>#REF!</v>
      </c>
      <c r="AE375" s="206" t="e">
        <f t="shared" si="29"/>
        <v>#REF!</v>
      </c>
      <c r="AF375" s="206" t="e">
        <v>#N/A</v>
      </c>
      <c r="AG375" s="206" t="e">
        <f>VLOOKUP($F375,#REF!,42,0)</f>
        <v>#REF!</v>
      </c>
      <c r="AH375" s="206" t="e">
        <f t="shared" si="30"/>
        <v>#REF!</v>
      </c>
      <c r="AI375" s="206" t="e">
        <v>#N/A</v>
      </c>
      <c r="AJ375" s="206" t="e">
        <f>VLOOKUP($F375,#REF!,43,0)</f>
        <v>#REF!</v>
      </c>
    </row>
    <row r="376" spans="2:36" s="102" customFormat="1" ht="22.5">
      <c r="B376" s="97"/>
      <c r="C376" s="113" t="s">
        <v>1915</v>
      </c>
      <c r="D376" t="s">
        <v>2166</v>
      </c>
      <c r="E376" s="123" t="s">
        <v>2260</v>
      </c>
      <c r="Q376" s="206" t="s">
        <v>2161</v>
      </c>
      <c r="R376" s="206">
        <f t="shared" si="24"/>
        <v>376</v>
      </c>
      <c r="S376" s="206" t="str">
        <f t="shared" si="25"/>
        <v>;'C INTERISTITUCIONAL'!$E$10:$BD$100;14;1)</v>
      </c>
      <c r="T376" s="203" t="s">
        <v>2211</v>
      </c>
      <c r="U376" s="206" t="str">
        <f t="shared" si="34"/>
        <v>=BUSCARV($E376;'C INTERISTITUCIONAL'!$E$10:$BD$100;14;1)</v>
      </c>
      <c r="V376" s="206"/>
      <c r="W376" s="206" t="e">
        <f>VLOOKUP($F376,#REF!,8,1)</f>
        <v>#REF!</v>
      </c>
      <c r="X376" s="206" t="e">
        <f t="shared" si="28"/>
        <v>#REF!</v>
      </c>
      <c r="Y376" s="206" t="e">
        <v>#N/A</v>
      </c>
      <c r="Z376" s="206" t="e">
        <f>VLOOKUP($F376,#REF!,9,1)</f>
        <v>#REF!</v>
      </c>
      <c r="AA376" s="206" t="e">
        <f t="shared" si="33"/>
        <v>#REF!</v>
      </c>
      <c r="AB376" s="206" t="e">
        <v>#N/A</v>
      </c>
      <c r="AC376" s="206" t="e">
        <f>VLOOKUP($F376,#REF!,14,1)</f>
        <v>#REF!</v>
      </c>
      <c r="AD376" s="206" t="e">
        <f>VLOOKUP($F376,#REF!,40,0)</f>
        <v>#REF!</v>
      </c>
      <c r="AE376" s="206" t="e">
        <f t="shared" si="29"/>
        <v>#REF!</v>
      </c>
      <c r="AF376" s="206" t="e">
        <v>#N/A</v>
      </c>
      <c r="AG376" s="206" t="e">
        <f>VLOOKUP($F376,#REF!,42,0)</f>
        <v>#REF!</v>
      </c>
      <c r="AH376" s="206" t="e">
        <f t="shared" si="30"/>
        <v>#REF!</v>
      </c>
      <c r="AI376" s="206" t="e">
        <v>#N/A</v>
      </c>
      <c r="AJ376" s="206" t="e">
        <f>VLOOKUP($F376,#REF!,43,0)</f>
        <v>#REF!</v>
      </c>
    </row>
    <row r="377" spans="2:36" s="102" customFormat="1" ht="22.5">
      <c r="B377" s="97"/>
      <c r="C377" s="113" t="s">
        <v>1915</v>
      </c>
      <c r="D377" t="s">
        <v>2166</v>
      </c>
      <c r="E377" s="123" t="s">
        <v>2260</v>
      </c>
      <c r="Q377" s="206" t="s">
        <v>2161</v>
      </c>
      <c r="R377" s="206">
        <f t="shared" si="24"/>
        <v>377</v>
      </c>
      <c r="S377" s="206" t="str">
        <f t="shared" si="25"/>
        <v>;'C INTERISTITUCIONAL'!$E$10:$BD$100;14;1)</v>
      </c>
      <c r="T377" s="203" t="s">
        <v>2211</v>
      </c>
      <c r="U377" s="206" t="str">
        <f t="shared" si="34"/>
        <v>=BUSCARV($E377;'C INTERISTITUCIONAL'!$E$10:$BD$100;14;1)</v>
      </c>
      <c r="V377" s="206"/>
      <c r="W377" s="206" t="e">
        <f>VLOOKUP($F377,#REF!,8,1)</f>
        <v>#REF!</v>
      </c>
      <c r="X377" s="206" t="e">
        <f t="shared" si="28"/>
        <v>#REF!</v>
      </c>
      <c r="Y377" s="206" t="e">
        <v>#N/A</v>
      </c>
      <c r="Z377" s="206" t="e">
        <f>VLOOKUP($F377,#REF!,9,1)</f>
        <v>#REF!</v>
      </c>
      <c r="AA377" s="206" t="e">
        <f t="shared" si="33"/>
        <v>#REF!</v>
      </c>
      <c r="AB377" s="206" t="e">
        <v>#N/A</v>
      </c>
      <c r="AC377" s="206" t="e">
        <f>VLOOKUP($F377,#REF!,14,1)</f>
        <v>#REF!</v>
      </c>
      <c r="AD377" s="206" t="e">
        <f>VLOOKUP($F377,#REF!,40,0)</f>
        <v>#REF!</v>
      </c>
      <c r="AE377" s="206" t="e">
        <f t="shared" si="29"/>
        <v>#REF!</v>
      </c>
      <c r="AF377" s="206" t="e">
        <v>#N/A</v>
      </c>
      <c r="AG377" s="206" t="e">
        <f>VLOOKUP($F377,#REF!,42,0)</f>
        <v>#REF!</v>
      </c>
      <c r="AH377" s="206" t="e">
        <f t="shared" si="30"/>
        <v>#REF!</v>
      </c>
      <c r="AI377" s="206" t="e">
        <v>#N/A</v>
      </c>
      <c r="AJ377" s="206" t="e">
        <f>VLOOKUP($F377,#REF!,43,0)</f>
        <v>#REF!</v>
      </c>
    </row>
    <row r="378" spans="2:36" s="102" customFormat="1" ht="22.5">
      <c r="B378" s="97"/>
      <c r="C378" s="113" t="s">
        <v>1915</v>
      </c>
      <c r="D378" t="s">
        <v>2166</v>
      </c>
      <c r="E378" s="123" t="s">
        <v>2260</v>
      </c>
      <c r="Q378" s="206" t="s">
        <v>2161</v>
      </c>
      <c r="R378" s="206">
        <f t="shared" si="24"/>
        <v>378</v>
      </c>
      <c r="S378" s="206" t="str">
        <f t="shared" si="25"/>
        <v>;'C INTERISTITUCIONAL'!$E$10:$BD$100;14;1)</v>
      </c>
      <c r="T378" s="203" t="s">
        <v>2211</v>
      </c>
      <c r="U378" s="206" t="str">
        <f t="shared" si="34"/>
        <v>=BUSCARV($E378;'C INTERISTITUCIONAL'!$E$10:$BD$100;14;1)</v>
      </c>
      <c r="V378" s="206"/>
      <c r="W378" s="206" t="e">
        <f>VLOOKUP($F378,#REF!,8,1)</f>
        <v>#REF!</v>
      </c>
      <c r="X378" s="206" t="e">
        <f t="shared" si="28"/>
        <v>#REF!</v>
      </c>
      <c r="Y378" s="206" t="e">
        <v>#N/A</v>
      </c>
      <c r="Z378" s="206" t="e">
        <f>VLOOKUP($F378,#REF!,9,1)</f>
        <v>#REF!</v>
      </c>
      <c r="AA378" s="206" t="e">
        <f t="shared" si="33"/>
        <v>#REF!</v>
      </c>
      <c r="AB378" s="206" t="e">
        <v>#N/A</v>
      </c>
      <c r="AC378" s="206" t="e">
        <f>VLOOKUP($F378,#REF!,14,1)</f>
        <v>#REF!</v>
      </c>
      <c r="AD378" s="206" t="e">
        <f>VLOOKUP($F378,#REF!,40,0)</f>
        <v>#REF!</v>
      </c>
      <c r="AE378" s="206" t="e">
        <f t="shared" si="29"/>
        <v>#REF!</v>
      </c>
      <c r="AF378" s="206" t="e">
        <v>#N/A</v>
      </c>
      <c r="AG378" s="206" t="e">
        <f>VLOOKUP($F378,#REF!,42,0)</f>
        <v>#REF!</v>
      </c>
      <c r="AH378" s="206" t="e">
        <f t="shared" si="30"/>
        <v>#REF!</v>
      </c>
      <c r="AI378" s="206" t="e">
        <v>#N/A</v>
      </c>
      <c r="AJ378" s="206" t="e">
        <f>VLOOKUP($F378,#REF!,43,0)</f>
        <v>#REF!</v>
      </c>
    </row>
    <row r="379" spans="2:36" s="102" customFormat="1" ht="22.5">
      <c r="B379" s="97"/>
      <c r="C379" s="113" t="s">
        <v>1915</v>
      </c>
      <c r="D379" t="s">
        <v>2166</v>
      </c>
      <c r="E379" s="123" t="s">
        <v>2260</v>
      </c>
      <c r="Q379" s="206" t="s">
        <v>2161</v>
      </c>
      <c r="R379" s="206">
        <f t="shared" si="24"/>
        <v>379</v>
      </c>
      <c r="S379" s="206" t="str">
        <f t="shared" si="25"/>
        <v>;'C INTERISTITUCIONAL'!$E$10:$BD$100;14;1)</v>
      </c>
      <c r="T379" s="203" t="s">
        <v>2211</v>
      </c>
      <c r="U379" s="206" t="str">
        <f t="shared" si="34"/>
        <v>=BUSCARV($E379;'C INTERISTITUCIONAL'!$E$10:$BD$100;14;1)</v>
      </c>
      <c r="V379" s="206"/>
      <c r="W379" s="206" t="e">
        <f>VLOOKUP($F379,#REF!,8,1)</f>
        <v>#REF!</v>
      </c>
      <c r="X379" s="206" t="e">
        <f t="shared" si="28"/>
        <v>#REF!</v>
      </c>
      <c r="Y379" s="206" t="e">
        <v>#N/A</v>
      </c>
      <c r="Z379" s="206" t="e">
        <f>VLOOKUP($F379,#REF!,9,1)</f>
        <v>#REF!</v>
      </c>
      <c r="AA379" s="206" t="e">
        <f t="shared" si="33"/>
        <v>#REF!</v>
      </c>
      <c r="AB379" s="206" t="e">
        <v>#N/A</v>
      </c>
      <c r="AC379" s="206" t="e">
        <f>VLOOKUP($F379,#REF!,14,1)</f>
        <v>#REF!</v>
      </c>
      <c r="AD379" s="206" t="e">
        <f>VLOOKUP($F379,#REF!,40,0)</f>
        <v>#REF!</v>
      </c>
      <c r="AE379" s="206" t="e">
        <f t="shared" si="29"/>
        <v>#REF!</v>
      </c>
      <c r="AF379" s="206" t="e">
        <v>#N/A</v>
      </c>
      <c r="AG379" s="206" t="e">
        <f>VLOOKUP($F379,#REF!,42,0)</f>
        <v>#REF!</v>
      </c>
      <c r="AH379" s="206" t="e">
        <f t="shared" si="30"/>
        <v>#REF!</v>
      </c>
      <c r="AI379" s="206" t="e">
        <v>#N/A</v>
      </c>
      <c r="AJ379" s="206" t="e">
        <f>VLOOKUP($F379,#REF!,43,0)</f>
        <v>#REF!</v>
      </c>
    </row>
    <row r="380" spans="2:36" s="102" customFormat="1" ht="22.5">
      <c r="B380" s="97"/>
      <c r="C380" s="113" t="s">
        <v>1915</v>
      </c>
      <c r="D380" t="s">
        <v>2166</v>
      </c>
      <c r="E380" s="123" t="s">
        <v>2260</v>
      </c>
      <c r="Q380" s="206" t="s">
        <v>2161</v>
      </c>
      <c r="R380" s="206">
        <f t="shared" si="24"/>
        <v>380</v>
      </c>
      <c r="S380" s="206" t="str">
        <f t="shared" si="25"/>
        <v>;'C INTERISTITUCIONAL'!$E$10:$BD$100;14;1)</v>
      </c>
      <c r="T380" s="203" t="s">
        <v>2211</v>
      </c>
      <c r="U380" s="206" t="str">
        <f t="shared" si="34"/>
        <v>=BUSCARV($E380;'C INTERISTITUCIONAL'!$E$10:$BD$100;14;1)</v>
      </c>
      <c r="V380" s="206"/>
      <c r="W380" s="206" t="e">
        <f>VLOOKUP($F380,#REF!,8,1)</f>
        <v>#REF!</v>
      </c>
      <c r="X380" s="206" t="e">
        <f t="shared" si="28"/>
        <v>#REF!</v>
      </c>
      <c r="Y380" s="206" t="e">
        <v>#N/A</v>
      </c>
      <c r="Z380" s="206" t="e">
        <f>VLOOKUP($F380,#REF!,9,1)</f>
        <v>#REF!</v>
      </c>
      <c r="AA380" s="206" t="e">
        <f t="shared" si="33"/>
        <v>#REF!</v>
      </c>
      <c r="AB380" s="206" t="e">
        <v>#N/A</v>
      </c>
      <c r="AC380" s="206" t="e">
        <f>VLOOKUP($F380,#REF!,14,1)</f>
        <v>#REF!</v>
      </c>
      <c r="AD380" s="206" t="e">
        <f>VLOOKUP($F380,#REF!,40,0)</f>
        <v>#REF!</v>
      </c>
      <c r="AE380" s="206" t="e">
        <f t="shared" si="29"/>
        <v>#REF!</v>
      </c>
      <c r="AF380" s="206" t="e">
        <v>#N/A</v>
      </c>
      <c r="AG380" s="206" t="e">
        <f>VLOOKUP($F380,#REF!,42,0)</f>
        <v>#REF!</v>
      </c>
      <c r="AH380" s="206" t="e">
        <f t="shared" si="30"/>
        <v>#REF!</v>
      </c>
      <c r="AI380" s="206" t="e">
        <v>#N/A</v>
      </c>
      <c r="AJ380" s="206" t="e">
        <f>VLOOKUP($F380,#REF!,43,0)</f>
        <v>#REF!</v>
      </c>
    </row>
    <row r="381" spans="2:36" s="102" customFormat="1" ht="22.5">
      <c r="B381" s="97"/>
      <c r="C381" s="113" t="s">
        <v>1915</v>
      </c>
      <c r="D381" t="s">
        <v>2166</v>
      </c>
      <c r="E381" s="123" t="s">
        <v>2260</v>
      </c>
      <c r="Q381" s="206" t="s">
        <v>2161</v>
      </c>
      <c r="R381" s="206">
        <f t="shared" si="24"/>
        <v>381</v>
      </c>
      <c r="S381" s="206" t="str">
        <f t="shared" si="25"/>
        <v>;'C INTERISTITUCIONAL'!$E$10:$BD$100;14;1)</v>
      </c>
      <c r="T381" s="203" t="s">
        <v>2211</v>
      </c>
      <c r="U381" s="206" t="str">
        <f t="shared" si="34"/>
        <v>=BUSCARV($E381;'C INTERISTITUCIONAL'!$E$10:$BD$100;14;1)</v>
      </c>
      <c r="V381" s="206"/>
      <c r="W381" s="206" t="e">
        <f>VLOOKUP($F381,#REF!,8,1)</f>
        <v>#REF!</v>
      </c>
      <c r="X381" s="206" t="e">
        <f t="shared" si="28"/>
        <v>#REF!</v>
      </c>
      <c r="Y381" s="206" t="e">
        <v>#N/A</v>
      </c>
      <c r="Z381" s="206" t="e">
        <f>VLOOKUP($F381,#REF!,9,1)</f>
        <v>#REF!</v>
      </c>
      <c r="AA381" s="206" t="e">
        <f t="shared" si="33"/>
        <v>#REF!</v>
      </c>
      <c r="AB381" s="206" t="e">
        <v>#N/A</v>
      </c>
      <c r="AC381" s="206" t="e">
        <f>VLOOKUP($F381,#REF!,14,1)</f>
        <v>#REF!</v>
      </c>
      <c r="AD381" s="206" t="e">
        <f>VLOOKUP($F381,#REF!,40,0)</f>
        <v>#REF!</v>
      </c>
      <c r="AE381" s="206" t="e">
        <f t="shared" si="29"/>
        <v>#REF!</v>
      </c>
      <c r="AF381" s="206" t="e">
        <v>#N/A</v>
      </c>
      <c r="AG381" s="206" t="e">
        <f>VLOOKUP($F381,#REF!,42,0)</f>
        <v>#REF!</v>
      </c>
      <c r="AH381" s="206" t="e">
        <f t="shared" si="30"/>
        <v>#REF!</v>
      </c>
      <c r="AI381" s="206" t="e">
        <v>#N/A</v>
      </c>
      <c r="AJ381" s="206" t="e">
        <f>VLOOKUP($F381,#REF!,43,0)</f>
        <v>#REF!</v>
      </c>
    </row>
    <row r="382" spans="2:36" s="102" customFormat="1" ht="22.5">
      <c r="B382" s="97"/>
      <c r="C382" s="113" t="s">
        <v>1915</v>
      </c>
      <c r="D382" t="s">
        <v>2166</v>
      </c>
      <c r="E382" s="123" t="s">
        <v>2260</v>
      </c>
      <c r="Q382" s="206" t="s">
        <v>2161</v>
      </c>
      <c r="R382" s="206">
        <f t="shared" si="24"/>
        <v>382</v>
      </c>
      <c r="S382" s="206" t="str">
        <f t="shared" si="25"/>
        <v>;'C INTERISTITUCIONAL'!$E$10:$BD$100;14;1)</v>
      </c>
      <c r="T382" s="203" t="s">
        <v>2211</v>
      </c>
      <c r="U382" s="206" t="str">
        <f t="shared" si="34"/>
        <v>=BUSCARV($E382;'C INTERISTITUCIONAL'!$E$10:$BD$100;14;1)</v>
      </c>
      <c r="V382" s="206"/>
      <c r="W382" s="206" t="e">
        <f>VLOOKUP($F382,#REF!,8,1)</f>
        <v>#REF!</v>
      </c>
      <c r="X382" s="206" t="e">
        <f t="shared" si="28"/>
        <v>#REF!</v>
      </c>
      <c r="Y382" s="206" t="e">
        <v>#N/A</v>
      </c>
      <c r="Z382" s="206" t="e">
        <f>VLOOKUP($F382,#REF!,9,1)</f>
        <v>#REF!</v>
      </c>
      <c r="AA382" s="206" t="e">
        <f t="shared" si="33"/>
        <v>#REF!</v>
      </c>
      <c r="AB382" s="206" t="e">
        <v>#N/A</v>
      </c>
      <c r="AC382" s="206" t="e">
        <f>VLOOKUP($F382,#REF!,14,1)</f>
        <v>#REF!</v>
      </c>
      <c r="AD382" s="206" t="e">
        <f>VLOOKUP($F382,#REF!,40,0)</f>
        <v>#REF!</v>
      </c>
      <c r="AE382" s="206" t="e">
        <f t="shared" si="29"/>
        <v>#REF!</v>
      </c>
      <c r="AF382" s="206" t="e">
        <v>#N/A</v>
      </c>
      <c r="AG382" s="206" t="e">
        <f>VLOOKUP($F382,#REF!,42,0)</f>
        <v>#REF!</v>
      </c>
      <c r="AH382" s="206" t="e">
        <f t="shared" si="30"/>
        <v>#REF!</v>
      </c>
      <c r="AI382" s="206" t="e">
        <v>#N/A</v>
      </c>
      <c r="AJ382" s="206" t="e">
        <f>VLOOKUP($F382,#REF!,43,0)</f>
        <v>#REF!</v>
      </c>
    </row>
    <row r="383" spans="2:36" s="102" customFormat="1" ht="22.5">
      <c r="B383" s="97"/>
      <c r="C383" s="113" t="s">
        <v>1915</v>
      </c>
      <c r="D383" t="s">
        <v>2166</v>
      </c>
      <c r="E383" s="123" t="s">
        <v>2260</v>
      </c>
      <c r="Q383" s="206" t="s">
        <v>2161</v>
      </c>
      <c r="R383" s="206">
        <f t="shared" si="24"/>
        <v>383</v>
      </c>
      <c r="S383" s="206" t="str">
        <f t="shared" si="25"/>
        <v>;'C INTERISTITUCIONAL'!$E$10:$BD$100;14;1)</v>
      </c>
      <c r="T383" s="203" t="s">
        <v>2211</v>
      </c>
      <c r="U383" s="206" t="str">
        <f t="shared" si="34"/>
        <v>=BUSCARV($E383;'C INTERISTITUCIONAL'!$E$10:$BD$100;14;1)</v>
      </c>
      <c r="V383" s="206"/>
      <c r="W383" s="206" t="e">
        <f>VLOOKUP($F383,#REF!,8,1)</f>
        <v>#REF!</v>
      </c>
      <c r="X383" s="206" t="e">
        <f t="shared" si="28"/>
        <v>#REF!</v>
      </c>
      <c r="Y383" s="206" t="e">
        <v>#N/A</v>
      </c>
      <c r="Z383" s="206" t="e">
        <f>VLOOKUP($F383,#REF!,9,1)</f>
        <v>#REF!</v>
      </c>
      <c r="AA383" s="206" t="e">
        <f t="shared" si="33"/>
        <v>#REF!</v>
      </c>
      <c r="AB383" s="206" t="e">
        <v>#N/A</v>
      </c>
      <c r="AC383" s="206" t="e">
        <f>VLOOKUP($F383,#REF!,14,1)</f>
        <v>#REF!</v>
      </c>
      <c r="AD383" s="206" t="e">
        <f>VLOOKUP($F383,#REF!,40,0)</f>
        <v>#REF!</v>
      </c>
      <c r="AE383" s="206" t="e">
        <f t="shared" si="29"/>
        <v>#REF!</v>
      </c>
      <c r="AF383" s="206" t="e">
        <v>#N/A</v>
      </c>
      <c r="AG383" s="206" t="e">
        <f>VLOOKUP($F383,#REF!,42,0)</f>
        <v>#REF!</v>
      </c>
      <c r="AH383" s="206" t="e">
        <f t="shared" si="30"/>
        <v>#REF!</v>
      </c>
      <c r="AI383" s="206" t="e">
        <v>#N/A</v>
      </c>
      <c r="AJ383" s="206" t="e">
        <f>VLOOKUP($F383,#REF!,43,0)</f>
        <v>#REF!</v>
      </c>
    </row>
    <row r="384" spans="2:36" s="102" customFormat="1" ht="22.5">
      <c r="B384" s="97"/>
      <c r="C384" s="113" t="s">
        <v>1915</v>
      </c>
      <c r="D384" t="s">
        <v>2166</v>
      </c>
      <c r="E384" s="123" t="s">
        <v>2260</v>
      </c>
      <c r="Q384" s="206" t="s">
        <v>2161</v>
      </c>
      <c r="R384" s="206">
        <f t="shared" si="24"/>
        <v>384</v>
      </c>
      <c r="S384" s="206" t="str">
        <f t="shared" si="25"/>
        <v>;'C INTERISTITUCIONAL'!$E$10:$BD$100;14;1)</v>
      </c>
      <c r="T384" s="203" t="s">
        <v>2211</v>
      </c>
      <c r="U384" s="206" t="str">
        <f t="shared" si="34"/>
        <v>=BUSCARV($E384;'C INTERISTITUCIONAL'!$E$10:$BD$100;14;1)</v>
      </c>
      <c r="V384" s="206"/>
      <c r="W384" s="206" t="e">
        <f>VLOOKUP($F384,#REF!,8,1)</f>
        <v>#REF!</v>
      </c>
      <c r="X384" s="206" t="e">
        <f t="shared" si="28"/>
        <v>#REF!</v>
      </c>
      <c r="Y384" s="206" t="e">
        <v>#N/A</v>
      </c>
      <c r="Z384" s="206" t="e">
        <f>VLOOKUP($F384,#REF!,9,1)</f>
        <v>#REF!</v>
      </c>
      <c r="AA384" s="206" t="e">
        <f t="shared" si="33"/>
        <v>#REF!</v>
      </c>
      <c r="AB384" s="206" t="e">
        <v>#N/A</v>
      </c>
      <c r="AC384" s="206" t="e">
        <f>VLOOKUP($F384,#REF!,14,1)</f>
        <v>#REF!</v>
      </c>
      <c r="AD384" s="206" t="e">
        <f>VLOOKUP($F384,#REF!,40,0)</f>
        <v>#REF!</v>
      </c>
      <c r="AE384" s="206" t="e">
        <f t="shared" si="29"/>
        <v>#REF!</v>
      </c>
      <c r="AF384" s="206" t="e">
        <v>#N/A</v>
      </c>
      <c r="AG384" s="206" t="e">
        <f>VLOOKUP($F384,#REF!,42,0)</f>
        <v>#REF!</v>
      </c>
      <c r="AH384" s="206" t="e">
        <f t="shared" si="30"/>
        <v>#REF!</v>
      </c>
      <c r="AI384" s="206" t="e">
        <v>#N/A</v>
      </c>
      <c r="AJ384" s="206" t="e">
        <f>VLOOKUP($F384,#REF!,43,0)</f>
        <v>#REF!</v>
      </c>
    </row>
    <row r="385" spans="2:36" s="102" customFormat="1" ht="22.5">
      <c r="B385" s="97"/>
      <c r="C385" s="113" t="s">
        <v>1915</v>
      </c>
      <c r="D385" t="s">
        <v>2166</v>
      </c>
      <c r="E385" s="123" t="s">
        <v>2260</v>
      </c>
      <c r="Q385" s="206" t="s">
        <v>2161</v>
      </c>
      <c r="R385" s="206">
        <f t="shared" si="24"/>
        <v>385</v>
      </c>
      <c r="S385" s="206" t="str">
        <f t="shared" si="25"/>
        <v>;'C INTERISTITUCIONAL'!$E$10:$BD$100;14;1)</v>
      </c>
      <c r="T385" s="203" t="s">
        <v>2211</v>
      </c>
      <c r="U385" s="206" t="str">
        <f t="shared" si="34"/>
        <v>=BUSCARV($E385;'C INTERISTITUCIONAL'!$E$10:$BD$100;14;1)</v>
      </c>
      <c r="V385" s="206"/>
      <c r="W385" s="206" t="e">
        <f>VLOOKUP($F385,#REF!,8,1)</f>
        <v>#REF!</v>
      </c>
      <c r="X385" s="206" t="e">
        <f t="shared" si="28"/>
        <v>#REF!</v>
      </c>
      <c r="Y385" s="206" t="e">
        <v>#N/A</v>
      </c>
      <c r="Z385" s="206" t="e">
        <f>VLOOKUP($F385,#REF!,9,1)</f>
        <v>#REF!</v>
      </c>
      <c r="AA385" s="206" t="e">
        <f t="shared" si="33"/>
        <v>#REF!</v>
      </c>
      <c r="AB385" s="206" t="e">
        <v>#N/A</v>
      </c>
      <c r="AC385" s="206" t="e">
        <f>VLOOKUP($F385,#REF!,14,1)</f>
        <v>#REF!</v>
      </c>
      <c r="AD385" s="206" t="e">
        <f>VLOOKUP($F385,#REF!,40,0)</f>
        <v>#REF!</v>
      </c>
      <c r="AE385" s="206" t="e">
        <f t="shared" si="29"/>
        <v>#REF!</v>
      </c>
      <c r="AF385" s="206" t="e">
        <v>#N/A</v>
      </c>
      <c r="AG385" s="206" t="e">
        <f>VLOOKUP($F385,#REF!,42,0)</f>
        <v>#REF!</v>
      </c>
      <c r="AH385" s="206" t="e">
        <f t="shared" si="30"/>
        <v>#REF!</v>
      </c>
      <c r="AI385" s="206" t="e">
        <v>#N/A</v>
      </c>
      <c r="AJ385" s="206" t="e">
        <f>VLOOKUP($F385,#REF!,43,0)</f>
        <v>#REF!</v>
      </c>
    </row>
    <row r="386" spans="2:36" s="102" customFormat="1" ht="22.5">
      <c r="B386" s="97"/>
      <c r="C386" s="113" t="s">
        <v>1915</v>
      </c>
      <c r="D386" t="s">
        <v>2166</v>
      </c>
      <c r="E386" s="123" t="s">
        <v>2260</v>
      </c>
      <c r="Q386" s="206" t="s">
        <v>2161</v>
      </c>
      <c r="R386" s="206">
        <f t="shared" si="24"/>
        <v>386</v>
      </c>
      <c r="S386" s="206" t="str">
        <f t="shared" si="25"/>
        <v>;'C INTERISTITUCIONAL'!$E$10:$BD$100;14;1)</v>
      </c>
      <c r="T386" s="203" t="s">
        <v>2211</v>
      </c>
      <c r="U386" s="206" t="str">
        <f t="shared" si="34"/>
        <v>=BUSCARV($E386;'C INTERISTITUCIONAL'!$E$10:$BD$100;14;1)</v>
      </c>
      <c r="V386" s="206"/>
      <c r="W386" s="206" t="e">
        <f>VLOOKUP($F386,#REF!,8,1)</f>
        <v>#REF!</v>
      </c>
      <c r="X386" s="206" t="e">
        <f t="shared" si="28"/>
        <v>#REF!</v>
      </c>
      <c r="Y386" s="206" t="e">
        <v>#N/A</v>
      </c>
      <c r="Z386" s="206" t="e">
        <f>VLOOKUP($F386,#REF!,9,1)</f>
        <v>#REF!</v>
      </c>
      <c r="AA386" s="206" t="e">
        <f t="shared" si="33"/>
        <v>#REF!</v>
      </c>
      <c r="AB386" s="206" t="e">
        <v>#N/A</v>
      </c>
      <c r="AC386" s="206" t="e">
        <f>VLOOKUP($F386,#REF!,14,1)</f>
        <v>#REF!</v>
      </c>
      <c r="AD386" s="206" t="e">
        <f>VLOOKUP($F386,#REF!,40,0)</f>
        <v>#REF!</v>
      </c>
      <c r="AE386" s="206" t="e">
        <f t="shared" si="29"/>
        <v>#REF!</v>
      </c>
      <c r="AF386" s="206" t="e">
        <v>#N/A</v>
      </c>
      <c r="AG386" s="206" t="e">
        <f>VLOOKUP($F386,#REF!,42,0)</f>
        <v>#REF!</v>
      </c>
      <c r="AH386" s="206" t="e">
        <f t="shared" si="30"/>
        <v>#REF!</v>
      </c>
      <c r="AI386" s="206" t="e">
        <v>#N/A</v>
      </c>
      <c r="AJ386" s="206" t="e">
        <f>VLOOKUP($F386,#REF!,43,0)</f>
        <v>#REF!</v>
      </c>
    </row>
    <row r="387" spans="2:36" s="102" customFormat="1" ht="22.5">
      <c r="B387" s="97"/>
      <c r="C387" s="113" t="s">
        <v>1915</v>
      </c>
      <c r="D387" t="s">
        <v>2166</v>
      </c>
      <c r="E387" s="123" t="s">
        <v>2260</v>
      </c>
      <c r="Q387" s="206" t="s">
        <v>2161</v>
      </c>
      <c r="R387" s="206">
        <f t="shared" si="24"/>
        <v>387</v>
      </c>
      <c r="S387" s="206" t="str">
        <f t="shared" si="25"/>
        <v>;'C INTERISTITUCIONAL'!$E$10:$BD$100;14;1)</v>
      </c>
      <c r="T387" s="203" t="s">
        <v>2211</v>
      </c>
      <c r="U387" s="206" t="str">
        <f t="shared" si="34"/>
        <v>=BUSCARV($E387;'C INTERISTITUCIONAL'!$E$10:$BD$100;14;1)</v>
      </c>
      <c r="V387" s="206"/>
      <c r="W387" s="206" t="e">
        <f>VLOOKUP($F387,#REF!,8,1)</f>
        <v>#REF!</v>
      </c>
      <c r="X387" s="206" t="e">
        <f t="shared" si="28"/>
        <v>#REF!</v>
      </c>
      <c r="Y387" s="206" t="e">
        <v>#N/A</v>
      </c>
      <c r="Z387" s="206" t="e">
        <f>VLOOKUP($F387,#REF!,9,1)</f>
        <v>#REF!</v>
      </c>
      <c r="AA387" s="206" t="e">
        <f t="shared" si="33"/>
        <v>#REF!</v>
      </c>
      <c r="AB387" s="206" t="e">
        <v>#N/A</v>
      </c>
      <c r="AC387" s="206" t="e">
        <f>VLOOKUP($F387,#REF!,14,1)</f>
        <v>#REF!</v>
      </c>
      <c r="AD387" s="206" t="e">
        <f>VLOOKUP($F387,#REF!,40,0)</f>
        <v>#REF!</v>
      </c>
      <c r="AE387" s="206" t="e">
        <f t="shared" si="29"/>
        <v>#REF!</v>
      </c>
      <c r="AF387" s="206" t="e">
        <v>#N/A</v>
      </c>
      <c r="AG387" s="206" t="e">
        <f>VLOOKUP($F387,#REF!,42,0)</f>
        <v>#REF!</v>
      </c>
      <c r="AH387" s="206" t="e">
        <f t="shared" si="30"/>
        <v>#REF!</v>
      </c>
      <c r="AI387" s="206" t="e">
        <v>#N/A</v>
      </c>
      <c r="AJ387" s="206" t="e">
        <f>VLOOKUP($F387,#REF!,43,0)</f>
        <v>#REF!</v>
      </c>
    </row>
    <row r="388" spans="2:36" s="102" customFormat="1" ht="22.5">
      <c r="B388" s="97"/>
      <c r="C388" s="106" t="s">
        <v>1913</v>
      </c>
      <c r="D388" t="s">
        <v>2167</v>
      </c>
      <c r="E388" s="123" t="s">
        <v>2260</v>
      </c>
      <c r="F388" s="102" t="s">
        <v>2014</v>
      </c>
      <c r="G388" s="97" t="s">
        <v>1929</v>
      </c>
      <c r="Q388" s="206" t="s">
        <v>2161</v>
      </c>
      <c r="R388" s="206">
        <f t="shared" si="24"/>
        <v>388</v>
      </c>
      <c r="S388" s="206" t="str">
        <f t="shared" si="25"/>
        <v>;'C COMUNICACIONES'!$E$10:$BD$100;14;1)</v>
      </c>
      <c r="T388" s="203" t="s">
        <v>2212</v>
      </c>
      <c r="U388" s="206" t="str">
        <f t="shared" si="26"/>
        <v>=BUSCARV($E388;'C COMUNICACIONES'!$E$10:$BD$100;14;1)</v>
      </c>
      <c r="V388" s="206"/>
      <c r="W388" s="206" t="e">
        <f>VLOOKUP($F388,#REF!,8,1)</f>
        <v>#REF!</v>
      </c>
      <c r="X388" s="206" t="e">
        <f t="shared" si="28"/>
        <v>#REF!</v>
      </c>
      <c r="Y388" s="206">
        <v>1</v>
      </c>
      <c r="Z388" s="206" t="e">
        <f>VLOOKUP($F388,#REF!,9,1)</f>
        <v>#REF!</v>
      </c>
      <c r="AA388" s="206" t="e">
        <f t="shared" si="33"/>
        <v>#REF!</v>
      </c>
      <c r="AB388" s="206">
        <v>10</v>
      </c>
      <c r="AC388" s="206" t="e">
        <f>VLOOKUP($F388,#REF!,14,1)</f>
        <v>#REF!</v>
      </c>
      <c r="AD388" s="206" t="e">
        <f>VLOOKUP($F388,#REF!,40,0)</f>
        <v>#REF!</v>
      </c>
      <c r="AE388" s="206" t="e">
        <f t="shared" si="29"/>
        <v>#REF!</v>
      </c>
      <c r="AF388" s="206">
        <v>1</v>
      </c>
      <c r="AG388" s="206" t="e">
        <f>VLOOKUP($F388,#REF!,42,0)</f>
        <v>#REF!</v>
      </c>
      <c r="AH388" s="206" t="e">
        <f t="shared" si="30"/>
        <v>#REF!</v>
      </c>
      <c r="AI388" s="206">
        <v>10</v>
      </c>
      <c r="AJ388" s="206" t="e">
        <f>VLOOKUP($F388,#REF!,43,0)</f>
        <v>#REF!</v>
      </c>
    </row>
    <row r="389" spans="2:36" s="102" customFormat="1" ht="22.5">
      <c r="B389" s="97"/>
      <c r="C389" s="106" t="s">
        <v>1913</v>
      </c>
      <c r="D389" t="s">
        <v>2167</v>
      </c>
      <c r="E389" s="123" t="s">
        <v>2260</v>
      </c>
      <c r="Q389" s="206" t="s">
        <v>2161</v>
      </c>
      <c r="R389" s="206">
        <f t="shared" si="24"/>
        <v>389</v>
      </c>
      <c r="S389" s="206" t="str">
        <f t="shared" si="25"/>
        <v>;'C COMUNICACIONES'!$E$10:$BD$100;14;1)</v>
      </c>
      <c r="T389" s="203" t="s">
        <v>2212</v>
      </c>
      <c r="U389" s="206" t="str">
        <f t="shared" ref="U389:U401" si="35">CONCATENATE("=BUSCARV($E",R389,T389)</f>
        <v>=BUSCARV($E389;'C COMUNICACIONES'!$E$10:$BD$100;14;1)</v>
      </c>
      <c r="V389" s="206"/>
      <c r="W389" s="206" t="e">
        <f>VLOOKUP($F389,#REF!,8,1)</f>
        <v>#REF!</v>
      </c>
      <c r="X389" s="206" t="e">
        <f t="shared" si="28"/>
        <v>#REF!</v>
      </c>
      <c r="Y389" s="206" t="e">
        <v>#N/A</v>
      </c>
      <c r="Z389" s="206" t="e">
        <f>VLOOKUP($F389,#REF!,9,1)</f>
        <v>#REF!</v>
      </c>
      <c r="AA389" s="206" t="e">
        <f t="shared" si="33"/>
        <v>#REF!</v>
      </c>
      <c r="AB389" s="206" t="e">
        <v>#N/A</v>
      </c>
      <c r="AC389" s="206" t="e">
        <f>VLOOKUP($F389,#REF!,14,1)</f>
        <v>#REF!</v>
      </c>
      <c r="AD389" s="206" t="e">
        <f>VLOOKUP($F389,#REF!,40,0)</f>
        <v>#REF!</v>
      </c>
      <c r="AE389" s="206" t="e">
        <f t="shared" si="29"/>
        <v>#REF!</v>
      </c>
      <c r="AF389" s="206" t="e">
        <v>#N/A</v>
      </c>
      <c r="AG389" s="206" t="e">
        <f>VLOOKUP($F389,#REF!,42,0)</f>
        <v>#REF!</v>
      </c>
      <c r="AH389" s="206" t="e">
        <f t="shared" si="30"/>
        <v>#REF!</v>
      </c>
      <c r="AI389" s="206" t="e">
        <v>#N/A</v>
      </c>
      <c r="AJ389" s="206" t="e">
        <f>VLOOKUP($F389,#REF!,43,0)</f>
        <v>#REF!</v>
      </c>
    </row>
    <row r="390" spans="2:36" s="102" customFormat="1" ht="22.5">
      <c r="B390" s="97"/>
      <c r="C390" s="106" t="s">
        <v>1913</v>
      </c>
      <c r="D390" t="s">
        <v>2167</v>
      </c>
      <c r="E390" s="123" t="s">
        <v>2260</v>
      </c>
      <c r="Q390" s="206" t="s">
        <v>2161</v>
      </c>
      <c r="R390" s="206">
        <f t="shared" si="24"/>
        <v>390</v>
      </c>
      <c r="S390" s="206" t="str">
        <f t="shared" si="25"/>
        <v>;'C COMUNICACIONES'!$E$10:$BD$100;14;1)</v>
      </c>
      <c r="T390" s="203" t="s">
        <v>2212</v>
      </c>
      <c r="U390" s="206" t="str">
        <f t="shared" si="35"/>
        <v>=BUSCARV($E390;'C COMUNICACIONES'!$E$10:$BD$100;14;1)</v>
      </c>
      <c r="V390" s="206"/>
      <c r="W390" s="206" t="e">
        <f>VLOOKUP($F390,#REF!,8,1)</f>
        <v>#REF!</v>
      </c>
      <c r="X390" s="206" t="e">
        <f t="shared" si="28"/>
        <v>#REF!</v>
      </c>
      <c r="Y390" s="206" t="e">
        <v>#N/A</v>
      </c>
      <c r="Z390" s="206" t="e">
        <f>VLOOKUP($F390,#REF!,9,1)</f>
        <v>#REF!</v>
      </c>
      <c r="AA390" s="206" t="e">
        <f t="shared" si="33"/>
        <v>#REF!</v>
      </c>
      <c r="AB390" s="206" t="e">
        <v>#N/A</v>
      </c>
      <c r="AC390" s="206" t="e">
        <f>VLOOKUP($F390,#REF!,14,1)</f>
        <v>#REF!</v>
      </c>
      <c r="AD390" s="206" t="e">
        <f>VLOOKUP($F390,#REF!,40,0)</f>
        <v>#REF!</v>
      </c>
      <c r="AE390" s="206" t="e">
        <f t="shared" si="29"/>
        <v>#REF!</v>
      </c>
      <c r="AF390" s="206" t="e">
        <v>#N/A</v>
      </c>
      <c r="AG390" s="206" t="e">
        <f>VLOOKUP($F390,#REF!,42,0)</f>
        <v>#REF!</v>
      </c>
      <c r="AH390" s="206" t="e">
        <f t="shared" si="30"/>
        <v>#REF!</v>
      </c>
      <c r="AI390" s="206" t="e">
        <v>#N/A</v>
      </c>
      <c r="AJ390" s="206" t="e">
        <f>VLOOKUP($F390,#REF!,43,0)</f>
        <v>#REF!</v>
      </c>
    </row>
    <row r="391" spans="2:36" s="102" customFormat="1" ht="22.5">
      <c r="B391" s="97"/>
      <c r="C391" s="106" t="s">
        <v>1913</v>
      </c>
      <c r="D391" t="s">
        <v>2167</v>
      </c>
      <c r="E391" s="123" t="s">
        <v>2260</v>
      </c>
      <c r="Q391" s="206" t="s">
        <v>2161</v>
      </c>
      <c r="R391" s="206">
        <f t="shared" si="24"/>
        <v>391</v>
      </c>
      <c r="S391" s="206" t="str">
        <f t="shared" si="25"/>
        <v>;'C COMUNICACIONES'!$E$10:$BD$100;14;1)</v>
      </c>
      <c r="T391" s="203" t="s">
        <v>2212</v>
      </c>
      <c r="U391" s="206" t="str">
        <f t="shared" si="35"/>
        <v>=BUSCARV($E391;'C COMUNICACIONES'!$E$10:$BD$100;14;1)</v>
      </c>
      <c r="V391" s="206"/>
      <c r="W391" s="206" t="e">
        <f>VLOOKUP($F391,#REF!,8,1)</f>
        <v>#REF!</v>
      </c>
      <c r="X391" s="206" t="e">
        <f t="shared" si="28"/>
        <v>#REF!</v>
      </c>
      <c r="Y391" s="206" t="e">
        <v>#N/A</v>
      </c>
      <c r="Z391" s="206" t="e">
        <f>VLOOKUP($F391,#REF!,9,1)</f>
        <v>#REF!</v>
      </c>
      <c r="AA391" s="206" t="e">
        <f t="shared" si="33"/>
        <v>#REF!</v>
      </c>
      <c r="AB391" s="206" t="e">
        <v>#N/A</v>
      </c>
      <c r="AC391" s="206" t="e">
        <f>VLOOKUP($F391,#REF!,14,1)</f>
        <v>#REF!</v>
      </c>
      <c r="AD391" s="206" t="e">
        <f>VLOOKUP($F391,#REF!,40,0)</f>
        <v>#REF!</v>
      </c>
      <c r="AE391" s="206" t="e">
        <f t="shared" si="29"/>
        <v>#REF!</v>
      </c>
      <c r="AF391" s="206" t="e">
        <v>#N/A</v>
      </c>
      <c r="AG391" s="206" t="e">
        <f>VLOOKUP($F391,#REF!,42,0)</f>
        <v>#REF!</v>
      </c>
      <c r="AH391" s="206" t="e">
        <f t="shared" si="30"/>
        <v>#REF!</v>
      </c>
      <c r="AI391" s="206" t="e">
        <v>#N/A</v>
      </c>
      <c r="AJ391" s="206" t="e">
        <f>VLOOKUP($F391,#REF!,43,0)</f>
        <v>#REF!</v>
      </c>
    </row>
    <row r="392" spans="2:36" s="102" customFormat="1" ht="22.5">
      <c r="B392" s="97"/>
      <c r="C392" s="106" t="s">
        <v>1913</v>
      </c>
      <c r="D392" t="s">
        <v>2167</v>
      </c>
      <c r="E392" s="123" t="s">
        <v>2260</v>
      </c>
      <c r="Q392" s="206" t="s">
        <v>2161</v>
      </c>
      <c r="R392" s="206">
        <f t="shared" si="24"/>
        <v>392</v>
      </c>
      <c r="S392" s="206" t="str">
        <f t="shared" si="25"/>
        <v>;'C COMUNICACIONES'!$E$10:$BD$100;14;1)</v>
      </c>
      <c r="T392" s="203" t="s">
        <v>2212</v>
      </c>
      <c r="U392" s="206" t="str">
        <f t="shared" si="35"/>
        <v>=BUSCARV($E392;'C COMUNICACIONES'!$E$10:$BD$100;14;1)</v>
      </c>
      <c r="V392" s="206"/>
      <c r="W392" s="206" t="e">
        <f>VLOOKUP($F392,#REF!,8,1)</f>
        <v>#REF!</v>
      </c>
      <c r="X392" s="206" t="e">
        <f t="shared" si="28"/>
        <v>#REF!</v>
      </c>
      <c r="Y392" s="206" t="e">
        <v>#N/A</v>
      </c>
      <c r="Z392" s="206" t="e">
        <f>VLOOKUP($F392,#REF!,9,1)</f>
        <v>#REF!</v>
      </c>
      <c r="AA392" s="206" t="e">
        <f t="shared" si="33"/>
        <v>#REF!</v>
      </c>
      <c r="AB392" s="206" t="e">
        <v>#N/A</v>
      </c>
      <c r="AC392" s="206" t="e">
        <f>VLOOKUP($F392,#REF!,14,1)</f>
        <v>#REF!</v>
      </c>
      <c r="AD392" s="206" t="e">
        <f>VLOOKUP($F392,#REF!,40,0)</f>
        <v>#REF!</v>
      </c>
      <c r="AE392" s="206" t="e">
        <f t="shared" si="29"/>
        <v>#REF!</v>
      </c>
      <c r="AF392" s="206" t="e">
        <v>#N/A</v>
      </c>
      <c r="AG392" s="206" t="e">
        <f>VLOOKUP($F392,#REF!,42,0)</f>
        <v>#REF!</v>
      </c>
      <c r="AH392" s="206" t="e">
        <f t="shared" si="30"/>
        <v>#REF!</v>
      </c>
      <c r="AI392" s="206" t="e">
        <v>#N/A</v>
      </c>
      <c r="AJ392" s="206" t="e">
        <f>VLOOKUP($F392,#REF!,43,0)</f>
        <v>#REF!</v>
      </c>
    </row>
    <row r="393" spans="2:36" s="102" customFormat="1" ht="22.5">
      <c r="B393" s="97"/>
      <c r="C393" s="106" t="s">
        <v>1913</v>
      </c>
      <c r="D393" t="s">
        <v>2167</v>
      </c>
      <c r="E393" s="123" t="s">
        <v>2260</v>
      </c>
      <c r="Q393" s="206" t="s">
        <v>2161</v>
      </c>
      <c r="R393" s="206">
        <f t="shared" si="24"/>
        <v>393</v>
      </c>
      <c r="S393" s="206" t="str">
        <f t="shared" si="25"/>
        <v>;'C COMUNICACIONES'!$E$10:$BD$100;14;1)</v>
      </c>
      <c r="T393" s="203" t="s">
        <v>2212</v>
      </c>
      <c r="U393" s="206" t="str">
        <f t="shared" si="35"/>
        <v>=BUSCARV($E393;'C COMUNICACIONES'!$E$10:$BD$100;14;1)</v>
      </c>
      <c r="V393" s="206"/>
      <c r="W393" s="206" t="e">
        <f>VLOOKUP($F393,#REF!,8,1)</f>
        <v>#REF!</v>
      </c>
      <c r="X393" s="206" t="e">
        <f t="shared" si="28"/>
        <v>#REF!</v>
      </c>
      <c r="Y393" s="206" t="e">
        <v>#N/A</v>
      </c>
      <c r="Z393" s="206" t="e">
        <f>VLOOKUP($F393,#REF!,9,1)</f>
        <v>#REF!</v>
      </c>
      <c r="AA393" s="206" t="e">
        <f t="shared" si="33"/>
        <v>#REF!</v>
      </c>
      <c r="AB393" s="206" t="e">
        <v>#N/A</v>
      </c>
      <c r="AC393" s="206" t="e">
        <f>VLOOKUP($F393,#REF!,14,1)</f>
        <v>#REF!</v>
      </c>
      <c r="AD393" s="206" t="e">
        <f>VLOOKUP($F393,#REF!,40,0)</f>
        <v>#REF!</v>
      </c>
      <c r="AE393" s="206" t="e">
        <f t="shared" si="29"/>
        <v>#REF!</v>
      </c>
      <c r="AF393" s="206" t="e">
        <v>#N/A</v>
      </c>
      <c r="AG393" s="206" t="e">
        <f>VLOOKUP($F393,#REF!,42,0)</f>
        <v>#REF!</v>
      </c>
      <c r="AH393" s="206" t="e">
        <f t="shared" si="30"/>
        <v>#REF!</v>
      </c>
      <c r="AI393" s="206" t="e">
        <v>#N/A</v>
      </c>
      <c r="AJ393" s="206" t="e">
        <f>VLOOKUP($F393,#REF!,43,0)</f>
        <v>#REF!</v>
      </c>
    </row>
    <row r="394" spans="2:36" s="102" customFormat="1" ht="22.5">
      <c r="B394" s="97"/>
      <c r="C394" s="106" t="s">
        <v>1913</v>
      </c>
      <c r="D394" t="s">
        <v>2167</v>
      </c>
      <c r="E394" s="123" t="s">
        <v>2260</v>
      </c>
      <c r="Q394" s="206" t="s">
        <v>2161</v>
      </c>
      <c r="R394" s="206">
        <f t="shared" si="24"/>
        <v>394</v>
      </c>
      <c r="S394" s="206" t="str">
        <f t="shared" si="25"/>
        <v>;'C COMUNICACIONES'!$E$10:$BD$100;14;1)</v>
      </c>
      <c r="T394" s="203" t="s">
        <v>2212</v>
      </c>
      <c r="U394" s="206" t="str">
        <f t="shared" si="35"/>
        <v>=BUSCARV($E394;'C COMUNICACIONES'!$E$10:$BD$100;14;1)</v>
      </c>
      <c r="V394" s="206"/>
      <c r="W394" s="206" t="e">
        <f>VLOOKUP($F394,#REF!,8,1)</f>
        <v>#REF!</v>
      </c>
      <c r="X394" s="206" t="e">
        <f t="shared" si="28"/>
        <v>#REF!</v>
      </c>
      <c r="Y394" s="206" t="e">
        <v>#N/A</v>
      </c>
      <c r="Z394" s="206" t="e">
        <f>VLOOKUP($F394,#REF!,9,1)</f>
        <v>#REF!</v>
      </c>
      <c r="AA394" s="206" t="e">
        <f t="shared" si="33"/>
        <v>#REF!</v>
      </c>
      <c r="AB394" s="206" t="e">
        <v>#N/A</v>
      </c>
      <c r="AC394" s="206" t="e">
        <f>VLOOKUP($F394,#REF!,14,1)</f>
        <v>#REF!</v>
      </c>
      <c r="AD394" s="206" t="e">
        <f>VLOOKUP($F394,#REF!,40,0)</f>
        <v>#REF!</v>
      </c>
      <c r="AE394" s="206" t="e">
        <f t="shared" si="29"/>
        <v>#REF!</v>
      </c>
      <c r="AF394" s="206" t="e">
        <v>#N/A</v>
      </c>
      <c r="AG394" s="206" t="e">
        <f>VLOOKUP($F394,#REF!,42,0)</f>
        <v>#REF!</v>
      </c>
      <c r="AH394" s="206" t="e">
        <f t="shared" si="30"/>
        <v>#REF!</v>
      </c>
      <c r="AI394" s="206" t="e">
        <v>#N/A</v>
      </c>
      <c r="AJ394" s="206" t="e">
        <f>VLOOKUP($F394,#REF!,43,0)</f>
        <v>#REF!</v>
      </c>
    </row>
    <row r="395" spans="2:36" s="102" customFormat="1" ht="22.5">
      <c r="B395" s="97"/>
      <c r="C395" s="106" t="s">
        <v>1913</v>
      </c>
      <c r="D395" t="s">
        <v>2167</v>
      </c>
      <c r="E395" s="123" t="s">
        <v>2260</v>
      </c>
      <c r="Q395" s="206" t="s">
        <v>2161</v>
      </c>
      <c r="R395" s="206">
        <f t="shared" si="24"/>
        <v>395</v>
      </c>
      <c r="S395" s="206" t="str">
        <f t="shared" si="25"/>
        <v>;'C COMUNICACIONES'!$E$10:$BD$100;14;1)</v>
      </c>
      <c r="T395" s="203" t="s">
        <v>2212</v>
      </c>
      <c r="U395" s="206" t="str">
        <f t="shared" si="35"/>
        <v>=BUSCARV($E395;'C COMUNICACIONES'!$E$10:$BD$100;14;1)</v>
      </c>
      <c r="V395" s="206"/>
      <c r="W395" s="206" t="e">
        <f>VLOOKUP($F395,#REF!,8,1)</f>
        <v>#REF!</v>
      </c>
      <c r="X395" s="206" t="e">
        <f t="shared" si="28"/>
        <v>#REF!</v>
      </c>
      <c r="Y395" s="206" t="e">
        <v>#N/A</v>
      </c>
      <c r="Z395" s="206" t="e">
        <f>VLOOKUP($F395,#REF!,9,1)</f>
        <v>#REF!</v>
      </c>
      <c r="AA395" s="206" t="e">
        <f t="shared" si="33"/>
        <v>#REF!</v>
      </c>
      <c r="AB395" s="206" t="e">
        <v>#N/A</v>
      </c>
      <c r="AC395" s="206" t="e">
        <f>VLOOKUP($F395,#REF!,14,1)</f>
        <v>#REF!</v>
      </c>
      <c r="AD395" s="206" t="e">
        <f>VLOOKUP($F395,#REF!,40,0)</f>
        <v>#REF!</v>
      </c>
      <c r="AE395" s="206" t="e">
        <f t="shared" si="29"/>
        <v>#REF!</v>
      </c>
      <c r="AF395" s="206" t="e">
        <v>#N/A</v>
      </c>
      <c r="AG395" s="206" t="e">
        <f>VLOOKUP($F395,#REF!,42,0)</f>
        <v>#REF!</v>
      </c>
      <c r="AH395" s="206" t="e">
        <f t="shared" si="30"/>
        <v>#REF!</v>
      </c>
      <c r="AI395" s="206" t="e">
        <v>#N/A</v>
      </c>
      <c r="AJ395" s="206" t="e">
        <f>VLOOKUP($F395,#REF!,43,0)</f>
        <v>#REF!</v>
      </c>
    </row>
    <row r="396" spans="2:36" s="102" customFormat="1" ht="22.5">
      <c r="B396" s="97"/>
      <c r="C396" s="106" t="s">
        <v>1913</v>
      </c>
      <c r="D396" t="s">
        <v>2167</v>
      </c>
      <c r="E396" s="123" t="s">
        <v>2260</v>
      </c>
      <c r="Q396" s="206" t="s">
        <v>2161</v>
      </c>
      <c r="R396" s="206">
        <f t="shared" si="24"/>
        <v>396</v>
      </c>
      <c r="S396" s="206" t="str">
        <f t="shared" si="25"/>
        <v>;'C COMUNICACIONES'!$E$10:$BD$100;14;1)</v>
      </c>
      <c r="T396" s="203" t="s">
        <v>2212</v>
      </c>
      <c r="U396" s="206" t="str">
        <f t="shared" si="35"/>
        <v>=BUSCARV($E396;'C COMUNICACIONES'!$E$10:$BD$100;14;1)</v>
      </c>
      <c r="V396" s="206"/>
      <c r="W396" s="206" t="e">
        <f>VLOOKUP($F396,#REF!,8,1)</f>
        <v>#REF!</v>
      </c>
      <c r="X396" s="206" t="e">
        <f t="shared" si="28"/>
        <v>#REF!</v>
      </c>
      <c r="Y396" s="206" t="e">
        <v>#N/A</v>
      </c>
      <c r="Z396" s="206" t="e">
        <f>VLOOKUP($F396,#REF!,9,1)</f>
        <v>#REF!</v>
      </c>
      <c r="AA396" s="206" t="e">
        <f t="shared" si="33"/>
        <v>#REF!</v>
      </c>
      <c r="AB396" s="206" t="e">
        <v>#N/A</v>
      </c>
      <c r="AC396" s="206" t="e">
        <f>VLOOKUP($F396,#REF!,14,1)</f>
        <v>#REF!</v>
      </c>
      <c r="AD396" s="206" t="e">
        <f>VLOOKUP($F396,#REF!,40,0)</f>
        <v>#REF!</v>
      </c>
      <c r="AE396" s="206" t="e">
        <f t="shared" si="29"/>
        <v>#REF!</v>
      </c>
      <c r="AF396" s="206" t="e">
        <v>#N/A</v>
      </c>
      <c r="AG396" s="206" t="e">
        <f>VLOOKUP($F396,#REF!,42,0)</f>
        <v>#REF!</v>
      </c>
      <c r="AH396" s="206" t="e">
        <f t="shared" si="30"/>
        <v>#REF!</v>
      </c>
      <c r="AI396" s="206" t="e">
        <v>#N/A</v>
      </c>
      <c r="AJ396" s="206" t="e">
        <f>VLOOKUP($F396,#REF!,43,0)</f>
        <v>#REF!</v>
      </c>
    </row>
    <row r="397" spans="2:36" s="102" customFormat="1" ht="22.5">
      <c r="B397" s="97"/>
      <c r="C397" s="106" t="s">
        <v>1913</v>
      </c>
      <c r="D397" t="s">
        <v>2167</v>
      </c>
      <c r="E397" s="123" t="s">
        <v>2260</v>
      </c>
      <c r="Q397" s="206" t="s">
        <v>2161</v>
      </c>
      <c r="R397" s="206">
        <f t="shared" si="24"/>
        <v>397</v>
      </c>
      <c r="S397" s="206" t="str">
        <f t="shared" si="25"/>
        <v>;'C COMUNICACIONES'!$E$10:$BD$100;14;1)</v>
      </c>
      <c r="T397" s="203" t="s">
        <v>2212</v>
      </c>
      <c r="U397" s="206" t="str">
        <f t="shared" si="35"/>
        <v>=BUSCARV($E397;'C COMUNICACIONES'!$E$10:$BD$100;14;1)</v>
      </c>
      <c r="V397" s="206"/>
      <c r="W397" s="206" t="e">
        <f>VLOOKUP($F397,#REF!,8,1)</f>
        <v>#REF!</v>
      </c>
      <c r="X397" s="206" t="e">
        <f t="shared" si="28"/>
        <v>#REF!</v>
      </c>
      <c r="Y397" s="206" t="e">
        <v>#N/A</v>
      </c>
      <c r="Z397" s="206" t="e">
        <f>VLOOKUP($F397,#REF!,9,1)</f>
        <v>#REF!</v>
      </c>
      <c r="AA397" s="206" t="e">
        <f t="shared" si="33"/>
        <v>#REF!</v>
      </c>
      <c r="AB397" s="206" t="e">
        <v>#N/A</v>
      </c>
      <c r="AC397" s="206" t="e">
        <f>VLOOKUP($F397,#REF!,14,1)</f>
        <v>#REF!</v>
      </c>
      <c r="AD397" s="206" t="e">
        <f>VLOOKUP($F397,#REF!,40,0)</f>
        <v>#REF!</v>
      </c>
      <c r="AE397" s="206" t="e">
        <f t="shared" si="29"/>
        <v>#REF!</v>
      </c>
      <c r="AF397" s="206" t="e">
        <v>#N/A</v>
      </c>
      <c r="AG397" s="206" t="e">
        <f>VLOOKUP($F397,#REF!,42,0)</f>
        <v>#REF!</v>
      </c>
      <c r="AH397" s="206" t="e">
        <f t="shared" si="30"/>
        <v>#REF!</v>
      </c>
      <c r="AI397" s="206" t="e">
        <v>#N/A</v>
      </c>
      <c r="AJ397" s="206" t="e">
        <f>VLOOKUP($F397,#REF!,43,0)</f>
        <v>#REF!</v>
      </c>
    </row>
    <row r="398" spans="2:36" s="102" customFormat="1" ht="22.5">
      <c r="B398" s="97"/>
      <c r="C398" s="106" t="s">
        <v>1913</v>
      </c>
      <c r="D398" t="s">
        <v>2167</v>
      </c>
      <c r="E398" s="123" t="s">
        <v>2260</v>
      </c>
      <c r="Q398" s="206" t="s">
        <v>2161</v>
      </c>
      <c r="R398" s="206">
        <f t="shared" si="24"/>
        <v>398</v>
      </c>
      <c r="S398" s="206" t="str">
        <f t="shared" si="25"/>
        <v>;'C COMUNICACIONES'!$E$10:$BD$100;14;1)</v>
      </c>
      <c r="T398" s="203" t="s">
        <v>2212</v>
      </c>
      <c r="U398" s="206" t="str">
        <f t="shared" si="35"/>
        <v>=BUSCARV($E398;'C COMUNICACIONES'!$E$10:$BD$100;14;1)</v>
      </c>
      <c r="V398" s="206"/>
      <c r="W398" s="206" t="e">
        <f>VLOOKUP($F398,#REF!,8,1)</f>
        <v>#REF!</v>
      </c>
      <c r="X398" s="206" t="e">
        <f t="shared" si="28"/>
        <v>#REF!</v>
      </c>
      <c r="Y398" s="206" t="e">
        <v>#N/A</v>
      </c>
      <c r="Z398" s="206" t="e">
        <f>VLOOKUP($F398,#REF!,9,1)</f>
        <v>#REF!</v>
      </c>
      <c r="AA398" s="206" t="e">
        <f t="shared" si="33"/>
        <v>#REF!</v>
      </c>
      <c r="AB398" s="206" t="e">
        <v>#N/A</v>
      </c>
      <c r="AC398" s="206" t="e">
        <f>VLOOKUP($F398,#REF!,14,1)</f>
        <v>#REF!</v>
      </c>
      <c r="AD398" s="206" t="e">
        <f>VLOOKUP($F398,#REF!,40,0)</f>
        <v>#REF!</v>
      </c>
      <c r="AE398" s="206" t="e">
        <f t="shared" si="29"/>
        <v>#REF!</v>
      </c>
      <c r="AF398" s="206" t="e">
        <v>#N/A</v>
      </c>
      <c r="AG398" s="206" t="e">
        <f>VLOOKUP($F398,#REF!,42,0)</f>
        <v>#REF!</v>
      </c>
      <c r="AH398" s="206" t="e">
        <f t="shared" si="30"/>
        <v>#REF!</v>
      </c>
      <c r="AI398" s="206" t="e">
        <v>#N/A</v>
      </c>
      <c r="AJ398" s="206" t="e">
        <f>VLOOKUP($F398,#REF!,43,0)</f>
        <v>#REF!</v>
      </c>
    </row>
    <row r="399" spans="2:36" s="102" customFormat="1" ht="22.5">
      <c r="B399" s="97"/>
      <c r="C399" s="106" t="s">
        <v>1913</v>
      </c>
      <c r="D399" t="s">
        <v>2167</v>
      </c>
      <c r="E399" s="123" t="s">
        <v>2260</v>
      </c>
      <c r="Q399" s="206" t="s">
        <v>2161</v>
      </c>
      <c r="R399" s="206">
        <f t="shared" si="24"/>
        <v>399</v>
      </c>
      <c r="S399" s="206" t="str">
        <f t="shared" si="25"/>
        <v>;'C COMUNICACIONES'!$E$10:$BD$100;14;1)</v>
      </c>
      <c r="T399" s="203" t="s">
        <v>2212</v>
      </c>
      <c r="U399" s="206" t="str">
        <f t="shared" si="35"/>
        <v>=BUSCARV($E399;'C COMUNICACIONES'!$E$10:$BD$100;14;1)</v>
      </c>
      <c r="V399" s="206"/>
      <c r="W399" s="206" t="e">
        <f>VLOOKUP($F399,#REF!,8,1)</f>
        <v>#REF!</v>
      </c>
      <c r="X399" s="206" t="e">
        <f t="shared" si="28"/>
        <v>#REF!</v>
      </c>
      <c r="Y399" s="206" t="e">
        <v>#N/A</v>
      </c>
      <c r="Z399" s="206" t="e">
        <f>VLOOKUP($F399,#REF!,9,1)</f>
        <v>#REF!</v>
      </c>
      <c r="AA399" s="206" t="e">
        <f t="shared" si="33"/>
        <v>#REF!</v>
      </c>
      <c r="AB399" s="206" t="e">
        <v>#N/A</v>
      </c>
      <c r="AC399" s="206" t="e">
        <f>VLOOKUP($F399,#REF!,14,1)</f>
        <v>#REF!</v>
      </c>
      <c r="AD399" s="206" t="e">
        <f>VLOOKUP($F399,#REF!,40,0)</f>
        <v>#REF!</v>
      </c>
      <c r="AE399" s="206" t="e">
        <f t="shared" si="29"/>
        <v>#REF!</v>
      </c>
      <c r="AF399" s="206" t="e">
        <v>#N/A</v>
      </c>
      <c r="AG399" s="206" t="e">
        <f>VLOOKUP($F399,#REF!,42,0)</f>
        <v>#REF!</v>
      </c>
      <c r="AH399" s="206" t="e">
        <f t="shared" si="30"/>
        <v>#REF!</v>
      </c>
      <c r="AI399" s="206" t="e">
        <v>#N/A</v>
      </c>
      <c r="AJ399" s="206" t="e">
        <f>VLOOKUP($F399,#REF!,43,0)</f>
        <v>#REF!</v>
      </c>
    </row>
    <row r="400" spans="2:36" s="102" customFormat="1" ht="22.5">
      <c r="B400" s="97"/>
      <c r="C400" s="106" t="s">
        <v>1913</v>
      </c>
      <c r="D400" t="s">
        <v>2167</v>
      </c>
      <c r="E400" s="123" t="s">
        <v>2260</v>
      </c>
      <c r="Q400" s="206" t="s">
        <v>2161</v>
      </c>
      <c r="R400" s="206">
        <f t="shared" si="24"/>
        <v>400</v>
      </c>
      <c r="S400" s="206" t="str">
        <f t="shared" si="25"/>
        <v>;'C COMUNICACIONES'!$E$10:$BD$100;14;1)</v>
      </c>
      <c r="T400" s="203" t="s">
        <v>2212</v>
      </c>
      <c r="U400" s="206" t="str">
        <f t="shared" si="35"/>
        <v>=BUSCARV($E400;'C COMUNICACIONES'!$E$10:$BD$100;14;1)</v>
      </c>
      <c r="V400" s="206"/>
      <c r="W400" s="206" t="e">
        <f>VLOOKUP($F400,#REF!,8,1)</f>
        <v>#REF!</v>
      </c>
      <c r="X400" s="206" t="e">
        <f t="shared" si="28"/>
        <v>#REF!</v>
      </c>
      <c r="Y400" s="206" t="e">
        <v>#N/A</v>
      </c>
      <c r="Z400" s="206" t="e">
        <f>VLOOKUP($F400,#REF!,9,1)</f>
        <v>#REF!</v>
      </c>
      <c r="AA400" s="206" t="e">
        <f t="shared" si="33"/>
        <v>#REF!</v>
      </c>
      <c r="AB400" s="206" t="e">
        <v>#N/A</v>
      </c>
      <c r="AC400" s="206" t="e">
        <f>VLOOKUP($F400,#REF!,14,1)</f>
        <v>#REF!</v>
      </c>
      <c r="AD400" s="206" t="e">
        <f>VLOOKUP($F400,#REF!,40,0)</f>
        <v>#REF!</v>
      </c>
      <c r="AE400" s="206" t="e">
        <f t="shared" si="29"/>
        <v>#REF!</v>
      </c>
      <c r="AF400" s="206" t="e">
        <v>#N/A</v>
      </c>
      <c r="AG400" s="206" t="e">
        <f>VLOOKUP($F400,#REF!,42,0)</f>
        <v>#REF!</v>
      </c>
      <c r="AH400" s="206" t="e">
        <f t="shared" si="30"/>
        <v>#REF!</v>
      </c>
      <c r="AI400" s="206" t="e">
        <v>#N/A</v>
      </c>
      <c r="AJ400" s="206" t="e">
        <f>VLOOKUP($F400,#REF!,43,0)</f>
        <v>#REF!</v>
      </c>
    </row>
    <row r="401" spans="2:36" s="102" customFormat="1" ht="22.5">
      <c r="B401" s="97"/>
      <c r="C401" s="106" t="s">
        <v>1913</v>
      </c>
      <c r="D401" t="s">
        <v>2167</v>
      </c>
      <c r="E401" s="123" t="s">
        <v>2260</v>
      </c>
      <c r="Q401" s="206" t="s">
        <v>2161</v>
      </c>
      <c r="R401" s="206">
        <f t="shared" ref="R401:R464" si="36">ROW(F401)</f>
        <v>401</v>
      </c>
      <c r="S401" s="206" t="str">
        <f t="shared" ref="S401:S464" si="37">CONCATENATE(";","'",D401,"'!","$E$10:$BD$100",";","14",";","1",")")</f>
        <v>;'C COMUNICACIONES'!$E$10:$BD$100;14;1)</v>
      </c>
      <c r="T401" s="203" t="s">
        <v>2212</v>
      </c>
      <c r="U401" s="206" t="str">
        <f t="shared" si="35"/>
        <v>=BUSCARV($E401;'C COMUNICACIONES'!$E$10:$BD$100;14;1)</v>
      </c>
      <c r="V401" s="206"/>
      <c r="W401" s="206" t="e">
        <f>VLOOKUP($F401,#REF!,8,1)</f>
        <v>#REF!</v>
      </c>
      <c r="X401" s="206" t="e">
        <f t="shared" si="28"/>
        <v>#REF!</v>
      </c>
      <c r="Y401" s="206" t="e">
        <v>#N/A</v>
      </c>
      <c r="Z401" s="206" t="e">
        <f>VLOOKUP($F401,#REF!,9,1)</f>
        <v>#REF!</v>
      </c>
      <c r="AA401" s="206" t="e">
        <f t="shared" si="33"/>
        <v>#REF!</v>
      </c>
      <c r="AB401" s="206" t="e">
        <v>#N/A</v>
      </c>
      <c r="AC401" s="206" t="e">
        <f>VLOOKUP($F401,#REF!,14,1)</f>
        <v>#REF!</v>
      </c>
      <c r="AD401" s="206" t="e">
        <f>VLOOKUP($F401,#REF!,40,0)</f>
        <v>#REF!</v>
      </c>
      <c r="AE401" s="206" t="e">
        <f t="shared" si="29"/>
        <v>#REF!</v>
      </c>
      <c r="AF401" s="206" t="e">
        <v>#N/A</v>
      </c>
      <c r="AG401" s="206" t="e">
        <f>VLOOKUP($F401,#REF!,42,0)</f>
        <v>#REF!</v>
      </c>
      <c r="AH401" s="206" t="e">
        <f t="shared" si="30"/>
        <v>#REF!</v>
      </c>
      <c r="AI401" s="206" t="e">
        <v>#N/A</v>
      </c>
      <c r="AJ401" s="206" t="e">
        <f>VLOOKUP($F401,#REF!,43,0)</f>
        <v>#REF!</v>
      </c>
    </row>
    <row r="402" spans="2:36" s="102" customFormat="1" ht="22.5">
      <c r="B402" s="97"/>
      <c r="C402" s="117" t="s">
        <v>1917</v>
      </c>
      <c r="D402" t="s">
        <v>2168</v>
      </c>
      <c r="E402" s="123" t="s">
        <v>2260</v>
      </c>
      <c r="F402" s="102" t="s">
        <v>292</v>
      </c>
      <c r="G402" s="97" t="s">
        <v>1929</v>
      </c>
      <c r="Q402" s="206" t="s">
        <v>2161</v>
      </c>
      <c r="R402" s="206">
        <f t="shared" si="36"/>
        <v>402</v>
      </c>
      <c r="S402" s="206" t="str">
        <f t="shared" si="37"/>
        <v>;'C FACTIBILIDAD'!$E$10:$BD$100;14;1)</v>
      </c>
      <c r="T402" s="203" t="s">
        <v>2213</v>
      </c>
      <c r="U402" s="206" t="str">
        <f t="shared" si="26"/>
        <v>=BUSCARV($E402;'C FACTIBILIDAD'!$E$10:$BD$100;14;1)</v>
      </c>
      <c r="V402" s="206"/>
      <c r="W402" s="206" t="e">
        <f>VLOOKUP($F402,#REF!,8,1)</f>
        <v>#REF!</v>
      </c>
      <c r="X402" s="206" t="e">
        <f t="shared" ref="X402:X465" si="38">IF(W402="Casi Seguro",5,IF(W402="Probable",4,IF(W402="Posible",3,IF(W402="Improbable",2,1))))</f>
        <v>#REF!</v>
      </c>
      <c r="Y402" s="206">
        <v>1</v>
      </c>
      <c r="Z402" s="206" t="e">
        <f>VLOOKUP($F402,#REF!,9,1)</f>
        <v>#REF!</v>
      </c>
      <c r="AA402" s="206" t="e">
        <f t="shared" si="33"/>
        <v>#REF!</v>
      </c>
      <c r="AB402" s="206">
        <v>10</v>
      </c>
      <c r="AC402" s="206" t="e">
        <f>VLOOKUP($F402,#REF!,14,1)</f>
        <v>#REF!</v>
      </c>
      <c r="AD402" s="206" t="e">
        <f>VLOOKUP($F402,#REF!,40,0)</f>
        <v>#REF!</v>
      </c>
      <c r="AE402" s="206" t="e">
        <f t="shared" ref="AE402:AE465" si="39">IF(AD402="Casi Seguro",5,IF(AD402="Probable",4,IF(AD402="Posible",3,IF(AD402="Improbable",2,1))))</f>
        <v>#REF!</v>
      </c>
      <c r="AF402" s="206">
        <v>1</v>
      </c>
      <c r="AG402" s="206" t="e">
        <f>VLOOKUP($F402,#REF!,42,0)</f>
        <v>#REF!</v>
      </c>
      <c r="AH402" s="206" t="e">
        <f t="shared" ref="AH402:AH465" si="40">IF(AG402="Catastrófico",20,IF(AG402="Mayor",10,5))</f>
        <v>#REF!</v>
      </c>
      <c r="AI402" s="206">
        <v>10</v>
      </c>
      <c r="AJ402" s="206" t="e">
        <f>VLOOKUP($F402,#REF!,43,0)</f>
        <v>#REF!</v>
      </c>
    </row>
    <row r="403" spans="2:36" s="102" customFormat="1" ht="22.5">
      <c r="B403" s="97"/>
      <c r="C403" s="117" t="s">
        <v>1917</v>
      </c>
      <c r="D403" t="s">
        <v>2168</v>
      </c>
      <c r="E403" s="123" t="s">
        <v>2260</v>
      </c>
      <c r="F403" s="102" t="s">
        <v>899</v>
      </c>
      <c r="G403" s="97" t="s">
        <v>1929</v>
      </c>
      <c r="Q403" s="206" t="s">
        <v>2161</v>
      </c>
      <c r="R403" s="206">
        <f t="shared" si="36"/>
        <v>403</v>
      </c>
      <c r="S403" s="206" t="str">
        <f t="shared" si="37"/>
        <v>;'C FACTIBILIDAD'!$E$10:$BD$100;14;1)</v>
      </c>
      <c r="T403" s="203" t="s">
        <v>2213</v>
      </c>
      <c r="U403" s="206" t="str">
        <f t="shared" ref="U403:U416" si="41">CONCATENATE("=BUSCARV($E",R403,T403)</f>
        <v>=BUSCARV($E403;'C FACTIBILIDAD'!$E$10:$BD$100;14;1)</v>
      </c>
      <c r="V403" s="206"/>
      <c r="W403" s="206" t="e">
        <f>VLOOKUP($F403,#REF!,8,1)</f>
        <v>#REF!</v>
      </c>
      <c r="X403" s="206" t="e">
        <f t="shared" si="38"/>
        <v>#REF!</v>
      </c>
      <c r="Y403" s="206">
        <v>1</v>
      </c>
      <c r="Z403" s="206" t="e">
        <f>VLOOKUP($F403,#REF!,9,1)</f>
        <v>#REF!</v>
      </c>
      <c r="AA403" s="206" t="e">
        <f t="shared" si="33"/>
        <v>#REF!</v>
      </c>
      <c r="AB403" s="206">
        <v>10</v>
      </c>
      <c r="AC403" s="206" t="e">
        <f>VLOOKUP($F403,#REF!,14,1)</f>
        <v>#REF!</v>
      </c>
      <c r="AD403" s="206" t="e">
        <f>VLOOKUP($F403,#REF!,40,0)</f>
        <v>#REF!</v>
      </c>
      <c r="AE403" s="206" t="e">
        <f t="shared" si="39"/>
        <v>#REF!</v>
      </c>
      <c r="AF403" s="206">
        <v>1</v>
      </c>
      <c r="AG403" s="206" t="e">
        <f>VLOOKUP($F403,#REF!,42,0)</f>
        <v>#REF!</v>
      </c>
      <c r="AH403" s="206" t="e">
        <f t="shared" si="40"/>
        <v>#REF!</v>
      </c>
      <c r="AI403" s="206">
        <v>10</v>
      </c>
      <c r="AJ403" s="206" t="e">
        <f>VLOOKUP($F403,#REF!,43,0)</f>
        <v>#REF!</v>
      </c>
    </row>
    <row r="404" spans="2:36" s="102" customFormat="1" ht="22.5">
      <c r="B404" s="97"/>
      <c r="C404" s="117" t="s">
        <v>1917</v>
      </c>
      <c r="D404" t="s">
        <v>2168</v>
      </c>
      <c r="E404" s="123" t="s">
        <v>2260</v>
      </c>
      <c r="F404" s="102" t="s">
        <v>906</v>
      </c>
      <c r="G404" s="97" t="s">
        <v>1929</v>
      </c>
      <c r="Q404" s="206" t="s">
        <v>2161</v>
      </c>
      <c r="R404" s="206">
        <f t="shared" si="36"/>
        <v>404</v>
      </c>
      <c r="S404" s="206" t="str">
        <f t="shared" si="37"/>
        <v>;'C FACTIBILIDAD'!$E$10:$BD$100;14;1)</v>
      </c>
      <c r="T404" s="203" t="s">
        <v>2213</v>
      </c>
      <c r="U404" s="206" t="str">
        <f t="shared" si="41"/>
        <v>=BUSCARV($E404;'C FACTIBILIDAD'!$E$10:$BD$100;14;1)</v>
      </c>
      <c r="V404" s="206"/>
      <c r="W404" s="206" t="e">
        <f>VLOOKUP($F404,#REF!,8,1)</f>
        <v>#REF!</v>
      </c>
      <c r="X404" s="206" t="e">
        <f t="shared" si="38"/>
        <v>#REF!</v>
      </c>
      <c r="Y404" s="206">
        <v>1</v>
      </c>
      <c r="Z404" s="206" t="e">
        <f>VLOOKUP($F404,#REF!,9,1)</f>
        <v>#REF!</v>
      </c>
      <c r="AA404" s="206" t="e">
        <f t="shared" si="33"/>
        <v>#REF!</v>
      </c>
      <c r="AB404" s="206">
        <v>5</v>
      </c>
      <c r="AC404" s="206" t="e">
        <f>VLOOKUP($F404,#REF!,14,1)</f>
        <v>#REF!</v>
      </c>
      <c r="AD404" s="206" t="e">
        <f>VLOOKUP($F404,#REF!,40,0)</f>
        <v>#REF!</v>
      </c>
      <c r="AE404" s="206" t="e">
        <f t="shared" si="39"/>
        <v>#REF!</v>
      </c>
      <c r="AF404" s="206">
        <v>1</v>
      </c>
      <c r="AG404" s="206" t="e">
        <f>VLOOKUP($F404,#REF!,42,0)</f>
        <v>#REF!</v>
      </c>
      <c r="AH404" s="206" t="e">
        <f t="shared" si="40"/>
        <v>#REF!</v>
      </c>
      <c r="AI404" s="206">
        <v>5</v>
      </c>
      <c r="AJ404" s="206" t="e">
        <f>VLOOKUP($F404,#REF!,43,0)</f>
        <v>#REF!</v>
      </c>
    </row>
    <row r="405" spans="2:36" s="102" customFormat="1" ht="22.5">
      <c r="B405" s="97"/>
      <c r="C405" s="117" t="s">
        <v>1917</v>
      </c>
      <c r="D405" t="s">
        <v>2168</v>
      </c>
      <c r="E405" s="123" t="s">
        <v>2260</v>
      </c>
      <c r="F405" s="102" t="s">
        <v>912</v>
      </c>
      <c r="G405" s="97" t="s">
        <v>1929</v>
      </c>
      <c r="Q405" s="206" t="s">
        <v>2161</v>
      </c>
      <c r="R405" s="206">
        <f t="shared" si="36"/>
        <v>405</v>
      </c>
      <c r="S405" s="206" t="str">
        <f t="shared" si="37"/>
        <v>;'C FACTIBILIDAD'!$E$10:$BD$100;14;1)</v>
      </c>
      <c r="T405" s="203" t="s">
        <v>2213</v>
      </c>
      <c r="U405" s="206" t="str">
        <f t="shared" si="41"/>
        <v>=BUSCARV($E405;'C FACTIBILIDAD'!$E$10:$BD$100;14;1)</v>
      </c>
      <c r="V405" s="206"/>
      <c r="W405" s="206" t="e">
        <f>VLOOKUP($F405,#REF!,8,1)</f>
        <v>#REF!</v>
      </c>
      <c r="X405" s="206" t="e">
        <f t="shared" si="38"/>
        <v>#REF!</v>
      </c>
      <c r="Y405" s="206">
        <v>1</v>
      </c>
      <c r="Z405" s="206" t="e">
        <f>VLOOKUP($F405,#REF!,9,1)</f>
        <v>#REF!</v>
      </c>
      <c r="AA405" s="206" t="e">
        <f t="shared" si="33"/>
        <v>#REF!</v>
      </c>
      <c r="AB405" s="206">
        <v>10</v>
      </c>
      <c r="AC405" s="206" t="e">
        <f>VLOOKUP($F405,#REF!,14,1)</f>
        <v>#REF!</v>
      </c>
      <c r="AD405" s="206" t="e">
        <f>VLOOKUP($F405,#REF!,40,0)</f>
        <v>#REF!</v>
      </c>
      <c r="AE405" s="206" t="e">
        <f t="shared" si="39"/>
        <v>#REF!</v>
      </c>
      <c r="AF405" s="206">
        <v>1</v>
      </c>
      <c r="AG405" s="206" t="e">
        <f>VLOOKUP($F405,#REF!,42,0)</f>
        <v>#REF!</v>
      </c>
      <c r="AH405" s="206" t="e">
        <f t="shared" si="40"/>
        <v>#REF!</v>
      </c>
      <c r="AI405" s="206">
        <v>10</v>
      </c>
      <c r="AJ405" s="206" t="e">
        <f>VLOOKUP($F405,#REF!,43,0)</f>
        <v>#REF!</v>
      </c>
    </row>
    <row r="406" spans="2:36" s="102" customFormat="1" ht="22.5">
      <c r="B406" s="97"/>
      <c r="C406" s="117" t="s">
        <v>1917</v>
      </c>
      <c r="D406" t="s">
        <v>2168</v>
      </c>
      <c r="E406" s="123" t="s">
        <v>2260</v>
      </c>
      <c r="F406" s="102" t="s">
        <v>918</v>
      </c>
      <c r="G406" s="97" t="s">
        <v>1929</v>
      </c>
      <c r="Q406" s="206" t="s">
        <v>2161</v>
      </c>
      <c r="R406" s="206">
        <f t="shared" si="36"/>
        <v>406</v>
      </c>
      <c r="S406" s="206" t="str">
        <f t="shared" si="37"/>
        <v>;'C FACTIBILIDAD'!$E$10:$BD$100;14;1)</v>
      </c>
      <c r="T406" s="203" t="s">
        <v>2213</v>
      </c>
      <c r="U406" s="206" t="str">
        <f t="shared" si="41"/>
        <v>=BUSCARV($E406;'C FACTIBILIDAD'!$E$10:$BD$100;14;1)</v>
      </c>
      <c r="V406" s="206"/>
      <c r="W406" s="206" t="e">
        <f>VLOOKUP($F406,#REF!,8,1)</f>
        <v>#REF!</v>
      </c>
      <c r="X406" s="206" t="e">
        <f t="shared" si="38"/>
        <v>#REF!</v>
      </c>
      <c r="Y406" s="206">
        <v>1</v>
      </c>
      <c r="Z406" s="206" t="e">
        <f>VLOOKUP($F406,#REF!,9,1)</f>
        <v>#REF!</v>
      </c>
      <c r="AA406" s="206" t="e">
        <f t="shared" si="33"/>
        <v>#REF!</v>
      </c>
      <c r="AB406" s="206">
        <v>10</v>
      </c>
      <c r="AC406" s="206" t="e">
        <f>VLOOKUP($F406,#REF!,14,1)</f>
        <v>#REF!</v>
      </c>
      <c r="AD406" s="206" t="e">
        <f>VLOOKUP($F406,#REF!,40,0)</f>
        <v>#REF!</v>
      </c>
      <c r="AE406" s="206" t="e">
        <f t="shared" si="39"/>
        <v>#REF!</v>
      </c>
      <c r="AF406" s="206">
        <v>1</v>
      </c>
      <c r="AG406" s="206" t="e">
        <f>VLOOKUP($F406,#REF!,42,0)</f>
        <v>#REF!</v>
      </c>
      <c r="AH406" s="206" t="e">
        <f t="shared" si="40"/>
        <v>#REF!</v>
      </c>
      <c r="AI406" s="206">
        <v>10</v>
      </c>
      <c r="AJ406" s="206" t="e">
        <f>VLOOKUP($F406,#REF!,43,0)</f>
        <v>#REF!</v>
      </c>
    </row>
    <row r="407" spans="2:36" s="102" customFormat="1" ht="22.5">
      <c r="B407" s="97"/>
      <c r="C407" s="117" t="s">
        <v>1917</v>
      </c>
      <c r="D407" t="s">
        <v>2168</v>
      </c>
      <c r="E407" s="123" t="s">
        <v>2260</v>
      </c>
      <c r="F407" s="102" t="s">
        <v>924</v>
      </c>
      <c r="G407" s="97" t="s">
        <v>1929</v>
      </c>
      <c r="Q407" s="206" t="s">
        <v>2161</v>
      </c>
      <c r="R407" s="206">
        <f t="shared" si="36"/>
        <v>407</v>
      </c>
      <c r="S407" s="206" t="str">
        <f t="shared" si="37"/>
        <v>;'C FACTIBILIDAD'!$E$10:$BD$100;14;1)</v>
      </c>
      <c r="T407" s="203" t="s">
        <v>2213</v>
      </c>
      <c r="U407" s="206" t="str">
        <f t="shared" si="41"/>
        <v>=BUSCARV($E407;'C FACTIBILIDAD'!$E$10:$BD$100;14;1)</v>
      </c>
      <c r="V407" s="206"/>
      <c r="W407" s="206" t="e">
        <f>VLOOKUP($F407,#REF!,8,1)</f>
        <v>#REF!</v>
      </c>
      <c r="X407" s="206" t="e">
        <f t="shared" si="38"/>
        <v>#REF!</v>
      </c>
      <c r="Y407" s="206">
        <v>1</v>
      </c>
      <c r="Z407" s="206" t="e">
        <f>VLOOKUP($F407,#REF!,9,1)</f>
        <v>#REF!</v>
      </c>
      <c r="AA407" s="206" t="e">
        <f t="shared" si="33"/>
        <v>#REF!</v>
      </c>
      <c r="AB407" s="206">
        <v>10</v>
      </c>
      <c r="AC407" s="206" t="e">
        <f>VLOOKUP($F407,#REF!,14,1)</f>
        <v>#REF!</v>
      </c>
      <c r="AD407" s="206" t="e">
        <f>VLOOKUP($F407,#REF!,40,0)</f>
        <v>#REF!</v>
      </c>
      <c r="AE407" s="206" t="e">
        <f t="shared" si="39"/>
        <v>#REF!</v>
      </c>
      <c r="AF407" s="206">
        <v>1</v>
      </c>
      <c r="AG407" s="206" t="e">
        <f>VLOOKUP($F407,#REF!,42,0)</f>
        <v>#REF!</v>
      </c>
      <c r="AH407" s="206" t="e">
        <f t="shared" si="40"/>
        <v>#REF!</v>
      </c>
      <c r="AI407" s="206">
        <v>10</v>
      </c>
      <c r="AJ407" s="206" t="e">
        <f>VLOOKUP($F407,#REF!,43,0)</f>
        <v>#REF!</v>
      </c>
    </row>
    <row r="408" spans="2:36" s="102" customFormat="1" ht="22.5">
      <c r="B408" s="97"/>
      <c r="C408" s="117" t="s">
        <v>1917</v>
      </c>
      <c r="D408" t="s">
        <v>2168</v>
      </c>
      <c r="E408" s="123" t="s">
        <v>2260</v>
      </c>
      <c r="Q408" s="206" t="s">
        <v>2161</v>
      </c>
      <c r="R408" s="206">
        <f t="shared" si="36"/>
        <v>408</v>
      </c>
      <c r="S408" s="206" t="str">
        <f t="shared" si="37"/>
        <v>;'C FACTIBILIDAD'!$E$10:$BD$100;14;1)</v>
      </c>
      <c r="T408" s="203" t="s">
        <v>2213</v>
      </c>
      <c r="U408" s="206" t="str">
        <f t="shared" si="41"/>
        <v>=BUSCARV($E408;'C FACTIBILIDAD'!$E$10:$BD$100;14;1)</v>
      </c>
      <c r="V408" s="206"/>
      <c r="W408" s="206" t="e">
        <f>VLOOKUP($F408,#REF!,8,1)</f>
        <v>#REF!</v>
      </c>
      <c r="X408" s="206" t="e">
        <f t="shared" si="38"/>
        <v>#REF!</v>
      </c>
      <c r="Y408" s="206" t="e">
        <v>#N/A</v>
      </c>
      <c r="Z408" s="206" t="e">
        <f>VLOOKUP($F408,#REF!,9,1)</f>
        <v>#REF!</v>
      </c>
      <c r="AA408" s="206" t="e">
        <f t="shared" si="33"/>
        <v>#REF!</v>
      </c>
      <c r="AB408" s="206" t="e">
        <v>#N/A</v>
      </c>
      <c r="AC408" s="206" t="e">
        <f>VLOOKUP($F408,#REF!,14,1)</f>
        <v>#REF!</v>
      </c>
      <c r="AD408" s="206" t="e">
        <f>VLOOKUP($F408,#REF!,40,0)</f>
        <v>#REF!</v>
      </c>
      <c r="AE408" s="206" t="e">
        <f t="shared" si="39"/>
        <v>#REF!</v>
      </c>
      <c r="AF408" s="206" t="e">
        <v>#N/A</v>
      </c>
      <c r="AG408" s="206" t="e">
        <f>VLOOKUP($F408,#REF!,42,0)</f>
        <v>#REF!</v>
      </c>
      <c r="AH408" s="206" t="e">
        <f t="shared" si="40"/>
        <v>#REF!</v>
      </c>
      <c r="AI408" s="206" t="e">
        <v>#N/A</v>
      </c>
      <c r="AJ408" s="206" t="e">
        <f>VLOOKUP($F408,#REF!,43,0)</f>
        <v>#REF!</v>
      </c>
    </row>
    <row r="409" spans="2:36" s="102" customFormat="1" ht="22.5">
      <c r="B409" s="97"/>
      <c r="C409" s="117" t="s">
        <v>1917</v>
      </c>
      <c r="D409" t="s">
        <v>2168</v>
      </c>
      <c r="E409" s="123" t="s">
        <v>2260</v>
      </c>
      <c r="Q409" s="206" t="s">
        <v>2161</v>
      </c>
      <c r="R409" s="206">
        <f t="shared" si="36"/>
        <v>409</v>
      </c>
      <c r="S409" s="206" t="str">
        <f t="shared" si="37"/>
        <v>;'C FACTIBILIDAD'!$E$10:$BD$100;14;1)</v>
      </c>
      <c r="T409" s="203" t="s">
        <v>2213</v>
      </c>
      <c r="U409" s="206" t="str">
        <f t="shared" si="41"/>
        <v>=BUSCARV($E409;'C FACTIBILIDAD'!$E$10:$BD$100;14;1)</v>
      </c>
      <c r="V409" s="206"/>
      <c r="W409" s="206" t="e">
        <f>VLOOKUP($F409,#REF!,8,1)</f>
        <v>#REF!</v>
      </c>
      <c r="X409" s="206" t="e">
        <f t="shared" si="38"/>
        <v>#REF!</v>
      </c>
      <c r="Y409" s="206" t="e">
        <v>#N/A</v>
      </c>
      <c r="Z409" s="206" t="e">
        <f>VLOOKUP($F409,#REF!,9,1)</f>
        <v>#REF!</v>
      </c>
      <c r="AA409" s="206" t="e">
        <f t="shared" si="33"/>
        <v>#REF!</v>
      </c>
      <c r="AB409" s="206" t="e">
        <v>#N/A</v>
      </c>
      <c r="AC409" s="206" t="e">
        <f>VLOOKUP($F409,#REF!,14,1)</f>
        <v>#REF!</v>
      </c>
      <c r="AD409" s="206" t="e">
        <f>VLOOKUP($F409,#REF!,40,0)</f>
        <v>#REF!</v>
      </c>
      <c r="AE409" s="206" t="e">
        <f t="shared" si="39"/>
        <v>#REF!</v>
      </c>
      <c r="AF409" s="206" t="e">
        <v>#N/A</v>
      </c>
      <c r="AG409" s="206" t="e">
        <f>VLOOKUP($F409,#REF!,42,0)</f>
        <v>#REF!</v>
      </c>
      <c r="AH409" s="206" t="e">
        <f t="shared" si="40"/>
        <v>#REF!</v>
      </c>
      <c r="AI409" s="206" t="e">
        <v>#N/A</v>
      </c>
      <c r="AJ409" s="206" t="e">
        <f>VLOOKUP($F409,#REF!,43,0)</f>
        <v>#REF!</v>
      </c>
    </row>
    <row r="410" spans="2:36" s="102" customFormat="1" ht="22.5">
      <c r="B410" s="97"/>
      <c r="C410" s="117" t="s">
        <v>1917</v>
      </c>
      <c r="D410" t="s">
        <v>2168</v>
      </c>
      <c r="E410" s="123" t="s">
        <v>2260</v>
      </c>
      <c r="Q410" s="206" t="s">
        <v>2161</v>
      </c>
      <c r="R410" s="206">
        <f t="shared" si="36"/>
        <v>410</v>
      </c>
      <c r="S410" s="206" t="str">
        <f t="shared" si="37"/>
        <v>;'C FACTIBILIDAD'!$E$10:$BD$100;14;1)</v>
      </c>
      <c r="T410" s="203" t="s">
        <v>2213</v>
      </c>
      <c r="U410" s="206" t="str">
        <f t="shared" si="41"/>
        <v>=BUSCARV($E410;'C FACTIBILIDAD'!$E$10:$BD$100;14;1)</v>
      </c>
      <c r="V410" s="206"/>
      <c r="W410" s="206" t="e">
        <f>VLOOKUP($F410,#REF!,8,1)</f>
        <v>#REF!</v>
      </c>
      <c r="X410" s="206" t="e">
        <f t="shared" si="38"/>
        <v>#REF!</v>
      </c>
      <c r="Y410" s="206" t="e">
        <v>#N/A</v>
      </c>
      <c r="Z410" s="206" t="e">
        <f>VLOOKUP($F410,#REF!,9,1)</f>
        <v>#REF!</v>
      </c>
      <c r="AA410" s="206" t="e">
        <f t="shared" si="33"/>
        <v>#REF!</v>
      </c>
      <c r="AB410" s="206" t="e">
        <v>#N/A</v>
      </c>
      <c r="AC410" s="206" t="e">
        <f>VLOOKUP($F410,#REF!,14,1)</f>
        <v>#REF!</v>
      </c>
      <c r="AD410" s="206" t="e">
        <f>VLOOKUP($F410,#REF!,40,0)</f>
        <v>#REF!</v>
      </c>
      <c r="AE410" s="206" t="e">
        <f t="shared" si="39"/>
        <v>#REF!</v>
      </c>
      <c r="AF410" s="206" t="e">
        <v>#N/A</v>
      </c>
      <c r="AG410" s="206" t="e">
        <f>VLOOKUP($F410,#REF!,42,0)</f>
        <v>#REF!</v>
      </c>
      <c r="AH410" s="206" t="e">
        <f t="shared" si="40"/>
        <v>#REF!</v>
      </c>
      <c r="AI410" s="206" t="e">
        <v>#N/A</v>
      </c>
      <c r="AJ410" s="206" t="e">
        <f>VLOOKUP($F410,#REF!,43,0)</f>
        <v>#REF!</v>
      </c>
    </row>
    <row r="411" spans="2:36" s="102" customFormat="1" ht="22.5">
      <c r="B411" s="97"/>
      <c r="C411" s="117" t="s">
        <v>1917</v>
      </c>
      <c r="D411" t="s">
        <v>2168</v>
      </c>
      <c r="E411" s="123" t="s">
        <v>2260</v>
      </c>
      <c r="Q411" s="206" t="s">
        <v>2161</v>
      </c>
      <c r="R411" s="206">
        <f t="shared" si="36"/>
        <v>411</v>
      </c>
      <c r="S411" s="206" t="str">
        <f t="shared" si="37"/>
        <v>;'C FACTIBILIDAD'!$E$10:$BD$100;14;1)</v>
      </c>
      <c r="T411" s="203" t="s">
        <v>2213</v>
      </c>
      <c r="U411" s="206" t="str">
        <f t="shared" si="41"/>
        <v>=BUSCARV($E411;'C FACTIBILIDAD'!$E$10:$BD$100;14;1)</v>
      </c>
      <c r="V411" s="206"/>
      <c r="W411" s="206" t="e">
        <f>VLOOKUP($F411,#REF!,8,1)</f>
        <v>#REF!</v>
      </c>
      <c r="X411" s="206" t="e">
        <f t="shared" si="38"/>
        <v>#REF!</v>
      </c>
      <c r="Y411" s="206" t="e">
        <v>#N/A</v>
      </c>
      <c r="Z411" s="206" t="e">
        <f>VLOOKUP($F411,#REF!,9,1)</f>
        <v>#REF!</v>
      </c>
      <c r="AA411" s="206" t="e">
        <f t="shared" si="33"/>
        <v>#REF!</v>
      </c>
      <c r="AB411" s="206" t="e">
        <v>#N/A</v>
      </c>
      <c r="AC411" s="206" t="e">
        <f>VLOOKUP($F411,#REF!,14,1)</f>
        <v>#REF!</v>
      </c>
      <c r="AD411" s="206" t="e">
        <f>VLOOKUP($F411,#REF!,40,0)</f>
        <v>#REF!</v>
      </c>
      <c r="AE411" s="206" t="e">
        <f t="shared" si="39"/>
        <v>#REF!</v>
      </c>
      <c r="AF411" s="206" t="e">
        <v>#N/A</v>
      </c>
      <c r="AG411" s="206" t="e">
        <f>VLOOKUP($F411,#REF!,42,0)</f>
        <v>#REF!</v>
      </c>
      <c r="AH411" s="206" t="e">
        <f t="shared" si="40"/>
        <v>#REF!</v>
      </c>
      <c r="AI411" s="206" t="e">
        <v>#N/A</v>
      </c>
      <c r="AJ411" s="206" t="e">
        <f>VLOOKUP($F411,#REF!,43,0)</f>
        <v>#REF!</v>
      </c>
    </row>
    <row r="412" spans="2:36" s="102" customFormat="1" ht="22.5">
      <c r="B412" s="97"/>
      <c r="C412" s="117" t="s">
        <v>1917</v>
      </c>
      <c r="D412" t="s">
        <v>2168</v>
      </c>
      <c r="E412" s="123" t="s">
        <v>2260</v>
      </c>
      <c r="Q412" s="206" t="s">
        <v>2161</v>
      </c>
      <c r="R412" s="206">
        <f t="shared" si="36"/>
        <v>412</v>
      </c>
      <c r="S412" s="206" t="str">
        <f t="shared" si="37"/>
        <v>;'C FACTIBILIDAD'!$E$10:$BD$100;14;1)</v>
      </c>
      <c r="T412" s="203" t="s">
        <v>2213</v>
      </c>
      <c r="U412" s="206" t="str">
        <f t="shared" si="41"/>
        <v>=BUSCARV($E412;'C FACTIBILIDAD'!$E$10:$BD$100;14;1)</v>
      </c>
      <c r="V412" s="206"/>
      <c r="W412" s="206" t="e">
        <f>VLOOKUP($F412,#REF!,8,1)</f>
        <v>#REF!</v>
      </c>
      <c r="X412" s="206" t="e">
        <f t="shared" si="38"/>
        <v>#REF!</v>
      </c>
      <c r="Y412" s="206" t="e">
        <v>#N/A</v>
      </c>
      <c r="Z412" s="206" t="e">
        <f>VLOOKUP($F412,#REF!,9,1)</f>
        <v>#REF!</v>
      </c>
      <c r="AA412" s="206" t="e">
        <f t="shared" si="33"/>
        <v>#REF!</v>
      </c>
      <c r="AB412" s="206" t="e">
        <v>#N/A</v>
      </c>
      <c r="AC412" s="206" t="e">
        <f>VLOOKUP($F412,#REF!,14,1)</f>
        <v>#REF!</v>
      </c>
      <c r="AD412" s="206" t="e">
        <f>VLOOKUP($F412,#REF!,40,0)</f>
        <v>#REF!</v>
      </c>
      <c r="AE412" s="206" t="e">
        <f t="shared" si="39"/>
        <v>#REF!</v>
      </c>
      <c r="AF412" s="206" t="e">
        <v>#N/A</v>
      </c>
      <c r="AG412" s="206" t="e">
        <f>VLOOKUP($F412,#REF!,42,0)</f>
        <v>#REF!</v>
      </c>
      <c r="AH412" s="206" t="e">
        <f t="shared" si="40"/>
        <v>#REF!</v>
      </c>
      <c r="AI412" s="206" t="e">
        <v>#N/A</v>
      </c>
      <c r="AJ412" s="206" t="e">
        <f>VLOOKUP($F412,#REF!,43,0)</f>
        <v>#REF!</v>
      </c>
    </row>
    <row r="413" spans="2:36" s="102" customFormat="1" ht="22.5">
      <c r="B413" s="97"/>
      <c r="C413" s="117" t="s">
        <v>1917</v>
      </c>
      <c r="D413" t="s">
        <v>2168</v>
      </c>
      <c r="E413" s="123" t="s">
        <v>2260</v>
      </c>
      <c r="Q413" s="206" t="s">
        <v>2161</v>
      </c>
      <c r="R413" s="206">
        <f t="shared" si="36"/>
        <v>413</v>
      </c>
      <c r="S413" s="206" t="str">
        <f t="shared" si="37"/>
        <v>;'C FACTIBILIDAD'!$E$10:$BD$100;14;1)</v>
      </c>
      <c r="T413" s="203" t="s">
        <v>2213</v>
      </c>
      <c r="U413" s="206" t="str">
        <f t="shared" si="41"/>
        <v>=BUSCARV($E413;'C FACTIBILIDAD'!$E$10:$BD$100;14;1)</v>
      </c>
      <c r="V413" s="206"/>
      <c r="W413" s="206" t="e">
        <f>VLOOKUP($F413,#REF!,8,1)</f>
        <v>#REF!</v>
      </c>
      <c r="X413" s="206" t="e">
        <f t="shared" si="38"/>
        <v>#REF!</v>
      </c>
      <c r="Y413" s="206" t="e">
        <v>#N/A</v>
      </c>
      <c r="Z413" s="206" t="e">
        <f>VLOOKUP($F413,#REF!,9,1)</f>
        <v>#REF!</v>
      </c>
      <c r="AA413" s="206" t="e">
        <f t="shared" si="33"/>
        <v>#REF!</v>
      </c>
      <c r="AB413" s="206" t="e">
        <v>#N/A</v>
      </c>
      <c r="AC413" s="206" t="e">
        <f>VLOOKUP($F413,#REF!,14,1)</f>
        <v>#REF!</v>
      </c>
      <c r="AD413" s="206" t="e">
        <f>VLOOKUP($F413,#REF!,40,0)</f>
        <v>#REF!</v>
      </c>
      <c r="AE413" s="206" t="e">
        <f t="shared" si="39"/>
        <v>#REF!</v>
      </c>
      <c r="AF413" s="206" t="e">
        <v>#N/A</v>
      </c>
      <c r="AG413" s="206" t="e">
        <f>VLOOKUP($F413,#REF!,42,0)</f>
        <v>#REF!</v>
      </c>
      <c r="AH413" s="206" t="e">
        <f t="shared" si="40"/>
        <v>#REF!</v>
      </c>
      <c r="AI413" s="206" t="e">
        <v>#N/A</v>
      </c>
      <c r="AJ413" s="206" t="e">
        <f>VLOOKUP($F413,#REF!,43,0)</f>
        <v>#REF!</v>
      </c>
    </row>
    <row r="414" spans="2:36" s="102" customFormat="1" ht="22.5">
      <c r="B414" s="97"/>
      <c r="C414" s="117" t="s">
        <v>1917</v>
      </c>
      <c r="D414" t="s">
        <v>2168</v>
      </c>
      <c r="E414" s="123" t="s">
        <v>2260</v>
      </c>
      <c r="Q414" s="206" t="s">
        <v>2161</v>
      </c>
      <c r="R414" s="206">
        <f t="shared" si="36"/>
        <v>414</v>
      </c>
      <c r="S414" s="206" t="str">
        <f t="shared" si="37"/>
        <v>;'C FACTIBILIDAD'!$E$10:$BD$100;14;1)</v>
      </c>
      <c r="T414" s="203" t="s">
        <v>2213</v>
      </c>
      <c r="U414" s="206" t="str">
        <f t="shared" si="41"/>
        <v>=BUSCARV($E414;'C FACTIBILIDAD'!$E$10:$BD$100;14;1)</v>
      </c>
      <c r="V414" s="206"/>
      <c r="W414" s="206" t="e">
        <f>VLOOKUP($F414,#REF!,8,1)</f>
        <v>#REF!</v>
      </c>
      <c r="X414" s="206" t="e">
        <f t="shared" si="38"/>
        <v>#REF!</v>
      </c>
      <c r="Y414" s="206" t="e">
        <v>#N/A</v>
      </c>
      <c r="Z414" s="206" t="e">
        <f>VLOOKUP($F414,#REF!,9,1)</f>
        <v>#REF!</v>
      </c>
      <c r="AA414" s="206" t="e">
        <f t="shared" si="33"/>
        <v>#REF!</v>
      </c>
      <c r="AB414" s="206" t="e">
        <v>#N/A</v>
      </c>
      <c r="AC414" s="206" t="e">
        <f>VLOOKUP($F414,#REF!,14,1)</f>
        <v>#REF!</v>
      </c>
      <c r="AD414" s="206" t="e">
        <f>VLOOKUP($F414,#REF!,40,0)</f>
        <v>#REF!</v>
      </c>
      <c r="AE414" s="206" t="e">
        <f t="shared" si="39"/>
        <v>#REF!</v>
      </c>
      <c r="AF414" s="206" t="e">
        <v>#N/A</v>
      </c>
      <c r="AG414" s="206" t="e">
        <f>VLOOKUP($F414,#REF!,42,0)</f>
        <v>#REF!</v>
      </c>
      <c r="AH414" s="206" t="e">
        <f t="shared" si="40"/>
        <v>#REF!</v>
      </c>
      <c r="AI414" s="206" t="e">
        <v>#N/A</v>
      </c>
      <c r="AJ414" s="206" t="e">
        <f>VLOOKUP($F414,#REF!,43,0)</f>
        <v>#REF!</v>
      </c>
    </row>
    <row r="415" spans="2:36" s="102" customFormat="1" ht="22.5">
      <c r="B415" s="97"/>
      <c r="C415" s="117" t="s">
        <v>1917</v>
      </c>
      <c r="D415" t="s">
        <v>2168</v>
      </c>
      <c r="E415" s="123" t="s">
        <v>2260</v>
      </c>
      <c r="Q415" s="206" t="s">
        <v>2161</v>
      </c>
      <c r="R415" s="206">
        <f t="shared" si="36"/>
        <v>415</v>
      </c>
      <c r="S415" s="206" t="str">
        <f t="shared" si="37"/>
        <v>;'C FACTIBILIDAD'!$E$10:$BD$100;14;1)</v>
      </c>
      <c r="T415" s="203" t="s">
        <v>2213</v>
      </c>
      <c r="U415" s="206" t="str">
        <f t="shared" si="41"/>
        <v>=BUSCARV($E415;'C FACTIBILIDAD'!$E$10:$BD$100;14;1)</v>
      </c>
      <c r="V415" s="206"/>
      <c r="W415" s="206" t="e">
        <f>VLOOKUP($F415,#REF!,8,1)</f>
        <v>#REF!</v>
      </c>
      <c r="X415" s="206" t="e">
        <f t="shared" si="38"/>
        <v>#REF!</v>
      </c>
      <c r="Y415" s="206" t="e">
        <v>#N/A</v>
      </c>
      <c r="Z415" s="206" t="e">
        <f>VLOOKUP($F415,#REF!,9,1)</f>
        <v>#REF!</v>
      </c>
      <c r="AA415" s="206" t="e">
        <f t="shared" si="33"/>
        <v>#REF!</v>
      </c>
      <c r="AB415" s="206" t="e">
        <v>#N/A</v>
      </c>
      <c r="AC415" s="206" t="e">
        <f>VLOOKUP($F415,#REF!,14,1)</f>
        <v>#REF!</v>
      </c>
      <c r="AD415" s="206" t="e">
        <f>VLOOKUP($F415,#REF!,40,0)</f>
        <v>#REF!</v>
      </c>
      <c r="AE415" s="206" t="e">
        <f t="shared" si="39"/>
        <v>#REF!</v>
      </c>
      <c r="AF415" s="206" t="e">
        <v>#N/A</v>
      </c>
      <c r="AG415" s="206" t="e">
        <f>VLOOKUP($F415,#REF!,42,0)</f>
        <v>#REF!</v>
      </c>
      <c r="AH415" s="206" t="e">
        <f t="shared" si="40"/>
        <v>#REF!</v>
      </c>
      <c r="AI415" s="206" t="e">
        <v>#N/A</v>
      </c>
      <c r="AJ415" s="206" t="e">
        <f>VLOOKUP($F415,#REF!,43,0)</f>
        <v>#REF!</v>
      </c>
    </row>
    <row r="416" spans="2:36" s="102" customFormat="1" ht="22.5">
      <c r="B416" s="97"/>
      <c r="C416" s="117" t="s">
        <v>1917</v>
      </c>
      <c r="D416" t="s">
        <v>2168</v>
      </c>
      <c r="E416" s="123" t="s">
        <v>2260</v>
      </c>
      <c r="Q416" s="206" t="s">
        <v>2161</v>
      </c>
      <c r="R416" s="206">
        <f t="shared" si="36"/>
        <v>416</v>
      </c>
      <c r="S416" s="206" t="str">
        <f t="shared" si="37"/>
        <v>;'C FACTIBILIDAD'!$E$10:$BD$100;14;1)</v>
      </c>
      <c r="T416" s="203" t="s">
        <v>2213</v>
      </c>
      <c r="U416" s="206" t="str">
        <f t="shared" si="41"/>
        <v>=BUSCARV($E416;'C FACTIBILIDAD'!$E$10:$BD$100;14;1)</v>
      </c>
      <c r="V416" s="206"/>
      <c r="W416" s="206" t="e">
        <f>VLOOKUP($F416,#REF!,8,1)</f>
        <v>#REF!</v>
      </c>
      <c r="X416" s="206" t="e">
        <f t="shared" si="38"/>
        <v>#REF!</v>
      </c>
      <c r="Y416" s="206" t="e">
        <v>#N/A</v>
      </c>
      <c r="Z416" s="206" t="e">
        <f>VLOOKUP($F416,#REF!,9,1)</f>
        <v>#REF!</v>
      </c>
      <c r="AA416" s="206" t="e">
        <f t="shared" si="33"/>
        <v>#REF!</v>
      </c>
      <c r="AB416" s="206" t="e">
        <v>#N/A</v>
      </c>
      <c r="AC416" s="206" t="e">
        <f>VLOOKUP($F416,#REF!,14,1)</f>
        <v>#REF!</v>
      </c>
      <c r="AD416" s="206" t="e">
        <f>VLOOKUP($F416,#REF!,40,0)</f>
        <v>#REF!</v>
      </c>
      <c r="AE416" s="206" t="e">
        <f t="shared" si="39"/>
        <v>#REF!</v>
      </c>
      <c r="AF416" s="206" t="e">
        <v>#N/A</v>
      </c>
      <c r="AG416" s="206" t="e">
        <f>VLOOKUP($F416,#REF!,42,0)</f>
        <v>#REF!</v>
      </c>
      <c r="AH416" s="206" t="e">
        <f t="shared" si="40"/>
        <v>#REF!</v>
      </c>
      <c r="AI416" s="206" t="e">
        <v>#N/A</v>
      </c>
      <c r="AJ416" s="206" t="e">
        <f>VLOOKUP($F416,#REF!,43,0)</f>
        <v>#REF!</v>
      </c>
    </row>
    <row r="417" spans="2:36" s="102" customFormat="1" ht="22.5">
      <c r="B417" s="97"/>
      <c r="C417" s="99" t="s">
        <v>1928</v>
      </c>
      <c r="D417" t="s">
        <v>2169</v>
      </c>
      <c r="E417" s="123" t="s">
        <v>2260</v>
      </c>
      <c r="F417" s="102" t="s">
        <v>511</v>
      </c>
      <c r="G417" s="97" t="s">
        <v>1929</v>
      </c>
      <c r="Q417" s="206" t="s">
        <v>2161</v>
      </c>
      <c r="R417" s="206">
        <f t="shared" si="36"/>
        <v>417</v>
      </c>
      <c r="S417" s="206" t="str">
        <f t="shared" si="37"/>
        <v>;'C VALORIZACION'!$E$10:$BD$100;14;1)</v>
      </c>
      <c r="T417" s="203" t="s">
        <v>2214</v>
      </c>
      <c r="U417" s="206" t="str">
        <f t="shared" si="26"/>
        <v>=BUSCARV($E417;'C VALORIZACION'!$E$10:$BD$100;14;1)</v>
      </c>
      <c r="V417" s="206"/>
      <c r="W417" s="206" t="e">
        <f>VLOOKUP($F417,#REF!,8,1)</f>
        <v>#REF!</v>
      </c>
      <c r="X417" s="206" t="e">
        <f t="shared" si="38"/>
        <v>#REF!</v>
      </c>
      <c r="Y417" s="206">
        <v>1</v>
      </c>
      <c r="Z417" s="206" t="e">
        <f>VLOOKUP($F417,#REF!,9,1)</f>
        <v>#REF!</v>
      </c>
      <c r="AA417" s="206" t="e">
        <f t="shared" si="33"/>
        <v>#REF!</v>
      </c>
      <c r="AB417" s="206">
        <v>20</v>
      </c>
      <c r="AC417" s="206" t="e">
        <f>VLOOKUP($F417,#REF!,14,1)</f>
        <v>#REF!</v>
      </c>
      <c r="AD417" s="206" t="e">
        <f>VLOOKUP($F417,#REF!,40,0)</f>
        <v>#REF!</v>
      </c>
      <c r="AE417" s="206" t="e">
        <f t="shared" si="39"/>
        <v>#REF!</v>
      </c>
      <c r="AF417" s="206">
        <v>1</v>
      </c>
      <c r="AG417" s="206" t="e">
        <f>VLOOKUP($F417,#REF!,42,0)</f>
        <v>#REF!</v>
      </c>
      <c r="AH417" s="206" t="e">
        <f t="shared" si="40"/>
        <v>#REF!</v>
      </c>
      <c r="AI417" s="206">
        <v>20</v>
      </c>
      <c r="AJ417" s="206" t="e">
        <f>VLOOKUP($F417,#REF!,43,0)</f>
        <v>#REF!</v>
      </c>
    </row>
    <row r="418" spans="2:36" s="102" customFormat="1" ht="22.5">
      <c r="B418" s="97"/>
      <c r="C418" s="99" t="s">
        <v>1928</v>
      </c>
      <c r="D418" t="s">
        <v>2169</v>
      </c>
      <c r="E418" s="123" t="s">
        <v>2260</v>
      </c>
      <c r="Q418" s="206" t="s">
        <v>2161</v>
      </c>
      <c r="R418" s="206">
        <f t="shared" si="36"/>
        <v>418</v>
      </c>
      <c r="S418" s="206" t="str">
        <f t="shared" si="37"/>
        <v>;'C VALORIZACION'!$E$10:$BD$100;14;1)</v>
      </c>
      <c r="T418" s="203" t="s">
        <v>2214</v>
      </c>
      <c r="U418" s="206" t="str">
        <f t="shared" ref="U418:U428" si="42">CONCATENATE("=BUSCARV($E",R418,T418)</f>
        <v>=BUSCARV($E418;'C VALORIZACION'!$E$10:$BD$100;14;1)</v>
      </c>
      <c r="V418" s="206"/>
      <c r="W418" s="206" t="e">
        <f>VLOOKUP($F418,#REF!,8,1)</f>
        <v>#REF!</v>
      </c>
      <c r="X418" s="206" t="e">
        <f t="shared" si="38"/>
        <v>#REF!</v>
      </c>
      <c r="Y418" s="206" t="e">
        <v>#N/A</v>
      </c>
      <c r="Z418" s="206" t="e">
        <f>VLOOKUP($F418,#REF!,9,1)</f>
        <v>#REF!</v>
      </c>
      <c r="AA418" s="206" t="e">
        <f t="shared" si="33"/>
        <v>#REF!</v>
      </c>
      <c r="AB418" s="206" t="e">
        <v>#N/A</v>
      </c>
      <c r="AC418" s="206" t="e">
        <f>VLOOKUP($F418,#REF!,14,1)</f>
        <v>#REF!</v>
      </c>
      <c r="AD418" s="206" t="e">
        <f>VLOOKUP($F418,#REF!,40,0)</f>
        <v>#REF!</v>
      </c>
      <c r="AE418" s="206" t="e">
        <f t="shared" si="39"/>
        <v>#REF!</v>
      </c>
      <c r="AF418" s="206" t="e">
        <v>#N/A</v>
      </c>
      <c r="AG418" s="206" t="e">
        <f>VLOOKUP($F418,#REF!,42,0)</f>
        <v>#REF!</v>
      </c>
      <c r="AH418" s="206" t="e">
        <f t="shared" si="40"/>
        <v>#REF!</v>
      </c>
      <c r="AI418" s="206" t="e">
        <v>#N/A</v>
      </c>
      <c r="AJ418" s="206" t="e">
        <f>VLOOKUP($F418,#REF!,43,0)</f>
        <v>#REF!</v>
      </c>
    </row>
    <row r="419" spans="2:36" s="102" customFormat="1" ht="22.5">
      <c r="B419" s="97"/>
      <c r="C419" s="99" t="s">
        <v>1928</v>
      </c>
      <c r="D419" t="s">
        <v>2169</v>
      </c>
      <c r="E419" s="123" t="s">
        <v>2260</v>
      </c>
      <c r="F419" s="102" t="s">
        <v>627</v>
      </c>
      <c r="G419" s="97" t="s">
        <v>1929</v>
      </c>
      <c r="Q419" s="206" t="s">
        <v>2161</v>
      </c>
      <c r="R419" s="206">
        <f t="shared" si="36"/>
        <v>419</v>
      </c>
      <c r="S419" s="206" t="str">
        <f t="shared" si="37"/>
        <v>;'C VALORIZACION'!$E$10:$BD$100;14;1)</v>
      </c>
      <c r="T419" s="203" t="s">
        <v>2214</v>
      </c>
      <c r="U419" s="206" t="str">
        <f t="shared" si="42"/>
        <v>=BUSCARV($E419;'C VALORIZACION'!$E$10:$BD$100;14;1)</v>
      </c>
      <c r="V419" s="206"/>
      <c r="W419" s="206" t="e">
        <f>VLOOKUP($F419,#REF!,8,1)</f>
        <v>#REF!</v>
      </c>
      <c r="X419" s="206" t="e">
        <f t="shared" si="38"/>
        <v>#REF!</v>
      </c>
      <c r="Y419" s="206">
        <v>2</v>
      </c>
      <c r="Z419" s="206" t="e">
        <f>VLOOKUP($F419,#REF!,9,1)</f>
        <v>#REF!</v>
      </c>
      <c r="AA419" s="206" t="e">
        <f t="shared" si="33"/>
        <v>#REF!</v>
      </c>
      <c r="AB419" s="206">
        <v>20</v>
      </c>
      <c r="AC419" s="206" t="e">
        <f>VLOOKUP($F419,#REF!,14,1)</f>
        <v>#REF!</v>
      </c>
      <c r="AD419" s="206" t="e">
        <f>VLOOKUP($F419,#REF!,40,0)</f>
        <v>#REF!</v>
      </c>
      <c r="AE419" s="206" t="e">
        <f t="shared" si="39"/>
        <v>#REF!</v>
      </c>
      <c r="AF419" s="206">
        <v>1</v>
      </c>
      <c r="AG419" s="206" t="e">
        <f>VLOOKUP($F419,#REF!,42,0)</f>
        <v>#REF!</v>
      </c>
      <c r="AH419" s="206" t="e">
        <f t="shared" si="40"/>
        <v>#REF!</v>
      </c>
      <c r="AI419" s="206">
        <v>20</v>
      </c>
      <c r="AJ419" s="206" t="e">
        <f>VLOOKUP($F419,#REF!,43,0)</f>
        <v>#REF!</v>
      </c>
    </row>
    <row r="420" spans="2:36" s="102" customFormat="1" ht="22.5">
      <c r="B420" s="97"/>
      <c r="C420" s="99" t="s">
        <v>1928</v>
      </c>
      <c r="D420" t="s">
        <v>2169</v>
      </c>
      <c r="E420" s="123" t="s">
        <v>2260</v>
      </c>
      <c r="F420" s="102" t="s">
        <v>515</v>
      </c>
      <c r="G420" s="97" t="s">
        <v>1929</v>
      </c>
      <c r="Q420" s="206" t="s">
        <v>2161</v>
      </c>
      <c r="R420" s="206">
        <f t="shared" si="36"/>
        <v>420</v>
      </c>
      <c r="S420" s="206" t="str">
        <f t="shared" si="37"/>
        <v>;'C VALORIZACION'!$E$10:$BD$100;14;1)</v>
      </c>
      <c r="T420" s="203" t="s">
        <v>2214</v>
      </c>
      <c r="U420" s="206" t="str">
        <f t="shared" si="42"/>
        <v>=BUSCARV($E420;'C VALORIZACION'!$E$10:$BD$100;14;1)</v>
      </c>
      <c r="V420" s="206"/>
      <c r="W420" s="206" t="e">
        <f>VLOOKUP($F420,#REF!,8,1)</f>
        <v>#REF!</v>
      </c>
      <c r="X420" s="206" t="e">
        <f t="shared" si="38"/>
        <v>#REF!</v>
      </c>
      <c r="Y420" s="206">
        <v>3</v>
      </c>
      <c r="Z420" s="206" t="e">
        <f>VLOOKUP($F420,#REF!,9,1)</f>
        <v>#REF!</v>
      </c>
      <c r="AA420" s="206" t="e">
        <f t="shared" si="33"/>
        <v>#REF!</v>
      </c>
      <c r="AB420" s="206">
        <v>10</v>
      </c>
      <c r="AC420" s="206" t="e">
        <f>VLOOKUP($F420,#REF!,14,1)</f>
        <v>#REF!</v>
      </c>
      <c r="AD420" s="206" t="e">
        <f>VLOOKUP($F420,#REF!,40,0)</f>
        <v>#REF!</v>
      </c>
      <c r="AE420" s="206" t="e">
        <f t="shared" si="39"/>
        <v>#REF!</v>
      </c>
      <c r="AF420" s="206">
        <v>1</v>
      </c>
      <c r="AG420" s="206" t="e">
        <f>VLOOKUP($F420,#REF!,42,0)</f>
        <v>#REF!</v>
      </c>
      <c r="AH420" s="206" t="e">
        <f t="shared" si="40"/>
        <v>#REF!</v>
      </c>
      <c r="AI420" s="206">
        <v>5</v>
      </c>
      <c r="AJ420" s="206" t="e">
        <f>VLOOKUP($F420,#REF!,43,0)</f>
        <v>#REF!</v>
      </c>
    </row>
    <row r="421" spans="2:36" s="102" customFormat="1" ht="22.5">
      <c r="B421" s="97"/>
      <c r="C421" s="99" t="s">
        <v>1928</v>
      </c>
      <c r="D421" t="s">
        <v>2169</v>
      </c>
      <c r="E421" s="123" t="s">
        <v>2260</v>
      </c>
      <c r="F421" s="102" t="s">
        <v>517</v>
      </c>
      <c r="G421" s="97" t="s">
        <v>1929</v>
      </c>
      <c r="Q421" s="206" t="s">
        <v>2161</v>
      </c>
      <c r="R421" s="206">
        <f t="shared" si="36"/>
        <v>421</v>
      </c>
      <c r="S421" s="206" t="str">
        <f t="shared" si="37"/>
        <v>;'C VALORIZACION'!$E$10:$BD$100;14;1)</v>
      </c>
      <c r="T421" s="203" t="s">
        <v>2214</v>
      </c>
      <c r="U421" s="206" t="str">
        <f t="shared" si="42"/>
        <v>=BUSCARV($E421;'C VALORIZACION'!$E$10:$BD$100;14;1)</v>
      </c>
      <c r="V421" s="206"/>
      <c r="W421" s="206" t="e">
        <f>VLOOKUP($F421,#REF!,8,1)</f>
        <v>#REF!</v>
      </c>
      <c r="X421" s="206" t="e">
        <f t="shared" si="38"/>
        <v>#REF!</v>
      </c>
      <c r="Y421" s="206">
        <v>1</v>
      </c>
      <c r="Z421" s="206" t="e">
        <f>VLOOKUP($F421,#REF!,9,1)</f>
        <v>#REF!</v>
      </c>
      <c r="AA421" s="206" t="e">
        <f t="shared" si="33"/>
        <v>#REF!</v>
      </c>
      <c r="AB421" s="206">
        <v>10</v>
      </c>
      <c r="AC421" s="206" t="e">
        <f>VLOOKUP($F421,#REF!,14,1)</f>
        <v>#REF!</v>
      </c>
      <c r="AD421" s="206" t="e">
        <f>VLOOKUP($F421,#REF!,40,0)</f>
        <v>#REF!</v>
      </c>
      <c r="AE421" s="206" t="e">
        <f t="shared" si="39"/>
        <v>#REF!</v>
      </c>
      <c r="AF421" s="206">
        <v>1</v>
      </c>
      <c r="AG421" s="206" t="e">
        <f>VLOOKUP($F421,#REF!,42,0)</f>
        <v>#REF!</v>
      </c>
      <c r="AH421" s="206" t="e">
        <f t="shared" si="40"/>
        <v>#REF!</v>
      </c>
      <c r="AI421" s="206">
        <v>10</v>
      </c>
      <c r="AJ421" s="206" t="e">
        <f>VLOOKUP($F421,#REF!,43,0)</f>
        <v>#REF!</v>
      </c>
    </row>
    <row r="422" spans="2:36" s="102" customFormat="1" ht="22.5">
      <c r="B422" s="97"/>
      <c r="C422" s="99" t="s">
        <v>1928</v>
      </c>
      <c r="D422" t="s">
        <v>2169</v>
      </c>
      <c r="E422" s="123" t="s">
        <v>2260</v>
      </c>
      <c r="F422" s="102" t="s">
        <v>518</v>
      </c>
      <c r="G422" s="97" t="s">
        <v>1929</v>
      </c>
      <c r="Q422" s="206" t="s">
        <v>2161</v>
      </c>
      <c r="R422" s="206">
        <f t="shared" si="36"/>
        <v>422</v>
      </c>
      <c r="S422" s="206" t="str">
        <f t="shared" si="37"/>
        <v>;'C VALORIZACION'!$E$10:$BD$100;14;1)</v>
      </c>
      <c r="T422" s="203" t="s">
        <v>2214</v>
      </c>
      <c r="U422" s="206" t="str">
        <f t="shared" si="42"/>
        <v>=BUSCARV($E422;'C VALORIZACION'!$E$10:$BD$100;14;1)</v>
      </c>
      <c r="V422" s="206"/>
      <c r="W422" s="206" t="e">
        <f>VLOOKUP($F422,#REF!,8,1)</f>
        <v>#REF!</v>
      </c>
      <c r="X422" s="206" t="e">
        <f t="shared" si="38"/>
        <v>#REF!</v>
      </c>
      <c r="Y422" s="206">
        <v>1</v>
      </c>
      <c r="Z422" s="206" t="e">
        <f>VLOOKUP($F422,#REF!,9,1)</f>
        <v>#REF!</v>
      </c>
      <c r="AA422" s="206" t="e">
        <f t="shared" si="33"/>
        <v>#REF!</v>
      </c>
      <c r="AB422" s="206">
        <v>20</v>
      </c>
      <c r="AC422" s="206" t="e">
        <f>VLOOKUP($F422,#REF!,14,1)</f>
        <v>#REF!</v>
      </c>
      <c r="AD422" s="206" t="e">
        <f>VLOOKUP($F422,#REF!,40,0)</f>
        <v>#REF!</v>
      </c>
      <c r="AE422" s="206" t="e">
        <f t="shared" si="39"/>
        <v>#REF!</v>
      </c>
      <c r="AF422" s="206">
        <v>1</v>
      </c>
      <c r="AG422" s="206" t="e">
        <f>VLOOKUP($F422,#REF!,42,0)</f>
        <v>#REF!</v>
      </c>
      <c r="AH422" s="206" t="e">
        <f t="shared" si="40"/>
        <v>#REF!</v>
      </c>
      <c r="AI422" s="206">
        <v>5</v>
      </c>
      <c r="AJ422" s="206" t="e">
        <f>VLOOKUP($F422,#REF!,43,0)</f>
        <v>#REF!</v>
      </c>
    </row>
    <row r="423" spans="2:36" s="102" customFormat="1" ht="22.5">
      <c r="B423" s="97"/>
      <c r="C423" s="99" t="s">
        <v>1928</v>
      </c>
      <c r="D423" t="s">
        <v>2169</v>
      </c>
      <c r="E423" s="123" t="s">
        <v>2260</v>
      </c>
      <c r="F423" s="102" t="s">
        <v>519</v>
      </c>
      <c r="G423" s="97" t="s">
        <v>1929</v>
      </c>
      <c r="Q423" s="206" t="s">
        <v>2161</v>
      </c>
      <c r="R423" s="206">
        <f t="shared" si="36"/>
        <v>423</v>
      </c>
      <c r="S423" s="206" t="str">
        <f t="shared" si="37"/>
        <v>;'C VALORIZACION'!$E$10:$BD$100;14;1)</v>
      </c>
      <c r="T423" s="203" t="s">
        <v>2214</v>
      </c>
      <c r="U423" s="206" t="str">
        <f t="shared" si="42"/>
        <v>=BUSCARV($E423;'C VALORIZACION'!$E$10:$BD$100;14;1)</v>
      </c>
      <c r="V423" s="206"/>
      <c r="W423" s="206" t="e">
        <f>VLOOKUP($F423,#REF!,8,1)</f>
        <v>#REF!</v>
      </c>
      <c r="X423" s="206" t="e">
        <f t="shared" si="38"/>
        <v>#REF!</v>
      </c>
      <c r="Y423" s="206">
        <v>1</v>
      </c>
      <c r="Z423" s="206" t="e">
        <f>VLOOKUP($F423,#REF!,9,1)</f>
        <v>#REF!</v>
      </c>
      <c r="AA423" s="206" t="e">
        <f t="shared" si="33"/>
        <v>#REF!</v>
      </c>
      <c r="AB423" s="206">
        <v>10</v>
      </c>
      <c r="AC423" s="206" t="e">
        <f>VLOOKUP($F423,#REF!,14,1)</f>
        <v>#REF!</v>
      </c>
      <c r="AD423" s="206" t="e">
        <f>VLOOKUP($F423,#REF!,40,0)</f>
        <v>#REF!</v>
      </c>
      <c r="AE423" s="206" t="e">
        <f t="shared" si="39"/>
        <v>#REF!</v>
      </c>
      <c r="AF423" s="206">
        <v>1</v>
      </c>
      <c r="AG423" s="206" t="e">
        <f>VLOOKUP($F423,#REF!,42,0)</f>
        <v>#REF!</v>
      </c>
      <c r="AH423" s="206" t="e">
        <f t="shared" si="40"/>
        <v>#REF!</v>
      </c>
      <c r="AI423" s="206">
        <v>5</v>
      </c>
      <c r="AJ423" s="206" t="e">
        <f>VLOOKUP($F423,#REF!,43,0)</f>
        <v>#REF!</v>
      </c>
    </row>
    <row r="424" spans="2:36" s="102" customFormat="1" ht="22.5">
      <c r="B424" s="97"/>
      <c r="C424" s="99" t="s">
        <v>1928</v>
      </c>
      <c r="D424" t="s">
        <v>2169</v>
      </c>
      <c r="E424" s="123" t="s">
        <v>2260</v>
      </c>
      <c r="F424" s="102" t="s">
        <v>520</v>
      </c>
      <c r="G424" s="97" t="s">
        <v>1929</v>
      </c>
      <c r="Q424" s="206" t="s">
        <v>2161</v>
      </c>
      <c r="R424" s="206">
        <f t="shared" si="36"/>
        <v>424</v>
      </c>
      <c r="S424" s="206" t="str">
        <f t="shared" si="37"/>
        <v>;'C VALORIZACION'!$E$10:$BD$100;14;1)</v>
      </c>
      <c r="T424" s="203" t="s">
        <v>2214</v>
      </c>
      <c r="U424" s="206" t="str">
        <f t="shared" si="42"/>
        <v>=BUSCARV($E424;'C VALORIZACION'!$E$10:$BD$100;14;1)</v>
      </c>
      <c r="V424" s="206"/>
      <c r="W424" s="206" t="e">
        <f>VLOOKUP($F424,#REF!,8,1)</f>
        <v>#REF!</v>
      </c>
      <c r="X424" s="206" t="e">
        <f t="shared" si="38"/>
        <v>#REF!</v>
      </c>
      <c r="Y424" s="206">
        <v>1</v>
      </c>
      <c r="Z424" s="206" t="e">
        <f>VLOOKUP($F424,#REF!,9,1)</f>
        <v>#REF!</v>
      </c>
      <c r="AA424" s="206" t="e">
        <f t="shared" si="33"/>
        <v>#REF!</v>
      </c>
      <c r="AB424" s="206">
        <v>20</v>
      </c>
      <c r="AC424" s="206" t="e">
        <f>VLOOKUP($F424,#REF!,14,1)</f>
        <v>#REF!</v>
      </c>
      <c r="AD424" s="206" t="e">
        <f>VLOOKUP($F424,#REF!,40,0)</f>
        <v>#REF!</v>
      </c>
      <c r="AE424" s="206" t="e">
        <f t="shared" si="39"/>
        <v>#REF!</v>
      </c>
      <c r="AF424" s="206">
        <v>1</v>
      </c>
      <c r="AG424" s="206" t="e">
        <f>VLOOKUP($F424,#REF!,42,0)</f>
        <v>#REF!</v>
      </c>
      <c r="AH424" s="206" t="e">
        <f t="shared" si="40"/>
        <v>#REF!</v>
      </c>
      <c r="AI424" s="206">
        <v>20</v>
      </c>
      <c r="AJ424" s="206" t="e">
        <f>VLOOKUP($F424,#REF!,43,0)</f>
        <v>#REF!</v>
      </c>
    </row>
    <row r="425" spans="2:36" s="102" customFormat="1" ht="22.5">
      <c r="B425" s="97"/>
      <c r="C425" s="99" t="s">
        <v>1928</v>
      </c>
      <c r="D425" t="s">
        <v>2169</v>
      </c>
      <c r="E425" s="123" t="s">
        <v>2260</v>
      </c>
      <c r="Q425" s="206" t="s">
        <v>2161</v>
      </c>
      <c r="R425" s="206">
        <f t="shared" si="36"/>
        <v>425</v>
      </c>
      <c r="S425" s="206" t="str">
        <f t="shared" si="37"/>
        <v>;'C VALORIZACION'!$E$10:$BD$100;14;1)</v>
      </c>
      <c r="T425" s="203" t="s">
        <v>2214</v>
      </c>
      <c r="U425" s="206" t="str">
        <f t="shared" si="42"/>
        <v>=BUSCARV($E425;'C VALORIZACION'!$E$10:$BD$100;14;1)</v>
      </c>
      <c r="V425" s="206"/>
      <c r="W425" s="206" t="e">
        <f>VLOOKUP($F425,#REF!,8,1)</f>
        <v>#REF!</v>
      </c>
      <c r="X425" s="206" t="e">
        <f t="shared" si="38"/>
        <v>#REF!</v>
      </c>
      <c r="Y425" s="206" t="e">
        <v>#N/A</v>
      </c>
      <c r="Z425" s="206" t="e">
        <f>VLOOKUP($F425,#REF!,9,1)</f>
        <v>#REF!</v>
      </c>
      <c r="AA425" s="206" t="e">
        <f t="shared" si="33"/>
        <v>#REF!</v>
      </c>
      <c r="AB425" s="206" t="e">
        <v>#N/A</v>
      </c>
      <c r="AC425" s="206" t="e">
        <f>VLOOKUP($F425,#REF!,14,1)</f>
        <v>#REF!</v>
      </c>
      <c r="AD425" s="206" t="e">
        <f>VLOOKUP($F425,#REF!,40,0)</f>
        <v>#REF!</v>
      </c>
      <c r="AE425" s="206" t="e">
        <f t="shared" si="39"/>
        <v>#REF!</v>
      </c>
      <c r="AF425" s="206" t="e">
        <v>#N/A</v>
      </c>
      <c r="AG425" s="206" t="e">
        <f>VLOOKUP($F425,#REF!,42,0)</f>
        <v>#REF!</v>
      </c>
      <c r="AH425" s="206" t="e">
        <f t="shared" si="40"/>
        <v>#REF!</v>
      </c>
      <c r="AI425" s="206" t="e">
        <v>#N/A</v>
      </c>
      <c r="AJ425" s="206" t="e">
        <f>VLOOKUP($F425,#REF!,43,0)</f>
        <v>#REF!</v>
      </c>
    </row>
    <row r="426" spans="2:36" s="102" customFormat="1" ht="22.5">
      <c r="B426" s="97"/>
      <c r="C426" s="99" t="s">
        <v>1928</v>
      </c>
      <c r="D426" t="s">
        <v>2169</v>
      </c>
      <c r="E426" s="123" t="s">
        <v>2260</v>
      </c>
      <c r="Q426" s="206" t="s">
        <v>2161</v>
      </c>
      <c r="R426" s="206">
        <f t="shared" si="36"/>
        <v>426</v>
      </c>
      <c r="S426" s="206" t="str">
        <f t="shared" si="37"/>
        <v>;'C VALORIZACION'!$E$10:$BD$100;14;1)</v>
      </c>
      <c r="T426" s="203" t="s">
        <v>2214</v>
      </c>
      <c r="U426" s="206" t="str">
        <f t="shared" si="42"/>
        <v>=BUSCARV($E426;'C VALORIZACION'!$E$10:$BD$100;14;1)</v>
      </c>
      <c r="V426" s="206"/>
      <c r="W426" s="206" t="e">
        <f>VLOOKUP($F426,#REF!,8,1)</f>
        <v>#REF!</v>
      </c>
      <c r="X426" s="206" t="e">
        <f t="shared" si="38"/>
        <v>#REF!</v>
      </c>
      <c r="Y426" s="206" t="e">
        <v>#N/A</v>
      </c>
      <c r="Z426" s="206" t="e">
        <f>VLOOKUP($F426,#REF!,9,1)</f>
        <v>#REF!</v>
      </c>
      <c r="AA426" s="206" t="e">
        <f t="shared" ref="AA426:AA489" si="43">IF(Z426="Catastrófico",20,IF(Z426="Mayor",10,5))</f>
        <v>#REF!</v>
      </c>
      <c r="AB426" s="206" t="e">
        <v>#N/A</v>
      </c>
      <c r="AC426" s="206" t="e">
        <f>VLOOKUP($F426,#REF!,14,1)</f>
        <v>#REF!</v>
      </c>
      <c r="AD426" s="206" t="e">
        <f>VLOOKUP($F426,#REF!,40,0)</f>
        <v>#REF!</v>
      </c>
      <c r="AE426" s="206" t="e">
        <f t="shared" si="39"/>
        <v>#REF!</v>
      </c>
      <c r="AF426" s="206" t="e">
        <v>#N/A</v>
      </c>
      <c r="AG426" s="206" t="e">
        <f>VLOOKUP($F426,#REF!,42,0)</f>
        <v>#REF!</v>
      </c>
      <c r="AH426" s="206" t="e">
        <f t="shared" si="40"/>
        <v>#REF!</v>
      </c>
      <c r="AI426" s="206" t="e">
        <v>#N/A</v>
      </c>
      <c r="AJ426" s="206" t="e">
        <f>VLOOKUP($F426,#REF!,43,0)</f>
        <v>#REF!</v>
      </c>
    </row>
    <row r="427" spans="2:36" s="102" customFormat="1" ht="22.5">
      <c r="B427" s="97"/>
      <c r="C427" s="99" t="s">
        <v>1928</v>
      </c>
      <c r="D427" t="s">
        <v>2169</v>
      </c>
      <c r="E427" s="123" t="s">
        <v>2260</v>
      </c>
      <c r="Q427" s="206" t="s">
        <v>2161</v>
      </c>
      <c r="R427" s="206">
        <f t="shared" si="36"/>
        <v>427</v>
      </c>
      <c r="S427" s="206" t="str">
        <f t="shared" si="37"/>
        <v>;'C VALORIZACION'!$E$10:$BD$100;14;1)</v>
      </c>
      <c r="T427" s="203" t="s">
        <v>2214</v>
      </c>
      <c r="U427" s="206" t="str">
        <f t="shared" si="42"/>
        <v>=BUSCARV($E427;'C VALORIZACION'!$E$10:$BD$100;14;1)</v>
      </c>
      <c r="V427" s="206"/>
      <c r="W427" s="206" t="e">
        <f>VLOOKUP($F427,#REF!,8,1)</f>
        <v>#REF!</v>
      </c>
      <c r="X427" s="206" t="e">
        <f t="shared" si="38"/>
        <v>#REF!</v>
      </c>
      <c r="Y427" s="206" t="e">
        <v>#N/A</v>
      </c>
      <c r="Z427" s="206" t="e">
        <f>VLOOKUP($F427,#REF!,9,1)</f>
        <v>#REF!</v>
      </c>
      <c r="AA427" s="206" t="e">
        <f t="shared" si="43"/>
        <v>#REF!</v>
      </c>
      <c r="AB427" s="206" t="e">
        <v>#N/A</v>
      </c>
      <c r="AC427" s="206" t="e">
        <f>VLOOKUP($F427,#REF!,14,1)</f>
        <v>#REF!</v>
      </c>
      <c r="AD427" s="206" t="e">
        <f>VLOOKUP($F427,#REF!,40,0)</f>
        <v>#REF!</v>
      </c>
      <c r="AE427" s="206" t="e">
        <f t="shared" si="39"/>
        <v>#REF!</v>
      </c>
      <c r="AF427" s="206" t="e">
        <v>#N/A</v>
      </c>
      <c r="AG427" s="206" t="e">
        <f>VLOOKUP($F427,#REF!,42,0)</f>
        <v>#REF!</v>
      </c>
      <c r="AH427" s="206" t="e">
        <f t="shared" si="40"/>
        <v>#REF!</v>
      </c>
      <c r="AI427" s="206" t="e">
        <v>#N/A</v>
      </c>
      <c r="AJ427" s="206" t="e">
        <f>VLOOKUP($F427,#REF!,43,0)</f>
        <v>#REF!</v>
      </c>
    </row>
    <row r="428" spans="2:36" s="102" customFormat="1" ht="22.5">
      <c r="B428" s="97"/>
      <c r="C428" s="99" t="s">
        <v>1928</v>
      </c>
      <c r="D428" t="s">
        <v>2169</v>
      </c>
      <c r="E428" s="123" t="s">
        <v>2260</v>
      </c>
      <c r="Q428" s="206" t="s">
        <v>2161</v>
      </c>
      <c r="R428" s="206">
        <f t="shared" si="36"/>
        <v>428</v>
      </c>
      <c r="S428" s="206" t="str">
        <f t="shared" si="37"/>
        <v>;'C VALORIZACION'!$E$10:$BD$100;14;1)</v>
      </c>
      <c r="T428" s="203" t="s">
        <v>2214</v>
      </c>
      <c r="U428" s="206" t="str">
        <f t="shared" si="42"/>
        <v>=BUSCARV($E428;'C VALORIZACION'!$E$10:$BD$100;14;1)</v>
      </c>
      <c r="V428" s="206"/>
      <c r="W428" s="206" t="e">
        <f>VLOOKUP($F428,#REF!,8,1)</f>
        <v>#REF!</v>
      </c>
      <c r="X428" s="206" t="e">
        <f t="shared" si="38"/>
        <v>#REF!</v>
      </c>
      <c r="Y428" s="206" t="e">
        <v>#N/A</v>
      </c>
      <c r="Z428" s="206" t="e">
        <f>VLOOKUP($F428,#REF!,9,1)</f>
        <v>#REF!</v>
      </c>
      <c r="AA428" s="206" t="e">
        <f t="shared" si="43"/>
        <v>#REF!</v>
      </c>
      <c r="AB428" s="206" t="e">
        <v>#N/A</v>
      </c>
      <c r="AC428" s="206" t="e">
        <f>VLOOKUP($F428,#REF!,14,1)</f>
        <v>#REF!</v>
      </c>
      <c r="AD428" s="206" t="e">
        <f>VLOOKUP($F428,#REF!,40,0)</f>
        <v>#REF!</v>
      </c>
      <c r="AE428" s="206" t="e">
        <f t="shared" si="39"/>
        <v>#REF!</v>
      </c>
      <c r="AF428" s="206" t="e">
        <v>#N/A</v>
      </c>
      <c r="AG428" s="206" t="e">
        <f>VLOOKUP($F428,#REF!,42,0)</f>
        <v>#REF!</v>
      </c>
      <c r="AH428" s="206" t="e">
        <f t="shared" si="40"/>
        <v>#REF!</v>
      </c>
      <c r="AI428" s="206" t="e">
        <v>#N/A</v>
      </c>
      <c r="AJ428" s="206" t="e">
        <f>VLOOKUP($F428,#REF!,43,0)</f>
        <v>#REF!</v>
      </c>
    </row>
    <row r="429" spans="2:36" s="102" customFormat="1" ht="22.5">
      <c r="B429" s="97"/>
      <c r="C429" s="109" t="s">
        <v>1919</v>
      </c>
      <c r="D429" t="s">
        <v>2170</v>
      </c>
      <c r="E429" s="123" t="s">
        <v>2260</v>
      </c>
      <c r="F429" s="102" t="s">
        <v>2043</v>
      </c>
      <c r="G429" s="97" t="s">
        <v>1929</v>
      </c>
      <c r="Q429" s="206" t="s">
        <v>2161</v>
      </c>
      <c r="R429" s="206">
        <f t="shared" si="36"/>
        <v>429</v>
      </c>
      <c r="S429" s="206" t="str">
        <f t="shared" si="37"/>
        <v>;'C DISEÑO'!$E$10:$BD$100;14;1)</v>
      </c>
      <c r="T429" s="203" t="s">
        <v>2215</v>
      </c>
      <c r="U429" s="206" t="str">
        <f t="shared" si="26"/>
        <v>=BUSCARV($E429;'C DISEÑO'!$E$10:$BD$100;14;1)</v>
      </c>
      <c r="V429" s="206"/>
      <c r="W429" s="206" t="e">
        <f>VLOOKUP($F429,#REF!,8,1)</f>
        <v>#REF!</v>
      </c>
      <c r="X429" s="206" t="e">
        <f t="shared" si="38"/>
        <v>#REF!</v>
      </c>
      <c r="Y429" s="206">
        <v>1</v>
      </c>
      <c r="Z429" s="206" t="e">
        <f>VLOOKUP($F429,#REF!,9,1)</f>
        <v>#REF!</v>
      </c>
      <c r="AA429" s="206" t="e">
        <f t="shared" si="43"/>
        <v>#REF!</v>
      </c>
      <c r="AB429" s="206">
        <v>10</v>
      </c>
      <c r="AC429" s="206" t="e">
        <f>VLOOKUP($F429,#REF!,14,1)</f>
        <v>#REF!</v>
      </c>
      <c r="AD429" s="206" t="e">
        <f>VLOOKUP($F429,#REF!,40,0)</f>
        <v>#REF!</v>
      </c>
      <c r="AE429" s="206" t="e">
        <f t="shared" si="39"/>
        <v>#REF!</v>
      </c>
      <c r="AF429" s="206">
        <v>1</v>
      </c>
      <c r="AG429" s="206" t="e">
        <f>VLOOKUP($F429,#REF!,42,0)</f>
        <v>#REF!</v>
      </c>
      <c r="AH429" s="206" t="e">
        <f t="shared" si="40"/>
        <v>#REF!</v>
      </c>
      <c r="AI429" s="206">
        <v>10</v>
      </c>
      <c r="AJ429" s="206" t="e">
        <f>VLOOKUP($F429,#REF!,43,0)</f>
        <v>#REF!</v>
      </c>
    </row>
    <row r="430" spans="2:36" s="102" customFormat="1" ht="22.5">
      <c r="B430" s="97"/>
      <c r="C430" s="109" t="s">
        <v>1919</v>
      </c>
      <c r="D430" t="s">
        <v>2170</v>
      </c>
      <c r="E430" s="123" t="s">
        <v>2260</v>
      </c>
      <c r="F430" s="102" t="s">
        <v>2044</v>
      </c>
      <c r="G430" s="97" t="s">
        <v>1929</v>
      </c>
      <c r="Q430" s="206" t="s">
        <v>2161</v>
      </c>
      <c r="R430" s="206">
        <f t="shared" si="36"/>
        <v>430</v>
      </c>
      <c r="S430" s="206" t="str">
        <f t="shared" si="37"/>
        <v>;'C DISEÑO'!$E$10:$BD$100;14;1)</v>
      </c>
      <c r="T430" s="203" t="s">
        <v>2215</v>
      </c>
      <c r="U430" s="206" t="str">
        <f t="shared" ref="U430:U442" si="44">CONCATENATE("=BUSCARV($E",R430,T430)</f>
        <v>=BUSCARV($E430;'C DISEÑO'!$E$10:$BD$100;14;1)</v>
      </c>
      <c r="V430" s="206"/>
      <c r="W430" s="206" t="e">
        <f>VLOOKUP($F430,#REF!,8,1)</f>
        <v>#REF!</v>
      </c>
      <c r="X430" s="206" t="e">
        <f t="shared" si="38"/>
        <v>#REF!</v>
      </c>
      <c r="Y430" s="206">
        <v>1</v>
      </c>
      <c r="Z430" s="206" t="e">
        <f>VLOOKUP($F430,#REF!,9,1)</f>
        <v>#REF!</v>
      </c>
      <c r="AA430" s="206" t="e">
        <f t="shared" si="43"/>
        <v>#REF!</v>
      </c>
      <c r="AB430" s="206">
        <v>10</v>
      </c>
      <c r="AC430" s="206" t="e">
        <f>VLOOKUP($F430,#REF!,14,1)</f>
        <v>#REF!</v>
      </c>
      <c r="AD430" s="206" t="e">
        <f>VLOOKUP($F430,#REF!,40,0)</f>
        <v>#REF!</v>
      </c>
      <c r="AE430" s="206" t="e">
        <f t="shared" si="39"/>
        <v>#REF!</v>
      </c>
      <c r="AF430" s="206">
        <v>1</v>
      </c>
      <c r="AG430" s="206" t="e">
        <f>VLOOKUP($F430,#REF!,42,0)</f>
        <v>#REF!</v>
      </c>
      <c r="AH430" s="206" t="e">
        <f t="shared" si="40"/>
        <v>#REF!</v>
      </c>
      <c r="AI430" s="206">
        <v>10</v>
      </c>
      <c r="AJ430" s="206" t="e">
        <f>VLOOKUP($F430,#REF!,43,0)</f>
        <v>#REF!</v>
      </c>
    </row>
    <row r="431" spans="2:36" s="102" customFormat="1" ht="22.5">
      <c r="B431" s="97"/>
      <c r="C431" s="109" t="s">
        <v>1919</v>
      </c>
      <c r="D431" t="s">
        <v>2170</v>
      </c>
      <c r="E431" s="123" t="s">
        <v>2260</v>
      </c>
      <c r="F431" s="102" t="s">
        <v>2045</v>
      </c>
      <c r="G431" s="97" t="s">
        <v>1929</v>
      </c>
      <c r="Q431" s="206" t="s">
        <v>2161</v>
      </c>
      <c r="R431" s="206">
        <f t="shared" si="36"/>
        <v>431</v>
      </c>
      <c r="S431" s="206" t="str">
        <f t="shared" si="37"/>
        <v>;'C DISEÑO'!$E$10:$BD$100;14;1)</v>
      </c>
      <c r="T431" s="203" t="s">
        <v>2215</v>
      </c>
      <c r="U431" s="206" t="str">
        <f t="shared" si="44"/>
        <v>=BUSCARV($E431;'C DISEÑO'!$E$10:$BD$100;14;1)</v>
      </c>
      <c r="V431" s="206"/>
      <c r="W431" s="206" t="e">
        <f>VLOOKUP($F431,#REF!,8,1)</f>
        <v>#REF!</v>
      </c>
      <c r="X431" s="206" t="e">
        <f t="shared" si="38"/>
        <v>#REF!</v>
      </c>
      <c r="Y431" s="206">
        <v>1</v>
      </c>
      <c r="Z431" s="206" t="e">
        <f>VLOOKUP($F431,#REF!,9,1)</f>
        <v>#REF!</v>
      </c>
      <c r="AA431" s="206" t="e">
        <f t="shared" si="43"/>
        <v>#REF!</v>
      </c>
      <c r="AB431" s="206">
        <v>5</v>
      </c>
      <c r="AC431" s="206" t="e">
        <f>VLOOKUP($F431,#REF!,14,1)</f>
        <v>#REF!</v>
      </c>
      <c r="AD431" s="206" t="e">
        <f>VLOOKUP($F431,#REF!,40,0)</f>
        <v>#REF!</v>
      </c>
      <c r="AE431" s="206" t="e">
        <f t="shared" si="39"/>
        <v>#REF!</v>
      </c>
      <c r="AF431" s="206">
        <v>1</v>
      </c>
      <c r="AG431" s="206" t="e">
        <f>VLOOKUP($F431,#REF!,42,0)</f>
        <v>#REF!</v>
      </c>
      <c r="AH431" s="206" t="e">
        <f t="shared" si="40"/>
        <v>#REF!</v>
      </c>
      <c r="AI431" s="206">
        <v>5</v>
      </c>
      <c r="AJ431" s="206" t="e">
        <f>VLOOKUP($F431,#REF!,43,0)</f>
        <v>#REF!</v>
      </c>
    </row>
    <row r="432" spans="2:36" s="102" customFormat="1" ht="22.5">
      <c r="B432" s="97"/>
      <c r="C432" s="109" t="s">
        <v>1919</v>
      </c>
      <c r="D432" t="s">
        <v>2170</v>
      </c>
      <c r="E432" s="123" t="s">
        <v>2260</v>
      </c>
      <c r="F432" s="102" t="s">
        <v>2046</v>
      </c>
      <c r="G432" s="97" t="s">
        <v>1929</v>
      </c>
      <c r="Q432" s="206" t="s">
        <v>2161</v>
      </c>
      <c r="R432" s="206">
        <f t="shared" si="36"/>
        <v>432</v>
      </c>
      <c r="S432" s="206" t="str">
        <f t="shared" si="37"/>
        <v>;'C DISEÑO'!$E$10:$BD$100;14;1)</v>
      </c>
      <c r="T432" s="203" t="s">
        <v>2215</v>
      </c>
      <c r="U432" s="206" t="str">
        <f t="shared" si="44"/>
        <v>=BUSCARV($E432;'C DISEÑO'!$E$10:$BD$100;14;1)</v>
      </c>
      <c r="V432" s="206"/>
      <c r="W432" s="206" t="e">
        <f>VLOOKUP($F432,#REF!,8,1)</f>
        <v>#REF!</v>
      </c>
      <c r="X432" s="206" t="e">
        <f t="shared" si="38"/>
        <v>#REF!</v>
      </c>
      <c r="Y432" s="206">
        <v>1</v>
      </c>
      <c r="Z432" s="206" t="e">
        <f>VLOOKUP($F432,#REF!,9,1)</f>
        <v>#REF!</v>
      </c>
      <c r="AA432" s="206" t="e">
        <f t="shared" si="43"/>
        <v>#REF!</v>
      </c>
      <c r="AB432" s="206">
        <v>10</v>
      </c>
      <c r="AC432" s="206" t="e">
        <f>VLOOKUP($F432,#REF!,14,1)</f>
        <v>#REF!</v>
      </c>
      <c r="AD432" s="206" t="e">
        <f>VLOOKUP($F432,#REF!,40,0)</f>
        <v>#REF!</v>
      </c>
      <c r="AE432" s="206" t="e">
        <f t="shared" si="39"/>
        <v>#REF!</v>
      </c>
      <c r="AF432" s="206">
        <v>1</v>
      </c>
      <c r="AG432" s="206" t="e">
        <f>VLOOKUP($F432,#REF!,42,0)</f>
        <v>#REF!</v>
      </c>
      <c r="AH432" s="206" t="e">
        <f t="shared" si="40"/>
        <v>#REF!</v>
      </c>
      <c r="AI432" s="206">
        <v>10</v>
      </c>
      <c r="AJ432" s="206" t="e">
        <f>VLOOKUP($F432,#REF!,43,0)</f>
        <v>#REF!</v>
      </c>
    </row>
    <row r="433" spans="2:36" s="102" customFormat="1" ht="22.5">
      <c r="B433" s="97"/>
      <c r="C433" s="109" t="s">
        <v>1919</v>
      </c>
      <c r="D433" t="s">
        <v>2170</v>
      </c>
      <c r="E433" s="123" t="s">
        <v>2260</v>
      </c>
      <c r="F433" s="102" t="s">
        <v>2047</v>
      </c>
      <c r="G433" s="97" t="s">
        <v>1929</v>
      </c>
      <c r="Q433" s="206" t="s">
        <v>2161</v>
      </c>
      <c r="R433" s="206">
        <f t="shared" si="36"/>
        <v>433</v>
      </c>
      <c r="S433" s="206" t="str">
        <f t="shared" si="37"/>
        <v>;'C DISEÑO'!$E$10:$BD$100;14;1)</v>
      </c>
      <c r="T433" s="203" t="s">
        <v>2215</v>
      </c>
      <c r="U433" s="206" t="str">
        <f t="shared" si="44"/>
        <v>=BUSCARV($E433;'C DISEÑO'!$E$10:$BD$100;14;1)</v>
      </c>
      <c r="V433" s="206"/>
      <c r="W433" s="206" t="e">
        <f>VLOOKUP($F433,#REF!,8,1)</f>
        <v>#REF!</v>
      </c>
      <c r="X433" s="206" t="e">
        <f t="shared" si="38"/>
        <v>#REF!</v>
      </c>
      <c r="Y433" s="206">
        <v>3</v>
      </c>
      <c r="Z433" s="206" t="e">
        <f>VLOOKUP($F433,#REF!,9,1)</f>
        <v>#REF!</v>
      </c>
      <c r="AA433" s="206" t="e">
        <f t="shared" si="43"/>
        <v>#REF!</v>
      </c>
      <c r="AB433" s="206">
        <v>10</v>
      </c>
      <c r="AC433" s="206" t="e">
        <f>VLOOKUP($F433,#REF!,14,1)</f>
        <v>#REF!</v>
      </c>
      <c r="AD433" s="206" t="e">
        <f>VLOOKUP($F433,#REF!,40,0)</f>
        <v>#REF!</v>
      </c>
      <c r="AE433" s="206" t="e">
        <f t="shared" si="39"/>
        <v>#REF!</v>
      </c>
      <c r="AF433" s="206">
        <v>2</v>
      </c>
      <c r="AG433" s="206" t="e">
        <f>VLOOKUP($F433,#REF!,42,0)</f>
        <v>#REF!</v>
      </c>
      <c r="AH433" s="206" t="e">
        <f t="shared" si="40"/>
        <v>#REF!</v>
      </c>
      <c r="AI433" s="206">
        <v>10</v>
      </c>
      <c r="AJ433" s="206" t="e">
        <f>VLOOKUP($F433,#REF!,43,0)</f>
        <v>#REF!</v>
      </c>
    </row>
    <row r="434" spans="2:36" s="102" customFormat="1" ht="22.5">
      <c r="B434" s="97"/>
      <c r="C434" s="109" t="s">
        <v>1919</v>
      </c>
      <c r="D434" t="s">
        <v>2170</v>
      </c>
      <c r="E434" s="123" t="s">
        <v>2260</v>
      </c>
      <c r="Q434" s="206" t="s">
        <v>2161</v>
      </c>
      <c r="R434" s="206">
        <f t="shared" si="36"/>
        <v>434</v>
      </c>
      <c r="S434" s="206" t="str">
        <f t="shared" si="37"/>
        <v>;'C DISEÑO'!$E$10:$BD$100;14;1)</v>
      </c>
      <c r="T434" s="203" t="s">
        <v>2215</v>
      </c>
      <c r="U434" s="206" t="str">
        <f t="shared" si="44"/>
        <v>=BUSCARV($E434;'C DISEÑO'!$E$10:$BD$100;14;1)</v>
      </c>
      <c r="V434" s="206"/>
      <c r="W434" s="206" t="e">
        <f>VLOOKUP($F434,#REF!,8,1)</f>
        <v>#REF!</v>
      </c>
      <c r="X434" s="206" t="e">
        <f t="shared" si="38"/>
        <v>#REF!</v>
      </c>
      <c r="Y434" s="206" t="e">
        <v>#N/A</v>
      </c>
      <c r="Z434" s="206" t="e">
        <f>VLOOKUP($F434,#REF!,9,1)</f>
        <v>#REF!</v>
      </c>
      <c r="AA434" s="206" t="e">
        <f t="shared" si="43"/>
        <v>#REF!</v>
      </c>
      <c r="AB434" s="206" t="e">
        <v>#N/A</v>
      </c>
      <c r="AC434" s="206" t="e">
        <f>VLOOKUP($F434,#REF!,14,1)</f>
        <v>#REF!</v>
      </c>
      <c r="AD434" s="206" t="e">
        <f>VLOOKUP($F434,#REF!,40,0)</f>
        <v>#REF!</v>
      </c>
      <c r="AE434" s="206" t="e">
        <f t="shared" si="39"/>
        <v>#REF!</v>
      </c>
      <c r="AF434" s="206" t="e">
        <v>#N/A</v>
      </c>
      <c r="AG434" s="206" t="e">
        <f>VLOOKUP($F434,#REF!,42,0)</f>
        <v>#REF!</v>
      </c>
      <c r="AH434" s="206" t="e">
        <f t="shared" si="40"/>
        <v>#REF!</v>
      </c>
      <c r="AI434" s="206" t="e">
        <v>#N/A</v>
      </c>
      <c r="AJ434" s="206" t="e">
        <f>VLOOKUP($F434,#REF!,43,0)</f>
        <v>#REF!</v>
      </c>
    </row>
    <row r="435" spans="2:36" s="102" customFormat="1" ht="22.5">
      <c r="B435" s="97"/>
      <c r="C435" s="109" t="s">
        <v>1919</v>
      </c>
      <c r="D435" t="s">
        <v>2170</v>
      </c>
      <c r="E435" s="123" t="s">
        <v>2260</v>
      </c>
      <c r="Q435" s="206" t="s">
        <v>2161</v>
      </c>
      <c r="R435" s="206">
        <f t="shared" si="36"/>
        <v>435</v>
      </c>
      <c r="S435" s="206" t="str">
        <f t="shared" si="37"/>
        <v>;'C DISEÑO'!$E$10:$BD$100;14;1)</v>
      </c>
      <c r="T435" s="203" t="s">
        <v>2215</v>
      </c>
      <c r="U435" s="206" t="str">
        <f t="shared" si="44"/>
        <v>=BUSCARV($E435;'C DISEÑO'!$E$10:$BD$100;14;1)</v>
      </c>
      <c r="V435" s="206"/>
      <c r="W435" s="206" t="e">
        <f>VLOOKUP($F435,#REF!,8,1)</f>
        <v>#REF!</v>
      </c>
      <c r="X435" s="206" t="e">
        <f t="shared" si="38"/>
        <v>#REF!</v>
      </c>
      <c r="Y435" s="206" t="e">
        <v>#N/A</v>
      </c>
      <c r="Z435" s="206" t="e">
        <f>VLOOKUP($F435,#REF!,9,1)</f>
        <v>#REF!</v>
      </c>
      <c r="AA435" s="206" t="e">
        <f t="shared" si="43"/>
        <v>#REF!</v>
      </c>
      <c r="AB435" s="206" t="e">
        <v>#N/A</v>
      </c>
      <c r="AC435" s="206" t="e">
        <f>VLOOKUP($F435,#REF!,14,1)</f>
        <v>#REF!</v>
      </c>
      <c r="AD435" s="206" t="e">
        <f>VLOOKUP($F435,#REF!,40,0)</f>
        <v>#REF!</v>
      </c>
      <c r="AE435" s="206" t="e">
        <f t="shared" si="39"/>
        <v>#REF!</v>
      </c>
      <c r="AF435" s="206" t="e">
        <v>#N/A</v>
      </c>
      <c r="AG435" s="206" t="e">
        <f>VLOOKUP($F435,#REF!,42,0)</f>
        <v>#REF!</v>
      </c>
      <c r="AH435" s="206" t="e">
        <f t="shared" si="40"/>
        <v>#REF!</v>
      </c>
      <c r="AI435" s="206" t="e">
        <v>#N/A</v>
      </c>
      <c r="AJ435" s="206" t="e">
        <f>VLOOKUP($F435,#REF!,43,0)</f>
        <v>#REF!</v>
      </c>
    </row>
    <row r="436" spans="2:36" s="102" customFormat="1" ht="22.5">
      <c r="B436" s="97"/>
      <c r="C436" s="109" t="s">
        <v>1919</v>
      </c>
      <c r="D436" t="s">
        <v>2170</v>
      </c>
      <c r="E436" s="123" t="s">
        <v>2260</v>
      </c>
      <c r="Q436" s="206" t="s">
        <v>2161</v>
      </c>
      <c r="R436" s="206">
        <f t="shared" si="36"/>
        <v>436</v>
      </c>
      <c r="S436" s="206" t="str">
        <f t="shared" si="37"/>
        <v>;'C DISEÑO'!$E$10:$BD$100;14;1)</v>
      </c>
      <c r="T436" s="203" t="s">
        <v>2215</v>
      </c>
      <c r="U436" s="206" t="str">
        <f t="shared" si="44"/>
        <v>=BUSCARV($E436;'C DISEÑO'!$E$10:$BD$100;14;1)</v>
      </c>
      <c r="V436" s="206"/>
      <c r="W436" s="206" t="e">
        <f>VLOOKUP($F436,#REF!,8,1)</f>
        <v>#REF!</v>
      </c>
      <c r="X436" s="206" t="e">
        <f t="shared" si="38"/>
        <v>#REF!</v>
      </c>
      <c r="Y436" s="206" t="e">
        <v>#N/A</v>
      </c>
      <c r="Z436" s="206" t="e">
        <f>VLOOKUP($F436,#REF!,9,1)</f>
        <v>#REF!</v>
      </c>
      <c r="AA436" s="206" t="e">
        <f t="shared" si="43"/>
        <v>#REF!</v>
      </c>
      <c r="AB436" s="206" t="e">
        <v>#N/A</v>
      </c>
      <c r="AC436" s="206" t="e">
        <f>VLOOKUP($F436,#REF!,14,1)</f>
        <v>#REF!</v>
      </c>
      <c r="AD436" s="206" t="e">
        <f>VLOOKUP($F436,#REF!,40,0)</f>
        <v>#REF!</v>
      </c>
      <c r="AE436" s="206" t="e">
        <f t="shared" si="39"/>
        <v>#REF!</v>
      </c>
      <c r="AF436" s="206" t="e">
        <v>#N/A</v>
      </c>
      <c r="AG436" s="206" t="e">
        <f>VLOOKUP($F436,#REF!,42,0)</f>
        <v>#REF!</v>
      </c>
      <c r="AH436" s="206" t="e">
        <f t="shared" si="40"/>
        <v>#REF!</v>
      </c>
      <c r="AI436" s="206" t="e">
        <v>#N/A</v>
      </c>
      <c r="AJ436" s="206" t="e">
        <f>VLOOKUP($F436,#REF!,43,0)</f>
        <v>#REF!</v>
      </c>
    </row>
    <row r="437" spans="2:36" s="102" customFormat="1" ht="22.5">
      <c r="B437" s="97"/>
      <c r="C437" s="109" t="s">
        <v>1919</v>
      </c>
      <c r="D437" t="s">
        <v>2170</v>
      </c>
      <c r="E437" s="123" t="s">
        <v>2260</v>
      </c>
      <c r="Q437" s="206" t="s">
        <v>2161</v>
      </c>
      <c r="R437" s="206">
        <f t="shared" si="36"/>
        <v>437</v>
      </c>
      <c r="S437" s="206" t="str">
        <f t="shared" si="37"/>
        <v>;'C DISEÑO'!$E$10:$BD$100;14;1)</v>
      </c>
      <c r="T437" s="203" t="s">
        <v>2215</v>
      </c>
      <c r="U437" s="206" t="str">
        <f t="shared" si="44"/>
        <v>=BUSCARV($E437;'C DISEÑO'!$E$10:$BD$100;14;1)</v>
      </c>
      <c r="V437" s="206"/>
      <c r="W437" s="206" t="e">
        <f>VLOOKUP($F437,#REF!,8,1)</f>
        <v>#REF!</v>
      </c>
      <c r="X437" s="206" t="e">
        <f t="shared" si="38"/>
        <v>#REF!</v>
      </c>
      <c r="Y437" s="206" t="e">
        <v>#N/A</v>
      </c>
      <c r="Z437" s="206" t="e">
        <f>VLOOKUP($F437,#REF!,9,1)</f>
        <v>#REF!</v>
      </c>
      <c r="AA437" s="206" t="e">
        <f t="shared" si="43"/>
        <v>#REF!</v>
      </c>
      <c r="AB437" s="206" t="e">
        <v>#N/A</v>
      </c>
      <c r="AC437" s="206" t="e">
        <f>VLOOKUP($F437,#REF!,14,1)</f>
        <v>#REF!</v>
      </c>
      <c r="AD437" s="206" t="e">
        <f>VLOOKUP($F437,#REF!,40,0)</f>
        <v>#REF!</v>
      </c>
      <c r="AE437" s="206" t="e">
        <f t="shared" si="39"/>
        <v>#REF!</v>
      </c>
      <c r="AF437" s="206" t="e">
        <v>#N/A</v>
      </c>
      <c r="AG437" s="206" t="e">
        <f>VLOOKUP($F437,#REF!,42,0)</f>
        <v>#REF!</v>
      </c>
      <c r="AH437" s="206" t="e">
        <f t="shared" si="40"/>
        <v>#REF!</v>
      </c>
      <c r="AI437" s="206" t="e">
        <v>#N/A</v>
      </c>
      <c r="AJ437" s="206" t="e">
        <f>VLOOKUP($F437,#REF!,43,0)</f>
        <v>#REF!</v>
      </c>
    </row>
    <row r="438" spans="2:36" s="102" customFormat="1" ht="22.5">
      <c r="B438" s="97"/>
      <c r="C438" s="109" t="s">
        <v>1919</v>
      </c>
      <c r="D438" t="s">
        <v>2170</v>
      </c>
      <c r="E438" s="123" t="s">
        <v>2260</v>
      </c>
      <c r="Q438" s="206" t="s">
        <v>2161</v>
      </c>
      <c r="R438" s="206">
        <f t="shared" si="36"/>
        <v>438</v>
      </c>
      <c r="S438" s="206" t="str">
        <f t="shared" si="37"/>
        <v>;'C DISEÑO'!$E$10:$BD$100;14;1)</v>
      </c>
      <c r="T438" s="203" t="s">
        <v>2215</v>
      </c>
      <c r="U438" s="206" t="str">
        <f t="shared" si="44"/>
        <v>=BUSCARV($E438;'C DISEÑO'!$E$10:$BD$100;14;1)</v>
      </c>
      <c r="V438" s="206"/>
      <c r="W438" s="206" t="e">
        <f>VLOOKUP($F438,#REF!,8,1)</f>
        <v>#REF!</v>
      </c>
      <c r="X438" s="206" t="e">
        <f t="shared" si="38"/>
        <v>#REF!</v>
      </c>
      <c r="Y438" s="206" t="e">
        <v>#N/A</v>
      </c>
      <c r="Z438" s="206" t="e">
        <f>VLOOKUP($F438,#REF!,9,1)</f>
        <v>#REF!</v>
      </c>
      <c r="AA438" s="206" t="e">
        <f t="shared" si="43"/>
        <v>#REF!</v>
      </c>
      <c r="AB438" s="206" t="e">
        <v>#N/A</v>
      </c>
      <c r="AC438" s="206" t="e">
        <f>VLOOKUP($F438,#REF!,14,1)</f>
        <v>#REF!</v>
      </c>
      <c r="AD438" s="206" t="e">
        <f>VLOOKUP($F438,#REF!,40,0)</f>
        <v>#REF!</v>
      </c>
      <c r="AE438" s="206" t="e">
        <f t="shared" si="39"/>
        <v>#REF!</v>
      </c>
      <c r="AF438" s="206" t="e">
        <v>#N/A</v>
      </c>
      <c r="AG438" s="206" t="e">
        <f>VLOOKUP($F438,#REF!,42,0)</f>
        <v>#REF!</v>
      </c>
      <c r="AH438" s="206" t="e">
        <f t="shared" si="40"/>
        <v>#REF!</v>
      </c>
      <c r="AI438" s="206" t="e">
        <v>#N/A</v>
      </c>
      <c r="AJ438" s="206" t="e">
        <f>VLOOKUP($F438,#REF!,43,0)</f>
        <v>#REF!</v>
      </c>
    </row>
    <row r="439" spans="2:36" s="102" customFormat="1" ht="22.5">
      <c r="B439" s="97"/>
      <c r="C439" s="109" t="s">
        <v>1919</v>
      </c>
      <c r="D439" t="s">
        <v>2170</v>
      </c>
      <c r="E439" s="123" t="s">
        <v>2260</v>
      </c>
      <c r="Q439" s="206" t="s">
        <v>2161</v>
      </c>
      <c r="R439" s="206">
        <f t="shared" si="36"/>
        <v>439</v>
      </c>
      <c r="S439" s="206" t="str">
        <f t="shared" si="37"/>
        <v>;'C DISEÑO'!$E$10:$BD$100;14;1)</v>
      </c>
      <c r="T439" s="203" t="s">
        <v>2215</v>
      </c>
      <c r="U439" s="206" t="str">
        <f t="shared" si="44"/>
        <v>=BUSCARV($E439;'C DISEÑO'!$E$10:$BD$100;14;1)</v>
      </c>
      <c r="V439" s="206"/>
      <c r="W439" s="206" t="e">
        <f>VLOOKUP($F439,#REF!,8,1)</f>
        <v>#REF!</v>
      </c>
      <c r="X439" s="206" t="e">
        <f t="shared" si="38"/>
        <v>#REF!</v>
      </c>
      <c r="Y439" s="206" t="e">
        <v>#N/A</v>
      </c>
      <c r="Z439" s="206" t="e">
        <f>VLOOKUP($F439,#REF!,9,1)</f>
        <v>#REF!</v>
      </c>
      <c r="AA439" s="206" t="e">
        <f t="shared" si="43"/>
        <v>#REF!</v>
      </c>
      <c r="AB439" s="206" t="e">
        <v>#N/A</v>
      </c>
      <c r="AC439" s="206" t="e">
        <f>VLOOKUP($F439,#REF!,14,1)</f>
        <v>#REF!</v>
      </c>
      <c r="AD439" s="206" t="e">
        <f>VLOOKUP($F439,#REF!,40,0)</f>
        <v>#REF!</v>
      </c>
      <c r="AE439" s="206" t="e">
        <f t="shared" si="39"/>
        <v>#REF!</v>
      </c>
      <c r="AF439" s="206" t="e">
        <v>#N/A</v>
      </c>
      <c r="AG439" s="206" t="e">
        <f>VLOOKUP($F439,#REF!,42,0)</f>
        <v>#REF!</v>
      </c>
      <c r="AH439" s="206" t="e">
        <f t="shared" si="40"/>
        <v>#REF!</v>
      </c>
      <c r="AI439" s="206" t="e">
        <v>#N/A</v>
      </c>
      <c r="AJ439" s="206" t="e">
        <f>VLOOKUP($F439,#REF!,43,0)</f>
        <v>#REF!</v>
      </c>
    </row>
    <row r="440" spans="2:36" s="102" customFormat="1" ht="22.5">
      <c r="B440" s="97"/>
      <c r="C440" s="109" t="s">
        <v>1919</v>
      </c>
      <c r="D440" t="s">
        <v>2170</v>
      </c>
      <c r="E440" s="123" t="s">
        <v>2260</v>
      </c>
      <c r="Q440" s="206" t="s">
        <v>2161</v>
      </c>
      <c r="R440" s="206">
        <f t="shared" si="36"/>
        <v>440</v>
      </c>
      <c r="S440" s="206" t="str">
        <f t="shared" si="37"/>
        <v>;'C DISEÑO'!$E$10:$BD$100;14;1)</v>
      </c>
      <c r="T440" s="203" t="s">
        <v>2215</v>
      </c>
      <c r="U440" s="206" t="str">
        <f t="shared" si="44"/>
        <v>=BUSCARV($E440;'C DISEÑO'!$E$10:$BD$100;14;1)</v>
      </c>
      <c r="V440" s="206"/>
      <c r="W440" s="206" t="e">
        <f>VLOOKUP($F440,#REF!,8,1)</f>
        <v>#REF!</v>
      </c>
      <c r="X440" s="206" t="e">
        <f t="shared" si="38"/>
        <v>#REF!</v>
      </c>
      <c r="Y440" s="206" t="e">
        <v>#N/A</v>
      </c>
      <c r="Z440" s="206" t="e">
        <f>VLOOKUP($F440,#REF!,9,1)</f>
        <v>#REF!</v>
      </c>
      <c r="AA440" s="206" t="e">
        <f t="shared" si="43"/>
        <v>#REF!</v>
      </c>
      <c r="AB440" s="206" t="e">
        <v>#N/A</v>
      </c>
      <c r="AC440" s="206" t="e">
        <f>VLOOKUP($F440,#REF!,14,1)</f>
        <v>#REF!</v>
      </c>
      <c r="AD440" s="206" t="e">
        <f>VLOOKUP($F440,#REF!,40,0)</f>
        <v>#REF!</v>
      </c>
      <c r="AE440" s="206" t="e">
        <f t="shared" si="39"/>
        <v>#REF!</v>
      </c>
      <c r="AF440" s="206" t="e">
        <v>#N/A</v>
      </c>
      <c r="AG440" s="206" t="e">
        <f>VLOOKUP($F440,#REF!,42,0)</f>
        <v>#REF!</v>
      </c>
      <c r="AH440" s="206" t="e">
        <f t="shared" si="40"/>
        <v>#REF!</v>
      </c>
      <c r="AI440" s="206" t="e">
        <v>#N/A</v>
      </c>
      <c r="AJ440" s="206" t="e">
        <f>VLOOKUP($F440,#REF!,43,0)</f>
        <v>#REF!</v>
      </c>
    </row>
    <row r="441" spans="2:36" s="102" customFormat="1" ht="22.5">
      <c r="B441" s="97"/>
      <c r="C441" s="109" t="s">
        <v>1919</v>
      </c>
      <c r="D441" t="s">
        <v>2170</v>
      </c>
      <c r="E441" s="123" t="s">
        <v>2260</v>
      </c>
      <c r="Q441" s="206" t="s">
        <v>2161</v>
      </c>
      <c r="R441" s="206">
        <f t="shared" si="36"/>
        <v>441</v>
      </c>
      <c r="S441" s="206" t="str">
        <f t="shared" si="37"/>
        <v>;'C DISEÑO'!$E$10:$BD$100;14;1)</v>
      </c>
      <c r="T441" s="203" t="s">
        <v>2215</v>
      </c>
      <c r="U441" s="206" t="str">
        <f t="shared" si="44"/>
        <v>=BUSCARV($E441;'C DISEÑO'!$E$10:$BD$100;14;1)</v>
      </c>
      <c r="V441" s="206"/>
      <c r="W441" s="206" t="e">
        <f>VLOOKUP($F441,#REF!,8,1)</f>
        <v>#REF!</v>
      </c>
      <c r="X441" s="206" t="e">
        <f t="shared" si="38"/>
        <v>#REF!</v>
      </c>
      <c r="Y441" s="206" t="e">
        <v>#N/A</v>
      </c>
      <c r="Z441" s="206" t="e">
        <f>VLOOKUP($F441,#REF!,9,1)</f>
        <v>#REF!</v>
      </c>
      <c r="AA441" s="206" t="e">
        <f t="shared" si="43"/>
        <v>#REF!</v>
      </c>
      <c r="AB441" s="206" t="e">
        <v>#N/A</v>
      </c>
      <c r="AC441" s="206" t="e">
        <f>VLOOKUP($F441,#REF!,14,1)</f>
        <v>#REF!</v>
      </c>
      <c r="AD441" s="206" t="e">
        <f>VLOOKUP($F441,#REF!,40,0)</f>
        <v>#REF!</v>
      </c>
      <c r="AE441" s="206" t="e">
        <f t="shared" si="39"/>
        <v>#REF!</v>
      </c>
      <c r="AF441" s="206" t="e">
        <v>#N/A</v>
      </c>
      <c r="AG441" s="206" t="e">
        <f>VLOOKUP($F441,#REF!,42,0)</f>
        <v>#REF!</v>
      </c>
      <c r="AH441" s="206" t="e">
        <f t="shared" si="40"/>
        <v>#REF!</v>
      </c>
      <c r="AI441" s="206" t="e">
        <v>#N/A</v>
      </c>
      <c r="AJ441" s="206" t="e">
        <f>VLOOKUP($F441,#REF!,43,0)</f>
        <v>#REF!</v>
      </c>
    </row>
    <row r="442" spans="2:36" s="102" customFormat="1" ht="22.5">
      <c r="B442" s="97"/>
      <c r="C442" s="109" t="s">
        <v>1919</v>
      </c>
      <c r="D442" t="s">
        <v>2170</v>
      </c>
      <c r="E442" s="123" t="s">
        <v>2260</v>
      </c>
      <c r="Q442" s="206" t="s">
        <v>2161</v>
      </c>
      <c r="R442" s="206">
        <f t="shared" si="36"/>
        <v>442</v>
      </c>
      <c r="S442" s="206" t="str">
        <f t="shared" si="37"/>
        <v>;'C DISEÑO'!$E$10:$BD$100;14;1)</v>
      </c>
      <c r="T442" s="203" t="s">
        <v>2215</v>
      </c>
      <c r="U442" s="206" t="str">
        <f t="shared" si="44"/>
        <v>=BUSCARV($E442;'C DISEÑO'!$E$10:$BD$100;14;1)</v>
      </c>
      <c r="V442" s="206"/>
      <c r="W442" s="206" t="e">
        <f>VLOOKUP($F442,#REF!,8,1)</f>
        <v>#REF!</v>
      </c>
      <c r="X442" s="206" t="e">
        <f t="shared" si="38"/>
        <v>#REF!</v>
      </c>
      <c r="Y442" s="206" t="e">
        <v>#N/A</v>
      </c>
      <c r="Z442" s="206" t="e">
        <f>VLOOKUP($F442,#REF!,9,1)</f>
        <v>#REF!</v>
      </c>
      <c r="AA442" s="206" t="e">
        <f t="shared" si="43"/>
        <v>#REF!</v>
      </c>
      <c r="AB442" s="206" t="e">
        <v>#N/A</v>
      </c>
      <c r="AC442" s="206" t="e">
        <f>VLOOKUP($F442,#REF!,14,1)</f>
        <v>#REF!</v>
      </c>
      <c r="AD442" s="206" t="e">
        <f>VLOOKUP($F442,#REF!,40,0)</f>
        <v>#REF!</v>
      </c>
      <c r="AE442" s="206" t="e">
        <f t="shared" si="39"/>
        <v>#REF!</v>
      </c>
      <c r="AF442" s="206" t="e">
        <v>#N/A</v>
      </c>
      <c r="AG442" s="206" t="e">
        <f>VLOOKUP($F442,#REF!,42,0)</f>
        <v>#REF!</v>
      </c>
      <c r="AH442" s="206" t="e">
        <f t="shared" si="40"/>
        <v>#REF!</v>
      </c>
      <c r="AI442" s="206" t="e">
        <v>#N/A</v>
      </c>
      <c r="AJ442" s="206" t="e">
        <f>VLOOKUP($F442,#REF!,43,0)</f>
        <v>#REF!</v>
      </c>
    </row>
    <row r="443" spans="2:36" s="102" customFormat="1" ht="22.5">
      <c r="B443" s="97"/>
      <c r="C443" s="115" t="s">
        <v>1918</v>
      </c>
      <c r="D443" t="s">
        <v>2171</v>
      </c>
      <c r="E443" s="123" t="s">
        <v>2260</v>
      </c>
      <c r="F443" s="102" t="s">
        <v>43</v>
      </c>
      <c r="G443" s="97" t="s">
        <v>1929</v>
      </c>
      <c r="Q443" s="206" t="s">
        <v>2161</v>
      </c>
      <c r="R443" s="206">
        <f t="shared" si="36"/>
        <v>443</v>
      </c>
      <c r="S443" s="206" t="str">
        <f t="shared" si="37"/>
        <v>;'C PREDIAL'!$E$10:$BD$100;14;1)</v>
      </c>
      <c r="T443" s="203" t="s">
        <v>2216</v>
      </c>
      <c r="U443" s="206" t="str">
        <f t="shared" si="26"/>
        <v>=BUSCARV($E443;'C PREDIAL'!$E$10:$BD$100;14;1)</v>
      </c>
      <c r="V443" s="206"/>
      <c r="W443" s="206" t="e">
        <f>VLOOKUP($F443,#REF!,8,1)</f>
        <v>#REF!</v>
      </c>
      <c r="X443" s="206" t="e">
        <f t="shared" si="38"/>
        <v>#REF!</v>
      </c>
      <c r="Y443" s="206">
        <v>2</v>
      </c>
      <c r="Z443" s="206" t="e">
        <f>VLOOKUP($F443,#REF!,9,1)</f>
        <v>#REF!</v>
      </c>
      <c r="AA443" s="206" t="e">
        <f t="shared" si="43"/>
        <v>#REF!</v>
      </c>
      <c r="AB443" s="206">
        <v>20</v>
      </c>
      <c r="AC443" s="206" t="e">
        <f>VLOOKUP($F443,#REF!,14,1)</f>
        <v>#REF!</v>
      </c>
      <c r="AD443" s="206" t="e">
        <f>VLOOKUP($F443,#REF!,40,0)</f>
        <v>#REF!</v>
      </c>
      <c r="AE443" s="206" t="e">
        <f t="shared" si="39"/>
        <v>#REF!</v>
      </c>
      <c r="AF443" s="206">
        <v>1</v>
      </c>
      <c r="AG443" s="206" t="e">
        <f>VLOOKUP($F443,#REF!,42,0)</f>
        <v>#REF!</v>
      </c>
      <c r="AH443" s="206" t="e">
        <f t="shared" si="40"/>
        <v>#REF!</v>
      </c>
      <c r="AI443" s="206">
        <v>20</v>
      </c>
      <c r="AJ443" s="206" t="e">
        <f>VLOOKUP($F443,#REF!,43,0)</f>
        <v>#REF!</v>
      </c>
    </row>
    <row r="444" spans="2:36" s="102" customFormat="1" ht="22.5">
      <c r="B444" s="97"/>
      <c r="C444" s="115" t="s">
        <v>1918</v>
      </c>
      <c r="D444" t="s">
        <v>2171</v>
      </c>
      <c r="E444" s="123" t="s">
        <v>2260</v>
      </c>
      <c r="F444" s="102" t="s">
        <v>44</v>
      </c>
      <c r="G444" s="97" t="s">
        <v>1929</v>
      </c>
      <c r="Q444" s="206" t="s">
        <v>2161</v>
      </c>
      <c r="R444" s="206">
        <f t="shared" si="36"/>
        <v>444</v>
      </c>
      <c r="S444" s="206" t="str">
        <f t="shared" si="37"/>
        <v>;'C PREDIAL'!$E$10:$BD$100;14;1)</v>
      </c>
      <c r="T444" s="203" t="s">
        <v>2216</v>
      </c>
      <c r="U444" s="206" t="str">
        <f t="shared" ref="U444:U456" si="45">CONCATENATE("=BUSCARV($E",R444,T444)</f>
        <v>=BUSCARV($E444;'C PREDIAL'!$E$10:$BD$100;14;1)</v>
      </c>
      <c r="V444" s="206"/>
      <c r="W444" s="206" t="e">
        <f>VLOOKUP($F444,#REF!,8,1)</f>
        <v>#REF!</v>
      </c>
      <c r="X444" s="206" t="e">
        <f t="shared" si="38"/>
        <v>#REF!</v>
      </c>
      <c r="Y444" s="206">
        <v>1</v>
      </c>
      <c r="Z444" s="206" t="e">
        <f>VLOOKUP($F444,#REF!,9,1)</f>
        <v>#REF!</v>
      </c>
      <c r="AA444" s="206" t="e">
        <f t="shared" si="43"/>
        <v>#REF!</v>
      </c>
      <c r="AB444" s="206">
        <v>20</v>
      </c>
      <c r="AC444" s="206" t="e">
        <f>VLOOKUP($F444,#REF!,14,1)</f>
        <v>#REF!</v>
      </c>
      <c r="AD444" s="206" t="e">
        <f>VLOOKUP($F444,#REF!,40,0)</f>
        <v>#REF!</v>
      </c>
      <c r="AE444" s="206" t="e">
        <f t="shared" si="39"/>
        <v>#REF!</v>
      </c>
      <c r="AF444" s="206">
        <v>1</v>
      </c>
      <c r="AG444" s="206" t="e">
        <f>VLOOKUP($F444,#REF!,42,0)</f>
        <v>#REF!</v>
      </c>
      <c r="AH444" s="206" t="e">
        <f t="shared" si="40"/>
        <v>#REF!</v>
      </c>
      <c r="AI444" s="206">
        <v>5</v>
      </c>
      <c r="AJ444" s="206" t="e">
        <f>VLOOKUP($F444,#REF!,43,0)</f>
        <v>#REF!</v>
      </c>
    </row>
    <row r="445" spans="2:36" s="102" customFormat="1" ht="22.5">
      <c r="B445" s="97"/>
      <c r="C445" s="115" t="s">
        <v>1918</v>
      </c>
      <c r="D445" t="s">
        <v>2171</v>
      </c>
      <c r="E445" s="123" t="s">
        <v>2260</v>
      </c>
      <c r="F445" s="102" t="s">
        <v>45</v>
      </c>
      <c r="G445" s="97" t="s">
        <v>1929</v>
      </c>
      <c r="Q445" s="206" t="s">
        <v>2161</v>
      </c>
      <c r="R445" s="206">
        <f t="shared" si="36"/>
        <v>445</v>
      </c>
      <c r="S445" s="206" t="str">
        <f t="shared" si="37"/>
        <v>;'C PREDIAL'!$E$10:$BD$100;14;1)</v>
      </c>
      <c r="T445" s="203" t="s">
        <v>2216</v>
      </c>
      <c r="U445" s="206" t="str">
        <f t="shared" si="45"/>
        <v>=BUSCARV($E445;'C PREDIAL'!$E$10:$BD$100;14;1)</v>
      </c>
      <c r="V445" s="206"/>
      <c r="W445" s="206" t="e">
        <f>VLOOKUP($F445,#REF!,8,1)</f>
        <v>#REF!</v>
      </c>
      <c r="X445" s="206" t="e">
        <f t="shared" si="38"/>
        <v>#REF!</v>
      </c>
      <c r="Y445" s="206">
        <v>1</v>
      </c>
      <c r="Z445" s="206" t="e">
        <f>VLOOKUP($F445,#REF!,9,1)</f>
        <v>#REF!</v>
      </c>
      <c r="AA445" s="206" t="e">
        <f t="shared" si="43"/>
        <v>#REF!</v>
      </c>
      <c r="AB445" s="206">
        <v>20</v>
      </c>
      <c r="AC445" s="206" t="e">
        <f>VLOOKUP($F445,#REF!,14,1)</f>
        <v>#REF!</v>
      </c>
      <c r="AD445" s="206" t="e">
        <f>VLOOKUP($F445,#REF!,40,0)</f>
        <v>#REF!</v>
      </c>
      <c r="AE445" s="206" t="e">
        <f t="shared" si="39"/>
        <v>#REF!</v>
      </c>
      <c r="AF445" s="206">
        <v>1</v>
      </c>
      <c r="AG445" s="206" t="e">
        <f>VLOOKUP($F445,#REF!,42,0)</f>
        <v>#REF!</v>
      </c>
      <c r="AH445" s="206" t="e">
        <f t="shared" si="40"/>
        <v>#REF!</v>
      </c>
      <c r="AI445" s="206">
        <v>5</v>
      </c>
      <c r="AJ445" s="206" t="e">
        <f>VLOOKUP($F445,#REF!,43,0)</f>
        <v>#REF!</v>
      </c>
    </row>
    <row r="446" spans="2:36" s="102" customFormat="1" ht="22.5">
      <c r="B446" s="97"/>
      <c r="C446" s="115" t="s">
        <v>1918</v>
      </c>
      <c r="D446" t="s">
        <v>2171</v>
      </c>
      <c r="E446" s="123" t="s">
        <v>2260</v>
      </c>
      <c r="Q446" s="206" t="s">
        <v>2161</v>
      </c>
      <c r="R446" s="206">
        <f t="shared" si="36"/>
        <v>446</v>
      </c>
      <c r="S446" s="206" t="str">
        <f t="shared" si="37"/>
        <v>;'C PREDIAL'!$E$10:$BD$100;14;1)</v>
      </c>
      <c r="T446" s="203" t="s">
        <v>2216</v>
      </c>
      <c r="U446" s="206" t="str">
        <f t="shared" si="45"/>
        <v>=BUSCARV($E446;'C PREDIAL'!$E$10:$BD$100;14;1)</v>
      </c>
      <c r="V446" s="206"/>
      <c r="W446" s="206" t="e">
        <f>VLOOKUP($F446,#REF!,8,1)</f>
        <v>#REF!</v>
      </c>
      <c r="X446" s="206" t="e">
        <f t="shared" si="38"/>
        <v>#REF!</v>
      </c>
      <c r="Y446" s="206" t="e">
        <v>#N/A</v>
      </c>
      <c r="Z446" s="206" t="e">
        <f>VLOOKUP($F446,#REF!,9,1)</f>
        <v>#REF!</v>
      </c>
      <c r="AA446" s="206" t="e">
        <f t="shared" si="43"/>
        <v>#REF!</v>
      </c>
      <c r="AB446" s="206" t="e">
        <v>#N/A</v>
      </c>
      <c r="AC446" s="206" t="e">
        <f>VLOOKUP($F446,#REF!,14,1)</f>
        <v>#REF!</v>
      </c>
      <c r="AD446" s="206" t="e">
        <f>VLOOKUP($F446,#REF!,40,0)</f>
        <v>#REF!</v>
      </c>
      <c r="AE446" s="206" t="e">
        <f t="shared" si="39"/>
        <v>#REF!</v>
      </c>
      <c r="AF446" s="206" t="e">
        <v>#N/A</v>
      </c>
      <c r="AG446" s="206" t="e">
        <f>VLOOKUP($F446,#REF!,42,0)</f>
        <v>#REF!</v>
      </c>
      <c r="AH446" s="206" t="e">
        <f t="shared" si="40"/>
        <v>#REF!</v>
      </c>
      <c r="AI446" s="206" t="e">
        <v>#N/A</v>
      </c>
      <c r="AJ446" s="206" t="e">
        <f>VLOOKUP($F446,#REF!,43,0)</f>
        <v>#REF!</v>
      </c>
    </row>
    <row r="447" spans="2:36" s="102" customFormat="1" ht="22.5">
      <c r="B447" s="97"/>
      <c r="C447" s="115" t="s">
        <v>1918</v>
      </c>
      <c r="D447" t="s">
        <v>2171</v>
      </c>
      <c r="E447" s="123" t="s">
        <v>2260</v>
      </c>
      <c r="Q447" s="206" t="s">
        <v>2161</v>
      </c>
      <c r="R447" s="206">
        <f t="shared" si="36"/>
        <v>447</v>
      </c>
      <c r="S447" s="206" t="str">
        <f t="shared" si="37"/>
        <v>;'C PREDIAL'!$E$10:$BD$100;14;1)</v>
      </c>
      <c r="T447" s="203" t="s">
        <v>2216</v>
      </c>
      <c r="U447" s="206" t="str">
        <f t="shared" si="45"/>
        <v>=BUSCARV($E447;'C PREDIAL'!$E$10:$BD$100;14;1)</v>
      </c>
      <c r="V447" s="206"/>
      <c r="W447" s="206" t="e">
        <f>VLOOKUP($F447,#REF!,8,1)</f>
        <v>#REF!</v>
      </c>
      <c r="X447" s="206" t="e">
        <f t="shared" si="38"/>
        <v>#REF!</v>
      </c>
      <c r="Y447" s="206" t="e">
        <v>#N/A</v>
      </c>
      <c r="Z447" s="206" t="e">
        <f>VLOOKUP($F447,#REF!,9,1)</f>
        <v>#REF!</v>
      </c>
      <c r="AA447" s="206" t="e">
        <f t="shared" si="43"/>
        <v>#REF!</v>
      </c>
      <c r="AB447" s="206" t="e">
        <v>#N/A</v>
      </c>
      <c r="AC447" s="206" t="e">
        <f>VLOOKUP($F447,#REF!,14,1)</f>
        <v>#REF!</v>
      </c>
      <c r="AD447" s="206" t="e">
        <f>VLOOKUP($F447,#REF!,40,0)</f>
        <v>#REF!</v>
      </c>
      <c r="AE447" s="206" t="e">
        <f t="shared" si="39"/>
        <v>#REF!</v>
      </c>
      <c r="AF447" s="206" t="e">
        <v>#N/A</v>
      </c>
      <c r="AG447" s="206" t="e">
        <f>VLOOKUP($F447,#REF!,42,0)</f>
        <v>#REF!</v>
      </c>
      <c r="AH447" s="206" t="e">
        <f t="shared" si="40"/>
        <v>#REF!</v>
      </c>
      <c r="AI447" s="206" t="e">
        <v>#N/A</v>
      </c>
      <c r="AJ447" s="206" t="e">
        <f>VLOOKUP($F447,#REF!,43,0)</f>
        <v>#REF!</v>
      </c>
    </row>
    <row r="448" spans="2:36" s="102" customFormat="1" ht="22.5">
      <c r="B448" s="97"/>
      <c r="C448" s="115" t="s">
        <v>1918</v>
      </c>
      <c r="D448" t="s">
        <v>2171</v>
      </c>
      <c r="E448" s="123" t="s">
        <v>2260</v>
      </c>
      <c r="Q448" s="206" t="s">
        <v>2161</v>
      </c>
      <c r="R448" s="206">
        <f t="shared" si="36"/>
        <v>448</v>
      </c>
      <c r="S448" s="206" t="str">
        <f t="shared" si="37"/>
        <v>;'C PREDIAL'!$E$10:$BD$100;14;1)</v>
      </c>
      <c r="T448" s="203" t="s">
        <v>2216</v>
      </c>
      <c r="U448" s="206" t="str">
        <f t="shared" si="45"/>
        <v>=BUSCARV($E448;'C PREDIAL'!$E$10:$BD$100;14;1)</v>
      </c>
      <c r="V448" s="206"/>
      <c r="W448" s="206" t="e">
        <f>VLOOKUP($F448,#REF!,8,1)</f>
        <v>#REF!</v>
      </c>
      <c r="X448" s="206" t="e">
        <f t="shared" si="38"/>
        <v>#REF!</v>
      </c>
      <c r="Y448" s="206" t="e">
        <v>#N/A</v>
      </c>
      <c r="Z448" s="206" t="e">
        <f>VLOOKUP($F448,#REF!,9,1)</f>
        <v>#REF!</v>
      </c>
      <c r="AA448" s="206" t="e">
        <f t="shared" si="43"/>
        <v>#REF!</v>
      </c>
      <c r="AB448" s="206" t="e">
        <v>#N/A</v>
      </c>
      <c r="AC448" s="206" t="e">
        <f>VLOOKUP($F448,#REF!,14,1)</f>
        <v>#REF!</v>
      </c>
      <c r="AD448" s="206" t="e">
        <f>VLOOKUP($F448,#REF!,40,0)</f>
        <v>#REF!</v>
      </c>
      <c r="AE448" s="206" t="e">
        <f t="shared" si="39"/>
        <v>#REF!</v>
      </c>
      <c r="AF448" s="206" t="e">
        <v>#N/A</v>
      </c>
      <c r="AG448" s="206" t="e">
        <f>VLOOKUP($F448,#REF!,42,0)</f>
        <v>#REF!</v>
      </c>
      <c r="AH448" s="206" t="e">
        <f t="shared" si="40"/>
        <v>#REF!</v>
      </c>
      <c r="AI448" s="206" t="e">
        <v>#N/A</v>
      </c>
      <c r="AJ448" s="206" t="e">
        <f>VLOOKUP($F448,#REF!,43,0)</f>
        <v>#REF!</v>
      </c>
    </row>
    <row r="449" spans="2:36" s="102" customFormat="1" ht="22.5">
      <c r="B449" s="97"/>
      <c r="C449" s="115" t="s">
        <v>1918</v>
      </c>
      <c r="D449" t="s">
        <v>2171</v>
      </c>
      <c r="E449" s="123" t="s">
        <v>2260</v>
      </c>
      <c r="Q449" s="206" t="s">
        <v>2161</v>
      </c>
      <c r="R449" s="206">
        <f t="shared" si="36"/>
        <v>449</v>
      </c>
      <c r="S449" s="206" t="str">
        <f t="shared" si="37"/>
        <v>;'C PREDIAL'!$E$10:$BD$100;14;1)</v>
      </c>
      <c r="T449" s="203" t="s">
        <v>2216</v>
      </c>
      <c r="U449" s="206" t="str">
        <f t="shared" si="45"/>
        <v>=BUSCARV($E449;'C PREDIAL'!$E$10:$BD$100;14;1)</v>
      </c>
      <c r="V449" s="206"/>
      <c r="W449" s="206" t="e">
        <f>VLOOKUP($F449,#REF!,8,1)</f>
        <v>#REF!</v>
      </c>
      <c r="X449" s="206" t="e">
        <f t="shared" si="38"/>
        <v>#REF!</v>
      </c>
      <c r="Y449" s="206" t="e">
        <v>#N/A</v>
      </c>
      <c r="Z449" s="206" t="e">
        <f>VLOOKUP($F449,#REF!,9,1)</f>
        <v>#REF!</v>
      </c>
      <c r="AA449" s="206" t="e">
        <f t="shared" si="43"/>
        <v>#REF!</v>
      </c>
      <c r="AB449" s="206" t="e">
        <v>#N/A</v>
      </c>
      <c r="AC449" s="206" t="e">
        <f>VLOOKUP($F449,#REF!,14,1)</f>
        <v>#REF!</v>
      </c>
      <c r="AD449" s="206" t="e">
        <f>VLOOKUP($F449,#REF!,40,0)</f>
        <v>#REF!</v>
      </c>
      <c r="AE449" s="206" t="e">
        <f t="shared" si="39"/>
        <v>#REF!</v>
      </c>
      <c r="AF449" s="206" t="e">
        <v>#N/A</v>
      </c>
      <c r="AG449" s="206" t="e">
        <f>VLOOKUP($F449,#REF!,42,0)</f>
        <v>#REF!</v>
      </c>
      <c r="AH449" s="206" t="e">
        <f t="shared" si="40"/>
        <v>#REF!</v>
      </c>
      <c r="AI449" s="206" t="e">
        <v>#N/A</v>
      </c>
      <c r="AJ449" s="206" t="e">
        <f>VLOOKUP($F449,#REF!,43,0)</f>
        <v>#REF!</v>
      </c>
    </row>
    <row r="450" spans="2:36" s="102" customFormat="1" ht="22.5">
      <c r="B450" s="97"/>
      <c r="C450" s="115" t="s">
        <v>1918</v>
      </c>
      <c r="D450" t="s">
        <v>2171</v>
      </c>
      <c r="E450" s="123" t="s">
        <v>2260</v>
      </c>
      <c r="Q450" s="206" t="s">
        <v>2161</v>
      </c>
      <c r="R450" s="206">
        <f t="shared" si="36"/>
        <v>450</v>
      </c>
      <c r="S450" s="206" t="str">
        <f t="shared" si="37"/>
        <v>;'C PREDIAL'!$E$10:$BD$100;14;1)</v>
      </c>
      <c r="T450" s="203" t="s">
        <v>2216</v>
      </c>
      <c r="U450" s="206" t="str">
        <f t="shared" si="45"/>
        <v>=BUSCARV($E450;'C PREDIAL'!$E$10:$BD$100;14;1)</v>
      </c>
      <c r="V450" s="206"/>
      <c r="W450" s="206" t="e">
        <f>VLOOKUP($F450,#REF!,8,1)</f>
        <v>#REF!</v>
      </c>
      <c r="X450" s="206" t="e">
        <f t="shared" si="38"/>
        <v>#REF!</v>
      </c>
      <c r="Y450" s="206" t="e">
        <v>#N/A</v>
      </c>
      <c r="Z450" s="206" t="e">
        <f>VLOOKUP($F450,#REF!,9,1)</f>
        <v>#REF!</v>
      </c>
      <c r="AA450" s="206" t="e">
        <f t="shared" si="43"/>
        <v>#REF!</v>
      </c>
      <c r="AB450" s="206" t="e">
        <v>#N/A</v>
      </c>
      <c r="AC450" s="206" t="e">
        <f>VLOOKUP($F450,#REF!,14,1)</f>
        <v>#REF!</v>
      </c>
      <c r="AD450" s="206" t="e">
        <f>VLOOKUP($F450,#REF!,40,0)</f>
        <v>#REF!</v>
      </c>
      <c r="AE450" s="206" t="e">
        <f t="shared" si="39"/>
        <v>#REF!</v>
      </c>
      <c r="AF450" s="206" t="e">
        <v>#N/A</v>
      </c>
      <c r="AG450" s="206" t="e">
        <f>VLOOKUP($F450,#REF!,42,0)</f>
        <v>#REF!</v>
      </c>
      <c r="AH450" s="206" t="e">
        <f t="shared" si="40"/>
        <v>#REF!</v>
      </c>
      <c r="AI450" s="206" t="e">
        <v>#N/A</v>
      </c>
      <c r="AJ450" s="206" t="e">
        <f>VLOOKUP($F450,#REF!,43,0)</f>
        <v>#REF!</v>
      </c>
    </row>
    <row r="451" spans="2:36" s="102" customFormat="1" ht="22.5">
      <c r="B451" s="97"/>
      <c r="C451" s="115" t="s">
        <v>1918</v>
      </c>
      <c r="D451" t="s">
        <v>2171</v>
      </c>
      <c r="E451" s="123" t="s">
        <v>2260</v>
      </c>
      <c r="Q451" s="206" t="s">
        <v>2161</v>
      </c>
      <c r="R451" s="206">
        <f t="shared" si="36"/>
        <v>451</v>
      </c>
      <c r="S451" s="206" t="str">
        <f t="shared" si="37"/>
        <v>;'C PREDIAL'!$E$10:$BD$100;14;1)</v>
      </c>
      <c r="T451" s="203" t="s">
        <v>2216</v>
      </c>
      <c r="U451" s="206" t="str">
        <f t="shared" si="45"/>
        <v>=BUSCARV($E451;'C PREDIAL'!$E$10:$BD$100;14;1)</v>
      </c>
      <c r="V451" s="206"/>
      <c r="W451" s="206" t="e">
        <f>VLOOKUP($F451,#REF!,8,1)</f>
        <v>#REF!</v>
      </c>
      <c r="X451" s="206" t="e">
        <f t="shared" si="38"/>
        <v>#REF!</v>
      </c>
      <c r="Y451" s="206" t="e">
        <v>#N/A</v>
      </c>
      <c r="Z451" s="206" t="e">
        <f>VLOOKUP($F451,#REF!,9,1)</f>
        <v>#REF!</v>
      </c>
      <c r="AA451" s="206" t="e">
        <f t="shared" si="43"/>
        <v>#REF!</v>
      </c>
      <c r="AB451" s="206" t="e">
        <v>#N/A</v>
      </c>
      <c r="AC451" s="206" t="e">
        <f>VLOOKUP($F451,#REF!,14,1)</f>
        <v>#REF!</v>
      </c>
      <c r="AD451" s="206" t="e">
        <f>VLOOKUP($F451,#REF!,40,0)</f>
        <v>#REF!</v>
      </c>
      <c r="AE451" s="206" t="e">
        <f t="shared" si="39"/>
        <v>#REF!</v>
      </c>
      <c r="AF451" s="206" t="e">
        <v>#N/A</v>
      </c>
      <c r="AG451" s="206" t="e">
        <f>VLOOKUP($F451,#REF!,42,0)</f>
        <v>#REF!</v>
      </c>
      <c r="AH451" s="206" t="e">
        <f t="shared" si="40"/>
        <v>#REF!</v>
      </c>
      <c r="AI451" s="206" t="e">
        <v>#N/A</v>
      </c>
      <c r="AJ451" s="206" t="e">
        <f>VLOOKUP($F451,#REF!,43,0)</f>
        <v>#REF!</v>
      </c>
    </row>
    <row r="452" spans="2:36" s="102" customFormat="1" ht="22.5">
      <c r="B452" s="97"/>
      <c r="C452" s="115" t="s">
        <v>1918</v>
      </c>
      <c r="D452" t="s">
        <v>2171</v>
      </c>
      <c r="E452" s="123" t="s">
        <v>2260</v>
      </c>
      <c r="Q452" s="206" t="s">
        <v>2161</v>
      </c>
      <c r="R452" s="206">
        <f t="shared" si="36"/>
        <v>452</v>
      </c>
      <c r="S452" s="206" t="str">
        <f t="shared" si="37"/>
        <v>;'C PREDIAL'!$E$10:$BD$100;14;1)</v>
      </c>
      <c r="T452" s="203" t="s">
        <v>2216</v>
      </c>
      <c r="U452" s="206" t="str">
        <f t="shared" si="45"/>
        <v>=BUSCARV($E452;'C PREDIAL'!$E$10:$BD$100;14;1)</v>
      </c>
      <c r="V452" s="206"/>
      <c r="W452" s="206" t="e">
        <f>VLOOKUP($F452,#REF!,8,1)</f>
        <v>#REF!</v>
      </c>
      <c r="X452" s="206" t="e">
        <f t="shared" si="38"/>
        <v>#REF!</v>
      </c>
      <c r="Y452" s="206" t="e">
        <v>#N/A</v>
      </c>
      <c r="Z452" s="206" t="e">
        <f>VLOOKUP($F452,#REF!,9,1)</f>
        <v>#REF!</v>
      </c>
      <c r="AA452" s="206" t="e">
        <f t="shared" si="43"/>
        <v>#REF!</v>
      </c>
      <c r="AB452" s="206" t="e">
        <v>#N/A</v>
      </c>
      <c r="AC452" s="206" t="e">
        <f>VLOOKUP($F452,#REF!,14,1)</f>
        <v>#REF!</v>
      </c>
      <c r="AD452" s="206" t="e">
        <f>VLOOKUP($F452,#REF!,40,0)</f>
        <v>#REF!</v>
      </c>
      <c r="AE452" s="206" t="e">
        <f t="shared" si="39"/>
        <v>#REF!</v>
      </c>
      <c r="AF452" s="206" t="e">
        <v>#N/A</v>
      </c>
      <c r="AG452" s="206" t="e">
        <f>VLOOKUP($F452,#REF!,42,0)</f>
        <v>#REF!</v>
      </c>
      <c r="AH452" s="206" t="e">
        <f t="shared" si="40"/>
        <v>#REF!</v>
      </c>
      <c r="AI452" s="206" t="e">
        <v>#N/A</v>
      </c>
      <c r="AJ452" s="206" t="e">
        <f>VLOOKUP($F452,#REF!,43,0)</f>
        <v>#REF!</v>
      </c>
    </row>
    <row r="453" spans="2:36" s="102" customFormat="1" ht="22.5">
      <c r="B453" s="97"/>
      <c r="C453" s="115" t="s">
        <v>1918</v>
      </c>
      <c r="D453" t="s">
        <v>2171</v>
      </c>
      <c r="E453" s="123" t="s">
        <v>2260</v>
      </c>
      <c r="Q453" s="206" t="s">
        <v>2161</v>
      </c>
      <c r="R453" s="206">
        <f t="shared" si="36"/>
        <v>453</v>
      </c>
      <c r="S453" s="206" t="str">
        <f t="shared" si="37"/>
        <v>;'C PREDIAL'!$E$10:$BD$100;14;1)</v>
      </c>
      <c r="T453" s="203" t="s">
        <v>2216</v>
      </c>
      <c r="U453" s="206" t="str">
        <f t="shared" si="45"/>
        <v>=BUSCARV($E453;'C PREDIAL'!$E$10:$BD$100;14;1)</v>
      </c>
      <c r="V453" s="206"/>
      <c r="W453" s="206" t="e">
        <f>VLOOKUP($F453,#REF!,8,1)</f>
        <v>#REF!</v>
      </c>
      <c r="X453" s="206" t="e">
        <f t="shared" si="38"/>
        <v>#REF!</v>
      </c>
      <c r="Y453" s="206" t="e">
        <v>#N/A</v>
      </c>
      <c r="Z453" s="206" t="e">
        <f>VLOOKUP($F453,#REF!,9,1)</f>
        <v>#REF!</v>
      </c>
      <c r="AA453" s="206" t="e">
        <f t="shared" si="43"/>
        <v>#REF!</v>
      </c>
      <c r="AB453" s="206" t="e">
        <v>#N/A</v>
      </c>
      <c r="AC453" s="206" t="e">
        <f>VLOOKUP($F453,#REF!,14,1)</f>
        <v>#REF!</v>
      </c>
      <c r="AD453" s="206" t="e">
        <f>VLOOKUP($F453,#REF!,40,0)</f>
        <v>#REF!</v>
      </c>
      <c r="AE453" s="206" t="e">
        <f t="shared" si="39"/>
        <v>#REF!</v>
      </c>
      <c r="AF453" s="206" t="e">
        <v>#N/A</v>
      </c>
      <c r="AG453" s="206" t="e">
        <f>VLOOKUP($F453,#REF!,42,0)</f>
        <v>#REF!</v>
      </c>
      <c r="AH453" s="206" t="e">
        <f t="shared" si="40"/>
        <v>#REF!</v>
      </c>
      <c r="AI453" s="206" t="e">
        <v>#N/A</v>
      </c>
      <c r="AJ453" s="206" t="e">
        <f>VLOOKUP($F453,#REF!,43,0)</f>
        <v>#REF!</v>
      </c>
    </row>
    <row r="454" spans="2:36" s="102" customFormat="1" ht="22.5">
      <c r="B454" s="97"/>
      <c r="C454" s="115" t="s">
        <v>1918</v>
      </c>
      <c r="D454" t="s">
        <v>2171</v>
      </c>
      <c r="E454" s="123" t="s">
        <v>2260</v>
      </c>
      <c r="Q454" s="206" t="s">
        <v>2161</v>
      </c>
      <c r="R454" s="206">
        <f t="shared" si="36"/>
        <v>454</v>
      </c>
      <c r="S454" s="206" t="str">
        <f t="shared" si="37"/>
        <v>;'C PREDIAL'!$E$10:$BD$100;14;1)</v>
      </c>
      <c r="T454" s="203" t="s">
        <v>2216</v>
      </c>
      <c r="U454" s="206" t="str">
        <f t="shared" si="45"/>
        <v>=BUSCARV($E454;'C PREDIAL'!$E$10:$BD$100;14;1)</v>
      </c>
      <c r="V454" s="206"/>
      <c r="W454" s="206" t="e">
        <f>VLOOKUP($F454,#REF!,8,1)</f>
        <v>#REF!</v>
      </c>
      <c r="X454" s="206" t="e">
        <f t="shared" si="38"/>
        <v>#REF!</v>
      </c>
      <c r="Y454" s="206" t="e">
        <v>#N/A</v>
      </c>
      <c r="Z454" s="206" t="e">
        <f>VLOOKUP($F454,#REF!,9,1)</f>
        <v>#REF!</v>
      </c>
      <c r="AA454" s="206" t="e">
        <f t="shared" si="43"/>
        <v>#REF!</v>
      </c>
      <c r="AB454" s="206" t="e">
        <v>#N/A</v>
      </c>
      <c r="AC454" s="206" t="e">
        <f>VLOOKUP($F454,#REF!,14,1)</f>
        <v>#REF!</v>
      </c>
      <c r="AD454" s="206" t="e">
        <f>VLOOKUP($F454,#REF!,40,0)</f>
        <v>#REF!</v>
      </c>
      <c r="AE454" s="206" t="e">
        <f t="shared" si="39"/>
        <v>#REF!</v>
      </c>
      <c r="AF454" s="206" t="e">
        <v>#N/A</v>
      </c>
      <c r="AG454" s="206" t="e">
        <f>VLOOKUP($F454,#REF!,42,0)</f>
        <v>#REF!</v>
      </c>
      <c r="AH454" s="206" t="e">
        <f t="shared" si="40"/>
        <v>#REF!</v>
      </c>
      <c r="AI454" s="206" t="e">
        <v>#N/A</v>
      </c>
      <c r="AJ454" s="206" t="e">
        <f>VLOOKUP($F454,#REF!,43,0)</f>
        <v>#REF!</v>
      </c>
    </row>
    <row r="455" spans="2:36" s="102" customFormat="1" ht="22.5">
      <c r="B455" s="97"/>
      <c r="C455" s="115" t="s">
        <v>1918</v>
      </c>
      <c r="D455" t="s">
        <v>2171</v>
      </c>
      <c r="E455" s="123" t="s">
        <v>2260</v>
      </c>
      <c r="Q455" s="206" t="s">
        <v>2161</v>
      </c>
      <c r="R455" s="206">
        <f t="shared" si="36"/>
        <v>455</v>
      </c>
      <c r="S455" s="206" t="str">
        <f t="shared" si="37"/>
        <v>;'C PREDIAL'!$E$10:$BD$100;14;1)</v>
      </c>
      <c r="T455" s="203" t="s">
        <v>2216</v>
      </c>
      <c r="U455" s="206" t="str">
        <f t="shared" si="45"/>
        <v>=BUSCARV($E455;'C PREDIAL'!$E$10:$BD$100;14;1)</v>
      </c>
      <c r="V455" s="206"/>
      <c r="W455" s="206" t="e">
        <f>VLOOKUP($F455,#REF!,8,1)</f>
        <v>#REF!</v>
      </c>
      <c r="X455" s="206" t="e">
        <f t="shared" si="38"/>
        <v>#REF!</v>
      </c>
      <c r="Y455" s="206" t="e">
        <v>#N/A</v>
      </c>
      <c r="Z455" s="206" t="e">
        <f>VLOOKUP($F455,#REF!,9,1)</f>
        <v>#REF!</v>
      </c>
      <c r="AA455" s="206" t="e">
        <f t="shared" si="43"/>
        <v>#REF!</v>
      </c>
      <c r="AB455" s="206" t="e">
        <v>#N/A</v>
      </c>
      <c r="AC455" s="206" t="e">
        <f>VLOOKUP($F455,#REF!,14,1)</f>
        <v>#REF!</v>
      </c>
      <c r="AD455" s="206" t="e">
        <f>VLOOKUP($F455,#REF!,40,0)</f>
        <v>#REF!</v>
      </c>
      <c r="AE455" s="206" t="e">
        <f t="shared" si="39"/>
        <v>#REF!</v>
      </c>
      <c r="AF455" s="206" t="e">
        <v>#N/A</v>
      </c>
      <c r="AG455" s="206" t="e">
        <f>VLOOKUP($F455,#REF!,42,0)</f>
        <v>#REF!</v>
      </c>
      <c r="AH455" s="206" t="e">
        <f t="shared" si="40"/>
        <v>#REF!</v>
      </c>
      <c r="AI455" s="206" t="e">
        <v>#N/A</v>
      </c>
      <c r="AJ455" s="206" t="e">
        <f>VLOOKUP($F455,#REF!,43,0)</f>
        <v>#REF!</v>
      </c>
    </row>
    <row r="456" spans="2:36" s="102" customFormat="1" ht="22.5">
      <c r="B456" s="97"/>
      <c r="C456" s="115" t="s">
        <v>1918</v>
      </c>
      <c r="D456" t="s">
        <v>2171</v>
      </c>
      <c r="E456" s="123" t="s">
        <v>2260</v>
      </c>
      <c r="Q456" s="206" t="s">
        <v>2161</v>
      </c>
      <c r="R456" s="206">
        <f t="shared" si="36"/>
        <v>456</v>
      </c>
      <c r="S456" s="206" t="str">
        <f t="shared" si="37"/>
        <v>;'C PREDIAL'!$E$10:$BD$100;14;1)</v>
      </c>
      <c r="T456" s="203" t="s">
        <v>2216</v>
      </c>
      <c r="U456" s="206" t="str">
        <f t="shared" si="45"/>
        <v>=BUSCARV($E456;'C PREDIAL'!$E$10:$BD$100;14;1)</v>
      </c>
      <c r="V456" s="206"/>
      <c r="W456" s="206" t="e">
        <f>VLOOKUP($F456,#REF!,8,1)</f>
        <v>#REF!</v>
      </c>
      <c r="X456" s="206" t="e">
        <f t="shared" si="38"/>
        <v>#REF!</v>
      </c>
      <c r="Y456" s="206" t="e">
        <v>#N/A</v>
      </c>
      <c r="Z456" s="206" t="e">
        <f>VLOOKUP($F456,#REF!,9,1)</f>
        <v>#REF!</v>
      </c>
      <c r="AA456" s="206" t="e">
        <f t="shared" si="43"/>
        <v>#REF!</v>
      </c>
      <c r="AB456" s="206" t="e">
        <v>#N/A</v>
      </c>
      <c r="AC456" s="206" t="e">
        <f>VLOOKUP($F456,#REF!,14,1)</f>
        <v>#REF!</v>
      </c>
      <c r="AD456" s="206" t="e">
        <f>VLOOKUP($F456,#REF!,40,0)</f>
        <v>#REF!</v>
      </c>
      <c r="AE456" s="206" t="e">
        <f t="shared" si="39"/>
        <v>#REF!</v>
      </c>
      <c r="AF456" s="206" t="e">
        <v>#N/A</v>
      </c>
      <c r="AG456" s="206" t="e">
        <f>VLOOKUP($F456,#REF!,42,0)</f>
        <v>#REF!</v>
      </c>
      <c r="AH456" s="206" t="e">
        <f t="shared" si="40"/>
        <v>#REF!</v>
      </c>
      <c r="AI456" s="206" t="e">
        <v>#N/A</v>
      </c>
      <c r="AJ456" s="206" t="e">
        <f>VLOOKUP($F456,#REF!,43,0)</f>
        <v>#REF!</v>
      </c>
    </row>
    <row r="457" spans="2:36" s="102" customFormat="1" ht="22.5">
      <c r="B457" s="97"/>
      <c r="C457" s="114" t="s">
        <v>1920</v>
      </c>
      <c r="D457" t="s">
        <v>2172</v>
      </c>
      <c r="E457" s="123" t="s">
        <v>2260</v>
      </c>
      <c r="F457" s="102" t="s">
        <v>1980</v>
      </c>
      <c r="G457" s="97" t="s">
        <v>1929</v>
      </c>
      <c r="Q457" s="206" t="s">
        <v>2161</v>
      </c>
      <c r="R457" s="206">
        <f t="shared" si="36"/>
        <v>457</v>
      </c>
      <c r="S457" s="206" t="str">
        <f t="shared" si="37"/>
        <v>;'C OBRAS'!$E$10:$BD$100;14;1)</v>
      </c>
      <c r="T457" s="203" t="s">
        <v>2217</v>
      </c>
      <c r="U457" s="206" t="str">
        <f t="shared" si="26"/>
        <v>=BUSCARV($E457;'C OBRAS'!$E$10:$BD$100;14;1)</v>
      </c>
      <c r="V457" s="206"/>
      <c r="W457" s="206" t="e">
        <f>VLOOKUP($F457,#REF!,8,1)</f>
        <v>#REF!</v>
      </c>
      <c r="X457" s="206" t="e">
        <f t="shared" si="38"/>
        <v>#REF!</v>
      </c>
      <c r="Y457" s="206">
        <v>3</v>
      </c>
      <c r="Z457" s="206" t="e">
        <f>VLOOKUP($F457,#REF!,9,1)</f>
        <v>#REF!</v>
      </c>
      <c r="AA457" s="206" t="e">
        <f t="shared" si="43"/>
        <v>#REF!</v>
      </c>
      <c r="AB457" s="206">
        <v>20</v>
      </c>
      <c r="AC457" s="206" t="e">
        <f>VLOOKUP($F457,#REF!,14,1)</f>
        <v>#REF!</v>
      </c>
      <c r="AD457" s="206" t="e">
        <f>VLOOKUP($F457,#REF!,40,0)</f>
        <v>#REF!</v>
      </c>
      <c r="AE457" s="206" t="e">
        <f t="shared" si="39"/>
        <v>#REF!</v>
      </c>
      <c r="AF457" s="206">
        <v>1</v>
      </c>
      <c r="AG457" s="206" t="e">
        <f>VLOOKUP($F457,#REF!,42,0)</f>
        <v>#REF!</v>
      </c>
      <c r="AH457" s="206" t="e">
        <f t="shared" si="40"/>
        <v>#REF!</v>
      </c>
      <c r="AI457" s="206">
        <v>20</v>
      </c>
      <c r="AJ457" s="206" t="e">
        <f>VLOOKUP($F457,#REF!,43,0)</f>
        <v>#REF!</v>
      </c>
    </row>
    <row r="458" spans="2:36" s="102" customFormat="1" ht="22.5">
      <c r="B458" s="97"/>
      <c r="C458" s="114" t="s">
        <v>1920</v>
      </c>
      <c r="D458" t="s">
        <v>2172</v>
      </c>
      <c r="E458" s="123" t="s">
        <v>2260</v>
      </c>
      <c r="F458" s="102" t="s">
        <v>1981</v>
      </c>
      <c r="G458" s="97" t="s">
        <v>1929</v>
      </c>
      <c r="Q458" s="206" t="s">
        <v>2161</v>
      </c>
      <c r="R458" s="206">
        <f t="shared" si="36"/>
        <v>458</v>
      </c>
      <c r="S458" s="206" t="str">
        <f t="shared" si="37"/>
        <v>;'C OBRAS'!$E$10:$BD$100;14;1)</v>
      </c>
      <c r="T458" s="203" t="s">
        <v>2217</v>
      </c>
      <c r="U458" s="206" t="str">
        <f t="shared" ref="U458:U479" si="46">CONCATENATE("=BUSCARV($E",R458,T458)</f>
        <v>=BUSCARV($E458;'C OBRAS'!$E$10:$BD$100;14;1)</v>
      </c>
      <c r="V458" s="206"/>
      <c r="W458" s="206" t="e">
        <f>VLOOKUP($F458,#REF!,8,1)</f>
        <v>#REF!</v>
      </c>
      <c r="X458" s="206" t="e">
        <f t="shared" si="38"/>
        <v>#REF!</v>
      </c>
      <c r="Y458" s="206">
        <v>1</v>
      </c>
      <c r="Z458" s="206" t="e">
        <f>VLOOKUP($F458,#REF!,9,1)</f>
        <v>#REF!</v>
      </c>
      <c r="AA458" s="206" t="e">
        <f t="shared" si="43"/>
        <v>#REF!</v>
      </c>
      <c r="AB458" s="206">
        <v>20</v>
      </c>
      <c r="AC458" s="206" t="e">
        <f>VLOOKUP($F458,#REF!,14,1)</f>
        <v>#REF!</v>
      </c>
      <c r="AD458" s="206" t="e">
        <f>VLOOKUP($F458,#REF!,40,0)</f>
        <v>#REF!</v>
      </c>
      <c r="AE458" s="206" t="e">
        <f t="shared" si="39"/>
        <v>#REF!</v>
      </c>
      <c r="AF458" s="206">
        <v>1</v>
      </c>
      <c r="AG458" s="206" t="e">
        <f>VLOOKUP($F458,#REF!,42,0)</f>
        <v>#REF!</v>
      </c>
      <c r="AH458" s="206" t="e">
        <f t="shared" si="40"/>
        <v>#REF!</v>
      </c>
      <c r="AI458" s="206">
        <v>20</v>
      </c>
      <c r="AJ458" s="206" t="e">
        <f>VLOOKUP($F458,#REF!,43,0)</f>
        <v>#REF!</v>
      </c>
    </row>
    <row r="459" spans="2:36" s="102" customFormat="1" ht="22.5">
      <c r="B459" s="97"/>
      <c r="C459" s="114" t="s">
        <v>1920</v>
      </c>
      <c r="D459" t="s">
        <v>2172</v>
      </c>
      <c r="E459" s="123" t="s">
        <v>2260</v>
      </c>
      <c r="F459" s="102" t="s">
        <v>1982</v>
      </c>
      <c r="G459" s="97" t="s">
        <v>1929</v>
      </c>
      <c r="Q459" s="206" t="s">
        <v>2161</v>
      </c>
      <c r="R459" s="206">
        <f t="shared" si="36"/>
        <v>459</v>
      </c>
      <c r="S459" s="206" t="str">
        <f t="shared" si="37"/>
        <v>;'C OBRAS'!$E$10:$BD$100;14;1)</v>
      </c>
      <c r="T459" s="203" t="s">
        <v>2217</v>
      </c>
      <c r="U459" s="206" t="str">
        <f t="shared" si="46"/>
        <v>=BUSCARV($E459;'C OBRAS'!$E$10:$BD$100;14;1)</v>
      </c>
      <c r="V459" s="206"/>
      <c r="W459" s="206" t="e">
        <f>VLOOKUP($F459,#REF!,8,1)</f>
        <v>#REF!</v>
      </c>
      <c r="X459" s="206" t="e">
        <f t="shared" si="38"/>
        <v>#REF!</v>
      </c>
      <c r="Y459" s="206">
        <v>1</v>
      </c>
      <c r="Z459" s="206" t="e">
        <f>VLOOKUP($F459,#REF!,9,1)</f>
        <v>#REF!</v>
      </c>
      <c r="AA459" s="206" t="e">
        <f t="shared" si="43"/>
        <v>#REF!</v>
      </c>
      <c r="AB459" s="206">
        <v>20</v>
      </c>
      <c r="AC459" s="206" t="e">
        <f>VLOOKUP($F459,#REF!,14,1)</f>
        <v>#REF!</v>
      </c>
      <c r="AD459" s="206" t="e">
        <f>VLOOKUP($F459,#REF!,40,0)</f>
        <v>#REF!</v>
      </c>
      <c r="AE459" s="206" t="e">
        <f t="shared" si="39"/>
        <v>#REF!</v>
      </c>
      <c r="AF459" s="206">
        <v>1</v>
      </c>
      <c r="AG459" s="206" t="e">
        <f>VLOOKUP($F459,#REF!,42,0)</f>
        <v>#REF!</v>
      </c>
      <c r="AH459" s="206" t="e">
        <f t="shared" si="40"/>
        <v>#REF!</v>
      </c>
      <c r="AI459" s="206">
        <v>20</v>
      </c>
      <c r="AJ459" s="206" t="e">
        <f>VLOOKUP($F459,#REF!,43,0)</f>
        <v>#REF!</v>
      </c>
    </row>
    <row r="460" spans="2:36" s="102" customFormat="1" ht="22.5">
      <c r="B460" s="97"/>
      <c r="C460" s="114" t="s">
        <v>1920</v>
      </c>
      <c r="D460" t="s">
        <v>2172</v>
      </c>
      <c r="E460" s="123" t="s">
        <v>2260</v>
      </c>
      <c r="F460" s="102" t="s">
        <v>1983</v>
      </c>
      <c r="G460" s="97" t="s">
        <v>1929</v>
      </c>
      <c r="Q460" s="206" t="s">
        <v>2161</v>
      </c>
      <c r="R460" s="206">
        <f t="shared" si="36"/>
        <v>460</v>
      </c>
      <c r="S460" s="206" t="str">
        <f t="shared" si="37"/>
        <v>;'C OBRAS'!$E$10:$BD$100;14;1)</v>
      </c>
      <c r="T460" s="203" t="s">
        <v>2217</v>
      </c>
      <c r="U460" s="206" t="str">
        <f t="shared" si="46"/>
        <v>=BUSCARV($E460;'C OBRAS'!$E$10:$BD$100;14;1)</v>
      </c>
      <c r="V460" s="206"/>
      <c r="W460" s="206" t="e">
        <f>VLOOKUP($F460,#REF!,8,1)</f>
        <v>#REF!</v>
      </c>
      <c r="X460" s="206" t="e">
        <f t="shared" si="38"/>
        <v>#REF!</v>
      </c>
      <c r="Y460" s="206">
        <v>1</v>
      </c>
      <c r="Z460" s="206" t="e">
        <f>VLOOKUP($F460,#REF!,9,1)</f>
        <v>#REF!</v>
      </c>
      <c r="AA460" s="206" t="e">
        <f t="shared" si="43"/>
        <v>#REF!</v>
      </c>
      <c r="AB460" s="206">
        <v>20</v>
      </c>
      <c r="AC460" s="206" t="e">
        <f>VLOOKUP($F460,#REF!,14,1)</f>
        <v>#REF!</v>
      </c>
      <c r="AD460" s="206" t="e">
        <f>VLOOKUP($F460,#REF!,40,0)</f>
        <v>#REF!</v>
      </c>
      <c r="AE460" s="206" t="e">
        <f t="shared" si="39"/>
        <v>#REF!</v>
      </c>
      <c r="AF460" s="206">
        <v>1</v>
      </c>
      <c r="AG460" s="206" t="e">
        <f>VLOOKUP($F460,#REF!,42,0)</f>
        <v>#REF!</v>
      </c>
      <c r="AH460" s="206" t="e">
        <f t="shared" si="40"/>
        <v>#REF!</v>
      </c>
      <c r="AI460" s="206">
        <v>20</v>
      </c>
      <c r="AJ460" s="206" t="e">
        <f>VLOOKUP($F460,#REF!,43,0)</f>
        <v>#REF!</v>
      </c>
    </row>
    <row r="461" spans="2:36" s="102" customFormat="1" ht="22.5">
      <c r="B461" s="97"/>
      <c r="C461" s="114" t="s">
        <v>1920</v>
      </c>
      <c r="D461" t="s">
        <v>2172</v>
      </c>
      <c r="E461" s="123" t="s">
        <v>2260</v>
      </c>
      <c r="F461" s="102" t="s">
        <v>1984</v>
      </c>
      <c r="G461" s="97" t="s">
        <v>1929</v>
      </c>
      <c r="Q461" s="206" t="s">
        <v>2161</v>
      </c>
      <c r="R461" s="206">
        <f t="shared" si="36"/>
        <v>461</v>
      </c>
      <c r="S461" s="206" t="str">
        <f t="shared" si="37"/>
        <v>;'C OBRAS'!$E$10:$BD$100;14;1)</v>
      </c>
      <c r="T461" s="203" t="s">
        <v>2217</v>
      </c>
      <c r="U461" s="206" t="str">
        <f t="shared" si="46"/>
        <v>=BUSCARV($E461;'C OBRAS'!$E$10:$BD$100;14;1)</v>
      </c>
      <c r="V461" s="206"/>
      <c r="W461" s="206" t="e">
        <f>VLOOKUP($F461,#REF!,8,1)</f>
        <v>#REF!</v>
      </c>
      <c r="X461" s="206" t="e">
        <f t="shared" si="38"/>
        <v>#REF!</v>
      </c>
      <c r="Y461" s="206">
        <v>3</v>
      </c>
      <c r="Z461" s="206" t="e">
        <f>VLOOKUP($F461,#REF!,9,1)</f>
        <v>#REF!</v>
      </c>
      <c r="AA461" s="206" t="e">
        <f t="shared" si="43"/>
        <v>#REF!</v>
      </c>
      <c r="AB461" s="206">
        <v>20</v>
      </c>
      <c r="AC461" s="206" t="e">
        <f>VLOOKUP($F461,#REF!,14,1)</f>
        <v>#REF!</v>
      </c>
      <c r="AD461" s="206" t="e">
        <f>VLOOKUP($F461,#REF!,40,0)</f>
        <v>#REF!</v>
      </c>
      <c r="AE461" s="206" t="e">
        <f t="shared" si="39"/>
        <v>#REF!</v>
      </c>
      <c r="AF461" s="206">
        <v>1</v>
      </c>
      <c r="AG461" s="206" t="e">
        <f>VLOOKUP($F461,#REF!,42,0)</f>
        <v>#REF!</v>
      </c>
      <c r="AH461" s="206" t="e">
        <f t="shared" si="40"/>
        <v>#REF!</v>
      </c>
      <c r="AI461" s="206">
        <v>20</v>
      </c>
      <c r="AJ461" s="206" t="e">
        <f>VLOOKUP($F461,#REF!,43,0)</f>
        <v>#REF!</v>
      </c>
    </row>
    <row r="462" spans="2:36" s="102" customFormat="1" ht="22.5">
      <c r="B462" s="97"/>
      <c r="C462" s="114" t="s">
        <v>1920</v>
      </c>
      <c r="D462" t="s">
        <v>2172</v>
      </c>
      <c r="E462" s="123" t="s">
        <v>2260</v>
      </c>
      <c r="Q462" s="206" t="s">
        <v>2161</v>
      </c>
      <c r="R462" s="206">
        <f t="shared" si="36"/>
        <v>462</v>
      </c>
      <c r="S462" s="206" t="str">
        <f t="shared" si="37"/>
        <v>;'C OBRAS'!$E$10:$BD$100;14;1)</v>
      </c>
      <c r="T462" s="203" t="s">
        <v>2217</v>
      </c>
      <c r="U462" s="206" t="str">
        <f t="shared" si="46"/>
        <v>=BUSCARV($E462;'C OBRAS'!$E$10:$BD$100;14;1)</v>
      </c>
      <c r="V462" s="206"/>
      <c r="W462" s="206" t="e">
        <f>VLOOKUP($F462,#REF!,8,1)</f>
        <v>#REF!</v>
      </c>
      <c r="X462" s="206" t="e">
        <f t="shared" si="38"/>
        <v>#REF!</v>
      </c>
      <c r="Y462" s="206" t="e">
        <v>#N/A</v>
      </c>
      <c r="Z462" s="206" t="e">
        <f>VLOOKUP($F462,#REF!,9,1)</f>
        <v>#REF!</v>
      </c>
      <c r="AA462" s="206" t="e">
        <f t="shared" si="43"/>
        <v>#REF!</v>
      </c>
      <c r="AB462" s="206" t="e">
        <v>#N/A</v>
      </c>
      <c r="AC462" s="206" t="e">
        <f>VLOOKUP($F462,#REF!,14,1)</f>
        <v>#REF!</v>
      </c>
      <c r="AD462" s="206" t="e">
        <f>VLOOKUP($F462,#REF!,40,0)</f>
        <v>#REF!</v>
      </c>
      <c r="AE462" s="206" t="e">
        <f t="shared" si="39"/>
        <v>#REF!</v>
      </c>
      <c r="AF462" s="206" t="e">
        <v>#N/A</v>
      </c>
      <c r="AG462" s="206" t="e">
        <f>VLOOKUP($F462,#REF!,42,0)</f>
        <v>#REF!</v>
      </c>
      <c r="AH462" s="206" t="e">
        <f t="shared" si="40"/>
        <v>#REF!</v>
      </c>
      <c r="AI462" s="206" t="e">
        <v>#N/A</v>
      </c>
      <c r="AJ462" s="206" t="e">
        <f>VLOOKUP($F462,#REF!,43,0)</f>
        <v>#REF!</v>
      </c>
    </row>
    <row r="463" spans="2:36" s="102" customFormat="1" ht="22.5">
      <c r="B463" s="97"/>
      <c r="C463" s="114" t="s">
        <v>1920</v>
      </c>
      <c r="D463" t="s">
        <v>2172</v>
      </c>
      <c r="E463" s="123" t="s">
        <v>2260</v>
      </c>
      <c r="Q463" s="206" t="s">
        <v>2161</v>
      </c>
      <c r="R463" s="206">
        <f t="shared" si="36"/>
        <v>463</v>
      </c>
      <c r="S463" s="206" t="str">
        <f t="shared" si="37"/>
        <v>;'C OBRAS'!$E$10:$BD$100;14;1)</v>
      </c>
      <c r="T463" s="203" t="s">
        <v>2217</v>
      </c>
      <c r="U463" s="206" t="str">
        <f t="shared" si="46"/>
        <v>=BUSCARV($E463;'C OBRAS'!$E$10:$BD$100;14;1)</v>
      </c>
      <c r="V463" s="206"/>
      <c r="W463" s="206" t="e">
        <f>VLOOKUP($F463,#REF!,8,1)</f>
        <v>#REF!</v>
      </c>
      <c r="X463" s="206" t="e">
        <f t="shared" si="38"/>
        <v>#REF!</v>
      </c>
      <c r="Y463" s="206" t="e">
        <v>#N/A</v>
      </c>
      <c r="Z463" s="206" t="e">
        <f>VLOOKUP($F463,#REF!,9,1)</f>
        <v>#REF!</v>
      </c>
      <c r="AA463" s="206" t="e">
        <f t="shared" si="43"/>
        <v>#REF!</v>
      </c>
      <c r="AB463" s="206" t="e">
        <v>#N/A</v>
      </c>
      <c r="AC463" s="206" t="e">
        <f>VLOOKUP($F463,#REF!,14,1)</f>
        <v>#REF!</v>
      </c>
      <c r="AD463" s="206" t="e">
        <f>VLOOKUP($F463,#REF!,40,0)</f>
        <v>#REF!</v>
      </c>
      <c r="AE463" s="206" t="e">
        <f t="shared" si="39"/>
        <v>#REF!</v>
      </c>
      <c r="AF463" s="206" t="e">
        <v>#N/A</v>
      </c>
      <c r="AG463" s="206" t="e">
        <f>VLOOKUP($F463,#REF!,42,0)</f>
        <v>#REF!</v>
      </c>
      <c r="AH463" s="206" t="e">
        <f t="shared" si="40"/>
        <v>#REF!</v>
      </c>
      <c r="AI463" s="206" t="e">
        <v>#N/A</v>
      </c>
      <c r="AJ463" s="206" t="e">
        <f>VLOOKUP($F463,#REF!,43,0)</f>
        <v>#REF!</v>
      </c>
    </row>
    <row r="464" spans="2:36" s="102" customFormat="1" ht="22.5">
      <c r="B464" s="97"/>
      <c r="C464" s="114" t="s">
        <v>1920</v>
      </c>
      <c r="D464" t="s">
        <v>2172</v>
      </c>
      <c r="E464" s="123" t="s">
        <v>2260</v>
      </c>
      <c r="Q464" s="206" t="s">
        <v>2161</v>
      </c>
      <c r="R464" s="206">
        <f t="shared" si="36"/>
        <v>464</v>
      </c>
      <c r="S464" s="206" t="str">
        <f t="shared" si="37"/>
        <v>;'C OBRAS'!$E$10:$BD$100;14;1)</v>
      </c>
      <c r="T464" s="203" t="s">
        <v>2217</v>
      </c>
      <c r="U464" s="206" t="str">
        <f t="shared" si="46"/>
        <v>=BUSCARV($E464;'C OBRAS'!$E$10:$BD$100;14;1)</v>
      </c>
      <c r="V464" s="206"/>
      <c r="W464" s="206" t="e">
        <f>VLOOKUP($F464,#REF!,8,1)</f>
        <v>#REF!</v>
      </c>
      <c r="X464" s="206" t="e">
        <f t="shared" si="38"/>
        <v>#REF!</v>
      </c>
      <c r="Y464" s="206" t="e">
        <v>#N/A</v>
      </c>
      <c r="Z464" s="206" t="e">
        <f>VLOOKUP($F464,#REF!,9,1)</f>
        <v>#REF!</v>
      </c>
      <c r="AA464" s="206" t="e">
        <f t="shared" si="43"/>
        <v>#REF!</v>
      </c>
      <c r="AB464" s="206" t="e">
        <v>#N/A</v>
      </c>
      <c r="AC464" s="206" t="e">
        <f>VLOOKUP($F464,#REF!,14,1)</f>
        <v>#REF!</v>
      </c>
      <c r="AD464" s="206" t="e">
        <f>VLOOKUP($F464,#REF!,40,0)</f>
        <v>#REF!</v>
      </c>
      <c r="AE464" s="206" t="e">
        <f t="shared" si="39"/>
        <v>#REF!</v>
      </c>
      <c r="AF464" s="206" t="e">
        <v>#N/A</v>
      </c>
      <c r="AG464" s="206" t="e">
        <f>VLOOKUP($F464,#REF!,42,0)</f>
        <v>#REF!</v>
      </c>
      <c r="AH464" s="206" t="e">
        <f t="shared" si="40"/>
        <v>#REF!</v>
      </c>
      <c r="AI464" s="206" t="e">
        <v>#N/A</v>
      </c>
      <c r="AJ464" s="206" t="e">
        <f>VLOOKUP($F464,#REF!,43,0)</f>
        <v>#REF!</v>
      </c>
    </row>
    <row r="465" spans="2:36" s="102" customFormat="1" ht="22.5">
      <c r="B465" s="97"/>
      <c r="C465" s="114" t="s">
        <v>1920</v>
      </c>
      <c r="D465" t="s">
        <v>2172</v>
      </c>
      <c r="E465" s="123" t="s">
        <v>2260</v>
      </c>
      <c r="Q465" s="206" t="s">
        <v>2161</v>
      </c>
      <c r="R465" s="206">
        <f t="shared" ref="R465:R528" si="47">ROW(F465)</f>
        <v>465</v>
      </c>
      <c r="S465" s="206" t="str">
        <f t="shared" ref="S465:S528" si="48">CONCATENATE(";","'",D465,"'!","$E$10:$BD$100",";","14",";","1",")")</f>
        <v>;'C OBRAS'!$E$10:$BD$100;14;1)</v>
      </c>
      <c r="T465" s="203" t="s">
        <v>2217</v>
      </c>
      <c r="U465" s="206" t="str">
        <f t="shared" si="46"/>
        <v>=BUSCARV($E465;'C OBRAS'!$E$10:$BD$100;14;1)</v>
      </c>
      <c r="V465" s="206"/>
      <c r="W465" s="206" t="e">
        <f>VLOOKUP($F465,#REF!,8,1)</f>
        <v>#REF!</v>
      </c>
      <c r="X465" s="206" t="e">
        <f t="shared" si="38"/>
        <v>#REF!</v>
      </c>
      <c r="Y465" s="206" t="e">
        <v>#N/A</v>
      </c>
      <c r="Z465" s="206" t="e">
        <f>VLOOKUP($F465,#REF!,9,1)</f>
        <v>#REF!</v>
      </c>
      <c r="AA465" s="206" t="e">
        <f t="shared" si="43"/>
        <v>#REF!</v>
      </c>
      <c r="AB465" s="206" t="e">
        <v>#N/A</v>
      </c>
      <c r="AC465" s="206" t="e">
        <f>VLOOKUP($F465,#REF!,14,1)</f>
        <v>#REF!</v>
      </c>
      <c r="AD465" s="206" t="e">
        <f>VLOOKUP($F465,#REF!,40,0)</f>
        <v>#REF!</v>
      </c>
      <c r="AE465" s="206" t="e">
        <f t="shared" si="39"/>
        <v>#REF!</v>
      </c>
      <c r="AF465" s="206" t="e">
        <v>#N/A</v>
      </c>
      <c r="AG465" s="206" t="e">
        <f>VLOOKUP($F465,#REF!,42,0)</f>
        <v>#REF!</v>
      </c>
      <c r="AH465" s="206" t="e">
        <f t="shared" si="40"/>
        <v>#REF!</v>
      </c>
      <c r="AI465" s="206" t="e">
        <v>#N/A</v>
      </c>
      <c r="AJ465" s="206" t="e">
        <f>VLOOKUP($F465,#REF!,43,0)</f>
        <v>#REF!</v>
      </c>
    </row>
    <row r="466" spans="2:36" s="102" customFormat="1" ht="22.5">
      <c r="B466" s="97"/>
      <c r="C466" s="114" t="s">
        <v>1920</v>
      </c>
      <c r="D466" t="s">
        <v>2172</v>
      </c>
      <c r="E466" s="123" t="s">
        <v>2260</v>
      </c>
      <c r="Q466" s="206" t="s">
        <v>2161</v>
      </c>
      <c r="R466" s="206">
        <f t="shared" si="47"/>
        <v>466</v>
      </c>
      <c r="S466" s="206" t="str">
        <f t="shared" si="48"/>
        <v>;'C OBRAS'!$E$10:$BD$100;14;1)</v>
      </c>
      <c r="T466" s="203" t="s">
        <v>2217</v>
      </c>
      <c r="U466" s="206" t="str">
        <f t="shared" si="46"/>
        <v>=BUSCARV($E466;'C OBRAS'!$E$10:$BD$100;14;1)</v>
      </c>
      <c r="V466" s="206"/>
      <c r="W466" s="206" t="e">
        <f>VLOOKUP($F466,#REF!,8,1)</f>
        <v>#REF!</v>
      </c>
      <c r="X466" s="206" t="e">
        <f t="shared" ref="X466:X529" si="49">IF(W466="Casi Seguro",5,IF(W466="Probable",4,IF(W466="Posible",3,IF(W466="Improbable",2,1))))</f>
        <v>#REF!</v>
      </c>
      <c r="Y466" s="206" t="e">
        <v>#N/A</v>
      </c>
      <c r="Z466" s="206" t="e">
        <f>VLOOKUP($F466,#REF!,9,1)</f>
        <v>#REF!</v>
      </c>
      <c r="AA466" s="206" t="e">
        <f t="shared" si="43"/>
        <v>#REF!</v>
      </c>
      <c r="AB466" s="206" t="e">
        <v>#N/A</v>
      </c>
      <c r="AC466" s="206" t="e">
        <f>VLOOKUP($F466,#REF!,14,1)</f>
        <v>#REF!</v>
      </c>
      <c r="AD466" s="206" t="e">
        <f>VLOOKUP($F466,#REF!,40,0)</f>
        <v>#REF!</v>
      </c>
      <c r="AE466" s="206" t="e">
        <f t="shared" ref="AE466:AE529" si="50">IF(AD466="Casi Seguro",5,IF(AD466="Probable",4,IF(AD466="Posible",3,IF(AD466="Improbable",2,1))))</f>
        <v>#REF!</v>
      </c>
      <c r="AF466" s="206" t="e">
        <v>#N/A</v>
      </c>
      <c r="AG466" s="206" t="e">
        <f>VLOOKUP($F466,#REF!,42,0)</f>
        <v>#REF!</v>
      </c>
      <c r="AH466" s="206" t="e">
        <f t="shared" ref="AH466:AH529" si="51">IF(AG466="Catastrófico",20,IF(AG466="Mayor",10,5))</f>
        <v>#REF!</v>
      </c>
      <c r="AI466" s="206" t="e">
        <v>#N/A</v>
      </c>
      <c r="AJ466" s="206" t="e">
        <f>VLOOKUP($F466,#REF!,43,0)</f>
        <v>#REF!</v>
      </c>
    </row>
    <row r="467" spans="2:36" s="102" customFormat="1" ht="22.5">
      <c r="B467" s="97"/>
      <c r="C467" s="114" t="s">
        <v>1920</v>
      </c>
      <c r="D467" t="s">
        <v>2172</v>
      </c>
      <c r="E467" s="123" t="s">
        <v>2260</v>
      </c>
      <c r="Q467" s="206" t="s">
        <v>2161</v>
      </c>
      <c r="R467" s="206">
        <f t="shared" si="47"/>
        <v>467</v>
      </c>
      <c r="S467" s="206" t="str">
        <f t="shared" si="48"/>
        <v>;'C OBRAS'!$E$10:$BD$100;14;1)</v>
      </c>
      <c r="T467" s="203" t="s">
        <v>2217</v>
      </c>
      <c r="U467" s="206" t="str">
        <f t="shared" si="46"/>
        <v>=BUSCARV($E467;'C OBRAS'!$E$10:$BD$100;14;1)</v>
      </c>
      <c r="V467" s="206"/>
      <c r="W467" s="206" t="e">
        <f>VLOOKUP($F467,#REF!,8,1)</f>
        <v>#REF!</v>
      </c>
      <c r="X467" s="206" t="e">
        <f t="shared" si="49"/>
        <v>#REF!</v>
      </c>
      <c r="Y467" s="206" t="e">
        <v>#N/A</v>
      </c>
      <c r="Z467" s="206" t="e">
        <f>VLOOKUP($F467,#REF!,9,1)</f>
        <v>#REF!</v>
      </c>
      <c r="AA467" s="206" t="e">
        <f t="shared" si="43"/>
        <v>#REF!</v>
      </c>
      <c r="AB467" s="206" t="e">
        <v>#N/A</v>
      </c>
      <c r="AC467" s="206" t="e">
        <f>VLOOKUP($F467,#REF!,14,1)</f>
        <v>#REF!</v>
      </c>
      <c r="AD467" s="206" t="e">
        <f>VLOOKUP($F467,#REF!,40,0)</f>
        <v>#REF!</v>
      </c>
      <c r="AE467" s="206" t="e">
        <f t="shared" si="50"/>
        <v>#REF!</v>
      </c>
      <c r="AF467" s="206" t="e">
        <v>#N/A</v>
      </c>
      <c r="AG467" s="206" t="e">
        <f>VLOOKUP($F467,#REF!,42,0)</f>
        <v>#REF!</v>
      </c>
      <c r="AH467" s="206" t="e">
        <f t="shared" si="51"/>
        <v>#REF!</v>
      </c>
      <c r="AI467" s="206" t="e">
        <v>#N/A</v>
      </c>
      <c r="AJ467" s="206" t="e">
        <f>VLOOKUP($F467,#REF!,43,0)</f>
        <v>#REF!</v>
      </c>
    </row>
    <row r="468" spans="2:36" s="102" customFormat="1" ht="22.5">
      <c r="B468" s="97"/>
      <c r="C468" s="114" t="s">
        <v>1920</v>
      </c>
      <c r="D468" t="s">
        <v>2172</v>
      </c>
      <c r="E468" s="123" t="s">
        <v>2260</v>
      </c>
      <c r="Q468" s="206" t="s">
        <v>2161</v>
      </c>
      <c r="R468" s="206">
        <f t="shared" si="47"/>
        <v>468</v>
      </c>
      <c r="S468" s="206" t="str">
        <f t="shared" si="48"/>
        <v>;'C OBRAS'!$E$10:$BD$100;14;1)</v>
      </c>
      <c r="T468" s="203" t="s">
        <v>2217</v>
      </c>
      <c r="U468" s="206" t="str">
        <f t="shared" si="46"/>
        <v>=BUSCARV($E468;'C OBRAS'!$E$10:$BD$100;14;1)</v>
      </c>
      <c r="V468" s="206"/>
      <c r="W468" s="206" t="e">
        <f>VLOOKUP($F468,#REF!,8,1)</f>
        <v>#REF!</v>
      </c>
      <c r="X468" s="206" t="e">
        <f t="shared" si="49"/>
        <v>#REF!</v>
      </c>
      <c r="Y468" s="206" t="e">
        <v>#N/A</v>
      </c>
      <c r="Z468" s="206" t="e">
        <f>VLOOKUP($F468,#REF!,9,1)</f>
        <v>#REF!</v>
      </c>
      <c r="AA468" s="206" t="e">
        <f t="shared" si="43"/>
        <v>#REF!</v>
      </c>
      <c r="AB468" s="206" t="e">
        <v>#N/A</v>
      </c>
      <c r="AC468" s="206" t="e">
        <f>VLOOKUP($F468,#REF!,14,1)</f>
        <v>#REF!</v>
      </c>
      <c r="AD468" s="206" t="e">
        <f>VLOOKUP($F468,#REF!,40,0)</f>
        <v>#REF!</v>
      </c>
      <c r="AE468" s="206" t="e">
        <f t="shared" si="50"/>
        <v>#REF!</v>
      </c>
      <c r="AF468" s="206" t="e">
        <v>#N/A</v>
      </c>
      <c r="AG468" s="206" t="e">
        <f>VLOOKUP($F468,#REF!,42,0)</f>
        <v>#REF!</v>
      </c>
      <c r="AH468" s="206" t="e">
        <f t="shared" si="51"/>
        <v>#REF!</v>
      </c>
      <c r="AI468" s="206" t="e">
        <v>#N/A</v>
      </c>
      <c r="AJ468" s="206" t="e">
        <f>VLOOKUP($F468,#REF!,43,0)</f>
        <v>#REF!</v>
      </c>
    </row>
    <row r="469" spans="2:36" s="102" customFormat="1" ht="33.75">
      <c r="B469" s="97"/>
      <c r="C469" s="118" t="s">
        <v>2255</v>
      </c>
      <c r="D469" t="s">
        <v>2173</v>
      </c>
      <c r="E469" s="123" t="s">
        <v>2260</v>
      </c>
      <c r="F469" s="102" t="s">
        <v>18</v>
      </c>
      <c r="G469" s="97" t="s">
        <v>1929</v>
      </c>
      <c r="Q469" s="206" t="s">
        <v>2161</v>
      </c>
      <c r="R469" s="206">
        <f t="shared" si="47"/>
        <v>469</v>
      </c>
      <c r="S469" s="206" t="str">
        <f t="shared" si="48"/>
        <v>;'C DTM'!$E$10:$BD$100;14;1)</v>
      </c>
      <c r="T469" s="203" t="s">
        <v>2218</v>
      </c>
      <c r="U469" s="206" t="str">
        <f t="shared" si="46"/>
        <v>=BUSCARV($E469;'C DTM'!$E$10:$BD$100;14;1)</v>
      </c>
      <c r="V469" s="206" t="s">
        <v>2259</v>
      </c>
      <c r="W469" s="206" t="e">
        <f>VLOOKUP($F469,#REF!,8,1)</f>
        <v>#REF!</v>
      </c>
      <c r="X469" s="206" t="e">
        <f t="shared" si="49"/>
        <v>#REF!</v>
      </c>
      <c r="Y469" s="206">
        <v>1</v>
      </c>
      <c r="Z469" s="206" t="e">
        <f>VLOOKUP($F469,#REF!,11,1)</f>
        <v>#REF!</v>
      </c>
      <c r="AA469" s="206" t="e">
        <f t="shared" si="43"/>
        <v>#REF!</v>
      </c>
      <c r="AB469" s="206">
        <v>10</v>
      </c>
      <c r="AC469" s="206" t="e">
        <f>VLOOKUP($F469,#REF!,13,1)</f>
        <v>#REF!</v>
      </c>
      <c r="AD469" s="206" t="e">
        <f>VLOOKUP($F469,#REF!,38,0)</f>
        <v>#REF!</v>
      </c>
      <c r="AE469" s="206" t="e">
        <f t="shared" si="50"/>
        <v>#REF!</v>
      </c>
      <c r="AF469" s="206">
        <v>1</v>
      </c>
      <c r="AG469" s="206" t="e">
        <f>VLOOKUP($F469,#REF!,40,0)</f>
        <v>#REF!</v>
      </c>
      <c r="AH469" s="206" t="e">
        <f t="shared" si="51"/>
        <v>#REF!</v>
      </c>
      <c r="AI469" s="206">
        <v>5</v>
      </c>
      <c r="AJ469" s="206" t="e">
        <f>VLOOKUP($F469,#REF!,41,0)</f>
        <v>#REF!</v>
      </c>
    </row>
    <row r="470" spans="2:36" s="102" customFormat="1" ht="33.75">
      <c r="B470" s="97"/>
      <c r="C470" s="118" t="s">
        <v>2255</v>
      </c>
      <c r="D470" t="s">
        <v>2173</v>
      </c>
      <c r="E470" s="123" t="s">
        <v>2260</v>
      </c>
      <c r="F470" s="102" t="s">
        <v>20</v>
      </c>
      <c r="G470" s="97" t="s">
        <v>1929</v>
      </c>
      <c r="Q470" s="206" t="s">
        <v>2161</v>
      </c>
      <c r="R470" s="206">
        <f t="shared" si="47"/>
        <v>470</v>
      </c>
      <c r="S470" s="206" t="str">
        <f t="shared" si="48"/>
        <v>;'C DTM'!$E$10:$BD$100;14;1)</v>
      </c>
      <c r="T470" s="203" t="s">
        <v>2218</v>
      </c>
      <c r="U470" s="206" t="str">
        <f t="shared" si="46"/>
        <v>=BUSCARV($E470;'C DTM'!$E$10:$BD$100;14;1)</v>
      </c>
      <c r="V470" s="206" t="s">
        <v>2259</v>
      </c>
      <c r="W470" s="206" t="e">
        <f>VLOOKUP($F470,#REF!,8,1)</f>
        <v>#REF!</v>
      </c>
      <c r="X470" s="206" t="e">
        <f t="shared" si="49"/>
        <v>#REF!</v>
      </c>
      <c r="Y470" s="206">
        <v>4</v>
      </c>
      <c r="Z470" s="206" t="e">
        <f>VLOOKUP($F470,#REF!,11,1)</f>
        <v>#REF!</v>
      </c>
      <c r="AA470" s="206" t="e">
        <f t="shared" si="43"/>
        <v>#REF!</v>
      </c>
      <c r="AB470" s="206">
        <v>10</v>
      </c>
      <c r="AC470" s="206" t="e">
        <f>VLOOKUP($F470,#REF!,13,1)</f>
        <v>#REF!</v>
      </c>
      <c r="AD470" s="206" t="e">
        <f>VLOOKUP($F470,#REF!,38,0)</f>
        <v>#REF!</v>
      </c>
      <c r="AE470" s="206" t="e">
        <f t="shared" si="50"/>
        <v>#REF!</v>
      </c>
      <c r="AF470" s="206">
        <v>2</v>
      </c>
      <c r="AG470" s="206" t="e">
        <f>VLOOKUP($F470,#REF!,40,0)</f>
        <v>#REF!</v>
      </c>
      <c r="AH470" s="206" t="e">
        <f t="shared" si="51"/>
        <v>#REF!</v>
      </c>
      <c r="AI470" s="206">
        <v>5</v>
      </c>
      <c r="AJ470" s="206" t="e">
        <f>VLOOKUP($F470,#REF!,41,0)</f>
        <v>#REF!</v>
      </c>
    </row>
    <row r="471" spans="2:36" s="102" customFormat="1" ht="33.75">
      <c r="B471" s="97"/>
      <c r="C471" s="118" t="s">
        <v>2255</v>
      </c>
      <c r="D471" t="s">
        <v>2173</v>
      </c>
      <c r="E471" s="123" t="s">
        <v>2260</v>
      </c>
      <c r="F471" s="102" t="s">
        <v>21</v>
      </c>
      <c r="G471" s="97" t="s">
        <v>1929</v>
      </c>
      <c r="Q471" s="206" t="s">
        <v>2161</v>
      </c>
      <c r="R471" s="206">
        <f t="shared" si="47"/>
        <v>471</v>
      </c>
      <c r="S471" s="206" t="str">
        <f t="shared" si="48"/>
        <v>;'C DTM'!$E$10:$BD$100;14;1)</v>
      </c>
      <c r="T471" s="203" t="s">
        <v>2218</v>
      </c>
      <c r="U471" s="206" t="str">
        <f t="shared" si="46"/>
        <v>=BUSCARV($E471;'C DTM'!$E$10:$BD$100;14;1)</v>
      </c>
      <c r="V471" s="206" t="s">
        <v>2259</v>
      </c>
      <c r="W471" s="206" t="e">
        <f>VLOOKUP($F471,#REF!,8,1)</f>
        <v>#REF!</v>
      </c>
      <c r="X471" s="206" t="e">
        <f t="shared" si="49"/>
        <v>#REF!</v>
      </c>
      <c r="Y471" s="206">
        <v>2</v>
      </c>
      <c r="Z471" s="206" t="e">
        <f>VLOOKUP($F471,#REF!,11,1)</f>
        <v>#REF!</v>
      </c>
      <c r="AA471" s="206" t="e">
        <f t="shared" si="43"/>
        <v>#REF!</v>
      </c>
      <c r="AB471" s="206">
        <v>10</v>
      </c>
      <c r="AC471" s="206" t="e">
        <f>VLOOKUP($F471,#REF!,13,1)</f>
        <v>#REF!</v>
      </c>
      <c r="AD471" s="206" t="e">
        <f>VLOOKUP($F471,#REF!,38,0)</f>
        <v>#REF!</v>
      </c>
      <c r="AE471" s="206" t="e">
        <f t="shared" si="50"/>
        <v>#REF!</v>
      </c>
      <c r="AF471" s="206">
        <v>1</v>
      </c>
      <c r="AG471" s="206" t="e">
        <f>VLOOKUP($F471,#REF!,40,0)</f>
        <v>#REF!</v>
      </c>
      <c r="AH471" s="206" t="e">
        <f t="shared" si="51"/>
        <v>#REF!</v>
      </c>
      <c r="AI471" s="206">
        <v>5</v>
      </c>
      <c r="AJ471" s="206" t="e">
        <f>VLOOKUP($F471,#REF!,41,0)</f>
        <v>#REF!</v>
      </c>
    </row>
    <row r="472" spans="2:36" s="102" customFormat="1" ht="33.75">
      <c r="B472" s="97"/>
      <c r="C472" s="118" t="s">
        <v>2255</v>
      </c>
      <c r="D472" t="s">
        <v>2173</v>
      </c>
      <c r="E472" s="123" t="s">
        <v>2260</v>
      </c>
      <c r="F472" s="102" t="s">
        <v>22</v>
      </c>
      <c r="G472" s="97" t="s">
        <v>1929</v>
      </c>
      <c r="Q472" s="206" t="s">
        <v>2161</v>
      </c>
      <c r="R472" s="206">
        <f t="shared" si="47"/>
        <v>472</v>
      </c>
      <c r="S472" s="206" t="str">
        <f t="shared" si="48"/>
        <v>;'C DTM'!$E$10:$BD$100;14;1)</v>
      </c>
      <c r="T472" s="203" t="s">
        <v>2218</v>
      </c>
      <c r="U472" s="206" t="str">
        <f t="shared" si="46"/>
        <v>=BUSCARV($E472;'C DTM'!$E$10:$BD$100;14;1)</v>
      </c>
      <c r="V472" s="206" t="s">
        <v>2259</v>
      </c>
      <c r="W472" s="206" t="e">
        <f>VLOOKUP($F472,#REF!,8,1)</f>
        <v>#REF!</v>
      </c>
      <c r="X472" s="206" t="e">
        <f t="shared" si="49"/>
        <v>#REF!</v>
      </c>
      <c r="Y472" s="206">
        <v>2</v>
      </c>
      <c r="Z472" s="206" t="e">
        <f>VLOOKUP($F472,#REF!,11,1)</f>
        <v>#REF!</v>
      </c>
      <c r="AA472" s="206" t="e">
        <f t="shared" si="43"/>
        <v>#REF!</v>
      </c>
      <c r="AB472" s="206">
        <v>20</v>
      </c>
      <c r="AC472" s="206" t="e">
        <f>VLOOKUP($F472,#REF!,13,1)</f>
        <v>#REF!</v>
      </c>
      <c r="AD472" s="206" t="e">
        <f>VLOOKUP($F472,#REF!,38,0)</f>
        <v>#REF!</v>
      </c>
      <c r="AE472" s="206" t="e">
        <f t="shared" si="50"/>
        <v>#REF!</v>
      </c>
      <c r="AF472" s="206">
        <v>1</v>
      </c>
      <c r="AG472" s="206" t="e">
        <f>VLOOKUP($F472,#REF!,40,0)</f>
        <v>#REF!</v>
      </c>
      <c r="AH472" s="206" t="e">
        <f t="shared" si="51"/>
        <v>#REF!</v>
      </c>
      <c r="AI472" s="206">
        <v>5</v>
      </c>
      <c r="AJ472" s="206" t="e">
        <f>VLOOKUP($F472,#REF!,41,0)</f>
        <v>#REF!</v>
      </c>
    </row>
    <row r="473" spans="2:36" s="102" customFormat="1" ht="33.75">
      <c r="B473" s="97"/>
      <c r="C473" s="118" t="s">
        <v>2255</v>
      </c>
      <c r="D473" t="s">
        <v>2173</v>
      </c>
      <c r="E473" s="123" t="s">
        <v>2260</v>
      </c>
      <c r="F473" s="102" t="s">
        <v>24</v>
      </c>
      <c r="G473" s="97" t="s">
        <v>1929</v>
      </c>
      <c r="Q473" s="206" t="s">
        <v>2161</v>
      </c>
      <c r="R473" s="206">
        <f t="shared" si="47"/>
        <v>473</v>
      </c>
      <c r="S473" s="206" t="str">
        <f t="shared" si="48"/>
        <v>;'C DTM'!$E$10:$BD$100;14;1)</v>
      </c>
      <c r="T473" s="203" t="s">
        <v>2218</v>
      </c>
      <c r="U473" s="206" t="str">
        <f t="shared" si="46"/>
        <v>=BUSCARV($E473;'C DTM'!$E$10:$BD$100;14;1)</v>
      </c>
      <c r="V473" s="206" t="s">
        <v>2259</v>
      </c>
      <c r="W473" s="206" t="e">
        <f>VLOOKUP($F473,#REF!,8,1)</f>
        <v>#REF!</v>
      </c>
      <c r="X473" s="206" t="e">
        <f t="shared" si="49"/>
        <v>#REF!</v>
      </c>
      <c r="Y473" s="206">
        <v>4</v>
      </c>
      <c r="Z473" s="206" t="e">
        <f>VLOOKUP($F473,#REF!,11,1)</f>
        <v>#REF!</v>
      </c>
      <c r="AA473" s="206" t="e">
        <f t="shared" si="43"/>
        <v>#REF!</v>
      </c>
      <c r="AB473" s="206">
        <v>10</v>
      </c>
      <c r="AC473" s="206" t="e">
        <f>VLOOKUP($F473,#REF!,13,1)</f>
        <v>#REF!</v>
      </c>
      <c r="AD473" s="206" t="e">
        <f>VLOOKUP($F473,#REF!,38,0)</f>
        <v>#REF!</v>
      </c>
      <c r="AE473" s="206" t="e">
        <f t="shared" si="50"/>
        <v>#REF!</v>
      </c>
      <c r="AF473" s="206">
        <v>2</v>
      </c>
      <c r="AG473" s="206" t="e">
        <f>VLOOKUP($F473,#REF!,40,0)</f>
        <v>#REF!</v>
      </c>
      <c r="AH473" s="206" t="e">
        <f t="shared" si="51"/>
        <v>#REF!</v>
      </c>
      <c r="AI473" s="206">
        <v>5</v>
      </c>
      <c r="AJ473" s="206" t="e">
        <f>VLOOKUP($F473,#REF!,41,0)</f>
        <v>#REF!</v>
      </c>
    </row>
    <row r="474" spans="2:36" s="102" customFormat="1" ht="33.75">
      <c r="B474" s="97"/>
      <c r="C474" s="119" t="s">
        <v>1933</v>
      </c>
      <c r="D474" t="s">
        <v>2174</v>
      </c>
      <c r="E474" s="123" t="s">
        <v>2260</v>
      </c>
      <c r="F474" s="102" t="s">
        <v>313</v>
      </c>
      <c r="G474" s="97" t="s">
        <v>1929</v>
      </c>
      <c r="Q474" s="206" t="s">
        <v>2161</v>
      </c>
      <c r="R474" s="206">
        <f t="shared" si="47"/>
        <v>474</v>
      </c>
      <c r="S474" s="206" t="str">
        <f t="shared" si="48"/>
        <v>;'C DTAI'!$E$10:$BD$100;14;1)</v>
      </c>
      <c r="T474" s="203" t="s">
        <v>2219</v>
      </c>
      <c r="U474" s="206" t="str">
        <f t="shared" si="46"/>
        <v>=BUSCARV($E474;'C DTAI'!$E$10:$BD$100;14;1)</v>
      </c>
      <c r="V474" s="206"/>
      <c r="W474" s="206" t="e">
        <f>VLOOKUP($F474,#REF!,8,1)</f>
        <v>#REF!</v>
      </c>
      <c r="X474" s="206" t="e">
        <f t="shared" si="49"/>
        <v>#REF!</v>
      </c>
      <c r="Y474" s="206">
        <v>3</v>
      </c>
      <c r="Z474" s="206" t="e">
        <f>VLOOKUP($F474,#REF!,9,1)</f>
        <v>#REF!</v>
      </c>
      <c r="AA474" s="206" t="e">
        <f t="shared" si="43"/>
        <v>#REF!</v>
      </c>
      <c r="AB474" s="206">
        <v>5</v>
      </c>
      <c r="AC474" s="206" t="e">
        <f>VLOOKUP($F474,#REF!,14,1)</f>
        <v>#REF!</v>
      </c>
      <c r="AD474" s="206" t="e">
        <f>VLOOKUP($F474,#REF!,40,0)</f>
        <v>#REF!</v>
      </c>
      <c r="AE474" s="206" t="e">
        <f t="shared" si="50"/>
        <v>#REF!</v>
      </c>
      <c r="AF474" s="206">
        <v>1</v>
      </c>
      <c r="AG474" s="206" t="e">
        <f>VLOOKUP($F474,#REF!,42,0)</f>
        <v>#REF!</v>
      </c>
      <c r="AH474" s="206" t="e">
        <f t="shared" si="51"/>
        <v>#REF!</v>
      </c>
      <c r="AI474" s="206">
        <v>5</v>
      </c>
      <c r="AJ474" s="206" t="e">
        <f>VLOOKUP($F474,#REF!,43,0)</f>
        <v>#REF!</v>
      </c>
    </row>
    <row r="475" spans="2:36" s="102" customFormat="1" ht="33.75">
      <c r="B475" s="97"/>
      <c r="C475" s="119" t="s">
        <v>1933</v>
      </c>
      <c r="D475" t="s">
        <v>2174</v>
      </c>
      <c r="E475" s="123" t="s">
        <v>2260</v>
      </c>
      <c r="F475" s="102" t="s">
        <v>229</v>
      </c>
      <c r="G475" s="97" t="s">
        <v>1929</v>
      </c>
      <c r="Q475" s="206" t="s">
        <v>2161</v>
      </c>
      <c r="R475" s="206">
        <f t="shared" si="47"/>
        <v>475</v>
      </c>
      <c r="S475" s="206" t="str">
        <f t="shared" si="48"/>
        <v>;'C DTAI'!$E$10:$BD$100;14;1)</v>
      </c>
      <c r="T475" s="203" t="s">
        <v>2219</v>
      </c>
      <c r="U475" s="206" t="str">
        <f t="shared" si="46"/>
        <v>=BUSCARV($E475;'C DTAI'!$E$10:$BD$100;14;1)</v>
      </c>
      <c r="V475" s="206"/>
      <c r="W475" s="206" t="e">
        <f>VLOOKUP($F475,#REF!,8,1)</f>
        <v>#REF!</v>
      </c>
      <c r="X475" s="206" t="e">
        <f t="shared" si="49"/>
        <v>#REF!</v>
      </c>
      <c r="Y475" s="206">
        <v>3</v>
      </c>
      <c r="Z475" s="206" t="e">
        <f>VLOOKUP($F475,#REF!,9,1)</f>
        <v>#REF!</v>
      </c>
      <c r="AA475" s="206" t="e">
        <f t="shared" si="43"/>
        <v>#REF!</v>
      </c>
      <c r="AB475" s="206">
        <v>5</v>
      </c>
      <c r="AC475" s="206" t="e">
        <f>VLOOKUP($F475,#REF!,14,1)</f>
        <v>#REF!</v>
      </c>
      <c r="AD475" s="206" t="e">
        <f>VLOOKUP($F475,#REF!,40,0)</f>
        <v>#REF!</v>
      </c>
      <c r="AE475" s="206" t="e">
        <f t="shared" si="50"/>
        <v>#REF!</v>
      </c>
      <c r="AF475" s="206">
        <v>1</v>
      </c>
      <c r="AG475" s="206" t="e">
        <f>VLOOKUP($F475,#REF!,42,0)</f>
        <v>#REF!</v>
      </c>
      <c r="AH475" s="206" t="e">
        <f t="shared" si="51"/>
        <v>#REF!</v>
      </c>
      <c r="AI475" s="206">
        <v>5</v>
      </c>
      <c r="AJ475" s="206" t="e">
        <f>VLOOKUP($F475,#REF!,43,0)</f>
        <v>#REF!</v>
      </c>
    </row>
    <row r="476" spans="2:36" s="102" customFormat="1" ht="33.75">
      <c r="B476" s="97"/>
      <c r="C476" s="119" t="s">
        <v>1933</v>
      </c>
      <c r="D476" t="s">
        <v>2174</v>
      </c>
      <c r="E476" s="123" t="s">
        <v>2260</v>
      </c>
      <c r="F476" s="102" t="s">
        <v>230</v>
      </c>
      <c r="G476" s="97" t="s">
        <v>1929</v>
      </c>
      <c r="Q476" s="206" t="s">
        <v>2161</v>
      </c>
      <c r="R476" s="206">
        <f t="shared" si="47"/>
        <v>476</v>
      </c>
      <c r="S476" s="206" t="str">
        <f t="shared" si="48"/>
        <v>;'C DTAI'!$E$10:$BD$100;14;1)</v>
      </c>
      <c r="T476" s="203" t="s">
        <v>2219</v>
      </c>
      <c r="U476" s="206" t="str">
        <f t="shared" si="46"/>
        <v>=BUSCARV($E476;'C DTAI'!$E$10:$BD$100;14;1)</v>
      </c>
      <c r="V476" s="206"/>
      <c r="W476" s="206" t="e">
        <f>VLOOKUP($F476,#REF!,8,1)</f>
        <v>#REF!</v>
      </c>
      <c r="X476" s="206" t="e">
        <f t="shared" si="49"/>
        <v>#REF!</v>
      </c>
      <c r="Y476" s="206">
        <v>3</v>
      </c>
      <c r="Z476" s="206" t="e">
        <f>VLOOKUP($F476,#REF!,9,1)</f>
        <v>#REF!</v>
      </c>
      <c r="AA476" s="206" t="e">
        <f t="shared" si="43"/>
        <v>#REF!</v>
      </c>
      <c r="AB476" s="206">
        <v>5</v>
      </c>
      <c r="AC476" s="206" t="e">
        <f>VLOOKUP($F476,#REF!,14,1)</f>
        <v>#REF!</v>
      </c>
      <c r="AD476" s="206" t="e">
        <f>VLOOKUP($F476,#REF!,40,0)</f>
        <v>#REF!</v>
      </c>
      <c r="AE476" s="206" t="e">
        <f t="shared" si="50"/>
        <v>#REF!</v>
      </c>
      <c r="AF476" s="206">
        <v>1</v>
      </c>
      <c r="AG476" s="206" t="e">
        <f>VLOOKUP($F476,#REF!,42,0)</f>
        <v>#REF!</v>
      </c>
      <c r="AH476" s="206" t="e">
        <f t="shared" si="51"/>
        <v>#REF!</v>
      </c>
      <c r="AI476" s="206">
        <v>5</v>
      </c>
      <c r="AJ476" s="206" t="e">
        <f>VLOOKUP($F476,#REF!,43,0)</f>
        <v>#REF!</v>
      </c>
    </row>
    <row r="477" spans="2:36" s="102" customFormat="1" ht="33.75">
      <c r="B477" s="97"/>
      <c r="C477" s="119" t="s">
        <v>1933</v>
      </c>
      <c r="D477" t="s">
        <v>2174</v>
      </c>
      <c r="E477" s="123" t="s">
        <v>2260</v>
      </c>
      <c r="F477" s="102" t="s">
        <v>320</v>
      </c>
      <c r="G477" s="97" t="s">
        <v>1929</v>
      </c>
      <c r="Q477" s="206" t="s">
        <v>2161</v>
      </c>
      <c r="R477" s="206">
        <f t="shared" si="47"/>
        <v>477</v>
      </c>
      <c r="S477" s="206" t="str">
        <f t="shared" si="48"/>
        <v>;'C DTAI'!$E$10:$BD$100;14;1)</v>
      </c>
      <c r="T477" s="203" t="s">
        <v>2219</v>
      </c>
      <c r="U477" s="206" t="str">
        <f t="shared" si="46"/>
        <v>=BUSCARV($E477;'C DTAI'!$E$10:$BD$100;14;1)</v>
      </c>
      <c r="V477" s="206"/>
      <c r="W477" s="206" t="e">
        <f>VLOOKUP($F477,#REF!,8,1)</f>
        <v>#REF!</v>
      </c>
      <c r="X477" s="206" t="e">
        <f t="shared" si="49"/>
        <v>#REF!</v>
      </c>
      <c r="Y477" s="206">
        <v>3</v>
      </c>
      <c r="Z477" s="206" t="e">
        <f>VLOOKUP($F477,#REF!,9,1)</f>
        <v>#REF!</v>
      </c>
      <c r="AA477" s="206" t="e">
        <f t="shared" si="43"/>
        <v>#REF!</v>
      </c>
      <c r="AB477" s="206">
        <v>5</v>
      </c>
      <c r="AC477" s="206" t="e">
        <f>VLOOKUP($F477,#REF!,14,1)</f>
        <v>#REF!</v>
      </c>
      <c r="AD477" s="206" t="e">
        <f>VLOOKUP($F477,#REF!,40,0)</f>
        <v>#REF!</v>
      </c>
      <c r="AE477" s="206" t="e">
        <f t="shared" si="50"/>
        <v>#REF!</v>
      </c>
      <c r="AF477" s="206">
        <v>1</v>
      </c>
      <c r="AG477" s="206" t="e">
        <f>VLOOKUP($F477,#REF!,42,0)</f>
        <v>#REF!</v>
      </c>
      <c r="AH477" s="206" t="e">
        <f t="shared" si="51"/>
        <v>#REF!</v>
      </c>
      <c r="AI477" s="206">
        <v>5</v>
      </c>
      <c r="AJ477" s="206" t="e">
        <f>VLOOKUP($F477,#REF!,43,0)</f>
        <v>#REF!</v>
      </c>
    </row>
    <row r="478" spans="2:36" s="102" customFormat="1" ht="33.75">
      <c r="B478" s="97"/>
      <c r="C478" s="119" t="s">
        <v>1933</v>
      </c>
      <c r="D478" t="s">
        <v>2174</v>
      </c>
      <c r="E478" s="123" t="s">
        <v>2260</v>
      </c>
      <c r="F478" s="102" t="s">
        <v>231</v>
      </c>
      <c r="G478" s="97" t="s">
        <v>1929</v>
      </c>
      <c r="Q478" s="206" t="s">
        <v>2161</v>
      </c>
      <c r="R478" s="206">
        <f t="shared" si="47"/>
        <v>478</v>
      </c>
      <c r="S478" s="206" t="str">
        <f t="shared" si="48"/>
        <v>;'C DTAI'!$E$10:$BD$100;14;1)</v>
      </c>
      <c r="T478" s="203" t="s">
        <v>2219</v>
      </c>
      <c r="U478" s="206" t="str">
        <f t="shared" si="46"/>
        <v>=BUSCARV($E478;'C DTAI'!$E$10:$BD$100;14;1)</v>
      </c>
      <c r="V478" s="206"/>
      <c r="W478" s="206" t="e">
        <f>VLOOKUP($F478,#REF!,8,1)</f>
        <v>#REF!</v>
      </c>
      <c r="X478" s="206" t="e">
        <f t="shared" si="49"/>
        <v>#REF!</v>
      </c>
      <c r="Y478" s="206">
        <v>3</v>
      </c>
      <c r="Z478" s="206" t="e">
        <f>VLOOKUP($F478,#REF!,9,1)</f>
        <v>#REF!</v>
      </c>
      <c r="AA478" s="206" t="e">
        <f t="shared" si="43"/>
        <v>#REF!</v>
      </c>
      <c r="AB478" s="206">
        <v>5</v>
      </c>
      <c r="AC478" s="206" t="e">
        <f>VLOOKUP($F478,#REF!,14,1)</f>
        <v>#REF!</v>
      </c>
      <c r="AD478" s="206" t="e">
        <f>VLOOKUP($F478,#REF!,40,0)</f>
        <v>#REF!</v>
      </c>
      <c r="AE478" s="206" t="e">
        <f t="shared" si="50"/>
        <v>#REF!</v>
      </c>
      <c r="AF478" s="206">
        <v>1</v>
      </c>
      <c r="AG478" s="206" t="e">
        <f>VLOOKUP($F478,#REF!,42,0)</f>
        <v>#REF!</v>
      </c>
      <c r="AH478" s="206" t="e">
        <f t="shared" si="51"/>
        <v>#REF!</v>
      </c>
      <c r="AI478" s="206">
        <v>5</v>
      </c>
      <c r="AJ478" s="206" t="e">
        <f>VLOOKUP($F478,#REF!,43,0)</f>
        <v>#REF!</v>
      </c>
    </row>
    <row r="479" spans="2:36" s="102" customFormat="1" ht="33.75">
      <c r="B479" s="97"/>
      <c r="C479" s="119" t="s">
        <v>1933</v>
      </c>
      <c r="D479" t="s">
        <v>2174</v>
      </c>
      <c r="E479" s="123" t="s">
        <v>2260</v>
      </c>
      <c r="F479" s="102" t="s">
        <v>232</v>
      </c>
      <c r="G479" s="97" t="s">
        <v>1929</v>
      </c>
      <c r="Q479" s="206" t="s">
        <v>2161</v>
      </c>
      <c r="R479" s="206">
        <f t="shared" si="47"/>
        <v>479</v>
      </c>
      <c r="S479" s="206" t="str">
        <f t="shared" si="48"/>
        <v>;'C DTAI'!$E$10:$BD$100;14;1)</v>
      </c>
      <c r="T479" s="203" t="s">
        <v>2219</v>
      </c>
      <c r="U479" s="206" t="str">
        <f t="shared" si="46"/>
        <v>=BUSCARV($E479;'C DTAI'!$E$10:$BD$100;14;1)</v>
      </c>
      <c r="V479" s="206"/>
      <c r="W479" s="206" t="e">
        <f>VLOOKUP($F479,#REF!,8,1)</f>
        <v>#REF!</v>
      </c>
      <c r="X479" s="206" t="e">
        <f t="shared" si="49"/>
        <v>#REF!</v>
      </c>
      <c r="Y479" s="206">
        <v>3</v>
      </c>
      <c r="Z479" s="206" t="e">
        <f>VLOOKUP($F479,#REF!,9,1)</f>
        <v>#REF!</v>
      </c>
      <c r="AA479" s="206" t="e">
        <f t="shared" si="43"/>
        <v>#REF!</v>
      </c>
      <c r="AB479" s="206">
        <v>5</v>
      </c>
      <c r="AC479" s="206" t="e">
        <f>VLOOKUP($F479,#REF!,14,1)</f>
        <v>#REF!</v>
      </c>
      <c r="AD479" s="206" t="e">
        <f>VLOOKUP($F479,#REF!,40,0)</f>
        <v>#REF!</v>
      </c>
      <c r="AE479" s="206" t="e">
        <f t="shared" si="50"/>
        <v>#REF!</v>
      </c>
      <c r="AF479" s="206">
        <v>2</v>
      </c>
      <c r="AG479" s="206" t="e">
        <f>VLOOKUP($F479,#REF!,42,0)</f>
        <v>#REF!</v>
      </c>
      <c r="AH479" s="206" t="e">
        <f t="shared" si="51"/>
        <v>#REF!</v>
      </c>
      <c r="AI479" s="206">
        <v>5</v>
      </c>
      <c r="AJ479" s="206" t="e">
        <f>VLOOKUP($F479,#REF!,43,0)</f>
        <v>#REF!</v>
      </c>
    </row>
    <row r="480" spans="2:36" s="102" customFormat="1" ht="33.75">
      <c r="B480" s="97"/>
      <c r="C480" s="118" t="s">
        <v>2255</v>
      </c>
      <c r="D480"/>
      <c r="E480" s="123" t="s">
        <v>2260</v>
      </c>
      <c r="Q480" s="206" t="s">
        <v>2161</v>
      </c>
      <c r="R480" s="206">
        <f t="shared" si="47"/>
        <v>480</v>
      </c>
      <c r="S480" s="206" t="str">
        <f t="shared" si="48"/>
        <v>;''!$E$10:$BD$100;14;1)</v>
      </c>
      <c r="T480" s="203" t="s">
        <v>2218</v>
      </c>
      <c r="U480" s="206" t="str">
        <f t="shared" ref="U480:U488" si="52">CONCATENATE("=BUSCARV($E",R480,T480)</f>
        <v>=BUSCARV($E480;'C DTM'!$E$10:$BD$100;14;1)</v>
      </c>
      <c r="V480" s="206" t="s">
        <v>2259</v>
      </c>
      <c r="W480" s="206" t="e">
        <f>VLOOKUP($F480,#REF!,8,1)</f>
        <v>#REF!</v>
      </c>
      <c r="X480" s="206" t="e">
        <f t="shared" si="49"/>
        <v>#REF!</v>
      </c>
      <c r="Y480" s="206" t="e">
        <v>#N/A</v>
      </c>
      <c r="Z480" s="206" t="e">
        <f>VLOOKUP($F480,#REF!,11,1)</f>
        <v>#REF!</v>
      </c>
      <c r="AA480" s="206" t="e">
        <f t="shared" si="43"/>
        <v>#REF!</v>
      </c>
      <c r="AB480" s="206" t="e">
        <v>#N/A</v>
      </c>
      <c r="AC480" s="206" t="e">
        <f>VLOOKUP($F480,#REF!,13,1)</f>
        <v>#REF!</v>
      </c>
      <c r="AD480" s="206" t="e">
        <f>VLOOKUP($F480,#REF!,41,0)</f>
        <v>#REF!</v>
      </c>
      <c r="AE480" s="206" t="e">
        <f t="shared" si="50"/>
        <v>#REF!</v>
      </c>
      <c r="AF480" s="206" t="e">
        <v>#N/A</v>
      </c>
      <c r="AG480" s="206" t="e">
        <f>VLOOKUP($F480,#REF!,41,0)</f>
        <v>#REF!</v>
      </c>
      <c r="AH480" s="206" t="e">
        <f t="shared" si="51"/>
        <v>#REF!</v>
      </c>
      <c r="AI480" s="206" t="e">
        <v>#N/A</v>
      </c>
      <c r="AJ480" s="206" t="e">
        <f>VLOOKUP($F480,#REF!,41,0)</f>
        <v>#REF!</v>
      </c>
    </row>
    <row r="481" spans="2:36" s="102" customFormat="1" ht="33.75">
      <c r="B481" s="97"/>
      <c r="C481" s="118" t="s">
        <v>2255</v>
      </c>
      <c r="D481"/>
      <c r="E481" s="123" t="s">
        <v>2260</v>
      </c>
      <c r="Q481" s="206" t="s">
        <v>2161</v>
      </c>
      <c r="R481" s="206">
        <f t="shared" si="47"/>
        <v>481</v>
      </c>
      <c r="S481" s="206" t="str">
        <f t="shared" si="48"/>
        <v>;''!$E$10:$BD$100;14;1)</v>
      </c>
      <c r="T481" s="203" t="s">
        <v>2218</v>
      </c>
      <c r="U481" s="206" t="str">
        <f t="shared" si="52"/>
        <v>=BUSCARV($E481;'C DTM'!$E$10:$BD$100;14;1)</v>
      </c>
      <c r="V481" s="206" t="s">
        <v>2259</v>
      </c>
      <c r="W481" s="206" t="e">
        <f>VLOOKUP($F481,#REF!,8,1)</f>
        <v>#REF!</v>
      </c>
      <c r="X481" s="206" t="e">
        <f t="shared" si="49"/>
        <v>#REF!</v>
      </c>
      <c r="Y481" s="206" t="e">
        <v>#N/A</v>
      </c>
      <c r="Z481" s="206" t="e">
        <f>VLOOKUP($F481,#REF!,11,1)</f>
        <v>#REF!</v>
      </c>
      <c r="AA481" s="206" t="e">
        <f t="shared" si="43"/>
        <v>#REF!</v>
      </c>
      <c r="AB481" s="206" t="e">
        <v>#N/A</v>
      </c>
      <c r="AC481" s="206" t="e">
        <f>VLOOKUP($F481,#REF!,13,1)</f>
        <v>#REF!</v>
      </c>
      <c r="AD481" s="206" t="e">
        <f>VLOOKUP($F481,#REF!,41,0)</f>
        <v>#REF!</v>
      </c>
      <c r="AE481" s="206" t="e">
        <f t="shared" si="50"/>
        <v>#REF!</v>
      </c>
      <c r="AF481" s="206" t="e">
        <v>#N/A</v>
      </c>
      <c r="AG481" s="206" t="e">
        <f>VLOOKUP($F481,#REF!,41,0)</f>
        <v>#REF!</v>
      </c>
      <c r="AH481" s="206" t="e">
        <f t="shared" si="51"/>
        <v>#REF!</v>
      </c>
      <c r="AI481" s="206" t="e">
        <v>#N/A</v>
      </c>
      <c r="AJ481" s="206" t="e">
        <f>VLOOKUP($F481,#REF!,41,0)</f>
        <v>#REF!</v>
      </c>
    </row>
    <row r="482" spans="2:36" s="102" customFormat="1" ht="33.75">
      <c r="B482" s="97"/>
      <c r="C482" s="118" t="s">
        <v>2255</v>
      </c>
      <c r="D482"/>
      <c r="E482" s="123" t="s">
        <v>2260</v>
      </c>
      <c r="Q482" s="206" t="s">
        <v>2161</v>
      </c>
      <c r="R482" s="206">
        <f t="shared" si="47"/>
        <v>482</v>
      </c>
      <c r="S482" s="206" t="str">
        <f t="shared" si="48"/>
        <v>;''!$E$10:$BD$100;14;1)</v>
      </c>
      <c r="T482" s="203" t="s">
        <v>2218</v>
      </c>
      <c r="U482" s="206" t="str">
        <f t="shared" si="52"/>
        <v>=BUSCARV($E482;'C DTM'!$E$10:$BD$100;14;1)</v>
      </c>
      <c r="V482" s="206" t="s">
        <v>2259</v>
      </c>
      <c r="W482" s="206" t="e">
        <f>VLOOKUP($F482,#REF!,8,1)</f>
        <v>#REF!</v>
      </c>
      <c r="X482" s="206" t="e">
        <f t="shared" si="49"/>
        <v>#REF!</v>
      </c>
      <c r="Y482" s="206" t="e">
        <v>#N/A</v>
      </c>
      <c r="Z482" s="206" t="e">
        <f>VLOOKUP($F482,#REF!,11,1)</f>
        <v>#REF!</v>
      </c>
      <c r="AA482" s="206" t="e">
        <f t="shared" si="43"/>
        <v>#REF!</v>
      </c>
      <c r="AB482" s="206" t="e">
        <v>#N/A</v>
      </c>
      <c r="AC482" s="206" t="e">
        <f>VLOOKUP($F482,#REF!,13,1)</f>
        <v>#REF!</v>
      </c>
      <c r="AD482" s="206" t="e">
        <f>VLOOKUP($F482,#REF!,41,0)</f>
        <v>#REF!</v>
      </c>
      <c r="AE482" s="206" t="e">
        <f t="shared" si="50"/>
        <v>#REF!</v>
      </c>
      <c r="AF482" s="206" t="e">
        <v>#N/A</v>
      </c>
      <c r="AG482" s="206" t="e">
        <f>VLOOKUP($F482,#REF!,41,0)</f>
        <v>#REF!</v>
      </c>
      <c r="AH482" s="206" t="e">
        <f t="shared" si="51"/>
        <v>#REF!</v>
      </c>
      <c r="AI482" s="206" t="e">
        <v>#N/A</v>
      </c>
      <c r="AJ482" s="206" t="e">
        <f>VLOOKUP($F482,#REF!,41,0)</f>
        <v>#REF!</v>
      </c>
    </row>
    <row r="483" spans="2:36" s="102" customFormat="1" ht="33.75">
      <c r="B483" s="97"/>
      <c r="C483" s="118" t="s">
        <v>2255</v>
      </c>
      <c r="D483"/>
      <c r="E483" s="123" t="s">
        <v>2260</v>
      </c>
      <c r="Q483" s="206" t="s">
        <v>2161</v>
      </c>
      <c r="R483" s="206">
        <f t="shared" si="47"/>
        <v>483</v>
      </c>
      <c r="S483" s="206" t="str">
        <f t="shared" si="48"/>
        <v>;''!$E$10:$BD$100;14;1)</v>
      </c>
      <c r="T483" s="203" t="s">
        <v>2218</v>
      </c>
      <c r="U483" s="206" t="str">
        <f t="shared" si="52"/>
        <v>=BUSCARV($E483;'C DTM'!$E$10:$BD$100;14;1)</v>
      </c>
      <c r="V483" s="206" t="s">
        <v>2259</v>
      </c>
      <c r="W483" s="206" t="e">
        <f>VLOOKUP($F483,#REF!,8,1)</f>
        <v>#REF!</v>
      </c>
      <c r="X483" s="206" t="e">
        <f t="shared" si="49"/>
        <v>#REF!</v>
      </c>
      <c r="Y483" s="206" t="e">
        <v>#N/A</v>
      </c>
      <c r="Z483" s="206" t="e">
        <f>VLOOKUP($F483,#REF!,11,1)</f>
        <v>#REF!</v>
      </c>
      <c r="AA483" s="206" t="e">
        <f t="shared" si="43"/>
        <v>#REF!</v>
      </c>
      <c r="AB483" s="206" t="e">
        <v>#N/A</v>
      </c>
      <c r="AC483" s="206" t="e">
        <f>VLOOKUP($F483,#REF!,13,1)</f>
        <v>#REF!</v>
      </c>
      <c r="AD483" s="206" t="e">
        <f>VLOOKUP($F483,#REF!,41,0)</f>
        <v>#REF!</v>
      </c>
      <c r="AE483" s="206" t="e">
        <f t="shared" si="50"/>
        <v>#REF!</v>
      </c>
      <c r="AF483" s="206" t="e">
        <v>#N/A</v>
      </c>
      <c r="AG483" s="206" t="e">
        <f>VLOOKUP($F483,#REF!,41,0)</f>
        <v>#REF!</v>
      </c>
      <c r="AH483" s="206" t="e">
        <f t="shared" si="51"/>
        <v>#REF!</v>
      </c>
      <c r="AI483" s="206" t="e">
        <v>#N/A</v>
      </c>
      <c r="AJ483" s="206" t="e">
        <f>VLOOKUP($F483,#REF!,41,0)</f>
        <v>#REF!</v>
      </c>
    </row>
    <row r="484" spans="2:36" s="102" customFormat="1" ht="33.75">
      <c r="B484" s="97"/>
      <c r="C484" s="118" t="s">
        <v>2255</v>
      </c>
      <c r="D484"/>
      <c r="E484" s="123" t="s">
        <v>2260</v>
      </c>
      <c r="Q484" s="206" t="s">
        <v>2161</v>
      </c>
      <c r="R484" s="206">
        <f t="shared" si="47"/>
        <v>484</v>
      </c>
      <c r="S484" s="206" t="str">
        <f t="shared" si="48"/>
        <v>;''!$E$10:$BD$100;14;1)</v>
      </c>
      <c r="T484" s="203" t="s">
        <v>2218</v>
      </c>
      <c r="U484" s="206" t="str">
        <f t="shared" si="52"/>
        <v>=BUSCARV($E484;'C DTM'!$E$10:$BD$100;14;1)</v>
      </c>
      <c r="V484" s="206" t="s">
        <v>2259</v>
      </c>
      <c r="W484" s="206" t="e">
        <f>VLOOKUP($F484,#REF!,8,1)</f>
        <v>#REF!</v>
      </c>
      <c r="X484" s="206" t="e">
        <f t="shared" si="49"/>
        <v>#REF!</v>
      </c>
      <c r="Y484" s="206" t="e">
        <v>#N/A</v>
      </c>
      <c r="Z484" s="206" t="e">
        <f>VLOOKUP($F484,#REF!,11,1)</f>
        <v>#REF!</v>
      </c>
      <c r="AA484" s="206" t="e">
        <f t="shared" si="43"/>
        <v>#REF!</v>
      </c>
      <c r="AB484" s="206" t="e">
        <v>#N/A</v>
      </c>
      <c r="AC484" s="206" t="e">
        <f>VLOOKUP($F484,#REF!,13,1)</f>
        <v>#REF!</v>
      </c>
      <c r="AD484" s="206" t="e">
        <f>VLOOKUP($F484,#REF!,41,0)</f>
        <v>#REF!</v>
      </c>
      <c r="AE484" s="206" t="e">
        <f t="shared" si="50"/>
        <v>#REF!</v>
      </c>
      <c r="AF484" s="206" t="e">
        <v>#N/A</v>
      </c>
      <c r="AG484" s="206" t="e">
        <f>VLOOKUP($F484,#REF!,41,0)</f>
        <v>#REF!</v>
      </c>
      <c r="AH484" s="206" t="e">
        <f t="shared" si="51"/>
        <v>#REF!</v>
      </c>
      <c r="AI484" s="206" t="e">
        <v>#N/A</v>
      </c>
      <c r="AJ484" s="206" t="e">
        <f>VLOOKUP($F484,#REF!,41,0)</f>
        <v>#REF!</v>
      </c>
    </row>
    <row r="485" spans="2:36" s="102" customFormat="1" ht="33.75">
      <c r="B485" s="97"/>
      <c r="C485" s="118" t="s">
        <v>2255</v>
      </c>
      <c r="D485"/>
      <c r="E485" s="123" t="s">
        <v>2260</v>
      </c>
      <c r="Q485" s="206" t="s">
        <v>2161</v>
      </c>
      <c r="R485" s="206">
        <f t="shared" si="47"/>
        <v>485</v>
      </c>
      <c r="S485" s="206" t="str">
        <f t="shared" si="48"/>
        <v>;''!$E$10:$BD$100;14;1)</v>
      </c>
      <c r="T485" s="203" t="s">
        <v>2218</v>
      </c>
      <c r="U485" s="206" t="str">
        <f t="shared" si="52"/>
        <v>=BUSCARV($E485;'C DTM'!$E$10:$BD$100;14;1)</v>
      </c>
      <c r="V485" s="206" t="s">
        <v>2259</v>
      </c>
      <c r="W485" s="206" t="e">
        <f>VLOOKUP($F485,#REF!,8,1)</f>
        <v>#REF!</v>
      </c>
      <c r="X485" s="206" t="e">
        <f t="shared" si="49"/>
        <v>#REF!</v>
      </c>
      <c r="Y485" s="206" t="e">
        <v>#N/A</v>
      </c>
      <c r="Z485" s="206" t="e">
        <f>VLOOKUP($F485,#REF!,11,1)</f>
        <v>#REF!</v>
      </c>
      <c r="AA485" s="206" t="e">
        <f t="shared" si="43"/>
        <v>#REF!</v>
      </c>
      <c r="AB485" s="206" t="e">
        <v>#N/A</v>
      </c>
      <c r="AC485" s="206" t="e">
        <f>VLOOKUP($F485,#REF!,13,1)</f>
        <v>#REF!</v>
      </c>
      <c r="AD485" s="206" t="e">
        <f>VLOOKUP($F485,#REF!,41,0)</f>
        <v>#REF!</v>
      </c>
      <c r="AE485" s="206" t="e">
        <f t="shared" si="50"/>
        <v>#REF!</v>
      </c>
      <c r="AF485" s="206" t="e">
        <v>#N/A</v>
      </c>
      <c r="AG485" s="206" t="e">
        <f>VLOOKUP($F485,#REF!,41,0)</f>
        <v>#REF!</v>
      </c>
      <c r="AH485" s="206" t="e">
        <f t="shared" si="51"/>
        <v>#REF!</v>
      </c>
      <c r="AI485" s="206" t="e">
        <v>#N/A</v>
      </c>
      <c r="AJ485" s="206" t="e">
        <f>VLOOKUP($F485,#REF!,41,0)</f>
        <v>#REF!</v>
      </c>
    </row>
    <row r="486" spans="2:36" s="102" customFormat="1" ht="33.75">
      <c r="B486" s="97"/>
      <c r="C486" s="118" t="s">
        <v>2255</v>
      </c>
      <c r="D486"/>
      <c r="E486" s="123" t="s">
        <v>2260</v>
      </c>
      <c r="Q486" s="206" t="s">
        <v>2161</v>
      </c>
      <c r="R486" s="206">
        <f t="shared" si="47"/>
        <v>486</v>
      </c>
      <c r="S486" s="206" t="str">
        <f t="shared" si="48"/>
        <v>;''!$E$10:$BD$100;14;1)</v>
      </c>
      <c r="T486" s="203" t="s">
        <v>2218</v>
      </c>
      <c r="U486" s="206" t="str">
        <f t="shared" si="52"/>
        <v>=BUSCARV($E486;'C DTM'!$E$10:$BD$100;14;1)</v>
      </c>
      <c r="V486" s="206" t="s">
        <v>2259</v>
      </c>
      <c r="W486" s="206" t="e">
        <f>VLOOKUP($F486,#REF!,8,1)</f>
        <v>#REF!</v>
      </c>
      <c r="X486" s="206" t="e">
        <f t="shared" si="49"/>
        <v>#REF!</v>
      </c>
      <c r="Y486" s="206" t="e">
        <v>#N/A</v>
      </c>
      <c r="Z486" s="206" t="e">
        <f>VLOOKUP($F486,#REF!,11,1)</f>
        <v>#REF!</v>
      </c>
      <c r="AA486" s="206" t="e">
        <f t="shared" si="43"/>
        <v>#REF!</v>
      </c>
      <c r="AB486" s="206" t="e">
        <v>#N/A</v>
      </c>
      <c r="AC486" s="206" t="e">
        <f>VLOOKUP($F486,#REF!,13,1)</f>
        <v>#REF!</v>
      </c>
      <c r="AD486" s="206" t="e">
        <f>VLOOKUP($F486,#REF!,41,0)</f>
        <v>#REF!</v>
      </c>
      <c r="AE486" s="206" t="e">
        <f t="shared" si="50"/>
        <v>#REF!</v>
      </c>
      <c r="AF486" s="206" t="e">
        <v>#N/A</v>
      </c>
      <c r="AG486" s="206" t="e">
        <f>VLOOKUP($F486,#REF!,41,0)</f>
        <v>#REF!</v>
      </c>
      <c r="AH486" s="206" t="e">
        <f t="shared" si="51"/>
        <v>#REF!</v>
      </c>
      <c r="AI486" s="206" t="e">
        <v>#N/A</v>
      </c>
      <c r="AJ486" s="206" t="e">
        <f>VLOOKUP($F486,#REF!,41,0)</f>
        <v>#REF!</v>
      </c>
    </row>
    <row r="487" spans="2:36" s="102" customFormat="1" ht="33.75">
      <c r="B487" s="97"/>
      <c r="C487" s="118" t="s">
        <v>2255</v>
      </c>
      <c r="D487"/>
      <c r="E487" s="123" t="s">
        <v>2260</v>
      </c>
      <c r="Q487" s="206" t="s">
        <v>2161</v>
      </c>
      <c r="R487" s="206">
        <f t="shared" si="47"/>
        <v>487</v>
      </c>
      <c r="S487" s="206" t="str">
        <f t="shared" si="48"/>
        <v>;''!$E$10:$BD$100;14;1)</v>
      </c>
      <c r="T487" s="203" t="s">
        <v>2218</v>
      </c>
      <c r="U487" s="206" t="str">
        <f t="shared" si="52"/>
        <v>=BUSCARV($E487;'C DTM'!$E$10:$BD$100;14;1)</v>
      </c>
      <c r="V487" s="206" t="s">
        <v>2259</v>
      </c>
      <c r="W487" s="206" t="e">
        <f>VLOOKUP($F487,#REF!,8,1)</f>
        <v>#REF!</v>
      </c>
      <c r="X487" s="206" t="e">
        <f t="shared" si="49"/>
        <v>#REF!</v>
      </c>
      <c r="Y487" s="206" t="e">
        <v>#N/A</v>
      </c>
      <c r="Z487" s="206" t="e">
        <f>VLOOKUP($F487,#REF!,11,1)</f>
        <v>#REF!</v>
      </c>
      <c r="AA487" s="206" t="e">
        <f t="shared" si="43"/>
        <v>#REF!</v>
      </c>
      <c r="AB487" s="206" t="e">
        <v>#N/A</v>
      </c>
      <c r="AC487" s="206" t="e">
        <f>VLOOKUP($F487,#REF!,13,1)</f>
        <v>#REF!</v>
      </c>
      <c r="AD487" s="206" t="e">
        <f>VLOOKUP($F487,#REF!,41,0)</f>
        <v>#REF!</v>
      </c>
      <c r="AE487" s="206" t="e">
        <f t="shared" si="50"/>
        <v>#REF!</v>
      </c>
      <c r="AF487" s="206" t="e">
        <v>#N/A</v>
      </c>
      <c r="AG487" s="206" t="e">
        <f>VLOOKUP($F487,#REF!,41,0)</f>
        <v>#REF!</v>
      </c>
      <c r="AH487" s="206" t="e">
        <f t="shared" si="51"/>
        <v>#REF!</v>
      </c>
      <c r="AI487" s="206" t="e">
        <v>#N/A</v>
      </c>
      <c r="AJ487" s="206" t="e">
        <f>VLOOKUP($F487,#REF!,41,0)</f>
        <v>#REF!</v>
      </c>
    </row>
    <row r="488" spans="2:36" s="102" customFormat="1" ht="33.75">
      <c r="B488" s="97"/>
      <c r="C488" s="118" t="s">
        <v>2255</v>
      </c>
      <c r="D488"/>
      <c r="E488" s="123" t="s">
        <v>2260</v>
      </c>
      <c r="Q488" s="206" t="s">
        <v>2161</v>
      </c>
      <c r="R488" s="206">
        <f t="shared" si="47"/>
        <v>488</v>
      </c>
      <c r="S488" s="206" t="str">
        <f t="shared" si="48"/>
        <v>;''!$E$10:$BD$100;14;1)</v>
      </c>
      <c r="T488" s="203" t="s">
        <v>2218</v>
      </c>
      <c r="U488" s="206" t="str">
        <f t="shared" si="52"/>
        <v>=BUSCARV($E488;'C DTM'!$E$10:$BD$100;14;1)</v>
      </c>
      <c r="V488" s="206" t="s">
        <v>2259</v>
      </c>
      <c r="W488" s="206" t="e">
        <f>VLOOKUP($F488,#REF!,8,1)</f>
        <v>#REF!</v>
      </c>
      <c r="X488" s="206" t="e">
        <f t="shared" si="49"/>
        <v>#REF!</v>
      </c>
      <c r="Y488" s="206" t="e">
        <v>#N/A</v>
      </c>
      <c r="Z488" s="206" t="e">
        <f>VLOOKUP($F488,#REF!,11,1)</f>
        <v>#REF!</v>
      </c>
      <c r="AA488" s="206" t="e">
        <f t="shared" si="43"/>
        <v>#REF!</v>
      </c>
      <c r="AB488" s="206" t="e">
        <v>#N/A</v>
      </c>
      <c r="AC488" s="206" t="e">
        <f>VLOOKUP($F488,#REF!,13,1)</f>
        <v>#REF!</v>
      </c>
      <c r="AD488" s="206" t="e">
        <f>VLOOKUP($F488,#REF!,41,0)</f>
        <v>#REF!</v>
      </c>
      <c r="AE488" s="206" t="e">
        <f t="shared" si="50"/>
        <v>#REF!</v>
      </c>
      <c r="AF488" s="206" t="e">
        <v>#N/A</v>
      </c>
      <c r="AG488" s="206" t="e">
        <f>VLOOKUP($F488,#REF!,41,0)</f>
        <v>#REF!</v>
      </c>
      <c r="AH488" s="206" t="e">
        <f t="shared" si="51"/>
        <v>#REF!</v>
      </c>
      <c r="AI488" s="206" t="e">
        <v>#N/A</v>
      </c>
      <c r="AJ488" s="206" t="e">
        <f>VLOOKUP($F488,#REF!,41,0)</f>
        <v>#REF!</v>
      </c>
    </row>
    <row r="489" spans="2:36" s="102" customFormat="1" ht="22.5">
      <c r="B489" s="97"/>
      <c r="C489" s="117" t="s">
        <v>1921</v>
      </c>
      <c r="D489" t="s">
        <v>2175</v>
      </c>
      <c r="E489" s="123" t="s">
        <v>2260</v>
      </c>
      <c r="F489" s="102" t="s">
        <v>328</v>
      </c>
      <c r="G489" s="97" t="s">
        <v>1929</v>
      </c>
      <c r="Q489" s="206" t="s">
        <v>2161</v>
      </c>
      <c r="R489" s="206">
        <f t="shared" si="47"/>
        <v>489</v>
      </c>
      <c r="S489" s="206" t="str">
        <f t="shared" si="48"/>
        <v>;'C CONTRACTUAL'!$E$10:$BD$100;14;1)</v>
      </c>
      <c r="T489" s="203" t="s">
        <v>2220</v>
      </c>
      <c r="U489" s="206" t="str">
        <f t="shared" si="26"/>
        <v>=BUSCARV($E489;'C CONTRACTUAL'!$E$10:$BD$100;14;1)</v>
      </c>
      <c r="V489" s="206"/>
      <c r="W489" s="206" t="e">
        <f>VLOOKUP($F489,#REF!,8,1)</f>
        <v>#REF!</v>
      </c>
      <c r="X489" s="206" t="e">
        <f t="shared" si="49"/>
        <v>#REF!</v>
      </c>
      <c r="Y489" s="206">
        <v>1</v>
      </c>
      <c r="Z489" s="206" t="e">
        <f>VLOOKUP($F489,#REF!,9,1)</f>
        <v>#REF!</v>
      </c>
      <c r="AA489" s="206" t="e">
        <f t="shared" si="43"/>
        <v>#REF!</v>
      </c>
      <c r="AB489" s="206">
        <v>10</v>
      </c>
      <c r="AC489" s="206" t="e">
        <f>VLOOKUP($F489,#REF!,14,1)</f>
        <v>#REF!</v>
      </c>
      <c r="AD489" s="206" t="e">
        <f>VLOOKUP($F489,#REF!,40,0)</f>
        <v>#REF!</v>
      </c>
      <c r="AE489" s="206" t="e">
        <f t="shared" si="50"/>
        <v>#REF!</v>
      </c>
      <c r="AF489" s="206">
        <v>1</v>
      </c>
      <c r="AG489" s="206" t="e">
        <f>VLOOKUP($F489,#REF!,42,0)</f>
        <v>#REF!</v>
      </c>
      <c r="AH489" s="206" t="e">
        <f t="shared" si="51"/>
        <v>#REF!</v>
      </c>
      <c r="AI489" s="206">
        <v>10</v>
      </c>
      <c r="AJ489" s="206" t="e">
        <f>VLOOKUP($F489,#REF!,43,0)</f>
        <v>#REF!</v>
      </c>
    </row>
    <row r="490" spans="2:36" s="102" customFormat="1" ht="22.5">
      <c r="B490" s="97"/>
      <c r="C490" s="117" t="s">
        <v>1921</v>
      </c>
      <c r="D490" t="s">
        <v>2175</v>
      </c>
      <c r="E490" s="123" t="s">
        <v>2260</v>
      </c>
      <c r="Q490" s="206" t="s">
        <v>2161</v>
      </c>
      <c r="R490" s="206">
        <f t="shared" si="47"/>
        <v>490</v>
      </c>
      <c r="S490" s="206" t="str">
        <f t="shared" si="48"/>
        <v>;'C CONTRACTUAL'!$E$10:$BD$100;14;1)</v>
      </c>
      <c r="T490" s="203" t="s">
        <v>2220</v>
      </c>
      <c r="U490" s="206" t="str">
        <f t="shared" ref="U490:U503" si="53">CONCATENATE("=BUSCARV($E",R490,T490)</f>
        <v>=BUSCARV($E490;'C CONTRACTUAL'!$E$10:$BD$100;14;1)</v>
      </c>
      <c r="V490" s="206"/>
      <c r="W490" s="206" t="e">
        <f>VLOOKUP($F490,#REF!,8,1)</f>
        <v>#REF!</v>
      </c>
      <c r="X490" s="206" t="e">
        <f t="shared" si="49"/>
        <v>#REF!</v>
      </c>
      <c r="Y490" s="206" t="e">
        <v>#N/A</v>
      </c>
      <c r="Z490" s="206" t="e">
        <f>VLOOKUP($F490,#REF!,9,1)</f>
        <v>#REF!</v>
      </c>
      <c r="AA490" s="206" t="e">
        <f t="shared" ref="AA490:AA553" si="54">IF(Z490="Catastrófico",20,IF(Z490="Mayor",10,5))</f>
        <v>#REF!</v>
      </c>
      <c r="AB490" s="206" t="e">
        <v>#N/A</v>
      </c>
      <c r="AC490" s="206" t="e">
        <f>VLOOKUP($F490,#REF!,14,1)</f>
        <v>#REF!</v>
      </c>
      <c r="AD490" s="206" t="e">
        <f>VLOOKUP($F490,#REF!,40,0)</f>
        <v>#REF!</v>
      </c>
      <c r="AE490" s="206" t="e">
        <f t="shared" si="50"/>
        <v>#REF!</v>
      </c>
      <c r="AF490" s="206" t="e">
        <v>#N/A</v>
      </c>
      <c r="AG490" s="206" t="e">
        <f>VLOOKUP($F490,#REF!,42,0)</f>
        <v>#REF!</v>
      </c>
      <c r="AH490" s="206" t="e">
        <f t="shared" si="51"/>
        <v>#REF!</v>
      </c>
      <c r="AI490" s="206" t="e">
        <v>#N/A</v>
      </c>
      <c r="AJ490" s="206" t="e">
        <f>VLOOKUP($F490,#REF!,43,0)</f>
        <v>#REF!</v>
      </c>
    </row>
    <row r="491" spans="2:36" s="102" customFormat="1" ht="22.5">
      <c r="B491" s="97"/>
      <c r="C491" s="117" t="s">
        <v>1921</v>
      </c>
      <c r="D491" t="s">
        <v>2175</v>
      </c>
      <c r="E491" s="123" t="s">
        <v>2260</v>
      </c>
      <c r="F491" s="102" t="s">
        <v>329</v>
      </c>
      <c r="G491" s="97" t="s">
        <v>1929</v>
      </c>
      <c r="Q491" s="206" t="s">
        <v>2161</v>
      </c>
      <c r="R491" s="206">
        <f t="shared" si="47"/>
        <v>491</v>
      </c>
      <c r="S491" s="206" t="str">
        <f t="shared" si="48"/>
        <v>;'C CONTRACTUAL'!$E$10:$BD$100;14;1)</v>
      </c>
      <c r="T491" s="203" t="s">
        <v>2220</v>
      </c>
      <c r="U491" s="206" t="str">
        <f t="shared" si="53"/>
        <v>=BUSCARV($E491;'C CONTRACTUAL'!$E$10:$BD$100;14;1)</v>
      </c>
      <c r="V491" s="206"/>
      <c r="W491" s="206" t="e">
        <f>VLOOKUP($F491,#REF!,8,1)</f>
        <v>#REF!</v>
      </c>
      <c r="X491" s="206" t="e">
        <f t="shared" si="49"/>
        <v>#REF!</v>
      </c>
      <c r="Y491" s="206">
        <v>1</v>
      </c>
      <c r="Z491" s="206" t="e">
        <f>VLOOKUP($F491,#REF!,9,1)</f>
        <v>#REF!</v>
      </c>
      <c r="AA491" s="206" t="e">
        <f t="shared" si="54"/>
        <v>#REF!</v>
      </c>
      <c r="AB491" s="206">
        <v>10</v>
      </c>
      <c r="AC491" s="206" t="e">
        <f>VLOOKUP($F491,#REF!,14,1)</f>
        <v>#REF!</v>
      </c>
      <c r="AD491" s="206" t="e">
        <f>VLOOKUP($F491,#REF!,40,0)</f>
        <v>#REF!</v>
      </c>
      <c r="AE491" s="206" t="e">
        <f t="shared" si="50"/>
        <v>#REF!</v>
      </c>
      <c r="AF491" s="206">
        <v>1</v>
      </c>
      <c r="AG491" s="206" t="e">
        <f>VLOOKUP($F491,#REF!,42,0)</f>
        <v>#REF!</v>
      </c>
      <c r="AH491" s="206" t="e">
        <f t="shared" si="51"/>
        <v>#REF!</v>
      </c>
      <c r="AI491" s="206">
        <v>10</v>
      </c>
      <c r="AJ491" s="206" t="e">
        <f>VLOOKUP($F491,#REF!,43,0)</f>
        <v>#REF!</v>
      </c>
    </row>
    <row r="492" spans="2:36" s="102" customFormat="1" ht="22.5">
      <c r="B492" s="97"/>
      <c r="C492" s="117" t="s">
        <v>1921</v>
      </c>
      <c r="D492" t="s">
        <v>2175</v>
      </c>
      <c r="E492" s="123" t="s">
        <v>2260</v>
      </c>
      <c r="F492" s="102" t="s">
        <v>330</v>
      </c>
      <c r="G492" s="97" t="s">
        <v>1929</v>
      </c>
      <c r="Q492" s="206" t="s">
        <v>2161</v>
      </c>
      <c r="R492" s="206">
        <f t="shared" si="47"/>
        <v>492</v>
      </c>
      <c r="S492" s="206" t="str">
        <f t="shared" si="48"/>
        <v>;'C CONTRACTUAL'!$E$10:$BD$100;14;1)</v>
      </c>
      <c r="T492" s="203" t="s">
        <v>2220</v>
      </c>
      <c r="U492" s="206" t="str">
        <f t="shared" si="53"/>
        <v>=BUSCARV($E492;'C CONTRACTUAL'!$E$10:$BD$100;14;1)</v>
      </c>
      <c r="V492" s="206"/>
      <c r="W492" s="206" t="e">
        <f>VLOOKUP($F492,#REF!,8,1)</f>
        <v>#REF!</v>
      </c>
      <c r="X492" s="206" t="e">
        <f t="shared" si="49"/>
        <v>#REF!</v>
      </c>
      <c r="Y492" s="206">
        <v>2</v>
      </c>
      <c r="Z492" s="206" t="e">
        <f>VLOOKUP($F492,#REF!,9,1)</f>
        <v>#REF!</v>
      </c>
      <c r="AA492" s="206" t="e">
        <f t="shared" si="54"/>
        <v>#REF!</v>
      </c>
      <c r="AB492" s="206">
        <v>10</v>
      </c>
      <c r="AC492" s="206" t="e">
        <f>VLOOKUP($F492,#REF!,14,1)</f>
        <v>#REF!</v>
      </c>
      <c r="AD492" s="206" t="e">
        <f>VLOOKUP($F492,#REF!,40,0)</f>
        <v>#REF!</v>
      </c>
      <c r="AE492" s="206" t="e">
        <f t="shared" si="50"/>
        <v>#REF!</v>
      </c>
      <c r="AF492" s="206">
        <v>1</v>
      </c>
      <c r="AG492" s="206" t="e">
        <f>VLOOKUP($F492,#REF!,42,0)</f>
        <v>#REF!</v>
      </c>
      <c r="AH492" s="206" t="e">
        <f t="shared" si="51"/>
        <v>#REF!</v>
      </c>
      <c r="AI492" s="206">
        <v>5</v>
      </c>
      <c r="AJ492" s="206" t="e">
        <f>VLOOKUP($F492,#REF!,43,0)</f>
        <v>#REF!</v>
      </c>
    </row>
    <row r="493" spans="2:36" s="102" customFormat="1" ht="22.5">
      <c r="B493" s="97"/>
      <c r="C493" s="117" t="s">
        <v>1921</v>
      </c>
      <c r="D493" t="s">
        <v>2175</v>
      </c>
      <c r="E493" s="123" t="s">
        <v>2260</v>
      </c>
      <c r="F493" s="102" t="s">
        <v>233</v>
      </c>
      <c r="G493" s="97" t="s">
        <v>1929</v>
      </c>
      <c r="Q493" s="206" t="s">
        <v>2161</v>
      </c>
      <c r="R493" s="206">
        <f t="shared" si="47"/>
        <v>493</v>
      </c>
      <c r="S493" s="206" t="str">
        <f t="shared" si="48"/>
        <v>;'C CONTRACTUAL'!$E$10:$BD$100;14;1)</v>
      </c>
      <c r="T493" s="203" t="s">
        <v>2220</v>
      </c>
      <c r="U493" s="206" t="str">
        <f t="shared" si="53"/>
        <v>=BUSCARV($E493;'C CONTRACTUAL'!$E$10:$BD$100;14;1)</v>
      </c>
      <c r="V493" s="206"/>
      <c r="W493" s="206" t="e">
        <f>VLOOKUP($F493,#REF!,8,1)</f>
        <v>#REF!</v>
      </c>
      <c r="X493" s="206" t="e">
        <f t="shared" si="49"/>
        <v>#REF!</v>
      </c>
      <c r="Y493" s="206">
        <v>1</v>
      </c>
      <c r="Z493" s="206" t="e">
        <f>VLOOKUP($F493,#REF!,9,1)</f>
        <v>#REF!</v>
      </c>
      <c r="AA493" s="206" t="e">
        <f t="shared" si="54"/>
        <v>#REF!</v>
      </c>
      <c r="AB493" s="206">
        <v>20</v>
      </c>
      <c r="AC493" s="206" t="e">
        <f>VLOOKUP($F493,#REF!,14,1)</f>
        <v>#REF!</v>
      </c>
      <c r="AD493" s="206" t="e">
        <f>VLOOKUP($F493,#REF!,40,0)</f>
        <v>#REF!</v>
      </c>
      <c r="AE493" s="206" t="e">
        <f t="shared" si="50"/>
        <v>#REF!</v>
      </c>
      <c r="AF493" s="206">
        <v>1</v>
      </c>
      <c r="AG493" s="206" t="e">
        <f>VLOOKUP($F493,#REF!,42,0)</f>
        <v>#REF!</v>
      </c>
      <c r="AH493" s="206" t="e">
        <f t="shared" si="51"/>
        <v>#REF!</v>
      </c>
      <c r="AI493" s="206">
        <v>20</v>
      </c>
      <c r="AJ493" s="206" t="e">
        <f>VLOOKUP($F493,#REF!,43,0)</f>
        <v>#REF!</v>
      </c>
    </row>
    <row r="494" spans="2:36" s="102" customFormat="1" ht="22.5">
      <c r="B494" s="97"/>
      <c r="C494" s="117" t="s">
        <v>1921</v>
      </c>
      <c r="D494" t="s">
        <v>2175</v>
      </c>
      <c r="E494" s="123" t="s">
        <v>2260</v>
      </c>
      <c r="F494" s="102" t="s">
        <v>234</v>
      </c>
      <c r="G494" s="97" t="s">
        <v>1929</v>
      </c>
      <c r="Q494" s="206" t="s">
        <v>2161</v>
      </c>
      <c r="R494" s="206">
        <f t="shared" si="47"/>
        <v>494</v>
      </c>
      <c r="S494" s="206" t="str">
        <f t="shared" si="48"/>
        <v>;'C CONTRACTUAL'!$E$10:$BD$100;14;1)</v>
      </c>
      <c r="T494" s="203" t="s">
        <v>2220</v>
      </c>
      <c r="U494" s="206" t="str">
        <f t="shared" si="53"/>
        <v>=BUSCARV($E494;'C CONTRACTUAL'!$E$10:$BD$100;14;1)</v>
      </c>
      <c r="V494" s="206"/>
      <c r="W494" s="206" t="e">
        <f>VLOOKUP($F494,#REF!,8,1)</f>
        <v>#REF!</v>
      </c>
      <c r="X494" s="206" t="e">
        <f t="shared" si="49"/>
        <v>#REF!</v>
      </c>
      <c r="Y494" s="206">
        <v>2</v>
      </c>
      <c r="Z494" s="206" t="e">
        <f>VLOOKUP($F494,#REF!,9,1)</f>
        <v>#REF!</v>
      </c>
      <c r="AA494" s="206" t="e">
        <f t="shared" si="54"/>
        <v>#REF!</v>
      </c>
      <c r="AB494" s="206">
        <v>10</v>
      </c>
      <c r="AC494" s="206" t="e">
        <f>VLOOKUP($F494,#REF!,14,1)</f>
        <v>#REF!</v>
      </c>
      <c r="AD494" s="206" t="e">
        <f>VLOOKUP($F494,#REF!,40,0)</f>
        <v>#REF!</v>
      </c>
      <c r="AE494" s="206" t="e">
        <f t="shared" si="50"/>
        <v>#REF!</v>
      </c>
      <c r="AF494" s="206">
        <v>1</v>
      </c>
      <c r="AG494" s="206" t="e">
        <f>VLOOKUP($F494,#REF!,42,0)</f>
        <v>#REF!</v>
      </c>
      <c r="AH494" s="206" t="e">
        <f t="shared" si="51"/>
        <v>#REF!</v>
      </c>
      <c r="AI494" s="206">
        <v>10</v>
      </c>
      <c r="AJ494" s="206" t="e">
        <f>VLOOKUP($F494,#REF!,43,0)</f>
        <v>#REF!</v>
      </c>
    </row>
    <row r="495" spans="2:36" s="102" customFormat="1" ht="22.5">
      <c r="B495" s="97"/>
      <c r="C495" s="117" t="s">
        <v>1921</v>
      </c>
      <c r="D495" t="s">
        <v>2175</v>
      </c>
      <c r="E495" s="123" t="s">
        <v>2260</v>
      </c>
      <c r="F495" s="102" t="s">
        <v>235</v>
      </c>
      <c r="G495" s="97" t="s">
        <v>1929</v>
      </c>
      <c r="Q495" s="206" t="s">
        <v>2161</v>
      </c>
      <c r="R495" s="206">
        <f t="shared" si="47"/>
        <v>495</v>
      </c>
      <c r="S495" s="206" t="str">
        <f t="shared" si="48"/>
        <v>;'C CONTRACTUAL'!$E$10:$BD$100;14;1)</v>
      </c>
      <c r="T495" s="203" t="s">
        <v>2220</v>
      </c>
      <c r="U495" s="206" t="str">
        <f t="shared" si="53"/>
        <v>=BUSCARV($E495;'C CONTRACTUAL'!$E$10:$BD$100;14;1)</v>
      </c>
      <c r="V495" s="206"/>
      <c r="W495" s="206" t="e">
        <f>VLOOKUP($F495,#REF!,8,1)</f>
        <v>#REF!</v>
      </c>
      <c r="X495" s="206" t="e">
        <f t="shared" si="49"/>
        <v>#REF!</v>
      </c>
      <c r="Y495" s="206">
        <v>2</v>
      </c>
      <c r="Z495" s="206" t="e">
        <f>VLOOKUP($F495,#REF!,9,1)</f>
        <v>#REF!</v>
      </c>
      <c r="AA495" s="206" t="e">
        <f t="shared" si="54"/>
        <v>#REF!</v>
      </c>
      <c r="AB495" s="206">
        <v>10</v>
      </c>
      <c r="AC495" s="206" t="e">
        <f>VLOOKUP($F495,#REF!,14,1)</f>
        <v>#REF!</v>
      </c>
      <c r="AD495" s="206" t="e">
        <f>VLOOKUP($F495,#REF!,40,0)</f>
        <v>#REF!</v>
      </c>
      <c r="AE495" s="206" t="e">
        <f t="shared" si="50"/>
        <v>#REF!</v>
      </c>
      <c r="AF495" s="206">
        <v>1</v>
      </c>
      <c r="AG495" s="206" t="e">
        <f>VLOOKUP($F495,#REF!,42,0)</f>
        <v>#REF!</v>
      </c>
      <c r="AH495" s="206" t="e">
        <f t="shared" si="51"/>
        <v>#REF!</v>
      </c>
      <c r="AI495" s="206">
        <v>10</v>
      </c>
      <c r="AJ495" s="206" t="e">
        <f>VLOOKUP($F495,#REF!,43,0)</f>
        <v>#REF!</v>
      </c>
    </row>
    <row r="496" spans="2:36" s="102" customFormat="1" ht="22.5">
      <c r="B496" s="97"/>
      <c r="C496" s="117" t="s">
        <v>1921</v>
      </c>
      <c r="D496" t="s">
        <v>2175</v>
      </c>
      <c r="E496" s="123" t="s">
        <v>2260</v>
      </c>
      <c r="F496" s="102" t="s">
        <v>336</v>
      </c>
      <c r="G496" s="97" t="s">
        <v>1929</v>
      </c>
      <c r="Q496" s="206" t="s">
        <v>2161</v>
      </c>
      <c r="R496" s="206">
        <f t="shared" si="47"/>
        <v>496</v>
      </c>
      <c r="S496" s="206" t="str">
        <f t="shared" si="48"/>
        <v>;'C CONTRACTUAL'!$E$10:$BD$100;14;1)</v>
      </c>
      <c r="T496" s="203" t="s">
        <v>2220</v>
      </c>
      <c r="U496" s="206" t="str">
        <f t="shared" si="53"/>
        <v>=BUSCARV($E496;'C CONTRACTUAL'!$E$10:$BD$100;14;1)</v>
      </c>
      <c r="V496" s="206"/>
      <c r="W496" s="206" t="e">
        <f>VLOOKUP($F496,#REF!,8,1)</f>
        <v>#REF!</v>
      </c>
      <c r="X496" s="206" t="e">
        <f t="shared" si="49"/>
        <v>#REF!</v>
      </c>
      <c r="Y496" s="206">
        <v>2</v>
      </c>
      <c r="Z496" s="206" t="e">
        <f>VLOOKUP($F496,#REF!,9,1)</f>
        <v>#REF!</v>
      </c>
      <c r="AA496" s="206" t="e">
        <f t="shared" si="54"/>
        <v>#REF!</v>
      </c>
      <c r="AB496" s="206">
        <v>20</v>
      </c>
      <c r="AC496" s="206" t="e">
        <f>VLOOKUP($F496,#REF!,14,1)</f>
        <v>#REF!</v>
      </c>
      <c r="AD496" s="206" t="e">
        <f>VLOOKUP($F496,#REF!,40,0)</f>
        <v>#REF!</v>
      </c>
      <c r="AE496" s="206" t="e">
        <f t="shared" si="50"/>
        <v>#REF!</v>
      </c>
      <c r="AF496" s="206">
        <v>1</v>
      </c>
      <c r="AG496" s="206" t="e">
        <f>VLOOKUP($F496,#REF!,42,0)</f>
        <v>#REF!</v>
      </c>
      <c r="AH496" s="206" t="e">
        <f t="shared" si="51"/>
        <v>#REF!</v>
      </c>
      <c r="AI496" s="206">
        <v>20</v>
      </c>
      <c r="AJ496" s="206" t="e">
        <f>VLOOKUP($F496,#REF!,43,0)</f>
        <v>#REF!</v>
      </c>
    </row>
    <row r="497" spans="2:36" s="102" customFormat="1" ht="22.5">
      <c r="B497" s="97"/>
      <c r="C497" s="117" t="s">
        <v>1921</v>
      </c>
      <c r="D497" t="s">
        <v>2175</v>
      </c>
      <c r="E497" s="123" t="s">
        <v>2260</v>
      </c>
      <c r="Q497" s="206" t="s">
        <v>2161</v>
      </c>
      <c r="R497" s="206">
        <f t="shared" si="47"/>
        <v>497</v>
      </c>
      <c r="S497" s="206" t="str">
        <f t="shared" si="48"/>
        <v>;'C CONTRACTUAL'!$E$10:$BD$100;14;1)</v>
      </c>
      <c r="T497" s="203" t="s">
        <v>2220</v>
      </c>
      <c r="U497" s="206" t="str">
        <f t="shared" si="53"/>
        <v>=BUSCARV($E497;'C CONTRACTUAL'!$E$10:$BD$100;14;1)</v>
      </c>
      <c r="V497" s="206"/>
      <c r="W497" s="206" t="e">
        <f>VLOOKUP($F497,#REF!,8,1)</f>
        <v>#REF!</v>
      </c>
      <c r="X497" s="206" t="e">
        <f t="shared" si="49"/>
        <v>#REF!</v>
      </c>
      <c r="Y497" s="206" t="e">
        <v>#N/A</v>
      </c>
      <c r="Z497" s="206" t="e">
        <f>VLOOKUP($F497,#REF!,9,1)</f>
        <v>#REF!</v>
      </c>
      <c r="AA497" s="206" t="e">
        <f t="shared" si="54"/>
        <v>#REF!</v>
      </c>
      <c r="AB497" s="206" t="e">
        <v>#N/A</v>
      </c>
      <c r="AC497" s="206" t="e">
        <f>VLOOKUP($F497,#REF!,14,1)</f>
        <v>#REF!</v>
      </c>
      <c r="AD497" s="206" t="e">
        <f>VLOOKUP($F497,#REF!,40,0)</f>
        <v>#REF!</v>
      </c>
      <c r="AE497" s="206" t="e">
        <f t="shared" si="50"/>
        <v>#REF!</v>
      </c>
      <c r="AF497" s="206" t="e">
        <v>#N/A</v>
      </c>
      <c r="AG497" s="206" t="e">
        <f>VLOOKUP($F497,#REF!,42,0)</f>
        <v>#REF!</v>
      </c>
      <c r="AH497" s="206" t="e">
        <f t="shared" si="51"/>
        <v>#REF!</v>
      </c>
      <c r="AI497" s="206" t="e">
        <v>#N/A</v>
      </c>
      <c r="AJ497" s="206" t="e">
        <f>VLOOKUP($F497,#REF!,43,0)</f>
        <v>#REF!</v>
      </c>
    </row>
    <row r="498" spans="2:36" s="102" customFormat="1" ht="22.5">
      <c r="B498" s="97"/>
      <c r="C498" s="117" t="s">
        <v>1921</v>
      </c>
      <c r="D498" t="s">
        <v>2175</v>
      </c>
      <c r="E498" s="123" t="s">
        <v>2260</v>
      </c>
      <c r="Q498" s="206" t="s">
        <v>2161</v>
      </c>
      <c r="R498" s="206">
        <f t="shared" si="47"/>
        <v>498</v>
      </c>
      <c r="S498" s="206" t="str">
        <f t="shared" si="48"/>
        <v>;'C CONTRACTUAL'!$E$10:$BD$100;14;1)</v>
      </c>
      <c r="T498" s="203" t="s">
        <v>2220</v>
      </c>
      <c r="U498" s="206" t="str">
        <f t="shared" si="53"/>
        <v>=BUSCARV($E498;'C CONTRACTUAL'!$E$10:$BD$100;14;1)</v>
      </c>
      <c r="V498" s="206"/>
      <c r="W498" s="206" t="e">
        <f>VLOOKUP($F498,#REF!,8,1)</f>
        <v>#REF!</v>
      </c>
      <c r="X498" s="206" t="e">
        <f t="shared" si="49"/>
        <v>#REF!</v>
      </c>
      <c r="Y498" s="206" t="e">
        <v>#N/A</v>
      </c>
      <c r="Z498" s="206" t="e">
        <f>VLOOKUP($F498,#REF!,9,1)</f>
        <v>#REF!</v>
      </c>
      <c r="AA498" s="206" t="e">
        <f t="shared" si="54"/>
        <v>#REF!</v>
      </c>
      <c r="AB498" s="206" t="e">
        <v>#N/A</v>
      </c>
      <c r="AC498" s="206" t="e">
        <f>VLOOKUP($F498,#REF!,14,1)</f>
        <v>#REF!</v>
      </c>
      <c r="AD498" s="206" t="e">
        <f>VLOOKUP($F498,#REF!,40,0)</f>
        <v>#REF!</v>
      </c>
      <c r="AE498" s="206" t="e">
        <f t="shared" si="50"/>
        <v>#REF!</v>
      </c>
      <c r="AF498" s="206" t="e">
        <v>#N/A</v>
      </c>
      <c r="AG498" s="206" t="e">
        <f>VLOOKUP($F498,#REF!,42,0)</f>
        <v>#REF!</v>
      </c>
      <c r="AH498" s="206" t="e">
        <f t="shared" si="51"/>
        <v>#REF!</v>
      </c>
      <c r="AI498" s="206" t="e">
        <v>#N/A</v>
      </c>
      <c r="AJ498" s="206" t="e">
        <f>VLOOKUP($F498,#REF!,43,0)</f>
        <v>#REF!</v>
      </c>
    </row>
    <row r="499" spans="2:36" s="102" customFormat="1" ht="22.5">
      <c r="B499" s="97"/>
      <c r="C499" s="117" t="s">
        <v>1921</v>
      </c>
      <c r="D499" t="s">
        <v>2175</v>
      </c>
      <c r="E499" s="123" t="s">
        <v>2260</v>
      </c>
      <c r="Q499" s="206" t="s">
        <v>2161</v>
      </c>
      <c r="R499" s="206">
        <f t="shared" si="47"/>
        <v>499</v>
      </c>
      <c r="S499" s="206" t="str">
        <f t="shared" si="48"/>
        <v>;'C CONTRACTUAL'!$E$10:$BD$100;14;1)</v>
      </c>
      <c r="T499" s="203" t="s">
        <v>2220</v>
      </c>
      <c r="U499" s="206" t="str">
        <f t="shared" si="53"/>
        <v>=BUSCARV($E499;'C CONTRACTUAL'!$E$10:$BD$100;14;1)</v>
      </c>
      <c r="V499" s="206"/>
      <c r="W499" s="206" t="e">
        <f>VLOOKUP($F499,#REF!,8,1)</f>
        <v>#REF!</v>
      </c>
      <c r="X499" s="206" t="e">
        <f t="shared" si="49"/>
        <v>#REF!</v>
      </c>
      <c r="Y499" s="206" t="e">
        <v>#N/A</v>
      </c>
      <c r="Z499" s="206" t="e">
        <f>VLOOKUP($F499,#REF!,9,1)</f>
        <v>#REF!</v>
      </c>
      <c r="AA499" s="206" t="e">
        <f t="shared" si="54"/>
        <v>#REF!</v>
      </c>
      <c r="AB499" s="206" t="e">
        <v>#N/A</v>
      </c>
      <c r="AC499" s="206" t="e">
        <f>VLOOKUP($F499,#REF!,14,1)</f>
        <v>#REF!</v>
      </c>
      <c r="AD499" s="206" t="e">
        <f>VLOOKUP($F499,#REF!,40,0)</f>
        <v>#REF!</v>
      </c>
      <c r="AE499" s="206" t="e">
        <f t="shared" si="50"/>
        <v>#REF!</v>
      </c>
      <c r="AF499" s="206" t="e">
        <v>#N/A</v>
      </c>
      <c r="AG499" s="206" t="e">
        <f>VLOOKUP($F499,#REF!,42,0)</f>
        <v>#REF!</v>
      </c>
      <c r="AH499" s="206" t="e">
        <f t="shared" si="51"/>
        <v>#REF!</v>
      </c>
      <c r="AI499" s="206" t="e">
        <v>#N/A</v>
      </c>
      <c r="AJ499" s="206" t="e">
        <f>VLOOKUP($F499,#REF!,43,0)</f>
        <v>#REF!</v>
      </c>
    </row>
    <row r="500" spans="2:36" s="102" customFormat="1" ht="22.5">
      <c r="B500" s="97"/>
      <c r="C500" s="117" t="s">
        <v>1921</v>
      </c>
      <c r="D500" t="s">
        <v>2175</v>
      </c>
      <c r="E500" s="123" t="s">
        <v>2260</v>
      </c>
      <c r="Q500" s="206" t="s">
        <v>2161</v>
      </c>
      <c r="R500" s="206">
        <f t="shared" si="47"/>
        <v>500</v>
      </c>
      <c r="S500" s="206" t="str">
        <f t="shared" si="48"/>
        <v>;'C CONTRACTUAL'!$E$10:$BD$100;14;1)</v>
      </c>
      <c r="T500" s="203" t="s">
        <v>2220</v>
      </c>
      <c r="U500" s="206" t="str">
        <f t="shared" si="53"/>
        <v>=BUSCARV($E500;'C CONTRACTUAL'!$E$10:$BD$100;14;1)</v>
      </c>
      <c r="V500" s="206"/>
      <c r="W500" s="206" t="e">
        <f>VLOOKUP($F500,#REF!,8,1)</f>
        <v>#REF!</v>
      </c>
      <c r="X500" s="206" t="e">
        <f t="shared" si="49"/>
        <v>#REF!</v>
      </c>
      <c r="Y500" s="206" t="e">
        <v>#N/A</v>
      </c>
      <c r="Z500" s="206" t="e">
        <f>VLOOKUP($F500,#REF!,9,1)</f>
        <v>#REF!</v>
      </c>
      <c r="AA500" s="206" t="e">
        <f t="shared" si="54"/>
        <v>#REF!</v>
      </c>
      <c r="AB500" s="206" t="e">
        <v>#N/A</v>
      </c>
      <c r="AC500" s="206" t="e">
        <f>VLOOKUP($F500,#REF!,14,1)</f>
        <v>#REF!</v>
      </c>
      <c r="AD500" s="206" t="e">
        <f>VLOOKUP($F500,#REF!,40,0)</f>
        <v>#REF!</v>
      </c>
      <c r="AE500" s="206" t="e">
        <f t="shared" si="50"/>
        <v>#REF!</v>
      </c>
      <c r="AF500" s="206" t="e">
        <v>#N/A</v>
      </c>
      <c r="AG500" s="206" t="e">
        <f>VLOOKUP($F500,#REF!,42,0)</f>
        <v>#REF!</v>
      </c>
      <c r="AH500" s="206" t="e">
        <f t="shared" si="51"/>
        <v>#REF!</v>
      </c>
      <c r="AI500" s="206" t="e">
        <v>#N/A</v>
      </c>
      <c r="AJ500" s="206" t="e">
        <f>VLOOKUP($F500,#REF!,43,0)</f>
        <v>#REF!</v>
      </c>
    </row>
    <row r="501" spans="2:36" s="102" customFormat="1" ht="22.5">
      <c r="B501" s="97"/>
      <c r="C501" s="117" t="s">
        <v>1921</v>
      </c>
      <c r="D501" t="s">
        <v>2175</v>
      </c>
      <c r="E501" s="123" t="s">
        <v>2260</v>
      </c>
      <c r="Q501" s="206" t="s">
        <v>2161</v>
      </c>
      <c r="R501" s="206">
        <f t="shared" si="47"/>
        <v>501</v>
      </c>
      <c r="S501" s="206" t="str">
        <f t="shared" si="48"/>
        <v>;'C CONTRACTUAL'!$E$10:$BD$100;14;1)</v>
      </c>
      <c r="T501" s="203" t="s">
        <v>2220</v>
      </c>
      <c r="U501" s="206" t="str">
        <f t="shared" si="53"/>
        <v>=BUSCARV($E501;'C CONTRACTUAL'!$E$10:$BD$100;14;1)</v>
      </c>
      <c r="V501" s="206"/>
      <c r="W501" s="206" t="e">
        <f>VLOOKUP($F501,#REF!,8,1)</f>
        <v>#REF!</v>
      </c>
      <c r="X501" s="206" t="e">
        <f t="shared" si="49"/>
        <v>#REF!</v>
      </c>
      <c r="Y501" s="206" t="e">
        <v>#N/A</v>
      </c>
      <c r="Z501" s="206" t="e">
        <f>VLOOKUP($F501,#REF!,9,1)</f>
        <v>#REF!</v>
      </c>
      <c r="AA501" s="206" t="e">
        <f t="shared" si="54"/>
        <v>#REF!</v>
      </c>
      <c r="AB501" s="206" t="e">
        <v>#N/A</v>
      </c>
      <c r="AC501" s="206" t="e">
        <f>VLOOKUP($F501,#REF!,14,1)</f>
        <v>#REF!</v>
      </c>
      <c r="AD501" s="206" t="e">
        <f>VLOOKUP($F501,#REF!,40,0)</f>
        <v>#REF!</v>
      </c>
      <c r="AE501" s="206" t="e">
        <f t="shared" si="50"/>
        <v>#REF!</v>
      </c>
      <c r="AF501" s="206" t="e">
        <v>#N/A</v>
      </c>
      <c r="AG501" s="206" t="e">
        <f>VLOOKUP($F501,#REF!,42,0)</f>
        <v>#REF!</v>
      </c>
      <c r="AH501" s="206" t="e">
        <f t="shared" si="51"/>
        <v>#REF!</v>
      </c>
      <c r="AI501" s="206" t="e">
        <v>#N/A</v>
      </c>
      <c r="AJ501" s="206" t="e">
        <f>VLOOKUP($F501,#REF!,43,0)</f>
        <v>#REF!</v>
      </c>
    </row>
    <row r="502" spans="2:36" s="102" customFormat="1" ht="22.5">
      <c r="B502" s="97"/>
      <c r="C502" s="117" t="s">
        <v>1921</v>
      </c>
      <c r="D502" t="s">
        <v>2175</v>
      </c>
      <c r="E502" s="123" t="s">
        <v>2260</v>
      </c>
      <c r="Q502" s="206" t="s">
        <v>2161</v>
      </c>
      <c r="R502" s="206">
        <f t="shared" si="47"/>
        <v>502</v>
      </c>
      <c r="S502" s="206" t="str">
        <f t="shared" si="48"/>
        <v>;'C CONTRACTUAL'!$E$10:$BD$100;14;1)</v>
      </c>
      <c r="T502" s="203" t="s">
        <v>2220</v>
      </c>
      <c r="U502" s="206" t="str">
        <f t="shared" si="53"/>
        <v>=BUSCARV($E502;'C CONTRACTUAL'!$E$10:$BD$100;14;1)</v>
      </c>
      <c r="V502" s="206"/>
      <c r="W502" s="206" t="e">
        <f>VLOOKUP($F502,#REF!,8,1)</f>
        <v>#REF!</v>
      </c>
      <c r="X502" s="206" t="e">
        <f t="shared" si="49"/>
        <v>#REF!</v>
      </c>
      <c r="Y502" s="206" t="e">
        <v>#N/A</v>
      </c>
      <c r="Z502" s="206" t="e">
        <f>VLOOKUP($F502,#REF!,9,1)</f>
        <v>#REF!</v>
      </c>
      <c r="AA502" s="206" t="e">
        <f t="shared" si="54"/>
        <v>#REF!</v>
      </c>
      <c r="AB502" s="206" t="e">
        <v>#N/A</v>
      </c>
      <c r="AC502" s="206" t="e">
        <f>VLOOKUP($F502,#REF!,14,1)</f>
        <v>#REF!</v>
      </c>
      <c r="AD502" s="206" t="e">
        <f>VLOOKUP($F502,#REF!,40,0)</f>
        <v>#REF!</v>
      </c>
      <c r="AE502" s="206" t="e">
        <f t="shared" si="50"/>
        <v>#REF!</v>
      </c>
      <c r="AF502" s="206" t="e">
        <v>#N/A</v>
      </c>
      <c r="AG502" s="206" t="e">
        <f>VLOOKUP($F502,#REF!,42,0)</f>
        <v>#REF!</v>
      </c>
      <c r="AH502" s="206" t="e">
        <f t="shared" si="51"/>
        <v>#REF!</v>
      </c>
      <c r="AI502" s="206" t="e">
        <v>#N/A</v>
      </c>
      <c r="AJ502" s="206" t="e">
        <f>VLOOKUP($F502,#REF!,43,0)</f>
        <v>#REF!</v>
      </c>
    </row>
    <row r="503" spans="2:36" s="102" customFormat="1" ht="22.5">
      <c r="B503" s="97"/>
      <c r="C503" s="117" t="s">
        <v>1921</v>
      </c>
      <c r="D503" t="s">
        <v>2175</v>
      </c>
      <c r="E503" s="123" t="s">
        <v>2260</v>
      </c>
      <c r="Q503" s="206" t="s">
        <v>2161</v>
      </c>
      <c r="R503" s="206">
        <f t="shared" si="47"/>
        <v>503</v>
      </c>
      <c r="S503" s="206" t="str">
        <f t="shared" si="48"/>
        <v>;'C CONTRACTUAL'!$E$10:$BD$100;14;1)</v>
      </c>
      <c r="T503" s="203" t="s">
        <v>2220</v>
      </c>
      <c r="U503" s="206" t="str">
        <f t="shared" si="53"/>
        <v>=BUSCARV($E503;'C CONTRACTUAL'!$E$10:$BD$100;14;1)</v>
      </c>
      <c r="V503" s="206"/>
      <c r="W503" s="206" t="e">
        <f>VLOOKUP($F503,#REF!,8,1)</f>
        <v>#REF!</v>
      </c>
      <c r="X503" s="206" t="e">
        <f t="shared" si="49"/>
        <v>#REF!</v>
      </c>
      <c r="Y503" s="206" t="e">
        <v>#N/A</v>
      </c>
      <c r="Z503" s="206" t="e">
        <f>VLOOKUP($F503,#REF!,9,1)</f>
        <v>#REF!</v>
      </c>
      <c r="AA503" s="206" t="e">
        <f t="shared" si="54"/>
        <v>#REF!</v>
      </c>
      <c r="AB503" s="206" t="e">
        <v>#N/A</v>
      </c>
      <c r="AC503" s="206" t="e">
        <f>VLOOKUP($F503,#REF!,14,1)</f>
        <v>#REF!</v>
      </c>
      <c r="AD503" s="206" t="e">
        <f>VLOOKUP($F503,#REF!,40,0)</f>
        <v>#REF!</v>
      </c>
      <c r="AE503" s="206" t="e">
        <f t="shared" si="50"/>
        <v>#REF!</v>
      </c>
      <c r="AF503" s="206" t="e">
        <v>#N/A</v>
      </c>
      <c r="AG503" s="206" t="e">
        <f>VLOOKUP($F503,#REF!,42,0)</f>
        <v>#REF!</v>
      </c>
      <c r="AH503" s="206" t="e">
        <f t="shared" si="51"/>
        <v>#REF!</v>
      </c>
      <c r="AI503" s="206" t="e">
        <v>#N/A</v>
      </c>
      <c r="AJ503" s="206" t="e">
        <f>VLOOKUP($F503,#REF!,43,0)</f>
        <v>#REF!</v>
      </c>
    </row>
    <row r="504" spans="2:36" s="102" customFormat="1" ht="22.5">
      <c r="B504" s="97"/>
      <c r="C504" s="107" t="s">
        <v>1922</v>
      </c>
      <c r="D504" t="s">
        <v>2176</v>
      </c>
      <c r="E504" s="123" t="s">
        <v>2260</v>
      </c>
      <c r="F504" s="102" t="s">
        <v>338</v>
      </c>
      <c r="G504" s="97" t="s">
        <v>1929</v>
      </c>
      <c r="Q504" s="206" t="s">
        <v>2161</v>
      </c>
      <c r="R504" s="206">
        <f t="shared" si="47"/>
        <v>504</v>
      </c>
      <c r="S504" s="206" t="str">
        <f t="shared" si="48"/>
        <v>;'C LEGAL'!$E$10:$BD$100;14;1)</v>
      </c>
      <c r="T504" s="203" t="s">
        <v>2221</v>
      </c>
      <c r="U504" s="206" t="str">
        <f t="shared" si="26"/>
        <v>=BUSCARV($E504;'C LEGAL'!$E$10:$BD$100;14;1)</v>
      </c>
      <c r="V504" s="206"/>
      <c r="W504" s="206" t="e">
        <f>VLOOKUP($F504,#REF!,8,1)</f>
        <v>#REF!</v>
      </c>
      <c r="X504" s="206" t="e">
        <f t="shared" si="49"/>
        <v>#REF!</v>
      </c>
      <c r="Y504" s="206">
        <v>2</v>
      </c>
      <c r="Z504" s="206" t="e">
        <f>VLOOKUP($F504,#REF!,9,1)</f>
        <v>#REF!</v>
      </c>
      <c r="AA504" s="206" t="e">
        <f t="shared" si="54"/>
        <v>#REF!</v>
      </c>
      <c r="AB504" s="206">
        <v>20</v>
      </c>
      <c r="AC504" s="206" t="e">
        <f>VLOOKUP($F504,#REF!,14,1)</f>
        <v>#REF!</v>
      </c>
      <c r="AD504" s="206" t="e">
        <f>VLOOKUP($F504,#REF!,40,0)</f>
        <v>#REF!</v>
      </c>
      <c r="AE504" s="206" t="e">
        <f t="shared" si="50"/>
        <v>#REF!</v>
      </c>
      <c r="AF504" s="206">
        <v>1</v>
      </c>
      <c r="AG504" s="206" t="e">
        <f>VLOOKUP($F504,#REF!,42,0)</f>
        <v>#REF!</v>
      </c>
      <c r="AH504" s="206" t="e">
        <f t="shared" si="51"/>
        <v>#REF!</v>
      </c>
      <c r="AI504" s="206">
        <v>20</v>
      </c>
      <c r="AJ504" s="206" t="e">
        <f>VLOOKUP($F504,#REF!,43,0)</f>
        <v>#REF!</v>
      </c>
    </row>
    <row r="505" spans="2:36" s="102" customFormat="1" ht="22.5">
      <c r="B505" s="97"/>
      <c r="C505" s="107" t="s">
        <v>1922</v>
      </c>
      <c r="D505" t="s">
        <v>2176</v>
      </c>
      <c r="E505" s="123" t="s">
        <v>2260</v>
      </c>
      <c r="Q505" s="206" t="s">
        <v>2161</v>
      </c>
      <c r="R505" s="206">
        <f t="shared" si="47"/>
        <v>505</v>
      </c>
      <c r="S505" s="206" t="str">
        <f t="shared" si="48"/>
        <v>;'C LEGAL'!$E$10:$BD$100;14;1)</v>
      </c>
      <c r="T505" s="203" t="s">
        <v>2221</v>
      </c>
      <c r="U505" s="206" t="str">
        <f t="shared" ref="U505:U519" si="55">CONCATENATE("=BUSCARV($E",R505,T505)</f>
        <v>=BUSCARV($E505;'C LEGAL'!$E$10:$BD$100;14;1)</v>
      </c>
      <c r="V505" s="206"/>
      <c r="W505" s="206" t="e">
        <f>VLOOKUP($F505,#REF!,8,1)</f>
        <v>#REF!</v>
      </c>
      <c r="X505" s="206" t="e">
        <f t="shared" si="49"/>
        <v>#REF!</v>
      </c>
      <c r="Y505" s="206" t="e">
        <v>#N/A</v>
      </c>
      <c r="Z505" s="206" t="e">
        <f>VLOOKUP($F505,#REF!,9,1)</f>
        <v>#REF!</v>
      </c>
      <c r="AA505" s="206" t="e">
        <f t="shared" si="54"/>
        <v>#REF!</v>
      </c>
      <c r="AB505" s="206" t="e">
        <v>#N/A</v>
      </c>
      <c r="AC505" s="206" t="e">
        <f>VLOOKUP($F505,#REF!,14,1)</f>
        <v>#REF!</v>
      </c>
      <c r="AD505" s="206" t="e">
        <f>VLOOKUP($F505,#REF!,40,0)</f>
        <v>#REF!</v>
      </c>
      <c r="AE505" s="206" t="e">
        <f t="shared" si="50"/>
        <v>#REF!</v>
      </c>
      <c r="AF505" s="206" t="e">
        <v>#N/A</v>
      </c>
      <c r="AG505" s="206" t="e">
        <f>VLOOKUP($F505,#REF!,42,0)</f>
        <v>#REF!</v>
      </c>
      <c r="AH505" s="206" t="e">
        <f t="shared" si="51"/>
        <v>#REF!</v>
      </c>
      <c r="AI505" s="206" t="e">
        <v>#N/A</v>
      </c>
      <c r="AJ505" s="206" t="e">
        <f>VLOOKUP($F505,#REF!,43,0)</f>
        <v>#REF!</v>
      </c>
    </row>
    <row r="506" spans="2:36" s="102" customFormat="1" ht="16.5" customHeight="1">
      <c r="B506" s="97"/>
      <c r="C506" s="107" t="s">
        <v>1922</v>
      </c>
      <c r="D506" t="s">
        <v>2176</v>
      </c>
      <c r="E506" s="123" t="s">
        <v>2260</v>
      </c>
      <c r="Q506" s="206" t="s">
        <v>2161</v>
      </c>
      <c r="R506" s="206">
        <f t="shared" si="47"/>
        <v>506</v>
      </c>
      <c r="S506" s="206" t="str">
        <f t="shared" si="48"/>
        <v>;'C LEGAL'!$E$10:$BD$100;14;1)</v>
      </c>
      <c r="T506" s="203" t="s">
        <v>2221</v>
      </c>
      <c r="U506" s="206" t="str">
        <f t="shared" si="55"/>
        <v>=BUSCARV($E506;'C LEGAL'!$E$10:$BD$100;14;1)</v>
      </c>
      <c r="V506" s="206"/>
      <c r="W506" s="206" t="e">
        <f>VLOOKUP($F506,#REF!,8,1)</f>
        <v>#REF!</v>
      </c>
      <c r="X506" s="206" t="e">
        <f t="shared" si="49"/>
        <v>#REF!</v>
      </c>
      <c r="Y506" s="206" t="e">
        <v>#N/A</v>
      </c>
      <c r="Z506" s="206" t="e">
        <f>VLOOKUP($F506,#REF!,9,1)</f>
        <v>#REF!</v>
      </c>
      <c r="AA506" s="206" t="e">
        <f t="shared" si="54"/>
        <v>#REF!</v>
      </c>
      <c r="AB506" s="206" t="e">
        <v>#N/A</v>
      </c>
      <c r="AC506" s="206" t="e">
        <f>VLOOKUP($F506,#REF!,14,1)</f>
        <v>#REF!</v>
      </c>
      <c r="AD506" s="206" t="e">
        <f>VLOOKUP($F506,#REF!,40,0)</f>
        <v>#REF!</v>
      </c>
      <c r="AE506" s="206" t="e">
        <f t="shared" si="50"/>
        <v>#REF!</v>
      </c>
      <c r="AF506" s="206" t="e">
        <v>#N/A</v>
      </c>
      <c r="AG506" s="206" t="e">
        <f>VLOOKUP($F506,#REF!,42,0)</f>
        <v>#REF!</v>
      </c>
      <c r="AH506" s="206" t="e">
        <f t="shared" si="51"/>
        <v>#REF!</v>
      </c>
      <c r="AI506" s="206" t="e">
        <v>#N/A</v>
      </c>
      <c r="AJ506" s="206" t="e">
        <f>VLOOKUP($F506,#REF!,43,0)</f>
        <v>#REF!</v>
      </c>
    </row>
    <row r="507" spans="2:36" s="102" customFormat="1" ht="16.5" customHeight="1">
      <c r="B507" s="97"/>
      <c r="C507" s="107" t="s">
        <v>1922</v>
      </c>
      <c r="D507" t="s">
        <v>2176</v>
      </c>
      <c r="E507" s="123" t="s">
        <v>2260</v>
      </c>
      <c r="Q507" s="206" t="s">
        <v>2161</v>
      </c>
      <c r="R507" s="206">
        <f t="shared" si="47"/>
        <v>507</v>
      </c>
      <c r="S507" s="206" t="str">
        <f t="shared" si="48"/>
        <v>;'C LEGAL'!$E$10:$BD$100;14;1)</v>
      </c>
      <c r="T507" s="203" t="s">
        <v>2221</v>
      </c>
      <c r="U507" s="206" t="str">
        <f t="shared" si="55"/>
        <v>=BUSCARV($E507;'C LEGAL'!$E$10:$BD$100;14;1)</v>
      </c>
      <c r="V507" s="206"/>
      <c r="W507" s="206" t="e">
        <f>VLOOKUP($F507,#REF!,8,1)</f>
        <v>#REF!</v>
      </c>
      <c r="X507" s="206" t="e">
        <f t="shared" si="49"/>
        <v>#REF!</v>
      </c>
      <c r="Y507" s="206" t="e">
        <v>#N/A</v>
      </c>
      <c r="Z507" s="206" t="e">
        <f>VLOOKUP($F507,#REF!,9,1)</f>
        <v>#REF!</v>
      </c>
      <c r="AA507" s="206" t="e">
        <f t="shared" si="54"/>
        <v>#REF!</v>
      </c>
      <c r="AB507" s="206" t="e">
        <v>#N/A</v>
      </c>
      <c r="AC507" s="206" t="e">
        <f>VLOOKUP($F507,#REF!,14,1)</f>
        <v>#REF!</v>
      </c>
      <c r="AD507" s="206" t="e">
        <f>VLOOKUP($F507,#REF!,40,0)</f>
        <v>#REF!</v>
      </c>
      <c r="AE507" s="206" t="e">
        <f t="shared" si="50"/>
        <v>#REF!</v>
      </c>
      <c r="AF507" s="206" t="e">
        <v>#N/A</v>
      </c>
      <c r="AG507" s="206" t="e">
        <f>VLOOKUP($F507,#REF!,42,0)</f>
        <v>#REF!</v>
      </c>
      <c r="AH507" s="206" t="e">
        <f t="shared" si="51"/>
        <v>#REF!</v>
      </c>
      <c r="AI507" s="206" t="e">
        <v>#N/A</v>
      </c>
      <c r="AJ507" s="206" t="e">
        <f>VLOOKUP($F507,#REF!,43,0)</f>
        <v>#REF!</v>
      </c>
    </row>
    <row r="508" spans="2:36" s="102" customFormat="1" ht="16.5" customHeight="1">
      <c r="B508" s="97"/>
      <c r="C508" s="107" t="s">
        <v>1922</v>
      </c>
      <c r="D508" t="s">
        <v>2176</v>
      </c>
      <c r="E508" s="123" t="s">
        <v>2260</v>
      </c>
      <c r="Q508" s="206" t="s">
        <v>2161</v>
      </c>
      <c r="R508" s="206">
        <f t="shared" si="47"/>
        <v>508</v>
      </c>
      <c r="S508" s="206" t="str">
        <f t="shared" si="48"/>
        <v>;'C LEGAL'!$E$10:$BD$100;14;1)</v>
      </c>
      <c r="T508" s="203" t="s">
        <v>2221</v>
      </c>
      <c r="U508" s="206" t="str">
        <f t="shared" si="55"/>
        <v>=BUSCARV($E508;'C LEGAL'!$E$10:$BD$100;14;1)</v>
      </c>
      <c r="V508" s="206"/>
      <c r="W508" s="206" t="e">
        <f>VLOOKUP($F508,#REF!,8,1)</f>
        <v>#REF!</v>
      </c>
      <c r="X508" s="206" t="e">
        <f t="shared" si="49"/>
        <v>#REF!</v>
      </c>
      <c r="Y508" s="206" t="e">
        <v>#N/A</v>
      </c>
      <c r="Z508" s="206" t="e">
        <f>VLOOKUP($F508,#REF!,9,1)</f>
        <v>#REF!</v>
      </c>
      <c r="AA508" s="206" t="e">
        <f t="shared" si="54"/>
        <v>#REF!</v>
      </c>
      <c r="AB508" s="206" t="e">
        <v>#N/A</v>
      </c>
      <c r="AC508" s="206" t="e">
        <f>VLOOKUP($F508,#REF!,14,1)</f>
        <v>#REF!</v>
      </c>
      <c r="AD508" s="206" t="e">
        <f>VLOOKUP($F508,#REF!,40,0)</f>
        <v>#REF!</v>
      </c>
      <c r="AE508" s="206" t="e">
        <f t="shared" si="50"/>
        <v>#REF!</v>
      </c>
      <c r="AF508" s="206" t="e">
        <v>#N/A</v>
      </c>
      <c r="AG508" s="206" t="e">
        <f>VLOOKUP($F508,#REF!,42,0)</f>
        <v>#REF!</v>
      </c>
      <c r="AH508" s="206" t="e">
        <f t="shared" si="51"/>
        <v>#REF!</v>
      </c>
      <c r="AI508" s="206" t="e">
        <v>#N/A</v>
      </c>
      <c r="AJ508" s="206" t="e">
        <f>VLOOKUP($F508,#REF!,43,0)</f>
        <v>#REF!</v>
      </c>
    </row>
    <row r="509" spans="2:36" s="102" customFormat="1" ht="22.5">
      <c r="B509" s="97"/>
      <c r="C509" s="107" t="s">
        <v>1922</v>
      </c>
      <c r="D509" t="s">
        <v>2176</v>
      </c>
      <c r="E509" s="123" t="s">
        <v>2260</v>
      </c>
      <c r="Q509" s="206" t="s">
        <v>2161</v>
      </c>
      <c r="R509" s="206">
        <f t="shared" si="47"/>
        <v>509</v>
      </c>
      <c r="S509" s="206" t="str">
        <f t="shared" si="48"/>
        <v>;'C LEGAL'!$E$10:$BD$100;14;1)</v>
      </c>
      <c r="T509" s="203" t="s">
        <v>2221</v>
      </c>
      <c r="U509" s="206" t="str">
        <f t="shared" si="55"/>
        <v>=BUSCARV($E509;'C LEGAL'!$E$10:$BD$100;14;1)</v>
      </c>
      <c r="V509" s="206"/>
      <c r="W509" s="206" t="e">
        <f>VLOOKUP($F509,#REF!,8,1)</f>
        <v>#REF!</v>
      </c>
      <c r="X509" s="206" t="e">
        <f t="shared" si="49"/>
        <v>#REF!</v>
      </c>
      <c r="Y509" s="206" t="e">
        <v>#N/A</v>
      </c>
      <c r="Z509" s="206" t="e">
        <f>VLOOKUP($F509,#REF!,9,1)</f>
        <v>#REF!</v>
      </c>
      <c r="AA509" s="206" t="e">
        <f t="shared" si="54"/>
        <v>#REF!</v>
      </c>
      <c r="AB509" s="206" t="e">
        <v>#N/A</v>
      </c>
      <c r="AC509" s="206" t="e">
        <f>VLOOKUP($F509,#REF!,14,1)</f>
        <v>#REF!</v>
      </c>
      <c r="AD509" s="206" t="e">
        <f>VLOOKUP($F509,#REF!,40,0)</f>
        <v>#REF!</v>
      </c>
      <c r="AE509" s="206" t="e">
        <f t="shared" si="50"/>
        <v>#REF!</v>
      </c>
      <c r="AF509" s="206" t="e">
        <v>#N/A</v>
      </c>
      <c r="AG509" s="206" t="e">
        <f>VLOOKUP($F509,#REF!,42,0)</f>
        <v>#REF!</v>
      </c>
      <c r="AH509" s="206" t="e">
        <f t="shared" si="51"/>
        <v>#REF!</v>
      </c>
      <c r="AI509" s="206" t="e">
        <v>#N/A</v>
      </c>
      <c r="AJ509" s="206" t="e">
        <f>VLOOKUP($F509,#REF!,43,0)</f>
        <v>#REF!</v>
      </c>
    </row>
    <row r="510" spans="2:36" s="102" customFormat="1" ht="22.5">
      <c r="B510" s="97"/>
      <c r="C510" s="107" t="s">
        <v>1922</v>
      </c>
      <c r="D510" t="s">
        <v>2176</v>
      </c>
      <c r="E510" s="123" t="s">
        <v>2260</v>
      </c>
      <c r="Q510" s="206" t="s">
        <v>2161</v>
      </c>
      <c r="R510" s="206">
        <f t="shared" si="47"/>
        <v>510</v>
      </c>
      <c r="S510" s="206" t="str">
        <f t="shared" si="48"/>
        <v>;'C LEGAL'!$E$10:$BD$100;14;1)</v>
      </c>
      <c r="T510" s="203" t="s">
        <v>2221</v>
      </c>
      <c r="U510" s="206" t="str">
        <f t="shared" si="55"/>
        <v>=BUSCARV($E510;'C LEGAL'!$E$10:$BD$100;14;1)</v>
      </c>
      <c r="V510" s="206"/>
      <c r="W510" s="206" t="e">
        <f>VLOOKUP($F510,#REF!,8,1)</f>
        <v>#REF!</v>
      </c>
      <c r="X510" s="206" t="e">
        <f t="shared" si="49"/>
        <v>#REF!</v>
      </c>
      <c r="Y510" s="206" t="e">
        <v>#N/A</v>
      </c>
      <c r="Z510" s="206" t="e">
        <f>VLOOKUP($F510,#REF!,9,1)</f>
        <v>#REF!</v>
      </c>
      <c r="AA510" s="206" t="e">
        <f t="shared" si="54"/>
        <v>#REF!</v>
      </c>
      <c r="AB510" s="206" t="e">
        <v>#N/A</v>
      </c>
      <c r="AC510" s="206" t="e">
        <f>VLOOKUP($F510,#REF!,14,1)</f>
        <v>#REF!</v>
      </c>
      <c r="AD510" s="206" t="e">
        <f>VLOOKUP($F510,#REF!,40,0)</f>
        <v>#REF!</v>
      </c>
      <c r="AE510" s="206" t="e">
        <f t="shared" si="50"/>
        <v>#REF!</v>
      </c>
      <c r="AF510" s="206" t="e">
        <v>#N/A</v>
      </c>
      <c r="AG510" s="206" t="e">
        <f>VLOOKUP($F510,#REF!,42,0)</f>
        <v>#REF!</v>
      </c>
      <c r="AH510" s="206" t="e">
        <f t="shared" si="51"/>
        <v>#REF!</v>
      </c>
      <c r="AI510" s="206" t="e">
        <v>#N/A</v>
      </c>
      <c r="AJ510" s="206" t="e">
        <f>VLOOKUP($F510,#REF!,43,0)</f>
        <v>#REF!</v>
      </c>
    </row>
    <row r="511" spans="2:36" s="102" customFormat="1" ht="22.5">
      <c r="B511" s="97"/>
      <c r="C511" s="107" t="s">
        <v>1922</v>
      </c>
      <c r="D511" t="s">
        <v>2176</v>
      </c>
      <c r="E511" s="123" t="s">
        <v>2260</v>
      </c>
      <c r="Q511" s="206" t="s">
        <v>2161</v>
      </c>
      <c r="R511" s="206">
        <f t="shared" si="47"/>
        <v>511</v>
      </c>
      <c r="S511" s="206" t="str">
        <f t="shared" si="48"/>
        <v>;'C LEGAL'!$E$10:$BD$100;14;1)</v>
      </c>
      <c r="T511" s="203" t="s">
        <v>2221</v>
      </c>
      <c r="U511" s="206" t="str">
        <f t="shared" si="55"/>
        <v>=BUSCARV($E511;'C LEGAL'!$E$10:$BD$100;14;1)</v>
      </c>
      <c r="V511" s="206"/>
      <c r="W511" s="206" t="e">
        <f>VLOOKUP($F511,#REF!,8,1)</f>
        <v>#REF!</v>
      </c>
      <c r="X511" s="206" t="e">
        <f t="shared" si="49"/>
        <v>#REF!</v>
      </c>
      <c r="Y511" s="206" t="e">
        <v>#N/A</v>
      </c>
      <c r="Z511" s="206" t="e">
        <f>VLOOKUP($F511,#REF!,9,1)</f>
        <v>#REF!</v>
      </c>
      <c r="AA511" s="206" t="e">
        <f t="shared" si="54"/>
        <v>#REF!</v>
      </c>
      <c r="AB511" s="206" t="e">
        <v>#N/A</v>
      </c>
      <c r="AC511" s="206" t="e">
        <f>VLOOKUP($F511,#REF!,14,1)</f>
        <v>#REF!</v>
      </c>
      <c r="AD511" s="206" t="e">
        <f>VLOOKUP($F511,#REF!,40,0)</f>
        <v>#REF!</v>
      </c>
      <c r="AE511" s="206" t="e">
        <f t="shared" si="50"/>
        <v>#REF!</v>
      </c>
      <c r="AF511" s="206" t="e">
        <v>#N/A</v>
      </c>
      <c r="AG511" s="206" t="e">
        <f>VLOOKUP($F511,#REF!,42,0)</f>
        <v>#REF!</v>
      </c>
      <c r="AH511" s="206" t="e">
        <f t="shared" si="51"/>
        <v>#REF!</v>
      </c>
      <c r="AI511" s="206" t="e">
        <v>#N/A</v>
      </c>
      <c r="AJ511" s="206" t="e">
        <f>VLOOKUP($F511,#REF!,43,0)</f>
        <v>#REF!</v>
      </c>
    </row>
    <row r="512" spans="2:36" s="102" customFormat="1" ht="22.5">
      <c r="B512" s="97"/>
      <c r="C512" s="107" t="s">
        <v>1922</v>
      </c>
      <c r="D512" t="s">
        <v>2176</v>
      </c>
      <c r="E512" s="123" t="s">
        <v>2260</v>
      </c>
      <c r="Q512" s="206" t="s">
        <v>2161</v>
      </c>
      <c r="R512" s="206">
        <f t="shared" si="47"/>
        <v>512</v>
      </c>
      <c r="S512" s="206" t="str">
        <f t="shared" si="48"/>
        <v>;'C LEGAL'!$E$10:$BD$100;14;1)</v>
      </c>
      <c r="T512" s="203" t="s">
        <v>2221</v>
      </c>
      <c r="U512" s="206" t="str">
        <f t="shared" si="55"/>
        <v>=BUSCARV($E512;'C LEGAL'!$E$10:$BD$100;14;1)</v>
      </c>
      <c r="V512" s="206"/>
      <c r="W512" s="206" t="e">
        <f>VLOOKUP($F512,#REF!,8,1)</f>
        <v>#REF!</v>
      </c>
      <c r="X512" s="206" t="e">
        <f t="shared" si="49"/>
        <v>#REF!</v>
      </c>
      <c r="Y512" s="206" t="e">
        <v>#N/A</v>
      </c>
      <c r="Z512" s="206" t="e">
        <f>VLOOKUP($F512,#REF!,9,1)</f>
        <v>#REF!</v>
      </c>
      <c r="AA512" s="206" t="e">
        <f t="shared" si="54"/>
        <v>#REF!</v>
      </c>
      <c r="AB512" s="206" t="e">
        <v>#N/A</v>
      </c>
      <c r="AC512" s="206" t="e">
        <f>VLOOKUP($F512,#REF!,14,1)</f>
        <v>#REF!</v>
      </c>
      <c r="AD512" s="206" t="e">
        <f>VLOOKUP($F512,#REF!,40,0)</f>
        <v>#REF!</v>
      </c>
      <c r="AE512" s="206" t="e">
        <f t="shared" si="50"/>
        <v>#REF!</v>
      </c>
      <c r="AF512" s="206" t="e">
        <v>#N/A</v>
      </c>
      <c r="AG512" s="206" t="e">
        <f>VLOOKUP($F512,#REF!,42,0)</f>
        <v>#REF!</v>
      </c>
      <c r="AH512" s="206" t="e">
        <f t="shared" si="51"/>
        <v>#REF!</v>
      </c>
      <c r="AI512" s="206" t="e">
        <v>#N/A</v>
      </c>
      <c r="AJ512" s="206" t="e">
        <f>VLOOKUP($F512,#REF!,43,0)</f>
        <v>#REF!</v>
      </c>
    </row>
    <row r="513" spans="2:36" s="102" customFormat="1" ht="22.5">
      <c r="B513" s="97"/>
      <c r="C513" s="107" t="s">
        <v>1922</v>
      </c>
      <c r="D513" t="s">
        <v>2176</v>
      </c>
      <c r="E513" s="123" t="s">
        <v>2260</v>
      </c>
      <c r="Q513" s="206" t="s">
        <v>2161</v>
      </c>
      <c r="R513" s="206">
        <f t="shared" si="47"/>
        <v>513</v>
      </c>
      <c r="S513" s="206" t="str">
        <f t="shared" si="48"/>
        <v>;'C LEGAL'!$E$10:$BD$100;14;1)</v>
      </c>
      <c r="T513" s="203" t="s">
        <v>2221</v>
      </c>
      <c r="U513" s="206" t="str">
        <f t="shared" si="55"/>
        <v>=BUSCARV($E513;'C LEGAL'!$E$10:$BD$100;14;1)</v>
      </c>
      <c r="V513" s="206"/>
      <c r="W513" s="206" t="e">
        <f>VLOOKUP($F513,#REF!,8,1)</f>
        <v>#REF!</v>
      </c>
      <c r="X513" s="206" t="e">
        <f t="shared" si="49"/>
        <v>#REF!</v>
      </c>
      <c r="Y513" s="206" t="e">
        <v>#N/A</v>
      </c>
      <c r="Z513" s="206" t="e">
        <f>VLOOKUP($F513,#REF!,9,1)</f>
        <v>#REF!</v>
      </c>
      <c r="AA513" s="206" t="e">
        <f t="shared" si="54"/>
        <v>#REF!</v>
      </c>
      <c r="AB513" s="206" t="e">
        <v>#N/A</v>
      </c>
      <c r="AC513" s="206" t="e">
        <f>VLOOKUP($F513,#REF!,14,1)</f>
        <v>#REF!</v>
      </c>
      <c r="AD513" s="206" t="e">
        <f>VLOOKUP($F513,#REF!,40,0)</f>
        <v>#REF!</v>
      </c>
      <c r="AE513" s="206" t="e">
        <f t="shared" si="50"/>
        <v>#REF!</v>
      </c>
      <c r="AF513" s="206" t="e">
        <v>#N/A</v>
      </c>
      <c r="AG513" s="206" t="e">
        <f>VLOOKUP($F513,#REF!,42,0)</f>
        <v>#REF!</v>
      </c>
      <c r="AH513" s="206" t="e">
        <f t="shared" si="51"/>
        <v>#REF!</v>
      </c>
      <c r="AI513" s="206" t="e">
        <v>#N/A</v>
      </c>
      <c r="AJ513" s="206" t="e">
        <f>VLOOKUP($F513,#REF!,43,0)</f>
        <v>#REF!</v>
      </c>
    </row>
    <row r="514" spans="2:36" s="102" customFormat="1" ht="22.5">
      <c r="B514" s="97"/>
      <c r="C514" s="107" t="s">
        <v>1922</v>
      </c>
      <c r="D514" t="s">
        <v>2176</v>
      </c>
      <c r="E514" s="123" t="s">
        <v>2260</v>
      </c>
      <c r="Q514" s="206" t="s">
        <v>2161</v>
      </c>
      <c r="R514" s="206">
        <f t="shared" si="47"/>
        <v>514</v>
      </c>
      <c r="S514" s="206" t="str">
        <f t="shared" si="48"/>
        <v>;'C LEGAL'!$E$10:$BD$100;14;1)</v>
      </c>
      <c r="T514" s="203" t="s">
        <v>2221</v>
      </c>
      <c r="U514" s="206" t="str">
        <f t="shared" si="55"/>
        <v>=BUSCARV($E514;'C LEGAL'!$E$10:$BD$100;14;1)</v>
      </c>
      <c r="V514" s="206"/>
      <c r="W514" s="206" t="e">
        <f>VLOOKUP($F514,#REF!,8,1)</f>
        <v>#REF!</v>
      </c>
      <c r="X514" s="206" t="e">
        <f t="shared" si="49"/>
        <v>#REF!</v>
      </c>
      <c r="Y514" s="206" t="e">
        <v>#N/A</v>
      </c>
      <c r="Z514" s="206" t="e">
        <f>VLOOKUP($F514,#REF!,9,1)</f>
        <v>#REF!</v>
      </c>
      <c r="AA514" s="206" t="e">
        <f t="shared" si="54"/>
        <v>#REF!</v>
      </c>
      <c r="AB514" s="206" t="e">
        <v>#N/A</v>
      </c>
      <c r="AC514" s="206" t="e">
        <f>VLOOKUP($F514,#REF!,14,1)</f>
        <v>#REF!</v>
      </c>
      <c r="AD514" s="206" t="e">
        <f>VLOOKUP($F514,#REF!,40,0)</f>
        <v>#REF!</v>
      </c>
      <c r="AE514" s="206" t="e">
        <f t="shared" si="50"/>
        <v>#REF!</v>
      </c>
      <c r="AF514" s="206" t="e">
        <v>#N/A</v>
      </c>
      <c r="AG514" s="206" t="e">
        <f>VLOOKUP($F514,#REF!,42,0)</f>
        <v>#REF!</v>
      </c>
      <c r="AH514" s="206" t="e">
        <f t="shared" si="51"/>
        <v>#REF!</v>
      </c>
      <c r="AI514" s="206" t="e">
        <v>#N/A</v>
      </c>
      <c r="AJ514" s="206" t="e">
        <f>VLOOKUP($F514,#REF!,43,0)</f>
        <v>#REF!</v>
      </c>
    </row>
    <row r="515" spans="2:36" s="102" customFormat="1" ht="22.5">
      <c r="B515" s="97"/>
      <c r="C515" s="107" t="s">
        <v>1922</v>
      </c>
      <c r="D515" t="s">
        <v>2176</v>
      </c>
      <c r="E515" s="123" t="s">
        <v>2260</v>
      </c>
      <c r="Q515" s="206" t="s">
        <v>2161</v>
      </c>
      <c r="R515" s="206">
        <f t="shared" si="47"/>
        <v>515</v>
      </c>
      <c r="S515" s="206" t="str">
        <f t="shared" si="48"/>
        <v>;'C LEGAL'!$E$10:$BD$100;14;1)</v>
      </c>
      <c r="T515" s="203" t="s">
        <v>2221</v>
      </c>
      <c r="U515" s="206" t="str">
        <f t="shared" si="55"/>
        <v>=BUSCARV($E515;'C LEGAL'!$E$10:$BD$100;14;1)</v>
      </c>
      <c r="V515" s="206"/>
      <c r="W515" s="206" t="e">
        <f>VLOOKUP($F515,#REF!,8,1)</f>
        <v>#REF!</v>
      </c>
      <c r="X515" s="206" t="e">
        <f t="shared" si="49"/>
        <v>#REF!</v>
      </c>
      <c r="Y515" s="206" t="e">
        <v>#N/A</v>
      </c>
      <c r="Z515" s="206" t="e">
        <f>VLOOKUP($F515,#REF!,9,1)</f>
        <v>#REF!</v>
      </c>
      <c r="AA515" s="206" t="e">
        <f t="shared" si="54"/>
        <v>#REF!</v>
      </c>
      <c r="AB515" s="206" t="e">
        <v>#N/A</v>
      </c>
      <c r="AC515" s="206" t="e">
        <f>VLOOKUP($F515,#REF!,14,1)</f>
        <v>#REF!</v>
      </c>
      <c r="AD515" s="206" t="e">
        <f>VLOOKUP($F515,#REF!,40,0)</f>
        <v>#REF!</v>
      </c>
      <c r="AE515" s="206" t="e">
        <f t="shared" si="50"/>
        <v>#REF!</v>
      </c>
      <c r="AF515" s="206" t="e">
        <v>#N/A</v>
      </c>
      <c r="AG515" s="206" t="e">
        <f>VLOOKUP($F515,#REF!,42,0)</f>
        <v>#REF!</v>
      </c>
      <c r="AH515" s="206" t="e">
        <f t="shared" si="51"/>
        <v>#REF!</v>
      </c>
      <c r="AI515" s="206" t="e">
        <v>#N/A</v>
      </c>
      <c r="AJ515" s="206" t="e">
        <f>VLOOKUP($F515,#REF!,43,0)</f>
        <v>#REF!</v>
      </c>
    </row>
    <row r="516" spans="2:36" s="102" customFormat="1" ht="22.5">
      <c r="B516" s="97"/>
      <c r="C516" s="107" t="s">
        <v>1922</v>
      </c>
      <c r="D516" t="s">
        <v>2176</v>
      </c>
      <c r="E516" s="123" t="s">
        <v>2260</v>
      </c>
      <c r="Q516" s="206" t="s">
        <v>2161</v>
      </c>
      <c r="R516" s="206">
        <f t="shared" si="47"/>
        <v>516</v>
      </c>
      <c r="S516" s="206" t="str">
        <f t="shared" si="48"/>
        <v>;'C LEGAL'!$E$10:$BD$100;14;1)</v>
      </c>
      <c r="T516" s="203" t="s">
        <v>2221</v>
      </c>
      <c r="U516" s="206" t="str">
        <f t="shared" si="55"/>
        <v>=BUSCARV($E516;'C LEGAL'!$E$10:$BD$100;14;1)</v>
      </c>
      <c r="V516" s="206"/>
      <c r="W516" s="206" t="e">
        <f>VLOOKUP($F516,#REF!,8,1)</f>
        <v>#REF!</v>
      </c>
      <c r="X516" s="206" t="e">
        <f t="shared" si="49"/>
        <v>#REF!</v>
      </c>
      <c r="Y516" s="206" t="e">
        <v>#N/A</v>
      </c>
      <c r="Z516" s="206" t="e">
        <f>VLOOKUP($F516,#REF!,9,1)</f>
        <v>#REF!</v>
      </c>
      <c r="AA516" s="206" t="e">
        <f t="shared" si="54"/>
        <v>#REF!</v>
      </c>
      <c r="AB516" s="206" t="e">
        <v>#N/A</v>
      </c>
      <c r="AC516" s="206" t="e">
        <f>VLOOKUP($F516,#REF!,14,1)</f>
        <v>#REF!</v>
      </c>
      <c r="AD516" s="206" t="e">
        <f>VLOOKUP($F516,#REF!,40,0)</f>
        <v>#REF!</v>
      </c>
      <c r="AE516" s="206" t="e">
        <f t="shared" si="50"/>
        <v>#REF!</v>
      </c>
      <c r="AF516" s="206" t="e">
        <v>#N/A</v>
      </c>
      <c r="AG516" s="206" t="e">
        <f>VLOOKUP($F516,#REF!,42,0)</f>
        <v>#REF!</v>
      </c>
      <c r="AH516" s="206" t="e">
        <f t="shared" si="51"/>
        <v>#REF!</v>
      </c>
      <c r="AI516" s="206" t="e">
        <v>#N/A</v>
      </c>
      <c r="AJ516" s="206" t="e">
        <f>VLOOKUP($F516,#REF!,43,0)</f>
        <v>#REF!</v>
      </c>
    </row>
    <row r="517" spans="2:36" s="102" customFormat="1" ht="22.5">
      <c r="B517" s="97"/>
      <c r="C517" s="107" t="s">
        <v>1922</v>
      </c>
      <c r="D517" t="s">
        <v>2176</v>
      </c>
      <c r="E517" s="123" t="s">
        <v>2260</v>
      </c>
      <c r="Q517" s="206" t="s">
        <v>2161</v>
      </c>
      <c r="R517" s="206">
        <f t="shared" si="47"/>
        <v>517</v>
      </c>
      <c r="S517" s="206" t="str">
        <f t="shared" si="48"/>
        <v>;'C LEGAL'!$E$10:$BD$100;14;1)</v>
      </c>
      <c r="T517" s="203" t="s">
        <v>2221</v>
      </c>
      <c r="U517" s="206" t="str">
        <f t="shared" si="55"/>
        <v>=BUSCARV($E517;'C LEGAL'!$E$10:$BD$100;14;1)</v>
      </c>
      <c r="V517" s="206"/>
      <c r="W517" s="206" t="e">
        <f>VLOOKUP($F517,#REF!,8,1)</f>
        <v>#REF!</v>
      </c>
      <c r="X517" s="206" t="e">
        <f t="shared" si="49"/>
        <v>#REF!</v>
      </c>
      <c r="Y517" s="206" t="e">
        <v>#N/A</v>
      </c>
      <c r="Z517" s="206" t="e">
        <f>VLOOKUP($F517,#REF!,9,1)</f>
        <v>#REF!</v>
      </c>
      <c r="AA517" s="206" t="e">
        <f t="shared" si="54"/>
        <v>#REF!</v>
      </c>
      <c r="AB517" s="206" t="e">
        <v>#N/A</v>
      </c>
      <c r="AC517" s="206" t="e">
        <f>VLOOKUP($F517,#REF!,14,1)</f>
        <v>#REF!</v>
      </c>
      <c r="AD517" s="206" t="e">
        <f>VLOOKUP($F517,#REF!,40,0)</f>
        <v>#REF!</v>
      </c>
      <c r="AE517" s="206" t="e">
        <f t="shared" si="50"/>
        <v>#REF!</v>
      </c>
      <c r="AF517" s="206" t="e">
        <v>#N/A</v>
      </c>
      <c r="AG517" s="206" t="e">
        <f>VLOOKUP($F517,#REF!,42,0)</f>
        <v>#REF!</v>
      </c>
      <c r="AH517" s="206" t="e">
        <f t="shared" si="51"/>
        <v>#REF!</v>
      </c>
      <c r="AI517" s="206" t="e">
        <v>#N/A</v>
      </c>
      <c r="AJ517" s="206" t="e">
        <f>VLOOKUP($F517,#REF!,43,0)</f>
        <v>#REF!</v>
      </c>
    </row>
    <row r="518" spans="2:36" s="102" customFormat="1" ht="22.5">
      <c r="B518" s="97"/>
      <c r="C518" s="107" t="s">
        <v>1922</v>
      </c>
      <c r="D518" t="s">
        <v>2176</v>
      </c>
      <c r="E518" s="123" t="s">
        <v>2260</v>
      </c>
      <c r="Q518" s="206" t="s">
        <v>2161</v>
      </c>
      <c r="R518" s="206">
        <f t="shared" si="47"/>
        <v>518</v>
      </c>
      <c r="S518" s="206" t="str">
        <f t="shared" si="48"/>
        <v>;'C LEGAL'!$E$10:$BD$100;14;1)</v>
      </c>
      <c r="T518" s="203" t="s">
        <v>2221</v>
      </c>
      <c r="U518" s="206" t="str">
        <f t="shared" si="55"/>
        <v>=BUSCARV($E518;'C LEGAL'!$E$10:$BD$100;14;1)</v>
      </c>
      <c r="V518" s="206"/>
      <c r="W518" s="206" t="e">
        <f>VLOOKUP($F518,#REF!,8,1)</f>
        <v>#REF!</v>
      </c>
      <c r="X518" s="206" t="e">
        <f t="shared" si="49"/>
        <v>#REF!</v>
      </c>
      <c r="Y518" s="206" t="e">
        <v>#N/A</v>
      </c>
      <c r="Z518" s="206" t="e">
        <f>VLOOKUP($F518,#REF!,9,1)</f>
        <v>#REF!</v>
      </c>
      <c r="AA518" s="206" t="e">
        <f t="shared" si="54"/>
        <v>#REF!</v>
      </c>
      <c r="AB518" s="206" t="e">
        <v>#N/A</v>
      </c>
      <c r="AC518" s="206" t="e">
        <f>VLOOKUP($F518,#REF!,14,1)</f>
        <v>#REF!</v>
      </c>
      <c r="AD518" s="206" t="e">
        <f>VLOOKUP($F518,#REF!,40,0)</f>
        <v>#REF!</v>
      </c>
      <c r="AE518" s="206" t="e">
        <f t="shared" si="50"/>
        <v>#REF!</v>
      </c>
      <c r="AF518" s="206" t="e">
        <v>#N/A</v>
      </c>
      <c r="AG518" s="206" t="e">
        <f>VLOOKUP($F518,#REF!,42,0)</f>
        <v>#REF!</v>
      </c>
      <c r="AH518" s="206" t="e">
        <f t="shared" si="51"/>
        <v>#REF!</v>
      </c>
      <c r="AI518" s="206" t="e">
        <v>#N/A</v>
      </c>
      <c r="AJ518" s="206" t="e">
        <f>VLOOKUP($F518,#REF!,43,0)</f>
        <v>#REF!</v>
      </c>
    </row>
    <row r="519" spans="2:36" s="102" customFormat="1" ht="22.5">
      <c r="B519" s="97"/>
      <c r="C519" s="107" t="s">
        <v>1922</v>
      </c>
      <c r="D519" t="s">
        <v>2176</v>
      </c>
      <c r="E519" s="123" t="s">
        <v>2260</v>
      </c>
      <c r="Q519" s="206" t="s">
        <v>2161</v>
      </c>
      <c r="R519" s="206">
        <f t="shared" si="47"/>
        <v>519</v>
      </c>
      <c r="S519" s="206" t="str">
        <f t="shared" si="48"/>
        <v>;'C LEGAL'!$E$10:$BD$100;14;1)</v>
      </c>
      <c r="T519" s="203" t="s">
        <v>2221</v>
      </c>
      <c r="U519" s="206" t="str">
        <f t="shared" si="55"/>
        <v>=BUSCARV($E519;'C LEGAL'!$E$10:$BD$100;14;1)</v>
      </c>
      <c r="V519" s="206"/>
      <c r="W519" s="206" t="e">
        <f>VLOOKUP($F519,#REF!,8,1)</f>
        <v>#REF!</v>
      </c>
      <c r="X519" s="206" t="e">
        <f t="shared" si="49"/>
        <v>#REF!</v>
      </c>
      <c r="Y519" s="206" t="e">
        <v>#N/A</v>
      </c>
      <c r="Z519" s="206" t="e">
        <f>VLOOKUP($F519,#REF!,9,1)</f>
        <v>#REF!</v>
      </c>
      <c r="AA519" s="206" t="e">
        <f t="shared" si="54"/>
        <v>#REF!</v>
      </c>
      <c r="AB519" s="206" t="e">
        <v>#N/A</v>
      </c>
      <c r="AC519" s="206" t="e">
        <f>VLOOKUP($F519,#REF!,14,1)</f>
        <v>#REF!</v>
      </c>
      <c r="AD519" s="206" t="e">
        <f>VLOOKUP($F519,#REF!,40,0)</f>
        <v>#REF!</v>
      </c>
      <c r="AE519" s="206" t="e">
        <f t="shared" si="50"/>
        <v>#REF!</v>
      </c>
      <c r="AF519" s="206" t="e">
        <v>#N/A</v>
      </c>
      <c r="AG519" s="206" t="e">
        <f>VLOOKUP($F519,#REF!,42,0)</f>
        <v>#REF!</v>
      </c>
      <c r="AH519" s="206" t="e">
        <f t="shared" si="51"/>
        <v>#REF!</v>
      </c>
      <c r="AI519" s="206" t="e">
        <v>#N/A</v>
      </c>
      <c r="AJ519" s="206" t="e">
        <f>VLOOKUP($F519,#REF!,43,0)</f>
        <v>#REF!</v>
      </c>
    </row>
    <row r="520" spans="2:36" s="102" customFormat="1" ht="22.5">
      <c r="B520" s="97"/>
      <c r="C520" s="104" t="s">
        <v>1931</v>
      </c>
      <c r="D520" t="s">
        <v>2177</v>
      </c>
      <c r="E520" s="123" t="s">
        <v>2260</v>
      </c>
      <c r="F520" s="102" t="s">
        <v>341</v>
      </c>
      <c r="G520" s="97" t="s">
        <v>1929</v>
      </c>
      <c r="Q520" s="206" t="s">
        <v>2161</v>
      </c>
      <c r="R520" s="206">
        <f t="shared" si="47"/>
        <v>520</v>
      </c>
      <c r="S520" s="206" t="str">
        <f t="shared" si="48"/>
        <v>;'C CALIDAD'!$E$10:$BD$100;14;1)</v>
      </c>
      <c r="T520" s="203" t="s">
        <v>2222</v>
      </c>
      <c r="U520" s="206" t="str">
        <f t="shared" si="26"/>
        <v>=BUSCARV($E520;'C CALIDAD'!$E$10:$BD$100;14;1)</v>
      </c>
      <c r="V520" s="206"/>
      <c r="W520" s="206" t="e">
        <f>VLOOKUP($F520,#REF!,8,1)</f>
        <v>#REF!</v>
      </c>
      <c r="X520" s="206" t="e">
        <f t="shared" si="49"/>
        <v>#REF!</v>
      </c>
      <c r="Y520" s="206">
        <v>1</v>
      </c>
      <c r="Z520" s="206" t="e">
        <f>VLOOKUP($F520,#REF!,9,1)</f>
        <v>#REF!</v>
      </c>
      <c r="AA520" s="206" t="e">
        <f t="shared" si="54"/>
        <v>#REF!</v>
      </c>
      <c r="AB520" s="206">
        <v>10</v>
      </c>
      <c r="AC520" s="206" t="e">
        <f>VLOOKUP($F520,#REF!,14,1)</f>
        <v>#REF!</v>
      </c>
      <c r="AD520" s="206" t="e">
        <f>VLOOKUP($F520,#REF!,40,0)</f>
        <v>#REF!</v>
      </c>
      <c r="AE520" s="206" t="e">
        <f t="shared" si="50"/>
        <v>#REF!</v>
      </c>
      <c r="AF520" s="206">
        <v>1</v>
      </c>
      <c r="AG520" s="206" t="e">
        <f>VLOOKUP($F520,#REF!,42,0)</f>
        <v>#REF!</v>
      </c>
      <c r="AH520" s="206" t="e">
        <f t="shared" si="51"/>
        <v>#REF!</v>
      </c>
      <c r="AI520" s="206">
        <v>10</v>
      </c>
      <c r="AJ520" s="206" t="e">
        <f>VLOOKUP($F520,#REF!,43,0)</f>
        <v>#REF!</v>
      </c>
    </row>
    <row r="521" spans="2:36" s="102" customFormat="1" ht="22.5">
      <c r="B521" s="97"/>
      <c r="C521" s="104" t="s">
        <v>1931</v>
      </c>
      <c r="D521" t="s">
        <v>2177</v>
      </c>
      <c r="E521" s="123" t="s">
        <v>2260</v>
      </c>
      <c r="Q521" s="206" t="s">
        <v>2161</v>
      </c>
      <c r="R521" s="206">
        <f t="shared" si="47"/>
        <v>521</v>
      </c>
      <c r="S521" s="206" t="str">
        <f t="shared" si="48"/>
        <v>;'C CALIDAD'!$E$10:$BD$100;14;1)</v>
      </c>
      <c r="T521" s="203" t="s">
        <v>2222</v>
      </c>
      <c r="U521" s="206" t="str">
        <f t="shared" ref="U521:U535" si="56">CONCATENATE("=BUSCARV($E",R521,T521)</f>
        <v>=BUSCARV($E521;'C CALIDAD'!$E$10:$BD$100;14;1)</v>
      </c>
      <c r="V521" s="206"/>
      <c r="W521" s="206" t="e">
        <f>VLOOKUP($F521,#REF!,8,1)</f>
        <v>#REF!</v>
      </c>
      <c r="X521" s="206" t="e">
        <f t="shared" si="49"/>
        <v>#REF!</v>
      </c>
      <c r="Y521" s="206" t="e">
        <v>#N/A</v>
      </c>
      <c r="Z521" s="206" t="e">
        <f>VLOOKUP($F521,#REF!,9,1)</f>
        <v>#REF!</v>
      </c>
      <c r="AA521" s="206" t="e">
        <f t="shared" si="54"/>
        <v>#REF!</v>
      </c>
      <c r="AB521" s="206" t="e">
        <v>#N/A</v>
      </c>
      <c r="AC521" s="206" t="e">
        <f>VLOOKUP($F521,#REF!,14,1)</f>
        <v>#REF!</v>
      </c>
      <c r="AD521" s="206" t="e">
        <f>VLOOKUP($F521,#REF!,40,0)</f>
        <v>#REF!</v>
      </c>
      <c r="AE521" s="206" t="e">
        <f t="shared" si="50"/>
        <v>#REF!</v>
      </c>
      <c r="AF521" s="206" t="e">
        <v>#N/A</v>
      </c>
      <c r="AG521" s="206" t="e">
        <f>VLOOKUP($F521,#REF!,42,0)</f>
        <v>#REF!</v>
      </c>
      <c r="AH521" s="206" t="e">
        <f t="shared" si="51"/>
        <v>#REF!</v>
      </c>
      <c r="AI521" s="206" t="e">
        <v>#N/A</v>
      </c>
      <c r="AJ521" s="206" t="e">
        <f>VLOOKUP($F521,#REF!,43,0)</f>
        <v>#REF!</v>
      </c>
    </row>
    <row r="522" spans="2:36" s="102" customFormat="1" ht="22.5">
      <c r="B522" s="97"/>
      <c r="C522" s="104" t="s">
        <v>1931</v>
      </c>
      <c r="D522" t="s">
        <v>2177</v>
      </c>
      <c r="E522" s="123" t="s">
        <v>2260</v>
      </c>
      <c r="Q522" s="206" t="s">
        <v>2161</v>
      </c>
      <c r="R522" s="206">
        <f t="shared" si="47"/>
        <v>522</v>
      </c>
      <c r="S522" s="206" t="str">
        <f t="shared" si="48"/>
        <v>;'C CALIDAD'!$E$10:$BD$100;14;1)</v>
      </c>
      <c r="T522" s="203" t="s">
        <v>2222</v>
      </c>
      <c r="U522" s="206" t="str">
        <f t="shared" si="56"/>
        <v>=BUSCARV($E522;'C CALIDAD'!$E$10:$BD$100;14;1)</v>
      </c>
      <c r="V522" s="206"/>
      <c r="W522" s="206" t="e">
        <f>VLOOKUP($F522,#REF!,8,1)</f>
        <v>#REF!</v>
      </c>
      <c r="X522" s="206" t="e">
        <f t="shared" si="49"/>
        <v>#REF!</v>
      </c>
      <c r="Y522" s="206" t="e">
        <v>#N/A</v>
      </c>
      <c r="Z522" s="206" t="e">
        <f>VLOOKUP($F522,#REF!,9,1)</f>
        <v>#REF!</v>
      </c>
      <c r="AA522" s="206" t="e">
        <f t="shared" si="54"/>
        <v>#REF!</v>
      </c>
      <c r="AB522" s="206" t="e">
        <v>#N/A</v>
      </c>
      <c r="AC522" s="206" t="e">
        <f>VLOOKUP($F522,#REF!,14,1)</f>
        <v>#REF!</v>
      </c>
      <c r="AD522" s="206" t="e">
        <f>VLOOKUP($F522,#REF!,40,0)</f>
        <v>#REF!</v>
      </c>
      <c r="AE522" s="206" t="e">
        <f t="shared" si="50"/>
        <v>#REF!</v>
      </c>
      <c r="AF522" s="206" t="e">
        <v>#N/A</v>
      </c>
      <c r="AG522" s="206" t="e">
        <f>VLOOKUP($F522,#REF!,42,0)</f>
        <v>#REF!</v>
      </c>
      <c r="AH522" s="206" t="e">
        <f t="shared" si="51"/>
        <v>#REF!</v>
      </c>
      <c r="AI522" s="206" t="e">
        <v>#N/A</v>
      </c>
      <c r="AJ522" s="206" t="e">
        <f>VLOOKUP($F522,#REF!,43,0)</f>
        <v>#REF!</v>
      </c>
    </row>
    <row r="523" spans="2:36" s="102" customFormat="1" ht="22.5">
      <c r="B523" s="97"/>
      <c r="C523" s="104" t="s">
        <v>1931</v>
      </c>
      <c r="D523" t="s">
        <v>2177</v>
      </c>
      <c r="E523" s="123" t="s">
        <v>2260</v>
      </c>
      <c r="Q523" s="206" t="s">
        <v>2161</v>
      </c>
      <c r="R523" s="206">
        <f t="shared" si="47"/>
        <v>523</v>
      </c>
      <c r="S523" s="206" t="str">
        <f t="shared" si="48"/>
        <v>;'C CALIDAD'!$E$10:$BD$100;14;1)</v>
      </c>
      <c r="T523" s="203" t="s">
        <v>2222</v>
      </c>
      <c r="U523" s="206" t="str">
        <f t="shared" si="56"/>
        <v>=BUSCARV($E523;'C CALIDAD'!$E$10:$BD$100;14;1)</v>
      </c>
      <c r="V523" s="206"/>
      <c r="W523" s="206" t="e">
        <f>VLOOKUP($F523,#REF!,8,1)</f>
        <v>#REF!</v>
      </c>
      <c r="X523" s="206" t="e">
        <f t="shared" si="49"/>
        <v>#REF!</v>
      </c>
      <c r="Y523" s="206" t="e">
        <v>#N/A</v>
      </c>
      <c r="Z523" s="206" t="e">
        <f>VLOOKUP($F523,#REF!,9,1)</f>
        <v>#REF!</v>
      </c>
      <c r="AA523" s="206" t="e">
        <f t="shared" si="54"/>
        <v>#REF!</v>
      </c>
      <c r="AB523" s="206" t="e">
        <v>#N/A</v>
      </c>
      <c r="AC523" s="206" t="e">
        <f>VLOOKUP($F523,#REF!,14,1)</f>
        <v>#REF!</v>
      </c>
      <c r="AD523" s="206" t="e">
        <f>VLOOKUP($F523,#REF!,40,0)</f>
        <v>#REF!</v>
      </c>
      <c r="AE523" s="206" t="e">
        <f t="shared" si="50"/>
        <v>#REF!</v>
      </c>
      <c r="AF523" s="206" t="e">
        <v>#N/A</v>
      </c>
      <c r="AG523" s="206" t="e">
        <f>VLOOKUP($F523,#REF!,42,0)</f>
        <v>#REF!</v>
      </c>
      <c r="AH523" s="206" t="e">
        <f t="shared" si="51"/>
        <v>#REF!</v>
      </c>
      <c r="AI523" s="206" t="e">
        <v>#N/A</v>
      </c>
      <c r="AJ523" s="206" t="e">
        <f>VLOOKUP($F523,#REF!,43,0)</f>
        <v>#REF!</v>
      </c>
    </row>
    <row r="524" spans="2:36" s="102" customFormat="1" ht="22.5">
      <c r="B524" s="97"/>
      <c r="C524" s="104" t="s">
        <v>1931</v>
      </c>
      <c r="D524" t="s">
        <v>2177</v>
      </c>
      <c r="E524" s="123" t="s">
        <v>2260</v>
      </c>
      <c r="Q524" s="206" t="s">
        <v>2161</v>
      </c>
      <c r="R524" s="206">
        <f t="shared" si="47"/>
        <v>524</v>
      </c>
      <c r="S524" s="206" t="str">
        <f t="shared" si="48"/>
        <v>;'C CALIDAD'!$E$10:$BD$100;14;1)</v>
      </c>
      <c r="T524" s="203" t="s">
        <v>2222</v>
      </c>
      <c r="U524" s="206" t="str">
        <f t="shared" si="56"/>
        <v>=BUSCARV($E524;'C CALIDAD'!$E$10:$BD$100;14;1)</v>
      </c>
      <c r="V524" s="206"/>
      <c r="W524" s="206" t="e">
        <f>VLOOKUP($F524,#REF!,8,1)</f>
        <v>#REF!</v>
      </c>
      <c r="X524" s="206" t="e">
        <f t="shared" si="49"/>
        <v>#REF!</v>
      </c>
      <c r="Y524" s="206" t="e">
        <v>#N/A</v>
      </c>
      <c r="Z524" s="206" t="e">
        <f>VLOOKUP($F524,#REF!,9,1)</f>
        <v>#REF!</v>
      </c>
      <c r="AA524" s="206" t="e">
        <f t="shared" si="54"/>
        <v>#REF!</v>
      </c>
      <c r="AB524" s="206" t="e">
        <v>#N/A</v>
      </c>
      <c r="AC524" s="206" t="e">
        <f>VLOOKUP($F524,#REF!,14,1)</f>
        <v>#REF!</v>
      </c>
      <c r="AD524" s="206" t="e">
        <f>VLOOKUP($F524,#REF!,40,0)</f>
        <v>#REF!</v>
      </c>
      <c r="AE524" s="206" t="e">
        <f t="shared" si="50"/>
        <v>#REF!</v>
      </c>
      <c r="AF524" s="206" t="e">
        <v>#N/A</v>
      </c>
      <c r="AG524" s="206" t="e">
        <f>VLOOKUP($F524,#REF!,42,0)</f>
        <v>#REF!</v>
      </c>
      <c r="AH524" s="206" t="e">
        <f t="shared" si="51"/>
        <v>#REF!</v>
      </c>
      <c r="AI524" s="206" t="e">
        <v>#N/A</v>
      </c>
      <c r="AJ524" s="206" t="e">
        <f>VLOOKUP($F524,#REF!,43,0)</f>
        <v>#REF!</v>
      </c>
    </row>
    <row r="525" spans="2:36" s="102" customFormat="1" ht="22.5">
      <c r="B525" s="97"/>
      <c r="C525" s="104" t="s">
        <v>1931</v>
      </c>
      <c r="D525" t="s">
        <v>2177</v>
      </c>
      <c r="E525" s="123" t="s">
        <v>2260</v>
      </c>
      <c r="Q525" s="206" t="s">
        <v>2161</v>
      </c>
      <c r="R525" s="206">
        <f t="shared" si="47"/>
        <v>525</v>
      </c>
      <c r="S525" s="206" t="str">
        <f t="shared" si="48"/>
        <v>;'C CALIDAD'!$E$10:$BD$100;14;1)</v>
      </c>
      <c r="T525" s="203" t="s">
        <v>2222</v>
      </c>
      <c r="U525" s="206" t="str">
        <f t="shared" si="56"/>
        <v>=BUSCARV($E525;'C CALIDAD'!$E$10:$BD$100;14;1)</v>
      </c>
      <c r="V525" s="206"/>
      <c r="W525" s="206" t="e">
        <f>VLOOKUP($F525,#REF!,8,1)</f>
        <v>#REF!</v>
      </c>
      <c r="X525" s="206" t="e">
        <f t="shared" si="49"/>
        <v>#REF!</v>
      </c>
      <c r="Y525" s="206" t="e">
        <v>#N/A</v>
      </c>
      <c r="Z525" s="206" t="e">
        <f>VLOOKUP($F525,#REF!,9,1)</f>
        <v>#REF!</v>
      </c>
      <c r="AA525" s="206" t="e">
        <f t="shared" si="54"/>
        <v>#REF!</v>
      </c>
      <c r="AB525" s="206" t="e">
        <v>#N/A</v>
      </c>
      <c r="AC525" s="206" t="e">
        <f>VLOOKUP($F525,#REF!,14,1)</f>
        <v>#REF!</v>
      </c>
      <c r="AD525" s="206" t="e">
        <f>VLOOKUP($F525,#REF!,40,0)</f>
        <v>#REF!</v>
      </c>
      <c r="AE525" s="206" t="e">
        <f t="shared" si="50"/>
        <v>#REF!</v>
      </c>
      <c r="AF525" s="206" t="e">
        <v>#N/A</v>
      </c>
      <c r="AG525" s="206" t="e">
        <f>VLOOKUP($F525,#REF!,42,0)</f>
        <v>#REF!</v>
      </c>
      <c r="AH525" s="206" t="e">
        <f t="shared" si="51"/>
        <v>#REF!</v>
      </c>
      <c r="AI525" s="206" t="e">
        <v>#N/A</v>
      </c>
      <c r="AJ525" s="206" t="e">
        <f>VLOOKUP($F525,#REF!,43,0)</f>
        <v>#REF!</v>
      </c>
    </row>
    <row r="526" spans="2:36" s="102" customFormat="1" ht="22.5">
      <c r="B526" s="97"/>
      <c r="C526" s="104" t="s">
        <v>1931</v>
      </c>
      <c r="D526" t="s">
        <v>2177</v>
      </c>
      <c r="E526" s="123" t="s">
        <v>2260</v>
      </c>
      <c r="Q526" s="206" t="s">
        <v>2161</v>
      </c>
      <c r="R526" s="206">
        <f t="shared" si="47"/>
        <v>526</v>
      </c>
      <c r="S526" s="206" t="str">
        <f t="shared" si="48"/>
        <v>;'C CALIDAD'!$E$10:$BD$100;14;1)</v>
      </c>
      <c r="T526" s="203" t="s">
        <v>2222</v>
      </c>
      <c r="U526" s="206" t="str">
        <f t="shared" si="56"/>
        <v>=BUSCARV($E526;'C CALIDAD'!$E$10:$BD$100;14;1)</v>
      </c>
      <c r="V526" s="206"/>
      <c r="W526" s="206" t="e">
        <f>VLOOKUP($F526,#REF!,8,1)</f>
        <v>#REF!</v>
      </c>
      <c r="X526" s="206" t="e">
        <f t="shared" si="49"/>
        <v>#REF!</v>
      </c>
      <c r="Y526" s="206" t="e">
        <v>#N/A</v>
      </c>
      <c r="Z526" s="206" t="e">
        <f>VLOOKUP($F526,#REF!,9,1)</f>
        <v>#REF!</v>
      </c>
      <c r="AA526" s="206" t="e">
        <f t="shared" si="54"/>
        <v>#REF!</v>
      </c>
      <c r="AB526" s="206" t="e">
        <v>#N/A</v>
      </c>
      <c r="AC526" s="206" t="e">
        <f>VLOOKUP($F526,#REF!,14,1)</f>
        <v>#REF!</v>
      </c>
      <c r="AD526" s="206" t="e">
        <f>VLOOKUP($F526,#REF!,40,0)</f>
        <v>#REF!</v>
      </c>
      <c r="AE526" s="206" t="e">
        <f t="shared" si="50"/>
        <v>#REF!</v>
      </c>
      <c r="AF526" s="206" t="e">
        <v>#N/A</v>
      </c>
      <c r="AG526" s="206" t="e">
        <f>VLOOKUP($F526,#REF!,42,0)</f>
        <v>#REF!</v>
      </c>
      <c r="AH526" s="206" t="e">
        <f t="shared" si="51"/>
        <v>#REF!</v>
      </c>
      <c r="AI526" s="206" t="e">
        <v>#N/A</v>
      </c>
      <c r="AJ526" s="206" t="e">
        <f>VLOOKUP($F526,#REF!,43,0)</f>
        <v>#REF!</v>
      </c>
    </row>
    <row r="527" spans="2:36" s="102" customFormat="1" ht="22.5">
      <c r="B527" s="97"/>
      <c r="C527" s="104" t="s">
        <v>1931</v>
      </c>
      <c r="D527" t="s">
        <v>2177</v>
      </c>
      <c r="E527" s="123" t="s">
        <v>2260</v>
      </c>
      <c r="Q527" s="206" t="s">
        <v>2161</v>
      </c>
      <c r="R527" s="206">
        <f t="shared" si="47"/>
        <v>527</v>
      </c>
      <c r="S527" s="206" t="str">
        <f t="shared" si="48"/>
        <v>;'C CALIDAD'!$E$10:$BD$100;14;1)</v>
      </c>
      <c r="T527" s="203" t="s">
        <v>2222</v>
      </c>
      <c r="U527" s="206" t="str">
        <f t="shared" si="56"/>
        <v>=BUSCARV($E527;'C CALIDAD'!$E$10:$BD$100;14;1)</v>
      </c>
      <c r="V527" s="206"/>
      <c r="W527" s="206" t="e">
        <f>VLOOKUP($F527,#REF!,8,1)</f>
        <v>#REF!</v>
      </c>
      <c r="X527" s="206" t="e">
        <f t="shared" si="49"/>
        <v>#REF!</v>
      </c>
      <c r="Y527" s="206" t="e">
        <v>#N/A</v>
      </c>
      <c r="Z527" s="206" t="e">
        <f>VLOOKUP($F527,#REF!,9,1)</f>
        <v>#REF!</v>
      </c>
      <c r="AA527" s="206" t="e">
        <f t="shared" si="54"/>
        <v>#REF!</v>
      </c>
      <c r="AB527" s="206" t="e">
        <v>#N/A</v>
      </c>
      <c r="AC527" s="206" t="e">
        <f>VLOOKUP($F527,#REF!,14,1)</f>
        <v>#REF!</v>
      </c>
      <c r="AD527" s="206" t="e">
        <f>VLOOKUP($F527,#REF!,40,0)</f>
        <v>#REF!</v>
      </c>
      <c r="AE527" s="206" t="e">
        <f t="shared" si="50"/>
        <v>#REF!</v>
      </c>
      <c r="AF527" s="206" t="e">
        <v>#N/A</v>
      </c>
      <c r="AG527" s="206" t="e">
        <f>VLOOKUP($F527,#REF!,42,0)</f>
        <v>#REF!</v>
      </c>
      <c r="AH527" s="206" t="e">
        <f t="shared" si="51"/>
        <v>#REF!</v>
      </c>
      <c r="AI527" s="206" t="e">
        <v>#N/A</v>
      </c>
      <c r="AJ527" s="206" t="e">
        <f>VLOOKUP($F527,#REF!,43,0)</f>
        <v>#REF!</v>
      </c>
    </row>
    <row r="528" spans="2:36" s="102" customFormat="1" ht="22.5">
      <c r="B528" s="97"/>
      <c r="C528" s="104" t="s">
        <v>1931</v>
      </c>
      <c r="D528" t="s">
        <v>2177</v>
      </c>
      <c r="E528" s="123" t="s">
        <v>2260</v>
      </c>
      <c r="Q528" s="206" t="s">
        <v>2161</v>
      </c>
      <c r="R528" s="206">
        <f t="shared" si="47"/>
        <v>528</v>
      </c>
      <c r="S528" s="206" t="str">
        <f t="shared" si="48"/>
        <v>;'C CALIDAD'!$E$10:$BD$100;14;1)</v>
      </c>
      <c r="T528" s="203" t="s">
        <v>2222</v>
      </c>
      <c r="U528" s="206" t="str">
        <f t="shared" si="56"/>
        <v>=BUSCARV($E528;'C CALIDAD'!$E$10:$BD$100;14;1)</v>
      </c>
      <c r="V528" s="206"/>
      <c r="W528" s="206" t="e">
        <f>VLOOKUP($F528,#REF!,8,1)</f>
        <v>#REF!</v>
      </c>
      <c r="X528" s="206" t="e">
        <f t="shared" si="49"/>
        <v>#REF!</v>
      </c>
      <c r="Y528" s="206" t="e">
        <v>#N/A</v>
      </c>
      <c r="Z528" s="206" t="e">
        <f>VLOOKUP($F528,#REF!,9,1)</f>
        <v>#REF!</v>
      </c>
      <c r="AA528" s="206" t="e">
        <f t="shared" si="54"/>
        <v>#REF!</v>
      </c>
      <c r="AB528" s="206" t="e">
        <v>#N/A</v>
      </c>
      <c r="AC528" s="206" t="e">
        <f>VLOOKUP($F528,#REF!,14,1)</f>
        <v>#REF!</v>
      </c>
      <c r="AD528" s="206" t="e">
        <f>VLOOKUP($F528,#REF!,40,0)</f>
        <v>#REF!</v>
      </c>
      <c r="AE528" s="206" t="e">
        <f t="shared" si="50"/>
        <v>#REF!</v>
      </c>
      <c r="AF528" s="206" t="e">
        <v>#N/A</v>
      </c>
      <c r="AG528" s="206" t="e">
        <f>VLOOKUP($F528,#REF!,42,0)</f>
        <v>#REF!</v>
      </c>
      <c r="AH528" s="206" t="e">
        <f t="shared" si="51"/>
        <v>#REF!</v>
      </c>
      <c r="AI528" s="206" t="e">
        <v>#N/A</v>
      </c>
      <c r="AJ528" s="206" t="e">
        <f>VLOOKUP($F528,#REF!,43,0)</f>
        <v>#REF!</v>
      </c>
    </row>
    <row r="529" spans="2:36" s="102" customFormat="1" ht="22.5">
      <c r="B529" s="97"/>
      <c r="C529" s="104" t="s">
        <v>1931</v>
      </c>
      <c r="D529" t="s">
        <v>2177</v>
      </c>
      <c r="E529" s="123" t="s">
        <v>2260</v>
      </c>
      <c r="Q529" s="206" t="s">
        <v>2161</v>
      </c>
      <c r="R529" s="206">
        <f t="shared" ref="R529:R592" si="57">ROW(F529)</f>
        <v>529</v>
      </c>
      <c r="S529" s="206" t="str">
        <f t="shared" ref="S529:S592" si="58">CONCATENATE(";","'",D529,"'!","$E$10:$BD$100",";","14",";","1",")")</f>
        <v>;'C CALIDAD'!$E$10:$BD$100;14;1)</v>
      </c>
      <c r="T529" s="203" t="s">
        <v>2222</v>
      </c>
      <c r="U529" s="206" t="str">
        <f t="shared" si="56"/>
        <v>=BUSCARV($E529;'C CALIDAD'!$E$10:$BD$100;14;1)</v>
      </c>
      <c r="V529" s="206"/>
      <c r="W529" s="206" t="e">
        <f>VLOOKUP($F529,#REF!,8,1)</f>
        <v>#REF!</v>
      </c>
      <c r="X529" s="206" t="e">
        <f t="shared" si="49"/>
        <v>#REF!</v>
      </c>
      <c r="Y529" s="206" t="e">
        <v>#N/A</v>
      </c>
      <c r="Z529" s="206" t="e">
        <f>VLOOKUP($F529,#REF!,9,1)</f>
        <v>#REF!</v>
      </c>
      <c r="AA529" s="206" t="e">
        <f t="shared" si="54"/>
        <v>#REF!</v>
      </c>
      <c r="AB529" s="206" t="e">
        <v>#N/A</v>
      </c>
      <c r="AC529" s="206" t="e">
        <f>VLOOKUP($F529,#REF!,14,1)</f>
        <v>#REF!</v>
      </c>
      <c r="AD529" s="206" t="e">
        <f>VLOOKUP($F529,#REF!,40,0)</f>
        <v>#REF!</v>
      </c>
      <c r="AE529" s="206" t="e">
        <f t="shared" si="50"/>
        <v>#REF!</v>
      </c>
      <c r="AF529" s="206" t="e">
        <v>#N/A</v>
      </c>
      <c r="AG529" s="206" t="e">
        <f>VLOOKUP($F529,#REF!,42,0)</f>
        <v>#REF!</v>
      </c>
      <c r="AH529" s="206" t="e">
        <f t="shared" si="51"/>
        <v>#REF!</v>
      </c>
      <c r="AI529" s="206" t="e">
        <v>#N/A</v>
      </c>
      <c r="AJ529" s="206" t="e">
        <f>VLOOKUP($F529,#REF!,43,0)</f>
        <v>#REF!</v>
      </c>
    </row>
    <row r="530" spans="2:36" s="102" customFormat="1" ht="22.5">
      <c r="B530" s="97"/>
      <c r="C530" s="104" t="s">
        <v>1931</v>
      </c>
      <c r="D530" t="s">
        <v>2177</v>
      </c>
      <c r="E530" s="123" t="s">
        <v>2260</v>
      </c>
      <c r="Q530" s="206" t="s">
        <v>2161</v>
      </c>
      <c r="R530" s="206">
        <f t="shared" si="57"/>
        <v>530</v>
      </c>
      <c r="S530" s="206" t="str">
        <f t="shared" si="58"/>
        <v>;'C CALIDAD'!$E$10:$BD$100;14;1)</v>
      </c>
      <c r="T530" s="203" t="s">
        <v>2222</v>
      </c>
      <c r="U530" s="206" t="str">
        <f t="shared" si="56"/>
        <v>=BUSCARV($E530;'C CALIDAD'!$E$10:$BD$100;14;1)</v>
      </c>
      <c r="V530" s="206"/>
      <c r="W530" s="206" t="e">
        <f>VLOOKUP($F530,#REF!,8,1)</f>
        <v>#REF!</v>
      </c>
      <c r="X530" s="206" t="e">
        <f t="shared" ref="X530:X593" si="59">IF(W530="Casi Seguro",5,IF(W530="Probable",4,IF(W530="Posible",3,IF(W530="Improbable",2,1))))</f>
        <v>#REF!</v>
      </c>
      <c r="Y530" s="206" t="e">
        <v>#N/A</v>
      </c>
      <c r="Z530" s="206" t="e">
        <f>VLOOKUP($F530,#REF!,9,1)</f>
        <v>#REF!</v>
      </c>
      <c r="AA530" s="206" t="e">
        <f t="shared" si="54"/>
        <v>#REF!</v>
      </c>
      <c r="AB530" s="206" t="e">
        <v>#N/A</v>
      </c>
      <c r="AC530" s="206" t="e">
        <f>VLOOKUP($F530,#REF!,14,1)</f>
        <v>#REF!</v>
      </c>
      <c r="AD530" s="206" t="e">
        <f>VLOOKUP($F530,#REF!,40,0)</f>
        <v>#REF!</v>
      </c>
      <c r="AE530" s="206" t="e">
        <f t="shared" ref="AE530:AE593" si="60">IF(AD530="Casi Seguro",5,IF(AD530="Probable",4,IF(AD530="Posible",3,IF(AD530="Improbable",2,1))))</f>
        <v>#REF!</v>
      </c>
      <c r="AF530" s="206" t="e">
        <v>#N/A</v>
      </c>
      <c r="AG530" s="206" t="e">
        <f>VLOOKUP($F530,#REF!,42,0)</f>
        <v>#REF!</v>
      </c>
      <c r="AH530" s="206" t="e">
        <f t="shared" ref="AH530:AH593" si="61">IF(AG530="Catastrófico",20,IF(AG530="Mayor",10,5))</f>
        <v>#REF!</v>
      </c>
      <c r="AI530" s="206" t="e">
        <v>#N/A</v>
      </c>
      <c r="AJ530" s="206" t="e">
        <f>VLOOKUP($F530,#REF!,43,0)</f>
        <v>#REF!</v>
      </c>
    </row>
    <row r="531" spans="2:36" s="102" customFormat="1" ht="22.5">
      <c r="B531" s="97"/>
      <c r="C531" s="104" t="s">
        <v>1931</v>
      </c>
      <c r="D531" t="s">
        <v>2177</v>
      </c>
      <c r="E531" s="123" t="s">
        <v>2260</v>
      </c>
      <c r="Q531" s="206" t="s">
        <v>2161</v>
      </c>
      <c r="R531" s="206">
        <f t="shared" si="57"/>
        <v>531</v>
      </c>
      <c r="S531" s="206" t="str">
        <f t="shared" si="58"/>
        <v>;'C CALIDAD'!$E$10:$BD$100;14;1)</v>
      </c>
      <c r="T531" s="203" t="s">
        <v>2222</v>
      </c>
      <c r="U531" s="206" t="str">
        <f t="shared" si="56"/>
        <v>=BUSCARV($E531;'C CALIDAD'!$E$10:$BD$100;14;1)</v>
      </c>
      <c r="V531" s="206"/>
      <c r="W531" s="206" t="e">
        <f>VLOOKUP($F531,#REF!,8,1)</f>
        <v>#REF!</v>
      </c>
      <c r="X531" s="206" t="e">
        <f t="shared" si="59"/>
        <v>#REF!</v>
      </c>
      <c r="Y531" s="206" t="e">
        <v>#N/A</v>
      </c>
      <c r="Z531" s="206" t="e">
        <f>VLOOKUP($F531,#REF!,9,1)</f>
        <v>#REF!</v>
      </c>
      <c r="AA531" s="206" t="e">
        <f t="shared" si="54"/>
        <v>#REF!</v>
      </c>
      <c r="AB531" s="206" t="e">
        <v>#N/A</v>
      </c>
      <c r="AC531" s="206" t="e">
        <f>VLOOKUP($F531,#REF!,14,1)</f>
        <v>#REF!</v>
      </c>
      <c r="AD531" s="206" t="e">
        <f>VLOOKUP($F531,#REF!,40,0)</f>
        <v>#REF!</v>
      </c>
      <c r="AE531" s="206" t="e">
        <f t="shared" si="60"/>
        <v>#REF!</v>
      </c>
      <c r="AF531" s="206" t="e">
        <v>#N/A</v>
      </c>
      <c r="AG531" s="206" t="e">
        <f>VLOOKUP($F531,#REF!,42,0)</f>
        <v>#REF!</v>
      </c>
      <c r="AH531" s="206" t="e">
        <f t="shared" si="61"/>
        <v>#REF!</v>
      </c>
      <c r="AI531" s="206" t="e">
        <v>#N/A</v>
      </c>
      <c r="AJ531" s="206" t="e">
        <f>VLOOKUP($F531,#REF!,43,0)</f>
        <v>#REF!</v>
      </c>
    </row>
    <row r="532" spans="2:36" s="102" customFormat="1" ht="22.5">
      <c r="B532" s="97"/>
      <c r="C532" s="104" t="s">
        <v>1931</v>
      </c>
      <c r="D532" t="s">
        <v>2177</v>
      </c>
      <c r="E532" s="123" t="s">
        <v>2260</v>
      </c>
      <c r="Q532" s="206" t="s">
        <v>2161</v>
      </c>
      <c r="R532" s="206">
        <f t="shared" si="57"/>
        <v>532</v>
      </c>
      <c r="S532" s="206" t="str">
        <f t="shared" si="58"/>
        <v>;'C CALIDAD'!$E$10:$BD$100;14;1)</v>
      </c>
      <c r="T532" s="203" t="s">
        <v>2222</v>
      </c>
      <c r="U532" s="206" t="str">
        <f t="shared" si="56"/>
        <v>=BUSCARV($E532;'C CALIDAD'!$E$10:$BD$100;14;1)</v>
      </c>
      <c r="V532" s="206"/>
      <c r="W532" s="206" t="e">
        <f>VLOOKUP($F532,#REF!,8,1)</f>
        <v>#REF!</v>
      </c>
      <c r="X532" s="206" t="e">
        <f t="shared" si="59"/>
        <v>#REF!</v>
      </c>
      <c r="Y532" s="206" t="e">
        <v>#N/A</v>
      </c>
      <c r="Z532" s="206" t="e">
        <f>VLOOKUP($F532,#REF!,9,1)</f>
        <v>#REF!</v>
      </c>
      <c r="AA532" s="206" t="e">
        <f t="shared" si="54"/>
        <v>#REF!</v>
      </c>
      <c r="AB532" s="206" t="e">
        <v>#N/A</v>
      </c>
      <c r="AC532" s="206" t="e">
        <f>VLOOKUP($F532,#REF!,14,1)</f>
        <v>#REF!</v>
      </c>
      <c r="AD532" s="206" t="e">
        <f>VLOOKUP($F532,#REF!,40,0)</f>
        <v>#REF!</v>
      </c>
      <c r="AE532" s="206" t="e">
        <f t="shared" si="60"/>
        <v>#REF!</v>
      </c>
      <c r="AF532" s="206" t="e">
        <v>#N/A</v>
      </c>
      <c r="AG532" s="206" t="e">
        <f>VLOOKUP($F532,#REF!,42,0)</f>
        <v>#REF!</v>
      </c>
      <c r="AH532" s="206" t="e">
        <f t="shared" si="61"/>
        <v>#REF!</v>
      </c>
      <c r="AI532" s="206" t="e">
        <v>#N/A</v>
      </c>
      <c r="AJ532" s="206" t="e">
        <f>VLOOKUP($F532,#REF!,43,0)</f>
        <v>#REF!</v>
      </c>
    </row>
    <row r="533" spans="2:36" s="102" customFormat="1" ht="22.5">
      <c r="B533" s="97"/>
      <c r="C533" s="104" t="s">
        <v>1931</v>
      </c>
      <c r="D533" t="s">
        <v>2177</v>
      </c>
      <c r="E533" s="123" t="s">
        <v>2260</v>
      </c>
      <c r="Q533" s="206" t="s">
        <v>2161</v>
      </c>
      <c r="R533" s="206">
        <f t="shared" si="57"/>
        <v>533</v>
      </c>
      <c r="S533" s="206" t="str">
        <f t="shared" si="58"/>
        <v>;'C CALIDAD'!$E$10:$BD$100;14;1)</v>
      </c>
      <c r="T533" s="203" t="s">
        <v>2222</v>
      </c>
      <c r="U533" s="206" t="str">
        <f t="shared" si="56"/>
        <v>=BUSCARV($E533;'C CALIDAD'!$E$10:$BD$100;14;1)</v>
      </c>
      <c r="V533" s="206"/>
      <c r="W533" s="206" t="e">
        <f>VLOOKUP($F533,#REF!,8,1)</f>
        <v>#REF!</v>
      </c>
      <c r="X533" s="206" t="e">
        <f t="shared" si="59"/>
        <v>#REF!</v>
      </c>
      <c r="Y533" s="206" t="e">
        <v>#N/A</v>
      </c>
      <c r="Z533" s="206" t="e">
        <f>VLOOKUP($F533,#REF!,9,1)</f>
        <v>#REF!</v>
      </c>
      <c r="AA533" s="206" t="e">
        <f t="shared" si="54"/>
        <v>#REF!</v>
      </c>
      <c r="AB533" s="206" t="e">
        <v>#N/A</v>
      </c>
      <c r="AC533" s="206" t="e">
        <f>VLOOKUP($F533,#REF!,14,1)</f>
        <v>#REF!</v>
      </c>
      <c r="AD533" s="206" t="e">
        <f>VLOOKUP($F533,#REF!,40,0)</f>
        <v>#REF!</v>
      </c>
      <c r="AE533" s="206" t="e">
        <f t="shared" si="60"/>
        <v>#REF!</v>
      </c>
      <c r="AF533" s="206" t="e">
        <v>#N/A</v>
      </c>
      <c r="AG533" s="206" t="e">
        <f>VLOOKUP($F533,#REF!,42,0)</f>
        <v>#REF!</v>
      </c>
      <c r="AH533" s="206" t="e">
        <f t="shared" si="61"/>
        <v>#REF!</v>
      </c>
      <c r="AI533" s="206" t="e">
        <v>#N/A</v>
      </c>
      <c r="AJ533" s="206" t="e">
        <f>VLOOKUP($F533,#REF!,43,0)</f>
        <v>#REF!</v>
      </c>
    </row>
    <row r="534" spans="2:36" s="102" customFormat="1" ht="22.5">
      <c r="B534" s="97"/>
      <c r="C534" s="104" t="s">
        <v>1931</v>
      </c>
      <c r="D534" t="s">
        <v>2177</v>
      </c>
      <c r="E534" s="123" t="s">
        <v>2260</v>
      </c>
      <c r="Q534" s="206" t="s">
        <v>2161</v>
      </c>
      <c r="R534" s="206">
        <f t="shared" si="57"/>
        <v>534</v>
      </c>
      <c r="S534" s="206" t="str">
        <f t="shared" si="58"/>
        <v>;'C CALIDAD'!$E$10:$BD$100;14;1)</v>
      </c>
      <c r="T534" s="203" t="s">
        <v>2222</v>
      </c>
      <c r="U534" s="206" t="str">
        <f t="shared" si="56"/>
        <v>=BUSCARV($E534;'C CALIDAD'!$E$10:$BD$100;14;1)</v>
      </c>
      <c r="V534" s="206"/>
      <c r="W534" s="206" t="e">
        <f>VLOOKUP($F534,#REF!,8,1)</f>
        <v>#REF!</v>
      </c>
      <c r="X534" s="206" t="e">
        <f t="shared" si="59"/>
        <v>#REF!</v>
      </c>
      <c r="Y534" s="206" t="e">
        <v>#N/A</v>
      </c>
      <c r="Z534" s="206" t="e">
        <f>VLOOKUP($F534,#REF!,9,1)</f>
        <v>#REF!</v>
      </c>
      <c r="AA534" s="206" t="e">
        <f t="shared" si="54"/>
        <v>#REF!</v>
      </c>
      <c r="AB534" s="206" t="e">
        <v>#N/A</v>
      </c>
      <c r="AC534" s="206" t="e">
        <f>VLOOKUP($F534,#REF!,14,1)</f>
        <v>#REF!</v>
      </c>
      <c r="AD534" s="206" t="e">
        <f>VLOOKUP($F534,#REF!,40,0)</f>
        <v>#REF!</v>
      </c>
      <c r="AE534" s="206" t="e">
        <f t="shared" si="60"/>
        <v>#REF!</v>
      </c>
      <c r="AF534" s="206" t="e">
        <v>#N/A</v>
      </c>
      <c r="AG534" s="206" t="e">
        <f>VLOOKUP($F534,#REF!,42,0)</f>
        <v>#REF!</v>
      </c>
      <c r="AH534" s="206" t="e">
        <f t="shared" si="61"/>
        <v>#REF!</v>
      </c>
      <c r="AI534" s="206" t="e">
        <v>#N/A</v>
      </c>
      <c r="AJ534" s="206" t="e">
        <f>VLOOKUP($F534,#REF!,43,0)</f>
        <v>#REF!</v>
      </c>
    </row>
    <row r="535" spans="2:36" s="102" customFormat="1" ht="22.5">
      <c r="B535" s="97"/>
      <c r="C535" s="104" t="s">
        <v>1931</v>
      </c>
      <c r="D535" t="s">
        <v>2177</v>
      </c>
      <c r="E535" s="123" t="s">
        <v>2260</v>
      </c>
      <c r="Q535" s="206" t="s">
        <v>2161</v>
      </c>
      <c r="R535" s="206">
        <f t="shared" si="57"/>
        <v>535</v>
      </c>
      <c r="S535" s="206" t="str">
        <f t="shared" si="58"/>
        <v>;'C CALIDAD'!$E$10:$BD$100;14;1)</v>
      </c>
      <c r="T535" s="203" t="s">
        <v>2222</v>
      </c>
      <c r="U535" s="206" t="str">
        <f t="shared" si="56"/>
        <v>=BUSCARV($E535;'C CALIDAD'!$E$10:$BD$100;14;1)</v>
      </c>
      <c r="V535" s="206"/>
      <c r="W535" s="206" t="e">
        <f>VLOOKUP($F535,#REF!,8,1)</f>
        <v>#REF!</v>
      </c>
      <c r="X535" s="206" t="e">
        <f t="shared" si="59"/>
        <v>#REF!</v>
      </c>
      <c r="Y535" s="206" t="e">
        <v>#N/A</v>
      </c>
      <c r="Z535" s="206" t="e">
        <f>VLOOKUP($F535,#REF!,9,1)</f>
        <v>#REF!</v>
      </c>
      <c r="AA535" s="206" t="e">
        <f t="shared" si="54"/>
        <v>#REF!</v>
      </c>
      <c r="AB535" s="206" t="e">
        <v>#N/A</v>
      </c>
      <c r="AC535" s="206" t="e">
        <f>VLOOKUP($F535,#REF!,14,1)</f>
        <v>#REF!</v>
      </c>
      <c r="AD535" s="206" t="e">
        <f>VLOOKUP($F535,#REF!,40,0)</f>
        <v>#REF!</v>
      </c>
      <c r="AE535" s="206" t="e">
        <f t="shared" si="60"/>
        <v>#REF!</v>
      </c>
      <c r="AF535" s="206" t="e">
        <v>#N/A</v>
      </c>
      <c r="AG535" s="206" t="e">
        <f>VLOOKUP($F535,#REF!,42,0)</f>
        <v>#REF!</v>
      </c>
      <c r="AH535" s="206" t="e">
        <f t="shared" si="61"/>
        <v>#REF!</v>
      </c>
      <c r="AI535" s="206" t="e">
        <v>#N/A</v>
      </c>
      <c r="AJ535" s="206" t="e">
        <f>VLOOKUP($F535,#REF!,43,0)</f>
        <v>#REF!</v>
      </c>
    </row>
    <row r="536" spans="2:36" s="102" customFormat="1" ht="22.5">
      <c r="B536" s="97"/>
      <c r="C536" s="108" t="s">
        <v>1924</v>
      </c>
      <c r="D536" t="s">
        <v>2178</v>
      </c>
      <c r="E536" s="123" t="s">
        <v>2260</v>
      </c>
      <c r="F536" s="102" t="s">
        <v>2001</v>
      </c>
      <c r="G536" s="97" t="s">
        <v>1929</v>
      </c>
      <c r="Q536" s="206" t="s">
        <v>2161</v>
      </c>
      <c r="R536" s="206">
        <f t="shared" si="57"/>
        <v>536</v>
      </c>
      <c r="S536" s="206" t="str">
        <f t="shared" si="58"/>
        <v>;'C THUMANO'!$E$10:$BD$100;14;1)</v>
      </c>
      <c r="T536" s="203" t="s">
        <v>2223</v>
      </c>
      <c r="U536" s="206" t="str">
        <f t="shared" si="26"/>
        <v>=BUSCARV($E536;'C THUMANO'!$E$10:$BD$100;14;1)</v>
      </c>
      <c r="V536" s="206"/>
      <c r="W536" s="206" t="e">
        <f>VLOOKUP($F536,#REF!,8,1)</f>
        <v>#REF!</v>
      </c>
      <c r="X536" s="206" t="e">
        <f t="shared" si="59"/>
        <v>#REF!</v>
      </c>
      <c r="Y536" s="206">
        <v>3</v>
      </c>
      <c r="Z536" s="206" t="e">
        <f>VLOOKUP($F536,#REF!,9,1)</f>
        <v>#REF!</v>
      </c>
      <c r="AA536" s="206" t="e">
        <f t="shared" si="54"/>
        <v>#REF!</v>
      </c>
      <c r="AB536" s="206">
        <v>10</v>
      </c>
      <c r="AC536" s="206" t="e">
        <f>VLOOKUP($F536,#REF!,14,1)</f>
        <v>#REF!</v>
      </c>
      <c r="AD536" s="206" t="e">
        <f>VLOOKUP($F536,#REF!,40,0)</f>
        <v>#REF!</v>
      </c>
      <c r="AE536" s="206" t="e">
        <f t="shared" si="60"/>
        <v>#REF!</v>
      </c>
      <c r="AF536" s="206">
        <v>1</v>
      </c>
      <c r="AG536" s="206" t="e">
        <f>VLOOKUP($F536,#REF!,42,0)</f>
        <v>#REF!</v>
      </c>
      <c r="AH536" s="206" t="e">
        <f t="shared" si="61"/>
        <v>#REF!</v>
      </c>
      <c r="AI536" s="206">
        <v>5</v>
      </c>
      <c r="AJ536" s="206" t="e">
        <f>VLOOKUP($F536,#REF!,43,0)</f>
        <v>#REF!</v>
      </c>
    </row>
    <row r="537" spans="2:36" s="102" customFormat="1" ht="22.5">
      <c r="B537" s="97"/>
      <c r="C537" s="108" t="s">
        <v>1924</v>
      </c>
      <c r="D537" t="s">
        <v>2178</v>
      </c>
      <c r="E537" s="123" t="s">
        <v>2260</v>
      </c>
      <c r="Q537" s="206" t="s">
        <v>2161</v>
      </c>
      <c r="R537" s="206">
        <f t="shared" si="57"/>
        <v>537</v>
      </c>
      <c r="S537" s="206" t="str">
        <f t="shared" si="58"/>
        <v>;'C THUMANO'!$E$10:$BD$100;14;1)</v>
      </c>
      <c r="T537" s="203" t="s">
        <v>2223</v>
      </c>
      <c r="U537" s="206" t="str">
        <f t="shared" ref="U537:U552" si="62">CONCATENATE("=BUSCARV($E",R537,T537)</f>
        <v>=BUSCARV($E537;'C THUMANO'!$E$10:$BD$100;14;1)</v>
      </c>
      <c r="V537" s="206"/>
      <c r="W537" s="206" t="e">
        <f>VLOOKUP($F537,#REF!,8,1)</f>
        <v>#REF!</v>
      </c>
      <c r="X537" s="206" t="e">
        <f t="shared" si="59"/>
        <v>#REF!</v>
      </c>
      <c r="Y537" s="206" t="e">
        <v>#N/A</v>
      </c>
      <c r="Z537" s="206" t="e">
        <f>VLOOKUP($F537,#REF!,9,1)</f>
        <v>#REF!</v>
      </c>
      <c r="AA537" s="206" t="e">
        <f t="shared" si="54"/>
        <v>#REF!</v>
      </c>
      <c r="AB537" s="206" t="e">
        <v>#N/A</v>
      </c>
      <c r="AC537" s="206" t="e">
        <f>VLOOKUP($F537,#REF!,14,1)</f>
        <v>#REF!</v>
      </c>
      <c r="AD537" s="206" t="e">
        <f>VLOOKUP($F537,#REF!,40,0)</f>
        <v>#REF!</v>
      </c>
      <c r="AE537" s="206" t="e">
        <f t="shared" si="60"/>
        <v>#REF!</v>
      </c>
      <c r="AF537" s="206" t="e">
        <v>#N/A</v>
      </c>
      <c r="AG537" s="206" t="e">
        <f>VLOOKUP($F537,#REF!,42,0)</f>
        <v>#REF!</v>
      </c>
      <c r="AH537" s="206" t="e">
        <f t="shared" si="61"/>
        <v>#REF!</v>
      </c>
      <c r="AI537" s="206" t="e">
        <v>#N/A</v>
      </c>
      <c r="AJ537" s="206" t="e">
        <f>VLOOKUP($F537,#REF!,43,0)</f>
        <v>#REF!</v>
      </c>
    </row>
    <row r="538" spans="2:36" s="102" customFormat="1" ht="22.5">
      <c r="B538" s="97"/>
      <c r="C538" s="108" t="s">
        <v>1924</v>
      </c>
      <c r="D538" t="s">
        <v>2178</v>
      </c>
      <c r="E538" s="123" t="s">
        <v>2260</v>
      </c>
      <c r="F538" s="102" t="s">
        <v>2002</v>
      </c>
      <c r="G538" s="97" t="s">
        <v>1929</v>
      </c>
      <c r="Q538" s="206" t="s">
        <v>2161</v>
      </c>
      <c r="R538" s="206">
        <f t="shared" si="57"/>
        <v>538</v>
      </c>
      <c r="S538" s="206" t="str">
        <f t="shared" si="58"/>
        <v>;'C THUMANO'!$E$10:$BD$100;14;1)</v>
      </c>
      <c r="T538" s="203" t="s">
        <v>2223</v>
      </c>
      <c r="U538" s="206" t="str">
        <f t="shared" si="62"/>
        <v>=BUSCARV($E538;'C THUMANO'!$E$10:$BD$100;14;1)</v>
      </c>
      <c r="V538" s="206"/>
      <c r="W538" s="206" t="e">
        <f>VLOOKUP($F538,#REF!,8,1)</f>
        <v>#REF!</v>
      </c>
      <c r="X538" s="206" t="e">
        <f t="shared" si="59"/>
        <v>#REF!</v>
      </c>
      <c r="Y538" s="206">
        <v>2</v>
      </c>
      <c r="Z538" s="206" t="e">
        <f>VLOOKUP($F538,#REF!,9,1)</f>
        <v>#REF!</v>
      </c>
      <c r="AA538" s="206" t="e">
        <f t="shared" si="54"/>
        <v>#REF!</v>
      </c>
      <c r="AB538" s="206">
        <v>10</v>
      </c>
      <c r="AC538" s="206" t="e">
        <f>VLOOKUP($F538,#REF!,14,1)</f>
        <v>#REF!</v>
      </c>
      <c r="AD538" s="206" t="e">
        <f>VLOOKUP($F538,#REF!,40,0)</f>
        <v>#REF!</v>
      </c>
      <c r="AE538" s="206" t="e">
        <f t="shared" si="60"/>
        <v>#REF!</v>
      </c>
      <c r="AF538" s="206">
        <v>1</v>
      </c>
      <c r="AG538" s="206" t="e">
        <f>VLOOKUP($F538,#REF!,42,0)</f>
        <v>#REF!</v>
      </c>
      <c r="AH538" s="206" t="e">
        <f t="shared" si="61"/>
        <v>#REF!</v>
      </c>
      <c r="AI538" s="206">
        <v>5</v>
      </c>
      <c r="AJ538" s="206" t="e">
        <f>VLOOKUP($F538,#REF!,43,0)</f>
        <v>#REF!</v>
      </c>
    </row>
    <row r="539" spans="2:36" s="102" customFormat="1" ht="22.5">
      <c r="B539" s="97"/>
      <c r="C539" s="108" t="s">
        <v>1924</v>
      </c>
      <c r="D539" t="s">
        <v>2178</v>
      </c>
      <c r="E539" s="123" t="s">
        <v>2260</v>
      </c>
      <c r="Q539" s="206" t="s">
        <v>2161</v>
      </c>
      <c r="R539" s="206">
        <f t="shared" si="57"/>
        <v>539</v>
      </c>
      <c r="S539" s="206" t="str">
        <f t="shared" si="58"/>
        <v>;'C THUMANO'!$E$10:$BD$100;14;1)</v>
      </c>
      <c r="T539" s="203" t="s">
        <v>2223</v>
      </c>
      <c r="U539" s="206" t="str">
        <f t="shared" si="62"/>
        <v>=BUSCARV($E539;'C THUMANO'!$E$10:$BD$100;14;1)</v>
      </c>
      <c r="V539" s="206"/>
      <c r="W539" s="206" t="e">
        <f>VLOOKUP($F539,#REF!,8,1)</f>
        <v>#REF!</v>
      </c>
      <c r="X539" s="206" t="e">
        <f t="shared" si="59"/>
        <v>#REF!</v>
      </c>
      <c r="Y539" s="206" t="e">
        <v>#N/A</v>
      </c>
      <c r="Z539" s="206" t="e">
        <f>VLOOKUP($F539,#REF!,9,1)</f>
        <v>#REF!</v>
      </c>
      <c r="AA539" s="206" t="e">
        <f t="shared" si="54"/>
        <v>#REF!</v>
      </c>
      <c r="AB539" s="206" t="e">
        <v>#N/A</v>
      </c>
      <c r="AC539" s="206" t="e">
        <f>VLOOKUP($F539,#REF!,14,1)</f>
        <v>#REF!</v>
      </c>
      <c r="AD539" s="206" t="e">
        <f>VLOOKUP($F539,#REF!,40,0)</f>
        <v>#REF!</v>
      </c>
      <c r="AE539" s="206" t="e">
        <f t="shared" si="60"/>
        <v>#REF!</v>
      </c>
      <c r="AF539" s="206" t="e">
        <v>#N/A</v>
      </c>
      <c r="AG539" s="206" t="e">
        <f>VLOOKUP($F539,#REF!,42,0)</f>
        <v>#REF!</v>
      </c>
      <c r="AH539" s="206" t="e">
        <f t="shared" si="61"/>
        <v>#REF!</v>
      </c>
      <c r="AI539" s="206" t="e">
        <v>#N/A</v>
      </c>
      <c r="AJ539" s="206" t="e">
        <f>VLOOKUP($F539,#REF!,43,0)</f>
        <v>#REF!</v>
      </c>
    </row>
    <row r="540" spans="2:36" s="102" customFormat="1" ht="22.5">
      <c r="B540" s="97"/>
      <c r="C540" s="108" t="s">
        <v>1924</v>
      </c>
      <c r="D540" t="s">
        <v>2178</v>
      </c>
      <c r="E540" s="123" t="s">
        <v>2260</v>
      </c>
      <c r="Q540" s="206" t="s">
        <v>2161</v>
      </c>
      <c r="R540" s="206">
        <f t="shared" si="57"/>
        <v>540</v>
      </c>
      <c r="S540" s="206" t="str">
        <f t="shared" si="58"/>
        <v>;'C THUMANO'!$E$10:$BD$100;14;1)</v>
      </c>
      <c r="T540" s="203" t="s">
        <v>2223</v>
      </c>
      <c r="U540" s="206" t="str">
        <f t="shared" si="62"/>
        <v>=BUSCARV($E540;'C THUMANO'!$E$10:$BD$100;14;1)</v>
      </c>
      <c r="V540" s="206"/>
      <c r="W540" s="206" t="e">
        <f>VLOOKUP($F540,#REF!,8,1)</f>
        <v>#REF!</v>
      </c>
      <c r="X540" s="206" t="e">
        <f t="shared" si="59"/>
        <v>#REF!</v>
      </c>
      <c r="Y540" s="206" t="e">
        <v>#N/A</v>
      </c>
      <c r="Z540" s="206" t="e">
        <f>VLOOKUP($F540,#REF!,9,1)</f>
        <v>#REF!</v>
      </c>
      <c r="AA540" s="206" t="e">
        <f t="shared" si="54"/>
        <v>#REF!</v>
      </c>
      <c r="AB540" s="206" t="e">
        <v>#N/A</v>
      </c>
      <c r="AC540" s="206" t="e">
        <f>VLOOKUP($F540,#REF!,14,1)</f>
        <v>#REF!</v>
      </c>
      <c r="AD540" s="206" t="e">
        <f>VLOOKUP($F540,#REF!,40,0)</f>
        <v>#REF!</v>
      </c>
      <c r="AE540" s="206" t="e">
        <f t="shared" si="60"/>
        <v>#REF!</v>
      </c>
      <c r="AF540" s="206" t="e">
        <v>#N/A</v>
      </c>
      <c r="AG540" s="206" t="e">
        <f>VLOOKUP($F540,#REF!,42,0)</f>
        <v>#REF!</v>
      </c>
      <c r="AH540" s="206" t="e">
        <f t="shared" si="61"/>
        <v>#REF!</v>
      </c>
      <c r="AI540" s="206" t="e">
        <v>#N/A</v>
      </c>
      <c r="AJ540" s="206" t="e">
        <f>VLOOKUP($F540,#REF!,43,0)</f>
        <v>#REF!</v>
      </c>
    </row>
    <row r="541" spans="2:36" s="102" customFormat="1" ht="22.5">
      <c r="B541" s="97"/>
      <c r="C541" s="108" t="s">
        <v>1924</v>
      </c>
      <c r="D541" t="s">
        <v>2178</v>
      </c>
      <c r="E541" s="123" t="s">
        <v>2260</v>
      </c>
      <c r="Q541" s="206" t="s">
        <v>2161</v>
      </c>
      <c r="R541" s="206">
        <f t="shared" si="57"/>
        <v>541</v>
      </c>
      <c r="S541" s="206" t="str">
        <f t="shared" si="58"/>
        <v>;'C THUMANO'!$E$10:$BD$100;14;1)</v>
      </c>
      <c r="T541" s="203" t="s">
        <v>2223</v>
      </c>
      <c r="U541" s="206" t="str">
        <f t="shared" si="62"/>
        <v>=BUSCARV($E541;'C THUMANO'!$E$10:$BD$100;14;1)</v>
      </c>
      <c r="V541" s="206"/>
      <c r="W541" s="206" t="e">
        <f>VLOOKUP($F541,#REF!,8,1)</f>
        <v>#REF!</v>
      </c>
      <c r="X541" s="206" t="e">
        <f t="shared" si="59"/>
        <v>#REF!</v>
      </c>
      <c r="Y541" s="206" t="e">
        <v>#N/A</v>
      </c>
      <c r="Z541" s="206" t="e">
        <f>VLOOKUP($F541,#REF!,9,1)</f>
        <v>#REF!</v>
      </c>
      <c r="AA541" s="206" t="e">
        <f t="shared" si="54"/>
        <v>#REF!</v>
      </c>
      <c r="AB541" s="206" t="e">
        <v>#N/A</v>
      </c>
      <c r="AC541" s="206" t="e">
        <f>VLOOKUP($F541,#REF!,14,1)</f>
        <v>#REF!</v>
      </c>
      <c r="AD541" s="206" t="e">
        <f>VLOOKUP($F541,#REF!,40,0)</f>
        <v>#REF!</v>
      </c>
      <c r="AE541" s="206" t="e">
        <f t="shared" si="60"/>
        <v>#REF!</v>
      </c>
      <c r="AF541" s="206" t="e">
        <v>#N/A</v>
      </c>
      <c r="AG541" s="206" t="e">
        <f>VLOOKUP($F541,#REF!,42,0)</f>
        <v>#REF!</v>
      </c>
      <c r="AH541" s="206" t="e">
        <f t="shared" si="61"/>
        <v>#REF!</v>
      </c>
      <c r="AI541" s="206" t="e">
        <v>#N/A</v>
      </c>
      <c r="AJ541" s="206" t="e">
        <f>VLOOKUP($F541,#REF!,43,0)</f>
        <v>#REF!</v>
      </c>
    </row>
    <row r="542" spans="2:36" s="102" customFormat="1" ht="22.5">
      <c r="B542" s="97"/>
      <c r="C542" s="108" t="s">
        <v>1924</v>
      </c>
      <c r="D542" t="s">
        <v>2178</v>
      </c>
      <c r="E542" s="123" t="s">
        <v>2260</v>
      </c>
      <c r="Q542" s="206" t="s">
        <v>2161</v>
      </c>
      <c r="R542" s="206">
        <f t="shared" si="57"/>
        <v>542</v>
      </c>
      <c r="S542" s="206" t="str">
        <f t="shared" si="58"/>
        <v>;'C THUMANO'!$E$10:$BD$100;14;1)</v>
      </c>
      <c r="T542" s="203" t="s">
        <v>2223</v>
      </c>
      <c r="U542" s="206" t="str">
        <f t="shared" si="62"/>
        <v>=BUSCARV($E542;'C THUMANO'!$E$10:$BD$100;14;1)</v>
      </c>
      <c r="V542" s="206"/>
      <c r="W542" s="206" t="e">
        <f>VLOOKUP($F542,#REF!,8,1)</f>
        <v>#REF!</v>
      </c>
      <c r="X542" s="206" t="e">
        <f t="shared" si="59"/>
        <v>#REF!</v>
      </c>
      <c r="Y542" s="206" t="e">
        <v>#N/A</v>
      </c>
      <c r="Z542" s="206" t="e">
        <f>VLOOKUP($F542,#REF!,9,1)</f>
        <v>#REF!</v>
      </c>
      <c r="AA542" s="206" t="e">
        <f t="shared" si="54"/>
        <v>#REF!</v>
      </c>
      <c r="AB542" s="206" t="e">
        <v>#N/A</v>
      </c>
      <c r="AC542" s="206" t="e">
        <f>VLOOKUP($F542,#REF!,14,1)</f>
        <v>#REF!</v>
      </c>
      <c r="AD542" s="206" t="e">
        <f>VLOOKUP($F542,#REF!,40,0)</f>
        <v>#REF!</v>
      </c>
      <c r="AE542" s="206" t="e">
        <f t="shared" si="60"/>
        <v>#REF!</v>
      </c>
      <c r="AF542" s="206" t="e">
        <v>#N/A</v>
      </c>
      <c r="AG542" s="206" t="e">
        <f>VLOOKUP($F542,#REF!,42,0)</f>
        <v>#REF!</v>
      </c>
      <c r="AH542" s="206" t="e">
        <f t="shared" si="61"/>
        <v>#REF!</v>
      </c>
      <c r="AI542" s="206" t="e">
        <v>#N/A</v>
      </c>
      <c r="AJ542" s="206" t="e">
        <f>VLOOKUP($F542,#REF!,43,0)</f>
        <v>#REF!</v>
      </c>
    </row>
    <row r="543" spans="2:36" s="102" customFormat="1" ht="22.5">
      <c r="B543" s="97"/>
      <c r="C543" s="108" t="s">
        <v>1924</v>
      </c>
      <c r="D543" t="s">
        <v>2178</v>
      </c>
      <c r="E543" s="123" t="s">
        <v>2260</v>
      </c>
      <c r="Q543" s="206" t="s">
        <v>2161</v>
      </c>
      <c r="R543" s="206">
        <f t="shared" si="57"/>
        <v>543</v>
      </c>
      <c r="S543" s="206" t="str">
        <f t="shared" si="58"/>
        <v>;'C THUMANO'!$E$10:$BD$100;14;1)</v>
      </c>
      <c r="T543" s="203" t="s">
        <v>2223</v>
      </c>
      <c r="U543" s="206" t="str">
        <f t="shared" si="62"/>
        <v>=BUSCARV($E543;'C THUMANO'!$E$10:$BD$100;14;1)</v>
      </c>
      <c r="V543" s="206"/>
      <c r="W543" s="206" t="e">
        <f>VLOOKUP($F543,#REF!,8,1)</f>
        <v>#REF!</v>
      </c>
      <c r="X543" s="206" t="e">
        <f t="shared" si="59"/>
        <v>#REF!</v>
      </c>
      <c r="Y543" s="206" t="e">
        <v>#N/A</v>
      </c>
      <c r="Z543" s="206" t="e">
        <f>VLOOKUP($F543,#REF!,9,1)</f>
        <v>#REF!</v>
      </c>
      <c r="AA543" s="206" t="e">
        <f t="shared" si="54"/>
        <v>#REF!</v>
      </c>
      <c r="AB543" s="206" t="e">
        <v>#N/A</v>
      </c>
      <c r="AC543" s="206" t="e">
        <f>VLOOKUP($F543,#REF!,14,1)</f>
        <v>#REF!</v>
      </c>
      <c r="AD543" s="206" t="e">
        <f>VLOOKUP($F543,#REF!,40,0)</f>
        <v>#REF!</v>
      </c>
      <c r="AE543" s="206" t="e">
        <f t="shared" si="60"/>
        <v>#REF!</v>
      </c>
      <c r="AF543" s="206" t="e">
        <v>#N/A</v>
      </c>
      <c r="AG543" s="206" t="e">
        <f>VLOOKUP($F543,#REF!,42,0)</f>
        <v>#REF!</v>
      </c>
      <c r="AH543" s="206" t="e">
        <f t="shared" si="61"/>
        <v>#REF!</v>
      </c>
      <c r="AI543" s="206" t="e">
        <v>#N/A</v>
      </c>
      <c r="AJ543" s="206" t="e">
        <f>VLOOKUP($F543,#REF!,43,0)</f>
        <v>#REF!</v>
      </c>
    </row>
    <row r="544" spans="2:36" s="102" customFormat="1" ht="22.5">
      <c r="B544" s="97"/>
      <c r="C544" s="108" t="s">
        <v>1924</v>
      </c>
      <c r="D544" t="s">
        <v>2178</v>
      </c>
      <c r="E544" s="123" t="s">
        <v>2260</v>
      </c>
      <c r="Q544" s="206" t="s">
        <v>2161</v>
      </c>
      <c r="R544" s="206">
        <f t="shared" si="57"/>
        <v>544</v>
      </c>
      <c r="S544" s="206" t="str">
        <f t="shared" si="58"/>
        <v>;'C THUMANO'!$E$10:$BD$100;14;1)</v>
      </c>
      <c r="T544" s="203" t="s">
        <v>2223</v>
      </c>
      <c r="U544" s="206" t="str">
        <f t="shared" si="62"/>
        <v>=BUSCARV($E544;'C THUMANO'!$E$10:$BD$100;14;1)</v>
      </c>
      <c r="V544" s="206"/>
      <c r="W544" s="206" t="e">
        <f>VLOOKUP($F544,#REF!,8,1)</f>
        <v>#REF!</v>
      </c>
      <c r="X544" s="206" t="e">
        <f t="shared" si="59"/>
        <v>#REF!</v>
      </c>
      <c r="Y544" s="206" t="e">
        <v>#N/A</v>
      </c>
      <c r="Z544" s="206" t="e">
        <f>VLOOKUP($F544,#REF!,9,1)</f>
        <v>#REF!</v>
      </c>
      <c r="AA544" s="206" t="e">
        <f t="shared" si="54"/>
        <v>#REF!</v>
      </c>
      <c r="AB544" s="206" t="e">
        <v>#N/A</v>
      </c>
      <c r="AC544" s="206" t="e">
        <f>VLOOKUP($F544,#REF!,14,1)</f>
        <v>#REF!</v>
      </c>
      <c r="AD544" s="206" t="e">
        <f>VLOOKUP($F544,#REF!,40,0)</f>
        <v>#REF!</v>
      </c>
      <c r="AE544" s="206" t="e">
        <f t="shared" si="60"/>
        <v>#REF!</v>
      </c>
      <c r="AF544" s="206" t="e">
        <v>#N/A</v>
      </c>
      <c r="AG544" s="206" t="e">
        <f>VLOOKUP($F544,#REF!,42,0)</f>
        <v>#REF!</v>
      </c>
      <c r="AH544" s="206" t="e">
        <f t="shared" si="61"/>
        <v>#REF!</v>
      </c>
      <c r="AI544" s="206" t="e">
        <v>#N/A</v>
      </c>
      <c r="AJ544" s="206" t="e">
        <f>VLOOKUP($F544,#REF!,43,0)</f>
        <v>#REF!</v>
      </c>
    </row>
    <row r="545" spans="2:36" s="102" customFormat="1" ht="22.5">
      <c r="B545" s="97"/>
      <c r="C545" s="108" t="s">
        <v>1924</v>
      </c>
      <c r="D545" t="s">
        <v>2178</v>
      </c>
      <c r="E545" s="123" t="s">
        <v>2260</v>
      </c>
      <c r="Q545" s="206" t="s">
        <v>2161</v>
      </c>
      <c r="R545" s="206">
        <f t="shared" si="57"/>
        <v>545</v>
      </c>
      <c r="S545" s="206" t="str">
        <f t="shared" si="58"/>
        <v>;'C THUMANO'!$E$10:$BD$100;14;1)</v>
      </c>
      <c r="T545" s="203" t="s">
        <v>2223</v>
      </c>
      <c r="U545" s="206" t="str">
        <f t="shared" si="62"/>
        <v>=BUSCARV($E545;'C THUMANO'!$E$10:$BD$100;14;1)</v>
      </c>
      <c r="V545" s="206"/>
      <c r="W545" s="206" t="e">
        <f>VLOOKUP($F545,#REF!,8,1)</f>
        <v>#REF!</v>
      </c>
      <c r="X545" s="206" t="e">
        <f t="shared" si="59"/>
        <v>#REF!</v>
      </c>
      <c r="Y545" s="206" t="e">
        <v>#N/A</v>
      </c>
      <c r="Z545" s="206" t="e">
        <f>VLOOKUP($F545,#REF!,9,1)</f>
        <v>#REF!</v>
      </c>
      <c r="AA545" s="206" t="e">
        <f t="shared" si="54"/>
        <v>#REF!</v>
      </c>
      <c r="AB545" s="206" t="e">
        <v>#N/A</v>
      </c>
      <c r="AC545" s="206" t="e">
        <f>VLOOKUP($F545,#REF!,14,1)</f>
        <v>#REF!</v>
      </c>
      <c r="AD545" s="206" t="e">
        <f>VLOOKUP($F545,#REF!,40,0)</f>
        <v>#REF!</v>
      </c>
      <c r="AE545" s="206" t="e">
        <f t="shared" si="60"/>
        <v>#REF!</v>
      </c>
      <c r="AF545" s="206" t="e">
        <v>#N/A</v>
      </c>
      <c r="AG545" s="206" t="e">
        <f>VLOOKUP($F545,#REF!,42,0)</f>
        <v>#REF!</v>
      </c>
      <c r="AH545" s="206" t="e">
        <f t="shared" si="61"/>
        <v>#REF!</v>
      </c>
      <c r="AI545" s="206" t="e">
        <v>#N/A</v>
      </c>
      <c r="AJ545" s="206" t="e">
        <f>VLOOKUP($F545,#REF!,43,0)</f>
        <v>#REF!</v>
      </c>
    </row>
    <row r="546" spans="2:36" s="102" customFormat="1" ht="22.5">
      <c r="B546" s="97"/>
      <c r="C546" s="108" t="s">
        <v>1924</v>
      </c>
      <c r="D546" t="s">
        <v>2178</v>
      </c>
      <c r="E546" s="123" t="s">
        <v>2260</v>
      </c>
      <c r="Q546" s="206" t="s">
        <v>2161</v>
      </c>
      <c r="R546" s="206">
        <f t="shared" si="57"/>
        <v>546</v>
      </c>
      <c r="S546" s="206" t="str">
        <f t="shared" si="58"/>
        <v>;'C THUMANO'!$E$10:$BD$100;14;1)</v>
      </c>
      <c r="T546" s="203" t="s">
        <v>2223</v>
      </c>
      <c r="U546" s="206" t="str">
        <f t="shared" si="62"/>
        <v>=BUSCARV($E546;'C THUMANO'!$E$10:$BD$100;14;1)</v>
      </c>
      <c r="V546" s="206"/>
      <c r="W546" s="206" t="e">
        <f>VLOOKUP($F546,#REF!,8,1)</f>
        <v>#REF!</v>
      </c>
      <c r="X546" s="206" t="e">
        <f t="shared" si="59"/>
        <v>#REF!</v>
      </c>
      <c r="Y546" s="206" t="e">
        <v>#N/A</v>
      </c>
      <c r="Z546" s="206" t="e">
        <f>VLOOKUP($F546,#REF!,9,1)</f>
        <v>#REF!</v>
      </c>
      <c r="AA546" s="206" t="e">
        <f t="shared" si="54"/>
        <v>#REF!</v>
      </c>
      <c r="AB546" s="206" t="e">
        <v>#N/A</v>
      </c>
      <c r="AC546" s="206" t="e">
        <f>VLOOKUP($F546,#REF!,14,1)</f>
        <v>#REF!</v>
      </c>
      <c r="AD546" s="206" t="e">
        <f>VLOOKUP($F546,#REF!,40,0)</f>
        <v>#REF!</v>
      </c>
      <c r="AE546" s="206" t="e">
        <f t="shared" si="60"/>
        <v>#REF!</v>
      </c>
      <c r="AF546" s="206" t="e">
        <v>#N/A</v>
      </c>
      <c r="AG546" s="206" t="e">
        <f>VLOOKUP($F546,#REF!,42,0)</f>
        <v>#REF!</v>
      </c>
      <c r="AH546" s="206" t="e">
        <f t="shared" si="61"/>
        <v>#REF!</v>
      </c>
      <c r="AI546" s="206" t="e">
        <v>#N/A</v>
      </c>
      <c r="AJ546" s="206" t="e">
        <f>VLOOKUP($F546,#REF!,43,0)</f>
        <v>#REF!</v>
      </c>
    </row>
    <row r="547" spans="2:36" s="102" customFormat="1" ht="22.5">
      <c r="B547" s="97"/>
      <c r="C547" s="108" t="s">
        <v>1924</v>
      </c>
      <c r="D547" t="s">
        <v>2178</v>
      </c>
      <c r="E547" s="123" t="s">
        <v>2260</v>
      </c>
      <c r="Q547" s="206" t="s">
        <v>2161</v>
      </c>
      <c r="R547" s="206">
        <f t="shared" si="57"/>
        <v>547</v>
      </c>
      <c r="S547" s="206" t="str">
        <f t="shared" si="58"/>
        <v>;'C THUMANO'!$E$10:$BD$100;14;1)</v>
      </c>
      <c r="T547" s="203" t="s">
        <v>2223</v>
      </c>
      <c r="U547" s="206" t="str">
        <f t="shared" si="62"/>
        <v>=BUSCARV($E547;'C THUMANO'!$E$10:$BD$100;14;1)</v>
      </c>
      <c r="V547" s="206"/>
      <c r="W547" s="206" t="e">
        <f>VLOOKUP($F547,#REF!,8,1)</f>
        <v>#REF!</v>
      </c>
      <c r="X547" s="206" t="e">
        <f t="shared" si="59"/>
        <v>#REF!</v>
      </c>
      <c r="Y547" s="206" t="e">
        <v>#N/A</v>
      </c>
      <c r="Z547" s="206" t="e">
        <f>VLOOKUP($F547,#REF!,9,1)</f>
        <v>#REF!</v>
      </c>
      <c r="AA547" s="206" t="e">
        <f t="shared" si="54"/>
        <v>#REF!</v>
      </c>
      <c r="AB547" s="206" t="e">
        <v>#N/A</v>
      </c>
      <c r="AC547" s="206" t="e">
        <f>VLOOKUP($F547,#REF!,14,1)</f>
        <v>#REF!</v>
      </c>
      <c r="AD547" s="206" t="e">
        <f>VLOOKUP($F547,#REF!,40,0)</f>
        <v>#REF!</v>
      </c>
      <c r="AE547" s="206" t="e">
        <f t="shared" si="60"/>
        <v>#REF!</v>
      </c>
      <c r="AF547" s="206" t="e">
        <v>#N/A</v>
      </c>
      <c r="AG547" s="206" t="e">
        <f>VLOOKUP($F547,#REF!,42,0)</f>
        <v>#REF!</v>
      </c>
      <c r="AH547" s="206" t="e">
        <f t="shared" si="61"/>
        <v>#REF!</v>
      </c>
      <c r="AI547" s="206" t="e">
        <v>#N/A</v>
      </c>
      <c r="AJ547" s="206" t="e">
        <f>VLOOKUP($F547,#REF!,43,0)</f>
        <v>#REF!</v>
      </c>
    </row>
    <row r="548" spans="2:36" s="102" customFormat="1" ht="22.5">
      <c r="B548" s="97"/>
      <c r="C548" s="108" t="s">
        <v>1924</v>
      </c>
      <c r="D548" t="s">
        <v>2178</v>
      </c>
      <c r="E548" s="123" t="s">
        <v>2260</v>
      </c>
      <c r="Q548" s="206" t="s">
        <v>2161</v>
      </c>
      <c r="R548" s="206">
        <f t="shared" si="57"/>
        <v>548</v>
      </c>
      <c r="S548" s="206" t="str">
        <f t="shared" si="58"/>
        <v>;'C THUMANO'!$E$10:$BD$100;14;1)</v>
      </c>
      <c r="T548" s="203" t="s">
        <v>2223</v>
      </c>
      <c r="U548" s="206" t="str">
        <f t="shared" si="62"/>
        <v>=BUSCARV($E548;'C THUMANO'!$E$10:$BD$100;14;1)</v>
      </c>
      <c r="V548" s="206"/>
      <c r="W548" s="206" t="e">
        <f>VLOOKUP($F548,#REF!,8,1)</f>
        <v>#REF!</v>
      </c>
      <c r="X548" s="206" t="e">
        <f t="shared" si="59"/>
        <v>#REF!</v>
      </c>
      <c r="Y548" s="206" t="e">
        <v>#N/A</v>
      </c>
      <c r="Z548" s="206" t="e">
        <f>VLOOKUP($F548,#REF!,9,1)</f>
        <v>#REF!</v>
      </c>
      <c r="AA548" s="206" t="e">
        <f t="shared" si="54"/>
        <v>#REF!</v>
      </c>
      <c r="AB548" s="206" t="e">
        <v>#N/A</v>
      </c>
      <c r="AC548" s="206" t="e">
        <f>VLOOKUP($F548,#REF!,14,1)</f>
        <v>#REF!</v>
      </c>
      <c r="AD548" s="206" t="e">
        <f>VLOOKUP($F548,#REF!,40,0)</f>
        <v>#REF!</v>
      </c>
      <c r="AE548" s="206" t="e">
        <f t="shared" si="60"/>
        <v>#REF!</v>
      </c>
      <c r="AF548" s="206" t="e">
        <v>#N/A</v>
      </c>
      <c r="AG548" s="206" t="e">
        <f>VLOOKUP($F548,#REF!,42,0)</f>
        <v>#REF!</v>
      </c>
      <c r="AH548" s="206" t="e">
        <f t="shared" si="61"/>
        <v>#REF!</v>
      </c>
      <c r="AI548" s="206" t="e">
        <v>#N/A</v>
      </c>
      <c r="AJ548" s="206" t="e">
        <f>VLOOKUP($F548,#REF!,43,0)</f>
        <v>#REF!</v>
      </c>
    </row>
    <row r="549" spans="2:36" s="102" customFormat="1" ht="22.5">
      <c r="B549" s="97"/>
      <c r="C549" s="108" t="s">
        <v>1924</v>
      </c>
      <c r="D549" t="s">
        <v>2178</v>
      </c>
      <c r="E549" s="123" t="s">
        <v>2260</v>
      </c>
      <c r="Q549" s="206" t="s">
        <v>2161</v>
      </c>
      <c r="R549" s="206">
        <f t="shared" si="57"/>
        <v>549</v>
      </c>
      <c r="S549" s="206" t="str">
        <f t="shared" si="58"/>
        <v>;'C THUMANO'!$E$10:$BD$100;14;1)</v>
      </c>
      <c r="T549" s="203" t="s">
        <v>2223</v>
      </c>
      <c r="U549" s="206" t="str">
        <f t="shared" si="62"/>
        <v>=BUSCARV($E549;'C THUMANO'!$E$10:$BD$100;14;1)</v>
      </c>
      <c r="V549" s="206"/>
      <c r="W549" s="206" t="e">
        <f>VLOOKUP($F549,#REF!,8,1)</f>
        <v>#REF!</v>
      </c>
      <c r="X549" s="206" t="e">
        <f t="shared" si="59"/>
        <v>#REF!</v>
      </c>
      <c r="Y549" s="206" t="e">
        <v>#N/A</v>
      </c>
      <c r="Z549" s="206" t="e">
        <f>VLOOKUP($F549,#REF!,9,1)</f>
        <v>#REF!</v>
      </c>
      <c r="AA549" s="206" t="e">
        <f t="shared" si="54"/>
        <v>#REF!</v>
      </c>
      <c r="AB549" s="206" t="e">
        <v>#N/A</v>
      </c>
      <c r="AC549" s="206" t="e">
        <f>VLOOKUP($F549,#REF!,14,1)</f>
        <v>#REF!</v>
      </c>
      <c r="AD549" s="206" t="e">
        <f>VLOOKUP($F549,#REF!,40,0)</f>
        <v>#REF!</v>
      </c>
      <c r="AE549" s="206" t="e">
        <f t="shared" si="60"/>
        <v>#REF!</v>
      </c>
      <c r="AF549" s="206" t="e">
        <v>#N/A</v>
      </c>
      <c r="AG549" s="206" t="e">
        <f>VLOOKUP($F549,#REF!,42,0)</f>
        <v>#REF!</v>
      </c>
      <c r="AH549" s="206" t="e">
        <f t="shared" si="61"/>
        <v>#REF!</v>
      </c>
      <c r="AI549" s="206" t="e">
        <v>#N/A</v>
      </c>
      <c r="AJ549" s="206" t="e">
        <f>VLOOKUP($F549,#REF!,43,0)</f>
        <v>#REF!</v>
      </c>
    </row>
    <row r="550" spans="2:36" s="102" customFormat="1" ht="22.5">
      <c r="B550" s="97"/>
      <c r="C550" s="108" t="s">
        <v>1924</v>
      </c>
      <c r="D550" t="s">
        <v>2178</v>
      </c>
      <c r="E550" s="123" t="s">
        <v>2260</v>
      </c>
      <c r="Q550" s="206" t="s">
        <v>2161</v>
      </c>
      <c r="R550" s="206">
        <f t="shared" si="57"/>
        <v>550</v>
      </c>
      <c r="S550" s="206" t="str">
        <f t="shared" si="58"/>
        <v>;'C THUMANO'!$E$10:$BD$100;14;1)</v>
      </c>
      <c r="T550" s="203" t="s">
        <v>2223</v>
      </c>
      <c r="U550" s="206" t="str">
        <f t="shared" si="62"/>
        <v>=BUSCARV($E550;'C THUMANO'!$E$10:$BD$100;14;1)</v>
      </c>
      <c r="V550" s="206"/>
      <c r="W550" s="206" t="e">
        <f>VLOOKUP($F550,#REF!,8,1)</f>
        <v>#REF!</v>
      </c>
      <c r="X550" s="206" t="e">
        <f t="shared" si="59"/>
        <v>#REF!</v>
      </c>
      <c r="Y550" s="206" t="e">
        <v>#N/A</v>
      </c>
      <c r="Z550" s="206" t="e">
        <f>VLOOKUP($F550,#REF!,9,1)</f>
        <v>#REF!</v>
      </c>
      <c r="AA550" s="206" t="e">
        <f t="shared" si="54"/>
        <v>#REF!</v>
      </c>
      <c r="AB550" s="206" t="e">
        <v>#N/A</v>
      </c>
      <c r="AC550" s="206" t="e">
        <f>VLOOKUP($F550,#REF!,14,1)</f>
        <v>#REF!</v>
      </c>
      <c r="AD550" s="206" t="e">
        <f>VLOOKUP($F550,#REF!,40,0)</f>
        <v>#REF!</v>
      </c>
      <c r="AE550" s="206" t="e">
        <f t="shared" si="60"/>
        <v>#REF!</v>
      </c>
      <c r="AF550" s="206" t="e">
        <v>#N/A</v>
      </c>
      <c r="AG550" s="206" t="e">
        <f>VLOOKUP($F550,#REF!,42,0)</f>
        <v>#REF!</v>
      </c>
      <c r="AH550" s="206" t="e">
        <f t="shared" si="61"/>
        <v>#REF!</v>
      </c>
      <c r="AI550" s="206" t="e">
        <v>#N/A</v>
      </c>
      <c r="AJ550" s="206" t="e">
        <f>VLOOKUP($F550,#REF!,43,0)</f>
        <v>#REF!</v>
      </c>
    </row>
    <row r="551" spans="2:36" s="102" customFormat="1" ht="22.5">
      <c r="B551" s="97"/>
      <c r="C551" s="108" t="s">
        <v>1924</v>
      </c>
      <c r="D551" t="s">
        <v>2178</v>
      </c>
      <c r="E551" s="123" t="s">
        <v>2260</v>
      </c>
      <c r="Q551" s="206" t="s">
        <v>2161</v>
      </c>
      <c r="R551" s="206">
        <f t="shared" si="57"/>
        <v>551</v>
      </c>
      <c r="S551" s="206" t="str">
        <f t="shared" si="58"/>
        <v>;'C THUMANO'!$E$10:$BD$100;14;1)</v>
      </c>
      <c r="T551" s="203" t="s">
        <v>2223</v>
      </c>
      <c r="U551" s="206" t="str">
        <f t="shared" si="62"/>
        <v>=BUSCARV($E551;'C THUMANO'!$E$10:$BD$100;14;1)</v>
      </c>
      <c r="V551" s="206"/>
      <c r="W551" s="206" t="e">
        <f>VLOOKUP($F551,#REF!,8,1)</f>
        <v>#REF!</v>
      </c>
      <c r="X551" s="206" t="e">
        <f t="shared" si="59"/>
        <v>#REF!</v>
      </c>
      <c r="Y551" s="206" t="e">
        <v>#N/A</v>
      </c>
      <c r="Z551" s="206" t="e">
        <f>VLOOKUP($F551,#REF!,9,1)</f>
        <v>#REF!</v>
      </c>
      <c r="AA551" s="206" t="e">
        <f t="shared" si="54"/>
        <v>#REF!</v>
      </c>
      <c r="AB551" s="206" t="e">
        <v>#N/A</v>
      </c>
      <c r="AC551" s="206" t="e">
        <f>VLOOKUP($F551,#REF!,14,1)</f>
        <v>#REF!</v>
      </c>
      <c r="AD551" s="206" t="e">
        <f>VLOOKUP($F551,#REF!,40,0)</f>
        <v>#REF!</v>
      </c>
      <c r="AE551" s="206" t="e">
        <f t="shared" si="60"/>
        <v>#REF!</v>
      </c>
      <c r="AF551" s="206" t="e">
        <v>#N/A</v>
      </c>
      <c r="AG551" s="206" t="e">
        <f>VLOOKUP($F551,#REF!,42,0)</f>
        <v>#REF!</v>
      </c>
      <c r="AH551" s="206" t="e">
        <f t="shared" si="61"/>
        <v>#REF!</v>
      </c>
      <c r="AI551" s="206" t="e">
        <v>#N/A</v>
      </c>
      <c r="AJ551" s="206" t="e">
        <f>VLOOKUP($F551,#REF!,43,0)</f>
        <v>#REF!</v>
      </c>
    </row>
    <row r="552" spans="2:36" s="102" customFormat="1" ht="22.5">
      <c r="B552" s="97"/>
      <c r="C552" s="108" t="s">
        <v>1924</v>
      </c>
      <c r="D552" t="s">
        <v>2178</v>
      </c>
      <c r="E552" s="123" t="s">
        <v>2260</v>
      </c>
      <c r="Q552" s="206" t="s">
        <v>2161</v>
      </c>
      <c r="R552" s="206">
        <f t="shared" si="57"/>
        <v>552</v>
      </c>
      <c r="S552" s="206" t="str">
        <f t="shared" si="58"/>
        <v>;'C THUMANO'!$E$10:$BD$100;14;1)</v>
      </c>
      <c r="T552" s="203" t="s">
        <v>2223</v>
      </c>
      <c r="U552" s="206" t="str">
        <f t="shared" si="62"/>
        <v>=BUSCARV($E552;'C THUMANO'!$E$10:$BD$100;14;1)</v>
      </c>
      <c r="V552" s="206"/>
      <c r="W552" s="206" t="e">
        <f>VLOOKUP($F552,#REF!,8,1)</f>
        <v>#REF!</v>
      </c>
      <c r="X552" s="206" t="e">
        <f t="shared" si="59"/>
        <v>#REF!</v>
      </c>
      <c r="Y552" s="206" t="e">
        <v>#N/A</v>
      </c>
      <c r="Z552" s="206" t="e">
        <f>VLOOKUP($F552,#REF!,9,1)</f>
        <v>#REF!</v>
      </c>
      <c r="AA552" s="206" t="e">
        <f t="shared" si="54"/>
        <v>#REF!</v>
      </c>
      <c r="AB552" s="206" t="e">
        <v>#N/A</v>
      </c>
      <c r="AC552" s="206" t="e">
        <f>VLOOKUP($F552,#REF!,14,1)</f>
        <v>#REF!</v>
      </c>
      <c r="AD552" s="206" t="e">
        <f>VLOOKUP($F552,#REF!,40,0)</f>
        <v>#REF!</v>
      </c>
      <c r="AE552" s="206" t="e">
        <f t="shared" si="60"/>
        <v>#REF!</v>
      </c>
      <c r="AF552" s="206" t="e">
        <v>#N/A</v>
      </c>
      <c r="AG552" s="206" t="e">
        <f>VLOOKUP($F552,#REF!,42,0)</f>
        <v>#REF!</v>
      </c>
      <c r="AH552" s="206" t="e">
        <f t="shared" si="61"/>
        <v>#REF!</v>
      </c>
      <c r="AI552" s="206" t="e">
        <v>#N/A</v>
      </c>
      <c r="AJ552" s="206" t="e">
        <f>VLOOKUP($F552,#REF!,43,0)</f>
        <v>#REF!</v>
      </c>
    </row>
    <row r="553" spans="2:36" s="102" customFormat="1" ht="45">
      <c r="B553" s="97"/>
      <c r="C553" s="106" t="s">
        <v>1927</v>
      </c>
      <c r="D553" t="s">
        <v>2179</v>
      </c>
      <c r="E553" s="123" t="s">
        <v>2260</v>
      </c>
      <c r="F553" s="102" t="s">
        <v>357</v>
      </c>
      <c r="G553" s="97" t="s">
        <v>1929</v>
      </c>
      <c r="Q553" s="206" t="s">
        <v>2161</v>
      </c>
      <c r="R553" s="206">
        <f t="shared" si="57"/>
        <v>553</v>
      </c>
      <c r="S553" s="206" t="str">
        <f t="shared" si="58"/>
        <v>;'C TICs'!$E$10:$BD$100;14;1)</v>
      </c>
      <c r="T553" s="203" t="s">
        <v>2224</v>
      </c>
      <c r="U553" s="206" t="str">
        <f t="shared" si="26"/>
        <v>=BUSCARV($E553;'C TICs'!$E$10:$BD$100;14;1)</v>
      </c>
      <c r="V553" s="206" t="s">
        <v>2259</v>
      </c>
      <c r="W553" s="206" t="e">
        <f>VLOOKUP($F553,#REF!,8,1)</f>
        <v>#REF!</v>
      </c>
      <c r="X553" s="206" t="e">
        <f t="shared" si="59"/>
        <v>#REF!</v>
      </c>
      <c r="Y553" s="206">
        <v>1</v>
      </c>
      <c r="Z553" s="206" t="e">
        <f>VLOOKUP($F553,#REF!,11,1)</f>
        <v>#REF!</v>
      </c>
      <c r="AA553" s="206" t="e">
        <f t="shared" si="54"/>
        <v>#REF!</v>
      </c>
      <c r="AB553" s="206">
        <v>10</v>
      </c>
      <c r="AC553" s="206" t="e">
        <f>VLOOKUP($F553,#REF!,13,1)</f>
        <v>#REF!</v>
      </c>
      <c r="AD553" s="206" t="e">
        <f>VLOOKUP($F553,#REF!,38,0)</f>
        <v>#REF!</v>
      </c>
      <c r="AE553" s="206" t="e">
        <f t="shared" si="60"/>
        <v>#REF!</v>
      </c>
      <c r="AF553" s="206">
        <v>1</v>
      </c>
      <c r="AG553" s="206" t="e">
        <f>VLOOKUP($F553,#REF!,40,0)</f>
        <v>#REF!</v>
      </c>
      <c r="AH553" s="206" t="e">
        <f t="shared" si="61"/>
        <v>#REF!</v>
      </c>
      <c r="AI553" s="206">
        <v>10</v>
      </c>
      <c r="AJ553" s="206" t="e">
        <f>VLOOKUP($F553,#REF!,41,0)</f>
        <v>#REF!</v>
      </c>
    </row>
    <row r="554" spans="2:36" s="102" customFormat="1" ht="45">
      <c r="B554" s="97"/>
      <c r="C554" s="106" t="s">
        <v>1927</v>
      </c>
      <c r="D554" t="s">
        <v>2179</v>
      </c>
      <c r="E554" s="123" t="s">
        <v>2260</v>
      </c>
      <c r="F554" s="102" t="s">
        <v>16</v>
      </c>
      <c r="G554" s="97" t="s">
        <v>1929</v>
      </c>
      <c r="Q554" s="206" t="s">
        <v>2161</v>
      </c>
      <c r="R554" s="206">
        <f t="shared" si="57"/>
        <v>554</v>
      </c>
      <c r="S554" s="206" t="str">
        <f t="shared" si="58"/>
        <v>;'C TICs'!$E$10:$BD$100;14;1)</v>
      </c>
      <c r="T554" s="203" t="s">
        <v>2224</v>
      </c>
      <c r="U554" s="206" t="str">
        <f t="shared" ref="U554:U567" si="63">CONCATENATE("=BUSCARV($E",R554,T554)</f>
        <v>=BUSCARV($E554;'C TICs'!$E$10:$BD$100;14;1)</v>
      </c>
      <c r="V554" s="206" t="s">
        <v>2259</v>
      </c>
      <c r="W554" s="206" t="e">
        <f>VLOOKUP($F554,#REF!,8,1)</f>
        <v>#REF!</v>
      </c>
      <c r="X554" s="206" t="e">
        <f t="shared" si="59"/>
        <v>#REF!</v>
      </c>
      <c r="Y554" s="206">
        <v>1</v>
      </c>
      <c r="Z554" s="206" t="e">
        <f>VLOOKUP($F554,#REF!,11,1)</f>
        <v>#REF!</v>
      </c>
      <c r="AA554" s="206" t="e">
        <f t="shared" ref="AA554:AA617" si="64">IF(Z554="Catastrófico",20,IF(Z554="Mayor",10,5))</f>
        <v>#REF!</v>
      </c>
      <c r="AB554" s="206">
        <v>10</v>
      </c>
      <c r="AC554" s="206" t="e">
        <f>VLOOKUP($F554,#REF!,13,1)</f>
        <v>#REF!</v>
      </c>
      <c r="AD554" s="206" t="e">
        <f>VLOOKUP($F554,#REF!,38,0)</f>
        <v>#REF!</v>
      </c>
      <c r="AE554" s="206" t="e">
        <f t="shared" si="60"/>
        <v>#REF!</v>
      </c>
      <c r="AF554" s="206">
        <v>1</v>
      </c>
      <c r="AG554" s="206" t="e">
        <f>VLOOKUP($F554,#REF!,40,0)</f>
        <v>#REF!</v>
      </c>
      <c r="AH554" s="206" t="e">
        <f t="shared" si="61"/>
        <v>#REF!</v>
      </c>
      <c r="AI554" s="206">
        <v>5</v>
      </c>
      <c r="AJ554" s="206" t="e">
        <f>VLOOKUP($F554,#REF!,41,0)</f>
        <v>#REF!</v>
      </c>
    </row>
    <row r="555" spans="2:36" s="102" customFormat="1" ht="45">
      <c r="B555" s="97"/>
      <c r="C555" s="106" t="s">
        <v>1927</v>
      </c>
      <c r="D555" t="s">
        <v>2179</v>
      </c>
      <c r="E555" s="123" t="s">
        <v>2260</v>
      </c>
      <c r="F555" s="102" t="s">
        <v>17</v>
      </c>
      <c r="G555" s="97" t="s">
        <v>1929</v>
      </c>
      <c r="Q555" s="206" t="s">
        <v>2161</v>
      </c>
      <c r="R555" s="206">
        <f t="shared" si="57"/>
        <v>555</v>
      </c>
      <c r="S555" s="206" t="str">
        <f t="shared" si="58"/>
        <v>;'C TICs'!$E$10:$BD$100;14;1)</v>
      </c>
      <c r="T555" s="203" t="s">
        <v>2224</v>
      </c>
      <c r="U555" s="206" t="str">
        <f t="shared" si="63"/>
        <v>=BUSCARV($E555;'C TICs'!$E$10:$BD$100;14;1)</v>
      </c>
      <c r="V555" s="206" t="s">
        <v>2259</v>
      </c>
      <c r="W555" s="206" t="e">
        <f>VLOOKUP($F555,#REF!,8,1)</f>
        <v>#REF!</v>
      </c>
      <c r="X555" s="206" t="e">
        <f t="shared" si="59"/>
        <v>#REF!</v>
      </c>
      <c r="Y555" s="206">
        <v>1</v>
      </c>
      <c r="Z555" s="206" t="e">
        <f>VLOOKUP($F555,#REF!,11,1)</f>
        <v>#REF!</v>
      </c>
      <c r="AA555" s="206" t="e">
        <f t="shared" si="64"/>
        <v>#REF!</v>
      </c>
      <c r="AB555" s="206">
        <v>10</v>
      </c>
      <c r="AC555" s="206" t="e">
        <f>VLOOKUP($F555,#REF!,13,1)</f>
        <v>#REF!</v>
      </c>
      <c r="AD555" s="206" t="e">
        <f>VLOOKUP($F555,#REF!,38,0)</f>
        <v>#REF!</v>
      </c>
      <c r="AE555" s="206" t="e">
        <f t="shared" si="60"/>
        <v>#REF!</v>
      </c>
      <c r="AF555" s="206">
        <v>1</v>
      </c>
      <c r="AG555" s="206" t="e">
        <f>VLOOKUP($F555,#REF!,40,0)</f>
        <v>#REF!</v>
      </c>
      <c r="AH555" s="206" t="e">
        <f t="shared" si="61"/>
        <v>#REF!</v>
      </c>
      <c r="AI555" s="206">
        <v>5</v>
      </c>
      <c r="AJ555" s="206" t="e">
        <f>VLOOKUP($F555,#REF!,41,0)</f>
        <v>#REF!</v>
      </c>
    </row>
    <row r="556" spans="2:36" s="102" customFormat="1" ht="45">
      <c r="B556" s="97"/>
      <c r="C556" s="106" t="s">
        <v>1927</v>
      </c>
      <c r="D556" t="s">
        <v>2179</v>
      </c>
      <c r="E556" s="123" t="s">
        <v>2260</v>
      </c>
      <c r="F556" s="102" t="s">
        <v>364</v>
      </c>
      <c r="G556" s="97" t="s">
        <v>1929</v>
      </c>
      <c r="Q556" s="206" t="s">
        <v>2161</v>
      </c>
      <c r="R556" s="206">
        <f t="shared" si="57"/>
        <v>556</v>
      </c>
      <c r="S556" s="206" t="str">
        <f t="shared" si="58"/>
        <v>;'C TICs'!$E$10:$BD$100;14;1)</v>
      </c>
      <c r="T556" s="203" t="s">
        <v>2224</v>
      </c>
      <c r="U556" s="206" t="str">
        <f t="shared" si="63"/>
        <v>=BUSCARV($E556;'C TICs'!$E$10:$BD$100;14;1)</v>
      </c>
      <c r="V556" s="206" t="s">
        <v>2259</v>
      </c>
      <c r="W556" s="206" t="e">
        <f>VLOOKUP($F556,#REF!,8,1)</f>
        <v>#REF!</v>
      </c>
      <c r="X556" s="206" t="e">
        <f t="shared" si="59"/>
        <v>#REF!</v>
      </c>
      <c r="Y556" s="206">
        <v>2</v>
      </c>
      <c r="Z556" s="206" t="e">
        <f>VLOOKUP($F556,#REF!,11,1)</f>
        <v>#REF!</v>
      </c>
      <c r="AA556" s="206" t="e">
        <f t="shared" si="64"/>
        <v>#REF!</v>
      </c>
      <c r="AB556" s="206">
        <v>5</v>
      </c>
      <c r="AC556" s="206" t="e">
        <f>VLOOKUP($F556,#REF!,13,1)</f>
        <v>#REF!</v>
      </c>
      <c r="AD556" s="206" t="e">
        <f>VLOOKUP($F556,#REF!,38,0)</f>
        <v>#REF!</v>
      </c>
      <c r="AE556" s="206" t="e">
        <f t="shared" si="60"/>
        <v>#REF!</v>
      </c>
      <c r="AF556" s="206">
        <v>1</v>
      </c>
      <c r="AG556" s="206" t="e">
        <f>VLOOKUP($F556,#REF!,40,0)</f>
        <v>#REF!</v>
      </c>
      <c r="AH556" s="206" t="e">
        <f t="shared" si="61"/>
        <v>#REF!</v>
      </c>
      <c r="AI556" s="206">
        <v>5</v>
      </c>
      <c r="AJ556" s="206" t="e">
        <f>VLOOKUP($F556,#REF!,41,0)</f>
        <v>#REF!</v>
      </c>
    </row>
    <row r="557" spans="2:36" s="102" customFormat="1" ht="45">
      <c r="B557" s="97"/>
      <c r="C557" s="106" t="s">
        <v>1927</v>
      </c>
      <c r="D557" t="s">
        <v>2179</v>
      </c>
      <c r="E557" s="123" t="s">
        <v>2260</v>
      </c>
      <c r="Q557" s="206" t="s">
        <v>2161</v>
      </c>
      <c r="R557" s="206">
        <f t="shared" si="57"/>
        <v>557</v>
      </c>
      <c r="S557" s="206" t="str">
        <f t="shared" si="58"/>
        <v>;'C TICs'!$E$10:$BD$100;14;1)</v>
      </c>
      <c r="T557" s="203" t="s">
        <v>2224</v>
      </c>
      <c r="U557" s="206" t="str">
        <f t="shared" si="63"/>
        <v>=BUSCARV($E557;'C TICs'!$E$10:$BD$100;14;1)</v>
      </c>
      <c r="V557" s="206" t="s">
        <v>2259</v>
      </c>
      <c r="W557" s="206" t="e">
        <f>VLOOKUP($F557,#REF!,8,1)</f>
        <v>#REF!</v>
      </c>
      <c r="X557" s="206" t="e">
        <f t="shared" si="59"/>
        <v>#REF!</v>
      </c>
      <c r="Y557" s="206" t="e">
        <v>#N/A</v>
      </c>
      <c r="Z557" s="206" t="e">
        <f>VLOOKUP($F557,#REF!,11,1)</f>
        <v>#REF!</v>
      </c>
      <c r="AA557" s="206" t="e">
        <f t="shared" si="64"/>
        <v>#REF!</v>
      </c>
      <c r="AB557" s="206" t="e">
        <v>#N/A</v>
      </c>
      <c r="AC557" s="206" t="e">
        <f>VLOOKUP($F557,#REF!,13,1)</f>
        <v>#REF!</v>
      </c>
      <c r="AD557" s="206" t="e">
        <f>VLOOKUP($F557,#REF!,38,0)</f>
        <v>#REF!</v>
      </c>
      <c r="AE557" s="206" t="e">
        <f t="shared" si="60"/>
        <v>#REF!</v>
      </c>
      <c r="AF557" s="206" t="e">
        <v>#N/A</v>
      </c>
      <c r="AG557" s="206" t="e">
        <f>VLOOKUP($F557,#REF!,40,0)</f>
        <v>#REF!</v>
      </c>
      <c r="AH557" s="206" t="e">
        <f t="shared" si="61"/>
        <v>#REF!</v>
      </c>
      <c r="AI557" s="206" t="e">
        <v>#N/A</v>
      </c>
      <c r="AJ557" s="206" t="e">
        <f>VLOOKUP($F557,#REF!,41,0)</f>
        <v>#REF!</v>
      </c>
    </row>
    <row r="558" spans="2:36" s="102" customFormat="1" ht="45">
      <c r="B558" s="97"/>
      <c r="C558" s="106" t="s">
        <v>1927</v>
      </c>
      <c r="D558" t="s">
        <v>2179</v>
      </c>
      <c r="E558" s="123" t="s">
        <v>2260</v>
      </c>
      <c r="Q558" s="206" t="s">
        <v>2161</v>
      </c>
      <c r="R558" s="206">
        <f t="shared" si="57"/>
        <v>558</v>
      </c>
      <c r="S558" s="206" t="str">
        <f t="shared" si="58"/>
        <v>;'C TICs'!$E$10:$BD$100;14;1)</v>
      </c>
      <c r="T558" s="203" t="s">
        <v>2224</v>
      </c>
      <c r="U558" s="206" t="str">
        <f t="shared" si="63"/>
        <v>=BUSCARV($E558;'C TICs'!$E$10:$BD$100;14;1)</v>
      </c>
      <c r="V558" s="206" t="s">
        <v>2259</v>
      </c>
      <c r="W558" s="206" t="e">
        <f>VLOOKUP($F558,#REF!,8,1)</f>
        <v>#REF!</v>
      </c>
      <c r="X558" s="206" t="e">
        <f t="shared" si="59"/>
        <v>#REF!</v>
      </c>
      <c r="Y558" s="206" t="e">
        <v>#N/A</v>
      </c>
      <c r="Z558" s="206" t="e">
        <f>VLOOKUP($F558,#REF!,11,1)</f>
        <v>#REF!</v>
      </c>
      <c r="AA558" s="206" t="e">
        <f t="shared" si="64"/>
        <v>#REF!</v>
      </c>
      <c r="AB558" s="206" t="e">
        <v>#N/A</v>
      </c>
      <c r="AC558" s="206" t="e">
        <f>VLOOKUP($F558,#REF!,13,1)</f>
        <v>#REF!</v>
      </c>
      <c r="AD558" s="206" t="e">
        <f>VLOOKUP($F558,#REF!,38,0)</f>
        <v>#REF!</v>
      </c>
      <c r="AE558" s="206" t="e">
        <f t="shared" si="60"/>
        <v>#REF!</v>
      </c>
      <c r="AF558" s="206" t="e">
        <v>#N/A</v>
      </c>
      <c r="AG558" s="206" t="e">
        <f>VLOOKUP($F558,#REF!,40,0)</f>
        <v>#REF!</v>
      </c>
      <c r="AH558" s="206" t="e">
        <f t="shared" si="61"/>
        <v>#REF!</v>
      </c>
      <c r="AI558" s="206" t="e">
        <v>#N/A</v>
      </c>
      <c r="AJ558" s="206" t="e">
        <f>VLOOKUP($F558,#REF!,41,0)</f>
        <v>#REF!</v>
      </c>
    </row>
    <row r="559" spans="2:36" s="102" customFormat="1" ht="45">
      <c r="B559" s="97"/>
      <c r="C559" s="106" t="s">
        <v>1927</v>
      </c>
      <c r="D559" t="s">
        <v>2179</v>
      </c>
      <c r="E559" s="123" t="s">
        <v>2260</v>
      </c>
      <c r="Q559" s="206" t="s">
        <v>2161</v>
      </c>
      <c r="R559" s="206">
        <f t="shared" si="57"/>
        <v>559</v>
      </c>
      <c r="S559" s="206" t="str">
        <f t="shared" si="58"/>
        <v>;'C TICs'!$E$10:$BD$100;14;1)</v>
      </c>
      <c r="T559" s="203" t="s">
        <v>2224</v>
      </c>
      <c r="U559" s="206" t="str">
        <f t="shared" si="63"/>
        <v>=BUSCARV($E559;'C TICs'!$E$10:$BD$100;14;1)</v>
      </c>
      <c r="V559" s="206" t="s">
        <v>2259</v>
      </c>
      <c r="W559" s="206" t="e">
        <f>VLOOKUP($F559,#REF!,8,1)</f>
        <v>#REF!</v>
      </c>
      <c r="X559" s="206" t="e">
        <f t="shared" si="59"/>
        <v>#REF!</v>
      </c>
      <c r="Y559" s="206" t="e">
        <v>#N/A</v>
      </c>
      <c r="Z559" s="206" t="e">
        <f>VLOOKUP($F559,#REF!,11,1)</f>
        <v>#REF!</v>
      </c>
      <c r="AA559" s="206" t="e">
        <f t="shared" si="64"/>
        <v>#REF!</v>
      </c>
      <c r="AB559" s="206" t="e">
        <v>#N/A</v>
      </c>
      <c r="AC559" s="206" t="e">
        <f>VLOOKUP($F559,#REF!,13,1)</f>
        <v>#REF!</v>
      </c>
      <c r="AD559" s="206" t="e">
        <f>VLOOKUP($F559,#REF!,38,0)</f>
        <v>#REF!</v>
      </c>
      <c r="AE559" s="206" t="e">
        <f t="shared" si="60"/>
        <v>#REF!</v>
      </c>
      <c r="AF559" s="206" t="e">
        <v>#N/A</v>
      </c>
      <c r="AG559" s="206" t="e">
        <f>VLOOKUP($F559,#REF!,40,0)</f>
        <v>#REF!</v>
      </c>
      <c r="AH559" s="206" t="e">
        <f t="shared" si="61"/>
        <v>#REF!</v>
      </c>
      <c r="AI559" s="206" t="e">
        <v>#N/A</v>
      </c>
      <c r="AJ559" s="206" t="e">
        <f>VLOOKUP($F559,#REF!,41,0)</f>
        <v>#REF!</v>
      </c>
    </row>
    <row r="560" spans="2:36" s="102" customFormat="1" ht="45">
      <c r="B560" s="97"/>
      <c r="C560" s="106" t="s">
        <v>1927</v>
      </c>
      <c r="D560" t="s">
        <v>2179</v>
      </c>
      <c r="E560" s="123" t="s">
        <v>2260</v>
      </c>
      <c r="Q560" s="206" t="s">
        <v>2161</v>
      </c>
      <c r="R560" s="206">
        <f t="shared" si="57"/>
        <v>560</v>
      </c>
      <c r="S560" s="206" t="str">
        <f t="shared" si="58"/>
        <v>;'C TICs'!$E$10:$BD$100;14;1)</v>
      </c>
      <c r="T560" s="203" t="s">
        <v>2224</v>
      </c>
      <c r="U560" s="206" t="str">
        <f t="shared" si="63"/>
        <v>=BUSCARV($E560;'C TICs'!$E$10:$BD$100;14;1)</v>
      </c>
      <c r="V560" s="206" t="s">
        <v>2259</v>
      </c>
      <c r="W560" s="206" t="e">
        <f>VLOOKUP($F560,#REF!,8,1)</f>
        <v>#REF!</v>
      </c>
      <c r="X560" s="206" t="e">
        <f t="shared" si="59"/>
        <v>#REF!</v>
      </c>
      <c r="Y560" s="206" t="e">
        <v>#N/A</v>
      </c>
      <c r="Z560" s="206" t="e">
        <f>VLOOKUP($F560,#REF!,11,1)</f>
        <v>#REF!</v>
      </c>
      <c r="AA560" s="206" t="e">
        <f t="shared" si="64"/>
        <v>#REF!</v>
      </c>
      <c r="AB560" s="206" t="e">
        <v>#N/A</v>
      </c>
      <c r="AC560" s="206" t="e">
        <f>VLOOKUP($F560,#REF!,13,1)</f>
        <v>#REF!</v>
      </c>
      <c r="AD560" s="206" t="e">
        <f>VLOOKUP($F560,#REF!,38,0)</f>
        <v>#REF!</v>
      </c>
      <c r="AE560" s="206" t="e">
        <f t="shared" si="60"/>
        <v>#REF!</v>
      </c>
      <c r="AF560" s="206" t="e">
        <v>#N/A</v>
      </c>
      <c r="AG560" s="206" t="e">
        <f>VLOOKUP($F560,#REF!,40,0)</f>
        <v>#REF!</v>
      </c>
      <c r="AH560" s="206" t="e">
        <f t="shared" si="61"/>
        <v>#REF!</v>
      </c>
      <c r="AI560" s="206" t="e">
        <v>#N/A</v>
      </c>
      <c r="AJ560" s="206" t="e">
        <f>VLOOKUP($F560,#REF!,41,0)</f>
        <v>#REF!</v>
      </c>
    </row>
    <row r="561" spans="2:36" s="102" customFormat="1" ht="45">
      <c r="B561" s="97"/>
      <c r="C561" s="106" t="s">
        <v>1927</v>
      </c>
      <c r="D561" t="s">
        <v>2179</v>
      </c>
      <c r="E561" s="123" t="s">
        <v>2260</v>
      </c>
      <c r="Q561" s="206" t="s">
        <v>2161</v>
      </c>
      <c r="R561" s="206">
        <f t="shared" si="57"/>
        <v>561</v>
      </c>
      <c r="S561" s="206" t="str">
        <f t="shared" si="58"/>
        <v>;'C TICs'!$E$10:$BD$100;14;1)</v>
      </c>
      <c r="T561" s="203" t="s">
        <v>2224</v>
      </c>
      <c r="U561" s="206" t="str">
        <f t="shared" si="63"/>
        <v>=BUSCARV($E561;'C TICs'!$E$10:$BD$100;14;1)</v>
      </c>
      <c r="V561" s="206" t="s">
        <v>2259</v>
      </c>
      <c r="W561" s="206" t="e">
        <f>VLOOKUP($F561,#REF!,8,1)</f>
        <v>#REF!</v>
      </c>
      <c r="X561" s="206" t="e">
        <f t="shared" si="59"/>
        <v>#REF!</v>
      </c>
      <c r="Y561" s="206" t="e">
        <v>#N/A</v>
      </c>
      <c r="Z561" s="206" t="e">
        <f>VLOOKUP($F561,#REF!,11,1)</f>
        <v>#REF!</v>
      </c>
      <c r="AA561" s="206" t="e">
        <f t="shared" si="64"/>
        <v>#REF!</v>
      </c>
      <c r="AB561" s="206" t="e">
        <v>#N/A</v>
      </c>
      <c r="AC561" s="206" t="e">
        <f>VLOOKUP($F561,#REF!,13,1)</f>
        <v>#REF!</v>
      </c>
      <c r="AD561" s="206" t="e">
        <f>VLOOKUP($F561,#REF!,38,0)</f>
        <v>#REF!</v>
      </c>
      <c r="AE561" s="206" t="e">
        <f t="shared" si="60"/>
        <v>#REF!</v>
      </c>
      <c r="AF561" s="206" t="e">
        <v>#N/A</v>
      </c>
      <c r="AG561" s="206" t="e">
        <f>VLOOKUP($F561,#REF!,40,0)</f>
        <v>#REF!</v>
      </c>
      <c r="AH561" s="206" t="e">
        <f t="shared" si="61"/>
        <v>#REF!</v>
      </c>
      <c r="AI561" s="206" t="e">
        <v>#N/A</v>
      </c>
      <c r="AJ561" s="206" t="e">
        <f>VLOOKUP($F561,#REF!,41,0)</f>
        <v>#REF!</v>
      </c>
    </row>
    <row r="562" spans="2:36" s="102" customFormat="1" ht="45">
      <c r="B562" s="97"/>
      <c r="C562" s="106" t="s">
        <v>1927</v>
      </c>
      <c r="D562" t="s">
        <v>2179</v>
      </c>
      <c r="E562" s="123" t="s">
        <v>2260</v>
      </c>
      <c r="Q562" s="206" t="s">
        <v>2161</v>
      </c>
      <c r="R562" s="206">
        <f t="shared" si="57"/>
        <v>562</v>
      </c>
      <c r="S562" s="206" t="str">
        <f t="shared" si="58"/>
        <v>;'C TICs'!$E$10:$BD$100;14;1)</v>
      </c>
      <c r="T562" s="203" t="s">
        <v>2224</v>
      </c>
      <c r="U562" s="206" t="str">
        <f t="shared" si="63"/>
        <v>=BUSCARV($E562;'C TICs'!$E$10:$BD$100;14;1)</v>
      </c>
      <c r="V562" s="206" t="s">
        <v>2259</v>
      </c>
      <c r="W562" s="206" t="e">
        <f>VLOOKUP($F562,#REF!,8,1)</f>
        <v>#REF!</v>
      </c>
      <c r="X562" s="206" t="e">
        <f t="shared" si="59"/>
        <v>#REF!</v>
      </c>
      <c r="Y562" s="206" t="e">
        <v>#N/A</v>
      </c>
      <c r="Z562" s="206" t="e">
        <f>VLOOKUP($F562,#REF!,11,1)</f>
        <v>#REF!</v>
      </c>
      <c r="AA562" s="206" t="e">
        <f t="shared" si="64"/>
        <v>#REF!</v>
      </c>
      <c r="AB562" s="206" t="e">
        <v>#N/A</v>
      </c>
      <c r="AC562" s="206" t="e">
        <f>VLOOKUP($F562,#REF!,13,1)</f>
        <v>#REF!</v>
      </c>
      <c r="AD562" s="206" t="e">
        <f>VLOOKUP($F562,#REF!,38,0)</f>
        <v>#REF!</v>
      </c>
      <c r="AE562" s="206" t="e">
        <f t="shared" si="60"/>
        <v>#REF!</v>
      </c>
      <c r="AF562" s="206" t="e">
        <v>#N/A</v>
      </c>
      <c r="AG562" s="206" t="e">
        <f>VLOOKUP($F562,#REF!,40,0)</f>
        <v>#REF!</v>
      </c>
      <c r="AH562" s="206" t="e">
        <f t="shared" si="61"/>
        <v>#REF!</v>
      </c>
      <c r="AI562" s="206" t="e">
        <v>#N/A</v>
      </c>
      <c r="AJ562" s="206" t="e">
        <f>VLOOKUP($F562,#REF!,41,0)</f>
        <v>#REF!</v>
      </c>
    </row>
    <row r="563" spans="2:36" s="102" customFormat="1" ht="45">
      <c r="B563" s="97"/>
      <c r="C563" s="106" t="s">
        <v>1927</v>
      </c>
      <c r="D563" t="s">
        <v>2179</v>
      </c>
      <c r="E563" s="123" t="s">
        <v>2260</v>
      </c>
      <c r="Q563" s="206" t="s">
        <v>2161</v>
      </c>
      <c r="R563" s="206">
        <f t="shared" si="57"/>
        <v>563</v>
      </c>
      <c r="S563" s="206" t="str">
        <f t="shared" si="58"/>
        <v>;'C TICs'!$E$10:$BD$100;14;1)</v>
      </c>
      <c r="T563" s="203" t="s">
        <v>2224</v>
      </c>
      <c r="U563" s="206" t="str">
        <f t="shared" si="63"/>
        <v>=BUSCARV($E563;'C TICs'!$E$10:$BD$100;14;1)</v>
      </c>
      <c r="V563" s="206" t="s">
        <v>2259</v>
      </c>
      <c r="W563" s="206" t="e">
        <f>VLOOKUP($F563,#REF!,8,1)</f>
        <v>#REF!</v>
      </c>
      <c r="X563" s="206" t="e">
        <f t="shared" si="59"/>
        <v>#REF!</v>
      </c>
      <c r="Y563" s="206" t="e">
        <v>#N/A</v>
      </c>
      <c r="Z563" s="206" t="e">
        <f>VLOOKUP($F563,#REF!,11,1)</f>
        <v>#REF!</v>
      </c>
      <c r="AA563" s="206" t="e">
        <f t="shared" si="64"/>
        <v>#REF!</v>
      </c>
      <c r="AB563" s="206" t="e">
        <v>#N/A</v>
      </c>
      <c r="AC563" s="206" t="e">
        <f>VLOOKUP($F563,#REF!,13,1)</f>
        <v>#REF!</v>
      </c>
      <c r="AD563" s="206" t="e">
        <f>VLOOKUP($F563,#REF!,38,0)</f>
        <v>#REF!</v>
      </c>
      <c r="AE563" s="206" t="e">
        <f t="shared" si="60"/>
        <v>#REF!</v>
      </c>
      <c r="AF563" s="206" t="e">
        <v>#N/A</v>
      </c>
      <c r="AG563" s="206" t="e">
        <f>VLOOKUP($F563,#REF!,40,0)</f>
        <v>#REF!</v>
      </c>
      <c r="AH563" s="206" t="e">
        <f t="shared" si="61"/>
        <v>#REF!</v>
      </c>
      <c r="AI563" s="206" t="e">
        <v>#N/A</v>
      </c>
      <c r="AJ563" s="206" t="e">
        <f>VLOOKUP($F563,#REF!,41,0)</f>
        <v>#REF!</v>
      </c>
    </row>
    <row r="564" spans="2:36" s="102" customFormat="1" ht="45">
      <c r="B564" s="97"/>
      <c r="C564" s="106" t="s">
        <v>1927</v>
      </c>
      <c r="D564" t="s">
        <v>2179</v>
      </c>
      <c r="E564" s="123" t="s">
        <v>2260</v>
      </c>
      <c r="Q564" s="206" t="s">
        <v>2161</v>
      </c>
      <c r="R564" s="206">
        <f t="shared" si="57"/>
        <v>564</v>
      </c>
      <c r="S564" s="206" t="str">
        <f t="shared" si="58"/>
        <v>;'C TICs'!$E$10:$BD$100;14;1)</v>
      </c>
      <c r="T564" s="203" t="s">
        <v>2224</v>
      </c>
      <c r="U564" s="206" t="str">
        <f t="shared" si="63"/>
        <v>=BUSCARV($E564;'C TICs'!$E$10:$BD$100;14;1)</v>
      </c>
      <c r="V564" s="206" t="s">
        <v>2259</v>
      </c>
      <c r="W564" s="206" t="e">
        <f>VLOOKUP($F564,#REF!,8,1)</f>
        <v>#REF!</v>
      </c>
      <c r="X564" s="206" t="e">
        <f t="shared" si="59"/>
        <v>#REF!</v>
      </c>
      <c r="Y564" s="206" t="e">
        <v>#N/A</v>
      </c>
      <c r="Z564" s="206" t="e">
        <f>VLOOKUP($F564,#REF!,11,1)</f>
        <v>#REF!</v>
      </c>
      <c r="AA564" s="206" t="e">
        <f t="shared" si="64"/>
        <v>#REF!</v>
      </c>
      <c r="AB564" s="206" t="e">
        <v>#N/A</v>
      </c>
      <c r="AC564" s="206" t="e">
        <f>VLOOKUP($F564,#REF!,13,1)</f>
        <v>#REF!</v>
      </c>
      <c r="AD564" s="206" t="e">
        <f>VLOOKUP($F564,#REF!,38,0)</f>
        <v>#REF!</v>
      </c>
      <c r="AE564" s="206" t="e">
        <f t="shared" si="60"/>
        <v>#REF!</v>
      </c>
      <c r="AF564" s="206" t="e">
        <v>#N/A</v>
      </c>
      <c r="AG564" s="206" t="e">
        <f>VLOOKUP($F564,#REF!,40,0)</f>
        <v>#REF!</v>
      </c>
      <c r="AH564" s="206" t="e">
        <f t="shared" si="61"/>
        <v>#REF!</v>
      </c>
      <c r="AI564" s="206" t="e">
        <v>#N/A</v>
      </c>
      <c r="AJ564" s="206" t="e">
        <f>VLOOKUP($F564,#REF!,41,0)</f>
        <v>#REF!</v>
      </c>
    </row>
    <row r="565" spans="2:36" s="102" customFormat="1" ht="45">
      <c r="B565" s="97"/>
      <c r="C565" s="106" t="s">
        <v>1927</v>
      </c>
      <c r="D565" t="s">
        <v>2179</v>
      </c>
      <c r="E565" s="123" t="s">
        <v>2260</v>
      </c>
      <c r="Q565" s="206" t="s">
        <v>2161</v>
      </c>
      <c r="R565" s="206">
        <f t="shared" si="57"/>
        <v>565</v>
      </c>
      <c r="S565" s="206" t="str">
        <f t="shared" si="58"/>
        <v>;'C TICs'!$E$10:$BD$100;14;1)</v>
      </c>
      <c r="T565" s="203" t="s">
        <v>2224</v>
      </c>
      <c r="U565" s="206" t="str">
        <f t="shared" si="63"/>
        <v>=BUSCARV($E565;'C TICs'!$E$10:$BD$100;14;1)</v>
      </c>
      <c r="V565" s="206" t="s">
        <v>2259</v>
      </c>
      <c r="W565" s="206" t="e">
        <f>VLOOKUP($F565,#REF!,8,1)</f>
        <v>#REF!</v>
      </c>
      <c r="X565" s="206" t="e">
        <f t="shared" si="59"/>
        <v>#REF!</v>
      </c>
      <c r="Y565" s="206" t="e">
        <v>#N/A</v>
      </c>
      <c r="Z565" s="206" t="e">
        <f>VLOOKUP($F565,#REF!,11,1)</f>
        <v>#REF!</v>
      </c>
      <c r="AA565" s="206" t="e">
        <f t="shared" si="64"/>
        <v>#REF!</v>
      </c>
      <c r="AB565" s="206" t="e">
        <v>#N/A</v>
      </c>
      <c r="AC565" s="206" t="e">
        <f>VLOOKUP($F565,#REF!,13,1)</f>
        <v>#REF!</v>
      </c>
      <c r="AD565" s="206" t="e">
        <f>VLOOKUP($F565,#REF!,38,0)</f>
        <v>#REF!</v>
      </c>
      <c r="AE565" s="206" t="e">
        <f t="shared" si="60"/>
        <v>#REF!</v>
      </c>
      <c r="AF565" s="206" t="e">
        <v>#N/A</v>
      </c>
      <c r="AG565" s="206" t="e">
        <f>VLOOKUP($F565,#REF!,40,0)</f>
        <v>#REF!</v>
      </c>
      <c r="AH565" s="206" t="e">
        <f t="shared" si="61"/>
        <v>#REF!</v>
      </c>
      <c r="AI565" s="206" t="e">
        <v>#N/A</v>
      </c>
      <c r="AJ565" s="206" t="e">
        <f>VLOOKUP($F565,#REF!,41,0)</f>
        <v>#REF!</v>
      </c>
    </row>
    <row r="566" spans="2:36" s="102" customFormat="1" ht="45">
      <c r="B566" s="97"/>
      <c r="C566" s="106" t="s">
        <v>1927</v>
      </c>
      <c r="D566" t="s">
        <v>2179</v>
      </c>
      <c r="E566" s="123" t="s">
        <v>2260</v>
      </c>
      <c r="Q566" s="206" t="s">
        <v>2161</v>
      </c>
      <c r="R566" s="206">
        <f t="shared" si="57"/>
        <v>566</v>
      </c>
      <c r="S566" s="206" t="str">
        <f t="shared" si="58"/>
        <v>;'C TICs'!$E$10:$BD$100;14;1)</v>
      </c>
      <c r="T566" s="203" t="s">
        <v>2224</v>
      </c>
      <c r="U566" s="206" t="str">
        <f t="shared" si="63"/>
        <v>=BUSCARV($E566;'C TICs'!$E$10:$BD$100;14;1)</v>
      </c>
      <c r="V566" s="206" t="s">
        <v>2259</v>
      </c>
      <c r="W566" s="206" t="e">
        <f>VLOOKUP($F566,#REF!,8,1)</f>
        <v>#REF!</v>
      </c>
      <c r="X566" s="206" t="e">
        <f t="shared" si="59"/>
        <v>#REF!</v>
      </c>
      <c r="Y566" s="206" t="e">
        <v>#N/A</v>
      </c>
      <c r="Z566" s="206" t="e">
        <f>VLOOKUP($F566,#REF!,11,1)</f>
        <v>#REF!</v>
      </c>
      <c r="AA566" s="206" t="e">
        <f t="shared" si="64"/>
        <v>#REF!</v>
      </c>
      <c r="AB566" s="206" t="e">
        <v>#N/A</v>
      </c>
      <c r="AC566" s="206" t="e">
        <f>VLOOKUP($F566,#REF!,13,1)</f>
        <v>#REF!</v>
      </c>
      <c r="AD566" s="206" t="e">
        <f>VLOOKUP($F566,#REF!,38,0)</f>
        <v>#REF!</v>
      </c>
      <c r="AE566" s="206" t="e">
        <f t="shared" si="60"/>
        <v>#REF!</v>
      </c>
      <c r="AF566" s="206" t="e">
        <v>#N/A</v>
      </c>
      <c r="AG566" s="206" t="e">
        <f>VLOOKUP($F566,#REF!,40,0)</f>
        <v>#REF!</v>
      </c>
      <c r="AH566" s="206" t="e">
        <f t="shared" si="61"/>
        <v>#REF!</v>
      </c>
      <c r="AI566" s="206" t="e">
        <v>#N/A</v>
      </c>
      <c r="AJ566" s="206" t="e">
        <f>VLOOKUP($F566,#REF!,41,0)</f>
        <v>#REF!</v>
      </c>
    </row>
    <row r="567" spans="2:36" s="102" customFormat="1" ht="45">
      <c r="B567" s="97"/>
      <c r="C567" s="106" t="s">
        <v>1927</v>
      </c>
      <c r="D567" t="s">
        <v>2179</v>
      </c>
      <c r="E567" s="123" t="s">
        <v>2260</v>
      </c>
      <c r="Q567" s="206" t="s">
        <v>2161</v>
      </c>
      <c r="R567" s="206">
        <f t="shared" si="57"/>
        <v>567</v>
      </c>
      <c r="S567" s="206" t="str">
        <f t="shared" si="58"/>
        <v>;'C TICs'!$E$10:$BD$100;14;1)</v>
      </c>
      <c r="T567" s="203" t="s">
        <v>2224</v>
      </c>
      <c r="U567" s="206" t="str">
        <f t="shared" si="63"/>
        <v>=BUSCARV($E567;'C TICs'!$E$10:$BD$100;14;1)</v>
      </c>
      <c r="V567" s="206" t="s">
        <v>2259</v>
      </c>
      <c r="W567" s="206" t="e">
        <f>VLOOKUP($F567,#REF!,8,1)</f>
        <v>#REF!</v>
      </c>
      <c r="X567" s="206" t="e">
        <f t="shared" si="59"/>
        <v>#REF!</v>
      </c>
      <c r="Y567" s="206" t="e">
        <v>#N/A</v>
      </c>
      <c r="Z567" s="206" t="e">
        <f>VLOOKUP($F567,#REF!,11,1)</f>
        <v>#REF!</v>
      </c>
      <c r="AA567" s="206" t="e">
        <f t="shared" si="64"/>
        <v>#REF!</v>
      </c>
      <c r="AB567" s="206" t="e">
        <v>#N/A</v>
      </c>
      <c r="AC567" s="206" t="e">
        <f>VLOOKUP($F567,#REF!,13,1)</f>
        <v>#REF!</v>
      </c>
      <c r="AD567" s="206" t="e">
        <f>VLOOKUP($F567,#REF!,38,0)</f>
        <v>#REF!</v>
      </c>
      <c r="AE567" s="206" t="e">
        <f t="shared" si="60"/>
        <v>#REF!</v>
      </c>
      <c r="AF567" s="206" t="e">
        <v>#N/A</v>
      </c>
      <c r="AG567" s="206" t="e">
        <f>VLOOKUP($F567,#REF!,40,0)</f>
        <v>#REF!</v>
      </c>
      <c r="AH567" s="206" t="e">
        <f t="shared" si="61"/>
        <v>#REF!</v>
      </c>
      <c r="AI567" s="206" t="e">
        <v>#N/A</v>
      </c>
      <c r="AJ567" s="206" t="e">
        <f>VLOOKUP($F567,#REF!,41,0)</f>
        <v>#REF!</v>
      </c>
    </row>
    <row r="568" spans="2:36" s="102" customFormat="1" ht="22.5">
      <c r="B568" s="97"/>
      <c r="C568" s="114" t="s">
        <v>1925</v>
      </c>
      <c r="D568" t="s">
        <v>2180</v>
      </c>
      <c r="E568" s="123" t="s">
        <v>2260</v>
      </c>
      <c r="F568" s="102" t="s">
        <v>29</v>
      </c>
      <c r="G568" s="97" t="s">
        <v>1929</v>
      </c>
      <c r="Q568" s="206" t="s">
        <v>2161</v>
      </c>
      <c r="R568" s="206">
        <f t="shared" si="57"/>
        <v>568</v>
      </c>
      <c r="S568" s="206" t="str">
        <f t="shared" si="58"/>
        <v>;'C FISICOS'!$E$10:$BD$100;14;1)</v>
      </c>
      <c r="T568" s="203" t="s">
        <v>2225</v>
      </c>
      <c r="U568" s="206" t="str">
        <f t="shared" si="26"/>
        <v>=BUSCARV($E568;'C FISICOS'!$E$10:$BD$100;14;1)</v>
      </c>
      <c r="V568" s="206"/>
      <c r="W568" s="206" t="e">
        <f>VLOOKUP($F568,#REF!,8,1)</f>
        <v>#REF!</v>
      </c>
      <c r="X568" s="206" t="e">
        <f t="shared" si="59"/>
        <v>#REF!</v>
      </c>
      <c r="Y568" s="206">
        <v>1</v>
      </c>
      <c r="Z568" s="206" t="e">
        <f>VLOOKUP($F568,#REF!,9,1)</f>
        <v>#REF!</v>
      </c>
      <c r="AA568" s="206" t="e">
        <f t="shared" si="64"/>
        <v>#REF!</v>
      </c>
      <c r="AB568" s="206">
        <v>5</v>
      </c>
      <c r="AC568" s="206" t="e">
        <f>VLOOKUP($F568,#REF!,14,1)</f>
        <v>#REF!</v>
      </c>
      <c r="AD568" s="206" t="e">
        <f>VLOOKUP($F568,#REF!,40,0)</f>
        <v>#REF!</v>
      </c>
      <c r="AE568" s="206" t="e">
        <f t="shared" si="60"/>
        <v>#REF!</v>
      </c>
      <c r="AF568" s="206">
        <v>1</v>
      </c>
      <c r="AG568" s="206" t="e">
        <f>VLOOKUP($F568,#REF!,42,0)</f>
        <v>#REF!</v>
      </c>
      <c r="AH568" s="206" t="e">
        <f t="shared" si="61"/>
        <v>#REF!</v>
      </c>
      <c r="AI568" s="206">
        <v>5</v>
      </c>
      <c r="AJ568" s="206" t="e">
        <f>VLOOKUP($F568,#REF!,43,0)</f>
        <v>#REF!</v>
      </c>
    </row>
    <row r="569" spans="2:36" s="102" customFormat="1" ht="22.5">
      <c r="B569" s="97"/>
      <c r="C569" s="114" t="s">
        <v>1925</v>
      </c>
      <c r="D569" t="s">
        <v>2180</v>
      </c>
      <c r="E569" s="123" t="s">
        <v>2260</v>
      </c>
      <c r="F569" s="102" t="s">
        <v>30</v>
      </c>
      <c r="G569" s="97" t="s">
        <v>1929</v>
      </c>
      <c r="Q569" s="206" t="s">
        <v>2161</v>
      </c>
      <c r="R569" s="206">
        <f t="shared" si="57"/>
        <v>569</v>
      </c>
      <c r="S569" s="206" t="str">
        <f t="shared" si="58"/>
        <v>;'C FISICOS'!$E$10:$BD$100;14;1)</v>
      </c>
      <c r="T569" s="203" t="s">
        <v>2225</v>
      </c>
      <c r="U569" s="206" t="str">
        <f t="shared" ref="U569:U582" si="65">CONCATENATE("=BUSCARV($E",R569,T569)</f>
        <v>=BUSCARV($E569;'C FISICOS'!$E$10:$BD$100;14;1)</v>
      </c>
      <c r="V569" s="206"/>
      <c r="W569" s="206" t="e">
        <f>VLOOKUP($F569,#REF!,8,1)</f>
        <v>#REF!</v>
      </c>
      <c r="X569" s="206" t="e">
        <f t="shared" si="59"/>
        <v>#REF!</v>
      </c>
      <c r="Y569" s="206">
        <v>1</v>
      </c>
      <c r="Z569" s="206" t="e">
        <f>VLOOKUP($F569,#REF!,9,1)</f>
        <v>#REF!</v>
      </c>
      <c r="AA569" s="206" t="e">
        <f t="shared" si="64"/>
        <v>#REF!</v>
      </c>
      <c r="AB569" s="206">
        <v>20</v>
      </c>
      <c r="AC569" s="206" t="e">
        <f>VLOOKUP($F569,#REF!,14,1)</f>
        <v>#REF!</v>
      </c>
      <c r="AD569" s="206" t="e">
        <f>VLOOKUP($F569,#REF!,40,0)</f>
        <v>#REF!</v>
      </c>
      <c r="AE569" s="206" t="e">
        <f t="shared" si="60"/>
        <v>#REF!</v>
      </c>
      <c r="AF569" s="206">
        <v>1</v>
      </c>
      <c r="AG569" s="206" t="e">
        <f>VLOOKUP($F569,#REF!,42,0)</f>
        <v>#REF!</v>
      </c>
      <c r="AH569" s="206" t="e">
        <f t="shared" si="61"/>
        <v>#REF!</v>
      </c>
      <c r="AI569" s="206">
        <v>20</v>
      </c>
      <c r="AJ569" s="206" t="e">
        <f>VLOOKUP($F569,#REF!,43,0)</f>
        <v>#REF!</v>
      </c>
    </row>
    <row r="570" spans="2:36" s="102" customFormat="1" ht="22.5">
      <c r="B570" s="97"/>
      <c r="C570" s="114" t="s">
        <v>1925</v>
      </c>
      <c r="D570" t="s">
        <v>2180</v>
      </c>
      <c r="E570" s="123" t="s">
        <v>2260</v>
      </c>
      <c r="F570" s="102" t="s">
        <v>31</v>
      </c>
      <c r="G570" s="97" t="s">
        <v>1929</v>
      </c>
      <c r="Q570" s="206" t="s">
        <v>2161</v>
      </c>
      <c r="R570" s="206">
        <f t="shared" si="57"/>
        <v>570</v>
      </c>
      <c r="S570" s="206" t="str">
        <f t="shared" si="58"/>
        <v>;'C FISICOS'!$E$10:$BD$100;14;1)</v>
      </c>
      <c r="T570" s="203" t="s">
        <v>2225</v>
      </c>
      <c r="U570" s="206" t="str">
        <f t="shared" si="65"/>
        <v>=BUSCARV($E570;'C FISICOS'!$E$10:$BD$100;14;1)</v>
      </c>
      <c r="V570" s="206"/>
      <c r="W570" s="206" t="e">
        <f>VLOOKUP($F570,#REF!,8,1)</f>
        <v>#REF!</v>
      </c>
      <c r="X570" s="206" t="e">
        <f t="shared" si="59"/>
        <v>#REF!</v>
      </c>
      <c r="Y570" s="206">
        <v>1</v>
      </c>
      <c r="Z570" s="206" t="e">
        <f>VLOOKUP($F570,#REF!,9,1)</f>
        <v>#REF!</v>
      </c>
      <c r="AA570" s="206" t="e">
        <f t="shared" si="64"/>
        <v>#REF!</v>
      </c>
      <c r="AB570" s="206">
        <v>10</v>
      </c>
      <c r="AC570" s="206" t="e">
        <f>VLOOKUP($F570,#REF!,14,1)</f>
        <v>#REF!</v>
      </c>
      <c r="AD570" s="206" t="e">
        <f>VLOOKUP($F570,#REF!,40,0)</f>
        <v>#REF!</v>
      </c>
      <c r="AE570" s="206" t="e">
        <f t="shared" si="60"/>
        <v>#REF!</v>
      </c>
      <c r="AF570" s="206">
        <v>1</v>
      </c>
      <c r="AG570" s="206" t="e">
        <f>VLOOKUP($F570,#REF!,42,0)</f>
        <v>#REF!</v>
      </c>
      <c r="AH570" s="206" t="e">
        <f t="shared" si="61"/>
        <v>#REF!</v>
      </c>
      <c r="AI570" s="206">
        <v>5</v>
      </c>
      <c r="AJ570" s="206" t="e">
        <f>VLOOKUP($F570,#REF!,43,0)</f>
        <v>#REF!</v>
      </c>
    </row>
    <row r="571" spans="2:36" s="102" customFormat="1" ht="22.5">
      <c r="B571" s="97"/>
      <c r="C571" s="114" t="s">
        <v>1925</v>
      </c>
      <c r="D571" t="s">
        <v>2180</v>
      </c>
      <c r="E571" s="123" t="s">
        <v>2260</v>
      </c>
      <c r="F571" s="102" t="s">
        <v>32</v>
      </c>
      <c r="G571" s="97" t="s">
        <v>1929</v>
      </c>
      <c r="Q571" s="206" t="s">
        <v>2161</v>
      </c>
      <c r="R571" s="206">
        <f t="shared" si="57"/>
        <v>571</v>
      </c>
      <c r="S571" s="206" t="str">
        <f t="shared" si="58"/>
        <v>;'C FISICOS'!$E$10:$BD$100;14;1)</v>
      </c>
      <c r="T571" s="203" t="s">
        <v>2225</v>
      </c>
      <c r="U571" s="206" t="str">
        <f t="shared" si="65"/>
        <v>=BUSCARV($E571;'C FISICOS'!$E$10:$BD$100;14;1)</v>
      </c>
      <c r="V571" s="206"/>
      <c r="W571" s="206" t="e">
        <f>VLOOKUP($F571,#REF!,8,1)</f>
        <v>#REF!</v>
      </c>
      <c r="X571" s="206" t="e">
        <f t="shared" si="59"/>
        <v>#REF!</v>
      </c>
      <c r="Y571" s="206">
        <v>1</v>
      </c>
      <c r="Z571" s="206" t="e">
        <f>VLOOKUP($F571,#REF!,9,1)</f>
        <v>#REF!</v>
      </c>
      <c r="AA571" s="206" t="e">
        <f t="shared" si="64"/>
        <v>#REF!</v>
      </c>
      <c r="AB571" s="206">
        <v>10</v>
      </c>
      <c r="AC571" s="206" t="e">
        <f>VLOOKUP($F571,#REF!,14,1)</f>
        <v>#REF!</v>
      </c>
      <c r="AD571" s="206" t="e">
        <f>VLOOKUP($F571,#REF!,40,0)</f>
        <v>#REF!</v>
      </c>
      <c r="AE571" s="206" t="e">
        <f t="shared" si="60"/>
        <v>#REF!</v>
      </c>
      <c r="AF571" s="206">
        <v>1</v>
      </c>
      <c r="AG571" s="206" t="e">
        <f>VLOOKUP($F571,#REF!,42,0)</f>
        <v>#REF!</v>
      </c>
      <c r="AH571" s="206" t="e">
        <f t="shared" si="61"/>
        <v>#REF!</v>
      </c>
      <c r="AI571" s="206">
        <v>5</v>
      </c>
      <c r="AJ571" s="206" t="e">
        <f>VLOOKUP($F571,#REF!,43,0)</f>
        <v>#REF!</v>
      </c>
    </row>
    <row r="572" spans="2:36" s="102" customFormat="1" ht="22.5">
      <c r="B572" s="97"/>
      <c r="C572" s="114" t="s">
        <v>1925</v>
      </c>
      <c r="D572" t="s">
        <v>2180</v>
      </c>
      <c r="E572" s="123" t="s">
        <v>2260</v>
      </c>
      <c r="F572" s="102" t="s">
        <v>33</v>
      </c>
      <c r="G572" s="97" t="s">
        <v>1929</v>
      </c>
      <c r="Q572" s="206" t="s">
        <v>2161</v>
      </c>
      <c r="R572" s="206">
        <f t="shared" si="57"/>
        <v>572</v>
      </c>
      <c r="S572" s="206" t="str">
        <f t="shared" si="58"/>
        <v>;'C FISICOS'!$E$10:$BD$100;14;1)</v>
      </c>
      <c r="T572" s="203" t="s">
        <v>2225</v>
      </c>
      <c r="U572" s="206" t="str">
        <f t="shared" si="65"/>
        <v>=BUSCARV($E572;'C FISICOS'!$E$10:$BD$100;14;1)</v>
      </c>
      <c r="V572" s="206"/>
      <c r="W572" s="206" t="e">
        <f>VLOOKUP($F572,#REF!,8,1)</f>
        <v>#REF!</v>
      </c>
      <c r="X572" s="206" t="e">
        <f t="shared" si="59"/>
        <v>#REF!</v>
      </c>
      <c r="Y572" s="206">
        <v>1</v>
      </c>
      <c r="Z572" s="206" t="e">
        <f>VLOOKUP($F572,#REF!,9,1)</f>
        <v>#REF!</v>
      </c>
      <c r="AA572" s="206" t="e">
        <f t="shared" si="64"/>
        <v>#REF!</v>
      </c>
      <c r="AB572" s="206">
        <v>5</v>
      </c>
      <c r="AC572" s="206" t="e">
        <f>VLOOKUP($F572,#REF!,14,1)</f>
        <v>#REF!</v>
      </c>
      <c r="AD572" s="206" t="e">
        <f>VLOOKUP($F572,#REF!,40,0)</f>
        <v>#REF!</v>
      </c>
      <c r="AE572" s="206" t="e">
        <f t="shared" si="60"/>
        <v>#REF!</v>
      </c>
      <c r="AF572" s="206">
        <v>1</v>
      </c>
      <c r="AG572" s="206" t="e">
        <f>VLOOKUP($F572,#REF!,42,0)</f>
        <v>#REF!</v>
      </c>
      <c r="AH572" s="206" t="e">
        <f t="shared" si="61"/>
        <v>#REF!</v>
      </c>
      <c r="AI572" s="206">
        <v>5</v>
      </c>
      <c r="AJ572" s="206" t="e">
        <f>VLOOKUP($F572,#REF!,43,0)</f>
        <v>#REF!</v>
      </c>
    </row>
    <row r="573" spans="2:36" s="102" customFormat="1" ht="22.5">
      <c r="B573" s="97"/>
      <c r="C573" s="114" t="s">
        <v>1925</v>
      </c>
      <c r="D573" t="s">
        <v>2180</v>
      </c>
      <c r="E573" s="123" t="s">
        <v>2260</v>
      </c>
      <c r="F573" s="102" t="s">
        <v>349</v>
      </c>
      <c r="G573" s="97" t="s">
        <v>1929</v>
      </c>
      <c r="Q573" s="206" t="s">
        <v>2161</v>
      </c>
      <c r="R573" s="206">
        <f t="shared" si="57"/>
        <v>573</v>
      </c>
      <c r="S573" s="206" t="str">
        <f t="shared" si="58"/>
        <v>;'C FISICOS'!$E$10:$BD$100;14;1)</v>
      </c>
      <c r="T573" s="203" t="s">
        <v>2225</v>
      </c>
      <c r="U573" s="206" t="str">
        <f t="shared" si="65"/>
        <v>=BUSCARV($E573;'C FISICOS'!$E$10:$BD$100;14;1)</v>
      </c>
      <c r="V573" s="206"/>
      <c r="W573" s="206" t="e">
        <f>VLOOKUP($F573,#REF!,8,1)</f>
        <v>#REF!</v>
      </c>
      <c r="X573" s="206" t="e">
        <f t="shared" si="59"/>
        <v>#REF!</v>
      </c>
      <c r="Y573" s="206">
        <v>2</v>
      </c>
      <c r="Z573" s="206" t="e">
        <f>VLOOKUP($F573,#REF!,9,1)</f>
        <v>#REF!</v>
      </c>
      <c r="AA573" s="206" t="e">
        <f t="shared" si="64"/>
        <v>#REF!</v>
      </c>
      <c r="AB573" s="206">
        <v>10</v>
      </c>
      <c r="AC573" s="206" t="e">
        <f>VLOOKUP($F573,#REF!,14,1)</f>
        <v>#REF!</v>
      </c>
      <c r="AD573" s="206" t="e">
        <f>VLOOKUP($F573,#REF!,40,0)</f>
        <v>#REF!</v>
      </c>
      <c r="AE573" s="206" t="e">
        <f t="shared" si="60"/>
        <v>#REF!</v>
      </c>
      <c r="AF573" s="206">
        <v>1</v>
      </c>
      <c r="AG573" s="206" t="e">
        <f>VLOOKUP($F573,#REF!,42,0)</f>
        <v>#REF!</v>
      </c>
      <c r="AH573" s="206" t="e">
        <f t="shared" si="61"/>
        <v>#REF!</v>
      </c>
      <c r="AI573" s="206">
        <v>10</v>
      </c>
      <c r="AJ573" s="206" t="e">
        <f>VLOOKUP($F573,#REF!,43,0)</f>
        <v>#REF!</v>
      </c>
    </row>
    <row r="574" spans="2:36" s="102" customFormat="1" ht="22.5">
      <c r="B574" s="97"/>
      <c r="C574" s="114" t="s">
        <v>1925</v>
      </c>
      <c r="D574" t="s">
        <v>2180</v>
      </c>
      <c r="E574" s="123" t="s">
        <v>2260</v>
      </c>
      <c r="F574" s="102" t="s">
        <v>351</v>
      </c>
      <c r="G574" s="97" t="s">
        <v>1929</v>
      </c>
      <c r="Q574" s="206" t="s">
        <v>2161</v>
      </c>
      <c r="R574" s="206">
        <f t="shared" si="57"/>
        <v>574</v>
      </c>
      <c r="S574" s="206" t="str">
        <f t="shared" si="58"/>
        <v>;'C FISICOS'!$E$10:$BD$100;14;1)</v>
      </c>
      <c r="T574" s="203" t="s">
        <v>2225</v>
      </c>
      <c r="U574" s="206" t="str">
        <f t="shared" si="65"/>
        <v>=BUSCARV($E574;'C FISICOS'!$E$10:$BD$100;14;1)</v>
      </c>
      <c r="V574" s="206"/>
      <c r="W574" s="206" t="e">
        <f>VLOOKUP($F574,#REF!,8,1)</f>
        <v>#REF!</v>
      </c>
      <c r="X574" s="206" t="e">
        <f t="shared" si="59"/>
        <v>#REF!</v>
      </c>
      <c r="Y574" s="206">
        <v>1</v>
      </c>
      <c r="Z574" s="206" t="e">
        <f>VLOOKUP($F574,#REF!,9,1)</f>
        <v>#REF!</v>
      </c>
      <c r="AA574" s="206" t="e">
        <f t="shared" si="64"/>
        <v>#REF!</v>
      </c>
      <c r="AB574" s="206">
        <v>10</v>
      </c>
      <c r="AC574" s="206" t="e">
        <f>VLOOKUP($F574,#REF!,14,1)</f>
        <v>#REF!</v>
      </c>
      <c r="AD574" s="206" t="e">
        <f>VLOOKUP($F574,#REF!,40,0)</f>
        <v>#REF!</v>
      </c>
      <c r="AE574" s="206" t="e">
        <f t="shared" si="60"/>
        <v>#REF!</v>
      </c>
      <c r="AF574" s="206">
        <v>1</v>
      </c>
      <c r="AG574" s="206" t="e">
        <f>VLOOKUP($F574,#REF!,42,0)</f>
        <v>#REF!</v>
      </c>
      <c r="AH574" s="206" t="e">
        <f t="shared" si="61"/>
        <v>#REF!</v>
      </c>
      <c r="AI574" s="206">
        <v>5</v>
      </c>
      <c r="AJ574" s="206" t="e">
        <f>VLOOKUP($F574,#REF!,43,0)</f>
        <v>#REF!</v>
      </c>
    </row>
    <row r="575" spans="2:36" s="102" customFormat="1" ht="22.5">
      <c r="B575" s="97"/>
      <c r="C575" s="114" t="s">
        <v>1925</v>
      </c>
      <c r="D575" t="s">
        <v>2180</v>
      </c>
      <c r="E575" s="123" t="s">
        <v>2260</v>
      </c>
      <c r="Q575" s="206" t="s">
        <v>2161</v>
      </c>
      <c r="R575" s="206">
        <f t="shared" si="57"/>
        <v>575</v>
      </c>
      <c r="S575" s="206" t="str">
        <f t="shared" si="58"/>
        <v>;'C FISICOS'!$E$10:$BD$100;14;1)</v>
      </c>
      <c r="T575" s="203" t="s">
        <v>2225</v>
      </c>
      <c r="U575" s="206" t="str">
        <f t="shared" si="65"/>
        <v>=BUSCARV($E575;'C FISICOS'!$E$10:$BD$100;14;1)</v>
      </c>
      <c r="V575" s="206"/>
      <c r="W575" s="206" t="e">
        <f>VLOOKUP($F575,#REF!,8,1)</f>
        <v>#REF!</v>
      </c>
      <c r="X575" s="206" t="e">
        <f t="shared" si="59"/>
        <v>#REF!</v>
      </c>
      <c r="Y575" s="206" t="e">
        <v>#N/A</v>
      </c>
      <c r="Z575" s="206" t="e">
        <f>VLOOKUP($F575,#REF!,9,1)</f>
        <v>#REF!</v>
      </c>
      <c r="AA575" s="206" t="e">
        <f t="shared" si="64"/>
        <v>#REF!</v>
      </c>
      <c r="AB575" s="206" t="e">
        <v>#N/A</v>
      </c>
      <c r="AC575" s="206" t="e">
        <f>VLOOKUP($F575,#REF!,14,1)</f>
        <v>#REF!</v>
      </c>
      <c r="AD575" s="206" t="e">
        <f>VLOOKUP($F575,#REF!,40,0)</f>
        <v>#REF!</v>
      </c>
      <c r="AE575" s="206" t="e">
        <f t="shared" si="60"/>
        <v>#REF!</v>
      </c>
      <c r="AF575" s="206" t="e">
        <v>#N/A</v>
      </c>
      <c r="AG575" s="206" t="e">
        <f>VLOOKUP($F575,#REF!,42,0)</f>
        <v>#REF!</v>
      </c>
      <c r="AH575" s="206" t="e">
        <f t="shared" si="61"/>
        <v>#REF!</v>
      </c>
      <c r="AI575" s="206" t="e">
        <v>#N/A</v>
      </c>
      <c r="AJ575" s="206" t="e">
        <f>VLOOKUP($F575,#REF!,43,0)</f>
        <v>#REF!</v>
      </c>
    </row>
    <row r="576" spans="2:36" s="102" customFormat="1" ht="22.5">
      <c r="B576" s="97"/>
      <c r="C576" s="114" t="s">
        <v>1925</v>
      </c>
      <c r="D576" t="s">
        <v>2180</v>
      </c>
      <c r="E576" s="123" t="s">
        <v>2260</v>
      </c>
      <c r="Q576" s="206" t="s">
        <v>2161</v>
      </c>
      <c r="R576" s="206">
        <f t="shared" si="57"/>
        <v>576</v>
      </c>
      <c r="S576" s="206" t="str">
        <f t="shared" si="58"/>
        <v>;'C FISICOS'!$E$10:$BD$100;14;1)</v>
      </c>
      <c r="T576" s="203" t="s">
        <v>2225</v>
      </c>
      <c r="U576" s="206" t="str">
        <f t="shared" si="65"/>
        <v>=BUSCARV($E576;'C FISICOS'!$E$10:$BD$100;14;1)</v>
      </c>
      <c r="V576" s="206"/>
      <c r="W576" s="206" t="e">
        <f>VLOOKUP($F576,#REF!,8,1)</f>
        <v>#REF!</v>
      </c>
      <c r="X576" s="206" t="e">
        <f t="shared" si="59"/>
        <v>#REF!</v>
      </c>
      <c r="Y576" s="206" t="e">
        <v>#N/A</v>
      </c>
      <c r="Z576" s="206" t="e">
        <f>VLOOKUP($F576,#REF!,9,1)</f>
        <v>#REF!</v>
      </c>
      <c r="AA576" s="206" t="e">
        <f t="shared" si="64"/>
        <v>#REF!</v>
      </c>
      <c r="AB576" s="206" t="e">
        <v>#N/A</v>
      </c>
      <c r="AC576" s="206" t="e">
        <f>VLOOKUP($F576,#REF!,14,1)</f>
        <v>#REF!</v>
      </c>
      <c r="AD576" s="206" t="e">
        <f>VLOOKUP($F576,#REF!,40,0)</f>
        <v>#REF!</v>
      </c>
      <c r="AE576" s="206" t="e">
        <f t="shared" si="60"/>
        <v>#REF!</v>
      </c>
      <c r="AF576" s="206" t="e">
        <v>#N/A</v>
      </c>
      <c r="AG576" s="206" t="e">
        <f>VLOOKUP($F576,#REF!,42,0)</f>
        <v>#REF!</v>
      </c>
      <c r="AH576" s="206" t="e">
        <f t="shared" si="61"/>
        <v>#REF!</v>
      </c>
      <c r="AI576" s="206" t="e">
        <v>#N/A</v>
      </c>
      <c r="AJ576" s="206" t="e">
        <f>VLOOKUP($F576,#REF!,43,0)</f>
        <v>#REF!</v>
      </c>
    </row>
    <row r="577" spans="2:36" s="102" customFormat="1" ht="22.5">
      <c r="B577" s="97"/>
      <c r="C577" s="114" t="s">
        <v>1925</v>
      </c>
      <c r="D577" t="s">
        <v>2180</v>
      </c>
      <c r="E577" s="123" t="s">
        <v>2260</v>
      </c>
      <c r="Q577" s="206" t="s">
        <v>2161</v>
      </c>
      <c r="R577" s="206">
        <f t="shared" si="57"/>
        <v>577</v>
      </c>
      <c r="S577" s="206" t="str">
        <f t="shared" si="58"/>
        <v>;'C FISICOS'!$E$10:$BD$100;14;1)</v>
      </c>
      <c r="T577" s="203" t="s">
        <v>2225</v>
      </c>
      <c r="U577" s="206" t="str">
        <f t="shared" si="65"/>
        <v>=BUSCARV($E577;'C FISICOS'!$E$10:$BD$100;14;1)</v>
      </c>
      <c r="V577" s="206"/>
      <c r="W577" s="206" t="e">
        <f>VLOOKUP($F577,#REF!,8,1)</f>
        <v>#REF!</v>
      </c>
      <c r="X577" s="206" t="e">
        <f t="shared" si="59"/>
        <v>#REF!</v>
      </c>
      <c r="Y577" s="206" t="e">
        <v>#N/A</v>
      </c>
      <c r="Z577" s="206" t="e">
        <f>VLOOKUP($F577,#REF!,9,1)</f>
        <v>#REF!</v>
      </c>
      <c r="AA577" s="206" t="e">
        <f t="shared" si="64"/>
        <v>#REF!</v>
      </c>
      <c r="AB577" s="206" t="e">
        <v>#N/A</v>
      </c>
      <c r="AC577" s="206" t="e">
        <f>VLOOKUP($F577,#REF!,14,1)</f>
        <v>#REF!</v>
      </c>
      <c r="AD577" s="206" t="e">
        <f>VLOOKUP($F577,#REF!,40,0)</f>
        <v>#REF!</v>
      </c>
      <c r="AE577" s="206" t="e">
        <f t="shared" si="60"/>
        <v>#REF!</v>
      </c>
      <c r="AF577" s="206" t="e">
        <v>#N/A</v>
      </c>
      <c r="AG577" s="206" t="e">
        <f>VLOOKUP($F577,#REF!,42,0)</f>
        <v>#REF!</v>
      </c>
      <c r="AH577" s="206" t="e">
        <f t="shared" si="61"/>
        <v>#REF!</v>
      </c>
      <c r="AI577" s="206" t="e">
        <v>#N/A</v>
      </c>
      <c r="AJ577" s="206" t="e">
        <f>VLOOKUP($F577,#REF!,43,0)</f>
        <v>#REF!</v>
      </c>
    </row>
    <row r="578" spans="2:36" s="102" customFormat="1" ht="22.5">
      <c r="B578" s="97"/>
      <c r="C578" s="114" t="s">
        <v>1925</v>
      </c>
      <c r="D578" t="s">
        <v>2180</v>
      </c>
      <c r="E578" s="123" t="s">
        <v>2260</v>
      </c>
      <c r="Q578" s="206" t="s">
        <v>2161</v>
      </c>
      <c r="R578" s="206">
        <f t="shared" si="57"/>
        <v>578</v>
      </c>
      <c r="S578" s="206" t="str">
        <f t="shared" si="58"/>
        <v>;'C FISICOS'!$E$10:$BD$100;14;1)</v>
      </c>
      <c r="T578" s="203" t="s">
        <v>2225</v>
      </c>
      <c r="U578" s="206" t="str">
        <f t="shared" si="65"/>
        <v>=BUSCARV($E578;'C FISICOS'!$E$10:$BD$100;14;1)</v>
      </c>
      <c r="V578" s="206"/>
      <c r="W578" s="206" t="e">
        <f>VLOOKUP($F578,#REF!,8,1)</f>
        <v>#REF!</v>
      </c>
      <c r="X578" s="206" t="e">
        <f t="shared" si="59"/>
        <v>#REF!</v>
      </c>
      <c r="Y578" s="206" t="e">
        <v>#N/A</v>
      </c>
      <c r="Z578" s="206" t="e">
        <f>VLOOKUP($F578,#REF!,9,1)</f>
        <v>#REF!</v>
      </c>
      <c r="AA578" s="206" t="e">
        <f t="shared" si="64"/>
        <v>#REF!</v>
      </c>
      <c r="AB578" s="206" t="e">
        <v>#N/A</v>
      </c>
      <c r="AC578" s="206" t="e">
        <f>VLOOKUP($F578,#REF!,14,1)</f>
        <v>#REF!</v>
      </c>
      <c r="AD578" s="206" t="e">
        <f>VLOOKUP($F578,#REF!,40,0)</f>
        <v>#REF!</v>
      </c>
      <c r="AE578" s="206" t="e">
        <f t="shared" si="60"/>
        <v>#REF!</v>
      </c>
      <c r="AF578" s="206" t="e">
        <v>#N/A</v>
      </c>
      <c r="AG578" s="206" t="e">
        <f>VLOOKUP($F578,#REF!,42,0)</f>
        <v>#REF!</v>
      </c>
      <c r="AH578" s="206" t="e">
        <f t="shared" si="61"/>
        <v>#REF!</v>
      </c>
      <c r="AI578" s="206" t="e">
        <v>#N/A</v>
      </c>
      <c r="AJ578" s="206" t="e">
        <f>VLOOKUP($F578,#REF!,43,0)</f>
        <v>#REF!</v>
      </c>
    </row>
    <row r="579" spans="2:36" s="102" customFormat="1" ht="22.5">
      <c r="B579" s="97"/>
      <c r="C579" s="114" t="s">
        <v>1925</v>
      </c>
      <c r="D579" t="s">
        <v>2180</v>
      </c>
      <c r="E579" s="123" t="s">
        <v>2260</v>
      </c>
      <c r="Q579" s="206" t="s">
        <v>2161</v>
      </c>
      <c r="R579" s="206">
        <f t="shared" si="57"/>
        <v>579</v>
      </c>
      <c r="S579" s="206" t="str">
        <f t="shared" si="58"/>
        <v>;'C FISICOS'!$E$10:$BD$100;14;1)</v>
      </c>
      <c r="T579" s="203" t="s">
        <v>2225</v>
      </c>
      <c r="U579" s="206" t="str">
        <f t="shared" si="65"/>
        <v>=BUSCARV($E579;'C FISICOS'!$E$10:$BD$100;14;1)</v>
      </c>
      <c r="V579" s="206"/>
      <c r="W579" s="206" t="e">
        <f>VLOOKUP($F579,#REF!,8,1)</f>
        <v>#REF!</v>
      </c>
      <c r="X579" s="206" t="e">
        <f t="shared" si="59"/>
        <v>#REF!</v>
      </c>
      <c r="Y579" s="206" t="e">
        <v>#N/A</v>
      </c>
      <c r="Z579" s="206" t="e">
        <f>VLOOKUP($F579,#REF!,9,1)</f>
        <v>#REF!</v>
      </c>
      <c r="AA579" s="206" t="e">
        <f t="shared" si="64"/>
        <v>#REF!</v>
      </c>
      <c r="AB579" s="206" t="e">
        <v>#N/A</v>
      </c>
      <c r="AC579" s="206" t="e">
        <f>VLOOKUP($F579,#REF!,14,1)</f>
        <v>#REF!</v>
      </c>
      <c r="AD579" s="206" t="e">
        <f>VLOOKUP($F579,#REF!,40,0)</f>
        <v>#REF!</v>
      </c>
      <c r="AE579" s="206" t="e">
        <f t="shared" si="60"/>
        <v>#REF!</v>
      </c>
      <c r="AF579" s="206" t="e">
        <v>#N/A</v>
      </c>
      <c r="AG579" s="206" t="e">
        <f>VLOOKUP($F579,#REF!,42,0)</f>
        <v>#REF!</v>
      </c>
      <c r="AH579" s="206" t="e">
        <f t="shared" si="61"/>
        <v>#REF!</v>
      </c>
      <c r="AI579" s="206" t="e">
        <v>#N/A</v>
      </c>
      <c r="AJ579" s="206" t="e">
        <f>VLOOKUP($F579,#REF!,43,0)</f>
        <v>#REF!</v>
      </c>
    </row>
    <row r="580" spans="2:36" s="102" customFormat="1" ht="22.5">
      <c r="B580" s="97"/>
      <c r="C580" s="114" t="s">
        <v>1925</v>
      </c>
      <c r="D580" t="s">
        <v>2180</v>
      </c>
      <c r="E580" s="123" t="s">
        <v>2260</v>
      </c>
      <c r="Q580" s="206" t="s">
        <v>2161</v>
      </c>
      <c r="R580" s="206">
        <f t="shared" si="57"/>
        <v>580</v>
      </c>
      <c r="S580" s="206" t="str">
        <f t="shared" si="58"/>
        <v>;'C FISICOS'!$E$10:$BD$100;14;1)</v>
      </c>
      <c r="T580" s="203" t="s">
        <v>2225</v>
      </c>
      <c r="U580" s="206" t="str">
        <f t="shared" si="65"/>
        <v>=BUSCARV($E580;'C FISICOS'!$E$10:$BD$100;14;1)</v>
      </c>
      <c r="V580" s="206"/>
      <c r="W580" s="206" t="e">
        <f>VLOOKUP($F580,#REF!,8,1)</f>
        <v>#REF!</v>
      </c>
      <c r="X580" s="206" t="e">
        <f t="shared" si="59"/>
        <v>#REF!</v>
      </c>
      <c r="Y580" s="206" t="e">
        <v>#N/A</v>
      </c>
      <c r="Z580" s="206" t="e">
        <f>VLOOKUP($F580,#REF!,9,1)</f>
        <v>#REF!</v>
      </c>
      <c r="AA580" s="206" t="e">
        <f t="shared" si="64"/>
        <v>#REF!</v>
      </c>
      <c r="AB580" s="206" t="e">
        <v>#N/A</v>
      </c>
      <c r="AC580" s="206" t="e">
        <f>VLOOKUP($F580,#REF!,14,1)</f>
        <v>#REF!</v>
      </c>
      <c r="AD580" s="206" t="e">
        <f>VLOOKUP($F580,#REF!,40,0)</f>
        <v>#REF!</v>
      </c>
      <c r="AE580" s="206" t="e">
        <f t="shared" si="60"/>
        <v>#REF!</v>
      </c>
      <c r="AF580" s="206" t="e">
        <v>#N/A</v>
      </c>
      <c r="AG580" s="206" t="e">
        <f>VLOOKUP($F580,#REF!,42,0)</f>
        <v>#REF!</v>
      </c>
      <c r="AH580" s="206" t="e">
        <f t="shared" si="61"/>
        <v>#REF!</v>
      </c>
      <c r="AI580" s="206" t="e">
        <v>#N/A</v>
      </c>
      <c r="AJ580" s="206" t="e">
        <f>VLOOKUP($F580,#REF!,43,0)</f>
        <v>#REF!</v>
      </c>
    </row>
    <row r="581" spans="2:36" s="102" customFormat="1" ht="22.5">
      <c r="B581" s="97"/>
      <c r="C581" s="114" t="s">
        <v>1925</v>
      </c>
      <c r="D581" t="s">
        <v>2180</v>
      </c>
      <c r="E581" s="123" t="s">
        <v>2260</v>
      </c>
      <c r="Q581" s="206" t="s">
        <v>2161</v>
      </c>
      <c r="R581" s="206">
        <f t="shared" si="57"/>
        <v>581</v>
      </c>
      <c r="S581" s="206" t="str">
        <f t="shared" si="58"/>
        <v>;'C FISICOS'!$E$10:$BD$100;14;1)</v>
      </c>
      <c r="T581" s="203" t="s">
        <v>2225</v>
      </c>
      <c r="U581" s="206" t="str">
        <f t="shared" si="65"/>
        <v>=BUSCARV($E581;'C FISICOS'!$E$10:$BD$100;14;1)</v>
      </c>
      <c r="V581" s="206"/>
      <c r="W581" s="206" t="e">
        <f>VLOOKUP($F581,#REF!,8,1)</f>
        <v>#REF!</v>
      </c>
      <c r="X581" s="206" t="e">
        <f t="shared" si="59"/>
        <v>#REF!</v>
      </c>
      <c r="Y581" s="206" t="e">
        <v>#N/A</v>
      </c>
      <c r="Z581" s="206" t="e">
        <f>VLOOKUP($F581,#REF!,9,1)</f>
        <v>#REF!</v>
      </c>
      <c r="AA581" s="206" t="e">
        <f t="shared" si="64"/>
        <v>#REF!</v>
      </c>
      <c r="AB581" s="206" t="e">
        <v>#N/A</v>
      </c>
      <c r="AC581" s="206" t="e">
        <f>VLOOKUP($F581,#REF!,14,1)</f>
        <v>#REF!</v>
      </c>
      <c r="AD581" s="206" t="e">
        <f>VLOOKUP($F581,#REF!,40,0)</f>
        <v>#REF!</v>
      </c>
      <c r="AE581" s="206" t="e">
        <f t="shared" si="60"/>
        <v>#REF!</v>
      </c>
      <c r="AF581" s="206" t="e">
        <v>#N/A</v>
      </c>
      <c r="AG581" s="206" t="e">
        <f>VLOOKUP($F581,#REF!,42,0)</f>
        <v>#REF!</v>
      </c>
      <c r="AH581" s="206" t="e">
        <f t="shared" si="61"/>
        <v>#REF!</v>
      </c>
      <c r="AI581" s="206" t="e">
        <v>#N/A</v>
      </c>
      <c r="AJ581" s="206" t="e">
        <f>VLOOKUP($F581,#REF!,43,0)</f>
        <v>#REF!</v>
      </c>
    </row>
    <row r="582" spans="2:36" s="102" customFormat="1" ht="22.5">
      <c r="B582" s="97"/>
      <c r="C582" s="114" t="s">
        <v>1925</v>
      </c>
      <c r="D582" t="s">
        <v>2180</v>
      </c>
      <c r="E582" s="123" t="s">
        <v>2260</v>
      </c>
      <c r="Q582" s="206" t="s">
        <v>2161</v>
      </c>
      <c r="R582" s="206">
        <f t="shared" si="57"/>
        <v>582</v>
      </c>
      <c r="S582" s="206" t="str">
        <f t="shared" si="58"/>
        <v>;'C FISICOS'!$E$10:$BD$100;14;1)</v>
      </c>
      <c r="T582" s="203" t="s">
        <v>2225</v>
      </c>
      <c r="U582" s="206" t="str">
        <f t="shared" si="65"/>
        <v>=BUSCARV($E582;'C FISICOS'!$E$10:$BD$100;14;1)</v>
      </c>
      <c r="V582" s="206"/>
      <c r="W582" s="206" t="e">
        <f>VLOOKUP($F582,#REF!,8,1)</f>
        <v>#REF!</v>
      </c>
      <c r="X582" s="206" t="e">
        <f t="shared" si="59"/>
        <v>#REF!</v>
      </c>
      <c r="Y582" s="206" t="e">
        <v>#N/A</v>
      </c>
      <c r="Z582" s="206" t="e">
        <f>VLOOKUP($F582,#REF!,9,1)</f>
        <v>#REF!</v>
      </c>
      <c r="AA582" s="206" t="e">
        <f t="shared" si="64"/>
        <v>#REF!</v>
      </c>
      <c r="AB582" s="206" t="e">
        <v>#N/A</v>
      </c>
      <c r="AC582" s="206" t="e">
        <f>VLOOKUP($F582,#REF!,14,1)</f>
        <v>#REF!</v>
      </c>
      <c r="AD582" s="206" t="e">
        <f>VLOOKUP($F582,#REF!,40,0)</f>
        <v>#REF!</v>
      </c>
      <c r="AE582" s="206" t="e">
        <f t="shared" si="60"/>
        <v>#REF!</v>
      </c>
      <c r="AF582" s="206" t="e">
        <v>#N/A</v>
      </c>
      <c r="AG582" s="206" t="e">
        <f>VLOOKUP($F582,#REF!,42,0)</f>
        <v>#REF!</v>
      </c>
      <c r="AH582" s="206" t="e">
        <f t="shared" si="61"/>
        <v>#REF!</v>
      </c>
      <c r="AI582" s="206" t="e">
        <v>#N/A</v>
      </c>
      <c r="AJ582" s="206" t="e">
        <f>VLOOKUP($F582,#REF!,43,0)</f>
        <v>#REF!</v>
      </c>
    </row>
    <row r="583" spans="2:36" s="102" customFormat="1" ht="22.5">
      <c r="B583" s="97"/>
      <c r="C583" s="119" t="s">
        <v>1926</v>
      </c>
      <c r="D583" t="s">
        <v>2181</v>
      </c>
      <c r="E583" s="123" t="s">
        <v>2260</v>
      </c>
      <c r="F583" s="102" t="s">
        <v>2003</v>
      </c>
      <c r="G583" s="97" t="s">
        <v>1929</v>
      </c>
      <c r="Q583" s="206" t="s">
        <v>2161</v>
      </c>
      <c r="R583" s="206">
        <f t="shared" si="57"/>
        <v>583</v>
      </c>
      <c r="S583" s="206" t="str">
        <f t="shared" si="58"/>
        <v>;'C Documental'!$E$10:$BD$100;14;1)</v>
      </c>
      <c r="T583" s="203" t="s">
        <v>2226</v>
      </c>
      <c r="U583" s="206" t="str">
        <f t="shared" si="26"/>
        <v>=BUSCARV($E583;'C Documental'!$E$10:$BD$100;14;1)</v>
      </c>
      <c r="V583" s="206"/>
      <c r="W583" s="206" t="e">
        <f>VLOOKUP($F583,#REF!,8,1)</f>
        <v>#REF!</v>
      </c>
      <c r="X583" s="206" t="e">
        <f t="shared" si="59"/>
        <v>#REF!</v>
      </c>
      <c r="Y583" s="206">
        <v>1</v>
      </c>
      <c r="Z583" s="206" t="e">
        <f>VLOOKUP($F583,#REF!,9,1)</f>
        <v>#REF!</v>
      </c>
      <c r="AA583" s="206" t="e">
        <f t="shared" si="64"/>
        <v>#REF!</v>
      </c>
      <c r="AB583" s="206">
        <v>5</v>
      </c>
      <c r="AC583" s="206" t="e">
        <f>VLOOKUP($F583,#REF!,14,1)</f>
        <v>#REF!</v>
      </c>
      <c r="AD583" s="206" t="e">
        <f>VLOOKUP($F583,#REF!,40,0)</f>
        <v>#REF!</v>
      </c>
      <c r="AE583" s="206" t="e">
        <f t="shared" si="60"/>
        <v>#REF!</v>
      </c>
      <c r="AF583" s="206">
        <v>1</v>
      </c>
      <c r="AG583" s="206" t="e">
        <f>VLOOKUP($F583,#REF!,42,0)</f>
        <v>#REF!</v>
      </c>
      <c r="AH583" s="206" t="e">
        <f t="shared" si="61"/>
        <v>#REF!</v>
      </c>
      <c r="AI583" s="206">
        <v>5</v>
      </c>
      <c r="AJ583" s="206" t="e">
        <f>VLOOKUP($F583,#REF!,43,0)</f>
        <v>#REF!</v>
      </c>
    </row>
    <row r="584" spans="2:36" s="102" customFormat="1" ht="22.5">
      <c r="B584" s="97"/>
      <c r="C584" s="119" t="s">
        <v>1926</v>
      </c>
      <c r="D584" t="s">
        <v>2181</v>
      </c>
      <c r="E584" s="123" t="s">
        <v>2260</v>
      </c>
      <c r="F584" s="102" t="s">
        <v>2004</v>
      </c>
      <c r="G584" s="97" t="s">
        <v>1929</v>
      </c>
      <c r="Q584" s="206" t="s">
        <v>2161</v>
      </c>
      <c r="R584" s="206">
        <f t="shared" si="57"/>
        <v>584</v>
      </c>
      <c r="S584" s="206" t="str">
        <f t="shared" si="58"/>
        <v>;'C Documental'!$E$10:$BD$100;14;1)</v>
      </c>
      <c r="T584" s="203" t="s">
        <v>2226</v>
      </c>
      <c r="U584" s="206" t="str">
        <f t="shared" ref="U584:U595" si="66">CONCATENATE("=BUSCARV($E",R584,T584)</f>
        <v>=BUSCARV($E584;'C Documental'!$E$10:$BD$100;14;1)</v>
      </c>
      <c r="V584" s="206"/>
      <c r="W584" s="206" t="e">
        <f>VLOOKUP($F584,#REF!,8,1)</f>
        <v>#REF!</v>
      </c>
      <c r="X584" s="206" t="e">
        <f t="shared" si="59"/>
        <v>#REF!</v>
      </c>
      <c r="Y584" s="206">
        <v>1</v>
      </c>
      <c r="Z584" s="206" t="e">
        <f>VLOOKUP($F584,#REF!,9,1)</f>
        <v>#REF!</v>
      </c>
      <c r="AA584" s="206" t="e">
        <f t="shared" si="64"/>
        <v>#REF!</v>
      </c>
      <c r="AB584" s="206">
        <v>5</v>
      </c>
      <c r="AC584" s="206" t="e">
        <f>VLOOKUP($F584,#REF!,14,1)</f>
        <v>#REF!</v>
      </c>
      <c r="AD584" s="206" t="e">
        <f>VLOOKUP($F584,#REF!,40,0)</f>
        <v>#REF!</v>
      </c>
      <c r="AE584" s="206" t="e">
        <f t="shared" si="60"/>
        <v>#REF!</v>
      </c>
      <c r="AF584" s="206">
        <v>1</v>
      </c>
      <c r="AG584" s="206" t="e">
        <f>VLOOKUP($F584,#REF!,42,0)</f>
        <v>#REF!</v>
      </c>
      <c r="AH584" s="206" t="e">
        <f t="shared" si="61"/>
        <v>#REF!</v>
      </c>
      <c r="AI584" s="206">
        <v>5</v>
      </c>
      <c r="AJ584" s="206" t="e">
        <f>VLOOKUP($F584,#REF!,43,0)</f>
        <v>#REF!</v>
      </c>
    </row>
    <row r="585" spans="2:36" s="102" customFormat="1" ht="22.5">
      <c r="B585" s="97"/>
      <c r="C585" s="119" t="s">
        <v>1926</v>
      </c>
      <c r="D585" t="s">
        <v>2181</v>
      </c>
      <c r="E585" s="123" t="s">
        <v>2260</v>
      </c>
      <c r="Q585" s="206" t="s">
        <v>2161</v>
      </c>
      <c r="R585" s="206">
        <f t="shared" si="57"/>
        <v>585</v>
      </c>
      <c r="S585" s="206" t="str">
        <f t="shared" si="58"/>
        <v>;'C Documental'!$E$10:$BD$100;14;1)</v>
      </c>
      <c r="T585" s="203" t="s">
        <v>2226</v>
      </c>
      <c r="U585" s="206" t="str">
        <f t="shared" si="66"/>
        <v>=BUSCARV($E585;'C Documental'!$E$10:$BD$100;14;1)</v>
      </c>
      <c r="V585" s="206"/>
      <c r="W585" s="206" t="e">
        <f>VLOOKUP($F585,#REF!,8,1)</f>
        <v>#REF!</v>
      </c>
      <c r="X585" s="206" t="e">
        <f t="shared" si="59"/>
        <v>#REF!</v>
      </c>
      <c r="Y585" s="206" t="e">
        <v>#N/A</v>
      </c>
      <c r="Z585" s="206" t="e">
        <f>VLOOKUP($F585,#REF!,9,1)</f>
        <v>#REF!</v>
      </c>
      <c r="AA585" s="206" t="e">
        <f t="shared" si="64"/>
        <v>#REF!</v>
      </c>
      <c r="AB585" s="206" t="e">
        <v>#N/A</v>
      </c>
      <c r="AC585" s="206" t="e">
        <f>VLOOKUP($F585,#REF!,14,1)</f>
        <v>#REF!</v>
      </c>
      <c r="AD585" s="206" t="e">
        <f>VLOOKUP($F585,#REF!,40,0)</f>
        <v>#REF!</v>
      </c>
      <c r="AE585" s="206" t="e">
        <f t="shared" si="60"/>
        <v>#REF!</v>
      </c>
      <c r="AF585" s="206" t="e">
        <v>#N/A</v>
      </c>
      <c r="AG585" s="206" t="e">
        <f>VLOOKUP($F585,#REF!,42,0)</f>
        <v>#REF!</v>
      </c>
      <c r="AH585" s="206" t="e">
        <f t="shared" si="61"/>
        <v>#REF!</v>
      </c>
      <c r="AI585" s="206" t="e">
        <v>#N/A</v>
      </c>
      <c r="AJ585" s="206" t="e">
        <f>VLOOKUP($F585,#REF!,43,0)</f>
        <v>#REF!</v>
      </c>
    </row>
    <row r="586" spans="2:36" s="102" customFormat="1" ht="22.5">
      <c r="B586" s="97"/>
      <c r="C586" s="119" t="s">
        <v>1926</v>
      </c>
      <c r="D586" t="s">
        <v>2181</v>
      </c>
      <c r="E586" s="123" t="s">
        <v>2260</v>
      </c>
      <c r="Q586" s="206" t="s">
        <v>2161</v>
      </c>
      <c r="R586" s="206">
        <f t="shared" si="57"/>
        <v>586</v>
      </c>
      <c r="S586" s="206" t="str">
        <f t="shared" si="58"/>
        <v>;'C Documental'!$E$10:$BD$100;14;1)</v>
      </c>
      <c r="T586" s="203" t="s">
        <v>2226</v>
      </c>
      <c r="U586" s="206" t="str">
        <f t="shared" si="66"/>
        <v>=BUSCARV($E586;'C Documental'!$E$10:$BD$100;14;1)</v>
      </c>
      <c r="V586" s="206"/>
      <c r="W586" s="206" t="e">
        <f>VLOOKUP($F586,#REF!,8,1)</f>
        <v>#REF!</v>
      </c>
      <c r="X586" s="206" t="e">
        <f t="shared" si="59"/>
        <v>#REF!</v>
      </c>
      <c r="Y586" s="206" t="e">
        <v>#N/A</v>
      </c>
      <c r="Z586" s="206" t="e">
        <f>VLOOKUP($F586,#REF!,9,1)</f>
        <v>#REF!</v>
      </c>
      <c r="AA586" s="206" t="e">
        <f t="shared" si="64"/>
        <v>#REF!</v>
      </c>
      <c r="AB586" s="206" t="e">
        <v>#N/A</v>
      </c>
      <c r="AC586" s="206" t="e">
        <f>VLOOKUP($F586,#REF!,14,1)</f>
        <v>#REF!</v>
      </c>
      <c r="AD586" s="206" t="e">
        <f>VLOOKUP($F586,#REF!,40,0)</f>
        <v>#REF!</v>
      </c>
      <c r="AE586" s="206" t="e">
        <f t="shared" si="60"/>
        <v>#REF!</v>
      </c>
      <c r="AF586" s="206" t="e">
        <v>#N/A</v>
      </c>
      <c r="AG586" s="206" t="e">
        <f>VLOOKUP($F586,#REF!,42,0)</f>
        <v>#REF!</v>
      </c>
      <c r="AH586" s="206" t="e">
        <f t="shared" si="61"/>
        <v>#REF!</v>
      </c>
      <c r="AI586" s="206" t="e">
        <v>#N/A</v>
      </c>
      <c r="AJ586" s="206" t="e">
        <f>VLOOKUP($F586,#REF!,43,0)</f>
        <v>#REF!</v>
      </c>
    </row>
    <row r="587" spans="2:36" s="102" customFormat="1" ht="22.5">
      <c r="B587" s="97"/>
      <c r="C587" s="119" t="s">
        <v>1926</v>
      </c>
      <c r="D587" t="s">
        <v>2181</v>
      </c>
      <c r="E587" s="123" t="s">
        <v>2260</v>
      </c>
      <c r="Q587" s="206" t="s">
        <v>2161</v>
      </c>
      <c r="R587" s="206">
        <f t="shared" si="57"/>
        <v>587</v>
      </c>
      <c r="S587" s="206" t="str">
        <f t="shared" si="58"/>
        <v>;'C Documental'!$E$10:$BD$100;14;1)</v>
      </c>
      <c r="T587" s="203" t="s">
        <v>2226</v>
      </c>
      <c r="U587" s="206" t="str">
        <f t="shared" si="66"/>
        <v>=BUSCARV($E587;'C Documental'!$E$10:$BD$100;14;1)</v>
      </c>
      <c r="V587" s="206"/>
      <c r="W587" s="206" t="e">
        <f>VLOOKUP($F587,#REF!,8,1)</f>
        <v>#REF!</v>
      </c>
      <c r="X587" s="206" t="e">
        <f t="shared" si="59"/>
        <v>#REF!</v>
      </c>
      <c r="Y587" s="206" t="e">
        <v>#N/A</v>
      </c>
      <c r="Z587" s="206" t="e">
        <f>VLOOKUP($F587,#REF!,9,1)</f>
        <v>#REF!</v>
      </c>
      <c r="AA587" s="206" t="e">
        <f t="shared" si="64"/>
        <v>#REF!</v>
      </c>
      <c r="AB587" s="206" t="e">
        <v>#N/A</v>
      </c>
      <c r="AC587" s="206" t="e">
        <f>VLOOKUP($F587,#REF!,14,1)</f>
        <v>#REF!</v>
      </c>
      <c r="AD587" s="206" t="e">
        <f>VLOOKUP($F587,#REF!,40,0)</f>
        <v>#REF!</v>
      </c>
      <c r="AE587" s="206" t="e">
        <f t="shared" si="60"/>
        <v>#REF!</v>
      </c>
      <c r="AF587" s="206" t="e">
        <v>#N/A</v>
      </c>
      <c r="AG587" s="206" t="e">
        <f>VLOOKUP($F587,#REF!,42,0)</f>
        <v>#REF!</v>
      </c>
      <c r="AH587" s="206" t="e">
        <f t="shared" si="61"/>
        <v>#REF!</v>
      </c>
      <c r="AI587" s="206" t="e">
        <v>#N/A</v>
      </c>
      <c r="AJ587" s="206" t="e">
        <f>VLOOKUP($F587,#REF!,43,0)</f>
        <v>#REF!</v>
      </c>
    </row>
    <row r="588" spans="2:36" s="102" customFormat="1" ht="22.5">
      <c r="B588" s="97"/>
      <c r="C588" s="119" t="s">
        <v>1926</v>
      </c>
      <c r="D588" t="s">
        <v>2181</v>
      </c>
      <c r="E588" s="123" t="s">
        <v>2260</v>
      </c>
      <c r="Q588" s="206" t="s">
        <v>2161</v>
      </c>
      <c r="R588" s="206">
        <f t="shared" si="57"/>
        <v>588</v>
      </c>
      <c r="S588" s="206" t="str">
        <f t="shared" si="58"/>
        <v>;'C Documental'!$E$10:$BD$100;14;1)</v>
      </c>
      <c r="T588" s="203" t="s">
        <v>2226</v>
      </c>
      <c r="U588" s="206" t="str">
        <f t="shared" si="66"/>
        <v>=BUSCARV($E588;'C Documental'!$E$10:$BD$100;14;1)</v>
      </c>
      <c r="V588" s="206"/>
      <c r="W588" s="206" t="e">
        <f>VLOOKUP($F588,#REF!,8,1)</f>
        <v>#REF!</v>
      </c>
      <c r="X588" s="206" t="e">
        <f t="shared" si="59"/>
        <v>#REF!</v>
      </c>
      <c r="Y588" s="206" t="e">
        <v>#N/A</v>
      </c>
      <c r="Z588" s="206" t="e">
        <f>VLOOKUP($F588,#REF!,9,1)</f>
        <v>#REF!</v>
      </c>
      <c r="AA588" s="206" t="e">
        <f t="shared" si="64"/>
        <v>#REF!</v>
      </c>
      <c r="AB588" s="206" t="e">
        <v>#N/A</v>
      </c>
      <c r="AC588" s="206" t="e">
        <f>VLOOKUP($F588,#REF!,14,1)</f>
        <v>#REF!</v>
      </c>
      <c r="AD588" s="206" t="e">
        <f>VLOOKUP($F588,#REF!,40,0)</f>
        <v>#REF!</v>
      </c>
      <c r="AE588" s="206" t="e">
        <f t="shared" si="60"/>
        <v>#REF!</v>
      </c>
      <c r="AF588" s="206" t="e">
        <v>#N/A</v>
      </c>
      <c r="AG588" s="206" t="e">
        <f>VLOOKUP($F588,#REF!,42,0)</f>
        <v>#REF!</v>
      </c>
      <c r="AH588" s="206" t="e">
        <f t="shared" si="61"/>
        <v>#REF!</v>
      </c>
      <c r="AI588" s="206" t="e">
        <v>#N/A</v>
      </c>
      <c r="AJ588" s="206" t="e">
        <f>VLOOKUP($F588,#REF!,43,0)</f>
        <v>#REF!</v>
      </c>
    </row>
    <row r="589" spans="2:36" s="102" customFormat="1" ht="22.5">
      <c r="B589" s="97"/>
      <c r="C589" s="119" t="s">
        <v>1926</v>
      </c>
      <c r="D589" t="s">
        <v>2181</v>
      </c>
      <c r="E589" s="123" t="s">
        <v>2260</v>
      </c>
      <c r="Q589" s="206" t="s">
        <v>2161</v>
      </c>
      <c r="R589" s="206">
        <f t="shared" si="57"/>
        <v>589</v>
      </c>
      <c r="S589" s="206" t="str">
        <f t="shared" si="58"/>
        <v>;'C Documental'!$E$10:$BD$100;14;1)</v>
      </c>
      <c r="T589" s="203" t="s">
        <v>2226</v>
      </c>
      <c r="U589" s="206" t="str">
        <f t="shared" si="66"/>
        <v>=BUSCARV($E589;'C Documental'!$E$10:$BD$100;14;1)</v>
      </c>
      <c r="V589" s="206"/>
      <c r="W589" s="206" t="e">
        <f>VLOOKUP($F589,#REF!,8,1)</f>
        <v>#REF!</v>
      </c>
      <c r="X589" s="206" t="e">
        <f t="shared" si="59"/>
        <v>#REF!</v>
      </c>
      <c r="Y589" s="206" t="e">
        <v>#N/A</v>
      </c>
      <c r="Z589" s="206" t="e">
        <f>VLOOKUP($F589,#REF!,9,1)</f>
        <v>#REF!</v>
      </c>
      <c r="AA589" s="206" t="e">
        <f t="shared" si="64"/>
        <v>#REF!</v>
      </c>
      <c r="AB589" s="206" t="e">
        <v>#N/A</v>
      </c>
      <c r="AC589" s="206" t="e">
        <f>VLOOKUP($F589,#REF!,14,1)</f>
        <v>#REF!</v>
      </c>
      <c r="AD589" s="206" t="e">
        <f>VLOOKUP($F589,#REF!,40,0)</f>
        <v>#REF!</v>
      </c>
      <c r="AE589" s="206" t="e">
        <f t="shared" si="60"/>
        <v>#REF!</v>
      </c>
      <c r="AF589" s="206" t="e">
        <v>#N/A</v>
      </c>
      <c r="AG589" s="206" t="e">
        <f>VLOOKUP($F589,#REF!,42,0)</f>
        <v>#REF!</v>
      </c>
      <c r="AH589" s="206" t="e">
        <f t="shared" si="61"/>
        <v>#REF!</v>
      </c>
      <c r="AI589" s="206" t="e">
        <v>#N/A</v>
      </c>
      <c r="AJ589" s="206" t="e">
        <f>VLOOKUP($F589,#REF!,43,0)</f>
        <v>#REF!</v>
      </c>
    </row>
    <row r="590" spans="2:36" s="102" customFormat="1" ht="22.5">
      <c r="B590" s="97"/>
      <c r="C590" s="119" t="s">
        <v>1926</v>
      </c>
      <c r="D590" t="s">
        <v>2181</v>
      </c>
      <c r="E590" s="123" t="s">
        <v>2260</v>
      </c>
      <c r="Q590" s="206" t="s">
        <v>2161</v>
      </c>
      <c r="R590" s="206">
        <f t="shared" si="57"/>
        <v>590</v>
      </c>
      <c r="S590" s="206" t="str">
        <f t="shared" si="58"/>
        <v>;'C Documental'!$E$10:$BD$100;14;1)</v>
      </c>
      <c r="T590" s="203" t="s">
        <v>2226</v>
      </c>
      <c r="U590" s="206" t="str">
        <f t="shared" si="66"/>
        <v>=BUSCARV($E590;'C Documental'!$E$10:$BD$100;14;1)</v>
      </c>
      <c r="V590" s="206"/>
      <c r="W590" s="206" t="e">
        <f>VLOOKUP($F590,#REF!,8,1)</f>
        <v>#REF!</v>
      </c>
      <c r="X590" s="206" t="e">
        <f t="shared" si="59"/>
        <v>#REF!</v>
      </c>
      <c r="Y590" s="206" t="e">
        <v>#N/A</v>
      </c>
      <c r="Z590" s="206" t="e">
        <f>VLOOKUP($F590,#REF!,9,1)</f>
        <v>#REF!</v>
      </c>
      <c r="AA590" s="206" t="e">
        <f t="shared" si="64"/>
        <v>#REF!</v>
      </c>
      <c r="AB590" s="206" t="e">
        <v>#N/A</v>
      </c>
      <c r="AC590" s="206" t="e">
        <f>VLOOKUP($F590,#REF!,14,1)</f>
        <v>#REF!</v>
      </c>
      <c r="AD590" s="206" t="e">
        <f>VLOOKUP($F590,#REF!,40,0)</f>
        <v>#REF!</v>
      </c>
      <c r="AE590" s="206" t="e">
        <f t="shared" si="60"/>
        <v>#REF!</v>
      </c>
      <c r="AF590" s="206" t="e">
        <v>#N/A</v>
      </c>
      <c r="AG590" s="206" t="e">
        <f>VLOOKUP($F590,#REF!,42,0)</f>
        <v>#REF!</v>
      </c>
      <c r="AH590" s="206" t="e">
        <f t="shared" si="61"/>
        <v>#REF!</v>
      </c>
      <c r="AI590" s="206" t="e">
        <v>#N/A</v>
      </c>
      <c r="AJ590" s="206" t="e">
        <f>VLOOKUP($F590,#REF!,43,0)</f>
        <v>#REF!</v>
      </c>
    </row>
    <row r="591" spans="2:36" s="102" customFormat="1" ht="22.5">
      <c r="B591" s="97"/>
      <c r="C591" s="119" t="s">
        <v>1926</v>
      </c>
      <c r="D591" t="s">
        <v>2181</v>
      </c>
      <c r="E591" s="123" t="s">
        <v>2260</v>
      </c>
      <c r="Q591" s="206" t="s">
        <v>2161</v>
      </c>
      <c r="R591" s="206">
        <f t="shared" si="57"/>
        <v>591</v>
      </c>
      <c r="S591" s="206" t="str">
        <f t="shared" si="58"/>
        <v>;'C Documental'!$E$10:$BD$100;14;1)</v>
      </c>
      <c r="T591" s="203" t="s">
        <v>2226</v>
      </c>
      <c r="U591" s="206" t="str">
        <f t="shared" si="66"/>
        <v>=BUSCARV($E591;'C Documental'!$E$10:$BD$100;14;1)</v>
      </c>
      <c r="V591" s="206"/>
      <c r="W591" s="206" t="e">
        <f>VLOOKUP($F591,#REF!,8,1)</f>
        <v>#REF!</v>
      </c>
      <c r="X591" s="206" t="e">
        <f t="shared" si="59"/>
        <v>#REF!</v>
      </c>
      <c r="Y591" s="206" t="e">
        <v>#N/A</v>
      </c>
      <c r="Z591" s="206" t="e">
        <f>VLOOKUP($F591,#REF!,9,1)</f>
        <v>#REF!</v>
      </c>
      <c r="AA591" s="206" t="e">
        <f t="shared" si="64"/>
        <v>#REF!</v>
      </c>
      <c r="AB591" s="206" t="e">
        <v>#N/A</v>
      </c>
      <c r="AC591" s="206" t="e">
        <f>VLOOKUP($F591,#REF!,14,1)</f>
        <v>#REF!</v>
      </c>
      <c r="AD591" s="206" t="e">
        <f>VLOOKUP($F591,#REF!,40,0)</f>
        <v>#REF!</v>
      </c>
      <c r="AE591" s="206" t="e">
        <f t="shared" si="60"/>
        <v>#REF!</v>
      </c>
      <c r="AF591" s="206" t="e">
        <v>#N/A</v>
      </c>
      <c r="AG591" s="206" t="e">
        <f>VLOOKUP($F591,#REF!,42,0)</f>
        <v>#REF!</v>
      </c>
      <c r="AH591" s="206" t="e">
        <f t="shared" si="61"/>
        <v>#REF!</v>
      </c>
      <c r="AI591" s="206" t="e">
        <v>#N/A</v>
      </c>
      <c r="AJ591" s="206" t="e">
        <f>VLOOKUP($F591,#REF!,43,0)</f>
        <v>#REF!</v>
      </c>
    </row>
    <row r="592" spans="2:36" s="102" customFormat="1" ht="22.5">
      <c r="B592" s="97"/>
      <c r="C592" s="119" t="s">
        <v>1926</v>
      </c>
      <c r="D592" t="s">
        <v>2181</v>
      </c>
      <c r="E592" s="123" t="s">
        <v>2260</v>
      </c>
      <c r="Q592" s="206" t="s">
        <v>2161</v>
      </c>
      <c r="R592" s="206">
        <f t="shared" si="57"/>
        <v>592</v>
      </c>
      <c r="S592" s="206" t="str">
        <f t="shared" si="58"/>
        <v>;'C Documental'!$E$10:$BD$100;14;1)</v>
      </c>
      <c r="T592" s="203" t="s">
        <v>2226</v>
      </c>
      <c r="U592" s="206" t="str">
        <f t="shared" si="66"/>
        <v>=BUSCARV($E592;'C Documental'!$E$10:$BD$100;14;1)</v>
      </c>
      <c r="V592" s="206"/>
      <c r="W592" s="206" t="e">
        <f>VLOOKUP($F592,#REF!,8,1)</f>
        <v>#REF!</v>
      </c>
      <c r="X592" s="206" t="e">
        <f t="shared" si="59"/>
        <v>#REF!</v>
      </c>
      <c r="Y592" s="206" t="e">
        <v>#N/A</v>
      </c>
      <c r="Z592" s="206" t="e">
        <f>VLOOKUP($F592,#REF!,9,1)</f>
        <v>#REF!</v>
      </c>
      <c r="AA592" s="206" t="e">
        <f t="shared" si="64"/>
        <v>#REF!</v>
      </c>
      <c r="AB592" s="206" t="e">
        <v>#N/A</v>
      </c>
      <c r="AC592" s="206" t="e">
        <f>VLOOKUP($F592,#REF!,14,1)</f>
        <v>#REF!</v>
      </c>
      <c r="AD592" s="206" t="e">
        <f>VLOOKUP($F592,#REF!,40,0)</f>
        <v>#REF!</v>
      </c>
      <c r="AE592" s="206" t="e">
        <f t="shared" si="60"/>
        <v>#REF!</v>
      </c>
      <c r="AF592" s="206" t="e">
        <v>#N/A</v>
      </c>
      <c r="AG592" s="206" t="e">
        <f>VLOOKUP($F592,#REF!,42,0)</f>
        <v>#REF!</v>
      </c>
      <c r="AH592" s="206" t="e">
        <f t="shared" si="61"/>
        <v>#REF!</v>
      </c>
      <c r="AI592" s="206" t="e">
        <v>#N/A</v>
      </c>
      <c r="AJ592" s="206" t="e">
        <f>VLOOKUP($F592,#REF!,43,0)</f>
        <v>#REF!</v>
      </c>
    </row>
    <row r="593" spans="2:36" s="102" customFormat="1" ht="22.5">
      <c r="B593" s="97"/>
      <c r="C593" s="119" t="s">
        <v>1926</v>
      </c>
      <c r="D593" t="s">
        <v>2181</v>
      </c>
      <c r="E593" s="123" t="s">
        <v>2260</v>
      </c>
      <c r="Q593" s="206" t="s">
        <v>2161</v>
      </c>
      <c r="R593" s="206">
        <f t="shared" ref="R593:R657" si="67">ROW(F593)</f>
        <v>593</v>
      </c>
      <c r="S593" s="206" t="str">
        <f t="shared" ref="S593:S657" si="68">CONCATENATE(";","'",D593,"'!","$E$10:$BD$100",";","14",";","1",")")</f>
        <v>;'C Documental'!$E$10:$BD$100;14;1)</v>
      </c>
      <c r="T593" s="203" t="s">
        <v>2226</v>
      </c>
      <c r="U593" s="206" t="str">
        <f t="shared" si="66"/>
        <v>=BUSCARV($E593;'C Documental'!$E$10:$BD$100;14;1)</v>
      </c>
      <c r="V593" s="206"/>
      <c r="W593" s="206" t="e">
        <f>VLOOKUP($F593,#REF!,8,1)</f>
        <v>#REF!</v>
      </c>
      <c r="X593" s="206" t="e">
        <f t="shared" si="59"/>
        <v>#REF!</v>
      </c>
      <c r="Y593" s="206" t="e">
        <v>#N/A</v>
      </c>
      <c r="Z593" s="206" t="e">
        <f>VLOOKUP($F593,#REF!,9,1)</f>
        <v>#REF!</v>
      </c>
      <c r="AA593" s="206" t="e">
        <f t="shared" si="64"/>
        <v>#REF!</v>
      </c>
      <c r="AB593" s="206" t="e">
        <v>#N/A</v>
      </c>
      <c r="AC593" s="206" t="e">
        <f>VLOOKUP($F593,#REF!,14,1)</f>
        <v>#REF!</v>
      </c>
      <c r="AD593" s="206" t="e">
        <f>VLOOKUP($F593,#REF!,40,0)</f>
        <v>#REF!</v>
      </c>
      <c r="AE593" s="206" t="e">
        <f t="shared" si="60"/>
        <v>#REF!</v>
      </c>
      <c r="AF593" s="206" t="e">
        <v>#N/A</v>
      </c>
      <c r="AG593" s="206" t="e">
        <f>VLOOKUP($F593,#REF!,42,0)</f>
        <v>#REF!</v>
      </c>
      <c r="AH593" s="206" t="e">
        <f t="shared" si="61"/>
        <v>#REF!</v>
      </c>
      <c r="AI593" s="206" t="e">
        <v>#N/A</v>
      </c>
      <c r="AJ593" s="206" t="e">
        <f>VLOOKUP($F593,#REF!,43,0)</f>
        <v>#REF!</v>
      </c>
    </row>
    <row r="594" spans="2:36" s="102" customFormat="1" ht="22.5">
      <c r="B594" s="97"/>
      <c r="C594" s="119" t="s">
        <v>1926</v>
      </c>
      <c r="D594" t="s">
        <v>2181</v>
      </c>
      <c r="E594" s="123" t="s">
        <v>2260</v>
      </c>
      <c r="Q594" s="206" t="s">
        <v>2161</v>
      </c>
      <c r="R594" s="206">
        <f t="shared" si="67"/>
        <v>594</v>
      </c>
      <c r="S594" s="206" t="str">
        <f t="shared" si="68"/>
        <v>;'C Documental'!$E$10:$BD$100;14;1)</v>
      </c>
      <c r="T594" s="203" t="s">
        <v>2226</v>
      </c>
      <c r="U594" s="206" t="str">
        <f t="shared" si="66"/>
        <v>=BUSCARV($E594;'C Documental'!$E$10:$BD$100;14;1)</v>
      </c>
      <c r="V594" s="206"/>
      <c r="W594" s="206" t="e">
        <f>VLOOKUP($F594,#REF!,8,1)</f>
        <v>#REF!</v>
      </c>
      <c r="X594" s="206" t="e">
        <f t="shared" ref="X594:X657" si="69">IF(W594="Casi Seguro",5,IF(W594="Probable",4,IF(W594="Posible",3,IF(W594="Improbable",2,1))))</f>
        <v>#REF!</v>
      </c>
      <c r="Y594" s="206" t="e">
        <v>#N/A</v>
      </c>
      <c r="Z594" s="206" t="e">
        <f>VLOOKUP($F594,#REF!,9,1)</f>
        <v>#REF!</v>
      </c>
      <c r="AA594" s="206" t="e">
        <f t="shared" si="64"/>
        <v>#REF!</v>
      </c>
      <c r="AB594" s="206" t="e">
        <v>#N/A</v>
      </c>
      <c r="AC594" s="206" t="e">
        <f>VLOOKUP($F594,#REF!,14,1)</f>
        <v>#REF!</v>
      </c>
      <c r="AD594" s="206" t="e">
        <f>VLOOKUP($F594,#REF!,40,0)</f>
        <v>#REF!</v>
      </c>
      <c r="AE594" s="206" t="e">
        <f t="shared" ref="AE594:AE657" si="70">IF(AD594="Casi Seguro",5,IF(AD594="Probable",4,IF(AD594="Posible",3,IF(AD594="Improbable",2,1))))</f>
        <v>#REF!</v>
      </c>
      <c r="AF594" s="206" t="e">
        <v>#N/A</v>
      </c>
      <c r="AG594" s="206" t="e">
        <f>VLOOKUP($F594,#REF!,42,0)</f>
        <v>#REF!</v>
      </c>
      <c r="AH594" s="206" t="e">
        <f t="shared" ref="AH594:AH657" si="71">IF(AG594="Catastrófico",20,IF(AG594="Mayor",10,5))</f>
        <v>#REF!</v>
      </c>
      <c r="AI594" s="206" t="e">
        <v>#N/A</v>
      </c>
      <c r="AJ594" s="206" t="e">
        <f>VLOOKUP($F594,#REF!,43,0)</f>
        <v>#REF!</v>
      </c>
    </row>
    <row r="595" spans="2:36" s="102" customFormat="1" ht="22.5">
      <c r="B595" s="97"/>
      <c r="C595" s="119" t="s">
        <v>1926</v>
      </c>
      <c r="D595" t="s">
        <v>2181</v>
      </c>
      <c r="E595" s="123" t="s">
        <v>2260</v>
      </c>
      <c r="Q595" s="206" t="s">
        <v>2161</v>
      </c>
      <c r="R595" s="206">
        <f t="shared" si="67"/>
        <v>595</v>
      </c>
      <c r="S595" s="206" t="str">
        <f t="shared" si="68"/>
        <v>;'C Documental'!$E$10:$BD$100;14;1)</v>
      </c>
      <c r="T595" s="203" t="s">
        <v>2226</v>
      </c>
      <c r="U595" s="206" t="str">
        <f t="shared" si="66"/>
        <v>=BUSCARV($E595;'C Documental'!$E$10:$BD$100;14;1)</v>
      </c>
      <c r="V595" s="206"/>
      <c r="W595" s="206" t="e">
        <f>VLOOKUP($F595,#REF!,8,1)</f>
        <v>#REF!</v>
      </c>
      <c r="X595" s="206" t="e">
        <f t="shared" si="69"/>
        <v>#REF!</v>
      </c>
      <c r="Y595" s="206" t="e">
        <v>#N/A</v>
      </c>
      <c r="Z595" s="206" t="e">
        <f>VLOOKUP($F595,#REF!,9,1)</f>
        <v>#REF!</v>
      </c>
      <c r="AA595" s="206" t="e">
        <f t="shared" si="64"/>
        <v>#REF!</v>
      </c>
      <c r="AB595" s="206" t="e">
        <v>#N/A</v>
      </c>
      <c r="AC595" s="206" t="e">
        <f>VLOOKUP($F595,#REF!,14,1)</f>
        <v>#REF!</v>
      </c>
      <c r="AD595" s="206" t="e">
        <f>VLOOKUP($F595,#REF!,40,0)</f>
        <v>#REF!</v>
      </c>
      <c r="AE595" s="206" t="e">
        <f t="shared" si="70"/>
        <v>#REF!</v>
      </c>
      <c r="AF595" s="206" t="e">
        <v>#N/A</v>
      </c>
      <c r="AG595" s="206" t="e">
        <f>VLOOKUP($F595,#REF!,42,0)</f>
        <v>#REF!</v>
      </c>
      <c r="AH595" s="206" t="e">
        <f t="shared" si="71"/>
        <v>#REF!</v>
      </c>
      <c r="AI595" s="206" t="e">
        <v>#N/A</v>
      </c>
      <c r="AJ595" s="206" t="e">
        <f>VLOOKUP($F595,#REF!,43,0)</f>
        <v>#REF!</v>
      </c>
    </row>
    <row r="596" spans="2:36" s="102" customFormat="1" ht="22.5">
      <c r="B596" s="97"/>
      <c r="C596" s="135" t="s">
        <v>1923</v>
      </c>
      <c r="D596" t="s">
        <v>2182</v>
      </c>
      <c r="E596" s="123" t="s">
        <v>2260</v>
      </c>
      <c r="F596" s="102" t="s">
        <v>368</v>
      </c>
      <c r="G596" s="97" t="s">
        <v>1929</v>
      </c>
      <c r="Q596" s="206" t="s">
        <v>2161</v>
      </c>
      <c r="R596" s="206">
        <f t="shared" si="67"/>
        <v>596</v>
      </c>
      <c r="S596" s="206" t="str">
        <f t="shared" si="68"/>
        <v>;'C FINANCIERA'!$E$10:$BD$100;14;1)</v>
      </c>
      <c r="T596" s="203" t="s">
        <v>2227</v>
      </c>
      <c r="U596" s="206" t="str">
        <f t="shared" si="26"/>
        <v>=BUSCARV($E596;'C FINANCIERA'!$E$10:$BD$100;14;1)</v>
      </c>
      <c r="V596" s="206"/>
      <c r="W596" s="206" t="e">
        <f>VLOOKUP($F596,#REF!,8,1)</f>
        <v>#REF!</v>
      </c>
      <c r="X596" s="206" t="e">
        <f t="shared" si="69"/>
        <v>#REF!</v>
      </c>
      <c r="Y596" s="206">
        <v>1</v>
      </c>
      <c r="Z596" s="206" t="e">
        <f>VLOOKUP($F596,#REF!,9,1)</f>
        <v>#REF!</v>
      </c>
      <c r="AA596" s="206" t="e">
        <f t="shared" si="64"/>
        <v>#REF!</v>
      </c>
      <c r="AB596" s="206">
        <v>10</v>
      </c>
      <c r="AC596" s="206" t="e">
        <f>VLOOKUP($F596,#REF!,14,1)</f>
        <v>#REF!</v>
      </c>
      <c r="AD596" s="206" t="e">
        <f>VLOOKUP($F596,#REF!,40,0)</f>
        <v>#REF!</v>
      </c>
      <c r="AE596" s="206" t="e">
        <f t="shared" si="70"/>
        <v>#REF!</v>
      </c>
      <c r="AF596" s="206">
        <v>1</v>
      </c>
      <c r="AG596" s="206" t="e">
        <f>VLOOKUP($F596,#REF!,42,0)</f>
        <v>#REF!</v>
      </c>
      <c r="AH596" s="206" t="e">
        <f t="shared" si="71"/>
        <v>#REF!</v>
      </c>
      <c r="AI596" s="206">
        <v>5</v>
      </c>
      <c r="AJ596" s="206" t="e">
        <f>VLOOKUP($F596,#REF!,43,0)</f>
        <v>#REF!</v>
      </c>
    </row>
    <row r="597" spans="2:36" s="102" customFormat="1" ht="22.5">
      <c r="B597" s="97"/>
      <c r="C597" s="136" t="s">
        <v>1923</v>
      </c>
      <c r="D597" t="s">
        <v>2182</v>
      </c>
      <c r="E597" s="123" t="s">
        <v>2260</v>
      </c>
      <c r="F597" s="102" t="s">
        <v>369</v>
      </c>
      <c r="G597" s="97" t="s">
        <v>1929</v>
      </c>
      <c r="Q597" s="206" t="s">
        <v>2161</v>
      </c>
      <c r="R597" s="206">
        <f t="shared" si="67"/>
        <v>597</v>
      </c>
      <c r="S597" s="206" t="str">
        <f t="shared" si="68"/>
        <v>;'C FINANCIERA'!$E$10:$BD$100;14;1)</v>
      </c>
      <c r="T597" s="203" t="s">
        <v>2227</v>
      </c>
      <c r="U597" s="206" t="str">
        <f t="shared" ref="U597:U612" si="72">CONCATENATE("=BUSCARV($E",R597,T597)</f>
        <v>=BUSCARV($E597;'C FINANCIERA'!$E$10:$BD$100;14;1)</v>
      </c>
      <c r="V597" s="206"/>
      <c r="W597" s="206" t="e">
        <f>VLOOKUP($F597,#REF!,8,1)</f>
        <v>#REF!</v>
      </c>
      <c r="X597" s="206" t="e">
        <f t="shared" si="69"/>
        <v>#REF!</v>
      </c>
      <c r="Y597" s="206">
        <v>2</v>
      </c>
      <c r="Z597" s="206" t="e">
        <f>VLOOKUP($F597,#REF!,9,1)</f>
        <v>#REF!</v>
      </c>
      <c r="AA597" s="206" t="e">
        <f t="shared" si="64"/>
        <v>#REF!</v>
      </c>
      <c r="AB597" s="206">
        <v>10</v>
      </c>
      <c r="AC597" s="206" t="e">
        <f>VLOOKUP($F597,#REF!,14,1)</f>
        <v>#REF!</v>
      </c>
      <c r="AD597" s="206" t="e">
        <f>VLOOKUP($F597,#REF!,40,0)</f>
        <v>#REF!</v>
      </c>
      <c r="AE597" s="206" t="e">
        <f t="shared" si="70"/>
        <v>#REF!</v>
      </c>
      <c r="AF597" s="206">
        <v>1</v>
      </c>
      <c r="AG597" s="206" t="e">
        <f>VLOOKUP($F597,#REF!,42,0)</f>
        <v>#REF!</v>
      </c>
      <c r="AH597" s="206" t="e">
        <f t="shared" si="71"/>
        <v>#REF!</v>
      </c>
      <c r="AI597" s="206">
        <v>5</v>
      </c>
      <c r="AJ597" s="206" t="e">
        <f>VLOOKUP($F597,#REF!,43,0)</f>
        <v>#REF!</v>
      </c>
    </row>
    <row r="598" spans="2:36" s="102" customFormat="1" ht="22.5">
      <c r="B598" s="97"/>
      <c r="C598" s="136" t="s">
        <v>1923</v>
      </c>
      <c r="D598" t="s">
        <v>2182</v>
      </c>
      <c r="E598" s="123" t="s">
        <v>2260</v>
      </c>
      <c r="F598" s="102" t="s">
        <v>371</v>
      </c>
      <c r="G598" s="97" t="s">
        <v>1929</v>
      </c>
      <c r="Q598" s="206" t="s">
        <v>2161</v>
      </c>
      <c r="R598" s="206">
        <f t="shared" si="67"/>
        <v>598</v>
      </c>
      <c r="S598" s="206" t="str">
        <f t="shared" si="68"/>
        <v>;'C FINANCIERA'!$E$10:$BD$100;14;1)</v>
      </c>
      <c r="T598" s="203" t="s">
        <v>2227</v>
      </c>
      <c r="U598" s="206" t="str">
        <f t="shared" si="72"/>
        <v>=BUSCARV($E598;'C FINANCIERA'!$E$10:$BD$100;14;1)</v>
      </c>
      <c r="V598" s="206"/>
      <c r="W598" s="206" t="e">
        <f>VLOOKUP($F598,#REF!,8,1)</f>
        <v>#REF!</v>
      </c>
      <c r="X598" s="206" t="e">
        <f t="shared" si="69"/>
        <v>#REF!</v>
      </c>
      <c r="Y598" s="206">
        <v>1</v>
      </c>
      <c r="Z598" s="206" t="e">
        <f>VLOOKUP($F598,#REF!,9,1)</f>
        <v>#REF!</v>
      </c>
      <c r="AA598" s="206" t="e">
        <f t="shared" si="64"/>
        <v>#REF!</v>
      </c>
      <c r="AB598" s="206">
        <v>10</v>
      </c>
      <c r="AC598" s="206" t="e">
        <f>VLOOKUP($F598,#REF!,14,1)</f>
        <v>#REF!</v>
      </c>
      <c r="AD598" s="206" t="e">
        <f>VLOOKUP($F598,#REF!,40,0)</f>
        <v>#REF!</v>
      </c>
      <c r="AE598" s="206" t="e">
        <f t="shared" si="70"/>
        <v>#REF!</v>
      </c>
      <c r="AF598" s="206">
        <v>1</v>
      </c>
      <c r="AG598" s="206" t="e">
        <f>VLOOKUP($F598,#REF!,42,0)</f>
        <v>#REF!</v>
      </c>
      <c r="AH598" s="206" t="e">
        <f t="shared" si="71"/>
        <v>#REF!</v>
      </c>
      <c r="AI598" s="206">
        <v>5</v>
      </c>
      <c r="AJ598" s="206" t="e">
        <f>VLOOKUP($F598,#REF!,43,0)</f>
        <v>#REF!</v>
      </c>
    </row>
    <row r="599" spans="2:36" s="102" customFormat="1" ht="22.5">
      <c r="B599" s="97"/>
      <c r="C599" s="136" t="s">
        <v>1923</v>
      </c>
      <c r="D599" t="s">
        <v>2182</v>
      </c>
      <c r="E599" s="123" t="s">
        <v>2260</v>
      </c>
      <c r="F599" s="102" t="s">
        <v>373</v>
      </c>
      <c r="G599" s="97" t="s">
        <v>1929</v>
      </c>
      <c r="Q599" s="206" t="s">
        <v>2161</v>
      </c>
      <c r="R599" s="206">
        <f t="shared" si="67"/>
        <v>599</v>
      </c>
      <c r="S599" s="206" t="str">
        <f t="shared" si="68"/>
        <v>;'C FINANCIERA'!$E$10:$BD$100;14;1)</v>
      </c>
      <c r="T599" s="203" t="s">
        <v>2227</v>
      </c>
      <c r="U599" s="206" t="str">
        <f t="shared" si="72"/>
        <v>=BUSCARV($E599;'C FINANCIERA'!$E$10:$BD$100;14;1)</v>
      </c>
      <c r="V599" s="206"/>
      <c r="W599" s="206" t="e">
        <f>VLOOKUP($F599,#REF!,8,1)</f>
        <v>#REF!</v>
      </c>
      <c r="X599" s="206" t="e">
        <f t="shared" si="69"/>
        <v>#REF!</v>
      </c>
      <c r="Y599" s="206">
        <v>1</v>
      </c>
      <c r="Z599" s="206" t="e">
        <f>VLOOKUP($F599,#REF!,9,1)</f>
        <v>#REF!</v>
      </c>
      <c r="AA599" s="206" t="e">
        <f t="shared" si="64"/>
        <v>#REF!</v>
      </c>
      <c r="AB599" s="206">
        <v>10</v>
      </c>
      <c r="AC599" s="206" t="e">
        <f>VLOOKUP($F599,#REF!,14,1)</f>
        <v>#REF!</v>
      </c>
      <c r="AD599" s="206" t="e">
        <f>VLOOKUP($F599,#REF!,40,0)</f>
        <v>#REF!</v>
      </c>
      <c r="AE599" s="206" t="e">
        <f t="shared" si="70"/>
        <v>#REF!</v>
      </c>
      <c r="AF599" s="206">
        <v>1</v>
      </c>
      <c r="AG599" s="206" t="e">
        <f>VLOOKUP($F599,#REF!,42,0)</f>
        <v>#REF!</v>
      </c>
      <c r="AH599" s="206" t="e">
        <f t="shared" si="71"/>
        <v>#REF!</v>
      </c>
      <c r="AI599" s="206">
        <v>10</v>
      </c>
      <c r="AJ599" s="206" t="e">
        <f>VLOOKUP($F599,#REF!,43,0)</f>
        <v>#REF!</v>
      </c>
    </row>
    <row r="600" spans="2:36" s="102" customFormat="1" ht="22.5">
      <c r="B600" s="97"/>
      <c r="C600" s="136" t="s">
        <v>1923</v>
      </c>
      <c r="D600" t="s">
        <v>2182</v>
      </c>
      <c r="E600" s="123" t="s">
        <v>2260</v>
      </c>
      <c r="Q600" s="206" t="s">
        <v>2161</v>
      </c>
      <c r="R600" s="206">
        <f t="shared" si="67"/>
        <v>600</v>
      </c>
      <c r="S600" s="206" t="str">
        <f t="shared" si="68"/>
        <v>;'C FINANCIERA'!$E$10:$BD$100;14;1)</v>
      </c>
      <c r="T600" s="203" t="s">
        <v>2227</v>
      </c>
      <c r="U600" s="206" t="str">
        <f t="shared" si="72"/>
        <v>=BUSCARV($E600;'C FINANCIERA'!$E$10:$BD$100;14;1)</v>
      </c>
      <c r="V600" s="206"/>
      <c r="W600" s="206" t="e">
        <f>VLOOKUP($F600,#REF!,8,1)</f>
        <v>#REF!</v>
      </c>
      <c r="X600" s="206" t="e">
        <f t="shared" si="69"/>
        <v>#REF!</v>
      </c>
      <c r="Y600" s="206" t="e">
        <v>#N/A</v>
      </c>
      <c r="Z600" s="206" t="e">
        <f>VLOOKUP($F600,#REF!,9,1)</f>
        <v>#REF!</v>
      </c>
      <c r="AA600" s="206" t="e">
        <f t="shared" si="64"/>
        <v>#REF!</v>
      </c>
      <c r="AB600" s="206" t="e">
        <v>#N/A</v>
      </c>
      <c r="AC600" s="206" t="e">
        <f>VLOOKUP($F600,#REF!,14,1)</f>
        <v>#REF!</v>
      </c>
      <c r="AD600" s="206" t="e">
        <f>VLOOKUP($F600,#REF!,40,0)</f>
        <v>#REF!</v>
      </c>
      <c r="AE600" s="206" t="e">
        <f t="shared" si="70"/>
        <v>#REF!</v>
      </c>
      <c r="AF600" s="206" t="e">
        <v>#N/A</v>
      </c>
      <c r="AG600" s="206" t="e">
        <f>VLOOKUP($F600,#REF!,42,0)</f>
        <v>#REF!</v>
      </c>
      <c r="AH600" s="206" t="e">
        <f t="shared" si="71"/>
        <v>#REF!</v>
      </c>
      <c r="AI600" s="206" t="e">
        <v>#N/A</v>
      </c>
      <c r="AJ600" s="206" t="e">
        <f>VLOOKUP($F600,#REF!,43,0)</f>
        <v>#REF!</v>
      </c>
    </row>
    <row r="601" spans="2:36" s="102" customFormat="1" ht="22.5">
      <c r="B601" s="97"/>
      <c r="C601" s="136" t="s">
        <v>1923</v>
      </c>
      <c r="D601" t="s">
        <v>2182</v>
      </c>
      <c r="E601" s="123" t="s">
        <v>2260</v>
      </c>
      <c r="Q601" s="206" t="s">
        <v>2161</v>
      </c>
      <c r="R601" s="206">
        <f t="shared" si="67"/>
        <v>601</v>
      </c>
      <c r="S601" s="206" t="str">
        <f t="shared" si="68"/>
        <v>;'C FINANCIERA'!$E$10:$BD$100;14;1)</v>
      </c>
      <c r="T601" s="203" t="s">
        <v>2227</v>
      </c>
      <c r="U601" s="206" t="str">
        <f t="shared" si="72"/>
        <v>=BUSCARV($E601;'C FINANCIERA'!$E$10:$BD$100;14;1)</v>
      </c>
      <c r="V601" s="206"/>
      <c r="W601" s="206" t="e">
        <f>VLOOKUP($F601,#REF!,8,1)</f>
        <v>#REF!</v>
      </c>
      <c r="X601" s="206" t="e">
        <f t="shared" si="69"/>
        <v>#REF!</v>
      </c>
      <c r="Y601" s="206" t="e">
        <v>#N/A</v>
      </c>
      <c r="Z601" s="206" t="e">
        <f>VLOOKUP($F601,#REF!,9,1)</f>
        <v>#REF!</v>
      </c>
      <c r="AA601" s="206" t="e">
        <f t="shared" si="64"/>
        <v>#REF!</v>
      </c>
      <c r="AB601" s="206" t="e">
        <v>#N/A</v>
      </c>
      <c r="AC601" s="206" t="e">
        <f>VLOOKUP($F601,#REF!,14,1)</f>
        <v>#REF!</v>
      </c>
      <c r="AD601" s="206" t="e">
        <f>VLOOKUP($F601,#REF!,40,0)</f>
        <v>#REF!</v>
      </c>
      <c r="AE601" s="206" t="e">
        <f t="shared" si="70"/>
        <v>#REF!</v>
      </c>
      <c r="AF601" s="206" t="e">
        <v>#N/A</v>
      </c>
      <c r="AG601" s="206" t="e">
        <f>VLOOKUP($F601,#REF!,42,0)</f>
        <v>#REF!</v>
      </c>
      <c r="AH601" s="206" t="e">
        <f t="shared" si="71"/>
        <v>#REF!</v>
      </c>
      <c r="AI601" s="206" t="e">
        <v>#N/A</v>
      </c>
      <c r="AJ601" s="206" t="e">
        <f>VLOOKUP($F601,#REF!,43,0)</f>
        <v>#REF!</v>
      </c>
    </row>
    <row r="602" spans="2:36" s="102" customFormat="1" ht="22.5">
      <c r="B602" s="97"/>
      <c r="C602" s="136" t="s">
        <v>1923</v>
      </c>
      <c r="D602" t="s">
        <v>2182</v>
      </c>
      <c r="E602" s="123" t="s">
        <v>2260</v>
      </c>
      <c r="Q602" s="206" t="s">
        <v>2161</v>
      </c>
      <c r="R602" s="206">
        <f t="shared" si="67"/>
        <v>602</v>
      </c>
      <c r="S602" s="206" t="str">
        <f t="shared" si="68"/>
        <v>;'C FINANCIERA'!$E$10:$BD$100;14;1)</v>
      </c>
      <c r="T602" s="203" t="s">
        <v>2227</v>
      </c>
      <c r="U602" s="206" t="str">
        <f t="shared" si="72"/>
        <v>=BUSCARV($E602;'C FINANCIERA'!$E$10:$BD$100;14;1)</v>
      </c>
      <c r="V602" s="206"/>
      <c r="W602" s="206" t="e">
        <f>VLOOKUP($F602,#REF!,8,1)</f>
        <v>#REF!</v>
      </c>
      <c r="X602" s="206" t="e">
        <f t="shared" si="69"/>
        <v>#REF!</v>
      </c>
      <c r="Y602" s="206" t="e">
        <v>#N/A</v>
      </c>
      <c r="Z602" s="206" t="e">
        <f>VLOOKUP($F602,#REF!,9,1)</f>
        <v>#REF!</v>
      </c>
      <c r="AA602" s="206" t="e">
        <f t="shared" si="64"/>
        <v>#REF!</v>
      </c>
      <c r="AB602" s="206" t="e">
        <v>#N/A</v>
      </c>
      <c r="AC602" s="206" t="e">
        <f>VLOOKUP($F602,#REF!,14,1)</f>
        <v>#REF!</v>
      </c>
      <c r="AD602" s="206" t="e">
        <f>VLOOKUP($F602,#REF!,40,0)</f>
        <v>#REF!</v>
      </c>
      <c r="AE602" s="206" t="e">
        <f t="shared" si="70"/>
        <v>#REF!</v>
      </c>
      <c r="AF602" s="206" t="e">
        <v>#N/A</v>
      </c>
      <c r="AG602" s="206" t="e">
        <f>VLOOKUP($F602,#REF!,42,0)</f>
        <v>#REF!</v>
      </c>
      <c r="AH602" s="206" t="e">
        <f t="shared" si="71"/>
        <v>#REF!</v>
      </c>
      <c r="AI602" s="206" t="e">
        <v>#N/A</v>
      </c>
      <c r="AJ602" s="206" t="e">
        <f>VLOOKUP($F602,#REF!,43,0)</f>
        <v>#REF!</v>
      </c>
    </row>
    <row r="603" spans="2:36" s="102" customFormat="1" ht="22.5">
      <c r="B603" s="97"/>
      <c r="C603" s="136" t="s">
        <v>1923</v>
      </c>
      <c r="D603" t="s">
        <v>2182</v>
      </c>
      <c r="E603" s="123" t="s">
        <v>2260</v>
      </c>
      <c r="Q603" s="206" t="s">
        <v>2161</v>
      </c>
      <c r="R603" s="206">
        <f t="shared" si="67"/>
        <v>603</v>
      </c>
      <c r="S603" s="206" t="str">
        <f t="shared" si="68"/>
        <v>;'C FINANCIERA'!$E$10:$BD$100;14;1)</v>
      </c>
      <c r="T603" s="203" t="s">
        <v>2227</v>
      </c>
      <c r="U603" s="206" t="str">
        <f t="shared" si="72"/>
        <v>=BUSCARV($E603;'C FINANCIERA'!$E$10:$BD$100;14;1)</v>
      </c>
      <c r="V603" s="206"/>
      <c r="W603" s="206" t="e">
        <f>VLOOKUP($F603,#REF!,8,1)</f>
        <v>#REF!</v>
      </c>
      <c r="X603" s="206" t="e">
        <f t="shared" si="69"/>
        <v>#REF!</v>
      </c>
      <c r="Y603" s="206" t="e">
        <v>#N/A</v>
      </c>
      <c r="Z603" s="206" t="e">
        <f>VLOOKUP($F603,#REF!,9,1)</f>
        <v>#REF!</v>
      </c>
      <c r="AA603" s="206" t="e">
        <f t="shared" si="64"/>
        <v>#REF!</v>
      </c>
      <c r="AB603" s="206" t="e">
        <v>#N/A</v>
      </c>
      <c r="AC603" s="206" t="e">
        <f>VLOOKUP($F603,#REF!,14,1)</f>
        <v>#REF!</v>
      </c>
      <c r="AD603" s="206" t="e">
        <f>VLOOKUP($F603,#REF!,40,0)</f>
        <v>#REF!</v>
      </c>
      <c r="AE603" s="206" t="e">
        <f t="shared" si="70"/>
        <v>#REF!</v>
      </c>
      <c r="AF603" s="206" t="e">
        <v>#N/A</v>
      </c>
      <c r="AG603" s="206" t="e">
        <f>VLOOKUP($F603,#REF!,42,0)</f>
        <v>#REF!</v>
      </c>
      <c r="AH603" s="206" t="e">
        <f t="shared" si="71"/>
        <v>#REF!</v>
      </c>
      <c r="AI603" s="206" t="e">
        <v>#N/A</v>
      </c>
      <c r="AJ603" s="206" t="e">
        <f>VLOOKUP($F603,#REF!,43,0)</f>
        <v>#REF!</v>
      </c>
    </row>
    <row r="604" spans="2:36" s="102" customFormat="1" ht="22.5">
      <c r="B604" s="97"/>
      <c r="C604" s="136" t="s">
        <v>1923</v>
      </c>
      <c r="D604" t="s">
        <v>2182</v>
      </c>
      <c r="E604" s="123" t="s">
        <v>2260</v>
      </c>
      <c r="Q604" s="206" t="s">
        <v>2161</v>
      </c>
      <c r="R604" s="206">
        <f t="shared" si="67"/>
        <v>604</v>
      </c>
      <c r="S604" s="206" t="str">
        <f t="shared" si="68"/>
        <v>;'C FINANCIERA'!$E$10:$BD$100;14;1)</v>
      </c>
      <c r="T604" s="203" t="s">
        <v>2227</v>
      </c>
      <c r="U604" s="206" t="str">
        <f t="shared" si="72"/>
        <v>=BUSCARV($E604;'C FINANCIERA'!$E$10:$BD$100;14;1)</v>
      </c>
      <c r="V604" s="206"/>
      <c r="W604" s="206" t="e">
        <f>VLOOKUP($F604,#REF!,8,1)</f>
        <v>#REF!</v>
      </c>
      <c r="X604" s="206" t="e">
        <f t="shared" si="69"/>
        <v>#REF!</v>
      </c>
      <c r="Y604" s="206" t="e">
        <v>#N/A</v>
      </c>
      <c r="Z604" s="206" t="e">
        <f>VLOOKUP($F604,#REF!,9,1)</f>
        <v>#REF!</v>
      </c>
      <c r="AA604" s="206" t="e">
        <f t="shared" si="64"/>
        <v>#REF!</v>
      </c>
      <c r="AB604" s="206" t="e">
        <v>#N/A</v>
      </c>
      <c r="AC604" s="206" t="e">
        <f>VLOOKUP($F604,#REF!,14,1)</f>
        <v>#REF!</v>
      </c>
      <c r="AD604" s="206" t="e">
        <f>VLOOKUP($F604,#REF!,40,0)</f>
        <v>#REF!</v>
      </c>
      <c r="AE604" s="206" t="e">
        <f t="shared" si="70"/>
        <v>#REF!</v>
      </c>
      <c r="AF604" s="206" t="e">
        <v>#N/A</v>
      </c>
      <c r="AG604" s="206" t="e">
        <f>VLOOKUP($F604,#REF!,42,0)</f>
        <v>#REF!</v>
      </c>
      <c r="AH604" s="206" t="e">
        <f t="shared" si="71"/>
        <v>#REF!</v>
      </c>
      <c r="AI604" s="206" t="e">
        <v>#N/A</v>
      </c>
      <c r="AJ604" s="206" t="e">
        <f>VLOOKUP($F604,#REF!,43,0)</f>
        <v>#REF!</v>
      </c>
    </row>
    <row r="605" spans="2:36" s="102" customFormat="1" ht="22.5">
      <c r="B605" s="97"/>
      <c r="C605" s="136" t="s">
        <v>1923</v>
      </c>
      <c r="D605" t="s">
        <v>2182</v>
      </c>
      <c r="E605" s="123" t="s">
        <v>2260</v>
      </c>
      <c r="Q605" s="206" t="s">
        <v>2161</v>
      </c>
      <c r="R605" s="206">
        <f t="shared" si="67"/>
        <v>605</v>
      </c>
      <c r="S605" s="206" t="str">
        <f t="shared" si="68"/>
        <v>;'C FINANCIERA'!$E$10:$BD$100;14;1)</v>
      </c>
      <c r="T605" s="203" t="s">
        <v>2227</v>
      </c>
      <c r="U605" s="206" t="str">
        <f t="shared" si="72"/>
        <v>=BUSCARV($E605;'C FINANCIERA'!$E$10:$BD$100;14;1)</v>
      </c>
      <c r="V605" s="206"/>
      <c r="W605" s="206" t="e">
        <f>VLOOKUP($F605,#REF!,8,1)</f>
        <v>#REF!</v>
      </c>
      <c r="X605" s="206" t="e">
        <f t="shared" si="69"/>
        <v>#REF!</v>
      </c>
      <c r="Y605" s="206" t="e">
        <v>#N/A</v>
      </c>
      <c r="Z605" s="206" t="e">
        <f>VLOOKUP($F605,#REF!,9,1)</f>
        <v>#REF!</v>
      </c>
      <c r="AA605" s="206" t="e">
        <f t="shared" si="64"/>
        <v>#REF!</v>
      </c>
      <c r="AB605" s="206" t="e">
        <v>#N/A</v>
      </c>
      <c r="AC605" s="206" t="e">
        <f>VLOOKUP($F605,#REF!,14,1)</f>
        <v>#REF!</v>
      </c>
      <c r="AD605" s="206" t="e">
        <f>VLOOKUP($F605,#REF!,40,0)</f>
        <v>#REF!</v>
      </c>
      <c r="AE605" s="206" t="e">
        <f t="shared" si="70"/>
        <v>#REF!</v>
      </c>
      <c r="AF605" s="206" t="e">
        <v>#N/A</v>
      </c>
      <c r="AG605" s="206" t="e">
        <f>VLOOKUP($F605,#REF!,42,0)</f>
        <v>#REF!</v>
      </c>
      <c r="AH605" s="206" t="e">
        <f t="shared" si="71"/>
        <v>#REF!</v>
      </c>
      <c r="AI605" s="206" t="e">
        <v>#N/A</v>
      </c>
      <c r="AJ605" s="206" t="e">
        <f>VLOOKUP($F605,#REF!,43,0)</f>
        <v>#REF!</v>
      </c>
    </row>
    <row r="606" spans="2:36" s="102" customFormat="1" ht="22.5">
      <c r="B606" s="97"/>
      <c r="C606" s="136" t="s">
        <v>1923</v>
      </c>
      <c r="D606" t="s">
        <v>2182</v>
      </c>
      <c r="E606" s="123" t="s">
        <v>2260</v>
      </c>
      <c r="Q606" s="206" t="s">
        <v>2161</v>
      </c>
      <c r="R606" s="206">
        <f t="shared" si="67"/>
        <v>606</v>
      </c>
      <c r="S606" s="206" t="str">
        <f t="shared" si="68"/>
        <v>;'C FINANCIERA'!$E$10:$BD$100;14;1)</v>
      </c>
      <c r="T606" s="203" t="s">
        <v>2227</v>
      </c>
      <c r="U606" s="206" t="str">
        <f t="shared" si="72"/>
        <v>=BUSCARV($E606;'C FINANCIERA'!$E$10:$BD$100;14;1)</v>
      </c>
      <c r="V606" s="206"/>
      <c r="W606" s="206" t="e">
        <f>VLOOKUP($F606,#REF!,8,1)</f>
        <v>#REF!</v>
      </c>
      <c r="X606" s="206" t="e">
        <f t="shared" si="69"/>
        <v>#REF!</v>
      </c>
      <c r="Y606" s="206" t="e">
        <v>#N/A</v>
      </c>
      <c r="Z606" s="206" t="e">
        <f>VLOOKUP($F606,#REF!,9,1)</f>
        <v>#REF!</v>
      </c>
      <c r="AA606" s="206" t="e">
        <f t="shared" si="64"/>
        <v>#REF!</v>
      </c>
      <c r="AB606" s="206" t="e">
        <v>#N/A</v>
      </c>
      <c r="AC606" s="206" t="e">
        <f>VLOOKUP($F606,#REF!,14,1)</f>
        <v>#REF!</v>
      </c>
      <c r="AD606" s="206" t="e">
        <f>VLOOKUP($F606,#REF!,40,0)</f>
        <v>#REF!</v>
      </c>
      <c r="AE606" s="206" t="e">
        <f t="shared" si="70"/>
        <v>#REF!</v>
      </c>
      <c r="AF606" s="206" t="e">
        <v>#N/A</v>
      </c>
      <c r="AG606" s="206" t="e">
        <f>VLOOKUP($F606,#REF!,42,0)</f>
        <v>#REF!</v>
      </c>
      <c r="AH606" s="206" t="e">
        <f t="shared" si="71"/>
        <v>#REF!</v>
      </c>
      <c r="AI606" s="206" t="e">
        <v>#N/A</v>
      </c>
      <c r="AJ606" s="206" t="e">
        <f>VLOOKUP($F606,#REF!,43,0)</f>
        <v>#REF!</v>
      </c>
    </row>
    <row r="607" spans="2:36" s="102" customFormat="1" ht="22.5">
      <c r="B607" s="97"/>
      <c r="C607" s="136" t="s">
        <v>1923</v>
      </c>
      <c r="D607" t="s">
        <v>2182</v>
      </c>
      <c r="E607" s="123" t="s">
        <v>2260</v>
      </c>
      <c r="Q607" s="206" t="s">
        <v>2161</v>
      </c>
      <c r="R607" s="206">
        <f t="shared" si="67"/>
        <v>607</v>
      </c>
      <c r="S607" s="206" t="str">
        <f t="shared" si="68"/>
        <v>;'C FINANCIERA'!$E$10:$BD$100;14;1)</v>
      </c>
      <c r="T607" s="203" t="s">
        <v>2227</v>
      </c>
      <c r="U607" s="206" t="str">
        <f t="shared" si="72"/>
        <v>=BUSCARV($E607;'C FINANCIERA'!$E$10:$BD$100;14;1)</v>
      </c>
      <c r="V607" s="206"/>
      <c r="W607" s="206" t="e">
        <f>VLOOKUP($F607,#REF!,8,1)</f>
        <v>#REF!</v>
      </c>
      <c r="X607" s="206" t="e">
        <f t="shared" si="69"/>
        <v>#REF!</v>
      </c>
      <c r="Y607" s="206" t="e">
        <v>#N/A</v>
      </c>
      <c r="Z607" s="206" t="e">
        <f>VLOOKUP($F607,#REF!,9,1)</f>
        <v>#REF!</v>
      </c>
      <c r="AA607" s="206" t="e">
        <f t="shared" si="64"/>
        <v>#REF!</v>
      </c>
      <c r="AB607" s="206" t="e">
        <v>#N/A</v>
      </c>
      <c r="AC607" s="206" t="e">
        <f>VLOOKUP($F607,#REF!,14,1)</f>
        <v>#REF!</v>
      </c>
      <c r="AD607" s="206" t="e">
        <f>VLOOKUP($F607,#REF!,40,0)</f>
        <v>#REF!</v>
      </c>
      <c r="AE607" s="206" t="e">
        <f t="shared" si="70"/>
        <v>#REF!</v>
      </c>
      <c r="AF607" s="206" t="e">
        <v>#N/A</v>
      </c>
      <c r="AG607" s="206" t="e">
        <f>VLOOKUP($F607,#REF!,42,0)</f>
        <v>#REF!</v>
      </c>
      <c r="AH607" s="206" t="e">
        <f t="shared" si="71"/>
        <v>#REF!</v>
      </c>
      <c r="AI607" s="206" t="e">
        <v>#N/A</v>
      </c>
      <c r="AJ607" s="206" t="e">
        <f>VLOOKUP($F607,#REF!,43,0)</f>
        <v>#REF!</v>
      </c>
    </row>
    <row r="608" spans="2:36" s="102" customFormat="1" ht="22.5">
      <c r="B608" s="97"/>
      <c r="C608" s="136" t="s">
        <v>1923</v>
      </c>
      <c r="D608" t="s">
        <v>2182</v>
      </c>
      <c r="E608" s="123" t="s">
        <v>2260</v>
      </c>
      <c r="Q608" s="206" t="s">
        <v>2161</v>
      </c>
      <c r="R608" s="206">
        <f t="shared" si="67"/>
        <v>608</v>
      </c>
      <c r="S608" s="206" t="str">
        <f t="shared" si="68"/>
        <v>;'C FINANCIERA'!$E$10:$BD$100;14;1)</v>
      </c>
      <c r="T608" s="203" t="s">
        <v>2227</v>
      </c>
      <c r="U608" s="206" t="str">
        <f t="shared" si="72"/>
        <v>=BUSCARV($E608;'C FINANCIERA'!$E$10:$BD$100;14;1)</v>
      </c>
      <c r="V608" s="206"/>
      <c r="W608" s="206" t="e">
        <f>VLOOKUP($F608,#REF!,8,1)</f>
        <v>#REF!</v>
      </c>
      <c r="X608" s="206" t="e">
        <f t="shared" si="69"/>
        <v>#REF!</v>
      </c>
      <c r="Y608" s="206" t="e">
        <v>#N/A</v>
      </c>
      <c r="Z608" s="206" t="e">
        <f>VLOOKUP($F608,#REF!,9,1)</f>
        <v>#REF!</v>
      </c>
      <c r="AA608" s="206" t="e">
        <f t="shared" si="64"/>
        <v>#REF!</v>
      </c>
      <c r="AB608" s="206" t="e">
        <v>#N/A</v>
      </c>
      <c r="AC608" s="206" t="e">
        <f>VLOOKUP($F608,#REF!,14,1)</f>
        <v>#REF!</v>
      </c>
      <c r="AD608" s="206" t="e">
        <f>VLOOKUP($F608,#REF!,40,0)</f>
        <v>#REF!</v>
      </c>
      <c r="AE608" s="206" t="e">
        <f t="shared" si="70"/>
        <v>#REF!</v>
      </c>
      <c r="AF608" s="206" t="e">
        <v>#N/A</v>
      </c>
      <c r="AG608" s="206" t="e">
        <f>VLOOKUP($F608,#REF!,42,0)</f>
        <v>#REF!</v>
      </c>
      <c r="AH608" s="206" t="e">
        <f t="shared" si="71"/>
        <v>#REF!</v>
      </c>
      <c r="AI608" s="206" t="e">
        <v>#N/A</v>
      </c>
      <c r="AJ608" s="206" t="e">
        <f>VLOOKUP($F608,#REF!,43,0)</f>
        <v>#REF!</v>
      </c>
    </row>
    <row r="609" spans="2:36" s="102" customFormat="1" ht="22.5">
      <c r="B609" s="97"/>
      <c r="C609" s="136" t="s">
        <v>1923</v>
      </c>
      <c r="D609" t="s">
        <v>2182</v>
      </c>
      <c r="E609" s="123" t="s">
        <v>2260</v>
      </c>
      <c r="Q609" s="206" t="s">
        <v>2161</v>
      </c>
      <c r="R609" s="206">
        <f t="shared" si="67"/>
        <v>609</v>
      </c>
      <c r="S609" s="206" t="str">
        <f t="shared" si="68"/>
        <v>;'C FINANCIERA'!$E$10:$BD$100;14;1)</v>
      </c>
      <c r="T609" s="203" t="s">
        <v>2227</v>
      </c>
      <c r="U609" s="206" t="str">
        <f t="shared" si="72"/>
        <v>=BUSCARV($E609;'C FINANCIERA'!$E$10:$BD$100;14;1)</v>
      </c>
      <c r="V609" s="206"/>
      <c r="W609" s="206" t="e">
        <f>VLOOKUP($F609,#REF!,8,1)</f>
        <v>#REF!</v>
      </c>
      <c r="X609" s="206" t="e">
        <f t="shared" si="69"/>
        <v>#REF!</v>
      </c>
      <c r="Y609" s="206" t="e">
        <v>#N/A</v>
      </c>
      <c r="Z609" s="206" t="e">
        <f>VLOOKUP($F609,#REF!,9,1)</f>
        <v>#REF!</v>
      </c>
      <c r="AA609" s="206" t="e">
        <f t="shared" si="64"/>
        <v>#REF!</v>
      </c>
      <c r="AB609" s="206" t="e">
        <v>#N/A</v>
      </c>
      <c r="AC609" s="206" t="e">
        <f>VLOOKUP($F609,#REF!,14,1)</f>
        <v>#REF!</v>
      </c>
      <c r="AD609" s="206" t="e">
        <f>VLOOKUP($F609,#REF!,40,0)</f>
        <v>#REF!</v>
      </c>
      <c r="AE609" s="206" t="e">
        <f t="shared" si="70"/>
        <v>#REF!</v>
      </c>
      <c r="AF609" s="206" t="e">
        <v>#N/A</v>
      </c>
      <c r="AG609" s="206" t="e">
        <f>VLOOKUP($F609,#REF!,42,0)</f>
        <v>#REF!</v>
      </c>
      <c r="AH609" s="206" t="e">
        <f t="shared" si="71"/>
        <v>#REF!</v>
      </c>
      <c r="AI609" s="206" t="e">
        <v>#N/A</v>
      </c>
      <c r="AJ609" s="206" t="e">
        <f>VLOOKUP($F609,#REF!,43,0)</f>
        <v>#REF!</v>
      </c>
    </row>
    <row r="610" spans="2:36" s="102" customFormat="1" ht="22.5">
      <c r="B610" s="97"/>
      <c r="C610" s="136" t="s">
        <v>1923</v>
      </c>
      <c r="D610" t="s">
        <v>2182</v>
      </c>
      <c r="E610" s="123" t="s">
        <v>2260</v>
      </c>
      <c r="Q610" s="206" t="s">
        <v>2161</v>
      </c>
      <c r="R610" s="206">
        <f t="shared" si="67"/>
        <v>610</v>
      </c>
      <c r="S610" s="206" t="str">
        <f t="shared" si="68"/>
        <v>;'C FINANCIERA'!$E$10:$BD$100;14;1)</v>
      </c>
      <c r="T610" s="203" t="s">
        <v>2227</v>
      </c>
      <c r="U610" s="206" t="str">
        <f t="shared" si="72"/>
        <v>=BUSCARV($E610;'C FINANCIERA'!$E$10:$BD$100;14;1)</v>
      </c>
      <c r="V610" s="206"/>
      <c r="W610" s="206" t="e">
        <f>VLOOKUP($F610,#REF!,8,1)</f>
        <v>#REF!</v>
      </c>
      <c r="X610" s="206" t="e">
        <f t="shared" si="69"/>
        <v>#REF!</v>
      </c>
      <c r="Y610" s="206" t="e">
        <v>#N/A</v>
      </c>
      <c r="Z610" s="206" t="e">
        <f>VLOOKUP($F610,#REF!,9,1)</f>
        <v>#REF!</v>
      </c>
      <c r="AA610" s="206" t="e">
        <f t="shared" si="64"/>
        <v>#REF!</v>
      </c>
      <c r="AB610" s="206" t="e">
        <v>#N/A</v>
      </c>
      <c r="AC610" s="206" t="e">
        <f>VLOOKUP($F610,#REF!,14,1)</f>
        <v>#REF!</v>
      </c>
      <c r="AD610" s="206" t="e">
        <f>VLOOKUP($F610,#REF!,40,0)</f>
        <v>#REF!</v>
      </c>
      <c r="AE610" s="206" t="e">
        <f t="shared" si="70"/>
        <v>#REF!</v>
      </c>
      <c r="AF610" s="206" t="e">
        <v>#N/A</v>
      </c>
      <c r="AG610" s="206" t="e">
        <f>VLOOKUP($F610,#REF!,42,0)</f>
        <v>#REF!</v>
      </c>
      <c r="AH610" s="206" t="e">
        <f t="shared" si="71"/>
        <v>#REF!</v>
      </c>
      <c r="AI610" s="206" t="e">
        <v>#N/A</v>
      </c>
      <c r="AJ610" s="206" t="e">
        <f>VLOOKUP($F610,#REF!,43,0)</f>
        <v>#REF!</v>
      </c>
    </row>
    <row r="611" spans="2:36" s="102" customFormat="1" ht="22.5">
      <c r="B611" s="97"/>
      <c r="C611" s="136" t="s">
        <v>1923</v>
      </c>
      <c r="D611" t="s">
        <v>2182</v>
      </c>
      <c r="E611" s="123" t="s">
        <v>2260</v>
      </c>
      <c r="Q611" s="206" t="s">
        <v>2161</v>
      </c>
      <c r="R611" s="206">
        <f t="shared" si="67"/>
        <v>611</v>
      </c>
      <c r="S611" s="206" t="str">
        <f t="shared" si="68"/>
        <v>;'C FINANCIERA'!$E$10:$BD$100;14;1)</v>
      </c>
      <c r="T611" s="203" t="s">
        <v>2227</v>
      </c>
      <c r="U611" s="206" t="str">
        <f t="shared" si="72"/>
        <v>=BUSCARV($E611;'C FINANCIERA'!$E$10:$BD$100;14;1)</v>
      </c>
      <c r="V611" s="206"/>
      <c r="W611" s="206" t="e">
        <f>VLOOKUP($F611,#REF!,8,1)</f>
        <v>#REF!</v>
      </c>
      <c r="X611" s="206" t="e">
        <f t="shared" si="69"/>
        <v>#REF!</v>
      </c>
      <c r="Y611" s="206" t="e">
        <v>#N/A</v>
      </c>
      <c r="Z611" s="206" t="e">
        <f>VLOOKUP($F611,#REF!,9,1)</f>
        <v>#REF!</v>
      </c>
      <c r="AA611" s="206" t="e">
        <f t="shared" si="64"/>
        <v>#REF!</v>
      </c>
      <c r="AB611" s="206" t="e">
        <v>#N/A</v>
      </c>
      <c r="AC611" s="206" t="e">
        <f>VLOOKUP($F611,#REF!,14,1)</f>
        <v>#REF!</v>
      </c>
      <c r="AD611" s="206" t="e">
        <f>VLOOKUP($F611,#REF!,40,0)</f>
        <v>#REF!</v>
      </c>
      <c r="AE611" s="206" t="e">
        <f t="shared" si="70"/>
        <v>#REF!</v>
      </c>
      <c r="AF611" s="206" t="e">
        <v>#N/A</v>
      </c>
      <c r="AG611" s="206" t="e">
        <f>VLOOKUP($F611,#REF!,42,0)</f>
        <v>#REF!</v>
      </c>
      <c r="AH611" s="206" t="e">
        <f t="shared" si="71"/>
        <v>#REF!</v>
      </c>
      <c r="AI611" s="206" t="e">
        <v>#N/A</v>
      </c>
      <c r="AJ611" s="206" t="e">
        <f>VLOOKUP($F611,#REF!,43,0)</f>
        <v>#REF!</v>
      </c>
    </row>
    <row r="612" spans="2:36" s="102" customFormat="1" ht="22.5">
      <c r="B612" s="97"/>
      <c r="C612" s="136" t="s">
        <v>1923</v>
      </c>
      <c r="D612" t="s">
        <v>2182</v>
      </c>
      <c r="E612" s="123" t="s">
        <v>2260</v>
      </c>
      <c r="Q612" s="206" t="s">
        <v>2161</v>
      </c>
      <c r="R612" s="206">
        <f t="shared" si="67"/>
        <v>612</v>
      </c>
      <c r="S612" s="206" t="str">
        <f t="shared" si="68"/>
        <v>;'C FINANCIERA'!$E$10:$BD$100;14;1)</v>
      </c>
      <c r="T612" s="203" t="s">
        <v>2227</v>
      </c>
      <c r="U612" s="206" t="str">
        <f t="shared" si="72"/>
        <v>=BUSCARV($E612;'C FINANCIERA'!$E$10:$BD$100;14;1)</v>
      </c>
      <c r="V612" s="206"/>
      <c r="W612" s="206" t="e">
        <f>VLOOKUP($F612,#REF!,8,1)</f>
        <v>#REF!</v>
      </c>
      <c r="X612" s="206" t="e">
        <f t="shared" si="69"/>
        <v>#REF!</v>
      </c>
      <c r="Y612" s="206" t="e">
        <v>#N/A</v>
      </c>
      <c r="Z612" s="206" t="e">
        <f>VLOOKUP($F612,#REF!,9,1)</f>
        <v>#REF!</v>
      </c>
      <c r="AA612" s="206" t="e">
        <f t="shared" si="64"/>
        <v>#REF!</v>
      </c>
      <c r="AB612" s="206" t="e">
        <v>#N/A</v>
      </c>
      <c r="AC612" s="206" t="e">
        <f>VLOOKUP($F612,#REF!,14,1)</f>
        <v>#REF!</v>
      </c>
      <c r="AD612" s="206" t="e">
        <f>VLOOKUP($F612,#REF!,40,0)</f>
        <v>#REF!</v>
      </c>
      <c r="AE612" s="206" t="e">
        <f t="shared" si="70"/>
        <v>#REF!</v>
      </c>
      <c r="AF612" s="206" t="e">
        <v>#N/A</v>
      </c>
      <c r="AG612" s="206" t="e">
        <f>VLOOKUP($F612,#REF!,42,0)</f>
        <v>#REF!</v>
      </c>
      <c r="AH612" s="206" t="e">
        <f t="shared" si="71"/>
        <v>#REF!</v>
      </c>
      <c r="AI612" s="206" t="e">
        <v>#N/A</v>
      </c>
      <c r="AJ612" s="206" t="e">
        <f>VLOOKUP($F612,#REF!,43,0)</f>
        <v>#REF!</v>
      </c>
    </row>
    <row r="613" spans="2:36" s="102" customFormat="1" ht="22.5">
      <c r="B613" s="97"/>
      <c r="C613" s="105" t="s">
        <v>1910</v>
      </c>
      <c r="D613" t="s">
        <v>2183</v>
      </c>
      <c r="E613" s="123" t="s">
        <v>2260</v>
      </c>
      <c r="F613" s="102" t="s">
        <v>2108</v>
      </c>
      <c r="G613" s="97" t="s">
        <v>1929</v>
      </c>
      <c r="Q613" s="206" t="s">
        <v>2161</v>
      </c>
      <c r="R613" s="206">
        <f t="shared" si="67"/>
        <v>613</v>
      </c>
      <c r="S613" s="206" t="str">
        <f t="shared" si="68"/>
        <v>;'C GI PROYECTOS'!$E$10:$BD$100;14;1)</v>
      </c>
      <c r="T613" s="203" t="s">
        <v>2228</v>
      </c>
      <c r="U613" s="206" t="str">
        <f t="shared" si="26"/>
        <v>=BUSCARV($E613;'C GI PROYECTOS'!$E$10:$BD$100;14;1)</v>
      </c>
      <c r="V613" s="206"/>
      <c r="W613" s="206" t="e">
        <f>VLOOKUP($F613,#REF!,8,1)</f>
        <v>#REF!</v>
      </c>
      <c r="X613" s="206" t="e">
        <f t="shared" si="69"/>
        <v>#REF!</v>
      </c>
      <c r="Y613" s="206">
        <v>2</v>
      </c>
      <c r="Z613" s="206" t="e">
        <f>VLOOKUP($F613,#REF!,9,1)</f>
        <v>#REF!</v>
      </c>
      <c r="AA613" s="206" t="e">
        <f t="shared" si="64"/>
        <v>#REF!</v>
      </c>
      <c r="AB613" s="206">
        <v>10</v>
      </c>
      <c r="AC613" s="206" t="e">
        <f>VLOOKUP($F613,#REF!,14,1)</f>
        <v>#REF!</v>
      </c>
      <c r="AD613" s="206" t="e">
        <f>VLOOKUP($F613,#REF!,40,0)</f>
        <v>#REF!</v>
      </c>
      <c r="AE613" s="206" t="e">
        <f t="shared" si="70"/>
        <v>#REF!</v>
      </c>
      <c r="AF613" s="206">
        <v>1</v>
      </c>
      <c r="AG613" s="206" t="e">
        <f>VLOOKUP($F613,#REF!,42,0)</f>
        <v>#REF!</v>
      </c>
      <c r="AH613" s="206" t="e">
        <f t="shared" si="71"/>
        <v>#REF!</v>
      </c>
      <c r="AI613" s="206">
        <v>5</v>
      </c>
      <c r="AJ613" s="206" t="e">
        <f>VLOOKUP($F613,#REF!,43,0)</f>
        <v>#REF!</v>
      </c>
    </row>
    <row r="614" spans="2:36" s="102" customFormat="1" ht="22.5">
      <c r="B614" s="97"/>
      <c r="C614" s="105" t="s">
        <v>1910</v>
      </c>
      <c r="D614" t="s">
        <v>2183</v>
      </c>
      <c r="E614" s="123" t="s">
        <v>2260</v>
      </c>
      <c r="F614" s="102" t="s">
        <v>2109</v>
      </c>
      <c r="G614" s="97" t="s">
        <v>1929</v>
      </c>
      <c r="Q614" s="206" t="s">
        <v>2161</v>
      </c>
      <c r="R614" s="206">
        <f t="shared" si="67"/>
        <v>614</v>
      </c>
      <c r="S614" s="206" t="str">
        <f t="shared" si="68"/>
        <v>;'C GI PROYECTOS'!$E$10:$BD$100;14;1)</v>
      </c>
      <c r="T614" s="203" t="s">
        <v>2228</v>
      </c>
      <c r="U614" s="206" t="str">
        <f t="shared" ref="U614:U628" si="73">CONCATENATE("=BUSCARV($E",R614,T614)</f>
        <v>=BUSCARV($E614;'C GI PROYECTOS'!$E$10:$BD$100;14;1)</v>
      </c>
      <c r="V614" s="206"/>
      <c r="W614" s="206" t="e">
        <f>VLOOKUP($F614,#REF!,8,1)</f>
        <v>#REF!</v>
      </c>
      <c r="X614" s="206" t="e">
        <f t="shared" si="69"/>
        <v>#REF!</v>
      </c>
      <c r="Y614" s="206">
        <v>1</v>
      </c>
      <c r="Z614" s="206" t="e">
        <f>VLOOKUP($F614,#REF!,9,1)</f>
        <v>#REF!</v>
      </c>
      <c r="AA614" s="206" t="e">
        <f t="shared" si="64"/>
        <v>#REF!</v>
      </c>
      <c r="AB614" s="206">
        <v>10</v>
      </c>
      <c r="AC614" s="206" t="e">
        <f>VLOOKUP($F614,#REF!,14,1)</f>
        <v>#REF!</v>
      </c>
      <c r="AD614" s="206" t="e">
        <f>VLOOKUP($F614,#REF!,40,0)</f>
        <v>#REF!</v>
      </c>
      <c r="AE614" s="206" t="e">
        <f t="shared" si="70"/>
        <v>#REF!</v>
      </c>
      <c r="AF614" s="206">
        <v>1</v>
      </c>
      <c r="AG614" s="206" t="e">
        <f>VLOOKUP($F614,#REF!,42,0)</f>
        <v>#REF!</v>
      </c>
      <c r="AH614" s="206" t="e">
        <f t="shared" si="71"/>
        <v>#REF!</v>
      </c>
      <c r="AI614" s="206">
        <v>5</v>
      </c>
      <c r="AJ614" s="206" t="e">
        <f>VLOOKUP($F614,#REF!,43,0)</f>
        <v>#REF!</v>
      </c>
    </row>
    <row r="615" spans="2:36" s="102" customFormat="1" ht="22.5">
      <c r="B615" s="97"/>
      <c r="C615" s="105" t="s">
        <v>1910</v>
      </c>
      <c r="D615" t="s">
        <v>2183</v>
      </c>
      <c r="E615" s="123" t="s">
        <v>2260</v>
      </c>
      <c r="Q615" s="206" t="s">
        <v>2161</v>
      </c>
      <c r="R615" s="206">
        <f t="shared" si="67"/>
        <v>615</v>
      </c>
      <c r="S615" s="206" t="str">
        <f t="shared" si="68"/>
        <v>;'C GI PROYECTOS'!$E$10:$BD$100;14;1)</v>
      </c>
      <c r="T615" s="203" t="s">
        <v>2228</v>
      </c>
      <c r="U615" s="206" t="str">
        <f t="shared" si="73"/>
        <v>=BUSCARV($E615;'C GI PROYECTOS'!$E$10:$BD$100;14;1)</v>
      </c>
      <c r="V615" s="206"/>
      <c r="W615" s="206" t="e">
        <f>VLOOKUP($F615,#REF!,8,1)</f>
        <v>#REF!</v>
      </c>
      <c r="X615" s="206" t="e">
        <f t="shared" si="69"/>
        <v>#REF!</v>
      </c>
      <c r="Y615" s="206" t="e">
        <v>#N/A</v>
      </c>
      <c r="Z615" s="206" t="e">
        <f>VLOOKUP($F615,#REF!,9,1)</f>
        <v>#REF!</v>
      </c>
      <c r="AA615" s="206" t="e">
        <f t="shared" si="64"/>
        <v>#REF!</v>
      </c>
      <c r="AB615" s="206" t="e">
        <v>#N/A</v>
      </c>
      <c r="AC615" s="206" t="e">
        <f>VLOOKUP($F615,#REF!,14,1)</f>
        <v>#REF!</v>
      </c>
      <c r="AD615" s="206" t="e">
        <f>VLOOKUP($F615,#REF!,40,0)</f>
        <v>#REF!</v>
      </c>
      <c r="AE615" s="206" t="e">
        <f t="shared" si="70"/>
        <v>#REF!</v>
      </c>
      <c r="AF615" s="206" t="e">
        <v>#N/A</v>
      </c>
      <c r="AG615" s="206" t="e">
        <f>VLOOKUP($F615,#REF!,42,0)</f>
        <v>#REF!</v>
      </c>
      <c r="AH615" s="206" t="e">
        <f t="shared" si="71"/>
        <v>#REF!</v>
      </c>
      <c r="AI615" s="206" t="e">
        <v>#N/A</v>
      </c>
      <c r="AJ615" s="206" t="e">
        <f>VLOOKUP($F615,#REF!,43,0)</f>
        <v>#REF!</v>
      </c>
    </row>
    <row r="616" spans="2:36" s="102" customFormat="1" ht="22.5">
      <c r="B616" s="97"/>
      <c r="C616" s="105" t="s">
        <v>1910</v>
      </c>
      <c r="D616" t="s">
        <v>2183</v>
      </c>
      <c r="E616" s="123" t="s">
        <v>2260</v>
      </c>
      <c r="Q616" s="206" t="s">
        <v>2161</v>
      </c>
      <c r="R616" s="206">
        <f t="shared" si="67"/>
        <v>616</v>
      </c>
      <c r="S616" s="206" t="str">
        <f t="shared" si="68"/>
        <v>;'C GI PROYECTOS'!$E$10:$BD$100;14;1)</v>
      </c>
      <c r="T616" s="203" t="s">
        <v>2228</v>
      </c>
      <c r="U616" s="206" t="str">
        <f t="shared" si="73"/>
        <v>=BUSCARV($E616;'C GI PROYECTOS'!$E$10:$BD$100;14;1)</v>
      </c>
      <c r="V616" s="206"/>
      <c r="W616" s="206" t="e">
        <f>VLOOKUP($F616,#REF!,8,1)</f>
        <v>#REF!</v>
      </c>
      <c r="X616" s="206" t="e">
        <f t="shared" si="69"/>
        <v>#REF!</v>
      </c>
      <c r="Y616" s="206" t="e">
        <v>#N/A</v>
      </c>
      <c r="Z616" s="206" t="e">
        <f>VLOOKUP($F616,#REF!,9,1)</f>
        <v>#REF!</v>
      </c>
      <c r="AA616" s="206" t="e">
        <f t="shared" si="64"/>
        <v>#REF!</v>
      </c>
      <c r="AB616" s="206" t="e">
        <v>#N/A</v>
      </c>
      <c r="AC616" s="206" t="e">
        <f>VLOOKUP($F616,#REF!,14,1)</f>
        <v>#REF!</v>
      </c>
      <c r="AD616" s="206" t="e">
        <f>VLOOKUP($F616,#REF!,40,0)</f>
        <v>#REF!</v>
      </c>
      <c r="AE616" s="206" t="e">
        <f t="shared" si="70"/>
        <v>#REF!</v>
      </c>
      <c r="AF616" s="206" t="e">
        <v>#N/A</v>
      </c>
      <c r="AG616" s="206" t="e">
        <f>VLOOKUP($F616,#REF!,42,0)</f>
        <v>#REF!</v>
      </c>
      <c r="AH616" s="206" t="e">
        <f t="shared" si="71"/>
        <v>#REF!</v>
      </c>
      <c r="AI616" s="206" t="e">
        <v>#N/A</v>
      </c>
      <c r="AJ616" s="206" t="e">
        <f>VLOOKUP($F616,#REF!,43,0)</f>
        <v>#REF!</v>
      </c>
    </row>
    <row r="617" spans="2:36" s="102" customFormat="1" ht="22.5">
      <c r="B617" s="97"/>
      <c r="C617" s="105" t="s">
        <v>1910</v>
      </c>
      <c r="D617" t="s">
        <v>2183</v>
      </c>
      <c r="E617" s="123" t="s">
        <v>2260</v>
      </c>
      <c r="Q617" s="206" t="s">
        <v>2161</v>
      </c>
      <c r="R617" s="206">
        <f t="shared" si="67"/>
        <v>617</v>
      </c>
      <c r="S617" s="206" t="str">
        <f t="shared" si="68"/>
        <v>;'C GI PROYECTOS'!$E$10:$BD$100;14;1)</v>
      </c>
      <c r="T617" s="203" t="s">
        <v>2228</v>
      </c>
      <c r="U617" s="206" t="str">
        <f t="shared" si="73"/>
        <v>=BUSCARV($E617;'C GI PROYECTOS'!$E$10:$BD$100;14;1)</v>
      </c>
      <c r="V617" s="206"/>
      <c r="W617" s="206" t="e">
        <f>VLOOKUP($F617,#REF!,8,1)</f>
        <v>#REF!</v>
      </c>
      <c r="X617" s="206" t="e">
        <f t="shared" si="69"/>
        <v>#REF!</v>
      </c>
      <c r="Y617" s="206" t="e">
        <v>#N/A</v>
      </c>
      <c r="Z617" s="206" t="e">
        <f>VLOOKUP($F617,#REF!,9,1)</f>
        <v>#REF!</v>
      </c>
      <c r="AA617" s="206" t="e">
        <f t="shared" si="64"/>
        <v>#REF!</v>
      </c>
      <c r="AB617" s="206" t="e">
        <v>#N/A</v>
      </c>
      <c r="AC617" s="206" t="e">
        <f>VLOOKUP($F617,#REF!,14,1)</f>
        <v>#REF!</v>
      </c>
      <c r="AD617" s="206" t="e">
        <f>VLOOKUP($F617,#REF!,40,0)</f>
        <v>#REF!</v>
      </c>
      <c r="AE617" s="206" t="e">
        <f t="shared" si="70"/>
        <v>#REF!</v>
      </c>
      <c r="AF617" s="206" t="e">
        <v>#N/A</v>
      </c>
      <c r="AG617" s="206" t="e">
        <f>VLOOKUP($F617,#REF!,42,0)</f>
        <v>#REF!</v>
      </c>
      <c r="AH617" s="206" t="e">
        <f t="shared" si="71"/>
        <v>#REF!</v>
      </c>
      <c r="AI617" s="206" t="e">
        <v>#N/A</v>
      </c>
      <c r="AJ617" s="206" t="e">
        <f>VLOOKUP($F617,#REF!,43,0)</f>
        <v>#REF!</v>
      </c>
    </row>
    <row r="618" spans="2:36" s="102" customFormat="1" ht="22.5">
      <c r="B618" s="97"/>
      <c r="C618" s="105" t="s">
        <v>1910</v>
      </c>
      <c r="D618" t="s">
        <v>2183</v>
      </c>
      <c r="E618" s="123" t="s">
        <v>2260</v>
      </c>
      <c r="Q618" s="206" t="s">
        <v>2161</v>
      </c>
      <c r="R618" s="206">
        <f t="shared" si="67"/>
        <v>618</v>
      </c>
      <c r="S618" s="206" t="str">
        <f t="shared" si="68"/>
        <v>;'C GI PROYECTOS'!$E$10:$BD$100;14;1)</v>
      </c>
      <c r="T618" s="203" t="s">
        <v>2228</v>
      </c>
      <c r="U618" s="206" t="str">
        <f t="shared" si="73"/>
        <v>=BUSCARV($E618;'C GI PROYECTOS'!$E$10:$BD$100;14;1)</v>
      </c>
      <c r="V618" s="206"/>
      <c r="W618" s="206" t="e">
        <f>VLOOKUP($F618,#REF!,8,1)</f>
        <v>#REF!</v>
      </c>
      <c r="X618" s="206" t="e">
        <f t="shared" si="69"/>
        <v>#REF!</v>
      </c>
      <c r="Y618" s="206" t="e">
        <v>#N/A</v>
      </c>
      <c r="Z618" s="206" t="e">
        <f>VLOOKUP($F618,#REF!,9,1)</f>
        <v>#REF!</v>
      </c>
      <c r="AA618" s="206" t="e">
        <f t="shared" ref="AA618:AA657" si="74">IF(Z618="Catastrófico",20,IF(Z618="Mayor",10,5))</f>
        <v>#REF!</v>
      </c>
      <c r="AB618" s="206" t="e">
        <v>#N/A</v>
      </c>
      <c r="AC618" s="206" t="e">
        <f>VLOOKUP($F618,#REF!,14,1)</f>
        <v>#REF!</v>
      </c>
      <c r="AD618" s="206" t="e">
        <f>VLOOKUP($F618,#REF!,40,0)</f>
        <v>#REF!</v>
      </c>
      <c r="AE618" s="206" t="e">
        <f t="shared" si="70"/>
        <v>#REF!</v>
      </c>
      <c r="AF618" s="206" t="e">
        <v>#N/A</v>
      </c>
      <c r="AG618" s="206" t="e">
        <f>VLOOKUP($F618,#REF!,42,0)</f>
        <v>#REF!</v>
      </c>
      <c r="AH618" s="206" t="e">
        <f t="shared" si="71"/>
        <v>#REF!</v>
      </c>
      <c r="AI618" s="206" t="e">
        <v>#N/A</v>
      </c>
      <c r="AJ618" s="206" t="e">
        <f>VLOOKUP($F618,#REF!,43,0)</f>
        <v>#REF!</v>
      </c>
    </row>
    <row r="619" spans="2:36" s="102" customFormat="1" ht="22.5">
      <c r="B619" s="97"/>
      <c r="C619" s="105" t="s">
        <v>1910</v>
      </c>
      <c r="D619" t="s">
        <v>2183</v>
      </c>
      <c r="E619" s="123" t="s">
        <v>2260</v>
      </c>
      <c r="Q619" s="206" t="s">
        <v>2161</v>
      </c>
      <c r="R619" s="206">
        <f t="shared" si="67"/>
        <v>619</v>
      </c>
      <c r="S619" s="206" t="str">
        <f t="shared" si="68"/>
        <v>;'C GI PROYECTOS'!$E$10:$BD$100;14;1)</v>
      </c>
      <c r="T619" s="203" t="s">
        <v>2228</v>
      </c>
      <c r="U619" s="206" t="str">
        <f t="shared" si="73"/>
        <v>=BUSCARV($E619;'C GI PROYECTOS'!$E$10:$BD$100;14;1)</v>
      </c>
      <c r="V619" s="206"/>
      <c r="W619" s="206" t="e">
        <f>VLOOKUP($F619,#REF!,8,1)</f>
        <v>#REF!</v>
      </c>
      <c r="X619" s="206" t="e">
        <f t="shared" si="69"/>
        <v>#REF!</v>
      </c>
      <c r="Y619" s="206" t="e">
        <v>#N/A</v>
      </c>
      <c r="Z619" s="206" t="e">
        <f>VLOOKUP($F619,#REF!,9,1)</f>
        <v>#REF!</v>
      </c>
      <c r="AA619" s="206" t="e">
        <f t="shared" si="74"/>
        <v>#REF!</v>
      </c>
      <c r="AB619" s="206" t="e">
        <v>#N/A</v>
      </c>
      <c r="AC619" s="206" t="e">
        <f>VLOOKUP($F619,#REF!,14,1)</f>
        <v>#REF!</v>
      </c>
      <c r="AD619" s="206" t="e">
        <f>VLOOKUP($F619,#REF!,40,0)</f>
        <v>#REF!</v>
      </c>
      <c r="AE619" s="206" t="e">
        <f t="shared" si="70"/>
        <v>#REF!</v>
      </c>
      <c r="AF619" s="206" t="e">
        <v>#N/A</v>
      </c>
      <c r="AG619" s="206" t="e">
        <f>VLOOKUP($F619,#REF!,42,0)</f>
        <v>#REF!</v>
      </c>
      <c r="AH619" s="206" t="e">
        <f t="shared" si="71"/>
        <v>#REF!</v>
      </c>
      <c r="AI619" s="206" t="e">
        <v>#N/A</v>
      </c>
      <c r="AJ619" s="206" t="e">
        <f>VLOOKUP($F619,#REF!,43,0)</f>
        <v>#REF!</v>
      </c>
    </row>
    <row r="620" spans="2:36" s="102" customFormat="1" ht="22.5">
      <c r="B620" s="97"/>
      <c r="C620" s="105" t="s">
        <v>1910</v>
      </c>
      <c r="D620" t="s">
        <v>2183</v>
      </c>
      <c r="E620" s="123" t="s">
        <v>2260</v>
      </c>
      <c r="Q620" s="206" t="s">
        <v>2161</v>
      </c>
      <c r="R620" s="206">
        <f t="shared" si="67"/>
        <v>620</v>
      </c>
      <c r="S620" s="206" t="str">
        <f t="shared" si="68"/>
        <v>;'C GI PROYECTOS'!$E$10:$BD$100;14;1)</v>
      </c>
      <c r="T620" s="203" t="s">
        <v>2228</v>
      </c>
      <c r="U620" s="206" t="str">
        <f t="shared" si="73"/>
        <v>=BUSCARV($E620;'C GI PROYECTOS'!$E$10:$BD$100;14;1)</v>
      </c>
      <c r="V620" s="206"/>
      <c r="W620" s="206" t="e">
        <f>VLOOKUP($F620,#REF!,8,1)</f>
        <v>#REF!</v>
      </c>
      <c r="X620" s="206" t="e">
        <f t="shared" si="69"/>
        <v>#REF!</v>
      </c>
      <c r="Y620" s="206" t="e">
        <v>#N/A</v>
      </c>
      <c r="Z620" s="206" t="e">
        <f>VLOOKUP($F620,#REF!,9,1)</f>
        <v>#REF!</v>
      </c>
      <c r="AA620" s="206" t="e">
        <f t="shared" si="74"/>
        <v>#REF!</v>
      </c>
      <c r="AB620" s="206" t="e">
        <v>#N/A</v>
      </c>
      <c r="AC620" s="206" t="e">
        <f>VLOOKUP($F620,#REF!,14,1)</f>
        <v>#REF!</v>
      </c>
      <c r="AD620" s="206" t="e">
        <f>VLOOKUP($F620,#REF!,40,0)</f>
        <v>#REF!</v>
      </c>
      <c r="AE620" s="206" t="e">
        <f t="shared" si="70"/>
        <v>#REF!</v>
      </c>
      <c r="AF620" s="206" t="e">
        <v>#N/A</v>
      </c>
      <c r="AG620" s="206" t="e">
        <f>VLOOKUP($F620,#REF!,42,0)</f>
        <v>#REF!</v>
      </c>
      <c r="AH620" s="206" t="e">
        <f t="shared" si="71"/>
        <v>#REF!</v>
      </c>
      <c r="AI620" s="206" t="e">
        <v>#N/A</v>
      </c>
      <c r="AJ620" s="206" t="e">
        <f>VLOOKUP($F620,#REF!,43,0)</f>
        <v>#REF!</v>
      </c>
    </row>
    <row r="621" spans="2:36" s="102" customFormat="1" ht="22.5">
      <c r="B621" s="97"/>
      <c r="C621" s="105" t="s">
        <v>1910</v>
      </c>
      <c r="D621" t="s">
        <v>2183</v>
      </c>
      <c r="E621" s="123" t="s">
        <v>2260</v>
      </c>
      <c r="Q621" s="206" t="s">
        <v>2161</v>
      </c>
      <c r="R621" s="206">
        <f t="shared" si="67"/>
        <v>621</v>
      </c>
      <c r="S621" s="206" t="str">
        <f t="shared" si="68"/>
        <v>;'C GI PROYECTOS'!$E$10:$BD$100;14;1)</v>
      </c>
      <c r="T621" s="203" t="s">
        <v>2228</v>
      </c>
      <c r="U621" s="206" t="str">
        <f t="shared" si="73"/>
        <v>=BUSCARV($E621;'C GI PROYECTOS'!$E$10:$BD$100;14;1)</v>
      </c>
      <c r="V621" s="206"/>
      <c r="W621" s="206" t="e">
        <f>VLOOKUP($F621,#REF!,8,1)</f>
        <v>#REF!</v>
      </c>
      <c r="X621" s="206" t="e">
        <f t="shared" si="69"/>
        <v>#REF!</v>
      </c>
      <c r="Y621" s="206" t="e">
        <v>#N/A</v>
      </c>
      <c r="Z621" s="206" t="e">
        <f>VLOOKUP($F621,#REF!,9,1)</f>
        <v>#REF!</v>
      </c>
      <c r="AA621" s="206" t="e">
        <f t="shared" si="74"/>
        <v>#REF!</v>
      </c>
      <c r="AB621" s="206" t="e">
        <v>#N/A</v>
      </c>
      <c r="AC621" s="206" t="e">
        <f>VLOOKUP($F621,#REF!,14,1)</f>
        <v>#REF!</v>
      </c>
      <c r="AD621" s="206" t="e">
        <f>VLOOKUP($F621,#REF!,40,0)</f>
        <v>#REF!</v>
      </c>
      <c r="AE621" s="206" t="e">
        <f t="shared" si="70"/>
        <v>#REF!</v>
      </c>
      <c r="AF621" s="206" t="e">
        <v>#N/A</v>
      </c>
      <c r="AG621" s="206" t="e">
        <f>VLOOKUP($F621,#REF!,42,0)</f>
        <v>#REF!</v>
      </c>
      <c r="AH621" s="206" t="e">
        <f t="shared" si="71"/>
        <v>#REF!</v>
      </c>
      <c r="AI621" s="206" t="e">
        <v>#N/A</v>
      </c>
      <c r="AJ621" s="206" t="e">
        <f>VLOOKUP($F621,#REF!,43,0)</f>
        <v>#REF!</v>
      </c>
    </row>
    <row r="622" spans="2:36" s="102" customFormat="1" ht="22.5">
      <c r="B622" s="97"/>
      <c r="C622" s="105" t="s">
        <v>1910</v>
      </c>
      <c r="D622" t="s">
        <v>2183</v>
      </c>
      <c r="E622" s="123" t="s">
        <v>2260</v>
      </c>
      <c r="Q622" s="206" t="s">
        <v>2161</v>
      </c>
      <c r="R622" s="206">
        <f t="shared" si="67"/>
        <v>622</v>
      </c>
      <c r="S622" s="206" t="str">
        <f t="shared" si="68"/>
        <v>;'C GI PROYECTOS'!$E$10:$BD$100;14;1)</v>
      </c>
      <c r="T622" s="203" t="s">
        <v>2228</v>
      </c>
      <c r="U622" s="206" t="str">
        <f t="shared" si="73"/>
        <v>=BUSCARV($E622;'C GI PROYECTOS'!$E$10:$BD$100;14;1)</v>
      </c>
      <c r="V622" s="206"/>
      <c r="W622" s="206" t="e">
        <f>VLOOKUP($F622,#REF!,8,1)</f>
        <v>#REF!</v>
      </c>
      <c r="X622" s="206" t="e">
        <f t="shared" si="69"/>
        <v>#REF!</v>
      </c>
      <c r="Y622" s="206" t="e">
        <v>#N/A</v>
      </c>
      <c r="Z622" s="206" t="e">
        <f>VLOOKUP($F622,#REF!,9,1)</f>
        <v>#REF!</v>
      </c>
      <c r="AA622" s="206" t="e">
        <f t="shared" si="74"/>
        <v>#REF!</v>
      </c>
      <c r="AB622" s="206" t="e">
        <v>#N/A</v>
      </c>
      <c r="AC622" s="206" t="e">
        <f>VLOOKUP($F622,#REF!,14,1)</f>
        <v>#REF!</v>
      </c>
      <c r="AD622" s="206" t="e">
        <f>VLOOKUP($F622,#REF!,40,0)</f>
        <v>#REF!</v>
      </c>
      <c r="AE622" s="206" t="e">
        <f t="shared" si="70"/>
        <v>#REF!</v>
      </c>
      <c r="AF622" s="206" t="e">
        <v>#N/A</v>
      </c>
      <c r="AG622" s="206" t="e">
        <f>VLOOKUP($F622,#REF!,42,0)</f>
        <v>#REF!</v>
      </c>
      <c r="AH622" s="206" t="e">
        <f t="shared" si="71"/>
        <v>#REF!</v>
      </c>
      <c r="AI622" s="206" t="e">
        <v>#N/A</v>
      </c>
      <c r="AJ622" s="206" t="e">
        <f>VLOOKUP($F622,#REF!,43,0)</f>
        <v>#REF!</v>
      </c>
    </row>
    <row r="623" spans="2:36" s="102" customFormat="1" ht="22.5">
      <c r="B623" s="97"/>
      <c r="C623" s="105" t="s">
        <v>1910</v>
      </c>
      <c r="D623" t="s">
        <v>2183</v>
      </c>
      <c r="E623" s="123" t="s">
        <v>2260</v>
      </c>
      <c r="Q623" s="206" t="s">
        <v>2161</v>
      </c>
      <c r="R623" s="206">
        <f t="shared" si="67"/>
        <v>623</v>
      </c>
      <c r="S623" s="206" t="str">
        <f t="shared" si="68"/>
        <v>;'C GI PROYECTOS'!$E$10:$BD$100;14;1)</v>
      </c>
      <c r="T623" s="203" t="s">
        <v>2228</v>
      </c>
      <c r="U623" s="206" t="str">
        <f t="shared" si="73"/>
        <v>=BUSCARV($E623;'C GI PROYECTOS'!$E$10:$BD$100;14;1)</v>
      </c>
      <c r="V623" s="206"/>
      <c r="W623" s="206" t="e">
        <f>VLOOKUP($F623,#REF!,8,1)</f>
        <v>#REF!</v>
      </c>
      <c r="X623" s="206" t="e">
        <f t="shared" si="69"/>
        <v>#REF!</v>
      </c>
      <c r="Y623" s="206" t="e">
        <v>#N/A</v>
      </c>
      <c r="Z623" s="206" t="e">
        <f>VLOOKUP($F623,#REF!,9,1)</f>
        <v>#REF!</v>
      </c>
      <c r="AA623" s="206" t="e">
        <f t="shared" si="74"/>
        <v>#REF!</v>
      </c>
      <c r="AB623" s="206" t="e">
        <v>#N/A</v>
      </c>
      <c r="AC623" s="206" t="e">
        <f>VLOOKUP($F623,#REF!,14,1)</f>
        <v>#REF!</v>
      </c>
      <c r="AD623" s="206" t="e">
        <f>VLOOKUP($F623,#REF!,40,0)</f>
        <v>#REF!</v>
      </c>
      <c r="AE623" s="206" t="e">
        <f t="shared" si="70"/>
        <v>#REF!</v>
      </c>
      <c r="AF623" s="206" t="e">
        <v>#N/A</v>
      </c>
      <c r="AG623" s="206" t="e">
        <f>VLOOKUP($F623,#REF!,42,0)</f>
        <v>#REF!</v>
      </c>
      <c r="AH623" s="206" t="e">
        <f t="shared" si="71"/>
        <v>#REF!</v>
      </c>
      <c r="AI623" s="206" t="e">
        <v>#N/A</v>
      </c>
      <c r="AJ623" s="206" t="e">
        <f>VLOOKUP($F623,#REF!,43,0)</f>
        <v>#REF!</v>
      </c>
    </row>
    <row r="624" spans="2:36" s="102" customFormat="1" ht="22.5">
      <c r="B624" s="97"/>
      <c r="C624" s="105" t="s">
        <v>1910</v>
      </c>
      <c r="D624" t="s">
        <v>2183</v>
      </c>
      <c r="E624" s="123" t="s">
        <v>2260</v>
      </c>
      <c r="Q624" s="206" t="s">
        <v>2161</v>
      </c>
      <c r="R624" s="206">
        <f t="shared" si="67"/>
        <v>624</v>
      </c>
      <c r="S624" s="206" t="str">
        <f t="shared" si="68"/>
        <v>;'C GI PROYECTOS'!$E$10:$BD$100;14;1)</v>
      </c>
      <c r="T624" s="203" t="s">
        <v>2228</v>
      </c>
      <c r="U624" s="206" t="str">
        <f t="shared" si="73"/>
        <v>=BUSCARV($E624;'C GI PROYECTOS'!$E$10:$BD$100;14;1)</v>
      </c>
      <c r="V624" s="206"/>
      <c r="W624" s="206" t="e">
        <f>VLOOKUP($F624,#REF!,8,1)</f>
        <v>#REF!</v>
      </c>
      <c r="X624" s="206" t="e">
        <f t="shared" si="69"/>
        <v>#REF!</v>
      </c>
      <c r="Y624" s="206" t="e">
        <v>#N/A</v>
      </c>
      <c r="Z624" s="206" t="e">
        <f>VLOOKUP($F624,#REF!,9,1)</f>
        <v>#REF!</v>
      </c>
      <c r="AA624" s="206" t="e">
        <f t="shared" si="74"/>
        <v>#REF!</v>
      </c>
      <c r="AB624" s="206" t="e">
        <v>#N/A</v>
      </c>
      <c r="AC624" s="206" t="e">
        <f>VLOOKUP($F624,#REF!,14,1)</f>
        <v>#REF!</v>
      </c>
      <c r="AD624" s="206" t="e">
        <f>VLOOKUP($F624,#REF!,40,0)</f>
        <v>#REF!</v>
      </c>
      <c r="AE624" s="206" t="e">
        <f t="shared" si="70"/>
        <v>#REF!</v>
      </c>
      <c r="AF624" s="206" t="e">
        <v>#N/A</v>
      </c>
      <c r="AG624" s="206" t="e">
        <f>VLOOKUP($F624,#REF!,42,0)</f>
        <v>#REF!</v>
      </c>
      <c r="AH624" s="206" t="e">
        <f t="shared" si="71"/>
        <v>#REF!</v>
      </c>
      <c r="AI624" s="206" t="e">
        <v>#N/A</v>
      </c>
      <c r="AJ624" s="206" t="e">
        <f>VLOOKUP($F624,#REF!,43,0)</f>
        <v>#REF!</v>
      </c>
    </row>
    <row r="625" spans="2:36" s="102" customFormat="1" ht="22.5">
      <c r="B625" s="97"/>
      <c r="C625" s="105" t="s">
        <v>1910</v>
      </c>
      <c r="D625" t="s">
        <v>2183</v>
      </c>
      <c r="E625" s="123" t="s">
        <v>2260</v>
      </c>
      <c r="Q625" s="206" t="s">
        <v>2161</v>
      </c>
      <c r="R625" s="206">
        <f t="shared" si="67"/>
        <v>625</v>
      </c>
      <c r="S625" s="206" t="str">
        <f t="shared" si="68"/>
        <v>;'C GI PROYECTOS'!$E$10:$BD$100;14;1)</v>
      </c>
      <c r="T625" s="203" t="s">
        <v>2228</v>
      </c>
      <c r="U625" s="206" t="str">
        <f t="shared" si="73"/>
        <v>=BUSCARV($E625;'C GI PROYECTOS'!$E$10:$BD$100;14;1)</v>
      </c>
      <c r="V625" s="206"/>
      <c r="W625" s="206" t="e">
        <f>VLOOKUP($F625,#REF!,8,1)</f>
        <v>#REF!</v>
      </c>
      <c r="X625" s="206" t="e">
        <f t="shared" si="69"/>
        <v>#REF!</v>
      </c>
      <c r="Y625" s="206" t="e">
        <v>#N/A</v>
      </c>
      <c r="Z625" s="206" t="e">
        <f>VLOOKUP($F625,#REF!,9,1)</f>
        <v>#REF!</v>
      </c>
      <c r="AA625" s="206" t="e">
        <f t="shared" si="74"/>
        <v>#REF!</v>
      </c>
      <c r="AB625" s="206" t="e">
        <v>#N/A</v>
      </c>
      <c r="AC625" s="206" t="e">
        <f>VLOOKUP($F625,#REF!,14,1)</f>
        <v>#REF!</v>
      </c>
      <c r="AD625" s="206" t="e">
        <f>VLOOKUP($F625,#REF!,40,0)</f>
        <v>#REF!</v>
      </c>
      <c r="AE625" s="206" t="e">
        <f t="shared" si="70"/>
        <v>#REF!</v>
      </c>
      <c r="AF625" s="206" t="e">
        <v>#N/A</v>
      </c>
      <c r="AG625" s="206" t="e">
        <f>VLOOKUP($F625,#REF!,42,0)</f>
        <v>#REF!</v>
      </c>
      <c r="AH625" s="206" t="e">
        <f t="shared" si="71"/>
        <v>#REF!</v>
      </c>
      <c r="AI625" s="206" t="e">
        <v>#N/A</v>
      </c>
      <c r="AJ625" s="206" t="e">
        <f>VLOOKUP($F625,#REF!,43,0)</f>
        <v>#REF!</v>
      </c>
    </row>
    <row r="626" spans="2:36" s="102" customFormat="1" ht="22.5">
      <c r="B626" s="97"/>
      <c r="C626" s="105" t="s">
        <v>1910</v>
      </c>
      <c r="D626" t="s">
        <v>2183</v>
      </c>
      <c r="E626" s="123" t="s">
        <v>2260</v>
      </c>
      <c r="Q626" s="206" t="s">
        <v>2161</v>
      </c>
      <c r="R626" s="206">
        <f t="shared" si="67"/>
        <v>626</v>
      </c>
      <c r="S626" s="206" t="str">
        <f t="shared" si="68"/>
        <v>;'C GI PROYECTOS'!$E$10:$BD$100;14;1)</v>
      </c>
      <c r="T626" s="203" t="s">
        <v>2228</v>
      </c>
      <c r="U626" s="206" t="str">
        <f t="shared" si="73"/>
        <v>=BUSCARV($E626;'C GI PROYECTOS'!$E$10:$BD$100;14;1)</v>
      </c>
      <c r="V626" s="206"/>
      <c r="W626" s="206" t="e">
        <f>VLOOKUP($F626,#REF!,8,1)</f>
        <v>#REF!</v>
      </c>
      <c r="X626" s="206" t="e">
        <f t="shared" si="69"/>
        <v>#REF!</v>
      </c>
      <c r="Y626" s="206" t="e">
        <v>#N/A</v>
      </c>
      <c r="Z626" s="206" t="e">
        <f>VLOOKUP($F626,#REF!,9,1)</f>
        <v>#REF!</v>
      </c>
      <c r="AA626" s="206" t="e">
        <f t="shared" si="74"/>
        <v>#REF!</v>
      </c>
      <c r="AB626" s="206" t="e">
        <v>#N/A</v>
      </c>
      <c r="AC626" s="206" t="e">
        <f>VLOOKUP($F626,#REF!,14,1)</f>
        <v>#REF!</v>
      </c>
      <c r="AD626" s="206" t="e">
        <f>VLOOKUP($F626,#REF!,40,0)</f>
        <v>#REF!</v>
      </c>
      <c r="AE626" s="206" t="e">
        <f t="shared" si="70"/>
        <v>#REF!</v>
      </c>
      <c r="AF626" s="206" t="e">
        <v>#N/A</v>
      </c>
      <c r="AG626" s="206" t="e">
        <f>VLOOKUP($F626,#REF!,42,0)</f>
        <v>#REF!</v>
      </c>
      <c r="AH626" s="206" t="e">
        <f t="shared" si="71"/>
        <v>#REF!</v>
      </c>
      <c r="AI626" s="206" t="e">
        <v>#N/A</v>
      </c>
      <c r="AJ626" s="206" t="e">
        <f>VLOOKUP($F626,#REF!,43,0)</f>
        <v>#REF!</v>
      </c>
    </row>
    <row r="627" spans="2:36" s="102" customFormat="1" ht="22.5">
      <c r="B627" s="97"/>
      <c r="C627" s="105" t="s">
        <v>1910</v>
      </c>
      <c r="D627" t="s">
        <v>2183</v>
      </c>
      <c r="E627" s="123" t="s">
        <v>2260</v>
      </c>
      <c r="Q627" s="206" t="s">
        <v>2161</v>
      </c>
      <c r="R627" s="206">
        <f t="shared" si="67"/>
        <v>627</v>
      </c>
      <c r="S627" s="206" t="str">
        <f t="shared" si="68"/>
        <v>;'C GI PROYECTOS'!$E$10:$BD$100;14;1)</v>
      </c>
      <c r="T627" s="203" t="s">
        <v>2228</v>
      </c>
      <c r="U627" s="206" t="str">
        <f t="shared" si="73"/>
        <v>=BUSCARV($E627;'C GI PROYECTOS'!$E$10:$BD$100;14;1)</v>
      </c>
      <c r="V627" s="206"/>
      <c r="W627" s="206" t="e">
        <f>VLOOKUP($F627,#REF!,8,1)</f>
        <v>#REF!</v>
      </c>
      <c r="X627" s="206" t="e">
        <f t="shared" si="69"/>
        <v>#REF!</v>
      </c>
      <c r="Y627" s="206" t="e">
        <v>#N/A</v>
      </c>
      <c r="Z627" s="206" t="e">
        <f>VLOOKUP($F627,#REF!,9,1)</f>
        <v>#REF!</v>
      </c>
      <c r="AA627" s="206" t="e">
        <f t="shared" si="74"/>
        <v>#REF!</v>
      </c>
      <c r="AB627" s="206" t="e">
        <v>#N/A</v>
      </c>
      <c r="AC627" s="206" t="e">
        <f>VLOOKUP($F627,#REF!,14,1)</f>
        <v>#REF!</v>
      </c>
      <c r="AD627" s="206" t="e">
        <f>VLOOKUP($F627,#REF!,40,0)</f>
        <v>#REF!</v>
      </c>
      <c r="AE627" s="206" t="e">
        <f t="shared" si="70"/>
        <v>#REF!</v>
      </c>
      <c r="AF627" s="206" t="e">
        <v>#N/A</v>
      </c>
      <c r="AG627" s="206" t="e">
        <f>VLOOKUP($F627,#REF!,42,0)</f>
        <v>#REF!</v>
      </c>
      <c r="AH627" s="206" t="e">
        <f t="shared" si="71"/>
        <v>#REF!</v>
      </c>
      <c r="AI627" s="206" t="e">
        <v>#N/A</v>
      </c>
      <c r="AJ627" s="206" t="e">
        <f>VLOOKUP($F627,#REF!,43,0)</f>
        <v>#REF!</v>
      </c>
    </row>
    <row r="628" spans="2:36" s="102" customFormat="1" ht="22.5">
      <c r="B628" s="97"/>
      <c r="C628" s="105" t="s">
        <v>1910</v>
      </c>
      <c r="D628" t="s">
        <v>2183</v>
      </c>
      <c r="E628" s="123" t="s">
        <v>2260</v>
      </c>
      <c r="Q628" s="206" t="s">
        <v>2161</v>
      </c>
      <c r="R628" s="206">
        <f t="shared" si="67"/>
        <v>628</v>
      </c>
      <c r="S628" s="206" t="str">
        <f t="shared" si="68"/>
        <v>;'C GI PROYECTOS'!$E$10:$BD$100;14;1)</v>
      </c>
      <c r="T628" s="203" t="s">
        <v>2228</v>
      </c>
      <c r="U628" s="206" t="str">
        <f t="shared" si="73"/>
        <v>=BUSCARV($E628;'C GI PROYECTOS'!$E$10:$BD$100;14;1)</v>
      </c>
      <c r="V628" s="206"/>
      <c r="W628" s="206" t="e">
        <f>VLOOKUP($F628,#REF!,8,1)</f>
        <v>#REF!</v>
      </c>
      <c r="X628" s="206" t="e">
        <f t="shared" si="69"/>
        <v>#REF!</v>
      </c>
      <c r="Y628" s="206" t="e">
        <v>#N/A</v>
      </c>
      <c r="Z628" s="206" t="e">
        <f>VLOOKUP($F628,#REF!,9,1)</f>
        <v>#REF!</v>
      </c>
      <c r="AA628" s="206" t="e">
        <f t="shared" si="74"/>
        <v>#REF!</v>
      </c>
      <c r="AB628" s="206" t="e">
        <v>#N/A</v>
      </c>
      <c r="AC628" s="206" t="e">
        <f>VLOOKUP($F628,#REF!,14,1)</f>
        <v>#REF!</v>
      </c>
      <c r="AD628" s="206" t="e">
        <f>VLOOKUP($F628,#REF!,40,0)</f>
        <v>#REF!</v>
      </c>
      <c r="AE628" s="206" t="e">
        <f t="shared" si="70"/>
        <v>#REF!</v>
      </c>
      <c r="AF628" s="206" t="e">
        <v>#N/A</v>
      </c>
      <c r="AG628" s="206" t="e">
        <f>VLOOKUP($F628,#REF!,42,0)</f>
        <v>#REF!</v>
      </c>
      <c r="AH628" s="206" t="e">
        <f t="shared" si="71"/>
        <v>#REF!</v>
      </c>
      <c r="AI628" s="206" t="e">
        <v>#N/A</v>
      </c>
      <c r="AJ628" s="206" t="e">
        <f>VLOOKUP($F628,#REF!,43,0)</f>
        <v>#REF!</v>
      </c>
    </row>
    <row r="629" spans="2:36" s="102" customFormat="1" ht="22.5">
      <c r="B629" s="97"/>
      <c r="C629" s="110" t="s">
        <v>1914</v>
      </c>
      <c r="D629" t="s">
        <v>2184</v>
      </c>
      <c r="E629" s="123" t="s">
        <v>2260</v>
      </c>
      <c r="F629" s="102" t="s">
        <v>407</v>
      </c>
      <c r="G629" s="97" t="s">
        <v>1929</v>
      </c>
      <c r="Q629" s="206" t="s">
        <v>2161</v>
      </c>
      <c r="R629" s="206">
        <f t="shared" si="67"/>
        <v>629</v>
      </c>
      <c r="S629" s="206" t="str">
        <f t="shared" si="68"/>
        <v>;'C EVALUACION'!$E$10:$BD$100;14;1)</v>
      </c>
      <c r="T629" s="203" t="s">
        <v>2229</v>
      </c>
      <c r="U629" s="206" t="str">
        <f t="shared" si="26"/>
        <v>=BUSCARV($E629;'C EVALUACION'!$E$10:$BD$100;14;1)</v>
      </c>
      <c r="V629" s="206"/>
      <c r="W629" s="206" t="e">
        <f>VLOOKUP($F629,#REF!,8,1)</f>
        <v>#REF!</v>
      </c>
      <c r="X629" s="206" t="e">
        <f t="shared" si="69"/>
        <v>#REF!</v>
      </c>
      <c r="Y629" s="206">
        <v>1</v>
      </c>
      <c r="Z629" s="206" t="e">
        <f>VLOOKUP($F629,#REF!,9,1)</f>
        <v>#REF!</v>
      </c>
      <c r="AA629" s="206" t="e">
        <f t="shared" si="74"/>
        <v>#REF!</v>
      </c>
      <c r="AB629" s="206">
        <v>10</v>
      </c>
      <c r="AC629" s="206" t="e">
        <f>VLOOKUP($F629,#REF!,14,1)</f>
        <v>#REF!</v>
      </c>
      <c r="AD629" s="206" t="e">
        <f>VLOOKUP($F629,#REF!,40,0)</f>
        <v>#REF!</v>
      </c>
      <c r="AE629" s="206" t="e">
        <f t="shared" si="70"/>
        <v>#REF!</v>
      </c>
      <c r="AF629" s="206">
        <v>1</v>
      </c>
      <c r="AG629" s="206" t="e">
        <f>VLOOKUP($F629,#REF!,42,0)</f>
        <v>#REF!</v>
      </c>
      <c r="AH629" s="206" t="e">
        <f t="shared" si="71"/>
        <v>#REF!</v>
      </c>
      <c r="AI629" s="206">
        <v>5</v>
      </c>
      <c r="AJ629" s="206" t="e">
        <f>VLOOKUP($F629,#REF!,43,0)</f>
        <v>#REF!</v>
      </c>
    </row>
    <row r="630" spans="2:36" s="102" customFormat="1" ht="22.5">
      <c r="B630" s="97"/>
      <c r="C630" s="110" t="s">
        <v>1914</v>
      </c>
      <c r="D630" t="s">
        <v>2184</v>
      </c>
      <c r="E630" s="123" t="s">
        <v>2260</v>
      </c>
      <c r="F630" s="102" t="s">
        <v>408</v>
      </c>
      <c r="G630" s="97" t="s">
        <v>1929</v>
      </c>
      <c r="Q630" s="206" t="s">
        <v>2161</v>
      </c>
      <c r="R630" s="206">
        <f t="shared" si="67"/>
        <v>630</v>
      </c>
      <c r="S630" s="206" t="str">
        <f t="shared" si="68"/>
        <v>;'C EVALUACION'!$E$10:$BD$100;14;1)</v>
      </c>
      <c r="T630" s="203" t="s">
        <v>2229</v>
      </c>
      <c r="U630" s="206" t="str">
        <f t="shared" ref="U630:U643" si="75">CONCATENATE("=BUSCARV($E",R630,T630)</f>
        <v>=BUSCARV($E630;'C EVALUACION'!$E$10:$BD$100;14;1)</v>
      </c>
      <c r="V630" s="206"/>
      <c r="W630" s="206" t="e">
        <f>VLOOKUP($F630,#REF!,8,1)</f>
        <v>#REF!</v>
      </c>
      <c r="X630" s="206" t="e">
        <f t="shared" si="69"/>
        <v>#REF!</v>
      </c>
      <c r="Y630" s="206">
        <v>4</v>
      </c>
      <c r="Z630" s="206" t="e">
        <f>VLOOKUP($F630,#REF!,9,1)</f>
        <v>#REF!</v>
      </c>
      <c r="AA630" s="206" t="e">
        <f t="shared" si="74"/>
        <v>#REF!</v>
      </c>
      <c r="AB630" s="206">
        <v>20</v>
      </c>
      <c r="AC630" s="206" t="e">
        <f>VLOOKUP($F630,#REF!,14,1)</f>
        <v>#REF!</v>
      </c>
      <c r="AD630" s="206" t="e">
        <f>VLOOKUP($F630,#REF!,40,0)</f>
        <v>#REF!</v>
      </c>
      <c r="AE630" s="206" t="e">
        <f t="shared" si="70"/>
        <v>#REF!</v>
      </c>
      <c r="AF630" s="206">
        <v>2</v>
      </c>
      <c r="AG630" s="206" t="e">
        <f>VLOOKUP($F630,#REF!,42,0)</f>
        <v>#REF!</v>
      </c>
      <c r="AH630" s="206" t="e">
        <f t="shared" si="71"/>
        <v>#REF!</v>
      </c>
      <c r="AI630" s="206">
        <v>5</v>
      </c>
      <c r="AJ630" s="206" t="e">
        <f>VLOOKUP($F630,#REF!,43,0)</f>
        <v>#REF!</v>
      </c>
    </row>
    <row r="631" spans="2:36" s="102" customFormat="1" ht="22.5">
      <c r="B631" s="97"/>
      <c r="C631" s="110" t="s">
        <v>1914</v>
      </c>
      <c r="D631" t="s">
        <v>2184</v>
      </c>
      <c r="E631" s="123" t="s">
        <v>2260</v>
      </c>
      <c r="F631" s="102" t="s">
        <v>409</v>
      </c>
      <c r="G631" s="97" t="s">
        <v>1929</v>
      </c>
      <c r="Q631" s="206" t="s">
        <v>2161</v>
      </c>
      <c r="R631" s="206">
        <f t="shared" si="67"/>
        <v>631</v>
      </c>
      <c r="S631" s="206" t="str">
        <f t="shared" si="68"/>
        <v>;'C EVALUACION'!$E$10:$BD$100;14;1)</v>
      </c>
      <c r="T631" s="203" t="s">
        <v>2229</v>
      </c>
      <c r="U631" s="206" t="str">
        <f t="shared" si="75"/>
        <v>=BUSCARV($E631;'C EVALUACION'!$E$10:$BD$100;14;1)</v>
      </c>
      <c r="V631" s="206"/>
      <c r="W631" s="206" t="e">
        <f>VLOOKUP($F631,#REF!,8,1)</f>
        <v>#REF!</v>
      </c>
      <c r="X631" s="206" t="e">
        <f t="shared" si="69"/>
        <v>#REF!</v>
      </c>
      <c r="Y631" s="206">
        <v>2</v>
      </c>
      <c r="Z631" s="206" t="e">
        <f>VLOOKUP($F631,#REF!,9,1)</f>
        <v>#REF!</v>
      </c>
      <c r="AA631" s="206" t="e">
        <f t="shared" si="74"/>
        <v>#REF!</v>
      </c>
      <c r="AB631" s="206">
        <v>5</v>
      </c>
      <c r="AC631" s="206" t="e">
        <f>VLOOKUP($F631,#REF!,14,1)</f>
        <v>#REF!</v>
      </c>
      <c r="AD631" s="206" t="e">
        <f>VLOOKUP($F631,#REF!,40,0)</f>
        <v>#REF!</v>
      </c>
      <c r="AE631" s="206" t="e">
        <f t="shared" si="70"/>
        <v>#REF!</v>
      </c>
      <c r="AF631" s="206">
        <v>1</v>
      </c>
      <c r="AG631" s="206" t="e">
        <f>VLOOKUP($F631,#REF!,42,0)</f>
        <v>#REF!</v>
      </c>
      <c r="AH631" s="206" t="e">
        <f t="shared" si="71"/>
        <v>#REF!</v>
      </c>
      <c r="AI631" s="206">
        <v>5</v>
      </c>
      <c r="AJ631" s="206" t="e">
        <f>VLOOKUP($F631,#REF!,43,0)</f>
        <v>#REF!</v>
      </c>
    </row>
    <row r="632" spans="2:36" s="102" customFormat="1" ht="22.5">
      <c r="B632" s="97"/>
      <c r="C632" s="110" t="s">
        <v>1914</v>
      </c>
      <c r="D632" t="s">
        <v>2184</v>
      </c>
      <c r="E632" s="123" t="s">
        <v>2260</v>
      </c>
      <c r="F632" s="102" t="s">
        <v>411</v>
      </c>
      <c r="G632" s="97" t="s">
        <v>1929</v>
      </c>
      <c r="Q632" s="206" t="s">
        <v>2161</v>
      </c>
      <c r="R632" s="206">
        <f t="shared" si="67"/>
        <v>632</v>
      </c>
      <c r="S632" s="206" t="str">
        <f t="shared" si="68"/>
        <v>;'C EVALUACION'!$E$10:$BD$100;14;1)</v>
      </c>
      <c r="T632" s="203" t="s">
        <v>2229</v>
      </c>
      <c r="U632" s="206" t="str">
        <f t="shared" si="75"/>
        <v>=BUSCARV($E632;'C EVALUACION'!$E$10:$BD$100;14;1)</v>
      </c>
      <c r="V632" s="206"/>
      <c r="W632" s="206" t="e">
        <f>VLOOKUP($F632,#REF!,8,1)</f>
        <v>#REF!</v>
      </c>
      <c r="X632" s="206" t="e">
        <f t="shared" si="69"/>
        <v>#REF!</v>
      </c>
      <c r="Y632" s="206">
        <v>1</v>
      </c>
      <c r="Z632" s="206" t="e">
        <f>VLOOKUP($F632,#REF!,9,1)</f>
        <v>#REF!</v>
      </c>
      <c r="AA632" s="206" t="e">
        <f t="shared" si="74"/>
        <v>#REF!</v>
      </c>
      <c r="AB632" s="206">
        <v>5</v>
      </c>
      <c r="AC632" s="206" t="e">
        <f>VLOOKUP($F632,#REF!,14,1)</f>
        <v>#REF!</v>
      </c>
      <c r="AD632" s="206" t="e">
        <f>VLOOKUP($F632,#REF!,40,0)</f>
        <v>#REF!</v>
      </c>
      <c r="AE632" s="206" t="e">
        <f t="shared" si="70"/>
        <v>#REF!</v>
      </c>
      <c r="AF632" s="206">
        <v>1</v>
      </c>
      <c r="AG632" s="206" t="e">
        <f>VLOOKUP($F632,#REF!,42,0)</f>
        <v>#REF!</v>
      </c>
      <c r="AH632" s="206" t="e">
        <f t="shared" si="71"/>
        <v>#REF!</v>
      </c>
      <c r="AI632" s="206">
        <v>5</v>
      </c>
      <c r="AJ632" s="206" t="e">
        <f>VLOOKUP($F632,#REF!,43,0)</f>
        <v>#REF!</v>
      </c>
    </row>
    <row r="633" spans="2:36" s="102" customFormat="1" ht="22.5">
      <c r="B633" s="97"/>
      <c r="C633" s="110" t="s">
        <v>1914</v>
      </c>
      <c r="D633" t="s">
        <v>2184</v>
      </c>
      <c r="E633" s="123" t="s">
        <v>2260</v>
      </c>
      <c r="F633" s="102" t="s">
        <v>412</v>
      </c>
      <c r="G633" s="97" t="s">
        <v>1929</v>
      </c>
      <c r="Q633" s="206" t="s">
        <v>2161</v>
      </c>
      <c r="R633" s="206">
        <f t="shared" si="67"/>
        <v>633</v>
      </c>
      <c r="S633" s="206" t="str">
        <f t="shared" si="68"/>
        <v>;'C EVALUACION'!$E$10:$BD$100;14;1)</v>
      </c>
      <c r="T633" s="203" t="s">
        <v>2229</v>
      </c>
      <c r="U633" s="206" t="str">
        <f t="shared" si="75"/>
        <v>=BUSCARV($E633;'C EVALUACION'!$E$10:$BD$100;14;1)</v>
      </c>
      <c r="V633" s="206"/>
      <c r="W633" s="206" t="e">
        <f>VLOOKUP($F633,#REF!,8,1)</f>
        <v>#REF!</v>
      </c>
      <c r="X633" s="206" t="e">
        <f t="shared" si="69"/>
        <v>#REF!</v>
      </c>
      <c r="Y633" s="206">
        <v>2</v>
      </c>
      <c r="Z633" s="206" t="e">
        <f>VLOOKUP($F633,#REF!,9,1)</f>
        <v>#REF!</v>
      </c>
      <c r="AA633" s="206" t="e">
        <f t="shared" si="74"/>
        <v>#REF!</v>
      </c>
      <c r="AB633" s="206">
        <v>5</v>
      </c>
      <c r="AC633" s="206" t="e">
        <f>VLOOKUP($F633,#REF!,14,1)</f>
        <v>#REF!</v>
      </c>
      <c r="AD633" s="206" t="e">
        <f>VLOOKUP($F633,#REF!,40,0)</f>
        <v>#REF!</v>
      </c>
      <c r="AE633" s="206" t="e">
        <f t="shared" si="70"/>
        <v>#REF!</v>
      </c>
      <c r="AF633" s="206">
        <v>1</v>
      </c>
      <c r="AG633" s="206" t="e">
        <f>VLOOKUP($F633,#REF!,42,0)</f>
        <v>#REF!</v>
      </c>
      <c r="AH633" s="206" t="e">
        <f t="shared" si="71"/>
        <v>#REF!</v>
      </c>
      <c r="AI633" s="206">
        <v>5</v>
      </c>
      <c r="AJ633" s="206" t="e">
        <f>VLOOKUP($F633,#REF!,43,0)</f>
        <v>#REF!</v>
      </c>
    </row>
    <row r="634" spans="2:36" s="102" customFormat="1" ht="22.5">
      <c r="B634" s="97"/>
      <c r="C634" s="110" t="s">
        <v>1914</v>
      </c>
      <c r="D634" t="s">
        <v>2184</v>
      </c>
      <c r="E634" s="123" t="s">
        <v>2260</v>
      </c>
      <c r="F634" s="102" t="s">
        <v>413</v>
      </c>
      <c r="G634" s="97" t="s">
        <v>1929</v>
      </c>
      <c r="Q634" s="206" t="s">
        <v>2161</v>
      </c>
      <c r="R634" s="206">
        <f t="shared" si="67"/>
        <v>634</v>
      </c>
      <c r="S634" s="206" t="str">
        <f t="shared" si="68"/>
        <v>;'C EVALUACION'!$E$10:$BD$100;14;1)</v>
      </c>
      <c r="T634" s="203" t="s">
        <v>2229</v>
      </c>
      <c r="U634" s="206" t="str">
        <f t="shared" si="75"/>
        <v>=BUSCARV($E634;'C EVALUACION'!$E$10:$BD$100;14;1)</v>
      </c>
      <c r="V634" s="206"/>
      <c r="W634" s="206" t="e">
        <f>VLOOKUP($F634,#REF!,8,1)</f>
        <v>#REF!</v>
      </c>
      <c r="X634" s="206" t="e">
        <f t="shared" si="69"/>
        <v>#REF!</v>
      </c>
      <c r="Y634" s="206">
        <v>2</v>
      </c>
      <c r="Z634" s="206" t="e">
        <f>VLOOKUP($F634,#REF!,9,1)</f>
        <v>#REF!</v>
      </c>
      <c r="AA634" s="206" t="e">
        <f t="shared" si="74"/>
        <v>#REF!</v>
      </c>
      <c r="AB634" s="206">
        <v>10</v>
      </c>
      <c r="AC634" s="206" t="e">
        <f>VLOOKUP($F634,#REF!,14,1)</f>
        <v>#REF!</v>
      </c>
      <c r="AD634" s="206" t="e">
        <f>VLOOKUP($F634,#REF!,40,0)</f>
        <v>#REF!</v>
      </c>
      <c r="AE634" s="206" t="e">
        <f t="shared" si="70"/>
        <v>#REF!</v>
      </c>
      <c r="AF634" s="206">
        <v>1</v>
      </c>
      <c r="AG634" s="206" t="e">
        <f>VLOOKUP($F634,#REF!,42,0)</f>
        <v>#REF!</v>
      </c>
      <c r="AH634" s="206" t="e">
        <f t="shared" si="71"/>
        <v>#REF!</v>
      </c>
      <c r="AI634" s="206">
        <v>5</v>
      </c>
      <c r="AJ634" s="206" t="e">
        <f>VLOOKUP($F634,#REF!,43,0)</f>
        <v>#REF!</v>
      </c>
    </row>
    <row r="635" spans="2:36" s="102" customFormat="1" ht="22.5">
      <c r="B635" s="97"/>
      <c r="C635" s="110" t="s">
        <v>1914</v>
      </c>
      <c r="D635" t="s">
        <v>2184</v>
      </c>
      <c r="E635" s="123" t="s">
        <v>2260</v>
      </c>
      <c r="F635" s="102" t="s">
        <v>414</v>
      </c>
      <c r="G635" s="97" t="s">
        <v>1929</v>
      </c>
      <c r="Q635" s="206" t="s">
        <v>2161</v>
      </c>
      <c r="R635" s="206">
        <f t="shared" si="67"/>
        <v>635</v>
      </c>
      <c r="S635" s="206" t="str">
        <f t="shared" si="68"/>
        <v>;'C EVALUACION'!$E$10:$BD$100;14;1)</v>
      </c>
      <c r="T635" s="203" t="s">
        <v>2229</v>
      </c>
      <c r="U635" s="206" t="str">
        <f t="shared" si="75"/>
        <v>=BUSCARV($E635;'C EVALUACION'!$E$10:$BD$100;14;1)</v>
      </c>
      <c r="V635" s="206"/>
      <c r="W635" s="206" t="e">
        <f>VLOOKUP($F635,#REF!,8,1)</f>
        <v>#REF!</v>
      </c>
      <c r="X635" s="206" t="e">
        <f t="shared" si="69"/>
        <v>#REF!</v>
      </c>
      <c r="Y635" s="206">
        <v>1</v>
      </c>
      <c r="Z635" s="206" t="e">
        <f>VLOOKUP($F635,#REF!,9,1)</f>
        <v>#REF!</v>
      </c>
      <c r="AA635" s="206" t="e">
        <f t="shared" si="74"/>
        <v>#REF!</v>
      </c>
      <c r="AB635" s="206">
        <v>10</v>
      </c>
      <c r="AC635" s="206" t="e">
        <f>VLOOKUP($F635,#REF!,14,1)</f>
        <v>#REF!</v>
      </c>
      <c r="AD635" s="206" t="e">
        <f>VLOOKUP($F635,#REF!,40,0)</f>
        <v>#REF!</v>
      </c>
      <c r="AE635" s="206" t="e">
        <f t="shared" si="70"/>
        <v>#REF!</v>
      </c>
      <c r="AF635" s="206">
        <v>1</v>
      </c>
      <c r="AG635" s="206" t="e">
        <f>VLOOKUP($F635,#REF!,42,0)</f>
        <v>#REF!</v>
      </c>
      <c r="AH635" s="206" t="e">
        <f t="shared" si="71"/>
        <v>#REF!</v>
      </c>
      <c r="AI635" s="206">
        <v>10</v>
      </c>
      <c r="AJ635" s="206" t="e">
        <f>VLOOKUP($F635,#REF!,43,0)</f>
        <v>#REF!</v>
      </c>
    </row>
    <row r="636" spans="2:36" s="102" customFormat="1" ht="22.5">
      <c r="B636" s="97"/>
      <c r="C636" s="110" t="s">
        <v>1914</v>
      </c>
      <c r="D636" t="s">
        <v>2184</v>
      </c>
      <c r="E636" s="123" t="s">
        <v>2260</v>
      </c>
      <c r="F636" s="102" t="s">
        <v>417</v>
      </c>
      <c r="G636" s="97" t="s">
        <v>1929</v>
      </c>
      <c r="Q636" s="206" t="s">
        <v>2161</v>
      </c>
      <c r="R636" s="206">
        <f t="shared" si="67"/>
        <v>636</v>
      </c>
      <c r="S636" s="206" t="str">
        <f t="shared" si="68"/>
        <v>;'C EVALUACION'!$E$10:$BD$100;14;1)</v>
      </c>
      <c r="T636" s="203" t="s">
        <v>2229</v>
      </c>
      <c r="U636" s="206" t="str">
        <f t="shared" si="75"/>
        <v>=BUSCARV($E636;'C EVALUACION'!$E$10:$BD$100;14;1)</v>
      </c>
      <c r="V636" s="206"/>
      <c r="W636" s="206" t="e">
        <f>VLOOKUP($F636,#REF!,8,1)</f>
        <v>#REF!</v>
      </c>
      <c r="X636" s="206" t="e">
        <f t="shared" si="69"/>
        <v>#REF!</v>
      </c>
      <c r="Y636" s="206">
        <v>3</v>
      </c>
      <c r="Z636" s="206" t="e">
        <f>VLOOKUP($F636,#REF!,9,1)</f>
        <v>#REF!</v>
      </c>
      <c r="AA636" s="206" t="e">
        <f t="shared" si="74"/>
        <v>#REF!</v>
      </c>
      <c r="AB636" s="206">
        <v>10</v>
      </c>
      <c r="AC636" s="206" t="e">
        <f>VLOOKUP($F636,#REF!,14,1)</f>
        <v>#REF!</v>
      </c>
      <c r="AD636" s="206" t="e">
        <f>VLOOKUP($F636,#REF!,40,0)</f>
        <v>#REF!</v>
      </c>
      <c r="AE636" s="206" t="e">
        <f t="shared" si="70"/>
        <v>#REF!</v>
      </c>
      <c r="AF636" s="206">
        <v>1</v>
      </c>
      <c r="AG636" s="206" t="e">
        <f>VLOOKUP($F636,#REF!,42,0)</f>
        <v>#REF!</v>
      </c>
      <c r="AH636" s="206" t="e">
        <f t="shared" si="71"/>
        <v>#REF!</v>
      </c>
      <c r="AI636" s="206">
        <v>10</v>
      </c>
      <c r="AJ636" s="206" t="e">
        <f>VLOOKUP($F636,#REF!,43,0)</f>
        <v>#REF!</v>
      </c>
    </row>
    <row r="637" spans="2:36" s="102" customFormat="1" ht="22.5">
      <c r="B637" s="97"/>
      <c r="C637" s="110" t="s">
        <v>1914</v>
      </c>
      <c r="D637" t="s">
        <v>2184</v>
      </c>
      <c r="E637" s="123" t="s">
        <v>2260</v>
      </c>
      <c r="F637" s="102" t="s">
        <v>419</v>
      </c>
      <c r="G637" s="97" t="s">
        <v>1929</v>
      </c>
      <c r="Q637" s="206" t="s">
        <v>2161</v>
      </c>
      <c r="R637" s="206">
        <f t="shared" si="67"/>
        <v>637</v>
      </c>
      <c r="S637" s="206" t="str">
        <f t="shared" si="68"/>
        <v>;'C EVALUACION'!$E$10:$BD$100;14;1)</v>
      </c>
      <c r="T637" s="203" t="s">
        <v>2229</v>
      </c>
      <c r="U637" s="206" t="str">
        <f t="shared" si="75"/>
        <v>=BUSCARV($E637;'C EVALUACION'!$E$10:$BD$100;14;1)</v>
      </c>
      <c r="V637" s="206"/>
      <c r="W637" s="206" t="e">
        <f>VLOOKUP($F637,#REF!,8,1)</f>
        <v>#REF!</v>
      </c>
      <c r="X637" s="206" t="e">
        <f t="shared" si="69"/>
        <v>#REF!</v>
      </c>
      <c r="Y637" s="206">
        <v>1</v>
      </c>
      <c r="Z637" s="206" t="e">
        <f>VLOOKUP($F637,#REF!,9,1)</f>
        <v>#REF!</v>
      </c>
      <c r="AA637" s="206" t="e">
        <f t="shared" si="74"/>
        <v>#REF!</v>
      </c>
      <c r="AB637" s="206">
        <v>10</v>
      </c>
      <c r="AC637" s="206" t="e">
        <f>VLOOKUP($F637,#REF!,14,1)</f>
        <v>#REF!</v>
      </c>
      <c r="AD637" s="206" t="e">
        <f>VLOOKUP($F637,#REF!,40,0)</f>
        <v>#REF!</v>
      </c>
      <c r="AE637" s="206" t="e">
        <f t="shared" si="70"/>
        <v>#REF!</v>
      </c>
      <c r="AF637" s="206">
        <v>1</v>
      </c>
      <c r="AG637" s="206" t="e">
        <f>VLOOKUP($F637,#REF!,42,0)</f>
        <v>#REF!</v>
      </c>
      <c r="AH637" s="206" t="e">
        <f t="shared" si="71"/>
        <v>#REF!</v>
      </c>
      <c r="AI637" s="206">
        <v>10</v>
      </c>
      <c r="AJ637" s="206" t="e">
        <f>VLOOKUP($F637,#REF!,43,0)</f>
        <v>#REF!</v>
      </c>
    </row>
    <row r="638" spans="2:36" s="102" customFormat="1" ht="22.5">
      <c r="B638" s="97"/>
      <c r="C638" s="110" t="s">
        <v>1914</v>
      </c>
      <c r="D638" t="s">
        <v>2184</v>
      </c>
      <c r="E638" s="123" t="s">
        <v>2260</v>
      </c>
      <c r="Q638" s="206" t="s">
        <v>2161</v>
      </c>
      <c r="R638" s="206">
        <f t="shared" si="67"/>
        <v>638</v>
      </c>
      <c r="S638" s="206" t="str">
        <f t="shared" si="68"/>
        <v>;'C EVALUACION'!$E$10:$BD$100;14;1)</v>
      </c>
      <c r="T638" s="203" t="s">
        <v>2229</v>
      </c>
      <c r="U638" s="206" t="str">
        <f t="shared" si="75"/>
        <v>=BUSCARV($E638;'C EVALUACION'!$E$10:$BD$100;14;1)</v>
      </c>
      <c r="V638" s="206"/>
      <c r="W638" s="206" t="e">
        <f>VLOOKUP($F638,#REF!,8,1)</f>
        <v>#REF!</v>
      </c>
      <c r="X638" s="206" t="e">
        <f t="shared" si="69"/>
        <v>#REF!</v>
      </c>
      <c r="Y638" s="206" t="e">
        <v>#N/A</v>
      </c>
      <c r="Z638" s="206" t="e">
        <f>VLOOKUP($F638,#REF!,9,1)</f>
        <v>#REF!</v>
      </c>
      <c r="AA638" s="206" t="e">
        <f t="shared" si="74"/>
        <v>#REF!</v>
      </c>
      <c r="AB638" s="206" t="e">
        <v>#N/A</v>
      </c>
      <c r="AC638" s="206" t="e">
        <f>VLOOKUP($F638,#REF!,14,1)</f>
        <v>#REF!</v>
      </c>
      <c r="AD638" s="206" t="e">
        <f>VLOOKUP($F638,#REF!,40,0)</f>
        <v>#REF!</v>
      </c>
      <c r="AE638" s="206" t="e">
        <f t="shared" si="70"/>
        <v>#REF!</v>
      </c>
      <c r="AF638" s="206" t="e">
        <v>#N/A</v>
      </c>
      <c r="AG638" s="206" t="e">
        <f>VLOOKUP($F638,#REF!,42,0)</f>
        <v>#REF!</v>
      </c>
      <c r="AH638" s="206" t="e">
        <f t="shared" si="71"/>
        <v>#REF!</v>
      </c>
      <c r="AI638" s="206" t="e">
        <v>#N/A</v>
      </c>
      <c r="AJ638" s="206" t="e">
        <f>VLOOKUP($F638,#REF!,43,0)</f>
        <v>#REF!</v>
      </c>
    </row>
    <row r="639" spans="2:36" s="102" customFormat="1" ht="22.5">
      <c r="B639" s="97"/>
      <c r="C639" s="110" t="s">
        <v>1914</v>
      </c>
      <c r="D639" t="s">
        <v>2184</v>
      </c>
      <c r="E639" s="123" t="s">
        <v>2260</v>
      </c>
      <c r="Q639" s="206" t="s">
        <v>2161</v>
      </c>
      <c r="R639" s="206">
        <f t="shared" si="67"/>
        <v>639</v>
      </c>
      <c r="S639" s="206" t="str">
        <f t="shared" si="68"/>
        <v>;'C EVALUACION'!$E$10:$BD$100;14;1)</v>
      </c>
      <c r="T639" s="203" t="s">
        <v>2229</v>
      </c>
      <c r="U639" s="206" t="str">
        <f t="shared" si="75"/>
        <v>=BUSCARV($E639;'C EVALUACION'!$E$10:$BD$100;14;1)</v>
      </c>
      <c r="V639" s="206"/>
      <c r="W639" s="206" t="e">
        <f>VLOOKUP($F639,#REF!,8,1)</f>
        <v>#REF!</v>
      </c>
      <c r="X639" s="206" t="e">
        <f t="shared" si="69"/>
        <v>#REF!</v>
      </c>
      <c r="Y639" s="206" t="e">
        <v>#N/A</v>
      </c>
      <c r="Z639" s="206" t="e">
        <f>VLOOKUP($F639,#REF!,9,1)</f>
        <v>#REF!</v>
      </c>
      <c r="AA639" s="206" t="e">
        <f t="shared" si="74"/>
        <v>#REF!</v>
      </c>
      <c r="AB639" s="206" t="e">
        <v>#N/A</v>
      </c>
      <c r="AC639" s="206" t="e">
        <f>VLOOKUP($F639,#REF!,14,1)</f>
        <v>#REF!</v>
      </c>
      <c r="AD639" s="206" t="e">
        <f>VLOOKUP($F639,#REF!,40,0)</f>
        <v>#REF!</v>
      </c>
      <c r="AE639" s="206" t="e">
        <f t="shared" si="70"/>
        <v>#REF!</v>
      </c>
      <c r="AF639" s="206" t="e">
        <v>#N/A</v>
      </c>
      <c r="AG639" s="206" t="e">
        <f>VLOOKUP($F639,#REF!,42,0)</f>
        <v>#REF!</v>
      </c>
      <c r="AH639" s="206" t="e">
        <f t="shared" si="71"/>
        <v>#REF!</v>
      </c>
      <c r="AI639" s="206" t="e">
        <v>#N/A</v>
      </c>
      <c r="AJ639" s="206" t="e">
        <f>VLOOKUP($F639,#REF!,43,0)</f>
        <v>#REF!</v>
      </c>
    </row>
    <row r="640" spans="2:36" s="102" customFormat="1" ht="22.5">
      <c r="B640" s="97"/>
      <c r="C640" s="110" t="s">
        <v>1914</v>
      </c>
      <c r="D640" t="s">
        <v>2184</v>
      </c>
      <c r="E640" s="123" t="s">
        <v>2260</v>
      </c>
      <c r="Q640" s="206" t="s">
        <v>2161</v>
      </c>
      <c r="R640" s="206">
        <f t="shared" si="67"/>
        <v>640</v>
      </c>
      <c r="S640" s="206" t="str">
        <f t="shared" si="68"/>
        <v>;'C EVALUACION'!$E$10:$BD$100;14;1)</v>
      </c>
      <c r="T640" s="203" t="s">
        <v>2229</v>
      </c>
      <c r="U640" s="206" t="str">
        <f t="shared" si="75"/>
        <v>=BUSCARV($E640;'C EVALUACION'!$E$10:$BD$100;14;1)</v>
      </c>
      <c r="V640" s="206"/>
      <c r="W640" s="206" t="e">
        <f>VLOOKUP($F640,#REF!,8,1)</f>
        <v>#REF!</v>
      </c>
      <c r="X640" s="206" t="e">
        <f t="shared" si="69"/>
        <v>#REF!</v>
      </c>
      <c r="Y640" s="206" t="e">
        <v>#N/A</v>
      </c>
      <c r="Z640" s="206" t="e">
        <f>VLOOKUP($F640,#REF!,9,1)</f>
        <v>#REF!</v>
      </c>
      <c r="AA640" s="206" t="e">
        <f t="shared" si="74"/>
        <v>#REF!</v>
      </c>
      <c r="AB640" s="206" t="e">
        <v>#N/A</v>
      </c>
      <c r="AC640" s="206" t="e">
        <f>VLOOKUP($F640,#REF!,14,1)</f>
        <v>#REF!</v>
      </c>
      <c r="AD640" s="206" t="e">
        <f>VLOOKUP($F640,#REF!,40,0)</f>
        <v>#REF!</v>
      </c>
      <c r="AE640" s="206" t="e">
        <f t="shared" si="70"/>
        <v>#REF!</v>
      </c>
      <c r="AF640" s="206" t="e">
        <v>#N/A</v>
      </c>
      <c r="AG640" s="206" t="e">
        <f>VLOOKUP($F640,#REF!,42,0)</f>
        <v>#REF!</v>
      </c>
      <c r="AH640" s="206" t="e">
        <f t="shared" si="71"/>
        <v>#REF!</v>
      </c>
      <c r="AI640" s="206" t="e">
        <v>#N/A</v>
      </c>
      <c r="AJ640" s="206" t="e">
        <f>VLOOKUP($F640,#REF!,43,0)</f>
        <v>#REF!</v>
      </c>
    </row>
    <row r="641" spans="2:36" s="102" customFormat="1" ht="22.5">
      <c r="B641" s="97"/>
      <c r="C641" s="110" t="s">
        <v>1914</v>
      </c>
      <c r="D641" t="s">
        <v>2184</v>
      </c>
      <c r="E641" s="123" t="s">
        <v>2260</v>
      </c>
      <c r="Q641" s="206" t="s">
        <v>2161</v>
      </c>
      <c r="R641" s="206">
        <f t="shared" si="67"/>
        <v>641</v>
      </c>
      <c r="S641" s="206" t="str">
        <f t="shared" si="68"/>
        <v>;'C EVALUACION'!$E$10:$BD$100;14;1)</v>
      </c>
      <c r="T641" s="203" t="s">
        <v>2229</v>
      </c>
      <c r="U641" s="206" t="str">
        <f t="shared" si="75"/>
        <v>=BUSCARV($E641;'C EVALUACION'!$E$10:$BD$100;14;1)</v>
      </c>
      <c r="V641" s="206"/>
      <c r="W641" s="206" t="e">
        <f>VLOOKUP($F641,#REF!,8,1)</f>
        <v>#REF!</v>
      </c>
      <c r="X641" s="206" t="e">
        <f t="shared" si="69"/>
        <v>#REF!</v>
      </c>
      <c r="Y641" s="206" t="e">
        <v>#N/A</v>
      </c>
      <c r="Z641" s="206" t="e">
        <f>VLOOKUP($F641,#REF!,9,1)</f>
        <v>#REF!</v>
      </c>
      <c r="AA641" s="206" t="e">
        <f t="shared" si="74"/>
        <v>#REF!</v>
      </c>
      <c r="AB641" s="206" t="e">
        <v>#N/A</v>
      </c>
      <c r="AC641" s="206" t="e">
        <f>VLOOKUP($F641,#REF!,14,1)</f>
        <v>#REF!</v>
      </c>
      <c r="AD641" s="206" t="e">
        <f>VLOOKUP($F641,#REF!,40,0)</f>
        <v>#REF!</v>
      </c>
      <c r="AE641" s="206" t="e">
        <f t="shared" si="70"/>
        <v>#REF!</v>
      </c>
      <c r="AF641" s="206" t="e">
        <v>#N/A</v>
      </c>
      <c r="AG641" s="206" t="e">
        <f>VLOOKUP($F641,#REF!,42,0)</f>
        <v>#REF!</v>
      </c>
      <c r="AH641" s="206" t="e">
        <f t="shared" si="71"/>
        <v>#REF!</v>
      </c>
      <c r="AI641" s="206" t="e">
        <v>#N/A</v>
      </c>
      <c r="AJ641" s="206" t="e">
        <f>VLOOKUP($F641,#REF!,43,0)</f>
        <v>#REF!</v>
      </c>
    </row>
    <row r="642" spans="2:36" s="102" customFormat="1" ht="22.5">
      <c r="B642" s="97"/>
      <c r="C642" s="110" t="s">
        <v>1914</v>
      </c>
      <c r="D642" t="s">
        <v>2184</v>
      </c>
      <c r="E642" s="123" t="s">
        <v>2260</v>
      </c>
      <c r="Q642" s="206" t="s">
        <v>2161</v>
      </c>
      <c r="R642" s="206">
        <f t="shared" si="67"/>
        <v>642</v>
      </c>
      <c r="S642" s="206" t="str">
        <f t="shared" si="68"/>
        <v>;'C EVALUACION'!$E$10:$BD$100;14;1)</v>
      </c>
      <c r="T642" s="203" t="s">
        <v>2229</v>
      </c>
      <c r="U642" s="206" t="str">
        <f t="shared" si="75"/>
        <v>=BUSCARV($E642;'C EVALUACION'!$E$10:$BD$100;14;1)</v>
      </c>
      <c r="V642" s="206"/>
      <c r="W642" s="206" t="e">
        <f>VLOOKUP($F642,#REF!,8,1)</f>
        <v>#REF!</v>
      </c>
      <c r="X642" s="206" t="e">
        <f t="shared" si="69"/>
        <v>#REF!</v>
      </c>
      <c r="Y642" s="206" t="e">
        <v>#N/A</v>
      </c>
      <c r="Z642" s="206" t="e">
        <f>VLOOKUP($F642,#REF!,9,1)</f>
        <v>#REF!</v>
      </c>
      <c r="AA642" s="206" t="e">
        <f t="shared" si="74"/>
        <v>#REF!</v>
      </c>
      <c r="AB642" s="206" t="e">
        <v>#N/A</v>
      </c>
      <c r="AC642" s="206" t="e">
        <f>VLOOKUP($F642,#REF!,14,1)</f>
        <v>#REF!</v>
      </c>
      <c r="AD642" s="206" t="e">
        <f>VLOOKUP($F642,#REF!,40,0)</f>
        <v>#REF!</v>
      </c>
      <c r="AE642" s="206" t="e">
        <f t="shared" si="70"/>
        <v>#REF!</v>
      </c>
      <c r="AF642" s="206" t="e">
        <v>#N/A</v>
      </c>
      <c r="AG642" s="206" t="e">
        <f>VLOOKUP($F642,#REF!,42,0)</f>
        <v>#REF!</v>
      </c>
      <c r="AH642" s="206" t="e">
        <f t="shared" si="71"/>
        <v>#REF!</v>
      </c>
      <c r="AI642" s="206" t="e">
        <v>#N/A</v>
      </c>
      <c r="AJ642" s="206" t="e">
        <f>VLOOKUP($F642,#REF!,43,0)</f>
        <v>#REF!</v>
      </c>
    </row>
    <row r="643" spans="2:36" s="102" customFormat="1" ht="22.5">
      <c r="B643" s="97"/>
      <c r="C643" s="110" t="s">
        <v>1914</v>
      </c>
      <c r="D643" t="s">
        <v>2184</v>
      </c>
      <c r="E643" s="123" t="s">
        <v>2260</v>
      </c>
      <c r="Q643" s="206" t="s">
        <v>2161</v>
      </c>
      <c r="R643" s="206">
        <f t="shared" si="67"/>
        <v>643</v>
      </c>
      <c r="S643" s="206" t="str">
        <f t="shared" si="68"/>
        <v>;'C EVALUACION'!$E$10:$BD$100;14;1)</v>
      </c>
      <c r="T643" s="203" t="s">
        <v>2229</v>
      </c>
      <c r="U643" s="206" t="str">
        <f t="shared" si="75"/>
        <v>=BUSCARV($E643;'C EVALUACION'!$E$10:$BD$100;14;1)</v>
      </c>
      <c r="V643" s="206"/>
      <c r="W643" s="206" t="e">
        <f>VLOOKUP($F643,#REF!,8,1)</f>
        <v>#REF!</v>
      </c>
      <c r="X643" s="206" t="e">
        <f t="shared" si="69"/>
        <v>#REF!</v>
      </c>
      <c r="Y643" s="206" t="e">
        <v>#N/A</v>
      </c>
      <c r="Z643" s="206" t="e">
        <f>VLOOKUP($F643,#REF!,9,1)</f>
        <v>#REF!</v>
      </c>
      <c r="AA643" s="206" t="e">
        <f t="shared" si="74"/>
        <v>#REF!</v>
      </c>
      <c r="AB643" s="206" t="e">
        <v>#N/A</v>
      </c>
      <c r="AC643" s="206" t="e">
        <f>VLOOKUP($F643,#REF!,14,1)</f>
        <v>#REF!</v>
      </c>
      <c r="AD643" s="206" t="e">
        <f>VLOOKUP($F643,#REF!,40,0)</f>
        <v>#REF!</v>
      </c>
      <c r="AE643" s="206" t="e">
        <f t="shared" si="70"/>
        <v>#REF!</v>
      </c>
      <c r="AF643" s="206" t="e">
        <v>#N/A</v>
      </c>
      <c r="AG643" s="206" t="e">
        <f>VLOOKUP($F643,#REF!,42,0)</f>
        <v>#REF!</v>
      </c>
      <c r="AH643" s="206" t="e">
        <f t="shared" si="71"/>
        <v>#REF!</v>
      </c>
      <c r="AI643" s="206" t="e">
        <v>#N/A</v>
      </c>
      <c r="AJ643" s="206" t="e">
        <f>VLOOKUP($F643,#REF!,43,0)</f>
        <v>#REF!</v>
      </c>
    </row>
    <row r="644" spans="2:36" s="102" customFormat="1" ht="22.5">
      <c r="B644" s="97"/>
      <c r="C644" s="106" t="s">
        <v>1911</v>
      </c>
      <c r="D644" t="s">
        <v>2185</v>
      </c>
      <c r="E644" s="123" t="s">
        <v>2260</v>
      </c>
      <c r="F644" s="102" t="s">
        <v>25</v>
      </c>
      <c r="G644" s="97" t="s">
        <v>1929</v>
      </c>
      <c r="Q644" s="206" t="s">
        <v>2161</v>
      </c>
      <c r="R644" s="206">
        <f t="shared" si="67"/>
        <v>644</v>
      </c>
      <c r="S644" s="206" t="str">
        <f t="shared" si="68"/>
        <v>;'C MEJORAMIENTO'!$E$10:$BD$100;14;1)</v>
      </c>
      <c r="T644" s="203" t="s">
        <v>2230</v>
      </c>
      <c r="U644" s="206" t="str">
        <f>CONCATENATE("=BUSCARV($E",R644,T644)</f>
        <v>=BUSCARV($E644;'C MEJORAMIENTO'!$E$10:$BD$100;14;1)</v>
      </c>
      <c r="V644" s="206"/>
      <c r="W644" s="206" t="e">
        <f>VLOOKUP($F644,#REF!,8,1)</f>
        <v>#REF!</v>
      </c>
      <c r="X644" s="206" t="e">
        <f t="shared" si="69"/>
        <v>#REF!</v>
      </c>
      <c r="Y644" s="206">
        <v>2</v>
      </c>
      <c r="Z644" s="206" t="e">
        <f>VLOOKUP($F644,#REF!,9,1)</f>
        <v>#REF!</v>
      </c>
      <c r="AA644" s="206" t="e">
        <f t="shared" si="74"/>
        <v>#REF!</v>
      </c>
      <c r="AB644" s="206">
        <v>10</v>
      </c>
      <c r="AC644" s="206" t="e">
        <f>VLOOKUP($F644,#REF!,14,1)</f>
        <v>#REF!</v>
      </c>
      <c r="AD644" s="206" t="e">
        <f>VLOOKUP($F644,#REF!,40,0)</f>
        <v>#REF!</v>
      </c>
      <c r="AE644" s="206" t="e">
        <f t="shared" si="70"/>
        <v>#REF!</v>
      </c>
      <c r="AF644" s="206">
        <v>1</v>
      </c>
      <c r="AG644" s="206" t="e">
        <f>VLOOKUP($F644,#REF!,42,0)</f>
        <v>#REF!</v>
      </c>
      <c r="AH644" s="206" t="e">
        <f t="shared" si="71"/>
        <v>#REF!</v>
      </c>
      <c r="AI644" s="206">
        <v>5</v>
      </c>
      <c r="AJ644" s="206" t="e">
        <f>VLOOKUP($F644,#REF!,43,0)</f>
        <v>#REF!</v>
      </c>
    </row>
    <row r="645" spans="2:36" s="102" customFormat="1" ht="22.5">
      <c r="B645" s="97"/>
      <c r="C645" s="106" t="s">
        <v>1911</v>
      </c>
      <c r="D645" t="s">
        <v>2185</v>
      </c>
      <c r="E645" s="123" t="s">
        <v>2260</v>
      </c>
      <c r="F645" s="102" t="s">
        <v>585</v>
      </c>
      <c r="G645" s="97" t="s">
        <v>1929</v>
      </c>
      <c r="Q645" s="206" t="s">
        <v>2161</v>
      </c>
      <c r="R645" s="206">
        <f t="shared" si="67"/>
        <v>645</v>
      </c>
      <c r="S645" s="206" t="str">
        <f t="shared" si="68"/>
        <v>;'C MEJORAMIENTO'!$E$10:$BD$100;14;1)</v>
      </c>
      <c r="T645" s="203" t="s">
        <v>2230</v>
      </c>
      <c r="U645" s="206" t="str">
        <f>CONCATENATE("=BUSCARV($E",R645,T645)</f>
        <v>=BUSCARV($E645;'C MEJORAMIENTO'!$E$10:$BD$100;14;1)</v>
      </c>
      <c r="V645" s="206"/>
      <c r="W645" s="206" t="e">
        <f>VLOOKUP($F645,#REF!,8,1)</f>
        <v>#REF!</v>
      </c>
      <c r="X645" s="206" t="e">
        <f t="shared" si="69"/>
        <v>#REF!</v>
      </c>
      <c r="Y645" s="206">
        <v>1</v>
      </c>
      <c r="Z645" s="206" t="e">
        <f>VLOOKUP($F645,#REF!,9,1)</f>
        <v>#REF!</v>
      </c>
      <c r="AA645" s="206" t="e">
        <f t="shared" si="74"/>
        <v>#REF!</v>
      </c>
      <c r="AB645" s="206">
        <v>20</v>
      </c>
      <c r="AC645" s="206" t="e">
        <f>VLOOKUP($F645,#REF!,14,1)</f>
        <v>#REF!</v>
      </c>
      <c r="AD645" s="206" t="e">
        <f>VLOOKUP($F645,#REF!,40,0)</f>
        <v>#REF!</v>
      </c>
      <c r="AE645" s="206" t="e">
        <f t="shared" si="70"/>
        <v>#REF!</v>
      </c>
      <c r="AF645" s="206">
        <v>1</v>
      </c>
      <c r="AG645" s="206" t="e">
        <f>VLOOKUP($F645,#REF!,42,0)</f>
        <v>#REF!</v>
      </c>
      <c r="AH645" s="206" t="e">
        <f t="shared" si="71"/>
        <v>#REF!</v>
      </c>
      <c r="AI645" s="206">
        <v>5</v>
      </c>
      <c r="AJ645" s="206" t="e">
        <f>VLOOKUP($F645,#REF!,43,0)</f>
        <v>#REF!</v>
      </c>
    </row>
    <row r="646" spans="2:36" s="102" customFormat="1" ht="22.5">
      <c r="B646" s="97"/>
      <c r="C646" s="106" t="s">
        <v>1911</v>
      </c>
      <c r="D646" t="s">
        <v>2185</v>
      </c>
      <c r="E646" s="123" t="s">
        <v>2260</v>
      </c>
      <c r="Q646" s="206" t="s">
        <v>2161</v>
      </c>
      <c r="R646" s="206">
        <f t="shared" si="67"/>
        <v>646</v>
      </c>
      <c r="S646" s="206" t="str">
        <f t="shared" si="68"/>
        <v>;'C MEJORAMIENTO'!$E$10:$BD$100;14;1)</v>
      </c>
      <c r="T646" s="203" t="s">
        <v>2230</v>
      </c>
      <c r="U646" s="206" t="str">
        <f t="shared" ref="U646:U657" si="76">CONCATENATE("=BUSCARV($E",R646,T646)</f>
        <v>=BUSCARV($E646;'C MEJORAMIENTO'!$E$10:$BD$100;14;1)</v>
      </c>
      <c r="V646" s="206"/>
      <c r="W646" s="206" t="e">
        <f>VLOOKUP($F646,#REF!,8,1)</f>
        <v>#REF!</v>
      </c>
      <c r="X646" s="206" t="e">
        <f t="shared" si="69"/>
        <v>#REF!</v>
      </c>
      <c r="Y646" s="206" t="e">
        <v>#N/A</v>
      </c>
      <c r="Z646" s="206" t="e">
        <f>VLOOKUP($F646,#REF!,9,1)</f>
        <v>#REF!</v>
      </c>
      <c r="AA646" s="206" t="e">
        <f t="shared" si="74"/>
        <v>#REF!</v>
      </c>
      <c r="AB646" s="206" t="e">
        <v>#N/A</v>
      </c>
      <c r="AC646" s="206" t="e">
        <f>VLOOKUP($F646,#REF!,14,1)</f>
        <v>#REF!</v>
      </c>
      <c r="AD646" s="206" t="e">
        <f>VLOOKUP($F646,#REF!,40,0)</f>
        <v>#REF!</v>
      </c>
      <c r="AE646" s="206" t="e">
        <f t="shared" si="70"/>
        <v>#REF!</v>
      </c>
      <c r="AF646" s="206" t="e">
        <v>#N/A</v>
      </c>
      <c r="AG646" s="206" t="e">
        <f>VLOOKUP($F646,#REF!,42,0)</f>
        <v>#REF!</v>
      </c>
      <c r="AH646" s="206" t="e">
        <f t="shared" si="71"/>
        <v>#REF!</v>
      </c>
      <c r="AI646" s="206" t="e">
        <v>#N/A</v>
      </c>
      <c r="AJ646" s="206" t="e">
        <f>VLOOKUP($F646,#REF!,43,0)</f>
        <v>#REF!</v>
      </c>
    </row>
    <row r="647" spans="2:36" s="102" customFormat="1" ht="22.5">
      <c r="B647" s="97"/>
      <c r="C647" s="106" t="s">
        <v>1911</v>
      </c>
      <c r="D647" t="s">
        <v>2185</v>
      </c>
      <c r="E647" s="123" t="s">
        <v>2260</v>
      </c>
      <c r="Q647" s="206" t="s">
        <v>2161</v>
      </c>
      <c r="R647" s="206">
        <f t="shared" si="67"/>
        <v>647</v>
      </c>
      <c r="S647" s="206" t="str">
        <f t="shared" si="68"/>
        <v>;'C MEJORAMIENTO'!$E$10:$BD$100;14;1)</v>
      </c>
      <c r="T647" s="203" t="s">
        <v>2230</v>
      </c>
      <c r="U647" s="206" t="str">
        <f t="shared" si="76"/>
        <v>=BUSCARV($E647;'C MEJORAMIENTO'!$E$10:$BD$100;14;1)</v>
      </c>
      <c r="V647" s="206"/>
      <c r="W647" s="206" t="e">
        <f>VLOOKUP($F647,#REF!,8,1)</f>
        <v>#REF!</v>
      </c>
      <c r="X647" s="206" t="e">
        <f t="shared" si="69"/>
        <v>#REF!</v>
      </c>
      <c r="Y647" s="206" t="e">
        <v>#N/A</v>
      </c>
      <c r="Z647" s="206" t="e">
        <f>VLOOKUP($F647,#REF!,9,1)</f>
        <v>#REF!</v>
      </c>
      <c r="AA647" s="206" t="e">
        <f t="shared" si="74"/>
        <v>#REF!</v>
      </c>
      <c r="AB647" s="206" t="e">
        <v>#N/A</v>
      </c>
      <c r="AC647" s="206" t="e">
        <f>VLOOKUP($F647,#REF!,14,1)</f>
        <v>#REF!</v>
      </c>
      <c r="AD647" s="206" t="e">
        <f>VLOOKUP($F647,#REF!,40,0)</f>
        <v>#REF!</v>
      </c>
      <c r="AE647" s="206" t="e">
        <f t="shared" si="70"/>
        <v>#REF!</v>
      </c>
      <c r="AF647" s="206" t="e">
        <v>#N/A</v>
      </c>
      <c r="AG647" s="206" t="e">
        <f>VLOOKUP($F647,#REF!,42,0)</f>
        <v>#REF!</v>
      </c>
      <c r="AH647" s="206" t="e">
        <f t="shared" si="71"/>
        <v>#REF!</v>
      </c>
      <c r="AI647" s="206" t="e">
        <v>#N/A</v>
      </c>
      <c r="AJ647" s="206" t="e">
        <f>VLOOKUP($F647,#REF!,43,0)</f>
        <v>#REF!</v>
      </c>
    </row>
    <row r="648" spans="2:36" s="102" customFormat="1" ht="22.5">
      <c r="B648" s="97"/>
      <c r="C648" s="106" t="s">
        <v>1911</v>
      </c>
      <c r="D648" t="s">
        <v>2185</v>
      </c>
      <c r="E648" s="123" t="s">
        <v>2260</v>
      </c>
      <c r="Q648" s="206" t="s">
        <v>2161</v>
      </c>
      <c r="R648" s="206">
        <f t="shared" si="67"/>
        <v>648</v>
      </c>
      <c r="S648" s="206" t="str">
        <f t="shared" si="68"/>
        <v>;'C MEJORAMIENTO'!$E$10:$BD$100;14;1)</v>
      </c>
      <c r="T648" s="203" t="s">
        <v>2230</v>
      </c>
      <c r="U648" s="206" t="str">
        <f t="shared" si="76"/>
        <v>=BUSCARV($E648;'C MEJORAMIENTO'!$E$10:$BD$100;14;1)</v>
      </c>
      <c r="V648" s="206"/>
      <c r="W648" s="206" t="e">
        <f>VLOOKUP($F648,#REF!,8,1)</f>
        <v>#REF!</v>
      </c>
      <c r="X648" s="206" t="e">
        <f t="shared" si="69"/>
        <v>#REF!</v>
      </c>
      <c r="Y648" s="206" t="e">
        <v>#N/A</v>
      </c>
      <c r="Z648" s="206" t="e">
        <f>VLOOKUP($F648,#REF!,9,1)</f>
        <v>#REF!</v>
      </c>
      <c r="AA648" s="206" t="e">
        <f t="shared" si="74"/>
        <v>#REF!</v>
      </c>
      <c r="AB648" s="206" t="e">
        <v>#N/A</v>
      </c>
      <c r="AC648" s="206" t="e">
        <f>VLOOKUP($F648,#REF!,14,1)</f>
        <v>#REF!</v>
      </c>
      <c r="AD648" s="206" t="e">
        <f>VLOOKUP($F648,#REF!,40,0)</f>
        <v>#REF!</v>
      </c>
      <c r="AE648" s="206" t="e">
        <f t="shared" si="70"/>
        <v>#REF!</v>
      </c>
      <c r="AF648" s="206" t="e">
        <v>#N/A</v>
      </c>
      <c r="AG648" s="206" t="e">
        <f>VLOOKUP($F648,#REF!,42,0)</f>
        <v>#REF!</v>
      </c>
      <c r="AH648" s="206" t="e">
        <f t="shared" si="71"/>
        <v>#REF!</v>
      </c>
      <c r="AI648" s="206" t="e">
        <v>#N/A</v>
      </c>
      <c r="AJ648" s="206" t="e">
        <f>VLOOKUP($F648,#REF!,43,0)</f>
        <v>#REF!</v>
      </c>
    </row>
    <row r="649" spans="2:36" s="102" customFormat="1" ht="22.5">
      <c r="B649" s="97"/>
      <c r="C649" s="106" t="s">
        <v>1911</v>
      </c>
      <c r="D649" t="s">
        <v>2185</v>
      </c>
      <c r="E649" s="123" t="s">
        <v>2260</v>
      </c>
      <c r="Q649" s="206" t="s">
        <v>2161</v>
      </c>
      <c r="R649" s="206">
        <f t="shared" si="67"/>
        <v>649</v>
      </c>
      <c r="S649" s="206" t="str">
        <f t="shared" si="68"/>
        <v>;'C MEJORAMIENTO'!$E$10:$BD$100;14;1)</v>
      </c>
      <c r="T649" s="203" t="s">
        <v>2230</v>
      </c>
      <c r="U649" s="206" t="str">
        <f t="shared" si="76"/>
        <v>=BUSCARV($E649;'C MEJORAMIENTO'!$E$10:$BD$100;14;1)</v>
      </c>
      <c r="V649" s="206"/>
      <c r="W649" s="206" t="e">
        <f>VLOOKUP($F649,#REF!,8,1)</f>
        <v>#REF!</v>
      </c>
      <c r="X649" s="206" t="e">
        <f t="shared" si="69"/>
        <v>#REF!</v>
      </c>
      <c r="Y649" s="206" t="e">
        <v>#N/A</v>
      </c>
      <c r="Z649" s="206" t="e">
        <f>VLOOKUP($F649,#REF!,9,1)</f>
        <v>#REF!</v>
      </c>
      <c r="AA649" s="206" t="e">
        <f t="shared" si="74"/>
        <v>#REF!</v>
      </c>
      <c r="AB649" s="206" t="e">
        <v>#N/A</v>
      </c>
      <c r="AC649" s="206" t="e">
        <f>VLOOKUP($F649,#REF!,14,1)</f>
        <v>#REF!</v>
      </c>
      <c r="AD649" s="206" t="e">
        <f>VLOOKUP($F649,#REF!,40,0)</f>
        <v>#REF!</v>
      </c>
      <c r="AE649" s="206" t="e">
        <f t="shared" si="70"/>
        <v>#REF!</v>
      </c>
      <c r="AF649" s="206" t="e">
        <v>#N/A</v>
      </c>
      <c r="AG649" s="206" t="e">
        <f>VLOOKUP($F649,#REF!,42,0)</f>
        <v>#REF!</v>
      </c>
      <c r="AH649" s="206" t="e">
        <f t="shared" si="71"/>
        <v>#REF!</v>
      </c>
      <c r="AI649" s="206" t="e">
        <v>#N/A</v>
      </c>
      <c r="AJ649" s="206" t="e">
        <f>VLOOKUP($F649,#REF!,43,0)</f>
        <v>#REF!</v>
      </c>
    </row>
    <row r="650" spans="2:36" s="102" customFormat="1" ht="22.5">
      <c r="B650" s="97"/>
      <c r="C650" s="106" t="s">
        <v>1911</v>
      </c>
      <c r="D650" t="s">
        <v>2185</v>
      </c>
      <c r="E650" s="123" t="s">
        <v>2260</v>
      </c>
      <c r="Q650" s="206" t="s">
        <v>2161</v>
      </c>
      <c r="R650" s="206">
        <f t="shared" si="67"/>
        <v>650</v>
      </c>
      <c r="S650" s="206" t="str">
        <f t="shared" si="68"/>
        <v>;'C MEJORAMIENTO'!$E$10:$BD$100;14;1)</v>
      </c>
      <c r="T650" s="203" t="s">
        <v>2230</v>
      </c>
      <c r="U650" s="206" t="str">
        <f t="shared" si="76"/>
        <v>=BUSCARV($E650;'C MEJORAMIENTO'!$E$10:$BD$100;14;1)</v>
      </c>
      <c r="V650" s="206"/>
      <c r="W650" s="206" t="e">
        <f>VLOOKUP($F650,#REF!,8,1)</f>
        <v>#REF!</v>
      </c>
      <c r="X650" s="206" t="e">
        <f t="shared" si="69"/>
        <v>#REF!</v>
      </c>
      <c r="Y650" s="206" t="e">
        <v>#N/A</v>
      </c>
      <c r="Z650" s="206" t="e">
        <f>VLOOKUP($F650,#REF!,9,1)</f>
        <v>#REF!</v>
      </c>
      <c r="AA650" s="206" t="e">
        <f t="shared" si="74"/>
        <v>#REF!</v>
      </c>
      <c r="AB650" s="206" t="e">
        <v>#N/A</v>
      </c>
      <c r="AC650" s="206" t="e">
        <f>VLOOKUP($F650,#REF!,14,1)</f>
        <v>#REF!</v>
      </c>
      <c r="AD650" s="206" t="e">
        <f>VLOOKUP($F650,#REF!,40,0)</f>
        <v>#REF!</v>
      </c>
      <c r="AE650" s="206" t="e">
        <f t="shared" si="70"/>
        <v>#REF!</v>
      </c>
      <c r="AF650" s="206" t="e">
        <v>#N/A</v>
      </c>
      <c r="AG650" s="206" t="e">
        <f>VLOOKUP($F650,#REF!,42,0)</f>
        <v>#REF!</v>
      </c>
      <c r="AH650" s="206" t="e">
        <f t="shared" si="71"/>
        <v>#REF!</v>
      </c>
      <c r="AI650" s="206" t="e">
        <v>#N/A</v>
      </c>
      <c r="AJ650" s="206" t="e">
        <f>VLOOKUP($F650,#REF!,43,0)</f>
        <v>#REF!</v>
      </c>
    </row>
    <row r="651" spans="2:36" s="102" customFormat="1" ht="22.5">
      <c r="B651" s="97"/>
      <c r="C651" s="106" t="s">
        <v>1911</v>
      </c>
      <c r="D651" t="s">
        <v>2185</v>
      </c>
      <c r="E651" s="123" t="s">
        <v>2260</v>
      </c>
      <c r="Q651" s="206" t="s">
        <v>2161</v>
      </c>
      <c r="R651" s="206">
        <f t="shared" si="67"/>
        <v>651</v>
      </c>
      <c r="S651" s="206" t="str">
        <f t="shared" si="68"/>
        <v>;'C MEJORAMIENTO'!$E$10:$BD$100;14;1)</v>
      </c>
      <c r="T651" s="203" t="s">
        <v>2230</v>
      </c>
      <c r="U651" s="206" t="str">
        <f t="shared" si="76"/>
        <v>=BUSCARV($E651;'C MEJORAMIENTO'!$E$10:$BD$100;14;1)</v>
      </c>
      <c r="V651" s="206"/>
      <c r="W651" s="206" t="e">
        <f>VLOOKUP($F651,#REF!,8,1)</f>
        <v>#REF!</v>
      </c>
      <c r="X651" s="206" t="e">
        <f t="shared" si="69"/>
        <v>#REF!</v>
      </c>
      <c r="Y651" s="206" t="e">
        <v>#N/A</v>
      </c>
      <c r="Z651" s="206" t="e">
        <f>VLOOKUP($F651,#REF!,9,1)</f>
        <v>#REF!</v>
      </c>
      <c r="AA651" s="206" t="e">
        <f t="shared" si="74"/>
        <v>#REF!</v>
      </c>
      <c r="AB651" s="206" t="e">
        <v>#N/A</v>
      </c>
      <c r="AC651" s="206" t="e">
        <f>VLOOKUP($F651,#REF!,14,1)</f>
        <v>#REF!</v>
      </c>
      <c r="AD651" s="206" t="e">
        <f>VLOOKUP($F651,#REF!,40,0)</f>
        <v>#REF!</v>
      </c>
      <c r="AE651" s="206" t="e">
        <f t="shared" si="70"/>
        <v>#REF!</v>
      </c>
      <c r="AF651" s="206" t="e">
        <v>#N/A</v>
      </c>
      <c r="AG651" s="206" t="e">
        <f>VLOOKUP($F651,#REF!,42,0)</f>
        <v>#REF!</v>
      </c>
      <c r="AH651" s="206" t="e">
        <f t="shared" si="71"/>
        <v>#REF!</v>
      </c>
      <c r="AI651" s="206" t="e">
        <v>#N/A</v>
      </c>
      <c r="AJ651" s="206" t="e">
        <f>VLOOKUP($F651,#REF!,43,0)</f>
        <v>#REF!</v>
      </c>
    </row>
    <row r="652" spans="2:36" s="102" customFormat="1" ht="22.5">
      <c r="B652" s="97"/>
      <c r="C652" s="106" t="s">
        <v>1911</v>
      </c>
      <c r="D652" t="s">
        <v>2185</v>
      </c>
      <c r="E652" s="123" t="s">
        <v>2260</v>
      </c>
      <c r="Q652" s="206" t="s">
        <v>2161</v>
      </c>
      <c r="R652" s="206">
        <f t="shared" si="67"/>
        <v>652</v>
      </c>
      <c r="S652" s="206" t="str">
        <f t="shared" si="68"/>
        <v>;'C MEJORAMIENTO'!$E$10:$BD$100;14;1)</v>
      </c>
      <c r="T652" s="203" t="s">
        <v>2230</v>
      </c>
      <c r="U652" s="206" t="str">
        <f t="shared" si="76"/>
        <v>=BUSCARV($E652;'C MEJORAMIENTO'!$E$10:$BD$100;14;1)</v>
      </c>
      <c r="V652" s="206"/>
      <c r="W652" s="206" t="e">
        <f>VLOOKUP($F652,#REF!,8,1)</f>
        <v>#REF!</v>
      </c>
      <c r="X652" s="206" t="e">
        <f t="shared" si="69"/>
        <v>#REF!</v>
      </c>
      <c r="Y652" s="206" t="e">
        <v>#N/A</v>
      </c>
      <c r="Z652" s="206" t="e">
        <f>VLOOKUP($F652,#REF!,9,1)</f>
        <v>#REF!</v>
      </c>
      <c r="AA652" s="206" t="e">
        <f t="shared" si="74"/>
        <v>#REF!</v>
      </c>
      <c r="AB652" s="206" t="e">
        <v>#N/A</v>
      </c>
      <c r="AC652" s="206" t="e">
        <f>VLOOKUP($F652,#REF!,14,1)</f>
        <v>#REF!</v>
      </c>
      <c r="AD652" s="206" t="e">
        <f>VLOOKUP($F652,#REF!,40,0)</f>
        <v>#REF!</v>
      </c>
      <c r="AE652" s="206" t="e">
        <f t="shared" si="70"/>
        <v>#REF!</v>
      </c>
      <c r="AF652" s="206" t="e">
        <v>#N/A</v>
      </c>
      <c r="AG652" s="206" t="e">
        <f>VLOOKUP($F652,#REF!,42,0)</f>
        <v>#REF!</v>
      </c>
      <c r="AH652" s="206" t="e">
        <f t="shared" si="71"/>
        <v>#REF!</v>
      </c>
      <c r="AI652" s="206" t="e">
        <v>#N/A</v>
      </c>
      <c r="AJ652" s="206" t="e">
        <f>VLOOKUP($F652,#REF!,43,0)</f>
        <v>#REF!</v>
      </c>
    </row>
    <row r="653" spans="2:36" s="102" customFormat="1" ht="22.5">
      <c r="B653" s="97"/>
      <c r="C653" s="106" t="s">
        <v>1911</v>
      </c>
      <c r="D653" t="s">
        <v>2185</v>
      </c>
      <c r="E653" s="123" t="s">
        <v>2260</v>
      </c>
      <c r="Q653" s="206" t="s">
        <v>2161</v>
      </c>
      <c r="R653" s="206">
        <f t="shared" si="67"/>
        <v>653</v>
      </c>
      <c r="S653" s="206" t="str">
        <f t="shared" si="68"/>
        <v>;'C MEJORAMIENTO'!$E$10:$BD$100;14;1)</v>
      </c>
      <c r="T653" s="203" t="s">
        <v>2230</v>
      </c>
      <c r="U653" s="206" t="str">
        <f t="shared" si="76"/>
        <v>=BUSCARV($E653;'C MEJORAMIENTO'!$E$10:$BD$100;14;1)</v>
      </c>
      <c r="V653" s="206"/>
      <c r="W653" s="206" t="e">
        <f>VLOOKUP($F653,#REF!,8,1)</f>
        <v>#REF!</v>
      </c>
      <c r="X653" s="206" t="e">
        <f t="shared" si="69"/>
        <v>#REF!</v>
      </c>
      <c r="Y653" s="206" t="e">
        <v>#N/A</v>
      </c>
      <c r="Z653" s="206" t="e">
        <f>VLOOKUP($F653,#REF!,9,1)</f>
        <v>#REF!</v>
      </c>
      <c r="AA653" s="206" t="e">
        <f t="shared" si="74"/>
        <v>#REF!</v>
      </c>
      <c r="AB653" s="206" t="e">
        <v>#N/A</v>
      </c>
      <c r="AC653" s="206" t="e">
        <f>VLOOKUP($F653,#REF!,14,1)</f>
        <v>#REF!</v>
      </c>
      <c r="AD653" s="206" t="e">
        <f>VLOOKUP($F653,#REF!,40,0)</f>
        <v>#REF!</v>
      </c>
      <c r="AE653" s="206" t="e">
        <f t="shared" si="70"/>
        <v>#REF!</v>
      </c>
      <c r="AF653" s="206" t="e">
        <v>#N/A</v>
      </c>
      <c r="AG653" s="206" t="e">
        <f>VLOOKUP($F653,#REF!,42,0)</f>
        <v>#REF!</v>
      </c>
      <c r="AH653" s="206" t="e">
        <f t="shared" si="71"/>
        <v>#REF!</v>
      </c>
      <c r="AI653" s="206" t="e">
        <v>#N/A</v>
      </c>
      <c r="AJ653" s="206" t="e">
        <f>VLOOKUP($F653,#REF!,43,0)</f>
        <v>#REF!</v>
      </c>
    </row>
    <row r="654" spans="2:36" s="102" customFormat="1" ht="22.5">
      <c r="B654" s="97"/>
      <c r="C654" s="106" t="s">
        <v>1911</v>
      </c>
      <c r="D654" t="s">
        <v>2185</v>
      </c>
      <c r="E654" s="123" t="s">
        <v>2260</v>
      </c>
      <c r="Q654" s="206" t="s">
        <v>2161</v>
      </c>
      <c r="R654" s="206">
        <f t="shared" si="67"/>
        <v>654</v>
      </c>
      <c r="S654" s="206" t="str">
        <f t="shared" si="68"/>
        <v>;'C MEJORAMIENTO'!$E$10:$BD$100;14;1)</v>
      </c>
      <c r="T654" s="203" t="s">
        <v>2230</v>
      </c>
      <c r="U654" s="206" t="str">
        <f t="shared" si="76"/>
        <v>=BUSCARV($E654;'C MEJORAMIENTO'!$E$10:$BD$100;14;1)</v>
      </c>
      <c r="V654" s="206"/>
      <c r="W654" s="206" t="e">
        <f>VLOOKUP($F654,#REF!,8,1)</f>
        <v>#REF!</v>
      </c>
      <c r="X654" s="206" t="e">
        <f t="shared" si="69"/>
        <v>#REF!</v>
      </c>
      <c r="Y654" s="206" t="e">
        <v>#N/A</v>
      </c>
      <c r="Z654" s="206" t="e">
        <f>VLOOKUP($F654,#REF!,9,1)</f>
        <v>#REF!</v>
      </c>
      <c r="AA654" s="206" t="e">
        <f t="shared" si="74"/>
        <v>#REF!</v>
      </c>
      <c r="AB654" s="206" t="e">
        <v>#N/A</v>
      </c>
      <c r="AC654" s="206" t="e">
        <f>VLOOKUP($F654,#REF!,14,1)</f>
        <v>#REF!</v>
      </c>
      <c r="AD654" s="206" t="e">
        <f>VLOOKUP($F654,#REF!,40,0)</f>
        <v>#REF!</v>
      </c>
      <c r="AE654" s="206" t="e">
        <f t="shared" si="70"/>
        <v>#REF!</v>
      </c>
      <c r="AF654" s="206" t="e">
        <v>#N/A</v>
      </c>
      <c r="AG654" s="206" t="e">
        <f>VLOOKUP($F654,#REF!,42,0)</f>
        <v>#REF!</v>
      </c>
      <c r="AH654" s="206" t="e">
        <f t="shared" si="71"/>
        <v>#REF!</v>
      </c>
      <c r="AI654" s="206" t="e">
        <v>#N/A</v>
      </c>
      <c r="AJ654" s="206" t="e">
        <f>VLOOKUP($F654,#REF!,43,0)</f>
        <v>#REF!</v>
      </c>
    </row>
    <row r="655" spans="2:36" s="102" customFormat="1" ht="22.5">
      <c r="B655" s="97"/>
      <c r="C655" s="106" t="s">
        <v>1911</v>
      </c>
      <c r="D655" t="s">
        <v>2185</v>
      </c>
      <c r="E655" s="123" t="s">
        <v>2260</v>
      </c>
      <c r="Q655" s="206" t="s">
        <v>2161</v>
      </c>
      <c r="R655" s="206">
        <f t="shared" si="67"/>
        <v>655</v>
      </c>
      <c r="S655" s="206" t="str">
        <f t="shared" si="68"/>
        <v>;'C MEJORAMIENTO'!$E$10:$BD$100;14;1)</v>
      </c>
      <c r="T655" s="203" t="s">
        <v>2230</v>
      </c>
      <c r="U655" s="206" t="str">
        <f t="shared" si="76"/>
        <v>=BUSCARV($E655;'C MEJORAMIENTO'!$E$10:$BD$100;14;1)</v>
      </c>
      <c r="V655" s="206"/>
      <c r="W655" s="206" t="e">
        <f>VLOOKUP($F655,#REF!,8,1)</f>
        <v>#REF!</v>
      </c>
      <c r="X655" s="206" t="e">
        <f t="shared" si="69"/>
        <v>#REF!</v>
      </c>
      <c r="Y655" s="206" t="e">
        <v>#N/A</v>
      </c>
      <c r="Z655" s="206" t="e">
        <f>VLOOKUP($F655,#REF!,9,1)</f>
        <v>#REF!</v>
      </c>
      <c r="AA655" s="206" t="e">
        <f t="shared" si="74"/>
        <v>#REF!</v>
      </c>
      <c r="AB655" s="206" t="e">
        <v>#N/A</v>
      </c>
      <c r="AC655" s="206" t="e">
        <f>VLOOKUP($F655,#REF!,14,1)</f>
        <v>#REF!</v>
      </c>
      <c r="AD655" s="206" t="e">
        <f>VLOOKUP($F655,#REF!,40,0)</f>
        <v>#REF!</v>
      </c>
      <c r="AE655" s="206" t="e">
        <f t="shared" si="70"/>
        <v>#REF!</v>
      </c>
      <c r="AF655" s="206" t="e">
        <v>#N/A</v>
      </c>
      <c r="AG655" s="206" t="e">
        <f>VLOOKUP($F655,#REF!,42,0)</f>
        <v>#REF!</v>
      </c>
      <c r="AH655" s="206" t="e">
        <f t="shared" si="71"/>
        <v>#REF!</v>
      </c>
      <c r="AI655" s="206" t="e">
        <v>#N/A</v>
      </c>
      <c r="AJ655" s="206" t="e">
        <f>VLOOKUP($F655,#REF!,43,0)</f>
        <v>#REF!</v>
      </c>
    </row>
    <row r="656" spans="2:36" s="102" customFormat="1" ht="22.5">
      <c r="B656" s="97"/>
      <c r="C656" s="106" t="s">
        <v>1911</v>
      </c>
      <c r="D656" t="s">
        <v>2185</v>
      </c>
      <c r="E656" s="123" t="s">
        <v>2260</v>
      </c>
      <c r="Q656" s="206" t="s">
        <v>2161</v>
      </c>
      <c r="R656" s="206">
        <f t="shared" si="67"/>
        <v>656</v>
      </c>
      <c r="S656" s="206" t="str">
        <f t="shared" si="68"/>
        <v>;'C MEJORAMIENTO'!$E$10:$BD$100;14;1)</v>
      </c>
      <c r="T656" s="203" t="s">
        <v>2230</v>
      </c>
      <c r="U656" s="206" t="str">
        <f t="shared" si="76"/>
        <v>=BUSCARV($E656;'C MEJORAMIENTO'!$E$10:$BD$100;14;1)</v>
      </c>
      <c r="V656" s="206"/>
      <c r="W656" s="206" t="e">
        <f>VLOOKUP($F656,#REF!,8,1)</f>
        <v>#REF!</v>
      </c>
      <c r="X656" s="206" t="e">
        <f t="shared" si="69"/>
        <v>#REF!</v>
      </c>
      <c r="Y656" s="206" t="e">
        <v>#N/A</v>
      </c>
      <c r="Z656" s="206" t="e">
        <f>VLOOKUP($F656,#REF!,9,1)</f>
        <v>#REF!</v>
      </c>
      <c r="AA656" s="206" t="e">
        <f t="shared" si="74"/>
        <v>#REF!</v>
      </c>
      <c r="AB656" s="206" t="e">
        <v>#N/A</v>
      </c>
      <c r="AC656" s="206" t="e">
        <f>VLOOKUP($F656,#REF!,14,1)</f>
        <v>#REF!</v>
      </c>
      <c r="AD656" s="206" t="e">
        <f>VLOOKUP($F656,#REF!,40,0)</f>
        <v>#REF!</v>
      </c>
      <c r="AE656" s="206" t="e">
        <f t="shared" si="70"/>
        <v>#REF!</v>
      </c>
      <c r="AF656" s="206" t="e">
        <v>#N/A</v>
      </c>
      <c r="AG656" s="206" t="e">
        <f>VLOOKUP($F656,#REF!,42,0)</f>
        <v>#REF!</v>
      </c>
      <c r="AH656" s="206" t="e">
        <f t="shared" si="71"/>
        <v>#REF!</v>
      </c>
      <c r="AI656" s="206" t="e">
        <v>#N/A</v>
      </c>
      <c r="AJ656" s="206" t="e">
        <f>VLOOKUP($F656,#REF!,43,0)</f>
        <v>#REF!</v>
      </c>
    </row>
    <row r="657" spans="2:36" s="102" customFormat="1" ht="22.5">
      <c r="B657" s="97"/>
      <c r="C657" s="106" t="s">
        <v>1911</v>
      </c>
      <c r="D657" t="s">
        <v>2185</v>
      </c>
      <c r="E657" s="123" t="s">
        <v>2260</v>
      </c>
      <c r="Q657" s="206" t="s">
        <v>2161</v>
      </c>
      <c r="R657" s="206">
        <f t="shared" si="67"/>
        <v>657</v>
      </c>
      <c r="S657" s="206" t="str">
        <f t="shared" si="68"/>
        <v>;'C MEJORAMIENTO'!$E$10:$BD$100;14;1)</v>
      </c>
      <c r="T657" s="203" t="s">
        <v>2230</v>
      </c>
      <c r="U657" s="206" t="str">
        <f t="shared" si="76"/>
        <v>=BUSCARV($E657;'C MEJORAMIENTO'!$E$10:$BD$100;14;1)</v>
      </c>
      <c r="V657" s="206"/>
      <c r="W657" s="206" t="e">
        <f>VLOOKUP($F657,#REF!,8,1)</f>
        <v>#REF!</v>
      </c>
      <c r="X657" s="206" t="e">
        <f t="shared" si="69"/>
        <v>#REF!</v>
      </c>
      <c r="Y657" s="206" t="e">
        <v>#N/A</v>
      </c>
      <c r="Z657" s="206" t="e">
        <f>VLOOKUP($F657,#REF!,9,1)</f>
        <v>#REF!</v>
      </c>
      <c r="AA657" s="206" t="e">
        <f t="shared" si="74"/>
        <v>#REF!</v>
      </c>
      <c r="AB657" s="206" t="e">
        <v>#N/A</v>
      </c>
      <c r="AC657" s="206" t="e">
        <f>VLOOKUP($F657,#REF!,14,1)</f>
        <v>#REF!</v>
      </c>
      <c r="AD657" s="206" t="e">
        <f>VLOOKUP($F657,#REF!,40,0)</f>
        <v>#REF!</v>
      </c>
      <c r="AE657" s="206" t="e">
        <f t="shared" si="70"/>
        <v>#REF!</v>
      </c>
      <c r="AF657" s="206" t="e">
        <v>#N/A</v>
      </c>
      <c r="AG657" s="206" t="e">
        <f>VLOOKUP($F657,#REF!,42,0)</f>
        <v>#REF!</v>
      </c>
      <c r="AH657" s="206" t="e">
        <f t="shared" si="71"/>
        <v>#REF!</v>
      </c>
      <c r="AI657" s="206" t="e">
        <v>#N/A</v>
      </c>
      <c r="AJ657" s="206" t="e">
        <f>VLOOKUP($F657,#REF!,43,0)</f>
        <v>#REF!</v>
      </c>
    </row>
    <row r="658" spans="2:36" s="102" customFormat="1">
      <c r="B658" s="97"/>
      <c r="C658" s="97"/>
      <c r="D658" s="97"/>
      <c r="E658" s="97"/>
    </row>
    <row r="659" spans="2:36" s="102" customFormat="1">
      <c r="B659" s="97"/>
      <c r="C659" s="97"/>
      <c r="D659" s="97"/>
      <c r="E659" s="97"/>
    </row>
    <row r="660" spans="2:36" s="102" customFormat="1">
      <c r="B660" s="97"/>
      <c r="C660" s="97"/>
      <c r="D660" s="97"/>
      <c r="E660" s="97"/>
    </row>
    <row r="661" spans="2:36" s="102" customFormat="1">
      <c r="B661" s="97"/>
      <c r="C661" s="97"/>
      <c r="D661" s="97"/>
      <c r="E661" s="97"/>
    </row>
    <row r="662" spans="2:36" s="102" customFormat="1">
      <c r="B662" s="97"/>
      <c r="C662" s="97"/>
      <c r="D662" s="97"/>
      <c r="E662" s="97"/>
    </row>
    <row r="663" spans="2:36" s="102" customFormat="1">
      <c r="B663" s="97"/>
      <c r="C663" s="97"/>
      <c r="D663" s="97"/>
      <c r="E663" s="97"/>
    </row>
    <row r="664" spans="2:36" s="102" customFormat="1">
      <c r="B664" s="97"/>
      <c r="C664" s="97"/>
      <c r="D664" s="97"/>
      <c r="E664" s="97"/>
    </row>
    <row r="665" spans="2:36" s="102" customFormat="1">
      <c r="B665" s="97"/>
      <c r="C665" s="97"/>
      <c r="D665" s="97"/>
      <c r="E665" s="97"/>
    </row>
    <row r="666" spans="2:36" s="102" customFormat="1">
      <c r="B666" s="97"/>
      <c r="C666" s="97"/>
      <c r="D666" s="97"/>
      <c r="E666" s="97"/>
    </row>
    <row r="667" spans="2:36" s="102" customFormat="1">
      <c r="B667" s="97"/>
      <c r="C667" s="97"/>
      <c r="D667" s="97"/>
      <c r="E667" s="97"/>
    </row>
    <row r="668" spans="2:36" s="102" customFormat="1">
      <c r="B668" s="97"/>
      <c r="C668" s="97"/>
      <c r="D668" s="97"/>
      <c r="E668" s="97"/>
    </row>
    <row r="669" spans="2:36" s="102" customFormat="1">
      <c r="B669" s="97"/>
      <c r="C669" s="97"/>
      <c r="D669" s="97"/>
      <c r="E669" s="97"/>
    </row>
    <row r="670" spans="2:36" s="102" customFormat="1">
      <c r="B670" s="97"/>
      <c r="C670" s="97"/>
      <c r="D670" s="97"/>
      <c r="E670" s="97"/>
    </row>
    <row r="671" spans="2:36" s="102" customFormat="1">
      <c r="B671" s="97"/>
      <c r="C671" s="97"/>
      <c r="D671" s="97"/>
      <c r="E671" s="97"/>
    </row>
    <row r="672" spans="2:36" s="102" customFormat="1">
      <c r="B672" s="97"/>
      <c r="C672" s="97"/>
      <c r="D672" s="97"/>
      <c r="E672" s="97"/>
    </row>
    <row r="673" spans="2:5" s="102" customFormat="1">
      <c r="B673" s="97"/>
      <c r="C673" s="97"/>
      <c r="D673" s="97"/>
      <c r="E673" s="97"/>
    </row>
    <row r="674" spans="2:5" s="102" customFormat="1">
      <c r="B674" s="97"/>
      <c r="C674" s="97"/>
      <c r="D674" s="97"/>
      <c r="E674" s="97"/>
    </row>
    <row r="675" spans="2:5" s="102" customFormat="1">
      <c r="B675" s="97"/>
      <c r="C675" s="97"/>
      <c r="D675" s="97"/>
      <c r="E675" s="97"/>
    </row>
    <row r="676" spans="2:5" s="102" customFormat="1">
      <c r="B676" s="97"/>
      <c r="C676" s="97"/>
      <c r="D676" s="97"/>
      <c r="E676" s="97"/>
    </row>
    <row r="677" spans="2:5" s="102" customFormat="1">
      <c r="B677" s="97"/>
      <c r="C677" s="97"/>
      <c r="D677" s="97"/>
      <c r="E677" s="97"/>
    </row>
    <row r="678" spans="2:5" s="102" customFormat="1">
      <c r="B678" s="97"/>
      <c r="C678" s="97"/>
      <c r="D678" s="97"/>
      <c r="E678" s="97"/>
    </row>
    <row r="679" spans="2:5" s="102" customFormat="1">
      <c r="B679" s="97"/>
      <c r="C679" s="97"/>
      <c r="D679" s="97"/>
      <c r="E679" s="97"/>
    </row>
    <row r="680" spans="2:5" s="102" customFormat="1">
      <c r="B680" s="97"/>
      <c r="C680" s="97"/>
      <c r="D680" s="97"/>
      <c r="E680" s="97"/>
    </row>
    <row r="681" spans="2:5" s="102" customFormat="1">
      <c r="B681" s="97"/>
      <c r="C681" s="97"/>
      <c r="D681" s="97"/>
      <c r="E681" s="97"/>
    </row>
    <row r="682" spans="2:5" s="102" customFormat="1">
      <c r="B682" s="97"/>
      <c r="C682" s="97"/>
      <c r="D682" s="97"/>
      <c r="E682" s="97"/>
    </row>
    <row r="683" spans="2:5" s="102" customFormat="1">
      <c r="B683" s="97"/>
      <c r="C683" s="97"/>
      <c r="D683" s="97"/>
      <c r="E683" s="97"/>
    </row>
    <row r="684" spans="2:5" s="102" customFormat="1">
      <c r="B684" s="97"/>
      <c r="C684" s="97"/>
      <c r="D684" s="97"/>
      <c r="E684" s="97"/>
    </row>
    <row r="685" spans="2:5" s="102" customFormat="1">
      <c r="B685" s="97"/>
      <c r="C685" s="97"/>
      <c r="D685" s="97"/>
      <c r="E685" s="97"/>
    </row>
    <row r="686" spans="2:5" s="102" customFormat="1">
      <c r="B686" s="97"/>
      <c r="C686" s="97"/>
      <c r="D686" s="97"/>
      <c r="E686" s="97"/>
    </row>
    <row r="687" spans="2:5" s="102" customFormat="1">
      <c r="B687" s="97"/>
      <c r="C687" s="97"/>
      <c r="D687" s="97"/>
      <c r="E687" s="97"/>
    </row>
    <row r="688" spans="2:5" s="102" customFormat="1">
      <c r="B688" s="97"/>
      <c r="C688" s="97"/>
      <c r="D688" s="97"/>
      <c r="E688" s="97"/>
    </row>
    <row r="689" spans="2:5" s="102" customFormat="1">
      <c r="B689" s="97"/>
      <c r="C689" s="97"/>
      <c r="D689" s="97"/>
      <c r="E689" s="97"/>
    </row>
    <row r="690" spans="2:5" s="102" customFormat="1">
      <c r="B690" s="97"/>
      <c r="C690" s="97"/>
      <c r="D690" s="97"/>
      <c r="E690" s="97"/>
    </row>
    <row r="691" spans="2:5" s="102" customFormat="1">
      <c r="B691" s="97"/>
      <c r="C691" s="97"/>
      <c r="D691" s="97"/>
      <c r="E691" s="97"/>
    </row>
    <row r="692" spans="2:5" s="102" customFormat="1">
      <c r="B692" s="97"/>
      <c r="C692" s="97"/>
      <c r="D692" s="97"/>
      <c r="E692" s="97"/>
    </row>
    <row r="693" spans="2:5" s="102" customFormat="1">
      <c r="B693" s="97"/>
      <c r="C693" s="97"/>
      <c r="D693" s="97"/>
      <c r="E693" s="97"/>
    </row>
    <row r="694" spans="2:5" s="102" customFormat="1">
      <c r="B694" s="97"/>
      <c r="C694" s="97"/>
      <c r="D694" s="97"/>
      <c r="E694" s="97"/>
    </row>
    <row r="695" spans="2:5" s="102" customFormat="1">
      <c r="B695" s="97"/>
      <c r="C695" s="97"/>
      <c r="D695" s="97"/>
      <c r="E695" s="97"/>
    </row>
    <row r="696" spans="2:5" s="102" customFormat="1">
      <c r="B696" s="97"/>
      <c r="C696" s="97"/>
      <c r="D696" s="97"/>
      <c r="E696" s="97"/>
    </row>
    <row r="697" spans="2:5" s="102" customFormat="1">
      <c r="B697" s="97"/>
      <c r="C697" s="97"/>
      <c r="D697" s="97"/>
      <c r="E697" s="97"/>
    </row>
    <row r="698" spans="2:5" s="102" customFormat="1">
      <c r="B698" s="97"/>
      <c r="C698" s="97"/>
      <c r="D698" s="97"/>
      <c r="E698" s="97"/>
    </row>
    <row r="699" spans="2:5" s="102" customFormat="1">
      <c r="B699" s="97"/>
      <c r="C699" s="97"/>
      <c r="D699" s="97"/>
      <c r="E699" s="97"/>
    </row>
    <row r="700" spans="2:5" s="102" customFormat="1">
      <c r="B700" s="97"/>
      <c r="C700" s="97"/>
      <c r="D700" s="97"/>
      <c r="E700" s="97"/>
    </row>
    <row r="701" spans="2:5" s="102" customFormat="1">
      <c r="B701" s="97"/>
      <c r="C701" s="97"/>
      <c r="D701" s="97"/>
      <c r="E701" s="97"/>
    </row>
    <row r="702" spans="2:5" s="102" customFormat="1">
      <c r="B702" s="97"/>
      <c r="C702" s="97"/>
      <c r="D702" s="97"/>
      <c r="E702" s="97"/>
    </row>
    <row r="703" spans="2:5" s="102" customFormat="1">
      <c r="B703" s="97"/>
      <c r="C703" s="97"/>
      <c r="D703" s="97"/>
      <c r="E703" s="97"/>
    </row>
    <row r="704" spans="2:5" s="102" customFormat="1">
      <c r="B704" s="97"/>
      <c r="C704" s="97"/>
      <c r="D704" s="97"/>
      <c r="E704" s="97"/>
    </row>
    <row r="705" spans="2:11" s="102" customFormat="1">
      <c r="B705" s="97"/>
      <c r="C705" s="97"/>
      <c r="D705" s="97"/>
      <c r="E705" s="97"/>
    </row>
    <row r="706" spans="2:11" s="102" customFormat="1">
      <c r="B706" s="97"/>
      <c r="C706" s="97"/>
      <c r="D706" s="97"/>
      <c r="E706" s="97"/>
    </row>
    <row r="707" spans="2:11" s="102" customFormat="1">
      <c r="B707" s="97"/>
      <c r="C707" s="97"/>
      <c r="D707" s="97"/>
      <c r="E707" s="97"/>
    </row>
    <row r="708" spans="2:11" s="102" customFormat="1">
      <c r="B708" s="97"/>
      <c r="C708" s="97"/>
      <c r="D708" s="97"/>
      <c r="E708" s="97"/>
    </row>
    <row r="709" spans="2:11" s="102" customFormat="1">
      <c r="B709" s="97"/>
      <c r="C709" s="97"/>
      <c r="D709" s="97"/>
      <c r="E709" s="97"/>
    </row>
    <row r="710" spans="2:11" s="102" customFormat="1">
      <c r="B710" s="97"/>
      <c r="C710" s="97"/>
      <c r="D710" s="97"/>
      <c r="E710" s="97"/>
    </row>
    <row r="711" spans="2:11" s="102" customFormat="1">
      <c r="B711" s="97"/>
      <c r="C711" s="97"/>
      <c r="D711" s="97"/>
      <c r="E711" s="97"/>
    </row>
    <row r="712" spans="2:11" s="102" customFormat="1">
      <c r="B712" s="97"/>
      <c r="C712" s="97"/>
      <c r="D712" s="97"/>
      <c r="E712" s="97"/>
    </row>
    <row r="713" spans="2:11" s="102" customFormat="1">
      <c r="B713" s="97"/>
      <c r="C713" s="97"/>
      <c r="D713" s="97"/>
      <c r="E713" s="97"/>
    </row>
    <row r="714" spans="2:11" s="102" customFormat="1">
      <c r="B714" s="97"/>
      <c r="C714" s="97"/>
      <c r="D714" s="97"/>
      <c r="E714" s="97"/>
    </row>
    <row r="715" spans="2:11" s="102" customFormat="1">
      <c r="B715" s="97"/>
      <c r="C715" s="97"/>
      <c r="D715" s="97"/>
      <c r="E715" s="97"/>
    </row>
    <row r="716" spans="2:11" s="102" customFormat="1">
      <c r="B716" s="97"/>
      <c r="C716" s="97"/>
      <c r="D716" s="97"/>
      <c r="E716" s="97"/>
    </row>
    <row r="717" spans="2:11" s="102" customFormat="1">
      <c r="B717" s="97"/>
      <c r="C717" s="97"/>
      <c r="D717" s="97"/>
      <c r="E717" s="97"/>
    </row>
    <row r="718" spans="2:11" s="102" customFormat="1">
      <c r="B718" s="97"/>
      <c r="C718" s="97"/>
      <c r="D718" s="97"/>
      <c r="E718" s="97"/>
    </row>
    <row r="719" spans="2:11" s="102" customFormat="1">
      <c r="B719" s="97"/>
      <c r="C719" s="97"/>
      <c r="D719" s="97"/>
      <c r="E719" s="97"/>
    </row>
    <row r="720" spans="2:11">
      <c r="F720" s="102"/>
      <c r="G720" s="102"/>
      <c r="H720" s="102"/>
      <c r="I720" s="102"/>
      <c r="J720" s="102"/>
      <c r="K720" s="102"/>
    </row>
    <row r="721" spans="6:11">
      <c r="F721" s="102"/>
      <c r="G721" s="102"/>
      <c r="H721" s="102"/>
      <c r="I721" s="102"/>
      <c r="J721" s="102"/>
      <c r="K721" s="102"/>
    </row>
    <row r="722" spans="6:11">
      <c r="F722" s="102"/>
      <c r="G722" s="102"/>
      <c r="H722" s="102"/>
      <c r="I722" s="102"/>
      <c r="J722" s="102"/>
      <c r="K722" s="102"/>
    </row>
    <row r="723" spans="6:11">
      <c r="F723" s="102"/>
      <c r="G723" s="102"/>
      <c r="H723" s="102"/>
      <c r="I723" s="102"/>
      <c r="J723" s="102"/>
      <c r="K723" s="102"/>
    </row>
    <row r="724" spans="6:11">
      <c r="F724" s="102"/>
      <c r="G724" s="102"/>
      <c r="H724" s="102"/>
      <c r="I724" s="102"/>
      <c r="J724" s="102"/>
      <c r="K724" s="102"/>
    </row>
    <row r="725" spans="6:11">
      <c r="F725" s="102"/>
      <c r="G725" s="102"/>
      <c r="H725" s="102"/>
      <c r="I725" s="102"/>
      <c r="J725" s="102"/>
      <c r="K725" s="102"/>
    </row>
    <row r="726" spans="6:11">
      <c r="F726" s="102"/>
      <c r="G726" s="102"/>
      <c r="H726" s="102"/>
      <c r="I726" s="102"/>
      <c r="J726" s="102"/>
      <c r="K726" s="102"/>
    </row>
    <row r="727" spans="6:11">
      <c r="F727" s="102"/>
      <c r="G727" s="102"/>
      <c r="H727" s="102"/>
      <c r="I727" s="102"/>
      <c r="J727" s="102"/>
      <c r="K727" s="102"/>
    </row>
    <row r="728" spans="6:11">
      <c r="F728" s="102"/>
      <c r="G728" s="102"/>
      <c r="H728" s="102"/>
      <c r="I728" s="102"/>
      <c r="J728" s="102"/>
      <c r="K728" s="102"/>
    </row>
    <row r="729" spans="6:11">
      <c r="F729" s="102"/>
      <c r="G729" s="102"/>
      <c r="H729" s="102"/>
      <c r="I729" s="102"/>
      <c r="J729" s="102"/>
      <c r="K729" s="102"/>
    </row>
    <row r="730" spans="6:11">
      <c r="F730" s="102"/>
      <c r="G730" s="102"/>
      <c r="H730" s="102"/>
      <c r="I730" s="102"/>
      <c r="J730" s="102"/>
      <c r="K730" s="102"/>
    </row>
    <row r="731" spans="6:11">
      <c r="F731" s="102"/>
      <c r="G731" s="102"/>
      <c r="H731" s="102"/>
      <c r="I731" s="102"/>
      <c r="J731" s="102"/>
      <c r="K731" s="102"/>
    </row>
    <row r="732" spans="6:11">
      <c r="F732" s="102"/>
      <c r="G732" s="102"/>
      <c r="H732" s="102"/>
      <c r="I732" s="102"/>
      <c r="J732" s="102"/>
      <c r="K732" s="102"/>
    </row>
    <row r="733" spans="6:11">
      <c r="F733" s="102"/>
      <c r="G733" s="102"/>
      <c r="H733" s="102"/>
      <c r="I733" s="102"/>
      <c r="J733" s="102"/>
      <c r="K733" s="102"/>
    </row>
    <row r="734" spans="6:11">
      <c r="F734" s="102"/>
      <c r="G734" s="102"/>
      <c r="H734" s="102"/>
      <c r="I734" s="102"/>
      <c r="J734" s="102"/>
      <c r="K734" s="102"/>
    </row>
    <row r="735" spans="6:11">
      <c r="F735" s="102"/>
      <c r="G735" s="102"/>
      <c r="H735" s="102"/>
      <c r="I735" s="102"/>
      <c r="J735" s="102"/>
      <c r="K735" s="102"/>
    </row>
    <row r="736" spans="6:11">
      <c r="F736" s="102"/>
      <c r="G736" s="102"/>
      <c r="H736" s="102"/>
      <c r="I736" s="102"/>
      <c r="J736" s="102"/>
      <c r="K736" s="102"/>
    </row>
    <row r="737" spans="6:11">
      <c r="F737" s="102"/>
      <c r="G737" s="102"/>
      <c r="H737" s="102"/>
      <c r="I737" s="102"/>
      <c r="J737" s="102"/>
      <c r="K737" s="102"/>
    </row>
    <row r="738" spans="6:11">
      <c r="F738" s="102"/>
      <c r="G738" s="102"/>
      <c r="H738" s="102"/>
      <c r="I738" s="102"/>
      <c r="J738" s="102"/>
      <c r="K738" s="102"/>
    </row>
    <row r="739" spans="6:11">
      <c r="F739" s="102"/>
      <c r="G739" s="102"/>
      <c r="H739" s="102"/>
      <c r="I739" s="102"/>
      <c r="J739" s="102"/>
      <c r="K739" s="102"/>
    </row>
    <row r="740" spans="6:11">
      <c r="F740" s="102"/>
      <c r="G740" s="102"/>
      <c r="H740" s="102"/>
      <c r="I740" s="102"/>
      <c r="J740" s="102"/>
      <c r="K740" s="102"/>
    </row>
    <row r="741" spans="6:11">
      <c r="F741" s="102"/>
      <c r="G741" s="102"/>
      <c r="H741" s="102"/>
      <c r="I741" s="102"/>
      <c r="J741" s="102"/>
      <c r="K741" s="102"/>
    </row>
    <row r="742" spans="6:11">
      <c r="F742" s="102"/>
      <c r="G742" s="102"/>
      <c r="H742" s="102"/>
      <c r="I742" s="102"/>
      <c r="J742" s="102"/>
      <c r="K742" s="102"/>
    </row>
    <row r="743" spans="6:11">
      <c r="F743" s="102"/>
      <c r="G743" s="102"/>
      <c r="H743" s="102"/>
      <c r="I743" s="102"/>
      <c r="J743" s="102"/>
      <c r="K743" s="102"/>
    </row>
    <row r="744" spans="6:11">
      <c r="F744" s="102"/>
      <c r="G744" s="102"/>
      <c r="H744" s="102"/>
      <c r="I744" s="102"/>
      <c r="J744" s="102"/>
      <c r="K744" s="102"/>
    </row>
    <row r="745" spans="6:11">
      <c r="F745" s="102"/>
      <c r="G745" s="102"/>
      <c r="H745" s="102"/>
      <c r="I745" s="102"/>
      <c r="J745" s="102"/>
      <c r="K745" s="102"/>
    </row>
    <row r="746" spans="6:11">
      <c r="F746" s="102"/>
      <c r="G746" s="102"/>
      <c r="H746" s="102"/>
      <c r="I746" s="102"/>
      <c r="J746" s="102"/>
      <c r="K746" s="102"/>
    </row>
    <row r="747" spans="6:11">
      <c r="F747" s="102"/>
      <c r="G747" s="102"/>
      <c r="H747" s="102"/>
      <c r="I747" s="102"/>
      <c r="J747" s="102"/>
      <c r="K747" s="102"/>
    </row>
    <row r="748" spans="6:11">
      <c r="F748" s="102"/>
      <c r="G748" s="102"/>
      <c r="H748" s="102"/>
      <c r="I748" s="102"/>
      <c r="J748" s="102"/>
      <c r="K748" s="102"/>
    </row>
    <row r="749" spans="6:11">
      <c r="F749" s="102"/>
      <c r="G749" s="102"/>
      <c r="H749" s="102"/>
      <c r="I749" s="102"/>
      <c r="J749" s="102"/>
      <c r="K749" s="102"/>
    </row>
    <row r="750" spans="6:11">
      <c r="F750" s="102"/>
      <c r="G750" s="102"/>
      <c r="H750" s="102"/>
      <c r="I750" s="102"/>
      <c r="J750" s="102"/>
      <c r="K750" s="102"/>
    </row>
    <row r="751" spans="6:11">
      <c r="F751" s="102"/>
      <c r="G751" s="102"/>
      <c r="H751" s="102"/>
      <c r="I751" s="102"/>
      <c r="J751" s="102"/>
      <c r="K751" s="102"/>
    </row>
    <row r="752" spans="6:11">
      <c r="F752" s="102"/>
      <c r="G752" s="102"/>
      <c r="H752" s="102"/>
      <c r="I752" s="102"/>
      <c r="J752" s="102"/>
      <c r="K752" s="102"/>
    </row>
    <row r="753" spans="6:11">
      <c r="F753" s="102"/>
      <c r="G753" s="102"/>
      <c r="H753" s="102"/>
      <c r="I753" s="102"/>
      <c r="J753" s="102"/>
      <c r="K753" s="102"/>
    </row>
    <row r="754" spans="6:11">
      <c r="F754" s="102"/>
      <c r="G754" s="102"/>
      <c r="H754" s="102"/>
      <c r="I754" s="102"/>
      <c r="J754" s="102"/>
      <c r="K754" s="102"/>
    </row>
    <row r="755" spans="6:11">
      <c r="F755" s="102"/>
      <c r="G755" s="102"/>
      <c r="H755" s="102"/>
      <c r="I755" s="102"/>
      <c r="J755" s="102"/>
      <c r="K755" s="102"/>
    </row>
    <row r="756" spans="6:11">
      <c r="F756" s="102"/>
      <c r="G756" s="102"/>
      <c r="H756" s="102"/>
      <c r="I756" s="102"/>
      <c r="J756" s="102"/>
      <c r="K756" s="102"/>
    </row>
    <row r="757" spans="6:11">
      <c r="F757" s="102"/>
      <c r="G757" s="102"/>
      <c r="H757" s="102"/>
      <c r="I757" s="102"/>
      <c r="J757" s="102"/>
      <c r="K757" s="102"/>
    </row>
    <row r="758" spans="6:11">
      <c r="F758" s="102"/>
      <c r="G758" s="102"/>
      <c r="H758" s="102"/>
      <c r="I758" s="102"/>
      <c r="J758" s="102"/>
      <c r="K758" s="102"/>
    </row>
    <row r="759" spans="6:11">
      <c r="F759" s="102"/>
      <c r="G759" s="102"/>
      <c r="H759" s="102"/>
      <c r="I759" s="102"/>
      <c r="J759" s="102"/>
      <c r="K759" s="102"/>
    </row>
    <row r="760" spans="6:11">
      <c r="F760" s="102"/>
      <c r="G760" s="102"/>
      <c r="H760" s="102"/>
      <c r="I760" s="102"/>
      <c r="J760" s="102"/>
      <c r="K760" s="102"/>
    </row>
    <row r="761" spans="6:11">
      <c r="F761" s="102"/>
      <c r="G761" s="102"/>
      <c r="H761" s="102"/>
      <c r="I761" s="102"/>
      <c r="J761" s="102"/>
      <c r="K761" s="102"/>
    </row>
    <row r="762" spans="6:11">
      <c r="F762" s="102"/>
      <c r="G762" s="102"/>
      <c r="H762" s="102"/>
      <c r="I762" s="102"/>
      <c r="J762" s="102"/>
      <c r="K762" s="102"/>
    </row>
    <row r="763" spans="6:11">
      <c r="F763" s="102"/>
      <c r="G763" s="102"/>
      <c r="H763" s="102"/>
      <c r="I763" s="102"/>
      <c r="J763" s="102"/>
      <c r="K763" s="102"/>
    </row>
    <row r="764" spans="6:11">
      <c r="F764" s="102"/>
      <c r="G764" s="102"/>
      <c r="H764" s="102"/>
      <c r="I764" s="102"/>
      <c r="J764" s="102"/>
      <c r="K764" s="102"/>
    </row>
    <row r="765" spans="6:11">
      <c r="F765" s="102"/>
      <c r="G765" s="102"/>
      <c r="H765" s="102"/>
      <c r="I765" s="102"/>
      <c r="J765" s="102"/>
      <c r="K765" s="102"/>
    </row>
    <row r="766" spans="6:11">
      <c r="F766" s="102"/>
      <c r="G766" s="102"/>
      <c r="H766" s="102"/>
      <c r="I766" s="102"/>
      <c r="J766" s="102"/>
      <c r="K766" s="102"/>
    </row>
    <row r="767" spans="6:11">
      <c r="F767" s="102"/>
      <c r="G767" s="102"/>
      <c r="H767" s="102"/>
      <c r="I767" s="102"/>
      <c r="J767" s="102"/>
      <c r="K767" s="102"/>
    </row>
    <row r="768" spans="6:11">
      <c r="F768" s="102"/>
      <c r="G768" s="102"/>
      <c r="H768" s="102"/>
      <c r="I768" s="102"/>
      <c r="J768" s="102"/>
      <c r="K768" s="102"/>
    </row>
    <row r="769" spans="6:11">
      <c r="F769" s="102"/>
      <c r="G769" s="102"/>
      <c r="H769" s="102"/>
      <c r="I769" s="102"/>
      <c r="J769" s="102"/>
      <c r="K769" s="102"/>
    </row>
    <row r="770" spans="6:11">
      <c r="F770" s="102"/>
      <c r="G770" s="102"/>
      <c r="H770" s="102"/>
      <c r="I770" s="102"/>
      <c r="J770" s="102"/>
      <c r="K770" s="102"/>
    </row>
    <row r="771" spans="6:11">
      <c r="F771" s="102"/>
      <c r="G771" s="102"/>
      <c r="H771" s="102"/>
      <c r="I771" s="102"/>
      <c r="J771" s="102"/>
      <c r="K771" s="102"/>
    </row>
    <row r="772" spans="6:11">
      <c r="F772" s="102"/>
      <c r="G772" s="102"/>
      <c r="H772" s="102"/>
      <c r="I772" s="102"/>
      <c r="J772" s="102"/>
      <c r="K772" s="102"/>
    </row>
    <row r="773" spans="6:11">
      <c r="F773" s="102"/>
      <c r="G773" s="102"/>
      <c r="H773" s="102"/>
      <c r="I773" s="102"/>
      <c r="J773" s="102"/>
      <c r="K773" s="102"/>
    </row>
    <row r="774" spans="6:11">
      <c r="F774" s="102"/>
      <c r="G774" s="102"/>
      <c r="H774" s="102"/>
      <c r="I774" s="102"/>
      <c r="J774" s="102"/>
      <c r="K774" s="102"/>
    </row>
    <row r="775" spans="6:11">
      <c r="F775" s="102"/>
      <c r="G775" s="102"/>
      <c r="H775" s="102"/>
      <c r="I775" s="102"/>
      <c r="J775" s="102"/>
      <c r="K775" s="102"/>
    </row>
    <row r="776" spans="6:11">
      <c r="F776" s="102"/>
      <c r="G776" s="102"/>
      <c r="H776" s="102"/>
      <c r="I776" s="102"/>
      <c r="J776" s="102"/>
      <c r="K776" s="102"/>
    </row>
    <row r="777" spans="6:11">
      <c r="F777" s="102"/>
      <c r="G777" s="102"/>
      <c r="H777" s="102"/>
      <c r="I777" s="102"/>
      <c r="J777" s="102"/>
      <c r="K777" s="102"/>
    </row>
    <row r="778" spans="6:11">
      <c r="F778" s="102"/>
      <c r="G778" s="102"/>
      <c r="H778" s="102"/>
      <c r="I778" s="102"/>
      <c r="J778" s="102"/>
      <c r="K778" s="102"/>
    </row>
    <row r="779" spans="6:11">
      <c r="F779" s="102"/>
      <c r="G779" s="102"/>
      <c r="H779" s="102"/>
      <c r="I779" s="102"/>
      <c r="J779" s="102"/>
      <c r="K779" s="102"/>
    </row>
    <row r="780" spans="6:11">
      <c r="F780" s="102"/>
      <c r="G780" s="102"/>
      <c r="H780" s="102"/>
      <c r="I780" s="102"/>
      <c r="J780" s="102"/>
      <c r="K780" s="102"/>
    </row>
    <row r="781" spans="6:11">
      <c r="F781" s="102"/>
      <c r="G781" s="102"/>
      <c r="H781" s="102"/>
      <c r="I781" s="102"/>
      <c r="J781" s="102"/>
      <c r="K781" s="102"/>
    </row>
    <row r="782" spans="6:11">
      <c r="F782" s="102"/>
      <c r="G782" s="102"/>
      <c r="H782" s="102"/>
      <c r="I782" s="102"/>
      <c r="J782" s="102"/>
      <c r="K782" s="102"/>
    </row>
    <row r="783" spans="6:11">
      <c r="F783" s="102"/>
      <c r="G783" s="102"/>
      <c r="H783" s="102"/>
      <c r="I783" s="102"/>
      <c r="J783" s="102"/>
      <c r="K783" s="102"/>
    </row>
    <row r="784" spans="6:11">
      <c r="F784" s="102"/>
      <c r="G784" s="102"/>
      <c r="H784" s="102"/>
      <c r="I784" s="102"/>
      <c r="J784" s="102"/>
      <c r="K784" s="102"/>
    </row>
    <row r="785" spans="6:11">
      <c r="F785" s="102"/>
      <c r="G785" s="102"/>
      <c r="H785" s="102"/>
      <c r="I785" s="102"/>
      <c r="J785" s="102"/>
      <c r="K785" s="102"/>
    </row>
    <row r="786" spans="6:11">
      <c r="F786" s="102"/>
      <c r="G786" s="102"/>
      <c r="H786" s="102"/>
      <c r="I786" s="102"/>
      <c r="J786" s="102"/>
      <c r="K786" s="102"/>
    </row>
    <row r="787" spans="6:11">
      <c r="F787" s="102"/>
      <c r="G787" s="102"/>
      <c r="H787" s="102"/>
      <c r="I787" s="102"/>
      <c r="J787" s="102"/>
      <c r="K787" s="102"/>
    </row>
    <row r="788" spans="6:11">
      <c r="F788" s="102"/>
      <c r="G788" s="102"/>
      <c r="H788" s="102"/>
      <c r="I788" s="102"/>
      <c r="J788" s="102"/>
      <c r="K788" s="102"/>
    </row>
    <row r="789" spans="6:11">
      <c r="F789" s="102"/>
      <c r="G789" s="102"/>
      <c r="H789" s="102"/>
      <c r="I789" s="102"/>
      <c r="J789" s="102"/>
      <c r="K789" s="102"/>
    </row>
    <row r="790" spans="6:11">
      <c r="F790" s="102"/>
      <c r="G790" s="102"/>
      <c r="H790" s="102"/>
      <c r="I790" s="102"/>
      <c r="J790" s="102"/>
      <c r="K790" s="102"/>
    </row>
    <row r="791" spans="6:11">
      <c r="F791" s="102"/>
      <c r="G791" s="102"/>
      <c r="H791" s="102"/>
      <c r="I791" s="102"/>
      <c r="J791" s="102"/>
      <c r="K791" s="102"/>
    </row>
    <row r="792" spans="6:11">
      <c r="F792" s="102"/>
      <c r="G792" s="102"/>
      <c r="H792" s="102"/>
      <c r="I792" s="102"/>
      <c r="J792" s="102"/>
      <c r="K792" s="102"/>
    </row>
    <row r="793" spans="6:11">
      <c r="F793" s="102"/>
      <c r="G793" s="102"/>
      <c r="H793" s="102"/>
      <c r="I793" s="102"/>
      <c r="J793" s="102"/>
      <c r="K793" s="102"/>
    </row>
    <row r="794" spans="6:11">
      <c r="F794" s="102"/>
      <c r="G794" s="102"/>
      <c r="H794" s="102"/>
      <c r="I794" s="102"/>
      <c r="J794" s="102"/>
      <c r="K794" s="102"/>
    </row>
    <row r="795" spans="6:11">
      <c r="F795" s="102"/>
      <c r="G795" s="102"/>
      <c r="H795" s="102"/>
      <c r="I795" s="102"/>
      <c r="J795" s="102"/>
      <c r="K795" s="102"/>
    </row>
    <row r="796" spans="6:11">
      <c r="F796" s="102"/>
      <c r="G796" s="102"/>
      <c r="H796" s="102"/>
      <c r="I796" s="102"/>
      <c r="J796" s="102"/>
      <c r="K796" s="102"/>
    </row>
    <row r="797" spans="6:11">
      <c r="F797" s="102"/>
      <c r="G797" s="102"/>
      <c r="H797" s="102"/>
      <c r="I797" s="102"/>
      <c r="J797" s="102"/>
      <c r="K797" s="102"/>
    </row>
    <row r="798" spans="6:11">
      <c r="F798" s="102"/>
      <c r="G798" s="102"/>
      <c r="H798" s="102"/>
      <c r="I798" s="102"/>
      <c r="J798" s="102"/>
      <c r="K798" s="102"/>
    </row>
    <row r="799" spans="6:11">
      <c r="F799" s="102"/>
      <c r="G799" s="102"/>
      <c r="H799" s="102"/>
      <c r="I799" s="102"/>
      <c r="J799" s="102"/>
      <c r="K799" s="102"/>
    </row>
    <row r="800" spans="6:11">
      <c r="F800" s="102"/>
      <c r="G800" s="102"/>
      <c r="H800" s="102"/>
      <c r="I800" s="102"/>
      <c r="J800" s="102"/>
      <c r="K800" s="102"/>
    </row>
    <row r="801" spans="6:11">
      <c r="F801" s="102"/>
      <c r="G801" s="102"/>
      <c r="H801" s="102"/>
      <c r="I801" s="102"/>
      <c r="J801" s="102"/>
      <c r="K801" s="102"/>
    </row>
    <row r="802" spans="6:11">
      <c r="F802" s="102"/>
      <c r="G802" s="102"/>
      <c r="H802" s="102"/>
      <c r="I802" s="102"/>
      <c r="J802" s="102"/>
      <c r="K802" s="102"/>
    </row>
    <row r="803" spans="6:11">
      <c r="F803" s="102"/>
      <c r="G803" s="102"/>
      <c r="H803" s="102"/>
      <c r="I803" s="102"/>
      <c r="J803" s="102"/>
      <c r="K803" s="102"/>
    </row>
    <row r="804" spans="6:11">
      <c r="F804" s="102"/>
      <c r="G804" s="102"/>
      <c r="H804" s="102"/>
      <c r="I804" s="102"/>
      <c r="J804" s="102"/>
      <c r="K804" s="102"/>
    </row>
    <row r="805" spans="6:11">
      <c r="F805" s="102"/>
      <c r="G805" s="102"/>
      <c r="H805" s="102"/>
      <c r="I805" s="102"/>
      <c r="J805" s="102"/>
      <c r="K805" s="102"/>
    </row>
    <row r="806" spans="6:11">
      <c r="F806" s="102"/>
      <c r="G806" s="102"/>
      <c r="H806" s="102"/>
      <c r="I806" s="102"/>
      <c r="J806" s="102"/>
      <c r="K806" s="102"/>
    </row>
    <row r="807" spans="6:11">
      <c r="F807" s="102"/>
      <c r="G807" s="102"/>
      <c r="H807" s="102"/>
      <c r="I807" s="102"/>
      <c r="J807" s="102"/>
      <c r="K807" s="102"/>
    </row>
    <row r="808" spans="6:11">
      <c r="F808" s="102"/>
      <c r="G808" s="102"/>
      <c r="H808" s="102"/>
      <c r="I808" s="102"/>
      <c r="J808" s="102"/>
      <c r="K808" s="102"/>
    </row>
    <row r="809" spans="6:11">
      <c r="F809" s="102"/>
      <c r="G809" s="102"/>
      <c r="H809" s="102"/>
      <c r="I809" s="102"/>
      <c r="J809" s="102"/>
      <c r="K809" s="102"/>
    </row>
    <row r="810" spans="6:11">
      <c r="F810" s="102"/>
      <c r="G810" s="102"/>
      <c r="H810" s="102"/>
      <c r="I810" s="102"/>
      <c r="J810" s="102"/>
      <c r="K810" s="102"/>
    </row>
    <row r="811" spans="6:11">
      <c r="F811" s="102"/>
      <c r="G811" s="102"/>
      <c r="H811" s="102"/>
      <c r="I811" s="102"/>
      <c r="J811" s="102"/>
      <c r="K811" s="102"/>
    </row>
    <row r="812" spans="6:11">
      <c r="F812" s="102"/>
      <c r="G812" s="102"/>
      <c r="H812" s="102"/>
      <c r="I812" s="102"/>
      <c r="J812" s="102"/>
      <c r="K812" s="102"/>
    </row>
    <row r="813" spans="6:11">
      <c r="F813" s="102"/>
      <c r="G813" s="102"/>
      <c r="H813" s="102"/>
      <c r="I813" s="102"/>
      <c r="J813" s="102"/>
      <c r="K813" s="102"/>
    </row>
    <row r="814" spans="6:11">
      <c r="F814" s="102"/>
      <c r="G814" s="102"/>
      <c r="H814" s="102"/>
      <c r="I814" s="102"/>
      <c r="J814" s="102"/>
      <c r="K814" s="102"/>
    </row>
    <row r="815" spans="6:11">
      <c r="F815" s="102"/>
      <c r="G815" s="102"/>
      <c r="H815" s="102"/>
      <c r="I815" s="102"/>
      <c r="J815" s="102"/>
      <c r="K815" s="102"/>
    </row>
    <row r="816" spans="6:11">
      <c r="F816" s="102"/>
      <c r="G816" s="102"/>
      <c r="H816" s="102"/>
      <c r="I816" s="102"/>
      <c r="J816" s="102"/>
      <c r="K816" s="102"/>
    </row>
    <row r="817" spans="6:11">
      <c r="F817" s="102"/>
      <c r="G817" s="102"/>
      <c r="H817" s="102"/>
      <c r="I817" s="102"/>
      <c r="J817" s="102"/>
      <c r="K817" s="102"/>
    </row>
    <row r="818" spans="6:11">
      <c r="F818" s="102"/>
      <c r="G818" s="102"/>
      <c r="H818" s="102"/>
      <c r="I818" s="102"/>
      <c r="J818" s="102"/>
      <c r="K818" s="102"/>
    </row>
    <row r="819" spans="6:11">
      <c r="F819" s="102"/>
      <c r="G819" s="102"/>
      <c r="H819" s="102"/>
      <c r="I819" s="102"/>
      <c r="J819" s="102"/>
      <c r="K819" s="102"/>
    </row>
    <row r="820" spans="6:11">
      <c r="F820" s="102"/>
      <c r="G820" s="102"/>
      <c r="H820" s="102"/>
      <c r="I820" s="102"/>
      <c r="J820" s="102"/>
      <c r="K820" s="102"/>
    </row>
    <row r="821" spans="6:11">
      <c r="F821" s="102"/>
      <c r="G821" s="102"/>
      <c r="H821" s="102"/>
      <c r="I821" s="102"/>
      <c r="J821" s="102"/>
      <c r="K821" s="102"/>
    </row>
    <row r="822" spans="6:11">
      <c r="F822" s="102"/>
      <c r="G822" s="102"/>
      <c r="H822" s="102"/>
      <c r="I822" s="102"/>
      <c r="J822" s="102"/>
      <c r="K822" s="102"/>
    </row>
    <row r="823" spans="6:11">
      <c r="F823" s="102"/>
      <c r="G823" s="102"/>
      <c r="H823" s="102"/>
      <c r="I823" s="102"/>
      <c r="J823" s="102"/>
      <c r="K823" s="102"/>
    </row>
    <row r="824" spans="6:11">
      <c r="F824" s="102"/>
      <c r="G824" s="102"/>
      <c r="H824" s="102"/>
      <c r="I824" s="102"/>
      <c r="J824" s="102"/>
      <c r="K824" s="102"/>
    </row>
    <row r="825" spans="6:11">
      <c r="F825" s="102"/>
      <c r="G825" s="102"/>
      <c r="H825" s="102"/>
      <c r="I825" s="102"/>
      <c r="J825" s="102"/>
      <c r="K825" s="102"/>
    </row>
    <row r="826" spans="6:11">
      <c r="F826" s="102"/>
      <c r="G826" s="102"/>
      <c r="H826" s="102"/>
      <c r="I826" s="102"/>
      <c r="J826" s="102"/>
      <c r="K826" s="102"/>
    </row>
    <row r="827" spans="6:11">
      <c r="F827" s="102"/>
      <c r="G827" s="102"/>
      <c r="H827" s="102"/>
      <c r="I827" s="102"/>
      <c r="J827" s="102"/>
      <c r="K827" s="102"/>
    </row>
    <row r="828" spans="6:11">
      <c r="F828" s="102"/>
      <c r="G828" s="102"/>
      <c r="H828" s="102"/>
      <c r="I828" s="102"/>
      <c r="J828" s="102"/>
      <c r="K828" s="102"/>
    </row>
  </sheetData>
  <autoFilter ref="C336:AJ657"/>
  <mergeCells count="1">
    <mergeCell ref="J2:O2"/>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BL120"/>
  <sheetViews>
    <sheetView showGridLines="0" zoomScaleNormal="100" zoomScaleSheetLayoutView="115" workbookViewId="0">
      <pane xSplit="8" ySplit="9" topLeftCell="I10" activePane="bottomRight" state="frozen"/>
      <selection pane="topRight" activeCell="I1" sqref="I1"/>
      <selection pane="bottomLeft" activeCell="A10" sqref="A10"/>
      <selection pane="bottomRight" sqref="A1:AB1"/>
    </sheetView>
  </sheetViews>
  <sheetFormatPr baseColWidth="10" defaultRowHeight="15"/>
  <cols>
    <col min="1" max="1" width="1.140625" style="16" customWidth="1"/>
    <col min="2" max="4" width="5.42578125" style="16" customWidth="1"/>
    <col min="5" max="5" width="7.28515625" style="17" customWidth="1"/>
    <col min="6" max="7" width="4.5703125" style="16" customWidth="1"/>
    <col min="8" max="8" width="5.85546875" style="16" customWidth="1"/>
    <col min="9" max="11" width="4.570312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0" width="7.140625" style="18" customWidth="1"/>
    <col min="21" max="21" width="29.2851562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27.7109375" style="18" customWidth="1"/>
    <col min="50" max="50" width="21.140625" style="21" customWidth="1"/>
    <col min="51" max="51" width="7" style="21" customWidth="1"/>
    <col min="52" max="52" width="23.140625" style="210" customWidth="1"/>
    <col min="53" max="53" width="34.28515625" style="210" customWidth="1"/>
    <col min="54" max="54" width="13.28515625" style="210" customWidth="1"/>
    <col min="55" max="55" width="19.5703125" style="210" customWidth="1"/>
    <col min="56" max="56" width="42.7109375" style="210" customWidth="1"/>
    <col min="57" max="57" width="11.7109375" style="210" customWidth="1"/>
    <col min="58" max="58" width="31.5703125" style="210" customWidth="1"/>
    <col min="59" max="59" width="16.140625" style="210" customWidth="1"/>
    <col min="60" max="61" width="9.28515625" style="210" customWidth="1"/>
    <col min="62" max="62" width="11.140625" style="210" customWidth="1"/>
    <col min="63" max="63" width="2.140625" style="210" customWidth="1"/>
    <col min="64" max="64" width="11.42578125" style="210"/>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858" t="str">
        <f>UPPER([17]Control!A2)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22">
        <v>2019</v>
      </c>
      <c r="BA2" s="208"/>
      <c r="BB2" s="2830" t="s">
        <v>138</v>
      </c>
      <c r="BC2" s="2831"/>
      <c r="BD2" s="2861" t="str">
        <f>L6</f>
        <v>GESTIÓN FINANCIERA</v>
      </c>
      <c r="BE2" s="2862"/>
      <c r="BF2" s="586"/>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1:64" ht="15.75" customHeight="1" thickBot="1">
      <c r="A4" s="2832" t="str">
        <f>[17]Control!A4</f>
        <v>FO-PE-05</v>
      </c>
      <c r="B4" s="2833"/>
      <c r="C4" s="2833"/>
      <c r="D4" s="2834"/>
      <c r="E4" s="2835" t="str">
        <f>[17]Control!C4</f>
        <v>Planeación Estratégica</v>
      </c>
      <c r="F4" s="2833"/>
      <c r="G4" s="2833"/>
      <c r="H4" s="2833"/>
      <c r="I4" s="2833"/>
      <c r="J4" s="2833"/>
      <c r="K4" s="2833"/>
      <c r="L4" s="2833"/>
      <c r="M4" s="2833"/>
      <c r="N4" s="2833"/>
      <c r="O4" s="2833"/>
      <c r="P4" s="2833"/>
      <c r="Q4" s="2833"/>
      <c r="R4" s="2833"/>
      <c r="S4" s="2833"/>
      <c r="T4" s="2833"/>
      <c r="U4" s="2834"/>
      <c r="V4" s="2835">
        <f>[17]Control!H4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232">
        <v>43444</v>
      </c>
      <c r="BA4" s="208"/>
      <c r="BB4" s="2836">
        <v>43711</v>
      </c>
      <c r="BC4" s="2837"/>
      <c r="BD4" s="2838" t="s">
        <v>3995</v>
      </c>
      <c r="BE4" s="2838"/>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842" t="s">
        <v>81</v>
      </c>
      <c r="M6" s="2843"/>
      <c r="N6" s="2843"/>
      <c r="O6" s="2843"/>
      <c r="P6" s="2843"/>
      <c r="Q6" s="2843"/>
      <c r="R6" s="2843"/>
      <c r="S6" s="2843"/>
      <c r="T6" s="2843"/>
      <c r="U6" s="2844"/>
      <c r="V6" s="2845" t="s">
        <v>59</v>
      </c>
      <c r="W6" s="2845"/>
      <c r="X6" s="2845"/>
      <c r="Y6" s="2845"/>
      <c r="Z6" s="2845"/>
      <c r="AA6" s="2805" t="s">
        <v>2985</v>
      </c>
      <c r="AB6" s="2806"/>
      <c r="AC6" s="2806"/>
      <c r="AD6" s="2806"/>
      <c r="AE6" s="2806"/>
      <c r="AF6" s="2806"/>
      <c r="AG6" s="2806"/>
      <c r="AH6" s="2806"/>
      <c r="AI6" s="2806"/>
      <c r="AJ6" s="2806"/>
      <c r="AK6" s="2806"/>
      <c r="AL6" s="2806"/>
      <c r="AM6" s="2806"/>
      <c r="AN6" s="2806"/>
      <c r="AO6" s="2806"/>
      <c r="AP6" s="2806"/>
      <c r="AQ6" s="2806"/>
      <c r="AR6" s="2806"/>
      <c r="AS6" s="2806"/>
      <c r="AT6" s="2806"/>
      <c r="AU6" s="2806"/>
      <c r="AV6" s="2806"/>
      <c r="AW6" s="2806"/>
      <c r="AX6" s="2806"/>
      <c r="AY6" s="2806"/>
      <c r="AZ6" s="2806"/>
      <c r="BA6" s="2807"/>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1:64" s="3" customFormat="1" ht="222.75" customHeight="1">
      <c r="A10" s="332"/>
      <c r="B10" s="2928" t="s">
        <v>2857</v>
      </c>
      <c r="C10" s="2929"/>
      <c r="D10" s="2930"/>
      <c r="E10" s="843" t="s">
        <v>368</v>
      </c>
      <c r="F10" s="2925" t="s">
        <v>2858</v>
      </c>
      <c r="G10" s="2926"/>
      <c r="H10" s="2927"/>
      <c r="I10" s="2928" t="s">
        <v>2859</v>
      </c>
      <c r="J10" s="2929"/>
      <c r="K10" s="2930"/>
      <c r="L10" s="330" t="s">
        <v>283</v>
      </c>
      <c r="M10" s="50" t="s">
        <v>270</v>
      </c>
      <c r="N10" s="32"/>
      <c r="O10" s="6">
        <f>VLOOKUP(L10,[17]Listas!$M$69:$N$73,2,0)</f>
        <v>1</v>
      </c>
      <c r="P10" s="6"/>
      <c r="Q10" s="6">
        <f>HLOOKUP(M10,[17]Listas!$O$67:$Q$68,2,0)</f>
        <v>10</v>
      </c>
      <c r="R10" s="331" t="str">
        <f>INDEX([17]Listas!$O$69:$Q$73,MATCH(L10,[17]Listas!$M$69:$M$73,0),MATCH(M10,[17]Listas!$O$67:$Q$67,0))</f>
        <v>10
BAJA</v>
      </c>
      <c r="S10" s="2874" t="s">
        <v>3588</v>
      </c>
      <c r="T10" s="2875"/>
      <c r="U10" s="2876"/>
      <c r="V10" s="329" t="s">
        <v>65</v>
      </c>
      <c r="W10" s="329" t="s">
        <v>65</v>
      </c>
      <c r="X10" s="329" t="s">
        <v>65</v>
      </c>
      <c r="Y10" s="329" t="s">
        <v>65</v>
      </c>
      <c r="Z10" s="329" t="s">
        <v>65</v>
      </c>
      <c r="AA10" s="329" t="s">
        <v>36</v>
      </c>
      <c r="AB10" s="329" t="s">
        <v>65</v>
      </c>
      <c r="AC10" s="329" t="s">
        <v>65</v>
      </c>
      <c r="AD10" s="329" t="s">
        <v>65</v>
      </c>
      <c r="AE10" s="329" t="s">
        <v>65</v>
      </c>
      <c r="AF10" s="33"/>
      <c r="AG10" s="6">
        <f t="shared" ref="AG10:AG21" si="0">IF(Y10="SI",15,0)</f>
        <v>15</v>
      </c>
      <c r="AH10" s="6">
        <f t="shared" ref="AH10:AH21" si="1">IF(Z10="SI",5,0)</f>
        <v>5</v>
      </c>
      <c r="AI10" s="6">
        <f t="shared" ref="AI10:AI21" si="2">IF(AA10="SI",15,0)</f>
        <v>0</v>
      </c>
      <c r="AJ10" s="6">
        <f t="shared" ref="AJ10:AJ21" si="3">IF(AB10="SI",10,0)</f>
        <v>10</v>
      </c>
      <c r="AK10" s="6">
        <f t="shared" ref="AK10:AK21" si="4">IF(AC10="SI",15,0)</f>
        <v>15</v>
      </c>
      <c r="AL10" s="6">
        <f t="shared" ref="AL10:AL21" si="5">IF(AD10="SI",10,0)</f>
        <v>10</v>
      </c>
      <c r="AM10" s="6">
        <f t="shared" ref="AM10:AM21" si="6">IF(AE10="SI",30,0)</f>
        <v>30</v>
      </c>
      <c r="AN10" s="6">
        <f t="shared" ref="AN10:AN21" si="7">SUM(AG10+AH10+AI10+AJ10+AK10+AL10+AM10)</f>
        <v>85</v>
      </c>
      <c r="AO10" s="6">
        <f t="shared" ref="AO10:AO21" si="8">IF(AN10&lt;=50,0,IF(AN10&gt;=76,2,1))</f>
        <v>2</v>
      </c>
      <c r="AP10" s="331" t="str">
        <f t="shared" ref="AP10:AP21" si="9">CONCATENATE(AN10,"- disminuye ",AO10)</f>
        <v>85- disminuye 2</v>
      </c>
      <c r="AQ10" s="6">
        <f t="shared" ref="AQ10:AQ21" si="10">IF(V10="SI",O10-AO10,O10)</f>
        <v>-1</v>
      </c>
      <c r="AR10" s="331" t="str">
        <f>IF(AQ10&lt;=1,"Rara vez",VLOOKUP(AQ10,[17]Listas!$L$69:$M$73,2,0))</f>
        <v>Rara vez</v>
      </c>
      <c r="AS10" s="6">
        <f t="shared" ref="AS10:AS21" si="11">IF(W10="SI",Q10-AO10,Q10)</f>
        <v>8</v>
      </c>
      <c r="AT10" s="331" t="str">
        <f t="shared" ref="AT10:AT21" si="12">IF(AS10&lt;=9,"Moderado",IF(AS10=20,"Catastrófico",IF(AS10=18,"Moderado","Mayor")))</f>
        <v>Moderado</v>
      </c>
      <c r="AU10" s="331" t="str">
        <f>INDEX([17]Listas!$O$69:$Q$73,MATCH(AR10,[17]Listas!$M$69:$M$73,0),MATCH(AT10,[17]Listas!$O$67:$Q$67,0))</f>
        <v>5
BAJA</v>
      </c>
      <c r="AV10" s="330" t="s">
        <v>271</v>
      </c>
      <c r="AW10" s="845" t="s">
        <v>1886</v>
      </c>
      <c r="AX10" s="405" t="s">
        <v>2860</v>
      </c>
      <c r="AY10" s="843" t="s">
        <v>204</v>
      </c>
      <c r="AZ10" s="12" t="s">
        <v>2861</v>
      </c>
      <c r="BA10" s="12" t="s">
        <v>3589</v>
      </c>
      <c r="BB10" s="574">
        <v>0</v>
      </c>
      <c r="BC10" s="72" t="s">
        <v>3996</v>
      </c>
      <c r="BD10" s="72" t="s">
        <v>3590</v>
      </c>
      <c r="BE10" s="839" t="s">
        <v>36</v>
      </c>
      <c r="BF10" s="12"/>
      <c r="BG10" s="12"/>
      <c r="BH10" s="227"/>
      <c r="BI10" s="227"/>
      <c r="BJ10" s="839"/>
      <c r="BK10" s="228"/>
      <c r="BL10" s="228"/>
    </row>
    <row r="11" spans="1:64" s="3" customFormat="1" ht="189" customHeight="1">
      <c r="A11" s="332"/>
      <c r="B11" s="2928" t="s">
        <v>2862</v>
      </c>
      <c r="C11" s="2929"/>
      <c r="D11" s="2930"/>
      <c r="E11" s="843" t="s">
        <v>369</v>
      </c>
      <c r="F11" s="2925" t="s">
        <v>370</v>
      </c>
      <c r="G11" s="2926"/>
      <c r="H11" s="2927"/>
      <c r="I11" s="2928" t="s">
        <v>2863</v>
      </c>
      <c r="J11" s="2929"/>
      <c r="K11" s="2930"/>
      <c r="L11" s="330" t="s">
        <v>286</v>
      </c>
      <c r="M11" s="50" t="s">
        <v>274</v>
      </c>
      <c r="N11" s="32"/>
      <c r="O11" s="6">
        <f>VLOOKUP(L11,[17]Listas!$M$69:$N$73,2,0)</f>
        <v>2</v>
      </c>
      <c r="P11" s="6"/>
      <c r="Q11" s="6">
        <f>HLOOKUP(M11,[17]Listas!$O$67:$Q$68,2,0)</f>
        <v>5</v>
      </c>
      <c r="R11" s="331" t="str">
        <f>INDEX([17]Listas!$O$69:$Q$73,MATCH(L11,[17]Listas!$M$69:$M$73,0),MATCH(M11,[17]Listas!$O$67:$Q$67,0))</f>
        <v>10
BAJA</v>
      </c>
      <c r="S11" s="2874" t="s">
        <v>1887</v>
      </c>
      <c r="T11" s="2875"/>
      <c r="U11" s="2876"/>
      <c r="V11" s="329" t="s">
        <v>65</v>
      </c>
      <c r="W11" s="329" t="s">
        <v>65</v>
      </c>
      <c r="X11" s="329" t="s">
        <v>65</v>
      </c>
      <c r="Y11" s="329" t="s">
        <v>65</v>
      </c>
      <c r="Z11" s="329" t="s">
        <v>65</v>
      </c>
      <c r="AA11" s="329" t="s">
        <v>36</v>
      </c>
      <c r="AB11" s="329" t="s">
        <v>65</v>
      </c>
      <c r="AC11" s="329" t="s">
        <v>65</v>
      </c>
      <c r="AD11" s="329" t="s">
        <v>65</v>
      </c>
      <c r="AE11" s="329" t="s">
        <v>65</v>
      </c>
      <c r="AF11" s="33"/>
      <c r="AG11" s="6">
        <f t="shared" si="0"/>
        <v>15</v>
      </c>
      <c r="AH11" s="6">
        <f t="shared" si="1"/>
        <v>5</v>
      </c>
      <c r="AI11" s="6">
        <f t="shared" si="2"/>
        <v>0</v>
      </c>
      <c r="AJ11" s="6">
        <f t="shared" si="3"/>
        <v>10</v>
      </c>
      <c r="AK11" s="6">
        <f t="shared" si="4"/>
        <v>15</v>
      </c>
      <c r="AL11" s="6">
        <f t="shared" si="5"/>
        <v>10</v>
      </c>
      <c r="AM11" s="6">
        <f t="shared" si="6"/>
        <v>30</v>
      </c>
      <c r="AN11" s="6">
        <f t="shared" si="7"/>
        <v>85</v>
      </c>
      <c r="AO11" s="6">
        <f t="shared" si="8"/>
        <v>2</v>
      </c>
      <c r="AP11" s="331" t="str">
        <f t="shared" si="9"/>
        <v>85- disminuye 2</v>
      </c>
      <c r="AQ11" s="6">
        <f t="shared" si="10"/>
        <v>0</v>
      </c>
      <c r="AR11" s="331" t="str">
        <f>IF(AQ11&lt;=1,"Rara vez",VLOOKUP(AQ11,[17]Listas!$L$69:$M$73,2,0))</f>
        <v>Rara vez</v>
      </c>
      <c r="AS11" s="6">
        <f t="shared" si="11"/>
        <v>3</v>
      </c>
      <c r="AT11" s="331" t="str">
        <f t="shared" si="12"/>
        <v>Moderado</v>
      </c>
      <c r="AU11" s="331" t="str">
        <f>INDEX([17]Listas!$O$69:$Q$73,MATCH(AR11,[17]Listas!$M$69:$M$73,0),MATCH(AT11,[17]Listas!$O$67:$Q$67,0))</f>
        <v>5
BAJA</v>
      </c>
      <c r="AV11" s="330" t="s">
        <v>359</v>
      </c>
      <c r="AW11" s="845" t="s">
        <v>3591</v>
      </c>
      <c r="AX11" s="405" t="s">
        <v>2864</v>
      </c>
      <c r="AY11" s="843" t="s">
        <v>204</v>
      </c>
      <c r="AZ11" s="12" t="s">
        <v>3592</v>
      </c>
      <c r="BA11" s="12" t="s">
        <v>2865</v>
      </c>
      <c r="BB11" s="839">
        <v>0</v>
      </c>
      <c r="BC11" s="72" t="s">
        <v>3997</v>
      </c>
      <c r="BD11" s="72" t="s">
        <v>3593</v>
      </c>
      <c r="BE11" s="839" t="s">
        <v>36</v>
      </c>
      <c r="BF11" s="12"/>
      <c r="BG11" s="12"/>
      <c r="BH11" s="227"/>
      <c r="BI11" s="227"/>
      <c r="BJ11" s="839"/>
      <c r="BK11" s="228"/>
      <c r="BL11" s="228"/>
    </row>
    <row r="12" spans="1:64" s="3" customFormat="1" ht="201" customHeight="1">
      <c r="A12" s="332"/>
      <c r="B12" s="3017" t="s">
        <v>610</v>
      </c>
      <c r="C12" s="3018"/>
      <c r="D12" s="3019"/>
      <c r="E12" s="59" t="s">
        <v>371</v>
      </c>
      <c r="F12" s="3020" t="s">
        <v>372</v>
      </c>
      <c r="G12" s="3021"/>
      <c r="H12" s="3022"/>
      <c r="I12" s="3017" t="s">
        <v>1888</v>
      </c>
      <c r="J12" s="3018"/>
      <c r="K12" s="3019"/>
      <c r="L12" s="50" t="s">
        <v>283</v>
      </c>
      <c r="M12" s="50" t="s">
        <v>270</v>
      </c>
      <c r="N12" s="50"/>
      <c r="O12" s="70">
        <f>VLOOKUP(L12,[17]Listas!$M$69:$N$73,2,0)</f>
        <v>1</v>
      </c>
      <c r="P12" s="70"/>
      <c r="Q12" s="70">
        <f>HLOOKUP(M12,[17]Listas!$O$67:$Q$68,2,0)</f>
        <v>10</v>
      </c>
      <c r="R12" s="71" t="str">
        <f>INDEX([17]Listas!$O$69:$Q$73,MATCH(L12,[17]Listas!$M$69:$M$73,0),MATCH(M12,[17]Listas!$O$67:$Q$67,0))</f>
        <v>10
BAJA</v>
      </c>
      <c r="S12" s="3023" t="s">
        <v>1889</v>
      </c>
      <c r="T12" s="3024"/>
      <c r="U12" s="3025"/>
      <c r="V12" s="847" t="s">
        <v>65</v>
      </c>
      <c r="W12" s="847" t="s">
        <v>65</v>
      </c>
      <c r="X12" s="847" t="s">
        <v>65</v>
      </c>
      <c r="Y12" s="847" t="s">
        <v>65</v>
      </c>
      <c r="Z12" s="847" t="s">
        <v>65</v>
      </c>
      <c r="AA12" s="847" t="s">
        <v>65</v>
      </c>
      <c r="AB12" s="847" t="s">
        <v>65</v>
      </c>
      <c r="AC12" s="847" t="s">
        <v>65</v>
      </c>
      <c r="AD12" s="847" t="s">
        <v>65</v>
      </c>
      <c r="AE12" s="847" t="s">
        <v>65</v>
      </c>
      <c r="AF12" s="847"/>
      <c r="AG12" s="70">
        <f>IF(Y12="SI",15,0)</f>
        <v>15</v>
      </c>
      <c r="AH12" s="70">
        <f>IF(Z12="SI",5,0)</f>
        <v>5</v>
      </c>
      <c r="AI12" s="70">
        <f>IF(AA12="SI",15,0)</f>
        <v>15</v>
      </c>
      <c r="AJ12" s="70">
        <f>IF(AB12="SI",10,0)</f>
        <v>10</v>
      </c>
      <c r="AK12" s="70">
        <f>IF(AC12="SI",15,0)</f>
        <v>15</v>
      </c>
      <c r="AL12" s="70">
        <f>IF(AD12="SI",10,0)</f>
        <v>10</v>
      </c>
      <c r="AM12" s="70">
        <f>IF(AE12="SI",30,0)</f>
        <v>30</v>
      </c>
      <c r="AN12" s="70">
        <f>SUM(AG12+AH12+AI12+AJ12+AK12+AL12+AM12)</f>
        <v>100</v>
      </c>
      <c r="AO12" s="70">
        <f>IF(AN12&lt;=50,0,IF(AN12&gt;=76,2,1))</f>
        <v>2</v>
      </c>
      <c r="AP12" s="71" t="str">
        <f>CONCATENATE(AN12,"- disminuye ",AO12)</f>
        <v>100- disminuye 2</v>
      </c>
      <c r="AQ12" s="70">
        <f>IF(V12="SI",O12-AO12,O12)</f>
        <v>-1</v>
      </c>
      <c r="AR12" s="71" t="str">
        <f>IF(AQ12&lt;=1,"Rara vez",VLOOKUP(AQ12,[17]Listas!$L$69:$M$73,2,0))</f>
        <v>Rara vez</v>
      </c>
      <c r="AS12" s="70">
        <f>IF(W12="SI",Q12-AO12,Q12)</f>
        <v>8</v>
      </c>
      <c r="AT12" s="71" t="str">
        <f>IF(AS12&lt;=9,"Moderado",IF(AS12=20,"Catastrófico",IF(AS12=18,"Moderado","Mayor")))</f>
        <v>Moderado</v>
      </c>
      <c r="AU12" s="71" t="str">
        <f>INDEX([17]Listas!$O$69:$Q$73,MATCH(AR12,[17]Listas!$M$69:$M$73,0),MATCH(AT12,[17]Listas!$O$67:$Q$67,0))</f>
        <v>5
BAJA</v>
      </c>
      <c r="AV12" s="50" t="s">
        <v>271</v>
      </c>
      <c r="AW12" s="849" t="s">
        <v>1890</v>
      </c>
      <c r="AX12" s="320" t="s">
        <v>1891</v>
      </c>
      <c r="AY12" s="59" t="s">
        <v>2866</v>
      </c>
      <c r="AZ12" s="72" t="s">
        <v>2867</v>
      </c>
      <c r="BA12" s="72" t="s">
        <v>2868</v>
      </c>
      <c r="BB12" s="839">
        <v>0</v>
      </c>
      <c r="BC12" s="72" t="s">
        <v>3998</v>
      </c>
      <c r="BD12" s="72" t="s">
        <v>3590</v>
      </c>
      <c r="BE12" s="839" t="s">
        <v>36</v>
      </c>
      <c r="BF12" s="12"/>
      <c r="BG12" s="12"/>
      <c r="BH12" s="227"/>
      <c r="BI12" s="227"/>
      <c r="BJ12" s="839"/>
      <c r="BK12" s="228"/>
      <c r="BL12" s="228"/>
    </row>
    <row r="13" spans="1:64" s="3" customFormat="1" ht="159.75" customHeight="1">
      <c r="A13" s="332"/>
      <c r="B13" s="3017" t="s">
        <v>1892</v>
      </c>
      <c r="C13" s="3018"/>
      <c r="D13" s="3019"/>
      <c r="E13" s="59" t="s">
        <v>373</v>
      </c>
      <c r="F13" s="3020" t="s">
        <v>530</v>
      </c>
      <c r="G13" s="3021"/>
      <c r="H13" s="3022"/>
      <c r="I13" s="3017" t="s">
        <v>374</v>
      </c>
      <c r="J13" s="3018"/>
      <c r="K13" s="3019"/>
      <c r="L13" s="50" t="s">
        <v>283</v>
      </c>
      <c r="M13" s="50" t="s">
        <v>270</v>
      </c>
      <c r="N13" s="50"/>
      <c r="O13" s="70">
        <f>VLOOKUP(L13,[17]Listas!$M$69:$N$73,2,0)</f>
        <v>1</v>
      </c>
      <c r="P13" s="70"/>
      <c r="Q13" s="70">
        <f>HLOOKUP(M13,[17]Listas!$O$67:$Q$68,2,0)</f>
        <v>10</v>
      </c>
      <c r="R13" s="71" t="str">
        <f>INDEX([17]Listas!$O$69:$Q$73,MATCH(L13,[17]Listas!$M$69:$M$73,0),MATCH(M13,[17]Listas!$O$67:$Q$67,0))</f>
        <v>10
BAJA</v>
      </c>
      <c r="S13" s="3023" t="s">
        <v>1893</v>
      </c>
      <c r="T13" s="3024"/>
      <c r="U13" s="3025"/>
      <c r="V13" s="847" t="s">
        <v>65</v>
      </c>
      <c r="W13" s="847" t="s">
        <v>65</v>
      </c>
      <c r="X13" s="847" t="s">
        <v>36</v>
      </c>
      <c r="Y13" s="847" t="s">
        <v>65</v>
      </c>
      <c r="Z13" s="847" t="s">
        <v>65</v>
      </c>
      <c r="AA13" s="847" t="s">
        <v>65</v>
      </c>
      <c r="AB13" s="847" t="s">
        <v>65</v>
      </c>
      <c r="AC13" s="847" t="s">
        <v>65</v>
      </c>
      <c r="AD13" s="847" t="s">
        <v>65</v>
      </c>
      <c r="AE13" s="847" t="s">
        <v>65</v>
      </c>
      <c r="AF13" s="847"/>
      <c r="AG13" s="70">
        <f>IF(Y13="SI",15,0)</f>
        <v>15</v>
      </c>
      <c r="AH13" s="70">
        <f>IF(Z13="SI",5,0)</f>
        <v>5</v>
      </c>
      <c r="AI13" s="70">
        <f>IF(AA13="SI",15,0)</f>
        <v>15</v>
      </c>
      <c r="AJ13" s="70">
        <f>IF(AB13="SI",10,0)</f>
        <v>10</v>
      </c>
      <c r="AK13" s="70">
        <f>IF(AC13="SI",15,0)</f>
        <v>15</v>
      </c>
      <c r="AL13" s="70">
        <f>IF(AD13="SI",10,0)</f>
        <v>10</v>
      </c>
      <c r="AM13" s="70">
        <f>IF(AE13="SI",30,0)</f>
        <v>30</v>
      </c>
      <c r="AN13" s="70">
        <f>SUM(AG13+AH13+AI13+AJ13+AK13+AL13+AM13)</f>
        <v>100</v>
      </c>
      <c r="AO13" s="70">
        <f>IF(AN13&lt;=50,0,IF(AN13&gt;=76,2,1))</f>
        <v>2</v>
      </c>
      <c r="AP13" s="71" t="str">
        <f>CONCATENATE(AN13,"- disminuye ",AO13)</f>
        <v>100- disminuye 2</v>
      </c>
      <c r="AQ13" s="70">
        <f>IF(V13="SI",O13-AO13,O13)</f>
        <v>-1</v>
      </c>
      <c r="AR13" s="71" t="str">
        <f>IF(AQ13&lt;=1,"Rara vez",VLOOKUP(AQ13,[17]Listas!$L$69:$M$73,2,0))</f>
        <v>Rara vez</v>
      </c>
      <c r="AS13" s="70">
        <f>IF(W13="SI",Q13-AO13,Q13)</f>
        <v>8</v>
      </c>
      <c r="AT13" s="71" t="str">
        <f>IF(AS13&lt;=9,"Moderado",IF(AS13=20,"Catastrófico",IF(AS13=18,"Moderado","Mayor")))</f>
        <v>Moderado</v>
      </c>
      <c r="AU13" s="71" t="str">
        <f>INDEX([17]Listas!$O$69:$Q$73,MATCH(AR13,[17]Listas!$M$69:$M$73,0),MATCH(AT13,[17]Listas!$O$67:$Q$67,0))</f>
        <v>5
BAJA</v>
      </c>
      <c r="AV13" s="50" t="s">
        <v>271</v>
      </c>
      <c r="AW13" s="849" t="s">
        <v>1894</v>
      </c>
      <c r="AX13" s="320" t="s">
        <v>1895</v>
      </c>
      <c r="AY13" s="59" t="s">
        <v>205</v>
      </c>
      <c r="AZ13" s="72" t="s">
        <v>2869</v>
      </c>
      <c r="BA13" s="72" t="s">
        <v>2870</v>
      </c>
      <c r="BB13" s="839">
        <v>0</v>
      </c>
      <c r="BC13" s="72" t="s">
        <v>3999</v>
      </c>
      <c r="BD13" s="72" t="s">
        <v>3590</v>
      </c>
      <c r="BE13" s="839" t="s">
        <v>36</v>
      </c>
      <c r="BF13" s="12"/>
      <c r="BG13" s="12"/>
      <c r="BH13" s="227"/>
      <c r="BI13" s="227"/>
      <c r="BJ13" s="839"/>
      <c r="BK13" s="228"/>
      <c r="BL13" s="228"/>
    </row>
    <row r="14" spans="1:64" s="3" customFormat="1" ht="108" hidden="1" customHeight="1">
      <c r="A14" s="332"/>
      <c r="B14" s="2805"/>
      <c r="C14" s="2806"/>
      <c r="D14" s="2807"/>
      <c r="E14" s="843"/>
      <c r="F14" s="2808"/>
      <c r="G14" s="2809"/>
      <c r="H14" s="2810"/>
      <c r="I14" s="2805"/>
      <c r="J14" s="2806"/>
      <c r="K14" s="2807"/>
      <c r="L14" s="330"/>
      <c r="M14" s="50"/>
      <c r="N14" s="32"/>
      <c r="O14" s="6" t="e">
        <f>VLOOKUP(L14,[17]Listas!$M$69:$N$73,2,0)</f>
        <v>#N/A</v>
      </c>
      <c r="P14" s="6"/>
      <c r="Q14" s="6" t="e">
        <f>HLOOKUP(M14,[17]Listas!$O$67:$Q$68,2,0)</f>
        <v>#N/A</v>
      </c>
      <c r="R14" s="331" t="e">
        <f>INDEX([17]Listas!$O$69:$Q$73,MATCH(L14,[17]Listas!$M$69:$M$73,0),MATCH(M14,[17]Listas!$O$67:$Q$67,0))</f>
        <v>#N/A</v>
      </c>
      <c r="S14" s="2805"/>
      <c r="T14" s="2806"/>
      <c r="U14" s="2807"/>
      <c r="V14" s="329"/>
      <c r="W14" s="329"/>
      <c r="X14" s="329"/>
      <c r="Y14" s="329"/>
      <c r="Z14" s="329"/>
      <c r="AA14" s="329"/>
      <c r="AB14" s="329"/>
      <c r="AC14" s="329"/>
      <c r="AD14" s="329"/>
      <c r="AE14" s="329"/>
      <c r="AF14" s="33"/>
      <c r="AG14" s="6">
        <f>IF(Y14="SI",15,0)</f>
        <v>0</v>
      </c>
      <c r="AH14" s="6">
        <f>IF(Z14="SI",5,0)</f>
        <v>0</v>
      </c>
      <c r="AI14" s="6">
        <f>IF(AA14="SI",15,0)</f>
        <v>0</v>
      </c>
      <c r="AJ14" s="6">
        <f>IF(AB14="SI",10,0)</f>
        <v>0</v>
      </c>
      <c r="AK14" s="6">
        <f>IF(AC14="SI",15,0)</f>
        <v>0</v>
      </c>
      <c r="AL14" s="6">
        <f>IF(AD14="SI",10,0)</f>
        <v>0</v>
      </c>
      <c r="AM14" s="6">
        <f>IF(AE14="SI",30,0)</f>
        <v>0</v>
      </c>
      <c r="AN14" s="6">
        <f>SUM(AG14+AH14+AI14+AJ14+AK14+AL14+AM14)</f>
        <v>0</v>
      </c>
      <c r="AO14" s="6">
        <f>IF(AN14&lt;=50,0,IF(AN14&gt;=76,2,1))</f>
        <v>0</v>
      </c>
      <c r="AP14" s="331" t="str">
        <f>CONCATENATE(AN14,"- disminuye ",AO14)</f>
        <v>0- disminuye 0</v>
      </c>
      <c r="AQ14" s="6" t="e">
        <f>IF(V14="SI",O14-AO14,O14)</f>
        <v>#N/A</v>
      </c>
      <c r="AR14" s="331" t="e">
        <f>IF(AQ14&lt;=1,"Rara vez",VLOOKUP(AQ14,[17]Listas!$L$69:$M$73,2,0))</f>
        <v>#N/A</v>
      </c>
      <c r="AS14" s="6" t="e">
        <f>IF(W14="SI",Q14-AO14,Q14)</f>
        <v>#N/A</v>
      </c>
      <c r="AT14" s="331" t="e">
        <f>IF(AS14&lt;=9,"Moderado",IF(AS14=20,"Catastrófico",IF(AS14=18,"Moderado","Mayor")))</f>
        <v>#N/A</v>
      </c>
      <c r="AU14" s="331" t="e">
        <f>INDEX([17]Listas!$O$69:$Q$73,MATCH(AR14,[17]Listas!$M$69:$M$73,0),MATCH(AT14,[17]Listas!$O$67:$Q$67,0))</f>
        <v>#N/A</v>
      </c>
      <c r="AV14" s="330"/>
      <c r="AW14" s="826"/>
      <c r="AX14" s="843"/>
      <c r="AY14" s="843"/>
      <c r="AZ14" s="12"/>
      <c r="BA14" s="12"/>
      <c r="BB14" s="839"/>
      <c r="BC14" s="12"/>
      <c r="BD14" s="12" t="s">
        <v>2343</v>
      </c>
      <c r="BE14" s="839"/>
      <c r="BF14" s="12"/>
      <c r="BG14" s="12"/>
      <c r="BH14" s="227"/>
      <c r="BI14" s="227"/>
      <c r="BJ14" s="839"/>
      <c r="BK14" s="228"/>
      <c r="BL14" s="228"/>
    </row>
    <row r="15" spans="1:64" s="3" customFormat="1" ht="108" hidden="1" customHeight="1">
      <c r="A15" s="332"/>
      <c r="B15" s="2805"/>
      <c r="C15" s="2806"/>
      <c r="D15" s="2807"/>
      <c r="E15" s="843"/>
      <c r="F15" s="2808"/>
      <c r="G15" s="2809"/>
      <c r="H15" s="2810"/>
      <c r="I15" s="2805"/>
      <c r="J15" s="2806"/>
      <c r="K15" s="2807"/>
      <c r="L15" s="330"/>
      <c r="M15" s="50"/>
      <c r="N15" s="32"/>
      <c r="O15" s="6" t="e">
        <f>VLOOKUP(L15,[17]Listas!$M$69:$N$73,2,0)</f>
        <v>#N/A</v>
      </c>
      <c r="P15" s="6"/>
      <c r="Q15" s="6" t="e">
        <f>HLOOKUP(M15,[17]Listas!$O$67:$Q$68,2,0)</f>
        <v>#N/A</v>
      </c>
      <c r="R15" s="331" t="e">
        <f>INDEX([17]Listas!$O$69:$Q$73,MATCH(L15,[17]Listas!$M$69:$M$73,0),MATCH(M15,[17]Listas!$O$67:$Q$67,0))</f>
        <v>#N/A</v>
      </c>
      <c r="S15" s="2805"/>
      <c r="T15" s="2806"/>
      <c r="U15" s="2807"/>
      <c r="V15" s="329"/>
      <c r="W15" s="329"/>
      <c r="X15" s="329"/>
      <c r="Y15" s="329"/>
      <c r="Z15" s="329"/>
      <c r="AA15" s="329"/>
      <c r="AB15" s="329"/>
      <c r="AC15" s="329"/>
      <c r="AD15" s="329"/>
      <c r="AE15" s="329"/>
      <c r="AF15" s="33"/>
      <c r="AG15" s="6">
        <f t="shared" si="0"/>
        <v>0</v>
      </c>
      <c r="AH15" s="6">
        <f t="shared" si="1"/>
        <v>0</v>
      </c>
      <c r="AI15" s="6">
        <f t="shared" si="2"/>
        <v>0</v>
      </c>
      <c r="AJ15" s="6">
        <f t="shared" si="3"/>
        <v>0</v>
      </c>
      <c r="AK15" s="6">
        <f t="shared" si="4"/>
        <v>0</v>
      </c>
      <c r="AL15" s="6">
        <f t="shared" si="5"/>
        <v>0</v>
      </c>
      <c r="AM15" s="6">
        <f t="shared" si="6"/>
        <v>0</v>
      </c>
      <c r="AN15" s="6">
        <f t="shared" si="7"/>
        <v>0</v>
      </c>
      <c r="AO15" s="6">
        <f t="shared" si="8"/>
        <v>0</v>
      </c>
      <c r="AP15" s="331" t="str">
        <f t="shared" si="9"/>
        <v>0- disminuye 0</v>
      </c>
      <c r="AQ15" s="6" t="e">
        <f t="shared" si="10"/>
        <v>#N/A</v>
      </c>
      <c r="AR15" s="331" t="e">
        <f>IF(AQ15&lt;=1,"Rara vez",VLOOKUP(AQ15,[17]Listas!$L$69:$M$73,2,0))</f>
        <v>#N/A</v>
      </c>
      <c r="AS15" s="6" t="e">
        <f t="shared" si="11"/>
        <v>#N/A</v>
      </c>
      <c r="AT15" s="331" t="e">
        <f t="shared" si="12"/>
        <v>#N/A</v>
      </c>
      <c r="AU15" s="331" t="e">
        <f>INDEX([17]Listas!$O$69:$Q$73,MATCH(AR15,[17]Listas!$M$69:$M$73,0),MATCH(AT15,[17]Listas!$O$67:$Q$67,0))</f>
        <v>#N/A</v>
      </c>
      <c r="AV15" s="330"/>
      <c r="AW15" s="826"/>
      <c r="AX15" s="843"/>
      <c r="AY15" s="843"/>
      <c r="AZ15" s="12"/>
      <c r="BA15" s="12"/>
      <c r="BB15" s="839"/>
      <c r="BC15" s="12"/>
      <c r="BD15" s="12" t="s">
        <v>2343</v>
      </c>
      <c r="BE15" s="839"/>
      <c r="BF15" s="12"/>
      <c r="BG15" s="12"/>
      <c r="BH15" s="227"/>
      <c r="BI15" s="227"/>
      <c r="BJ15" s="839"/>
      <c r="BK15" s="228"/>
      <c r="BL15" s="228"/>
    </row>
    <row r="16" spans="1:64" s="3" customFormat="1" ht="108" hidden="1" customHeight="1">
      <c r="A16" s="332"/>
      <c r="B16" s="2805"/>
      <c r="C16" s="2806"/>
      <c r="D16" s="2807"/>
      <c r="E16" s="843"/>
      <c r="F16" s="2808"/>
      <c r="G16" s="2809"/>
      <c r="H16" s="2810"/>
      <c r="I16" s="2805"/>
      <c r="J16" s="2806"/>
      <c r="K16" s="2807"/>
      <c r="L16" s="330"/>
      <c r="M16" s="50"/>
      <c r="N16" s="32"/>
      <c r="O16" s="6" t="e">
        <f>VLOOKUP(L16,[17]Listas!$M$69:$N$73,2,0)</f>
        <v>#N/A</v>
      </c>
      <c r="P16" s="6"/>
      <c r="Q16" s="6" t="e">
        <f>HLOOKUP(M16,[17]Listas!$O$67:$Q$68,2,0)</f>
        <v>#N/A</v>
      </c>
      <c r="R16" s="331" t="e">
        <f>INDEX([17]Listas!$O$69:$Q$73,MATCH(L16,[17]Listas!$M$69:$M$73,0),MATCH(M16,[17]Listas!$O$67:$Q$67,0))</f>
        <v>#N/A</v>
      </c>
      <c r="S16" s="2805"/>
      <c r="T16" s="2806"/>
      <c r="U16" s="2807"/>
      <c r="V16" s="329"/>
      <c r="W16" s="329"/>
      <c r="X16" s="329"/>
      <c r="Y16" s="329"/>
      <c r="Z16" s="329"/>
      <c r="AA16" s="329"/>
      <c r="AB16" s="329"/>
      <c r="AC16" s="329"/>
      <c r="AD16" s="329"/>
      <c r="AE16" s="329"/>
      <c r="AF16" s="33"/>
      <c r="AG16" s="6">
        <f t="shared" si="0"/>
        <v>0</v>
      </c>
      <c r="AH16" s="6">
        <f t="shared" si="1"/>
        <v>0</v>
      </c>
      <c r="AI16" s="6">
        <f t="shared" si="2"/>
        <v>0</v>
      </c>
      <c r="AJ16" s="6">
        <f t="shared" si="3"/>
        <v>0</v>
      </c>
      <c r="AK16" s="6">
        <f t="shared" si="4"/>
        <v>0</v>
      </c>
      <c r="AL16" s="6">
        <f t="shared" si="5"/>
        <v>0</v>
      </c>
      <c r="AM16" s="6">
        <f t="shared" si="6"/>
        <v>0</v>
      </c>
      <c r="AN16" s="6">
        <f t="shared" si="7"/>
        <v>0</v>
      </c>
      <c r="AO16" s="6">
        <f t="shared" si="8"/>
        <v>0</v>
      </c>
      <c r="AP16" s="331" t="str">
        <f t="shared" si="9"/>
        <v>0- disminuye 0</v>
      </c>
      <c r="AQ16" s="6" t="e">
        <f t="shared" si="10"/>
        <v>#N/A</v>
      </c>
      <c r="AR16" s="331" t="e">
        <f>IF(AQ16&lt;=1,"Rara vez",VLOOKUP(AQ16,[17]Listas!$L$69:$M$73,2,0))</f>
        <v>#N/A</v>
      </c>
      <c r="AS16" s="6" t="e">
        <f t="shared" si="11"/>
        <v>#N/A</v>
      </c>
      <c r="AT16" s="331" t="e">
        <f t="shared" si="12"/>
        <v>#N/A</v>
      </c>
      <c r="AU16" s="331" t="e">
        <f>INDEX([17]Listas!$O$69:$Q$73,MATCH(AR16,[17]Listas!$M$69:$M$73,0),MATCH(AT16,[17]Listas!$O$67:$Q$67,0))</f>
        <v>#N/A</v>
      </c>
      <c r="AV16" s="330"/>
      <c r="AW16" s="826"/>
      <c r="AX16" s="843"/>
      <c r="AY16" s="843"/>
      <c r="AZ16" s="12"/>
      <c r="BA16" s="12"/>
      <c r="BB16" s="839"/>
      <c r="BC16" s="12"/>
      <c r="BD16" s="12" t="s">
        <v>2343</v>
      </c>
      <c r="BE16" s="839"/>
      <c r="BF16" s="12"/>
      <c r="BG16" s="12"/>
      <c r="BH16" s="227"/>
      <c r="BI16" s="227"/>
      <c r="BJ16" s="839"/>
      <c r="BK16" s="228"/>
      <c r="BL16" s="228"/>
    </row>
    <row r="17" spans="1:64" s="3" customFormat="1" ht="108" hidden="1" customHeight="1">
      <c r="A17" s="332"/>
      <c r="B17" s="2805"/>
      <c r="C17" s="2806"/>
      <c r="D17" s="2807"/>
      <c r="E17" s="843"/>
      <c r="F17" s="2808"/>
      <c r="G17" s="2809"/>
      <c r="H17" s="2810"/>
      <c r="I17" s="2805"/>
      <c r="J17" s="2806"/>
      <c r="K17" s="2807"/>
      <c r="L17" s="330"/>
      <c r="M17" s="50"/>
      <c r="N17" s="32"/>
      <c r="O17" s="6" t="e">
        <f>VLOOKUP(L17,[17]Listas!$M$69:$N$73,2,0)</f>
        <v>#N/A</v>
      </c>
      <c r="P17" s="6"/>
      <c r="Q17" s="6" t="e">
        <f>HLOOKUP(M17,[17]Listas!$O$67:$Q$68,2,0)</f>
        <v>#N/A</v>
      </c>
      <c r="R17" s="331" t="e">
        <f>INDEX([17]Listas!$O$69:$Q$73,MATCH(L17,[17]Listas!$M$69:$M$73,0),MATCH(M17,[17]Listas!$O$67:$Q$67,0))</f>
        <v>#N/A</v>
      </c>
      <c r="S17" s="2805"/>
      <c r="T17" s="2806"/>
      <c r="U17" s="2807"/>
      <c r="V17" s="329"/>
      <c r="W17" s="329"/>
      <c r="X17" s="329"/>
      <c r="Y17" s="329"/>
      <c r="Z17" s="329"/>
      <c r="AA17" s="329"/>
      <c r="AB17" s="329"/>
      <c r="AC17" s="329"/>
      <c r="AD17" s="329"/>
      <c r="AE17" s="329"/>
      <c r="AF17" s="33"/>
      <c r="AG17" s="6">
        <f>IF(Y17="SI",15,0)</f>
        <v>0</v>
      </c>
      <c r="AH17" s="6">
        <f>IF(Z17="SI",5,0)</f>
        <v>0</v>
      </c>
      <c r="AI17" s="6">
        <f>IF(AA17="SI",15,0)</f>
        <v>0</v>
      </c>
      <c r="AJ17" s="6">
        <f>IF(AB17="SI",10,0)</f>
        <v>0</v>
      </c>
      <c r="AK17" s="6">
        <f>IF(AC17="SI",15,0)</f>
        <v>0</v>
      </c>
      <c r="AL17" s="6">
        <f>IF(AD17="SI",10,0)</f>
        <v>0</v>
      </c>
      <c r="AM17" s="6">
        <f>IF(AE17="SI",30,0)</f>
        <v>0</v>
      </c>
      <c r="AN17" s="6">
        <f>SUM(AG17+AH17+AI17+AJ17+AK17+AL17+AM17)</f>
        <v>0</v>
      </c>
      <c r="AO17" s="6">
        <f>IF(AN17&lt;=50,0,IF(AN17&gt;=76,2,1))</f>
        <v>0</v>
      </c>
      <c r="AP17" s="331" t="str">
        <f>CONCATENATE(AN17,"- disminuye ",AO17)</f>
        <v>0- disminuye 0</v>
      </c>
      <c r="AQ17" s="6" t="e">
        <f>IF(V17="SI",O17-AO17,O17)</f>
        <v>#N/A</v>
      </c>
      <c r="AR17" s="331" t="e">
        <f>IF(AQ17&lt;=1,"Rara vez",VLOOKUP(AQ17,[17]Listas!$L$69:$M$73,2,0))</f>
        <v>#N/A</v>
      </c>
      <c r="AS17" s="6" t="e">
        <f>IF(W17="SI",Q17-AO17,Q17)</f>
        <v>#N/A</v>
      </c>
      <c r="AT17" s="331" t="e">
        <f>IF(AS17&lt;=9,"Moderado",IF(AS17=20,"Catastrófico",IF(AS17=18,"Moderado","Mayor")))</f>
        <v>#N/A</v>
      </c>
      <c r="AU17" s="331" t="e">
        <f>INDEX([17]Listas!$O$69:$Q$73,MATCH(AR17,[17]Listas!$M$69:$M$73,0),MATCH(AT17,[17]Listas!$O$67:$Q$67,0))</f>
        <v>#N/A</v>
      </c>
      <c r="AV17" s="330"/>
      <c r="AW17" s="826"/>
      <c r="AX17" s="843"/>
      <c r="AY17" s="843"/>
      <c r="AZ17" s="12"/>
      <c r="BA17" s="12"/>
      <c r="BB17" s="839"/>
      <c r="BC17" s="12"/>
      <c r="BD17" s="12" t="s">
        <v>2343</v>
      </c>
      <c r="BE17" s="839"/>
      <c r="BF17" s="12"/>
      <c r="BG17" s="12"/>
      <c r="BH17" s="227"/>
      <c r="BI17" s="227"/>
      <c r="BJ17" s="839"/>
      <c r="BK17" s="228"/>
      <c r="BL17" s="228"/>
    </row>
    <row r="18" spans="1:64" s="3" customFormat="1" ht="108" hidden="1" customHeight="1">
      <c r="A18" s="332"/>
      <c r="B18" s="2805"/>
      <c r="C18" s="2806"/>
      <c r="D18" s="2807"/>
      <c r="E18" s="843"/>
      <c r="F18" s="2808"/>
      <c r="G18" s="2809"/>
      <c r="H18" s="2810"/>
      <c r="I18" s="2805"/>
      <c r="J18" s="2806"/>
      <c r="K18" s="2807"/>
      <c r="L18" s="330"/>
      <c r="M18" s="50"/>
      <c r="N18" s="32"/>
      <c r="O18" s="6" t="e">
        <f>VLOOKUP(L18,[17]Listas!$M$69:$N$73,2,0)</f>
        <v>#N/A</v>
      </c>
      <c r="P18" s="6"/>
      <c r="Q18" s="6" t="e">
        <f>HLOOKUP(M18,[17]Listas!$O$67:$Q$68,2,0)</f>
        <v>#N/A</v>
      </c>
      <c r="R18" s="331" t="e">
        <f>INDEX([17]Listas!$O$69:$Q$73,MATCH(L18,[17]Listas!$M$69:$M$73,0),MATCH(M18,[17]Listas!$O$67:$Q$67,0))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vez",VLOOKUP(AQ18,[17]Listas!$L$69:$M$73,2,0))</f>
        <v>#N/A</v>
      </c>
      <c r="AS18" s="6" t="e">
        <f t="shared" si="11"/>
        <v>#N/A</v>
      </c>
      <c r="AT18" s="331" t="e">
        <f t="shared" si="12"/>
        <v>#N/A</v>
      </c>
      <c r="AU18" s="331" t="e">
        <f>INDEX([17]Listas!$O$69:$Q$73,MATCH(AR18,[17]Listas!$M$69:$M$73,0),MATCH(AT18,[17]Listas!$O$67:$Q$67,0))</f>
        <v>#N/A</v>
      </c>
      <c r="AV18" s="330"/>
      <c r="AW18" s="826"/>
      <c r="AX18" s="843"/>
      <c r="AY18" s="843"/>
      <c r="AZ18" s="12"/>
      <c r="BA18" s="12"/>
      <c r="BB18" s="839"/>
      <c r="BC18" s="12"/>
      <c r="BD18" s="12" t="s">
        <v>2343</v>
      </c>
      <c r="BE18" s="839"/>
      <c r="BF18" s="12"/>
      <c r="BG18" s="12"/>
      <c r="BH18" s="227"/>
      <c r="BI18" s="227"/>
      <c r="BJ18" s="839"/>
      <c r="BK18" s="228"/>
      <c r="BL18" s="228"/>
    </row>
    <row r="19" spans="1:64" s="3" customFormat="1" ht="108" hidden="1" customHeight="1">
      <c r="A19" s="332"/>
      <c r="B19" s="2805"/>
      <c r="C19" s="2806"/>
      <c r="D19" s="2807"/>
      <c r="E19" s="843"/>
      <c r="F19" s="2808"/>
      <c r="G19" s="2809"/>
      <c r="H19" s="2810"/>
      <c r="I19" s="2805"/>
      <c r="J19" s="2806"/>
      <c r="K19" s="2807"/>
      <c r="L19" s="330"/>
      <c r="M19" s="50"/>
      <c r="N19" s="32"/>
      <c r="O19" s="6" t="e">
        <f>VLOOKUP(L19,[17]Listas!$M$69:$N$73,2,0)</f>
        <v>#N/A</v>
      </c>
      <c r="P19" s="6"/>
      <c r="Q19" s="6" t="e">
        <f>HLOOKUP(M19,[17]Listas!$O$67:$Q$68,2,0)</f>
        <v>#N/A</v>
      </c>
      <c r="R19" s="331" t="e">
        <f>INDEX([17]Listas!$O$69:$Q$73,MATCH(L19,[17]Listas!$M$69:$M$73,0),MATCH(M19,[17]Listas!$O$67:$Q$67,0))</f>
        <v>#N/A</v>
      </c>
      <c r="S19" s="2805"/>
      <c r="T19" s="2806"/>
      <c r="U19" s="2807"/>
      <c r="V19" s="329"/>
      <c r="W19" s="329"/>
      <c r="X19" s="329"/>
      <c r="Y19" s="329"/>
      <c r="Z19" s="329"/>
      <c r="AA19" s="329"/>
      <c r="AB19" s="329"/>
      <c r="AC19" s="329"/>
      <c r="AD19" s="329"/>
      <c r="AE19" s="329"/>
      <c r="AF19" s="33"/>
      <c r="AG19" s="6">
        <f t="shared" si="0"/>
        <v>0</v>
      </c>
      <c r="AH19" s="6">
        <f t="shared" si="1"/>
        <v>0</v>
      </c>
      <c r="AI19" s="6">
        <f t="shared" si="2"/>
        <v>0</v>
      </c>
      <c r="AJ19" s="6">
        <f t="shared" si="3"/>
        <v>0</v>
      </c>
      <c r="AK19" s="6">
        <f t="shared" si="4"/>
        <v>0</v>
      </c>
      <c r="AL19" s="6">
        <f t="shared" si="5"/>
        <v>0</v>
      </c>
      <c r="AM19" s="6">
        <f t="shared" si="6"/>
        <v>0</v>
      </c>
      <c r="AN19" s="6">
        <f t="shared" si="7"/>
        <v>0</v>
      </c>
      <c r="AO19" s="6">
        <f t="shared" si="8"/>
        <v>0</v>
      </c>
      <c r="AP19" s="331" t="str">
        <f t="shared" si="9"/>
        <v>0- disminuye 0</v>
      </c>
      <c r="AQ19" s="6" t="e">
        <f t="shared" si="10"/>
        <v>#N/A</v>
      </c>
      <c r="AR19" s="331" t="e">
        <f>IF(AQ19&lt;=1,"Rara vez",VLOOKUP(AQ19,[17]Listas!$L$69:$M$73,2,0))</f>
        <v>#N/A</v>
      </c>
      <c r="AS19" s="6" t="e">
        <f t="shared" si="11"/>
        <v>#N/A</v>
      </c>
      <c r="AT19" s="331" t="e">
        <f t="shared" si="12"/>
        <v>#N/A</v>
      </c>
      <c r="AU19" s="331" t="e">
        <f>INDEX([17]Listas!$O$69:$Q$73,MATCH(AR19,[17]Listas!$M$69:$M$73,0),MATCH(AT19,[17]Listas!$O$67:$Q$67,0))</f>
        <v>#N/A</v>
      </c>
      <c r="AV19" s="330"/>
      <c r="AW19" s="826"/>
      <c r="AX19" s="843"/>
      <c r="AY19" s="843"/>
      <c r="AZ19" s="12"/>
      <c r="BA19" s="12"/>
      <c r="BB19" s="839"/>
      <c r="BC19" s="12"/>
      <c r="BD19" s="12" t="s">
        <v>2343</v>
      </c>
      <c r="BE19" s="839"/>
      <c r="BF19" s="12"/>
      <c r="BG19" s="12"/>
      <c r="BH19" s="227"/>
      <c r="BI19" s="227"/>
      <c r="BJ19" s="839"/>
      <c r="BK19" s="228"/>
      <c r="BL19" s="228"/>
    </row>
    <row r="20" spans="1:64" s="3" customFormat="1" ht="108" hidden="1" customHeight="1">
      <c r="A20" s="332"/>
      <c r="B20" s="2805"/>
      <c r="C20" s="2806"/>
      <c r="D20" s="2807"/>
      <c r="E20" s="843"/>
      <c r="F20" s="2808"/>
      <c r="G20" s="2809"/>
      <c r="H20" s="2810"/>
      <c r="I20" s="2805"/>
      <c r="J20" s="2806"/>
      <c r="K20" s="2807"/>
      <c r="L20" s="330"/>
      <c r="M20" s="50"/>
      <c r="N20" s="32"/>
      <c r="O20" s="6" t="e">
        <f>VLOOKUP(L20,[17]Listas!$M$69:$N$73,2,0)</f>
        <v>#N/A</v>
      </c>
      <c r="P20" s="6"/>
      <c r="Q20" s="6" t="e">
        <f>HLOOKUP(M20,[17]Listas!$O$67:$Q$68,2,0)</f>
        <v>#N/A</v>
      </c>
      <c r="R20" s="331" t="e">
        <f>INDEX([17]Listas!$O$69:$Q$73,MATCH(L20,[17]Listas!$M$69:$M$73,0),MATCH(M20,[17]Listas!$O$67:$Q$67,0))</f>
        <v>#N/A</v>
      </c>
      <c r="S20" s="2805"/>
      <c r="T20" s="2806"/>
      <c r="U20" s="2807"/>
      <c r="V20" s="329"/>
      <c r="W20" s="329"/>
      <c r="X20" s="329"/>
      <c r="Y20" s="329"/>
      <c r="Z20" s="329"/>
      <c r="AA20" s="329"/>
      <c r="AB20" s="329"/>
      <c r="AC20" s="329"/>
      <c r="AD20" s="329"/>
      <c r="AE20" s="329"/>
      <c r="AF20" s="33"/>
      <c r="AG20" s="6">
        <f>IF(Y20="SI",15,0)</f>
        <v>0</v>
      </c>
      <c r="AH20" s="6">
        <f>IF(Z20="SI",5,0)</f>
        <v>0</v>
      </c>
      <c r="AI20" s="6">
        <f>IF(AA20="SI",15,0)</f>
        <v>0</v>
      </c>
      <c r="AJ20" s="6">
        <f>IF(AB20="SI",10,0)</f>
        <v>0</v>
      </c>
      <c r="AK20" s="6">
        <f>IF(AC20="SI",15,0)</f>
        <v>0</v>
      </c>
      <c r="AL20" s="6">
        <f>IF(AD20="SI",10,0)</f>
        <v>0</v>
      </c>
      <c r="AM20" s="6">
        <f>IF(AE20="SI",30,0)</f>
        <v>0</v>
      </c>
      <c r="AN20" s="6">
        <f>SUM(AG20+AH20+AI20+AJ20+AK20+AL20+AM20)</f>
        <v>0</v>
      </c>
      <c r="AO20" s="6">
        <f>IF(AN20&lt;=50,0,IF(AN20&gt;=76,2,1))</f>
        <v>0</v>
      </c>
      <c r="AP20" s="331" t="str">
        <f>CONCATENATE(AN20,"- disminuye ",AO20)</f>
        <v>0- disminuye 0</v>
      </c>
      <c r="AQ20" s="6" t="e">
        <f>IF(V20="SI",O20-AO20,O20)</f>
        <v>#N/A</v>
      </c>
      <c r="AR20" s="331" t="e">
        <f>IF(AQ20&lt;=1,"Rara vez",VLOOKUP(AQ20,[17]Listas!$L$69:$M$73,2,0))</f>
        <v>#N/A</v>
      </c>
      <c r="AS20" s="6" t="e">
        <f>IF(W20="SI",Q20-AO20,Q20)</f>
        <v>#N/A</v>
      </c>
      <c r="AT20" s="331" t="e">
        <f>IF(AS20&lt;=9,"Moderado",IF(AS20=20,"Catastrófico",IF(AS20=18,"Moderado","Mayor")))</f>
        <v>#N/A</v>
      </c>
      <c r="AU20" s="331" t="e">
        <f>INDEX([17]Listas!$O$69:$Q$73,MATCH(AR20,[17]Listas!$M$69:$M$73,0),MATCH(AT20,[17]Listas!$O$67:$Q$67,0))</f>
        <v>#N/A</v>
      </c>
      <c r="AV20" s="330"/>
      <c r="AW20" s="826"/>
      <c r="AX20" s="843"/>
      <c r="AY20" s="843"/>
      <c r="AZ20" s="12"/>
      <c r="BA20" s="12"/>
      <c r="BB20" s="839"/>
      <c r="BC20" s="12"/>
      <c r="BD20" s="12" t="s">
        <v>2343</v>
      </c>
      <c r="BE20" s="839"/>
      <c r="BF20" s="12"/>
      <c r="BG20" s="12"/>
      <c r="BH20" s="227"/>
      <c r="BI20" s="227"/>
      <c r="BJ20" s="839"/>
      <c r="BK20" s="228"/>
      <c r="BL20" s="228"/>
    </row>
    <row r="21" spans="1:64" s="3" customFormat="1" ht="108" hidden="1" customHeight="1">
      <c r="A21" s="332"/>
      <c r="B21" s="2805"/>
      <c r="C21" s="2806"/>
      <c r="D21" s="2807"/>
      <c r="E21" s="843"/>
      <c r="F21" s="2808"/>
      <c r="G21" s="2809"/>
      <c r="H21" s="2810"/>
      <c r="I21" s="2805"/>
      <c r="J21" s="2806"/>
      <c r="K21" s="2807"/>
      <c r="L21" s="330"/>
      <c r="M21" s="50"/>
      <c r="N21" s="32"/>
      <c r="O21" s="6" t="e">
        <f>VLOOKUP(L21,[17]Listas!$M$69:$N$73,2,0)</f>
        <v>#N/A</v>
      </c>
      <c r="P21" s="6"/>
      <c r="Q21" s="6" t="e">
        <f>HLOOKUP(M21,[17]Listas!$O$67:$Q$68,2,0)</f>
        <v>#N/A</v>
      </c>
      <c r="R21" s="331" t="e">
        <f>INDEX([17]Listas!$O$69:$Q$73,MATCH(L21,[17]Listas!$M$69:$M$73,0),MATCH(M21,[17]Listas!$O$67:$Q$67,0))</f>
        <v>#N/A</v>
      </c>
      <c r="S21" s="2805"/>
      <c r="T21" s="2806"/>
      <c r="U21" s="2807"/>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vez",VLOOKUP(AQ21,[17]Listas!$L$69:$M$73,2,0))</f>
        <v>#N/A</v>
      </c>
      <c r="AS21" s="6" t="e">
        <f t="shared" si="11"/>
        <v>#N/A</v>
      </c>
      <c r="AT21" s="331" t="e">
        <f t="shared" si="12"/>
        <v>#N/A</v>
      </c>
      <c r="AU21" s="331" t="e">
        <f>INDEX([17]Listas!$O$69:$Q$73,MATCH(AR21,[17]Listas!$M$69:$M$73,0),MATCH(AT21,[17]Listas!$O$67:$Q$67,0))</f>
        <v>#N/A</v>
      </c>
      <c r="AV21" s="330"/>
      <c r="AW21" s="826"/>
      <c r="AX21" s="843"/>
      <c r="AY21" s="843"/>
      <c r="AZ21" s="12"/>
      <c r="BA21" s="12"/>
      <c r="BB21" s="839"/>
      <c r="BC21" s="12"/>
      <c r="BD21" s="12" t="s">
        <v>2343</v>
      </c>
      <c r="BE21" s="839"/>
      <c r="BF21" s="12"/>
      <c r="BG21" s="12"/>
      <c r="BH21" s="227"/>
      <c r="BI21" s="227"/>
      <c r="BJ21" s="839"/>
      <c r="BK21" s="228"/>
      <c r="BL21" s="228"/>
    </row>
    <row r="22" spans="1:64" ht="6.75" customHeight="1">
      <c r="A22" s="2"/>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1:64" ht="15" customHeight="1">
      <c r="A23" s="317"/>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1:64" s="22" customFormat="1" ht="19.5" customHeight="1">
      <c r="A24" s="10"/>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4" t="s">
        <v>172</v>
      </c>
      <c r="AS24" s="2804"/>
      <c r="AT24" s="2804"/>
      <c r="AU24" s="2804"/>
      <c r="AV24" s="2804"/>
      <c r="AW24" s="2804"/>
      <c r="AX24" s="65"/>
      <c r="AY24" s="65"/>
      <c r="AZ24" s="68"/>
      <c r="BA24" s="68"/>
      <c r="BB24" s="92"/>
      <c r="BC24" s="68"/>
      <c r="BD24" s="68"/>
      <c r="BE24" s="92"/>
      <c r="BF24" s="68"/>
      <c r="BG24" s="68"/>
      <c r="BH24" s="230"/>
      <c r="BI24" s="230"/>
      <c r="BJ24" s="92"/>
      <c r="BK24" s="210"/>
      <c r="BL24" s="210"/>
    </row>
    <row r="25" spans="1:64" s="22" customFormat="1" ht="25.5" customHeight="1">
      <c r="A25" s="11"/>
      <c r="B25" s="2800" t="s">
        <v>343</v>
      </c>
      <c r="C25" s="2800"/>
      <c r="D25" s="2800"/>
      <c r="E25" s="2800"/>
      <c r="F25" s="2800"/>
      <c r="G25" s="2800"/>
      <c r="H25" s="2800"/>
      <c r="I25" s="2794" t="s">
        <v>3291</v>
      </c>
      <c r="J25" s="2795"/>
      <c r="K25" s="2795"/>
      <c r="L25" s="2795"/>
      <c r="M25" s="2795"/>
      <c r="N25" s="2795"/>
      <c r="O25" s="2795"/>
      <c r="P25" s="2795"/>
      <c r="Q25" s="2795"/>
      <c r="R25" s="2795"/>
      <c r="S25" s="2795"/>
      <c r="T25" s="2795"/>
      <c r="U25" s="2796"/>
      <c r="V25" s="2794" t="s">
        <v>3594</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68"/>
      <c r="BA25" s="68"/>
      <c r="BB25" s="92"/>
      <c r="BC25" s="68"/>
      <c r="BD25" s="68"/>
      <c r="BE25" s="92"/>
      <c r="BF25" s="68"/>
      <c r="BG25" s="68"/>
      <c r="BH25" s="230"/>
      <c r="BI25" s="230"/>
      <c r="BJ25" s="92"/>
      <c r="BK25" s="210"/>
      <c r="BL25" s="210"/>
    </row>
    <row r="26" spans="1:64" s="22" customFormat="1" ht="25.5" customHeight="1">
      <c r="A26" s="11"/>
      <c r="B26" s="2800" t="s">
        <v>376</v>
      </c>
      <c r="C26" s="2800"/>
      <c r="D26" s="2800"/>
      <c r="E26" s="2800"/>
      <c r="F26" s="2800"/>
      <c r="G26" s="2800"/>
      <c r="H26" s="2800"/>
      <c r="I26" s="2794" t="s">
        <v>853</v>
      </c>
      <c r="J26" s="2795"/>
      <c r="K26" s="2795"/>
      <c r="L26" s="2795"/>
      <c r="M26" s="2795"/>
      <c r="N26" s="2795"/>
      <c r="O26" s="2795"/>
      <c r="P26" s="2795"/>
      <c r="Q26" s="2795"/>
      <c r="R26" s="2795"/>
      <c r="S26" s="2795"/>
      <c r="T26" s="2795"/>
      <c r="U26" s="2796"/>
      <c r="V26" s="2794" t="s">
        <v>339</v>
      </c>
      <c r="W26" s="2795"/>
      <c r="X26" s="2795"/>
      <c r="Y26" s="2795"/>
      <c r="Z26" s="2795"/>
      <c r="AA26" s="2795"/>
      <c r="AB26" s="2795"/>
      <c r="AC26" s="2795"/>
      <c r="AD26" s="2795"/>
      <c r="AE26" s="2795"/>
      <c r="AF26" s="2795"/>
      <c r="AG26" s="2795"/>
      <c r="AH26" s="2795"/>
      <c r="AI26" s="2795"/>
      <c r="AJ26" s="2795"/>
      <c r="AK26" s="2795"/>
      <c r="AL26" s="2795"/>
      <c r="AM26" s="2795"/>
      <c r="AN26" s="2795"/>
      <c r="AO26" s="2795"/>
      <c r="AP26" s="2796"/>
      <c r="AQ26" s="12"/>
      <c r="AR26" s="2800"/>
      <c r="AS26" s="2800"/>
      <c r="AT26" s="2800"/>
      <c r="AU26" s="2800"/>
      <c r="AV26" s="2800"/>
      <c r="AW26" s="2800"/>
      <c r="AX26" s="65"/>
      <c r="AY26" s="65"/>
      <c r="AZ26" s="68"/>
      <c r="BA26" s="68"/>
      <c r="BB26" s="92"/>
      <c r="BC26" s="68"/>
      <c r="BD26" s="68"/>
      <c r="BE26" s="92"/>
      <c r="BF26" s="68"/>
      <c r="BG26" s="68"/>
      <c r="BH26" s="230"/>
      <c r="BI26" s="230"/>
      <c r="BJ26" s="92"/>
      <c r="BK26" s="210"/>
      <c r="BL26" s="210"/>
    </row>
    <row r="27" spans="1:64" ht="25.5" customHeight="1">
      <c r="A27" s="11"/>
      <c r="B27" s="2800" t="s">
        <v>377</v>
      </c>
      <c r="C27" s="2800"/>
      <c r="D27" s="2800"/>
      <c r="E27" s="2800"/>
      <c r="F27" s="2800"/>
      <c r="G27" s="2800"/>
      <c r="H27" s="2800"/>
      <c r="I27" s="2794" t="s">
        <v>877</v>
      </c>
      <c r="J27" s="2795"/>
      <c r="K27" s="2795"/>
      <c r="L27" s="2795"/>
      <c r="M27" s="2795"/>
      <c r="N27" s="2795"/>
      <c r="O27" s="2795"/>
      <c r="P27" s="2795"/>
      <c r="Q27" s="2795"/>
      <c r="R27" s="2795"/>
      <c r="S27" s="2795"/>
      <c r="T27" s="2795"/>
      <c r="U27" s="2796"/>
      <c r="V27" s="2794" t="s">
        <v>308</v>
      </c>
      <c r="W27" s="2795"/>
      <c r="X27" s="2795"/>
      <c r="Y27" s="2795"/>
      <c r="Z27" s="2795"/>
      <c r="AA27" s="2795"/>
      <c r="AB27" s="2795"/>
      <c r="AC27" s="2795"/>
      <c r="AD27" s="2795"/>
      <c r="AE27" s="2795"/>
      <c r="AF27" s="2795"/>
      <c r="AG27" s="2795"/>
      <c r="AH27" s="2795"/>
      <c r="AI27" s="2795"/>
      <c r="AJ27" s="2795"/>
      <c r="AK27" s="2795"/>
      <c r="AL27" s="2795"/>
      <c r="AM27" s="2795"/>
      <c r="AN27" s="2795"/>
      <c r="AO27" s="2795"/>
      <c r="AP27" s="2796"/>
      <c r="AQ27" s="12"/>
      <c r="AR27" s="2800"/>
      <c r="AS27" s="2800"/>
      <c r="AT27" s="2800"/>
      <c r="AU27" s="2800"/>
      <c r="AV27" s="2800"/>
      <c r="AW27" s="2800"/>
      <c r="AX27" s="65"/>
      <c r="AY27" s="65"/>
      <c r="AZ27" s="68"/>
      <c r="BA27" s="68"/>
      <c r="BB27" s="92"/>
      <c r="BC27" s="68"/>
      <c r="BD27" s="68"/>
      <c r="BE27" s="92"/>
      <c r="BF27" s="68"/>
      <c r="BG27" s="68"/>
      <c r="BH27" s="230"/>
      <c r="BI27" s="230"/>
      <c r="BJ27" s="92"/>
    </row>
    <row r="28" spans="1:64" ht="26.25" customHeight="1">
      <c r="A28" s="13"/>
      <c r="B28" s="2800" t="s">
        <v>378</v>
      </c>
      <c r="C28" s="2800"/>
      <c r="D28" s="2800"/>
      <c r="E28" s="2800"/>
      <c r="F28" s="2800"/>
      <c r="G28" s="2800"/>
      <c r="H28" s="2800"/>
      <c r="I28" s="2794" t="s">
        <v>158</v>
      </c>
      <c r="J28" s="2795"/>
      <c r="K28" s="2795"/>
      <c r="L28" s="2795"/>
      <c r="M28" s="2795"/>
      <c r="N28" s="2795"/>
      <c r="O28" s="2795"/>
      <c r="P28" s="2795"/>
      <c r="Q28" s="2795"/>
      <c r="R28" s="2795"/>
      <c r="S28" s="2795"/>
      <c r="T28" s="2795"/>
      <c r="U28" s="2796"/>
      <c r="V28" s="2794" t="s">
        <v>308</v>
      </c>
      <c r="W28" s="2795"/>
      <c r="X28" s="2795"/>
      <c r="Y28" s="2795"/>
      <c r="Z28" s="2795"/>
      <c r="AA28" s="2795"/>
      <c r="AB28" s="2795"/>
      <c r="AC28" s="2795"/>
      <c r="AD28" s="2795"/>
      <c r="AE28" s="2795"/>
      <c r="AF28" s="2795"/>
      <c r="AG28" s="2795"/>
      <c r="AH28" s="2795"/>
      <c r="AI28" s="2795"/>
      <c r="AJ28" s="2795"/>
      <c r="AK28" s="2795"/>
      <c r="AL28" s="2795"/>
      <c r="AM28" s="2795"/>
      <c r="AN28" s="2795"/>
      <c r="AO28" s="2795"/>
      <c r="AP28" s="2796"/>
      <c r="AQ28" s="12"/>
      <c r="AR28" s="2800"/>
      <c r="AS28" s="2800"/>
      <c r="AT28" s="2800"/>
      <c r="AU28" s="2800"/>
      <c r="AV28" s="2800"/>
      <c r="AW28" s="2800"/>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2">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2">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2">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2">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2">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2">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2">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2">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2">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2">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2">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2">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2">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1:62">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c r="AZ94" s="68"/>
      <c r="BA94" s="68"/>
      <c r="BB94" s="92"/>
      <c r="BC94" s="68"/>
      <c r="BD94" s="68"/>
      <c r="BE94" s="92"/>
      <c r="BF94" s="68"/>
      <c r="BG94" s="68"/>
      <c r="BH94" s="230"/>
      <c r="BI94" s="230"/>
      <c r="BJ94" s="92"/>
    </row>
    <row r="95" spans="1:62">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2">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1:64">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ht="11.25">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1:64" ht="11.25">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c r="AZ105" s="231"/>
      <c r="BA105" s="231"/>
      <c r="BB105" s="231"/>
      <c r="BC105" s="231"/>
      <c r="BD105" s="231"/>
      <c r="BE105" s="231"/>
      <c r="BF105" s="231"/>
      <c r="BG105" s="231"/>
      <c r="BH105" s="231"/>
      <c r="BI105" s="231"/>
      <c r="BJ105" s="231"/>
      <c r="BK105" s="231"/>
      <c r="BL105" s="231"/>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1:49">
      <c r="A119" s="13"/>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row r="120" spans="1:49">
      <c r="A120" s="13"/>
      <c r="B120" s="13"/>
      <c r="C120" s="13"/>
      <c r="D120" s="13"/>
      <c r="E120" s="14"/>
      <c r="F120" s="13"/>
      <c r="G120" s="13"/>
      <c r="H120" s="13"/>
      <c r="I120" s="13"/>
      <c r="J120" s="13"/>
      <c r="K120" s="13"/>
      <c r="L120" s="15"/>
      <c r="M120" s="15"/>
      <c r="N120" s="15"/>
      <c r="O120" s="15"/>
      <c r="P120" s="15"/>
      <c r="Q120" s="15"/>
      <c r="R120" s="15"/>
      <c r="S120" s="15"/>
      <c r="T120" s="15"/>
      <c r="U120" s="15"/>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5"/>
      <c r="AW120" s="15"/>
    </row>
  </sheetData>
  <sheetProtection formatCells="0" formatColumns="0" formatRows="0" insertRows="0" deleteRows="0" sort="0" autoFilter="0" pivotTables="0"/>
  <mergeCells count="101">
    <mergeCell ref="BD3:BE3"/>
    <mergeCell ref="A4:D4"/>
    <mergeCell ref="E4:U4"/>
    <mergeCell ref="V4:AB4"/>
    <mergeCell ref="BB4:BC4"/>
    <mergeCell ref="BD4:BE4"/>
    <mergeCell ref="A1:AB1"/>
    <mergeCell ref="AC1:AU4"/>
    <mergeCell ref="BB1:BE1"/>
    <mergeCell ref="A2:AB2"/>
    <mergeCell ref="BB2:BC2"/>
    <mergeCell ref="BD2:BE2"/>
    <mergeCell ref="A3:D3"/>
    <mergeCell ref="E3:U3"/>
    <mergeCell ref="V3:AB3"/>
    <mergeCell ref="BB3:BC3"/>
    <mergeCell ref="BF7:BJ7"/>
    <mergeCell ref="B8:K8"/>
    <mergeCell ref="L8:R8"/>
    <mergeCell ref="S8:AV8"/>
    <mergeCell ref="AW8:AZ8"/>
    <mergeCell ref="BF8:BJ8"/>
    <mergeCell ref="B6:C6"/>
    <mergeCell ref="D6:H6"/>
    <mergeCell ref="I6:K6"/>
    <mergeCell ref="L6:U6"/>
    <mergeCell ref="V6:Z6"/>
    <mergeCell ref="AA6:BA6"/>
    <mergeCell ref="B11:D11"/>
    <mergeCell ref="F11:H11"/>
    <mergeCell ref="I11:K11"/>
    <mergeCell ref="S11:U11"/>
    <mergeCell ref="B12:D12"/>
    <mergeCell ref="F12:H12"/>
    <mergeCell ref="I12:K12"/>
    <mergeCell ref="S12:U12"/>
    <mergeCell ref="B9:D9"/>
    <mergeCell ref="F9:H9"/>
    <mergeCell ref="I9:K9"/>
    <mergeCell ref="S9:U9"/>
    <mergeCell ref="B10:D10"/>
    <mergeCell ref="F10:H10"/>
    <mergeCell ref="I10:K10"/>
    <mergeCell ref="S10:U10"/>
    <mergeCell ref="B15:D15"/>
    <mergeCell ref="F15:H15"/>
    <mergeCell ref="I15:K15"/>
    <mergeCell ref="S15:U15"/>
    <mergeCell ref="B16:D16"/>
    <mergeCell ref="F16:H16"/>
    <mergeCell ref="I16:K16"/>
    <mergeCell ref="S16:U16"/>
    <mergeCell ref="B13:D13"/>
    <mergeCell ref="F13:H13"/>
    <mergeCell ref="I13:K13"/>
    <mergeCell ref="S13:U13"/>
    <mergeCell ref="B14:D14"/>
    <mergeCell ref="F14:H14"/>
    <mergeCell ref="I14:K14"/>
    <mergeCell ref="S14:U14"/>
    <mergeCell ref="B19:D19"/>
    <mergeCell ref="F19:H19"/>
    <mergeCell ref="I19:K19"/>
    <mergeCell ref="S19:U19"/>
    <mergeCell ref="B20:D20"/>
    <mergeCell ref="F20:H20"/>
    <mergeCell ref="I20:K20"/>
    <mergeCell ref="S20:U20"/>
    <mergeCell ref="B17:D17"/>
    <mergeCell ref="F17:H17"/>
    <mergeCell ref="I17:K17"/>
    <mergeCell ref="S17:U17"/>
    <mergeCell ref="B18:D18"/>
    <mergeCell ref="F18:H18"/>
    <mergeCell ref="I18:K18"/>
    <mergeCell ref="S18:U18"/>
    <mergeCell ref="V24:AP24"/>
    <mergeCell ref="AR24:AW24"/>
    <mergeCell ref="B25:H25"/>
    <mergeCell ref="I25:U25"/>
    <mergeCell ref="V25:AP25"/>
    <mergeCell ref="AR25:AW25"/>
    <mergeCell ref="B21:D21"/>
    <mergeCell ref="F21:H21"/>
    <mergeCell ref="I21:K21"/>
    <mergeCell ref="S21:U21"/>
    <mergeCell ref="B23:U23"/>
    <mergeCell ref="B24:H24"/>
    <mergeCell ref="I24:U24"/>
    <mergeCell ref="B28:H28"/>
    <mergeCell ref="I28:U28"/>
    <mergeCell ref="V28:AP28"/>
    <mergeCell ref="AR28:AW28"/>
    <mergeCell ref="B26:H26"/>
    <mergeCell ref="I26:U26"/>
    <mergeCell ref="V26:AP26"/>
    <mergeCell ref="AR26:AW26"/>
    <mergeCell ref="B27:H27"/>
    <mergeCell ref="I27:U27"/>
    <mergeCell ref="V27:AP27"/>
    <mergeCell ref="AR27:AW27"/>
  </mergeCells>
  <dataValidations count="8">
    <dataValidation type="list" allowBlank="1" showInputMessage="1" showErrorMessage="1" sqref="BE10:BE21">
      <formula1>Efectividad</formula1>
    </dataValidation>
    <dataValidation type="list" allowBlank="1" showInputMessage="1" sqref="AV10:AV21">
      <formula1>Periodo</formula1>
    </dataValidation>
    <dataValidation type="list" showInputMessage="1" showErrorMessage="1" sqref="V10:AF21">
      <formula1>Efectividad</formula1>
    </dataValidation>
    <dataValidation showInputMessage="1" showErrorMessage="1" sqref="AG10:AT21"/>
    <dataValidation type="list" allowBlank="1" showInputMessage="1" showErrorMessage="1" sqref="M10:N21">
      <formula1>Impacto</formula1>
    </dataValidation>
    <dataValidation type="list" showInputMessage="1" showErrorMessage="1" sqref="L10:L21">
      <formula1>Probabilidad</formula1>
    </dataValidation>
    <dataValidation type="list" sqref="BD4:BE4">
      <formula1>Monitoreo</formula1>
    </dataValidation>
    <dataValidation type="list" allowBlank="1" showInputMessage="1" showErrorMessage="1" sqref="L6">
      <formula1>Proceso</formula1>
    </dataValidation>
  </dataValidations>
  <printOptions horizontalCentered="1" verticalCentered="1"/>
  <pageMargins left="3.937007874015748E-2" right="3.937007874015748E-2" top="0.11811023622047245" bottom="0.11811023622047245" header="0.31496062992125984" footer="0.31496062992125984"/>
  <pageSetup paperSize="5" scale="53" fitToWidth="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BL117"/>
  <sheetViews>
    <sheetView showGridLines="0" view="pageBreakPreview" zoomScaleNormal="70" zoomScaleSheetLayoutView="100" workbookViewId="0">
      <pane xSplit="8" ySplit="9" topLeftCell="I10" activePane="bottomRight" state="frozen"/>
      <selection pane="topRight" activeCell="I1" sqref="I1"/>
      <selection pane="bottomLeft" activeCell="A10" sqref="A10"/>
      <selection pane="bottomRight" sqref="A1:AB1"/>
    </sheetView>
  </sheetViews>
  <sheetFormatPr baseColWidth="10" defaultColWidth="11.42578125" defaultRowHeight="15"/>
  <cols>
    <col min="1" max="1" width="2.140625" style="16" customWidth="1"/>
    <col min="2" max="2" width="5.42578125" style="16" customWidth="1"/>
    <col min="3" max="3" width="5.7109375" style="16" customWidth="1"/>
    <col min="4" max="4" width="4" style="16" customWidth="1"/>
    <col min="5" max="5" width="7.28515625" style="17" customWidth="1"/>
    <col min="6" max="7" width="4.5703125" style="16" customWidth="1"/>
    <col min="8" max="8" width="3.28515625" style="16" customWidth="1"/>
    <col min="9" max="10" width="4.5703125" style="16" customWidth="1"/>
    <col min="11" max="11" width="13.8554687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0" width="7.140625" style="18" customWidth="1"/>
    <col min="21" max="21" width="19.4257812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16.140625" style="18" customWidth="1"/>
    <col min="50" max="50" width="17" style="21" customWidth="1"/>
    <col min="51" max="51" width="3.85546875" style="21" customWidth="1"/>
    <col min="52" max="52" width="19.28515625" style="210" customWidth="1"/>
    <col min="53" max="53" width="16.28515625" style="210" customWidth="1"/>
    <col min="54" max="54" width="6.140625" style="210" customWidth="1"/>
    <col min="55" max="55" width="19.5703125" style="210" customWidth="1"/>
    <col min="56" max="56" width="42.7109375" style="210" customWidth="1"/>
    <col min="57" max="57" width="5.85546875" style="210" customWidth="1"/>
    <col min="58" max="58" width="31.5703125" style="210" customWidth="1"/>
    <col min="59" max="59" width="16.140625" style="210" customWidth="1"/>
    <col min="60" max="61" width="9.28515625" style="210" customWidth="1"/>
    <col min="62" max="62" width="11.140625" style="210" customWidth="1"/>
    <col min="63" max="63" width="2.140625" style="210" customWidth="1"/>
    <col min="64" max="64" width="11.42578125" style="210"/>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858" t="str">
        <f>UPPER([20]Control!A2)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22">
        <v>2019</v>
      </c>
      <c r="BA2" s="208"/>
      <c r="BB2" s="2830" t="s">
        <v>138</v>
      </c>
      <c r="BC2" s="2831"/>
      <c r="BD2" s="2861" t="str">
        <f>L6</f>
        <v>GESTIÓN INTEGRAL DE PROYECTOS</v>
      </c>
      <c r="BE2" s="2862"/>
      <c r="BF2" s="586"/>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1:64" ht="15.75" customHeight="1" thickBot="1">
      <c r="A4" s="2832" t="str">
        <f>[20]Control!A4</f>
        <v>FO-PE-05</v>
      </c>
      <c r="B4" s="2833"/>
      <c r="C4" s="2833"/>
      <c r="D4" s="2834"/>
      <c r="E4" s="2835" t="str">
        <f>[20]Control!C4</f>
        <v>Planeación Estratégica</v>
      </c>
      <c r="F4" s="2833"/>
      <c r="G4" s="2833"/>
      <c r="H4" s="2833"/>
      <c r="I4" s="2833"/>
      <c r="J4" s="2833"/>
      <c r="K4" s="2833"/>
      <c r="L4" s="2833"/>
      <c r="M4" s="2833"/>
      <c r="N4" s="2833"/>
      <c r="O4" s="2833"/>
      <c r="P4" s="2833"/>
      <c r="Q4" s="2833"/>
      <c r="R4" s="2833"/>
      <c r="S4" s="2833"/>
      <c r="T4" s="2833"/>
      <c r="U4" s="2834"/>
      <c r="V4" s="2835">
        <f>[20]Control!H4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232">
        <v>43708</v>
      </c>
      <c r="BA4" s="208"/>
      <c r="BB4" s="2836">
        <v>43708</v>
      </c>
      <c r="BC4" s="2837"/>
      <c r="BD4" s="2838" t="s">
        <v>4070</v>
      </c>
      <c r="BE4" s="2838"/>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842" t="s">
        <v>379</v>
      </c>
      <c r="M6" s="2843"/>
      <c r="N6" s="2843"/>
      <c r="O6" s="2843"/>
      <c r="P6" s="2843"/>
      <c r="Q6" s="2843"/>
      <c r="R6" s="2843"/>
      <c r="S6" s="2843"/>
      <c r="T6" s="2843"/>
      <c r="U6" s="2844"/>
      <c r="V6" s="2845" t="s">
        <v>59</v>
      </c>
      <c r="W6" s="2845"/>
      <c r="X6" s="2845"/>
      <c r="Y6" s="2845"/>
      <c r="Z6" s="2845"/>
      <c r="AA6" s="2827" t="s">
        <v>631</v>
      </c>
      <c r="AB6" s="2828"/>
      <c r="AC6" s="2828"/>
      <c r="AD6" s="2828"/>
      <c r="AE6" s="2828"/>
      <c r="AF6" s="2828"/>
      <c r="AG6" s="2828"/>
      <c r="AH6" s="2828"/>
      <c r="AI6" s="2828"/>
      <c r="AJ6" s="2828"/>
      <c r="AK6" s="2828"/>
      <c r="AL6" s="2828"/>
      <c r="AM6" s="2828"/>
      <c r="AN6" s="2828"/>
      <c r="AO6" s="2828"/>
      <c r="AP6" s="2828"/>
      <c r="AQ6" s="2828"/>
      <c r="AR6" s="2828"/>
      <c r="AS6" s="2828"/>
      <c r="AT6" s="2828"/>
      <c r="AU6" s="2828"/>
      <c r="AV6" s="2828"/>
      <c r="AW6" s="2828"/>
      <c r="AX6" s="2828"/>
      <c r="AY6" s="2828"/>
      <c r="AZ6" s="2828"/>
      <c r="BA6" s="2829"/>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11.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21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225"/>
      <c r="BL9" s="102"/>
    </row>
    <row r="10" spans="1:64" s="3" customFormat="1" ht="337.15" customHeight="1">
      <c r="A10" s="332"/>
      <c r="B10" s="2805" t="s">
        <v>632</v>
      </c>
      <c r="C10" s="2806"/>
      <c r="D10" s="2807"/>
      <c r="E10" s="843" t="s">
        <v>2108</v>
      </c>
      <c r="F10" s="2808" t="s">
        <v>2520</v>
      </c>
      <c r="G10" s="2809"/>
      <c r="H10" s="2810"/>
      <c r="I10" s="2805" t="s">
        <v>633</v>
      </c>
      <c r="J10" s="2806"/>
      <c r="K10" s="2807"/>
      <c r="L10" s="330" t="s">
        <v>286</v>
      </c>
      <c r="M10" s="50" t="s">
        <v>270</v>
      </c>
      <c r="N10" s="32"/>
      <c r="O10" s="6">
        <f>VLOOKUP(L10,[20]Listas!$M$69:$N$73,2,0)</f>
        <v>2</v>
      </c>
      <c r="P10" s="6"/>
      <c r="Q10" s="6">
        <f>HLOOKUP(M10,[20]Listas!$O$67:$Q$68,2,0)</f>
        <v>10</v>
      </c>
      <c r="R10" s="331" t="str">
        <f>INDEX([20]Listas!$O$69:$Q$73,MATCH(L10,[20]Listas!$M$69:$M$73,0),MATCH(M10,[20]Listas!$O$67:$Q$67,0))</f>
        <v>20
MODERADA</v>
      </c>
      <c r="S10" s="2805" t="s">
        <v>3246</v>
      </c>
      <c r="T10" s="2806"/>
      <c r="U10" s="2807"/>
      <c r="V10" s="329" t="s">
        <v>65</v>
      </c>
      <c r="W10" s="329" t="s">
        <v>65</v>
      </c>
      <c r="X10" s="329" t="s">
        <v>65</v>
      </c>
      <c r="Y10" s="329" t="s">
        <v>65</v>
      </c>
      <c r="Z10" s="329" t="s">
        <v>65</v>
      </c>
      <c r="AA10" s="329" t="s">
        <v>36</v>
      </c>
      <c r="AB10" s="329" t="s">
        <v>65</v>
      </c>
      <c r="AC10" s="329" t="s">
        <v>65</v>
      </c>
      <c r="AD10" s="329" t="s">
        <v>65</v>
      </c>
      <c r="AE10" s="329" t="s">
        <v>65</v>
      </c>
      <c r="AF10" s="33"/>
      <c r="AG10" s="6">
        <f t="shared" ref="AG10:AG20" si="0">IF(Y10="SI",15,0)</f>
        <v>15</v>
      </c>
      <c r="AH10" s="6">
        <f t="shared" ref="AH10:AH20" si="1">IF(Z10="SI",5,0)</f>
        <v>5</v>
      </c>
      <c r="AI10" s="6">
        <f t="shared" ref="AI10:AI20" si="2">IF(AA10="SI",15,0)</f>
        <v>0</v>
      </c>
      <c r="AJ10" s="6">
        <f t="shared" ref="AJ10:AJ20" si="3">IF(AB10="SI",10,0)</f>
        <v>10</v>
      </c>
      <c r="AK10" s="6">
        <f t="shared" ref="AK10:AK20" si="4">IF(AC10="SI",15,0)</f>
        <v>15</v>
      </c>
      <c r="AL10" s="6">
        <f t="shared" ref="AL10:AL20" si="5">IF(AD10="SI",10,0)</f>
        <v>10</v>
      </c>
      <c r="AM10" s="6">
        <f t="shared" ref="AM10:AM20" si="6">IF(AE10="SI",30,0)</f>
        <v>30</v>
      </c>
      <c r="AN10" s="6">
        <f t="shared" ref="AN10:AN20" si="7">SUM(AG10+AH10+AI10+AJ10+AK10+AL10+AM10)</f>
        <v>85</v>
      </c>
      <c r="AO10" s="6">
        <f t="shared" ref="AO10:AO20" si="8">IF(AN10&lt;=50,0,IF(AN10&gt;=76,2,1))</f>
        <v>2</v>
      </c>
      <c r="AP10" s="331" t="str">
        <f t="shared" ref="AP10:AP20" si="9">CONCATENATE(AN10,"- disminuye ",AO10)</f>
        <v>85- disminuye 2</v>
      </c>
      <c r="AQ10" s="6">
        <f t="shared" ref="AQ10:AQ20" si="10">IF(V10="SI",O10-AO10,O10)</f>
        <v>0</v>
      </c>
      <c r="AR10" s="331" t="str">
        <f>IF(AQ10&lt;=1,"Rara vez",VLOOKUP(AQ10,[20]Listas!$L$69:$M$73,2,0))</f>
        <v>Rara vez</v>
      </c>
      <c r="AS10" s="6">
        <f t="shared" ref="AS10:AS20" si="11">IF(W10="SI",Q10-AO10,Q10)</f>
        <v>8</v>
      </c>
      <c r="AT10" s="331" t="str">
        <f t="shared" ref="AT10:AT20" si="12">IF(AS10&lt;=9,"Moderado",IF(AS10=20,"Catastrófico",IF(AS10=18,"Moderado","Mayor")))</f>
        <v>Moderado</v>
      </c>
      <c r="AU10" s="331" t="str">
        <f>INDEX([20]Listas!$O$69:$Q$73,MATCH(AR10,[20]Listas!$M$69:$M$73,0),MATCH(AT10,[20]Listas!$O$67:$Q$67,0))</f>
        <v>5
BAJA</v>
      </c>
      <c r="AV10" s="330" t="s">
        <v>271</v>
      </c>
      <c r="AW10" s="826" t="s">
        <v>634</v>
      </c>
      <c r="AX10" s="843" t="s">
        <v>2521</v>
      </c>
      <c r="AY10" s="330" t="s">
        <v>99</v>
      </c>
      <c r="AZ10" s="12" t="s">
        <v>2522</v>
      </c>
      <c r="BA10" s="12" t="s">
        <v>2523</v>
      </c>
      <c r="BB10" s="517">
        <v>0</v>
      </c>
      <c r="BC10" s="12" t="s">
        <v>4071</v>
      </c>
      <c r="BD10" s="12" t="s">
        <v>3247</v>
      </c>
      <c r="BE10" s="839" t="s">
        <v>3248</v>
      </c>
      <c r="BF10" s="12"/>
      <c r="BG10" s="12"/>
      <c r="BH10" s="227"/>
      <c r="BI10" s="227"/>
      <c r="BJ10" s="839"/>
      <c r="BK10" s="228"/>
      <c r="BL10" s="228"/>
    </row>
    <row r="11" spans="1:64" s="3" customFormat="1" ht="108" hidden="1" customHeight="1">
      <c r="A11" s="332"/>
      <c r="B11" s="2805"/>
      <c r="C11" s="2806"/>
      <c r="D11" s="2807"/>
      <c r="E11" s="843"/>
      <c r="F11" s="2808"/>
      <c r="G11" s="2809"/>
      <c r="H11" s="2810"/>
      <c r="I11" s="2805"/>
      <c r="J11" s="2806"/>
      <c r="K11" s="2807"/>
      <c r="L11" s="330"/>
      <c r="M11" s="50"/>
      <c r="N11" s="32"/>
      <c r="O11" s="6" t="e">
        <f>VLOOKUP(L11,[20]Listas!$M$69:$N$73,2,0)</f>
        <v>#N/A</v>
      </c>
      <c r="P11" s="6"/>
      <c r="Q11" s="6" t="e">
        <f>HLOOKUP(M11,[20]Listas!$O$67:$Q$68,2,0)</f>
        <v>#N/A</v>
      </c>
      <c r="R11" s="331" t="e">
        <f>INDEX([20]Listas!$O$69:$Q$73,MATCH(L11,[20]Listas!$M$69:$M$73,0),MATCH(M11,[20]Listas!$O$67:$Q$67,0))</f>
        <v>#N/A</v>
      </c>
      <c r="S11" s="2805"/>
      <c r="T11" s="2806"/>
      <c r="U11" s="2807"/>
      <c r="V11" s="329"/>
      <c r="W11" s="329"/>
      <c r="X11" s="329"/>
      <c r="Y11" s="329"/>
      <c r="Z11" s="329"/>
      <c r="AA11" s="329"/>
      <c r="AB11" s="329"/>
      <c r="AC11" s="329"/>
      <c r="AD11" s="329"/>
      <c r="AE11" s="329"/>
      <c r="AF11" s="33"/>
      <c r="AG11" s="6">
        <f>IF(Y11="SI",15,0)</f>
        <v>0</v>
      </c>
      <c r="AH11" s="6">
        <f>IF(Z11="SI",5,0)</f>
        <v>0</v>
      </c>
      <c r="AI11" s="6">
        <f>IF(AA11="SI",15,0)</f>
        <v>0</v>
      </c>
      <c r="AJ11" s="6">
        <f>IF(AB11="SI",10,0)</f>
        <v>0</v>
      </c>
      <c r="AK11" s="6">
        <f>IF(AC11="SI",15,0)</f>
        <v>0</v>
      </c>
      <c r="AL11" s="6">
        <f>IF(AD11="SI",10,0)</f>
        <v>0</v>
      </c>
      <c r="AM11" s="6">
        <f>IF(AE11="SI",30,0)</f>
        <v>0</v>
      </c>
      <c r="AN11" s="6">
        <f>SUM(AG11+AH11+AI11+AJ11+AK11+AL11+AM11)</f>
        <v>0</v>
      </c>
      <c r="AO11" s="6">
        <f>IF(AN11&lt;=50,0,IF(AN11&gt;=76,2,1))</f>
        <v>0</v>
      </c>
      <c r="AP11" s="331" t="str">
        <f>CONCATENATE(AN11,"- disminuye ",AO11)</f>
        <v>0- disminuye 0</v>
      </c>
      <c r="AQ11" s="6" t="e">
        <f>IF(V11="SI",O11-AO11,O11)</f>
        <v>#N/A</v>
      </c>
      <c r="AR11" s="331" t="e">
        <f>IF(AQ11&lt;=1,"Rara vez",VLOOKUP(AQ11,[20]Listas!$L$69:$M$73,2,0))</f>
        <v>#N/A</v>
      </c>
      <c r="AS11" s="6" t="e">
        <f>IF(W11="SI",Q11-AO11,Q11)</f>
        <v>#N/A</v>
      </c>
      <c r="AT11" s="331" t="e">
        <f>IF(AS11&lt;=9,"Moderado",IF(AS11=20,"Catastrófico",IF(AS11=18,"Moderado","Mayor")))</f>
        <v>#N/A</v>
      </c>
      <c r="AU11" s="331" t="e">
        <f>INDEX([20]Listas!$O$69:$Q$73,MATCH(AR11,[20]Listas!$M$69:$M$73,0),MATCH(AT11,[20]Listas!$O$67:$Q$67,0))</f>
        <v>#N/A</v>
      </c>
      <c r="AV11" s="330"/>
      <c r="AW11" s="826"/>
      <c r="AX11" s="843"/>
      <c r="AY11" s="843"/>
      <c r="AZ11" s="12"/>
      <c r="BA11" s="12"/>
      <c r="BB11" s="839"/>
      <c r="BC11" s="12"/>
      <c r="BD11" s="12" t="s">
        <v>2343</v>
      </c>
      <c r="BE11" s="839"/>
      <c r="BF11" s="12"/>
      <c r="BG11" s="12"/>
      <c r="BH11" s="227"/>
      <c r="BI11" s="227"/>
      <c r="BJ11" s="839"/>
      <c r="BK11" s="228"/>
      <c r="BL11" s="228"/>
    </row>
    <row r="12" spans="1:64" s="3" customFormat="1" ht="108" hidden="1" customHeight="1">
      <c r="A12" s="332"/>
      <c r="B12" s="2805"/>
      <c r="C12" s="2806"/>
      <c r="D12" s="2807"/>
      <c r="E12" s="843"/>
      <c r="F12" s="2808"/>
      <c r="G12" s="2809"/>
      <c r="H12" s="2810"/>
      <c r="I12" s="2805"/>
      <c r="J12" s="2806"/>
      <c r="K12" s="2807"/>
      <c r="L12" s="330"/>
      <c r="M12" s="50"/>
      <c r="N12" s="32"/>
      <c r="O12" s="6" t="e">
        <f>VLOOKUP(L12,[20]Listas!$M$69:$N$73,2,0)</f>
        <v>#N/A</v>
      </c>
      <c r="P12" s="6"/>
      <c r="Q12" s="6" t="e">
        <f>HLOOKUP(M12,[20]Listas!$O$67:$Q$68,2,0)</f>
        <v>#N/A</v>
      </c>
      <c r="R12" s="331" t="e">
        <f>INDEX([20]Listas!$O$69:$Q$73,MATCH(L12,[20]Listas!$M$69:$M$73,0),MATCH(M12,[20]Listas!$O$67:$Q$67,0))</f>
        <v>#N/A</v>
      </c>
      <c r="S12" s="2805"/>
      <c r="T12" s="2806"/>
      <c r="U12" s="2807"/>
      <c r="V12" s="329"/>
      <c r="W12" s="329"/>
      <c r="X12" s="329"/>
      <c r="Y12" s="329"/>
      <c r="Z12" s="329"/>
      <c r="AA12" s="329"/>
      <c r="AB12" s="329"/>
      <c r="AC12" s="329"/>
      <c r="AD12" s="329"/>
      <c r="AE12" s="329"/>
      <c r="AF12" s="33"/>
      <c r="AG12" s="6">
        <f>IF(Y12="SI",15,0)</f>
        <v>0</v>
      </c>
      <c r="AH12" s="6">
        <f>IF(Z12="SI",5,0)</f>
        <v>0</v>
      </c>
      <c r="AI12" s="6">
        <f>IF(AA12="SI",15,0)</f>
        <v>0</v>
      </c>
      <c r="AJ12" s="6">
        <f>IF(AB12="SI",10,0)</f>
        <v>0</v>
      </c>
      <c r="AK12" s="6">
        <f>IF(AC12="SI",15,0)</f>
        <v>0</v>
      </c>
      <c r="AL12" s="6">
        <f>IF(AD12="SI",10,0)</f>
        <v>0</v>
      </c>
      <c r="AM12" s="6">
        <f>IF(AE12="SI",30,0)</f>
        <v>0</v>
      </c>
      <c r="AN12" s="6">
        <f>SUM(AG12+AH12+AI12+AJ12+AK12+AL12+AM12)</f>
        <v>0</v>
      </c>
      <c r="AO12" s="6">
        <f>IF(AN12&lt;=50,0,IF(AN12&gt;=76,2,1))</f>
        <v>0</v>
      </c>
      <c r="AP12" s="331" t="str">
        <f>CONCATENATE(AN12,"- disminuye ",AO12)</f>
        <v>0- disminuye 0</v>
      </c>
      <c r="AQ12" s="6" t="e">
        <f>IF(V12="SI",O12-AO12,O12)</f>
        <v>#N/A</v>
      </c>
      <c r="AR12" s="331" t="e">
        <f>IF(AQ12&lt;=1,"Rara vez",VLOOKUP(AQ12,[20]Listas!$L$69:$M$73,2,0))</f>
        <v>#N/A</v>
      </c>
      <c r="AS12" s="6" t="e">
        <f>IF(W12="SI",Q12-AO12,Q12)</f>
        <v>#N/A</v>
      </c>
      <c r="AT12" s="331" t="e">
        <f>IF(AS12&lt;=9,"Moderado",IF(AS12=20,"Catastrófico",IF(AS12=18,"Moderado","Mayor")))</f>
        <v>#N/A</v>
      </c>
      <c r="AU12" s="331" t="e">
        <f>INDEX([20]Listas!$O$69:$Q$73,MATCH(AR12,[20]Listas!$M$69:$M$73,0),MATCH(AT12,[20]Listas!$O$67:$Q$67,0))</f>
        <v>#N/A</v>
      </c>
      <c r="AV12" s="330"/>
      <c r="AW12" s="826"/>
      <c r="AX12" s="843"/>
      <c r="AY12" s="843"/>
      <c r="AZ12" s="12"/>
      <c r="BA12" s="12"/>
      <c r="BB12" s="839"/>
      <c r="BC12" s="12"/>
      <c r="BD12" s="12" t="s">
        <v>2343</v>
      </c>
      <c r="BE12" s="839"/>
      <c r="BF12" s="12"/>
      <c r="BG12" s="12"/>
      <c r="BH12" s="227"/>
      <c r="BI12" s="227"/>
      <c r="BJ12" s="839"/>
      <c r="BK12" s="228"/>
      <c r="BL12" s="228"/>
    </row>
    <row r="13" spans="1:64" s="3" customFormat="1" ht="108" hidden="1" customHeight="1">
      <c r="A13" s="332"/>
      <c r="B13" s="2805"/>
      <c r="C13" s="2806"/>
      <c r="D13" s="2807"/>
      <c r="E13" s="843"/>
      <c r="F13" s="2808"/>
      <c r="G13" s="2809"/>
      <c r="H13" s="2810"/>
      <c r="I13" s="2805"/>
      <c r="J13" s="2806"/>
      <c r="K13" s="2807"/>
      <c r="L13" s="330"/>
      <c r="M13" s="50"/>
      <c r="N13" s="32"/>
      <c r="O13" s="6" t="e">
        <f>VLOOKUP(L13,[20]Listas!$M$69:$N$73,2,0)</f>
        <v>#N/A</v>
      </c>
      <c r="P13" s="6"/>
      <c r="Q13" s="6" t="e">
        <f>HLOOKUP(M13,[20]Listas!$O$67:$Q$68,2,0)</f>
        <v>#N/A</v>
      </c>
      <c r="R13" s="331" t="e">
        <f>INDEX([20]Listas!$O$69:$Q$73,MATCH(L13,[20]Listas!$M$69:$M$73,0),MATCH(M13,[20]Listas!$O$67:$Q$67,0))</f>
        <v>#N/A</v>
      </c>
      <c r="S13" s="2805"/>
      <c r="T13" s="2806"/>
      <c r="U13" s="2807"/>
      <c r="V13" s="329"/>
      <c r="W13" s="329"/>
      <c r="X13" s="329"/>
      <c r="Y13" s="329"/>
      <c r="Z13" s="329"/>
      <c r="AA13" s="329"/>
      <c r="AB13" s="329"/>
      <c r="AC13" s="329"/>
      <c r="AD13" s="329"/>
      <c r="AE13" s="329"/>
      <c r="AF13" s="33"/>
      <c r="AG13" s="6">
        <f>IF(Y13="SI",15,0)</f>
        <v>0</v>
      </c>
      <c r="AH13" s="6">
        <f>IF(Z13="SI",5,0)</f>
        <v>0</v>
      </c>
      <c r="AI13" s="6">
        <f>IF(AA13="SI",15,0)</f>
        <v>0</v>
      </c>
      <c r="AJ13" s="6">
        <f>IF(AB13="SI",10,0)</f>
        <v>0</v>
      </c>
      <c r="AK13" s="6">
        <f>IF(AC13="SI",15,0)</f>
        <v>0</v>
      </c>
      <c r="AL13" s="6">
        <f>IF(AD13="SI",10,0)</f>
        <v>0</v>
      </c>
      <c r="AM13" s="6">
        <f>IF(AE13="SI",30,0)</f>
        <v>0</v>
      </c>
      <c r="AN13" s="6">
        <f>SUM(AG13+AH13+AI13+AJ13+AK13+AL13+AM13)</f>
        <v>0</v>
      </c>
      <c r="AO13" s="6">
        <f>IF(AN13&lt;=50,0,IF(AN13&gt;=76,2,1))</f>
        <v>0</v>
      </c>
      <c r="AP13" s="331" t="str">
        <f>CONCATENATE(AN13,"- disminuye ",AO13)</f>
        <v>0- disminuye 0</v>
      </c>
      <c r="AQ13" s="6" t="e">
        <f>IF(V13="SI",O13-AO13,O13)</f>
        <v>#N/A</v>
      </c>
      <c r="AR13" s="331" t="e">
        <f>IF(AQ13&lt;=1,"Rara vez",VLOOKUP(AQ13,[20]Listas!$L$69:$M$73,2,0))</f>
        <v>#N/A</v>
      </c>
      <c r="AS13" s="6" t="e">
        <f>IF(W13="SI",Q13-AO13,Q13)</f>
        <v>#N/A</v>
      </c>
      <c r="AT13" s="331" t="e">
        <f>IF(AS13&lt;=9,"Moderado",IF(AS13=20,"Catastrófico",IF(AS13=18,"Moderado","Mayor")))</f>
        <v>#N/A</v>
      </c>
      <c r="AU13" s="331" t="e">
        <f>INDEX([20]Listas!$O$69:$Q$73,MATCH(AR13,[20]Listas!$M$69:$M$73,0),MATCH(AT13,[20]Listas!$O$67:$Q$67,0))</f>
        <v>#N/A</v>
      </c>
      <c r="AV13" s="330"/>
      <c r="AW13" s="826"/>
      <c r="AX13" s="843"/>
      <c r="AY13" s="843"/>
      <c r="AZ13" s="12"/>
      <c r="BA13" s="12"/>
      <c r="BB13" s="839"/>
      <c r="BC13" s="12"/>
      <c r="BD13" s="12" t="s">
        <v>2343</v>
      </c>
      <c r="BE13" s="839"/>
      <c r="BF13" s="12"/>
      <c r="BG13" s="12"/>
      <c r="BH13" s="227"/>
      <c r="BI13" s="227"/>
      <c r="BJ13" s="839"/>
      <c r="BK13" s="228"/>
      <c r="BL13" s="228"/>
    </row>
    <row r="14" spans="1:64" s="3" customFormat="1" ht="108" hidden="1" customHeight="1">
      <c r="A14" s="332"/>
      <c r="B14" s="2805"/>
      <c r="C14" s="2806"/>
      <c r="D14" s="2807"/>
      <c r="E14" s="843"/>
      <c r="F14" s="2808"/>
      <c r="G14" s="2809"/>
      <c r="H14" s="2810"/>
      <c r="I14" s="2805"/>
      <c r="J14" s="2806"/>
      <c r="K14" s="2807"/>
      <c r="L14" s="330"/>
      <c r="M14" s="50"/>
      <c r="N14" s="32"/>
      <c r="O14" s="6" t="e">
        <f>VLOOKUP(L14,[20]Listas!$M$69:$N$73,2,0)</f>
        <v>#N/A</v>
      </c>
      <c r="P14" s="6"/>
      <c r="Q14" s="6" t="e">
        <f>HLOOKUP(M14,[20]Listas!$O$67:$Q$68,2,0)</f>
        <v>#N/A</v>
      </c>
      <c r="R14" s="331" t="e">
        <f>INDEX([20]Listas!$O$69:$Q$73,MATCH(L14,[20]Listas!$M$69:$M$73,0),MATCH(M14,[20]Listas!$O$67:$Q$67,0))</f>
        <v>#N/A</v>
      </c>
      <c r="S14" s="2805"/>
      <c r="T14" s="2806"/>
      <c r="U14" s="2807"/>
      <c r="V14" s="329"/>
      <c r="W14" s="329"/>
      <c r="X14" s="329"/>
      <c r="Y14" s="329"/>
      <c r="Z14" s="329"/>
      <c r="AA14" s="329"/>
      <c r="AB14" s="329"/>
      <c r="AC14" s="329"/>
      <c r="AD14" s="329"/>
      <c r="AE14" s="329"/>
      <c r="AF14" s="33"/>
      <c r="AG14" s="6">
        <f t="shared" si="0"/>
        <v>0</v>
      </c>
      <c r="AH14" s="6">
        <f t="shared" si="1"/>
        <v>0</v>
      </c>
      <c r="AI14" s="6">
        <f t="shared" si="2"/>
        <v>0</v>
      </c>
      <c r="AJ14" s="6">
        <f t="shared" si="3"/>
        <v>0</v>
      </c>
      <c r="AK14" s="6">
        <f t="shared" si="4"/>
        <v>0</v>
      </c>
      <c r="AL14" s="6">
        <f t="shared" si="5"/>
        <v>0</v>
      </c>
      <c r="AM14" s="6">
        <f t="shared" si="6"/>
        <v>0</v>
      </c>
      <c r="AN14" s="6">
        <f t="shared" si="7"/>
        <v>0</v>
      </c>
      <c r="AO14" s="6">
        <f t="shared" si="8"/>
        <v>0</v>
      </c>
      <c r="AP14" s="331" t="str">
        <f t="shared" si="9"/>
        <v>0- disminuye 0</v>
      </c>
      <c r="AQ14" s="6" t="e">
        <f t="shared" si="10"/>
        <v>#N/A</v>
      </c>
      <c r="AR14" s="331" t="e">
        <f>IF(AQ14&lt;=1,"Rara vez",VLOOKUP(AQ14,[20]Listas!$L$69:$M$73,2,0))</f>
        <v>#N/A</v>
      </c>
      <c r="AS14" s="6" t="e">
        <f t="shared" si="11"/>
        <v>#N/A</v>
      </c>
      <c r="AT14" s="331" t="e">
        <f t="shared" si="12"/>
        <v>#N/A</v>
      </c>
      <c r="AU14" s="331" t="e">
        <f>INDEX([20]Listas!$O$69:$Q$73,MATCH(AR14,[20]Listas!$M$69:$M$73,0),MATCH(AT14,[20]Listas!$O$67:$Q$67,0))</f>
        <v>#N/A</v>
      </c>
      <c r="AV14" s="330"/>
      <c r="AW14" s="826"/>
      <c r="AX14" s="843"/>
      <c r="AY14" s="843"/>
      <c r="AZ14" s="12"/>
      <c r="BA14" s="12"/>
      <c r="BB14" s="839"/>
      <c r="BC14" s="12"/>
      <c r="BD14" s="12" t="s">
        <v>2343</v>
      </c>
      <c r="BE14" s="839"/>
      <c r="BF14" s="12"/>
      <c r="BG14" s="12"/>
      <c r="BH14" s="227"/>
      <c r="BI14" s="227"/>
      <c r="BJ14" s="839"/>
      <c r="BK14" s="228"/>
      <c r="BL14" s="228"/>
    </row>
    <row r="15" spans="1:64" s="3" customFormat="1" ht="108" hidden="1" customHeight="1">
      <c r="A15" s="332"/>
      <c r="B15" s="2805"/>
      <c r="C15" s="2806"/>
      <c r="D15" s="2807"/>
      <c r="E15" s="843"/>
      <c r="F15" s="2808"/>
      <c r="G15" s="2809"/>
      <c r="H15" s="2810"/>
      <c r="I15" s="2805"/>
      <c r="J15" s="2806"/>
      <c r="K15" s="2807"/>
      <c r="L15" s="330"/>
      <c r="M15" s="50"/>
      <c r="N15" s="32"/>
      <c r="O15" s="6" t="e">
        <f>VLOOKUP(L15,[20]Listas!$M$69:$N$73,2,0)</f>
        <v>#N/A</v>
      </c>
      <c r="P15" s="6"/>
      <c r="Q15" s="6" t="e">
        <f>HLOOKUP(M15,[20]Listas!$O$67:$Q$68,2,0)</f>
        <v>#N/A</v>
      </c>
      <c r="R15" s="331" t="e">
        <f>INDEX([20]Listas!$O$69:$Q$73,MATCH(L15,[20]Listas!$M$69:$M$73,0),MATCH(M15,[20]Listas!$O$67:$Q$67,0))</f>
        <v>#N/A</v>
      </c>
      <c r="S15" s="826"/>
      <c r="T15" s="827"/>
      <c r="U15" s="828"/>
      <c r="V15" s="329"/>
      <c r="W15" s="329"/>
      <c r="X15" s="329"/>
      <c r="Y15" s="329"/>
      <c r="Z15" s="329"/>
      <c r="AA15" s="329"/>
      <c r="AB15" s="329"/>
      <c r="AC15" s="329"/>
      <c r="AD15" s="329"/>
      <c r="AE15" s="329"/>
      <c r="AF15" s="33"/>
      <c r="AG15" s="6">
        <f t="shared" si="0"/>
        <v>0</v>
      </c>
      <c r="AH15" s="6">
        <f t="shared" si="1"/>
        <v>0</v>
      </c>
      <c r="AI15" s="6">
        <f t="shared" si="2"/>
        <v>0</v>
      </c>
      <c r="AJ15" s="6">
        <f t="shared" si="3"/>
        <v>0</v>
      </c>
      <c r="AK15" s="6">
        <f t="shared" si="4"/>
        <v>0</v>
      </c>
      <c r="AL15" s="6">
        <f t="shared" si="5"/>
        <v>0</v>
      </c>
      <c r="AM15" s="6">
        <f t="shared" si="6"/>
        <v>0</v>
      </c>
      <c r="AN15" s="6">
        <f t="shared" si="7"/>
        <v>0</v>
      </c>
      <c r="AO15" s="6">
        <f t="shared" si="8"/>
        <v>0</v>
      </c>
      <c r="AP15" s="331" t="str">
        <f t="shared" si="9"/>
        <v>0- disminuye 0</v>
      </c>
      <c r="AQ15" s="6" t="e">
        <f t="shared" si="10"/>
        <v>#N/A</v>
      </c>
      <c r="AR15" s="331" t="e">
        <f>IF(AQ15&lt;=1,"Rara vez",VLOOKUP(AQ15,[20]Listas!$L$69:$M$73,2,0))</f>
        <v>#N/A</v>
      </c>
      <c r="AS15" s="6" t="e">
        <f t="shared" si="11"/>
        <v>#N/A</v>
      </c>
      <c r="AT15" s="331" t="e">
        <f t="shared" si="12"/>
        <v>#N/A</v>
      </c>
      <c r="AU15" s="331" t="e">
        <f>INDEX([20]Listas!$O$69:$Q$73,MATCH(AR15,[20]Listas!$M$69:$M$73,0),MATCH(AT15,[20]Listas!$O$67:$Q$67,0))</f>
        <v>#N/A</v>
      </c>
      <c r="AV15" s="330"/>
      <c r="AW15" s="826"/>
      <c r="AX15" s="843"/>
      <c r="AY15" s="843"/>
      <c r="AZ15" s="12"/>
      <c r="BA15" s="12"/>
      <c r="BB15" s="839"/>
      <c r="BC15" s="12"/>
      <c r="BD15" s="12" t="s">
        <v>2343</v>
      </c>
      <c r="BE15" s="839"/>
      <c r="BF15" s="12"/>
      <c r="BG15" s="12"/>
      <c r="BH15" s="227"/>
      <c r="BI15" s="227"/>
      <c r="BJ15" s="839"/>
      <c r="BK15" s="228"/>
      <c r="BL15" s="228"/>
    </row>
    <row r="16" spans="1:64" s="3" customFormat="1" ht="108" hidden="1" customHeight="1">
      <c r="A16" s="332"/>
      <c r="B16" s="2805"/>
      <c r="C16" s="2806"/>
      <c r="D16" s="2807"/>
      <c r="E16" s="843"/>
      <c r="F16" s="2808"/>
      <c r="G16" s="2809"/>
      <c r="H16" s="2810"/>
      <c r="I16" s="2805"/>
      <c r="J16" s="2806"/>
      <c r="K16" s="2807"/>
      <c r="L16" s="330"/>
      <c r="M16" s="50"/>
      <c r="N16" s="32"/>
      <c r="O16" s="6" t="e">
        <f>VLOOKUP(L16,[20]Listas!$M$69:$N$73,2,0)</f>
        <v>#N/A</v>
      </c>
      <c r="P16" s="6"/>
      <c r="Q16" s="6" t="e">
        <f>HLOOKUP(M16,[20]Listas!$O$67:$Q$68,2,0)</f>
        <v>#N/A</v>
      </c>
      <c r="R16" s="331" t="e">
        <f>INDEX([20]Listas!$O$69:$Q$73,MATCH(L16,[20]Listas!$M$69:$M$73,0),MATCH(M16,[20]Listas!$O$67:$Q$67,0))</f>
        <v>#N/A</v>
      </c>
      <c r="S16" s="2805"/>
      <c r="T16" s="2806"/>
      <c r="U16" s="2807"/>
      <c r="V16" s="329"/>
      <c r="W16" s="329"/>
      <c r="X16" s="329"/>
      <c r="Y16" s="329"/>
      <c r="Z16" s="329"/>
      <c r="AA16" s="329"/>
      <c r="AB16" s="329"/>
      <c r="AC16" s="329"/>
      <c r="AD16" s="329"/>
      <c r="AE16" s="329"/>
      <c r="AF16" s="33"/>
      <c r="AG16" s="6">
        <f>IF(Y16="SI",15,0)</f>
        <v>0</v>
      </c>
      <c r="AH16" s="6">
        <f>IF(Z16="SI",5,0)</f>
        <v>0</v>
      </c>
      <c r="AI16" s="6">
        <f>IF(AA16="SI",15,0)</f>
        <v>0</v>
      </c>
      <c r="AJ16" s="6">
        <f>IF(AB16="SI",10,0)</f>
        <v>0</v>
      </c>
      <c r="AK16" s="6">
        <f>IF(AC16="SI",15,0)</f>
        <v>0</v>
      </c>
      <c r="AL16" s="6">
        <f>IF(AD16="SI",10,0)</f>
        <v>0</v>
      </c>
      <c r="AM16" s="6">
        <f>IF(AE16="SI",30,0)</f>
        <v>0</v>
      </c>
      <c r="AN16" s="6">
        <f>SUM(AG16+AH16+AI16+AJ16+AK16+AL16+AM16)</f>
        <v>0</v>
      </c>
      <c r="AO16" s="6">
        <f>IF(AN16&lt;=50,0,IF(AN16&gt;=76,2,1))</f>
        <v>0</v>
      </c>
      <c r="AP16" s="331" t="str">
        <f>CONCATENATE(AN16,"- disminuye ",AO16)</f>
        <v>0- disminuye 0</v>
      </c>
      <c r="AQ16" s="6" t="e">
        <f>IF(V16="SI",O16-AO16,O16)</f>
        <v>#N/A</v>
      </c>
      <c r="AR16" s="331" t="e">
        <f>IF(AQ16&lt;=1,"Rara vez",VLOOKUP(AQ16,[20]Listas!$L$69:$M$73,2,0))</f>
        <v>#N/A</v>
      </c>
      <c r="AS16" s="6" t="e">
        <f>IF(W16="SI",Q16-AO16,Q16)</f>
        <v>#N/A</v>
      </c>
      <c r="AT16" s="331" t="e">
        <f>IF(AS16&lt;=9,"Moderado",IF(AS16=20,"Catastrófico",IF(AS16=18,"Moderado","Mayor")))</f>
        <v>#N/A</v>
      </c>
      <c r="AU16" s="331" t="e">
        <f>INDEX([20]Listas!$O$69:$Q$73,MATCH(AR16,[20]Listas!$M$69:$M$73,0),MATCH(AT16,[20]Listas!$O$67:$Q$67,0))</f>
        <v>#N/A</v>
      </c>
      <c r="AV16" s="330"/>
      <c r="AW16" s="826"/>
      <c r="AX16" s="843"/>
      <c r="AY16" s="843"/>
      <c r="AZ16" s="12"/>
      <c r="BA16" s="12"/>
      <c r="BB16" s="839"/>
      <c r="BC16" s="12"/>
      <c r="BD16" s="12" t="s">
        <v>2343</v>
      </c>
      <c r="BE16" s="839"/>
      <c r="BF16" s="12"/>
      <c r="BG16" s="12"/>
      <c r="BH16" s="227"/>
      <c r="BI16" s="227"/>
      <c r="BJ16" s="839"/>
      <c r="BK16" s="228"/>
      <c r="BL16" s="228"/>
    </row>
    <row r="17" spans="1:64" s="3" customFormat="1" ht="108" hidden="1" customHeight="1">
      <c r="A17" s="332"/>
      <c r="B17" s="2805"/>
      <c r="C17" s="2806"/>
      <c r="D17" s="2807"/>
      <c r="E17" s="843"/>
      <c r="F17" s="2808"/>
      <c r="G17" s="2809"/>
      <c r="H17" s="2810"/>
      <c r="I17" s="2805"/>
      <c r="J17" s="2806"/>
      <c r="K17" s="2807"/>
      <c r="L17" s="330"/>
      <c r="M17" s="50"/>
      <c r="N17" s="32"/>
      <c r="O17" s="6" t="e">
        <f>VLOOKUP(L17,[20]Listas!$M$69:$N$73,2,0)</f>
        <v>#N/A</v>
      </c>
      <c r="P17" s="6"/>
      <c r="Q17" s="6" t="e">
        <f>HLOOKUP(M17,[20]Listas!$O$67:$Q$68,2,0)</f>
        <v>#N/A</v>
      </c>
      <c r="R17" s="331" t="e">
        <f>INDEX([20]Listas!$O$69:$Q$73,MATCH(L17,[20]Listas!$M$69:$M$73,0),MATCH(M17,[20]Listas!$O$67:$Q$67,0))</f>
        <v>#N/A</v>
      </c>
      <c r="S17" s="2805"/>
      <c r="T17" s="2806"/>
      <c r="U17" s="2807"/>
      <c r="V17" s="329"/>
      <c r="W17" s="329"/>
      <c r="X17" s="329"/>
      <c r="Y17" s="329"/>
      <c r="Z17" s="329"/>
      <c r="AA17" s="329"/>
      <c r="AB17" s="329"/>
      <c r="AC17" s="329"/>
      <c r="AD17" s="329"/>
      <c r="AE17" s="329"/>
      <c r="AF17" s="33"/>
      <c r="AG17" s="6">
        <f t="shared" si="0"/>
        <v>0</v>
      </c>
      <c r="AH17" s="6">
        <f t="shared" si="1"/>
        <v>0</v>
      </c>
      <c r="AI17" s="6">
        <f t="shared" si="2"/>
        <v>0</v>
      </c>
      <c r="AJ17" s="6">
        <f t="shared" si="3"/>
        <v>0</v>
      </c>
      <c r="AK17" s="6">
        <f t="shared" si="4"/>
        <v>0</v>
      </c>
      <c r="AL17" s="6">
        <f t="shared" si="5"/>
        <v>0</v>
      </c>
      <c r="AM17" s="6">
        <f t="shared" si="6"/>
        <v>0</v>
      </c>
      <c r="AN17" s="6">
        <f t="shared" si="7"/>
        <v>0</v>
      </c>
      <c r="AO17" s="6">
        <f t="shared" si="8"/>
        <v>0</v>
      </c>
      <c r="AP17" s="331" t="str">
        <f t="shared" si="9"/>
        <v>0- disminuye 0</v>
      </c>
      <c r="AQ17" s="6" t="e">
        <f t="shared" si="10"/>
        <v>#N/A</v>
      </c>
      <c r="AR17" s="331" t="e">
        <f>IF(AQ17&lt;=1,"Rara vez",VLOOKUP(AQ17,[20]Listas!$L$69:$M$73,2,0))</f>
        <v>#N/A</v>
      </c>
      <c r="AS17" s="6" t="e">
        <f t="shared" si="11"/>
        <v>#N/A</v>
      </c>
      <c r="AT17" s="331" t="e">
        <f t="shared" si="12"/>
        <v>#N/A</v>
      </c>
      <c r="AU17" s="331" t="e">
        <f>INDEX([20]Listas!$O$69:$Q$73,MATCH(AR17,[20]Listas!$M$69:$M$73,0),MATCH(AT17,[20]Listas!$O$67:$Q$67,0))</f>
        <v>#N/A</v>
      </c>
      <c r="AV17" s="330"/>
      <c r="AW17" s="826"/>
      <c r="AX17" s="843"/>
      <c r="AY17" s="843"/>
      <c r="AZ17" s="12"/>
      <c r="BA17" s="12"/>
      <c r="BB17" s="839"/>
      <c r="BC17" s="12"/>
      <c r="BD17" s="12" t="s">
        <v>2343</v>
      </c>
      <c r="BE17" s="839"/>
      <c r="BF17" s="12"/>
      <c r="BG17" s="12"/>
      <c r="BH17" s="227"/>
      <c r="BI17" s="227"/>
      <c r="BJ17" s="839"/>
      <c r="BK17" s="228"/>
      <c r="BL17" s="228"/>
    </row>
    <row r="18" spans="1:64" s="3" customFormat="1" ht="108" hidden="1" customHeight="1">
      <c r="A18" s="332"/>
      <c r="B18" s="2805"/>
      <c r="C18" s="2806"/>
      <c r="D18" s="2807"/>
      <c r="E18" s="843"/>
      <c r="F18" s="2808"/>
      <c r="G18" s="2809"/>
      <c r="H18" s="2810"/>
      <c r="I18" s="2805"/>
      <c r="J18" s="2806"/>
      <c r="K18" s="2807"/>
      <c r="L18" s="330"/>
      <c r="M18" s="50"/>
      <c r="N18" s="32"/>
      <c r="O18" s="6" t="e">
        <f>VLOOKUP(L18,[20]Listas!$M$69:$N$73,2,0)</f>
        <v>#N/A</v>
      </c>
      <c r="P18" s="6"/>
      <c r="Q18" s="6" t="e">
        <f>HLOOKUP(M18,[20]Listas!$O$67:$Q$68,2,0)</f>
        <v>#N/A</v>
      </c>
      <c r="R18" s="331" t="e">
        <f>INDEX([20]Listas!$O$69:$Q$73,MATCH(L18,[20]Listas!$M$69:$M$73,0),MATCH(M18,[20]Listas!$O$67:$Q$67,0))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vez",VLOOKUP(AQ18,[20]Listas!$L$69:$M$73,2,0))</f>
        <v>#N/A</v>
      </c>
      <c r="AS18" s="6" t="e">
        <f t="shared" si="11"/>
        <v>#N/A</v>
      </c>
      <c r="AT18" s="331" t="e">
        <f t="shared" si="12"/>
        <v>#N/A</v>
      </c>
      <c r="AU18" s="331" t="e">
        <f>INDEX([20]Listas!$O$69:$Q$73,MATCH(AR18,[20]Listas!$M$69:$M$73,0),MATCH(AT18,[20]Listas!$O$67:$Q$67,0))</f>
        <v>#N/A</v>
      </c>
      <c r="AV18" s="330"/>
      <c r="AW18" s="826"/>
      <c r="AX18" s="843"/>
      <c r="AY18" s="843"/>
      <c r="AZ18" s="12"/>
      <c r="BA18" s="12"/>
      <c r="BB18" s="839"/>
      <c r="BC18" s="12"/>
      <c r="BD18" s="12" t="s">
        <v>2343</v>
      </c>
      <c r="BE18" s="839"/>
      <c r="BF18" s="12"/>
      <c r="BG18" s="12"/>
      <c r="BH18" s="227"/>
      <c r="BI18" s="227"/>
      <c r="BJ18" s="839"/>
      <c r="BK18" s="228"/>
      <c r="BL18" s="228"/>
    </row>
    <row r="19" spans="1:64" s="3" customFormat="1" ht="108" hidden="1" customHeight="1">
      <c r="A19" s="332"/>
      <c r="B19" s="2805"/>
      <c r="C19" s="2806"/>
      <c r="D19" s="2807"/>
      <c r="E19" s="843"/>
      <c r="F19" s="2808"/>
      <c r="G19" s="2809"/>
      <c r="H19" s="2810"/>
      <c r="I19" s="2805"/>
      <c r="J19" s="2806"/>
      <c r="K19" s="2807"/>
      <c r="L19" s="330"/>
      <c r="M19" s="50"/>
      <c r="N19" s="32"/>
      <c r="O19" s="6" t="e">
        <f>VLOOKUP(L19,[20]Listas!$M$69:$N$73,2,0)</f>
        <v>#N/A</v>
      </c>
      <c r="P19" s="6"/>
      <c r="Q19" s="6" t="e">
        <f>HLOOKUP(M19,[20]Listas!$O$67:$Q$68,2,0)</f>
        <v>#N/A</v>
      </c>
      <c r="R19" s="331" t="e">
        <f>INDEX([20]Listas!$O$69:$Q$73,MATCH(L19,[20]Listas!$M$69:$M$73,0),MATCH(M19,[20]Listas!$O$67:$Q$67,0))</f>
        <v>#N/A</v>
      </c>
      <c r="S19" s="2805"/>
      <c r="T19" s="2806"/>
      <c r="U19" s="2807"/>
      <c r="V19" s="329"/>
      <c r="W19" s="329"/>
      <c r="X19" s="329"/>
      <c r="Y19" s="329"/>
      <c r="Z19" s="329"/>
      <c r="AA19" s="329"/>
      <c r="AB19" s="329"/>
      <c r="AC19" s="329"/>
      <c r="AD19" s="329"/>
      <c r="AE19" s="329"/>
      <c r="AF19" s="33"/>
      <c r="AG19" s="6">
        <f>IF(Y19="SI",15,0)</f>
        <v>0</v>
      </c>
      <c r="AH19" s="6">
        <f>IF(Z19="SI",5,0)</f>
        <v>0</v>
      </c>
      <c r="AI19" s="6">
        <f>IF(AA19="SI",15,0)</f>
        <v>0</v>
      </c>
      <c r="AJ19" s="6">
        <f>IF(AB19="SI",10,0)</f>
        <v>0</v>
      </c>
      <c r="AK19" s="6">
        <f>IF(AC19="SI",15,0)</f>
        <v>0</v>
      </c>
      <c r="AL19" s="6">
        <f>IF(AD19="SI",10,0)</f>
        <v>0</v>
      </c>
      <c r="AM19" s="6">
        <f>IF(AE19="SI",30,0)</f>
        <v>0</v>
      </c>
      <c r="AN19" s="6">
        <f>SUM(AG19+AH19+AI19+AJ19+AK19+AL19+AM19)</f>
        <v>0</v>
      </c>
      <c r="AO19" s="6">
        <f>IF(AN19&lt;=50,0,IF(AN19&gt;=76,2,1))</f>
        <v>0</v>
      </c>
      <c r="AP19" s="331" t="str">
        <f>CONCATENATE(AN19,"- disminuye ",AO19)</f>
        <v>0- disminuye 0</v>
      </c>
      <c r="AQ19" s="6" t="e">
        <f>IF(V19="SI",O19-AO19,O19)</f>
        <v>#N/A</v>
      </c>
      <c r="AR19" s="331" t="e">
        <f>IF(AQ19&lt;=1,"Rara vez",VLOOKUP(AQ19,[20]Listas!$L$69:$M$73,2,0))</f>
        <v>#N/A</v>
      </c>
      <c r="AS19" s="6" t="e">
        <f>IF(W19="SI",Q19-AO19,Q19)</f>
        <v>#N/A</v>
      </c>
      <c r="AT19" s="331" t="e">
        <f>IF(AS19&lt;=9,"Moderado",IF(AS19=20,"Catastrófico",IF(AS19=18,"Moderado","Mayor")))</f>
        <v>#N/A</v>
      </c>
      <c r="AU19" s="331" t="e">
        <f>INDEX([20]Listas!$O$69:$Q$73,MATCH(AR19,[20]Listas!$M$69:$M$73,0),MATCH(AT19,[20]Listas!$O$67:$Q$67,0))</f>
        <v>#N/A</v>
      </c>
      <c r="AV19" s="330"/>
      <c r="AW19" s="826"/>
      <c r="AX19" s="843"/>
      <c r="AY19" s="843"/>
      <c r="AZ19" s="12"/>
      <c r="BA19" s="12"/>
      <c r="BB19" s="839"/>
      <c r="BC19" s="12"/>
      <c r="BD19" s="12" t="s">
        <v>2343</v>
      </c>
      <c r="BE19" s="839"/>
      <c r="BF19" s="12"/>
      <c r="BG19" s="12"/>
      <c r="BH19" s="227"/>
      <c r="BI19" s="227"/>
      <c r="BJ19" s="839"/>
      <c r="BK19" s="228"/>
      <c r="BL19" s="228"/>
    </row>
    <row r="20" spans="1:64" s="3" customFormat="1" ht="108" hidden="1" customHeight="1">
      <c r="A20" s="332"/>
      <c r="B20" s="2805"/>
      <c r="C20" s="2806"/>
      <c r="D20" s="2807"/>
      <c r="E20" s="843"/>
      <c r="F20" s="2808"/>
      <c r="G20" s="2809"/>
      <c r="H20" s="2810"/>
      <c r="I20" s="2805"/>
      <c r="J20" s="2806"/>
      <c r="K20" s="2807"/>
      <c r="L20" s="330"/>
      <c r="M20" s="50"/>
      <c r="N20" s="32"/>
      <c r="O20" s="6" t="e">
        <f>VLOOKUP(L20,[20]Listas!$M$69:$N$73,2,0)</f>
        <v>#N/A</v>
      </c>
      <c r="P20" s="6"/>
      <c r="Q20" s="6" t="e">
        <f>HLOOKUP(M20,[20]Listas!$O$67:$Q$68,2,0)</f>
        <v>#N/A</v>
      </c>
      <c r="R20" s="331" t="e">
        <f>INDEX([20]Listas!$O$69:$Q$73,MATCH(L20,[20]Listas!$M$69:$M$73,0),MATCH(M20,[20]Listas!$O$67:$Q$67,0))</f>
        <v>#N/A</v>
      </c>
      <c r="S20" s="2805"/>
      <c r="T20" s="2806"/>
      <c r="U20" s="2807"/>
      <c r="V20" s="329"/>
      <c r="W20" s="329"/>
      <c r="X20" s="329"/>
      <c r="Y20" s="329"/>
      <c r="Z20" s="329"/>
      <c r="AA20" s="329"/>
      <c r="AB20" s="329"/>
      <c r="AC20" s="329"/>
      <c r="AD20" s="329"/>
      <c r="AE20" s="329"/>
      <c r="AF20" s="33"/>
      <c r="AG20" s="6">
        <f t="shared" si="0"/>
        <v>0</v>
      </c>
      <c r="AH20" s="6">
        <f t="shared" si="1"/>
        <v>0</v>
      </c>
      <c r="AI20" s="6">
        <f t="shared" si="2"/>
        <v>0</v>
      </c>
      <c r="AJ20" s="6">
        <f t="shared" si="3"/>
        <v>0</v>
      </c>
      <c r="AK20" s="6">
        <f t="shared" si="4"/>
        <v>0</v>
      </c>
      <c r="AL20" s="6">
        <f t="shared" si="5"/>
        <v>0</v>
      </c>
      <c r="AM20" s="6">
        <f t="shared" si="6"/>
        <v>0</v>
      </c>
      <c r="AN20" s="6">
        <f t="shared" si="7"/>
        <v>0</v>
      </c>
      <c r="AO20" s="6">
        <f t="shared" si="8"/>
        <v>0</v>
      </c>
      <c r="AP20" s="331" t="str">
        <f t="shared" si="9"/>
        <v>0- disminuye 0</v>
      </c>
      <c r="AQ20" s="6" t="e">
        <f t="shared" si="10"/>
        <v>#N/A</v>
      </c>
      <c r="AR20" s="331" t="e">
        <f>IF(AQ20&lt;=1,"Rara vez",VLOOKUP(AQ20,[20]Listas!$L$69:$M$73,2,0))</f>
        <v>#N/A</v>
      </c>
      <c r="AS20" s="6" t="e">
        <f t="shared" si="11"/>
        <v>#N/A</v>
      </c>
      <c r="AT20" s="331" t="e">
        <f t="shared" si="12"/>
        <v>#N/A</v>
      </c>
      <c r="AU20" s="331" t="e">
        <f>INDEX([20]Listas!$O$69:$Q$73,MATCH(AR20,[20]Listas!$M$69:$M$73,0),MATCH(AT20,[20]Listas!$O$67:$Q$67,0))</f>
        <v>#N/A</v>
      </c>
      <c r="AV20" s="330"/>
      <c r="AW20" s="826"/>
      <c r="AX20" s="843"/>
      <c r="AY20" s="843"/>
      <c r="AZ20" s="12"/>
      <c r="BA20" s="12"/>
      <c r="BB20" s="839"/>
      <c r="BC20" s="12"/>
      <c r="BD20" s="12" t="s">
        <v>2343</v>
      </c>
      <c r="BE20" s="839"/>
      <c r="BF20" s="12"/>
      <c r="BG20" s="12"/>
      <c r="BH20" s="227"/>
      <c r="BI20" s="227"/>
      <c r="BJ20" s="839"/>
      <c r="BK20" s="228"/>
      <c r="BL20" s="228"/>
    </row>
    <row r="21" spans="1:64" ht="6.75" customHeight="1">
      <c r="A21" s="2"/>
      <c r="B21" s="7"/>
      <c r="C21" s="7"/>
      <c r="D21" s="7"/>
      <c r="E21" s="4"/>
      <c r="F21" s="7"/>
      <c r="G21" s="7"/>
      <c r="H21" s="7"/>
      <c r="I21" s="7"/>
      <c r="J21" s="7"/>
      <c r="K21" s="7"/>
      <c r="L21" s="4"/>
      <c r="M21" s="4"/>
      <c r="N21" s="4"/>
      <c r="O21" s="4"/>
      <c r="P21" s="4"/>
      <c r="Q21" s="4"/>
      <c r="R21" s="4"/>
      <c r="S21" s="7"/>
      <c r="T21" s="7"/>
      <c r="U21" s="7"/>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7"/>
      <c r="AW21" s="7"/>
      <c r="AX21" s="229"/>
      <c r="AY21" s="229"/>
      <c r="AZ21" s="68"/>
      <c r="BA21" s="68"/>
      <c r="BB21" s="92"/>
      <c r="BC21" s="68"/>
      <c r="BD21" s="68"/>
      <c r="BE21" s="92"/>
      <c r="BF21" s="68"/>
      <c r="BG21" s="68"/>
      <c r="BH21" s="230"/>
      <c r="BI21" s="230"/>
      <c r="BJ21" s="92"/>
    </row>
    <row r="22" spans="1:64" ht="9.6" customHeight="1">
      <c r="A22" s="317"/>
      <c r="B22" s="2811" t="s">
        <v>277</v>
      </c>
      <c r="C22" s="2811"/>
      <c r="D22" s="2811"/>
      <c r="E22" s="2811"/>
      <c r="F22" s="2811"/>
      <c r="G22" s="2811"/>
      <c r="H22" s="2811"/>
      <c r="I22" s="2811"/>
      <c r="J22" s="2811"/>
      <c r="K22" s="2811"/>
      <c r="L22" s="2811"/>
      <c r="M22" s="2811"/>
      <c r="N22" s="2811"/>
      <c r="O22" s="2811"/>
      <c r="P22" s="2811"/>
      <c r="Q22" s="2811"/>
      <c r="R22" s="2811"/>
      <c r="S22" s="2811"/>
      <c r="T22" s="2811"/>
      <c r="U22" s="2811"/>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4"/>
      <c r="AV22" s="9"/>
      <c r="AW22" s="9"/>
      <c r="AX22" s="65"/>
      <c r="AY22" s="65"/>
      <c r="AZ22" s="68"/>
      <c r="BA22" s="68"/>
      <c r="BB22" s="92"/>
      <c r="BC22" s="68"/>
      <c r="BD22" s="68"/>
      <c r="BE22" s="92"/>
      <c r="BF22" s="68"/>
      <c r="BG22" s="68"/>
      <c r="BH22" s="230"/>
      <c r="BI22" s="230"/>
      <c r="BJ22" s="92"/>
    </row>
    <row r="23" spans="1:64" s="22" customFormat="1" ht="19.5" customHeight="1">
      <c r="A23" s="10"/>
      <c r="B23" s="2801" t="s">
        <v>278</v>
      </c>
      <c r="C23" s="2802"/>
      <c r="D23" s="2802"/>
      <c r="E23" s="2802"/>
      <c r="F23" s="2802"/>
      <c r="G23" s="2802"/>
      <c r="H23" s="2803"/>
      <c r="I23" s="2801" t="s">
        <v>279</v>
      </c>
      <c r="J23" s="2802"/>
      <c r="K23" s="2802"/>
      <c r="L23" s="2802"/>
      <c r="M23" s="2802"/>
      <c r="N23" s="2802"/>
      <c r="O23" s="2802"/>
      <c r="P23" s="2802"/>
      <c r="Q23" s="2802"/>
      <c r="R23" s="2802"/>
      <c r="S23" s="2802"/>
      <c r="T23" s="2802"/>
      <c r="U23" s="2803"/>
      <c r="V23" s="2801" t="s">
        <v>171</v>
      </c>
      <c r="W23" s="2802"/>
      <c r="X23" s="2802"/>
      <c r="Y23" s="2802"/>
      <c r="Z23" s="2802"/>
      <c r="AA23" s="2802"/>
      <c r="AB23" s="2802"/>
      <c r="AC23" s="2802"/>
      <c r="AD23" s="2802"/>
      <c r="AE23" s="2802"/>
      <c r="AF23" s="2802"/>
      <c r="AG23" s="2802"/>
      <c r="AH23" s="2802"/>
      <c r="AI23" s="2802"/>
      <c r="AJ23" s="2802"/>
      <c r="AK23" s="2802"/>
      <c r="AL23" s="2802"/>
      <c r="AM23" s="2802"/>
      <c r="AN23" s="2802"/>
      <c r="AO23" s="2802"/>
      <c r="AP23" s="2803"/>
      <c r="AQ23" s="34" t="s">
        <v>172</v>
      </c>
      <c r="AR23" s="2804" t="s">
        <v>172</v>
      </c>
      <c r="AS23" s="2804"/>
      <c r="AT23" s="2804"/>
      <c r="AU23" s="2804"/>
      <c r="AV23" s="2804"/>
      <c r="AW23" s="2804"/>
      <c r="AX23" s="65"/>
      <c r="AY23" s="65"/>
      <c r="AZ23" s="68"/>
      <c r="BA23" s="68"/>
      <c r="BB23" s="92"/>
      <c r="BC23" s="68"/>
      <c r="BD23" s="68"/>
      <c r="BE23" s="92"/>
      <c r="BF23" s="68"/>
      <c r="BG23" s="68"/>
      <c r="BH23" s="230"/>
      <c r="BI23" s="230"/>
      <c r="BJ23" s="92"/>
      <c r="BK23" s="210"/>
      <c r="BL23" s="210"/>
    </row>
    <row r="24" spans="1:64" s="22" customFormat="1" ht="57" customHeight="1">
      <c r="A24" s="11"/>
      <c r="B24" s="2794" t="s">
        <v>99</v>
      </c>
      <c r="C24" s="2795"/>
      <c r="D24" s="2795"/>
      <c r="E24" s="2795"/>
      <c r="F24" s="2795"/>
      <c r="G24" s="2795"/>
      <c r="H24" s="2796"/>
      <c r="I24" s="2797" t="s">
        <v>281</v>
      </c>
      <c r="J24" s="2798"/>
      <c r="K24" s="2798"/>
      <c r="L24" s="2798"/>
      <c r="M24" s="2798"/>
      <c r="N24" s="2798"/>
      <c r="O24" s="2798"/>
      <c r="P24" s="2798"/>
      <c r="Q24" s="2798"/>
      <c r="R24" s="2798"/>
      <c r="S24" s="2798"/>
      <c r="T24" s="2798"/>
      <c r="U24" s="2799"/>
      <c r="V24" s="2794" t="s">
        <v>635</v>
      </c>
      <c r="W24" s="2795"/>
      <c r="X24" s="2795"/>
      <c r="Y24" s="2795"/>
      <c r="Z24" s="2795"/>
      <c r="AA24" s="2795"/>
      <c r="AB24" s="2795"/>
      <c r="AC24" s="2795"/>
      <c r="AD24" s="2795"/>
      <c r="AE24" s="2795"/>
      <c r="AF24" s="2795"/>
      <c r="AG24" s="2795"/>
      <c r="AH24" s="2795"/>
      <c r="AI24" s="2795"/>
      <c r="AJ24" s="2795"/>
      <c r="AK24" s="2795"/>
      <c r="AL24" s="2795"/>
      <c r="AM24" s="2795"/>
      <c r="AN24" s="2795"/>
      <c r="AO24" s="2795"/>
      <c r="AP24" s="2796"/>
      <c r="AQ24" s="12"/>
      <c r="AR24" s="2800"/>
      <c r="AS24" s="2800"/>
      <c r="AT24" s="2800"/>
      <c r="AU24" s="2800"/>
      <c r="AV24" s="2800"/>
      <c r="AW24" s="2800"/>
      <c r="AX24" s="65"/>
      <c r="AY24" s="65"/>
      <c r="AZ24" s="68"/>
      <c r="BA24" s="68"/>
      <c r="BB24" s="92"/>
      <c r="BC24" s="68"/>
      <c r="BD24" s="68"/>
      <c r="BE24" s="92"/>
      <c r="BF24" s="68"/>
      <c r="BG24" s="68"/>
      <c r="BH24" s="230"/>
      <c r="BI24" s="230"/>
      <c r="BJ24" s="92"/>
      <c r="BK24" s="210"/>
      <c r="BL24" s="210"/>
    </row>
    <row r="25" spans="1:64">
      <c r="A25" s="13"/>
      <c r="B25" s="13"/>
      <c r="C25" s="13"/>
      <c r="D25" s="13"/>
      <c r="E25" s="14"/>
      <c r="F25" s="13"/>
      <c r="G25" s="13"/>
      <c r="H25" s="13"/>
      <c r="I25" s="13"/>
      <c r="J25" s="13"/>
      <c r="K25" s="13"/>
      <c r="L25" s="15"/>
      <c r="M25" s="15"/>
      <c r="N25" s="15"/>
      <c r="O25" s="15"/>
      <c r="P25" s="15"/>
      <c r="Q25" s="15"/>
      <c r="R25" s="15"/>
      <c r="S25" s="15"/>
      <c r="T25" s="15"/>
      <c r="U25" s="15"/>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5"/>
      <c r="AW25" s="15"/>
      <c r="AZ25" s="68"/>
      <c r="BA25" s="68"/>
      <c r="BB25" s="92"/>
      <c r="BC25" s="68"/>
      <c r="BD25" s="68"/>
      <c r="BE25" s="92"/>
      <c r="BF25" s="68"/>
      <c r="BG25" s="68"/>
      <c r="BH25" s="230"/>
      <c r="BI25" s="230"/>
      <c r="BJ25" s="92"/>
    </row>
    <row r="26" spans="1:64">
      <c r="A26" s="13"/>
      <c r="B26" s="13"/>
      <c r="C26" s="13"/>
      <c r="D26" s="13"/>
      <c r="E26" s="14"/>
      <c r="F26" s="13"/>
      <c r="G26" s="13"/>
      <c r="H26" s="13"/>
      <c r="I26" s="13"/>
      <c r="J26" s="13"/>
      <c r="K26" s="13"/>
      <c r="L26" s="15"/>
      <c r="M26" s="15"/>
      <c r="N26" s="15"/>
      <c r="O26" s="15"/>
      <c r="P26" s="15"/>
      <c r="Q26" s="15"/>
      <c r="R26" s="15"/>
      <c r="S26" s="15"/>
      <c r="T26" s="15"/>
      <c r="U26" s="15"/>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5"/>
      <c r="AW26" s="15"/>
      <c r="AZ26" s="68"/>
      <c r="BA26" s="68"/>
      <c r="BB26" s="92"/>
      <c r="BC26" s="68"/>
      <c r="BD26" s="68"/>
      <c r="BE26" s="92"/>
      <c r="BF26" s="68"/>
      <c r="BG26" s="68"/>
      <c r="BH26" s="230"/>
      <c r="BI26" s="230"/>
      <c r="BJ26" s="92"/>
    </row>
    <row r="27" spans="1:64">
      <c r="A27" s="13"/>
      <c r="B27" s="13"/>
      <c r="C27" s="13"/>
      <c r="D27" s="13"/>
      <c r="E27" s="14"/>
      <c r="F27" s="13"/>
      <c r="G27" s="13"/>
      <c r="H27" s="13"/>
      <c r="I27" s="13"/>
      <c r="J27" s="13"/>
      <c r="K27" s="13"/>
      <c r="L27" s="15"/>
      <c r="M27" s="15"/>
      <c r="N27" s="15"/>
      <c r="O27" s="15"/>
      <c r="P27" s="15"/>
      <c r="Q27" s="15"/>
      <c r="R27" s="15"/>
      <c r="S27" s="15"/>
      <c r="T27" s="15"/>
      <c r="U27" s="15"/>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5"/>
      <c r="AW27" s="15"/>
      <c r="AZ27" s="68"/>
      <c r="BA27" s="68"/>
      <c r="BB27" s="92"/>
      <c r="BC27" s="68"/>
      <c r="BD27" s="68"/>
      <c r="BE27" s="92"/>
      <c r="BF27" s="68"/>
      <c r="BG27" s="68"/>
      <c r="BH27" s="230"/>
      <c r="BI27" s="230"/>
      <c r="BJ27" s="92"/>
    </row>
    <row r="28" spans="1:64" s="210" customFormat="1">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X28" s="21"/>
      <c r="AY28" s="21"/>
      <c r="AZ28" s="68"/>
      <c r="BA28" s="68"/>
      <c r="BB28" s="92"/>
      <c r="BC28" s="68"/>
      <c r="BD28" s="68"/>
      <c r="BE28" s="92"/>
      <c r="BF28" s="68"/>
      <c r="BG28" s="68"/>
      <c r="BH28" s="230"/>
      <c r="BI28" s="230"/>
      <c r="BJ28" s="92"/>
    </row>
    <row r="29" spans="1:64" s="210" customFormat="1">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X29" s="21"/>
      <c r="AY29" s="21"/>
      <c r="AZ29" s="68"/>
      <c r="BA29" s="68"/>
      <c r="BB29" s="92"/>
      <c r="BC29" s="68"/>
      <c r="BD29" s="68"/>
      <c r="BE29" s="92"/>
      <c r="BF29" s="68"/>
      <c r="BG29" s="68"/>
      <c r="BH29" s="230"/>
      <c r="BI29" s="230"/>
      <c r="BJ29" s="92"/>
    </row>
    <row r="30" spans="1:64" s="210" customFormat="1">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X30" s="21"/>
      <c r="AY30" s="21"/>
      <c r="AZ30" s="68"/>
      <c r="BA30" s="68"/>
      <c r="BB30" s="92"/>
      <c r="BC30" s="68"/>
      <c r="BD30" s="68"/>
      <c r="BE30" s="92"/>
      <c r="BF30" s="68"/>
      <c r="BG30" s="68"/>
      <c r="BH30" s="230"/>
      <c r="BI30" s="230"/>
      <c r="BJ30" s="92"/>
    </row>
    <row r="31" spans="1:64" s="210" customFormat="1">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X31" s="21"/>
      <c r="AY31" s="21"/>
      <c r="AZ31" s="68"/>
      <c r="BA31" s="68"/>
      <c r="BB31" s="92"/>
      <c r="BC31" s="68"/>
      <c r="BD31" s="68"/>
      <c r="BE31" s="92"/>
      <c r="BF31" s="68"/>
      <c r="BG31" s="68"/>
      <c r="BH31" s="230"/>
      <c r="BI31" s="230"/>
      <c r="BJ31" s="92"/>
    </row>
    <row r="32" spans="1:64" s="210" customFormat="1">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X32" s="21"/>
      <c r="AY32" s="21"/>
      <c r="AZ32" s="68"/>
      <c r="BA32" s="68"/>
      <c r="BB32" s="92"/>
      <c r="BC32" s="68"/>
      <c r="BD32" s="68"/>
      <c r="BE32" s="92"/>
      <c r="BF32" s="68"/>
      <c r="BG32" s="68"/>
      <c r="BH32" s="230"/>
      <c r="BI32" s="230"/>
      <c r="BJ32" s="92"/>
    </row>
    <row r="33" spans="1:62" s="210" customFormat="1">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X33" s="21"/>
      <c r="AY33" s="21"/>
      <c r="AZ33" s="68"/>
      <c r="BA33" s="68"/>
      <c r="BB33" s="92"/>
      <c r="BC33" s="68"/>
      <c r="BD33" s="68"/>
      <c r="BE33" s="92"/>
      <c r="BF33" s="68"/>
      <c r="BG33" s="68"/>
      <c r="BH33" s="230"/>
      <c r="BI33" s="230"/>
      <c r="BJ33" s="92"/>
    </row>
    <row r="34" spans="1:62" s="210" customFormat="1">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X34" s="21"/>
      <c r="AY34" s="21"/>
      <c r="AZ34" s="68"/>
      <c r="BA34" s="68"/>
      <c r="BB34" s="92"/>
      <c r="BC34" s="68"/>
      <c r="BD34" s="68"/>
      <c r="BE34" s="92"/>
      <c r="BF34" s="68"/>
      <c r="BG34" s="68"/>
      <c r="BH34" s="230"/>
      <c r="BI34" s="230"/>
      <c r="BJ34" s="92"/>
    </row>
    <row r="35" spans="1:62" s="210" customFormat="1">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X35" s="21"/>
      <c r="AY35" s="21"/>
      <c r="AZ35" s="68"/>
      <c r="BA35" s="68"/>
      <c r="BB35" s="92"/>
      <c r="BC35" s="68"/>
      <c r="BD35" s="68"/>
      <c r="BE35" s="92"/>
      <c r="BF35" s="68"/>
      <c r="BG35" s="68"/>
      <c r="BH35" s="230"/>
      <c r="BI35" s="230"/>
      <c r="BJ35" s="92"/>
    </row>
    <row r="36" spans="1:62" s="210" customFormat="1">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X36" s="21"/>
      <c r="AY36" s="21"/>
      <c r="AZ36" s="68"/>
      <c r="BA36" s="68"/>
      <c r="BB36" s="92"/>
      <c r="BC36" s="68"/>
      <c r="BD36" s="68"/>
      <c r="BE36" s="92"/>
      <c r="BF36" s="68"/>
      <c r="BG36" s="68"/>
      <c r="BH36" s="230"/>
      <c r="BI36" s="230"/>
      <c r="BJ36" s="92"/>
    </row>
    <row r="37" spans="1:62" s="210" customFormat="1">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X37" s="21"/>
      <c r="AY37" s="21"/>
      <c r="AZ37" s="68"/>
      <c r="BA37" s="68"/>
      <c r="BB37" s="92"/>
      <c r="BC37" s="68"/>
      <c r="BD37" s="68"/>
      <c r="BE37" s="92"/>
      <c r="BF37" s="68"/>
      <c r="BG37" s="68"/>
      <c r="BH37" s="230"/>
      <c r="BI37" s="230"/>
      <c r="BJ37" s="92"/>
    </row>
    <row r="38" spans="1:62" s="210" customFormat="1">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X38" s="21"/>
      <c r="AY38" s="21"/>
      <c r="AZ38" s="68"/>
      <c r="BA38" s="68"/>
      <c r="BB38" s="92"/>
      <c r="BC38" s="68"/>
      <c r="BD38" s="68"/>
      <c r="BE38" s="92"/>
      <c r="BF38" s="68"/>
      <c r="BG38" s="68"/>
      <c r="BH38" s="230"/>
      <c r="BI38" s="230"/>
      <c r="BJ38" s="92"/>
    </row>
    <row r="39" spans="1:62" s="210" customFormat="1">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X39" s="21"/>
      <c r="AY39" s="21"/>
      <c r="AZ39" s="68"/>
      <c r="BA39" s="68"/>
      <c r="BB39" s="92"/>
      <c r="BC39" s="68"/>
      <c r="BD39" s="68"/>
      <c r="BE39" s="92"/>
      <c r="BF39" s="68"/>
      <c r="BG39" s="68"/>
      <c r="BH39" s="230"/>
      <c r="BI39" s="230"/>
      <c r="BJ39" s="92"/>
    </row>
    <row r="40" spans="1:62" s="210" customFormat="1">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X40" s="21"/>
      <c r="AY40" s="21"/>
      <c r="AZ40" s="68"/>
      <c r="BA40" s="68"/>
      <c r="BB40" s="92"/>
      <c r="BC40" s="68"/>
      <c r="BD40" s="68"/>
      <c r="BE40" s="92"/>
      <c r="BF40" s="68"/>
      <c r="BG40" s="68"/>
      <c r="BH40" s="230"/>
      <c r="BI40" s="230"/>
      <c r="BJ40" s="92"/>
    </row>
    <row r="41" spans="1:62" s="210" customFormat="1">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X41" s="21"/>
      <c r="AY41" s="21"/>
      <c r="AZ41" s="68"/>
      <c r="BA41" s="68"/>
      <c r="BB41" s="92"/>
      <c r="BC41" s="68"/>
      <c r="BD41" s="68"/>
      <c r="BE41" s="92"/>
      <c r="BF41" s="68"/>
      <c r="BG41" s="68"/>
      <c r="BH41" s="230"/>
      <c r="BI41" s="230"/>
      <c r="BJ41" s="92"/>
    </row>
    <row r="42" spans="1:62" s="210" customFormat="1">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X42" s="21"/>
      <c r="AY42" s="21"/>
      <c r="AZ42" s="68"/>
      <c r="BA42" s="68"/>
      <c r="BB42" s="92"/>
      <c r="BC42" s="68"/>
      <c r="BD42" s="68"/>
      <c r="BE42" s="92"/>
      <c r="BF42" s="68"/>
      <c r="BG42" s="68"/>
      <c r="BH42" s="230"/>
      <c r="BI42" s="230"/>
      <c r="BJ42" s="92"/>
    </row>
    <row r="43" spans="1:62" s="210" customFormat="1">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X43" s="21"/>
      <c r="AY43" s="21"/>
      <c r="AZ43" s="68"/>
      <c r="BA43" s="68"/>
      <c r="BB43" s="92"/>
      <c r="BC43" s="68"/>
      <c r="BD43" s="68"/>
      <c r="BE43" s="92"/>
      <c r="BF43" s="68"/>
      <c r="BG43" s="68"/>
      <c r="BH43" s="230"/>
      <c r="BI43" s="230"/>
      <c r="BJ43" s="92"/>
    </row>
    <row r="44" spans="1:62" s="210" customFormat="1">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X44" s="21"/>
      <c r="AY44" s="21"/>
      <c r="AZ44" s="68"/>
      <c r="BA44" s="68"/>
      <c r="BB44" s="92"/>
      <c r="BC44" s="68"/>
      <c r="BD44" s="68"/>
      <c r="BE44" s="92"/>
      <c r="BF44" s="68"/>
      <c r="BG44" s="68"/>
      <c r="BH44" s="230"/>
      <c r="BI44" s="230"/>
      <c r="BJ44" s="92"/>
    </row>
    <row r="45" spans="1:62" s="210" customFormat="1">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X45" s="21"/>
      <c r="AY45" s="21"/>
      <c r="AZ45" s="68"/>
      <c r="BA45" s="68"/>
      <c r="BB45" s="92"/>
      <c r="BC45" s="68"/>
      <c r="BD45" s="68"/>
      <c r="BE45" s="92"/>
      <c r="BF45" s="68"/>
      <c r="BG45" s="68"/>
      <c r="BH45" s="230"/>
      <c r="BI45" s="230"/>
      <c r="BJ45" s="92"/>
    </row>
    <row r="46" spans="1:62" s="210" customFormat="1">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X46" s="21"/>
      <c r="AY46" s="21"/>
      <c r="AZ46" s="68"/>
      <c r="BA46" s="68"/>
      <c r="BB46" s="92"/>
      <c r="BC46" s="68"/>
      <c r="BD46" s="68"/>
      <c r="BE46" s="92"/>
      <c r="BF46" s="68"/>
      <c r="BG46" s="68"/>
      <c r="BH46" s="230"/>
      <c r="BI46" s="230"/>
      <c r="BJ46" s="92"/>
    </row>
    <row r="47" spans="1:62" s="210" customFormat="1">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X47" s="21"/>
      <c r="AY47" s="21"/>
      <c r="AZ47" s="68"/>
      <c r="BA47" s="68"/>
      <c r="BB47" s="92"/>
      <c r="BC47" s="68"/>
      <c r="BD47" s="68"/>
      <c r="BE47" s="92"/>
      <c r="BF47" s="68"/>
      <c r="BG47" s="68"/>
      <c r="BH47" s="230"/>
      <c r="BI47" s="230"/>
      <c r="BJ47" s="92"/>
    </row>
    <row r="48" spans="1:62" s="210" customFormat="1">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X48" s="21"/>
      <c r="AY48" s="21"/>
      <c r="AZ48" s="68"/>
      <c r="BA48" s="68"/>
      <c r="BB48" s="92"/>
      <c r="BC48" s="68"/>
      <c r="BD48" s="68"/>
      <c r="BE48" s="92"/>
      <c r="BF48" s="68"/>
      <c r="BG48" s="68"/>
      <c r="BH48" s="230"/>
      <c r="BI48" s="230"/>
      <c r="BJ48" s="92"/>
    </row>
    <row r="49" spans="1:62" s="210" customFormat="1">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X49" s="21"/>
      <c r="AY49" s="21"/>
      <c r="AZ49" s="68"/>
      <c r="BA49" s="68"/>
      <c r="BB49" s="92"/>
      <c r="BC49" s="68"/>
      <c r="BD49" s="68"/>
      <c r="BE49" s="92"/>
      <c r="BF49" s="68"/>
      <c r="BG49" s="68"/>
      <c r="BH49" s="230"/>
      <c r="BI49" s="230"/>
      <c r="BJ49" s="92"/>
    </row>
    <row r="50" spans="1:62" s="210" customFormat="1">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X50" s="21"/>
      <c r="AY50" s="21"/>
      <c r="AZ50" s="68"/>
      <c r="BA50" s="68"/>
      <c r="BB50" s="92"/>
      <c r="BC50" s="68"/>
      <c r="BD50" s="68"/>
      <c r="BE50" s="92"/>
      <c r="BF50" s="68"/>
      <c r="BG50" s="68"/>
      <c r="BH50" s="230"/>
      <c r="BI50" s="230"/>
      <c r="BJ50" s="92"/>
    </row>
    <row r="51" spans="1:62" s="210" customFormat="1">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X51" s="21"/>
      <c r="AY51" s="21"/>
      <c r="AZ51" s="68"/>
      <c r="BA51" s="68"/>
      <c r="BB51" s="92"/>
      <c r="BC51" s="68"/>
      <c r="BD51" s="68"/>
      <c r="BE51" s="92"/>
      <c r="BF51" s="68"/>
      <c r="BG51" s="68"/>
      <c r="BH51" s="230"/>
      <c r="BI51" s="230"/>
      <c r="BJ51" s="92"/>
    </row>
    <row r="52" spans="1:62" s="210" customFormat="1">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X52" s="21"/>
      <c r="AY52" s="21"/>
      <c r="AZ52" s="68"/>
      <c r="BA52" s="68"/>
      <c r="BB52" s="92"/>
      <c r="BC52" s="68"/>
      <c r="BD52" s="68"/>
      <c r="BE52" s="92"/>
      <c r="BF52" s="68"/>
      <c r="BG52" s="68"/>
      <c r="BH52" s="230"/>
      <c r="BI52" s="230"/>
      <c r="BJ52" s="92"/>
    </row>
    <row r="53" spans="1:62" s="210" customFormat="1">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X53" s="21"/>
      <c r="AY53" s="21"/>
      <c r="AZ53" s="68"/>
      <c r="BA53" s="68"/>
      <c r="BB53" s="92"/>
      <c r="BC53" s="68"/>
      <c r="BD53" s="68"/>
      <c r="BE53" s="92"/>
      <c r="BF53" s="68"/>
      <c r="BG53" s="68"/>
      <c r="BH53" s="230"/>
      <c r="BI53" s="230"/>
      <c r="BJ53" s="92"/>
    </row>
    <row r="54" spans="1:62" s="210" customFormat="1">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X54" s="21"/>
      <c r="AY54" s="21"/>
      <c r="AZ54" s="68"/>
      <c r="BA54" s="68"/>
      <c r="BB54" s="92"/>
      <c r="BC54" s="68"/>
      <c r="BD54" s="68"/>
      <c r="BE54" s="92"/>
      <c r="BF54" s="68"/>
      <c r="BG54" s="68"/>
      <c r="BH54" s="230"/>
      <c r="BI54" s="230"/>
      <c r="BJ54" s="92"/>
    </row>
    <row r="55" spans="1:62" s="210" customFormat="1">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X55" s="21"/>
      <c r="AY55" s="21"/>
      <c r="AZ55" s="68"/>
      <c r="BA55" s="68"/>
      <c r="BB55" s="92"/>
      <c r="BC55" s="68"/>
      <c r="BD55" s="68"/>
      <c r="BE55" s="92"/>
      <c r="BF55" s="68"/>
      <c r="BG55" s="68"/>
      <c r="BH55" s="230"/>
      <c r="BI55" s="230"/>
      <c r="BJ55" s="92"/>
    </row>
    <row r="56" spans="1:62" s="210" customFormat="1">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X56" s="21"/>
      <c r="AY56" s="21"/>
      <c r="AZ56" s="68"/>
      <c r="BA56" s="68"/>
      <c r="BB56" s="92"/>
      <c r="BC56" s="68"/>
      <c r="BD56" s="68"/>
      <c r="BE56" s="92"/>
      <c r="BF56" s="68"/>
      <c r="BG56" s="68"/>
      <c r="BH56" s="230"/>
      <c r="BI56" s="230"/>
      <c r="BJ56" s="92"/>
    </row>
    <row r="57" spans="1:62" s="210" customFormat="1">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X57" s="21"/>
      <c r="AY57" s="21"/>
      <c r="AZ57" s="68"/>
      <c r="BA57" s="68"/>
      <c r="BB57" s="92"/>
      <c r="BC57" s="68"/>
      <c r="BD57" s="68"/>
      <c r="BE57" s="92"/>
      <c r="BF57" s="68"/>
      <c r="BG57" s="68"/>
      <c r="BH57" s="230"/>
      <c r="BI57" s="230"/>
      <c r="BJ57" s="92"/>
    </row>
    <row r="58" spans="1:62" s="210" customFormat="1">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X58" s="21"/>
      <c r="AY58" s="21"/>
      <c r="AZ58" s="68"/>
      <c r="BA58" s="68"/>
      <c r="BB58" s="92"/>
      <c r="BC58" s="68"/>
      <c r="BD58" s="68"/>
      <c r="BE58" s="92"/>
      <c r="BF58" s="68"/>
      <c r="BG58" s="68"/>
      <c r="BH58" s="230"/>
      <c r="BI58" s="230"/>
      <c r="BJ58" s="92"/>
    </row>
    <row r="59" spans="1:62" s="210" customFormat="1">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X59" s="21"/>
      <c r="AY59" s="21"/>
      <c r="AZ59" s="68"/>
      <c r="BA59" s="68"/>
      <c r="BB59" s="92"/>
      <c r="BC59" s="68"/>
      <c r="BD59" s="68"/>
      <c r="BE59" s="92"/>
      <c r="BF59" s="68"/>
      <c r="BG59" s="68"/>
      <c r="BH59" s="230"/>
      <c r="BI59" s="230"/>
      <c r="BJ59" s="92"/>
    </row>
    <row r="60" spans="1:62" s="210" customFormat="1">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X60" s="21"/>
      <c r="AY60" s="21"/>
      <c r="AZ60" s="68"/>
      <c r="BA60" s="68"/>
      <c r="BB60" s="92"/>
      <c r="BC60" s="68"/>
      <c r="BD60" s="68"/>
      <c r="BE60" s="92"/>
      <c r="BF60" s="68"/>
      <c r="BG60" s="68"/>
      <c r="BH60" s="230"/>
      <c r="BI60" s="230"/>
      <c r="BJ60" s="92"/>
    </row>
    <row r="61" spans="1:62" s="210" customFormat="1">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X61" s="21"/>
      <c r="AY61" s="21"/>
      <c r="AZ61" s="68"/>
      <c r="BA61" s="68"/>
      <c r="BB61" s="92"/>
      <c r="BC61" s="68"/>
      <c r="BD61" s="68"/>
      <c r="BE61" s="92"/>
      <c r="BF61" s="68"/>
      <c r="BG61" s="68"/>
      <c r="BH61" s="230"/>
      <c r="BI61" s="230"/>
      <c r="BJ61" s="92"/>
    </row>
    <row r="62" spans="1:62" s="210" customFormat="1">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X62" s="21"/>
      <c r="AY62" s="21"/>
      <c r="AZ62" s="68"/>
      <c r="BA62" s="68"/>
      <c r="BB62" s="92"/>
      <c r="BC62" s="68"/>
      <c r="BD62" s="68"/>
      <c r="BE62" s="92"/>
      <c r="BF62" s="68"/>
      <c r="BG62" s="68"/>
      <c r="BH62" s="230"/>
      <c r="BI62" s="230"/>
      <c r="BJ62" s="92"/>
    </row>
    <row r="63" spans="1:62" s="210" customFormat="1">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X63" s="21"/>
      <c r="AY63" s="21"/>
      <c r="AZ63" s="68"/>
      <c r="BA63" s="68"/>
      <c r="BB63" s="92"/>
      <c r="BC63" s="68"/>
      <c r="BD63" s="68"/>
      <c r="BE63" s="92"/>
      <c r="BF63" s="68"/>
      <c r="BG63" s="68"/>
      <c r="BH63" s="230"/>
      <c r="BI63" s="230"/>
      <c r="BJ63" s="92"/>
    </row>
    <row r="64" spans="1:62" s="210" customFormat="1">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X64" s="21"/>
      <c r="AY64" s="21"/>
      <c r="AZ64" s="68"/>
      <c r="BA64" s="68"/>
      <c r="BB64" s="92"/>
      <c r="BC64" s="68"/>
      <c r="BD64" s="68"/>
      <c r="BE64" s="92"/>
      <c r="BF64" s="68"/>
      <c r="BG64" s="68"/>
      <c r="BH64" s="230"/>
      <c r="BI64" s="230"/>
      <c r="BJ64" s="92"/>
    </row>
    <row r="65" spans="1:62" s="210" customFormat="1">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X65" s="21"/>
      <c r="AY65" s="21"/>
      <c r="AZ65" s="68"/>
      <c r="BA65" s="68"/>
      <c r="BB65" s="92"/>
      <c r="BC65" s="68"/>
      <c r="BD65" s="68"/>
      <c r="BE65" s="92"/>
      <c r="BF65" s="68"/>
      <c r="BG65" s="68"/>
      <c r="BH65" s="230"/>
      <c r="BI65" s="230"/>
      <c r="BJ65" s="92"/>
    </row>
    <row r="66" spans="1:62" s="210" customFormat="1">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X66" s="21"/>
      <c r="AY66" s="21"/>
      <c r="AZ66" s="68"/>
      <c r="BA66" s="68"/>
      <c r="BB66" s="92"/>
      <c r="BC66" s="68"/>
      <c r="BD66" s="68"/>
      <c r="BE66" s="92"/>
      <c r="BF66" s="68"/>
      <c r="BG66" s="68"/>
      <c r="BH66" s="230"/>
      <c r="BI66" s="230"/>
      <c r="BJ66" s="92"/>
    </row>
    <row r="67" spans="1:62" s="210" customFormat="1">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X67" s="21"/>
      <c r="AY67" s="21"/>
      <c r="AZ67" s="68"/>
      <c r="BA67" s="68"/>
      <c r="BB67" s="92"/>
      <c r="BC67" s="68"/>
      <c r="BD67" s="68"/>
      <c r="BE67" s="92"/>
      <c r="BF67" s="68"/>
      <c r="BG67" s="68"/>
      <c r="BH67" s="230"/>
      <c r="BI67" s="230"/>
      <c r="BJ67" s="92"/>
    </row>
    <row r="68" spans="1:62" s="210" customFormat="1">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X68" s="21"/>
      <c r="AY68" s="21"/>
      <c r="AZ68" s="68"/>
      <c r="BA68" s="68"/>
      <c r="BB68" s="92"/>
      <c r="BC68" s="68"/>
      <c r="BD68" s="68"/>
      <c r="BE68" s="92"/>
      <c r="BF68" s="68"/>
      <c r="BG68" s="68"/>
      <c r="BH68" s="230"/>
      <c r="BI68" s="230"/>
      <c r="BJ68" s="92"/>
    </row>
    <row r="69" spans="1:62" s="210" customFormat="1">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X69" s="21"/>
      <c r="AY69" s="21"/>
      <c r="AZ69" s="68"/>
      <c r="BA69" s="68"/>
      <c r="BB69" s="92"/>
      <c r="BC69" s="68"/>
      <c r="BD69" s="68"/>
      <c r="BE69" s="92"/>
      <c r="BF69" s="68"/>
      <c r="BG69" s="68"/>
      <c r="BH69" s="230"/>
      <c r="BI69" s="230"/>
      <c r="BJ69" s="92"/>
    </row>
    <row r="70" spans="1:62" s="210" customFormat="1">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X70" s="21"/>
      <c r="AY70" s="21"/>
      <c r="AZ70" s="68"/>
      <c r="BA70" s="68"/>
      <c r="BB70" s="92"/>
      <c r="BC70" s="68"/>
      <c r="BD70" s="68"/>
      <c r="BE70" s="92"/>
      <c r="BF70" s="68"/>
      <c r="BG70" s="68"/>
      <c r="BH70" s="230"/>
      <c r="BI70" s="230"/>
      <c r="BJ70" s="92"/>
    </row>
    <row r="71" spans="1:62" s="210" customFormat="1">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X71" s="21"/>
      <c r="AY71" s="21"/>
      <c r="AZ71" s="68"/>
      <c r="BA71" s="68"/>
      <c r="BB71" s="92"/>
      <c r="BC71" s="68"/>
      <c r="BD71" s="68"/>
      <c r="BE71" s="92"/>
      <c r="BF71" s="68"/>
      <c r="BG71" s="68"/>
      <c r="BH71" s="230"/>
      <c r="BI71" s="230"/>
      <c r="BJ71" s="92"/>
    </row>
    <row r="72" spans="1:62" s="210" customFormat="1">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X72" s="21"/>
      <c r="AY72" s="21"/>
      <c r="AZ72" s="68"/>
      <c r="BA72" s="68"/>
      <c r="BB72" s="92"/>
      <c r="BC72" s="68"/>
      <c r="BD72" s="68"/>
      <c r="BE72" s="92"/>
      <c r="BF72" s="68"/>
      <c r="BG72" s="68"/>
      <c r="BH72" s="230"/>
      <c r="BI72" s="230"/>
      <c r="BJ72" s="92"/>
    </row>
    <row r="73" spans="1:62" s="210" customFormat="1">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X73" s="21"/>
      <c r="AY73" s="21"/>
      <c r="AZ73" s="68"/>
      <c r="BA73" s="68"/>
      <c r="BB73" s="92"/>
      <c r="BC73" s="68"/>
      <c r="BD73" s="68"/>
      <c r="BE73" s="92"/>
      <c r="BF73" s="68"/>
      <c r="BG73" s="68"/>
      <c r="BH73" s="230"/>
      <c r="BI73" s="230"/>
      <c r="BJ73" s="92"/>
    </row>
    <row r="74" spans="1:62" s="210" customFormat="1">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X74" s="21"/>
      <c r="AY74" s="21"/>
      <c r="AZ74" s="68"/>
      <c r="BA74" s="68"/>
      <c r="BB74" s="92"/>
      <c r="BC74" s="68"/>
      <c r="BD74" s="68"/>
      <c r="BE74" s="92"/>
      <c r="BF74" s="68"/>
      <c r="BG74" s="68"/>
      <c r="BH74" s="230"/>
      <c r="BI74" s="230"/>
      <c r="BJ74" s="92"/>
    </row>
    <row r="75" spans="1:62" s="210" customFormat="1">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X75" s="21"/>
      <c r="AY75" s="21"/>
      <c r="AZ75" s="68"/>
      <c r="BA75" s="68"/>
      <c r="BB75" s="92"/>
      <c r="BC75" s="68"/>
      <c r="BD75" s="68"/>
      <c r="BE75" s="92"/>
      <c r="BF75" s="68"/>
      <c r="BG75" s="68"/>
      <c r="BH75" s="230"/>
      <c r="BI75" s="230"/>
      <c r="BJ75" s="92"/>
    </row>
    <row r="76" spans="1:62" s="210" customFormat="1">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X76" s="21"/>
      <c r="AY76" s="21"/>
      <c r="AZ76" s="68"/>
      <c r="BA76" s="68"/>
      <c r="BB76" s="92"/>
      <c r="BC76" s="68"/>
      <c r="BD76" s="68"/>
      <c r="BE76" s="92"/>
      <c r="BF76" s="68"/>
      <c r="BG76" s="68"/>
      <c r="BH76" s="230"/>
      <c r="BI76" s="230"/>
      <c r="BJ76" s="92"/>
    </row>
    <row r="77" spans="1:62" s="210" customFormat="1">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X77" s="21"/>
      <c r="AY77" s="21"/>
      <c r="AZ77" s="68"/>
      <c r="BA77" s="68"/>
      <c r="BB77" s="92"/>
      <c r="BC77" s="68"/>
      <c r="BD77" s="68"/>
      <c r="BE77" s="92"/>
      <c r="BF77" s="68"/>
      <c r="BG77" s="68"/>
      <c r="BH77" s="230"/>
      <c r="BI77" s="230"/>
      <c r="BJ77" s="92"/>
    </row>
    <row r="78" spans="1:62" s="210" customFormat="1">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X78" s="21"/>
      <c r="AY78" s="21"/>
      <c r="AZ78" s="68"/>
      <c r="BA78" s="68"/>
      <c r="BB78" s="92"/>
      <c r="BC78" s="68"/>
      <c r="BD78" s="68"/>
      <c r="BE78" s="92"/>
      <c r="BF78" s="68"/>
      <c r="BG78" s="68"/>
      <c r="BH78" s="230"/>
      <c r="BI78" s="230"/>
      <c r="BJ78" s="92"/>
    </row>
    <row r="79" spans="1:62" s="210" customFormat="1">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X79" s="21"/>
      <c r="AY79" s="21"/>
      <c r="AZ79" s="68"/>
      <c r="BA79" s="68"/>
      <c r="BB79" s="92"/>
      <c r="BC79" s="68"/>
      <c r="BD79" s="68"/>
      <c r="BE79" s="92"/>
      <c r="BF79" s="68"/>
      <c r="BG79" s="68"/>
      <c r="BH79" s="230"/>
      <c r="BI79" s="230"/>
      <c r="BJ79" s="92"/>
    </row>
    <row r="80" spans="1:62" s="210" customFormat="1">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X80" s="21"/>
      <c r="AY80" s="21"/>
      <c r="AZ80" s="68"/>
      <c r="BA80" s="68"/>
      <c r="BB80" s="92"/>
      <c r="BC80" s="68"/>
      <c r="BD80" s="68"/>
      <c r="BE80" s="92"/>
      <c r="BF80" s="68"/>
      <c r="BG80" s="68"/>
      <c r="BH80" s="230"/>
      <c r="BI80" s="230"/>
      <c r="BJ80" s="92"/>
    </row>
    <row r="81" spans="1:64" s="210" customFormat="1">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X81" s="21"/>
      <c r="AY81" s="21"/>
      <c r="AZ81" s="68"/>
      <c r="BA81" s="68"/>
      <c r="BB81" s="92"/>
      <c r="BC81" s="68"/>
      <c r="BD81" s="68"/>
      <c r="BE81" s="92"/>
      <c r="BF81" s="68"/>
      <c r="BG81" s="68"/>
      <c r="BH81" s="230"/>
      <c r="BI81" s="230"/>
      <c r="BJ81" s="92"/>
    </row>
    <row r="82" spans="1:64" s="210" customFormat="1">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X82" s="21"/>
      <c r="AY82" s="21"/>
      <c r="AZ82" s="68"/>
      <c r="BA82" s="68"/>
      <c r="BB82" s="92"/>
      <c r="BC82" s="68"/>
      <c r="BD82" s="68"/>
      <c r="BE82" s="92"/>
      <c r="BF82" s="68"/>
      <c r="BG82" s="68"/>
      <c r="BH82" s="230"/>
      <c r="BI82" s="230"/>
      <c r="BJ82" s="92"/>
    </row>
    <row r="83" spans="1:64" s="210" customFormat="1">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X83" s="21"/>
      <c r="AY83" s="21"/>
      <c r="AZ83" s="68"/>
      <c r="BA83" s="68"/>
      <c r="BB83" s="92"/>
      <c r="BC83" s="68"/>
      <c r="BD83" s="68"/>
      <c r="BE83" s="92"/>
      <c r="BF83" s="68"/>
      <c r="BG83" s="68"/>
      <c r="BH83" s="230"/>
      <c r="BI83" s="230"/>
      <c r="BJ83" s="92"/>
    </row>
    <row r="84" spans="1:64" s="210" customFormat="1">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X84" s="21"/>
      <c r="AY84" s="21"/>
      <c r="AZ84" s="68"/>
      <c r="BA84" s="68"/>
      <c r="BB84" s="92"/>
      <c r="BC84" s="68"/>
      <c r="BD84" s="68"/>
      <c r="BE84" s="92"/>
      <c r="BF84" s="68"/>
      <c r="BG84" s="68"/>
      <c r="BH84" s="230"/>
      <c r="BI84" s="230"/>
      <c r="BJ84" s="92"/>
    </row>
    <row r="85" spans="1:64" s="210" customFormat="1">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X85" s="21"/>
      <c r="AY85" s="21"/>
      <c r="AZ85" s="68"/>
      <c r="BA85" s="68"/>
      <c r="BB85" s="92"/>
      <c r="BC85" s="68"/>
      <c r="BD85" s="68"/>
      <c r="BE85" s="92"/>
      <c r="BF85" s="68"/>
      <c r="BG85" s="68"/>
      <c r="BH85" s="230"/>
      <c r="BI85" s="230"/>
      <c r="BJ85" s="92"/>
    </row>
    <row r="86" spans="1:64" s="210" customFormat="1">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X86" s="21"/>
      <c r="AY86" s="21"/>
      <c r="AZ86" s="68"/>
      <c r="BA86" s="68"/>
      <c r="BB86" s="92"/>
      <c r="BC86" s="68"/>
      <c r="BD86" s="68"/>
      <c r="BE86" s="92"/>
      <c r="BF86" s="68"/>
      <c r="BG86" s="68"/>
      <c r="BH86" s="230"/>
      <c r="BI86" s="230"/>
      <c r="BJ86" s="92"/>
    </row>
    <row r="87" spans="1:64" s="210" customFormat="1">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X87" s="21"/>
      <c r="AY87" s="21"/>
      <c r="AZ87" s="68"/>
      <c r="BA87" s="68"/>
      <c r="BB87" s="92"/>
      <c r="BC87" s="68"/>
      <c r="BD87" s="68"/>
      <c r="BE87" s="92"/>
      <c r="BF87" s="68"/>
      <c r="BG87" s="68"/>
      <c r="BH87" s="230"/>
      <c r="BI87" s="230"/>
      <c r="BJ87" s="92"/>
    </row>
    <row r="88" spans="1:64" s="210" customFormat="1">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X88" s="21"/>
      <c r="AY88" s="21"/>
      <c r="AZ88" s="68"/>
      <c r="BA88" s="68"/>
      <c r="BB88" s="92"/>
      <c r="BC88" s="68"/>
      <c r="BD88" s="68"/>
      <c r="BE88" s="92"/>
      <c r="BF88" s="68"/>
      <c r="BG88" s="68"/>
      <c r="BH88" s="230"/>
      <c r="BI88" s="230"/>
      <c r="BJ88" s="92"/>
    </row>
    <row r="89" spans="1:64" s="210" customFormat="1">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X89" s="21"/>
      <c r="AY89" s="21"/>
      <c r="AZ89" s="68"/>
      <c r="BA89" s="68"/>
      <c r="BB89" s="92"/>
      <c r="BC89" s="68"/>
      <c r="BD89" s="68"/>
      <c r="BE89" s="92"/>
      <c r="BF89" s="68"/>
      <c r="BG89" s="68"/>
      <c r="BH89" s="230"/>
      <c r="BI89" s="230"/>
      <c r="BJ89" s="92"/>
    </row>
    <row r="90" spans="1:64" s="210" customFormat="1">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X90" s="21"/>
      <c r="AY90" s="21"/>
      <c r="AZ90" s="68"/>
      <c r="BA90" s="68"/>
      <c r="BB90" s="92"/>
      <c r="BC90" s="68"/>
      <c r="BD90" s="68"/>
      <c r="BE90" s="92"/>
      <c r="BF90" s="68"/>
      <c r="BG90" s="68"/>
      <c r="BH90" s="230"/>
      <c r="BI90" s="230"/>
      <c r="BJ90" s="92"/>
    </row>
    <row r="91" spans="1:64" s="210" customFormat="1">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X91" s="21"/>
      <c r="AY91" s="21"/>
      <c r="AZ91" s="68"/>
      <c r="BA91" s="68"/>
      <c r="BB91" s="92"/>
      <c r="BC91" s="68"/>
      <c r="BD91" s="68"/>
      <c r="BE91" s="92"/>
      <c r="BF91" s="68"/>
      <c r="BG91" s="68"/>
      <c r="BH91" s="230"/>
      <c r="BI91" s="230"/>
      <c r="BJ91" s="92"/>
    </row>
    <row r="92" spans="1:64">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row>
    <row r="93" spans="1:64">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row>
    <row r="94" spans="1:64">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row>
    <row r="95" spans="1:64" ht="11.25">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c r="AZ95" s="231"/>
      <c r="BA95" s="231"/>
      <c r="BB95" s="231"/>
      <c r="BC95" s="231"/>
      <c r="BD95" s="231"/>
      <c r="BE95" s="231"/>
      <c r="BF95" s="231"/>
      <c r="BG95" s="231"/>
      <c r="BH95" s="231"/>
      <c r="BI95" s="231"/>
      <c r="BJ95" s="231"/>
      <c r="BK95" s="231"/>
      <c r="BL95" s="231"/>
    </row>
    <row r="96" spans="1:64" ht="11.25">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c r="AZ96" s="231"/>
      <c r="BA96" s="231"/>
      <c r="BB96" s="231"/>
      <c r="BC96" s="231"/>
      <c r="BD96" s="231"/>
      <c r="BE96" s="231"/>
      <c r="BF96" s="231"/>
      <c r="BG96" s="231"/>
      <c r="BH96" s="231"/>
      <c r="BI96" s="231"/>
      <c r="BJ96" s="231"/>
      <c r="BK96" s="231"/>
      <c r="BL96" s="231"/>
    </row>
    <row r="97" spans="1:64" ht="11.25">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c r="AZ97" s="231"/>
      <c r="BA97" s="231"/>
      <c r="BB97" s="231"/>
      <c r="BC97" s="231"/>
      <c r="BD97" s="231"/>
      <c r="BE97" s="231"/>
      <c r="BF97" s="231"/>
      <c r="BG97" s="231"/>
      <c r="BH97" s="231"/>
      <c r="BI97" s="231"/>
      <c r="BJ97" s="231"/>
      <c r="BK97" s="231"/>
      <c r="BL97" s="231"/>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row>
    <row r="104" spans="1:64">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row>
    <row r="105" spans="1:64">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s="21" customFormat="1">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c r="AZ108" s="210"/>
      <c r="BA108" s="210"/>
      <c r="BB108" s="210"/>
      <c r="BC108" s="210"/>
      <c r="BD108" s="210"/>
      <c r="BE108" s="210"/>
      <c r="BF108" s="210"/>
      <c r="BG108" s="210"/>
      <c r="BH108" s="210"/>
      <c r="BI108" s="210"/>
      <c r="BJ108" s="210"/>
      <c r="BK108" s="210"/>
      <c r="BL108" s="210"/>
    </row>
    <row r="109" spans="1:64" s="21" customFormat="1">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c r="AZ109" s="210"/>
      <c r="BA109" s="210"/>
      <c r="BB109" s="210"/>
      <c r="BC109" s="210"/>
      <c r="BD109" s="210"/>
      <c r="BE109" s="210"/>
      <c r="BF109" s="210"/>
      <c r="BG109" s="210"/>
      <c r="BH109" s="210"/>
      <c r="BI109" s="210"/>
      <c r="BJ109" s="210"/>
      <c r="BK109" s="210"/>
      <c r="BL109" s="210"/>
    </row>
    <row r="110" spans="1:64" s="21" customFormat="1">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c r="AZ110" s="210"/>
      <c r="BA110" s="210"/>
      <c r="BB110" s="210"/>
      <c r="BC110" s="210"/>
      <c r="BD110" s="210"/>
      <c r="BE110" s="210"/>
      <c r="BF110" s="210"/>
      <c r="BG110" s="210"/>
      <c r="BH110" s="210"/>
      <c r="BI110" s="210"/>
      <c r="BJ110" s="210"/>
      <c r="BK110" s="210"/>
      <c r="BL110" s="210"/>
    </row>
    <row r="111" spans="1:64" s="21" customFormat="1">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c r="AZ111" s="210"/>
      <c r="BA111" s="210"/>
      <c r="BB111" s="210"/>
      <c r="BC111" s="210"/>
      <c r="BD111" s="210"/>
      <c r="BE111" s="210"/>
      <c r="BF111" s="210"/>
      <c r="BG111" s="210"/>
      <c r="BH111" s="210"/>
      <c r="BI111" s="210"/>
      <c r="BJ111" s="210"/>
      <c r="BK111" s="210"/>
      <c r="BL111" s="210"/>
    </row>
    <row r="112" spans="1:64" s="21" customFormat="1">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c r="AZ112" s="210"/>
      <c r="BA112" s="210"/>
      <c r="BB112" s="210"/>
      <c r="BC112" s="210"/>
      <c r="BD112" s="210"/>
      <c r="BE112" s="210"/>
      <c r="BF112" s="210"/>
      <c r="BG112" s="210"/>
      <c r="BH112" s="210"/>
      <c r="BI112" s="210"/>
      <c r="BJ112" s="210"/>
      <c r="BK112" s="210"/>
      <c r="BL112" s="210"/>
    </row>
    <row r="113" spans="1:64" s="21" customFormat="1">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c r="AZ113" s="210"/>
      <c r="BA113" s="210"/>
      <c r="BB113" s="210"/>
      <c r="BC113" s="210"/>
      <c r="BD113" s="210"/>
      <c r="BE113" s="210"/>
      <c r="BF113" s="210"/>
      <c r="BG113" s="210"/>
      <c r="BH113" s="210"/>
      <c r="BI113" s="210"/>
      <c r="BJ113" s="210"/>
      <c r="BK113" s="210"/>
      <c r="BL113" s="210"/>
    </row>
    <row r="114" spans="1:64" s="21" customFormat="1">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c r="AZ114" s="210"/>
      <c r="BA114" s="210"/>
      <c r="BB114" s="210"/>
      <c r="BC114" s="210"/>
      <c r="BD114" s="210"/>
      <c r="BE114" s="210"/>
      <c r="BF114" s="210"/>
      <c r="BG114" s="210"/>
      <c r="BH114" s="210"/>
      <c r="BI114" s="210"/>
      <c r="BJ114" s="210"/>
      <c r="BK114" s="210"/>
      <c r="BL114" s="210"/>
    </row>
    <row r="115" spans="1:64" s="21" customFormat="1">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c r="AZ115" s="210"/>
      <c r="BA115" s="210"/>
      <c r="BB115" s="210"/>
      <c r="BC115" s="210"/>
      <c r="BD115" s="210"/>
      <c r="BE115" s="210"/>
      <c r="BF115" s="210"/>
      <c r="BG115" s="210"/>
      <c r="BH115" s="210"/>
      <c r="BI115" s="210"/>
      <c r="BJ115" s="210"/>
      <c r="BK115" s="210"/>
      <c r="BL115" s="210"/>
    </row>
    <row r="116" spans="1:64" s="21" customFormat="1">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c r="AZ116" s="210"/>
      <c r="BA116" s="210"/>
      <c r="BB116" s="210"/>
      <c r="BC116" s="210"/>
      <c r="BD116" s="210"/>
      <c r="BE116" s="210"/>
      <c r="BF116" s="210"/>
      <c r="BG116" s="210"/>
      <c r="BH116" s="210"/>
      <c r="BI116" s="210"/>
      <c r="BJ116" s="210"/>
      <c r="BK116" s="210"/>
      <c r="BL116" s="210"/>
    </row>
    <row r="117" spans="1:64" s="21" customFormat="1">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c r="AZ117" s="210"/>
      <c r="BA117" s="210"/>
      <c r="BB117" s="210"/>
      <c r="BC117" s="210"/>
      <c r="BD117" s="210"/>
      <c r="BE117" s="210"/>
      <c r="BF117" s="210"/>
      <c r="BG117" s="210"/>
      <c r="BH117" s="210"/>
      <c r="BI117" s="210"/>
      <c r="BJ117" s="210"/>
      <c r="BK117" s="210"/>
      <c r="BL117" s="210"/>
    </row>
  </sheetData>
  <sheetProtection formatCells="0" formatColumns="0" formatRows="0" insertRows="0" deleteRows="0" sort="0" autoFilter="0" pivotTables="0"/>
  <mergeCells count="84">
    <mergeCell ref="A1:AB1"/>
    <mergeCell ref="AC1:AU4"/>
    <mergeCell ref="BB1:BE1"/>
    <mergeCell ref="A2:AB2"/>
    <mergeCell ref="BB2:BC2"/>
    <mergeCell ref="BD2:BE2"/>
    <mergeCell ref="A3:D3"/>
    <mergeCell ref="E3:U3"/>
    <mergeCell ref="V3:AB3"/>
    <mergeCell ref="BB3:BC3"/>
    <mergeCell ref="AA6:BA6"/>
    <mergeCell ref="BD3:BE3"/>
    <mergeCell ref="A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B13:D13"/>
    <mergeCell ref="F13:H13"/>
    <mergeCell ref="I13:K13"/>
    <mergeCell ref="S13:U13"/>
    <mergeCell ref="B14:D14"/>
    <mergeCell ref="F14:H14"/>
    <mergeCell ref="I14:K14"/>
    <mergeCell ref="S14:U14"/>
    <mergeCell ref="S16:U16"/>
    <mergeCell ref="B17:D17"/>
    <mergeCell ref="F17:H17"/>
    <mergeCell ref="I17:K17"/>
    <mergeCell ref="S17:U17"/>
    <mergeCell ref="B15:D15"/>
    <mergeCell ref="F15:H15"/>
    <mergeCell ref="I15:K15"/>
    <mergeCell ref="B16:D16"/>
    <mergeCell ref="F16:H16"/>
    <mergeCell ref="I16:K16"/>
    <mergeCell ref="B22:U22"/>
    <mergeCell ref="B23:H23"/>
    <mergeCell ref="I23:U23"/>
    <mergeCell ref="V23:AP23"/>
    <mergeCell ref="B18:D18"/>
    <mergeCell ref="F18:H18"/>
    <mergeCell ref="I18:K18"/>
    <mergeCell ref="S18:U18"/>
    <mergeCell ref="B19:D19"/>
    <mergeCell ref="F19:H19"/>
    <mergeCell ref="I19:K19"/>
    <mergeCell ref="S19:U19"/>
    <mergeCell ref="B20:D20"/>
    <mergeCell ref="F20:H20"/>
    <mergeCell ref="I20:K20"/>
    <mergeCell ref="S20:U20"/>
    <mergeCell ref="AR23:AW23"/>
    <mergeCell ref="B24:H24"/>
    <mergeCell ref="I24:U24"/>
    <mergeCell ref="V24:AP24"/>
    <mergeCell ref="AR24:AW24"/>
  </mergeCells>
  <dataValidations count="8">
    <dataValidation type="list" allowBlank="1" showInputMessage="1" showErrorMessage="1" sqref="L6">
      <formula1>Proceso</formula1>
    </dataValidation>
    <dataValidation type="list" sqref="BD4:BE4">
      <formula1>Monitoreo</formula1>
    </dataValidation>
    <dataValidation type="list" showInputMessage="1" showErrorMessage="1" sqref="L10:L20">
      <formula1>Probabilidad</formula1>
    </dataValidation>
    <dataValidation type="list" allowBlank="1" showInputMessage="1" showErrorMessage="1" sqref="M10:N20">
      <formula1>Impacto</formula1>
    </dataValidation>
    <dataValidation showInputMessage="1" showErrorMessage="1" sqref="AG10:AT20"/>
    <dataValidation type="list" showInputMessage="1" showErrorMessage="1" sqref="V10:AF20">
      <formula1>Efectividad</formula1>
    </dataValidation>
    <dataValidation type="list" allowBlank="1" showInputMessage="1" sqref="AV10:AV20">
      <formula1>Periodo</formula1>
    </dataValidation>
    <dataValidation type="list" allowBlank="1" showInputMessage="1" showErrorMessage="1" sqref="BE10:BE20">
      <formula1>Efectividad</formula1>
    </dataValidation>
  </dataValidations>
  <printOptions horizontalCentered="1" verticalCentered="1"/>
  <pageMargins left="0.23622047244094491" right="0.23622047244094491" top="0.35433070866141736" bottom="0.39370078740157483" header="0.31496062992125984" footer="0.31496062992125984"/>
  <pageSetup paperSize="5" scale="46" fitToHeight="0" orientation="landscape" r:id="rId1"/>
  <headerFooter>
    <oddFooter>&amp;L&amp;"Segoe UI,Normal"&amp;9Formato: FO-AC-07 Versión: 3&amp;C&amp;"Segoe UI,Normal"&amp;9Página &amp;P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118"/>
  <sheetViews>
    <sheetView showGridLines="0" view="pageBreakPreview" zoomScaleNormal="70" zoomScaleSheetLayoutView="100" workbookViewId="0">
      <selection sqref="A1:AB1"/>
    </sheetView>
  </sheetViews>
  <sheetFormatPr baseColWidth="10" defaultRowHeight="15"/>
  <cols>
    <col min="1" max="1" width="1.140625" style="16" customWidth="1"/>
    <col min="2" max="4" width="5.42578125" style="16" customWidth="1"/>
    <col min="5" max="5" width="7.28515625" style="17" customWidth="1"/>
    <col min="6" max="7" width="4.5703125" style="16" customWidth="1"/>
    <col min="8" max="8" width="12" style="16" customWidth="1"/>
    <col min="9" max="10" width="4.5703125" style="16" customWidth="1"/>
    <col min="11" max="11" width="11.14062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1" width="18.42578125" style="18" customWidth="1"/>
    <col min="22" max="24" width="2.7109375" style="17" customWidth="1"/>
    <col min="25" max="25" width="2.85546875" style="17" customWidth="1"/>
    <col min="26" max="26" width="2.7109375" style="17" customWidth="1"/>
    <col min="27" max="27" width="5.28515625" style="17" customWidth="1"/>
    <col min="28"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12.85546875" style="18" customWidth="1"/>
    <col min="50" max="50" width="42" style="21" customWidth="1"/>
    <col min="51" max="51" width="5.140625" style="21" customWidth="1"/>
    <col min="52" max="52" width="23.140625" style="210" customWidth="1"/>
    <col min="53" max="53" width="33.5703125" style="210" customWidth="1"/>
    <col min="54" max="54" width="16.42578125" style="210" customWidth="1"/>
    <col min="55" max="55" width="19.5703125" style="210" customWidth="1"/>
    <col min="56" max="56" width="42.7109375" style="210" customWidth="1"/>
    <col min="57" max="57" width="9" style="210" customWidth="1"/>
    <col min="58" max="58" width="31.5703125" style="210" customWidth="1"/>
    <col min="59" max="59" width="16.140625" style="210" customWidth="1"/>
    <col min="60" max="61" width="9.28515625" style="210" customWidth="1"/>
    <col min="62" max="62" width="11.140625" style="210" customWidth="1"/>
    <col min="63" max="63" width="54.7109375" style="210" hidden="1" customWidth="1"/>
    <col min="64" max="64" width="44.28515625" style="210" hidden="1" customWidth="1"/>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5" customHeight="1">
      <c r="A2" s="2996" t="str">
        <f>UPPER([15]Control!A2)</f>
        <v>MATRIZ RIESGOS DE CORRUPCIÓN</v>
      </c>
      <c r="B2" s="2997"/>
      <c r="C2" s="2997"/>
      <c r="D2" s="2997"/>
      <c r="E2" s="2997"/>
      <c r="F2" s="2997"/>
      <c r="G2" s="2997"/>
      <c r="H2" s="2997"/>
      <c r="I2" s="2997"/>
      <c r="J2" s="2997"/>
      <c r="K2" s="2997"/>
      <c r="L2" s="2997"/>
      <c r="M2" s="2997"/>
      <c r="N2" s="2997"/>
      <c r="O2" s="2997"/>
      <c r="P2" s="2997"/>
      <c r="Q2" s="2997"/>
      <c r="R2" s="2997"/>
      <c r="S2" s="2997"/>
      <c r="T2" s="2997"/>
      <c r="U2" s="2997"/>
      <c r="V2" s="2997"/>
      <c r="W2" s="2997"/>
      <c r="X2" s="2997"/>
      <c r="Y2" s="2997"/>
      <c r="Z2" s="2997"/>
      <c r="AA2" s="2997"/>
      <c r="AB2" s="2998"/>
      <c r="AC2" s="2851"/>
      <c r="AD2" s="2851"/>
      <c r="AE2" s="2851"/>
      <c r="AF2" s="2851"/>
      <c r="AG2" s="2851"/>
      <c r="AH2" s="2851"/>
      <c r="AI2" s="2851"/>
      <c r="AJ2" s="2851"/>
      <c r="AK2" s="2851"/>
      <c r="AL2" s="2851"/>
      <c r="AM2" s="2851"/>
      <c r="AN2" s="2851"/>
      <c r="AO2" s="2851"/>
      <c r="AP2" s="2851"/>
      <c r="AQ2" s="2851"/>
      <c r="AR2" s="2851"/>
      <c r="AS2" s="2851"/>
      <c r="AT2" s="2851"/>
      <c r="AU2" s="2852"/>
      <c r="AV2" s="208"/>
      <c r="AW2" s="208"/>
      <c r="AX2" s="208"/>
      <c r="AY2" s="208"/>
      <c r="AZ2" s="322">
        <v>2019</v>
      </c>
      <c r="BA2" s="208"/>
      <c r="BB2" s="2830" t="s">
        <v>138</v>
      </c>
      <c r="BC2" s="2831"/>
      <c r="BD2" s="2861" t="str">
        <f>L6</f>
        <v>EVALUACIÓN Y CONTROL</v>
      </c>
      <c r="BE2" s="2862"/>
      <c r="BF2" s="586"/>
      <c r="BG2" s="208"/>
    </row>
    <row r="3" spans="1:64" ht="12.7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208"/>
      <c r="AX3" s="208"/>
      <c r="AY3" s="208"/>
      <c r="AZ3" s="289" t="s">
        <v>2321</v>
      </c>
      <c r="BA3" s="208"/>
      <c r="BB3" s="2830" t="s">
        <v>2322</v>
      </c>
      <c r="BC3" s="2831"/>
      <c r="BD3" s="2830" t="s">
        <v>2323</v>
      </c>
      <c r="BE3" s="2831"/>
      <c r="BF3" s="208"/>
      <c r="BG3" s="208"/>
    </row>
    <row r="4" spans="1:64" ht="20.25" customHeight="1" thickBot="1">
      <c r="A4" s="2832" t="str">
        <f>[15]Control!A4</f>
        <v>FO-PE-05</v>
      </c>
      <c r="B4" s="2833"/>
      <c r="C4" s="2833"/>
      <c r="D4" s="2834"/>
      <c r="E4" s="2835" t="str">
        <f>[15]Control!C4</f>
        <v>Planeación Estratégica</v>
      </c>
      <c r="F4" s="2833"/>
      <c r="G4" s="2833"/>
      <c r="H4" s="2833"/>
      <c r="I4" s="2833"/>
      <c r="J4" s="2833"/>
      <c r="K4" s="2833"/>
      <c r="L4" s="2833"/>
      <c r="M4" s="2833"/>
      <c r="N4" s="2833"/>
      <c r="O4" s="2833"/>
      <c r="P4" s="2833"/>
      <c r="Q4" s="2833"/>
      <c r="R4" s="2833"/>
      <c r="S4" s="2833"/>
      <c r="T4" s="2833"/>
      <c r="U4" s="2834"/>
      <c r="V4" s="2835">
        <f>[15]Control!H4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208"/>
      <c r="AX4" s="208"/>
      <c r="AY4" s="208"/>
      <c r="AZ4" s="232">
        <v>43434</v>
      </c>
      <c r="BA4" s="208"/>
      <c r="BB4" s="2914">
        <v>43710</v>
      </c>
      <c r="BC4" s="2282"/>
      <c r="BD4" s="2282" t="s">
        <v>3818</v>
      </c>
      <c r="BE4" s="2282"/>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38.25" customHeight="1">
      <c r="A6" s="2"/>
      <c r="B6" s="2839" t="s">
        <v>57</v>
      </c>
      <c r="C6" s="2840"/>
      <c r="D6" s="2805" t="s">
        <v>58</v>
      </c>
      <c r="E6" s="2806"/>
      <c r="F6" s="2806"/>
      <c r="G6" s="2806"/>
      <c r="H6" s="2807"/>
      <c r="I6" s="2839" t="s">
        <v>138</v>
      </c>
      <c r="J6" s="2841"/>
      <c r="K6" s="2840"/>
      <c r="L6" s="2842" t="s">
        <v>76</v>
      </c>
      <c r="M6" s="2843"/>
      <c r="N6" s="2843"/>
      <c r="O6" s="2843"/>
      <c r="P6" s="2843"/>
      <c r="Q6" s="2843"/>
      <c r="R6" s="2843"/>
      <c r="S6" s="2843"/>
      <c r="T6" s="2843"/>
      <c r="U6" s="2844"/>
      <c r="V6" s="2845" t="s">
        <v>59</v>
      </c>
      <c r="W6" s="2845"/>
      <c r="X6" s="2845"/>
      <c r="Y6" s="2845"/>
      <c r="Z6" s="2845"/>
      <c r="AA6" s="2805" t="s">
        <v>381</v>
      </c>
      <c r="AB6" s="2806"/>
      <c r="AC6" s="2806"/>
      <c r="AD6" s="2806"/>
      <c r="AE6" s="2806"/>
      <c r="AF6" s="2806"/>
      <c r="AG6" s="2806"/>
      <c r="AH6" s="2806"/>
      <c r="AI6" s="2806"/>
      <c r="AJ6" s="2806"/>
      <c r="AK6" s="2806"/>
      <c r="AL6" s="2806"/>
      <c r="AM6" s="2806"/>
      <c r="AN6" s="2806"/>
      <c r="AO6" s="2806"/>
      <c r="AP6" s="2806"/>
      <c r="AQ6" s="2806"/>
      <c r="AR6" s="2806"/>
      <c r="AS6" s="2806"/>
      <c r="AT6" s="2806"/>
      <c r="AU6" s="2806"/>
      <c r="AV6" s="2806"/>
      <c r="AW6" s="2806"/>
      <c r="AX6" s="2806"/>
      <c r="AY6" s="2806"/>
      <c r="AZ6" s="2806"/>
      <c r="BA6" s="2807"/>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22.5" customHeight="1">
      <c r="A8" s="5"/>
      <c r="B8" s="3038" t="s">
        <v>143</v>
      </c>
      <c r="C8" s="3039"/>
      <c r="D8" s="3039"/>
      <c r="E8" s="3039"/>
      <c r="F8" s="3039"/>
      <c r="G8" s="3039"/>
      <c r="H8" s="3039"/>
      <c r="I8" s="3039"/>
      <c r="J8" s="3039"/>
      <c r="K8" s="3040"/>
      <c r="L8" s="3041" t="s">
        <v>236</v>
      </c>
      <c r="M8" s="3042"/>
      <c r="N8" s="3042"/>
      <c r="O8" s="3042"/>
      <c r="P8" s="3042"/>
      <c r="Q8" s="3042"/>
      <c r="R8" s="3043"/>
      <c r="S8" s="3044" t="s">
        <v>3615</v>
      </c>
      <c r="T8" s="3045"/>
      <c r="U8" s="3045"/>
      <c r="V8" s="3045"/>
      <c r="W8" s="3045"/>
      <c r="X8" s="3045"/>
      <c r="Y8" s="3045"/>
      <c r="Z8" s="3045"/>
      <c r="AA8" s="3045"/>
      <c r="AB8" s="3045"/>
      <c r="AC8" s="3045"/>
      <c r="AD8" s="3045"/>
      <c r="AE8" s="3045"/>
      <c r="AF8" s="3045"/>
      <c r="AG8" s="3045"/>
      <c r="AH8" s="3045"/>
      <c r="AI8" s="3045"/>
      <c r="AJ8" s="3045"/>
      <c r="AK8" s="3045"/>
      <c r="AL8" s="3045"/>
      <c r="AM8" s="3045"/>
      <c r="AN8" s="3045"/>
      <c r="AO8" s="3045"/>
      <c r="AP8" s="3045"/>
      <c r="AQ8" s="3045"/>
      <c r="AR8" s="3045"/>
      <c r="AS8" s="3045"/>
      <c r="AT8" s="3045"/>
      <c r="AU8" s="3045"/>
      <c r="AV8" s="3045"/>
      <c r="AW8" s="3046" t="s">
        <v>268</v>
      </c>
      <c r="AX8" s="3047"/>
      <c r="AY8" s="3047"/>
      <c r="AZ8" s="3047"/>
      <c r="BA8" s="218"/>
      <c r="BB8" s="219" t="s">
        <v>2325</v>
      </c>
      <c r="BC8" s="220"/>
      <c r="BD8" s="220"/>
      <c r="BE8" s="221"/>
      <c r="BF8" s="2826" t="s">
        <v>2326</v>
      </c>
      <c r="BG8" s="2826"/>
      <c r="BH8" s="2826"/>
      <c r="BI8" s="2826"/>
      <c r="BJ8" s="2826"/>
      <c r="BK8" s="580"/>
      <c r="BL8" s="213"/>
    </row>
    <row r="9" spans="1:64" s="67" customFormat="1" ht="70.5" customHeight="1">
      <c r="A9" s="5"/>
      <c r="B9" s="3035" t="s">
        <v>61</v>
      </c>
      <c r="C9" s="3036"/>
      <c r="D9" s="3037"/>
      <c r="E9" s="972" t="s">
        <v>139</v>
      </c>
      <c r="F9" s="3035" t="s">
        <v>237</v>
      </c>
      <c r="G9" s="3036"/>
      <c r="H9" s="3037"/>
      <c r="I9" s="3035" t="s">
        <v>145</v>
      </c>
      <c r="J9" s="3036"/>
      <c r="K9" s="3037"/>
      <c r="L9" s="973" t="s">
        <v>238</v>
      </c>
      <c r="M9" s="973" t="s">
        <v>241</v>
      </c>
      <c r="N9" s="974"/>
      <c r="O9" s="975" t="s">
        <v>239</v>
      </c>
      <c r="P9" s="975" t="s">
        <v>240</v>
      </c>
      <c r="Q9" s="975" t="s">
        <v>242</v>
      </c>
      <c r="R9" s="973" t="s">
        <v>243</v>
      </c>
      <c r="S9" s="3035" t="s">
        <v>244</v>
      </c>
      <c r="T9" s="3036"/>
      <c r="U9" s="3037"/>
      <c r="V9" s="973" t="s">
        <v>245</v>
      </c>
      <c r="W9" s="973" t="s">
        <v>246</v>
      </c>
      <c r="X9" s="973" t="s">
        <v>247</v>
      </c>
      <c r="Y9" s="976" t="s">
        <v>248</v>
      </c>
      <c r="Z9" s="976" t="s">
        <v>250</v>
      </c>
      <c r="AA9" s="976" t="s">
        <v>252</v>
      </c>
      <c r="AB9" s="976" t="s">
        <v>254</v>
      </c>
      <c r="AC9" s="976" t="s">
        <v>256</v>
      </c>
      <c r="AD9" s="976" t="s">
        <v>258</v>
      </c>
      <c r="AE9" s="976" t="s">
        <v>63</v>
      </c>
      <c r="AF9" s="977"/>
      <c r="AG9" s="528" t="s">
        <v>249</v>
      </c>
      <c r="AH9" s="528" t="s">
        <v>251</v>
      </c>
      <c r="AI9" s="528" t="s">
        <v>253</v>
      </c>
      <c r="AJ9" s="528" t="s">
        <v>255</v>
      </c>
      <c r="AK9" s="528" t="s">
        <v>257</v>
      </c>
      <c r="AL9" s="528" t="s">
        <v>259</v>
      </c>
      <c r="AM9" s="528" t="s">
        <v>260</v>
      </c>
      <c r="AN9" s="528" t="s">
        <v>261</v>
      </c>
      <c r="AO9" s="528" t="s">
        <v>262</v>
      </c>
      <c r="AP9" s="973" t="s">
        <v>263</v>
      </c>
      <c r="AQ9" s="975" t="s">
        <v>264</v>
      </c>
      <c r="AR9" s="973" t="s">
        <v>238</v>
      </c>
      <c r="AS9" s="975" t="s">
        <v>265</v>
      </c>
      <c r="AT9" s="973" t="s">
        <v>241</v>
      </c>
      <c r="AU9" s="973" t="s">
        <v>266</v>
      </c>
      <c r="AV9" s="973" t="s">
        <v>267</v>
      </c>
      <c r="AW9" s="978" t="s">
        <v>268</v>
      </c>
      <c r="AX9" s="972" t="s">
        <v>269</v>
      </c>
      <c r="AY9" s="979"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980" t="s">
        <v>3951</v>
      </c>
      <c r="BL9" s="981" t="s">
        <v>3596</v>
      </c>
    </row>
    <row r="10" spans="1:64" s="3" customFormat="1" ht="276" customHeight="1">
      <c r="A10" s="332"/>
      <c r="B10" s="3029" t="s">
        <v>592</v>
      </c>
      <c r="C10" s="3030"/>
      <c r="D10" s="3031"/>
      <c r="E10" s="847" t="s">
        <v>407</v>
      </c>
      <c r="F10" s="3032" t="s">
        <v>593</v>
      </c>
      <c r="G10" s="3033"/>
      <c r="H10" s="3034"/>
      <c r="I10" s="2797" t="s">
        <v>3952</v>
      </c>
      <c r="J10" s="2798"/>
      <c r="K10" s="2799"/>
      <c r="L10" s="313" t="s">
        <v>283</v>
      </c>
      <c r="M10" s="313" t="s">
        <v>270</v>
      </c>
      <c r="N10" s="313"/>
      <c r="O10" s="31">
        <f>VLOOKUP(L10,[15]Listas!$M$69:$N$73,2,0)</f>
        <v>1</v>
      </c>
      <c r="P10" s="31"/>
      <c r="Q10" s="31">
        <f>HLOOKUP(M10,[15]Listas!$O$67:$Q$68,2,0)</f>
        <v>10</v>
      </c>
      <c r="R10" s="314" t="str">
        <f>INDEX([15]Listas!$O$69:$Q$73,MATCH(L10,[15]Listas!$M$69:$M$73,0),MATCH(M10,[15]Listas!$O$67:$Q$67,0))</f>
        <v>10
BAJA</v>
      </c>
      <c r="S10" s="3029" t="s">
        <v>3616</v>
      </c>
      <c r="T10" s="3030"/>
      <c r="U10" s="3031"/>
      <c r="V10" s="847" t="s">
        <v>65</v>
      </c>
      <c r="W10" s="847" t="s">
        <v>65</v>
      </c>
      <c r="X10" s="847" t="s">
        <v>65</v>
      </c>
      <c r="Y10" s="847" t="s">
        <v>65</v>
      </c>
      <c r="Z10" s="847" t="s">
        <v>65</v>
      </c>
      <c r="AA10" s="847" t="s">
        <v>36</v>
      </c>
      <c r="AB10" s="847" t="s">
        <v>65</v>
      </c>
      <c r="AC10" s="847" t="s">
        <v>65</v>
      </c>
      <c r="AD10" s="847" t="s">
        <v>65</v>
      </c>
      <c r="AE10" s="847" t="s">
        <v>65</v>
      </c>
      <c r="AF10" s="847"/>
      <c r="AG10" s="31">
        <f t="shared" ref="AG10:AG19" si="0">IF(Y10="SI",15,0)</f>
        <v>15</v>
      </c>
      <c r="AH10" s="31">
        <f t="shared" ref="AH10:AH19" si="1">IF(Z10="SI",5,0)</f>
        <v>5</v>
      </c>
      <c r="AI10" s="31">
        <f t="shared" ref="AI10:AI19" si="2">IF(AA10="SI",15,0)</f>
        <v>0</v>
      </c>
      <c r="AJ10" s="31">
        <f t="shared" ref="AJ10:AJ19" si="3">IF(AB10="SI",10,0)</f>
        <v>10</v>
      </c>
      <c r="AK10" s="31">
        <f t="shared" ref="AK10:AK19" si="4">IF(AC10="SI",15,0)</f>
        <v>15</v>
      </c>
      <c r="AL10" s="31">
        <f t="shared" ref="AL10:AL19" si="5">IF(AD10="SI",10,0)</f>
        <v>10</v>
      </c>
      <c r="AM10" s="31">
        <f t="shared" ref="AM10:AM19" si="6">IF(AE10="SI",30,0)</f>
        <v>30</v>
      </c>
      <c r="AN10" s="31">
        <f t="shared" ref="AN10:AN19" si="7">SUM(AG10+AH10+AI10+AJ10+AK10+AL10+AM10)</f>
        <v>85</v>
      </c>
      <c r="AO10" s="31">
        <f t="shared" ref="AO10:AO19" si="8">IF(AN10&lt;=50,0,IF(AN10&gt;=76,2,1))</f>
        <v>2</v>
      </c>
      <c r="AP10" s="314" t="str">
        <f>CONCATENATE(AN10,"- disminuye ",AO10)</f>
        <v>85- disminuye 2</v>
      </c>
      <c r="AQ10" s="31">
        <f t="shared" ref="AQ10:AQ19" si="9">IF(V10="SI",O10-AO10,O10)</f>
        <v>-1</v>
      </c>
      <c r="AR10" s="314" t="str">
        <f>IF(AQ10&lt;=1,"Rara vez",VLOOKUP(AQ10,[15]Listas!$L$69:$M$73,2,0))</f>
        <v>Rara vez</v>
      </c>
      <c r="AS10" s="31">
        <f t="shared" ref="AS10:AS19" si="10">IF(W10="SI",Q10-AO10,Q10)</f>
        <v>8</v>
      </c>
      <c r="AT10" s="314" t="str">
        <f>IF(AS10&lt;=9,"Moderado",IF(AS10=20,"Catastrófico",IF(AS10=18,"Moderado","Mayor")))</f>
        <v>Moderado</v>
      </c>
      <c r="AU10" s="314" t="str">
        <f>INDEX([15]Listas!$O$69:$Q$73,MATCH(AR10,[15]Listas!$M$69:$M$73,0),MATCH(AT10,[15]Listas!$O$67:$Q$67,0))</f>
        <v>5
BAJA</v>
      </c>
      <c r="AV10" s="313" t="s">
        <v>271</v>
      </c>
      <c r="AW10" s="836" t="s">
        <v>3617</v>
      </c>
      <c r="AX10" s="315" t="s">
        <v>3618</v>
      </c>
      <c r="AY10" s="847" t="s">
        <v>2762</v>
      </c>
      <c r="AZ10" s="72" t="s">
        <v>2763</v>
      </c>
      <c r="BA10" s="72" t="s">
        <v>3619</v>
      </c>
      <c r="BB10" s="226" t="s">
        <v>3953</v>
      </c>
      <c r="BC10" s="12" t="s">
        <v>3954</v>
      </c>
      <c r="BD10" s="12" t="s">
        <v>3955</v>
      </c>
      <c r="BE10" s="839" t="s">
        <v>36</v>
      </c>
      <c r="BF10" s="839" t="s">
        <v>2573</v>
      </c>
      <c r="BG10" s="839" t="s">
        <v>2573</v>
      </c>
      <c r="BH10" s="505" t="s">
        <v>2573</v>
      </c>
      <c r="BI10" s="505" t="s">
        <v>2573</v>
      </c>
      <c r="BJ10" s="839" t="s">
        <v>2573</v>
      </c>
      <c r="BK10" s="982" t="s">
        <v>3956</v>
      </c>
      <c r="BL10" s="983" t="s">
        <v>3957</v>
      </c>
    </row>
    <row r="11" spans="1:64" s="3" customFormat="1" ht="284.25" customHeight="1">
      <c r="A11" s="332"/>
      <c r="B11" s="3029" t="s">
        <v>2764</v>
      </c>
      <c r="C11" s="3030"/>
      <c r="D11" s="3031"/>
      <c r="E11" s="847" t="s">
        <v>408</v>
      </c>
      <c r="F11" s="3032" t="s">
        <v>3620</v>
      </c>
      <c r="G11" s="3033"/>
      <c r="H11" s="3034"/>
      <c r="I11" s="2797" t="s">
        <v>382</v>
      </c>
      <c r="J11" s="2798"/>
      <c r="K11" s="2799"/>
      <c r="L11" s="313" t="s">
        <v>309</v>
      </c>
      <c r="M11" s="313" t="s">
        <v>287</v>
      </c>
      <c r="N11" s="313"/>
      <c r="O11" s="31">
        <f>VLOOKUP(L11,[15]Listas!$M$69:$N$73,2,0)</f>
        <v>4</v>
      </c>
      <c r="P11" s="31"/>
      <c r="Q11" s="31">
        <f>HLOOKUP(M11,[15]Listas!$O$67:$Q$68,2,0)</f>
        <v>20</v>
      </c>
      <c r="R11" s="314" t="str">
        <f>INDEX([15]Listas!$O$69:$Q$73,MATCH(L11,[15]Listas!$M$69:$M$73,0),MATCH(M11,[15]Listas!$O$67:$Q$67,0))</f>
        <v>80
EXTREMO</v>
      </c>
      <c r="S11" s="3029" t="s">
        <v>3621</v>
      </c>
      <c r="T11" s="3030"/>
      <c r="U11" s="3031"/>
      <c r="V11" s="847" t="s">
        <v>65</v>
      </c>
      <c r="W11" s="847" t="s">
        <v>65</v>
      </c>
      <c r="X11" s="847" t="s">
        <v>65</v>
      </c>
      <c r="Y11" s="847" t="s">
        <v>65</v>
      </c>
      <c r="Z11" s="847" t="s">
        <v>65</v>
      </c>
      <c r="AA11" s="847" t="s">
        <v>36</v>
      </c>
      <c r="AB11" s="847" t="s">
        <v>65</v>
      </c>
      <c r="AC11" s="847" t="s">
        <v>65</v>
      </c>
      <c r="AD11" s="847" t="s">
        <v>65</v>
      </c>
      <c r="AE11" s="847" t="s">
        <v>65</v>
      </c>
      <c r="AF11" s="847"/>
      <c r="AG11" s="31">
        <f t="shared" si="0"/>
        <v>15</v>
      </c>
      <c r="AH11" s="31">
        <f t="shared" si="1"/>
        <v>5</v>
      </c>
      <c r="AI11" s="31">
        <f t="shared" si="2"/>
        <v>0</v>
      </c>
      <c r="AJ11" s="31">
        <f t="shared" si="3"/>
        <v>10</v>
      </c>
      <c r="AK11" s="31">
        <f t="shared" si="4"/>
        <v>15</v>
      </c>
      <c r="AL11" s="31">
        <f t="shared" si="5"/>
        <v>10</v>
      </c>
      <c r="AM11" s="31">
        <f t="shared" si="6"/>
        <v>30</v>
      </c>
      <c r="AN11" s="31">
        <f t="shared" si="7"/>
        <v>85</v>
      </c>
      <c r="AO11" s="31">
        <f t="shared" si="8"/>
        <v>2</v>
      </c>
      <c r="AP11" s="314" t="str">
        <f t="shared" ref="AP11:AP19" si="11">CONCATENATE(AN11,"- disminuye ",AO11)</f>
        <v>85- disminuye 2</v>
      </c>
      <c r="AQ11" s="31">
        <f t="shared" si="9"/>
        <v>2</v>
      </c>
      <c r="AR11" s="314" t="str">
        <f>IF(AQ11&lt;=1,"Rara vez",VLOOKUP(AQ11,[15]Listas!$L$69:$M$73,2,0))</f>
        <v>Improbable</v>
      </c>
      <c r="AS11" s="31">
        <f t="shared" si="10"/>
        <v>18</v>
      </c>
      <c r="AT11" s="314" t="str">
        <f t="shared" ref="AT11:AT19" si="12">IF(AS11&lt;=9,"Moderado",IF(AS11=20,"Catastrófico",IF(AS11=18,"Moderado","Mayor")))</f>
        <v>Moderado</v>
      </c>
      <c r="AU11" s="314" t="str">
        <f>INDEX([15]Listas!$O$69:$Q$73,MATCH(AR11,[15]Listas!$M$69:$M$73,0),MATCH(AT11,[15]Listas!$O$67:$Q$67,0))</f>
        <v>10
BAJA</v>
      </c>
      <c r="AV11" s="313" t="s">
        <v>271</v>
      </c>
      <c r="AW11" s="836" t="s">
        <v>3617</v>
      </c>
      <c r="AX11" s="315" t="s">
        <v>3622</v>
      </c>
      <c r="AY11" s="847" t="s">
        <v>2762</v>
      </c>
      <c r="AZ11" s="72" t="s">
        <v>2765</v>
      </c>
      <c r="BA11" s="72" t="s">
        <v>3623</v>
      </c>
      <c r="BB11" s="839" t="s">
        <v>3958</v>
      </c>
      <c r="BC11" s="12" t="s">
        <v>3959</v>
      </c>
      <c r="BD11" s="12" t="s">
        <v>3955</v>
      </c>
      <c r="BE11" s="839" t="s">
        <v>36</v>
      </c>
      <c r="BF11" s="839" t="s">
        <v>2573</v>
      </c>
      <c r="BG11" s="839" t="s">
        <v>2573</v>
      </c>
      <c r="BH11" s="505" t="s">
        <v>2573</v>
      </c>
      <c r="BI11" s="505" t="s">
        <v>2573</v>
      </c>
      <c r="BJ11" s="839" t="s">
        <v>2573</v>
      </c>
      <c r="BK11" s="982" t="s">
        <v>3960</v>
      </c>
      <c r="BL11" s="983" t="s">
        <v>3961</v>
      </c>
    </row>
    <row r="12" spans="1:64" s="3" customFormat="1" ht="288.75" customHeight="1">
      <c r="A12" s="332"/>
      <c r="B12" s="3029" t="s">
        <v>594</v>
      </c>
      <c r="C12" s="3030"/>
      <c r="D12" s="3031"/>
      <c r="E12" s="847" t="s">
        <v>409</v>
      </c>
      <c r="F12" s="3032" t="s">
        <v>595</v>
      </c>
      <c r="G12" s="3033"/>
      <c r="H12" s="3034"/>
      <c r="I12" s="2797" t="s">
        <v>3962</v>
      </c>
      <c r="J12" s="2798"/>
      <c r="K12" s="2799"/>
      <c r="L12" s="313" t="s">
        <v>286</v>
      </c>
      <c r="M12" s="313" t="s">
        <v>274</v>
      </c>
      <c r="N12" s="313"/>
      <c r="O12" s="31">
        <f>VLOOKUP(L12,[15]Listas!$M$69:$N$73,2,0)</f>
        <v>2</v>
      </c>
      <c r="P12" s="31"/>
      <c r="Q12" s="31">
        <f>HLOOKUP(M12,[15]Listas!$O$67:$Q$68,2,0)</f>
        <v>5</v>
      </c>
      <c r="R12" s="314" t="str">
        <f>INDEX([15]Listas!$O$69:$Q$73,MATCH(L12,[15]Listas!$M$69:$M$73,0),MATCH(M12,[15]Listas!$O$67:$Q$67,0))</f>
        <v>10
BAJA</v>
      </c>
      <c r="S12" s="3029" t="s">
        <v>3624</v>
      </c>
      <c r="T12" s="3030"/>
      <c r="U12" s="3031"/>
      <c r="V12" s="847" t="s">
        <v>65</v>
      </c>
      <c r="W12" s="847" t="s">
        <v>65</v>
      </c>
      <c r="X12" s="847" t="s">
        <v>65</v>
      </c>
      <c r="Y12" s="847" t="s">
        <v>65</v>
      </c>
      <c r="Z12" s="847" t="s">
        <v>65</v>
      </c>
      <c r="AA12" s="847" t="s">
        <v>36</v>
      </c>
      <c r="AB12" s="847" t="s">
        <v>65</v>
      </c>
      <c r="AC12" s="847" t="s">
        <v>65</v>
      </c>
      <c r="AD12" s="847" t="s">
        <v>65</v>
      </c>
      <c r="AE12" s="847" t="s">
        <v>65</v>
      </c>
      <c r="AF12" s="847"/>
      <c r="AG12" s="31">
        <f>IF(Y12="SI",15,0)</f>
        <v>15</v>
      </c>
      <c r="AH12" s="31">
        <f>IF(Z12="SI",5,0)</f>
        <v>5</v>
      </c>
      <c r="AI12" s="31">
        <f>IF(AA12="SI",15,0)</f>
        <v>0</v>
      </c>
      <c r="AJ12" s="31">
        <f>IF(AB12="SI",10,0)</f>
        <v>10</v>
      </c>
      <c r="AK12" s="31">
        <f>IF(AC12="SI",15,0)</f>
        <v>15</v>
      </c>
      <c r="AL12" s="31">
        <f>IF(AD12="SI",10,0)</f>
        <v>10</v>
      </c>
      <c r="AM12" s="31">
        <f>IF(AE12="SI",30,0)</f>
        <v>30</v>
      </c>
      <c r="AN12" s="31">
        <f>SUM(AG12+AH12+AI12+AJ12+AK12+AL12+AM12)</f>
        <v>85</v>
      </c>
      <c r="AO12" s="31">
        <f>IF(AN12&lt;=50,0,IF(AN12&gt;=76,2,1))</f>
        <v>2</v>
      </c>
      <c r="AP12" s="314" t="str">
        <f>CONCATENATE(AN12,"- disminuye ",AO12)</f>
        <v>85- disminuye 2</v>
      </c>
      <c r="AQ12" s="31">
        <f>IF(V12="SI",O12-AO12,O12)</f>
        <v>0</v>
      </c>
      <c r="AR12" s="314" t="str">
        <f>IF(AQ12&lt;=1,"Rara vez",VLOOKUP(AQ12,[15]Listas!$L$69:$M$73,2,0))</f>
        <v>Rara vez</v>
      </c>
      <c r="AS12" s="31">
        <f>IF(W12="SI",Q12-AO12,Q12)</f>
        <v>3</v>
      </c>
      <c r="AT12" s="314" t="str">
        <f>IF(AS12&lt;=9,"Moderado",IF(AS12=20,"Catastrófico",IF(AS12=18,"Moderado","Mayor")))</f>
        <v>Moderado</v>
      </c>
      <c r="AU12" s="314" t="str">
        <f>INDEX([15]Listas!$O$69:$Q$73,MATCH(AR12,[15]Listas!$M$69:$M$73,0),MATCH(AT12,[15]Listas!$O$67:$Q$67,0))</f>
        <v>5
BAJA</v>
      </c>
      <c r="AV12" s="313" t="s">
        <v>271</v>
      </c>
      <c r="AW12" s="836" t="s">
        <v>3617</v>
      </c>
      <c r="AX12" s="315" t="s">
        <v>3625</v>
      </c>
      <c r="AY12" s="847" t="s">
        <v>2762</v>
      </c>
      <c r="AZ12" s="72" t="s">
        <v>2766</v>
      </c>
      <c r="BA12" s="72" t="s">
        <v>3626</v>
      </c>
      <c r="BB12" s="581" t="s">
        <v>3963</v>
      </c>
      <c r="BC12" s="12" t="s">
        <v>3627</v>
      </c>
      <c r="BD12" s="69" t="s">
        <v>3955</v>
      </c>
      <c r="BE12" s="839" t="s">
        <v>36</v>
      </c>
      <c r="BF12" s="839" t="s">
        <v>2573</v>
      </c>
      <c r="BG12" s="839" t="s">
        <v>2573</v>
      </c>
      <c r="BH12" s="505" t="s">
        <v>2573</v>
      </c>
      <c r="BI12" s="505" t="s">
        <v>2573</v>
      </c>
      <c r="BJ12" s="839" t="s">
        <v>2573</v>
      </c>
      <c r="BK12" s="982" t="s">
        <v>3960</v>
      </c>
      <c r="BL12" s="983" t="s">
        <v>3957</v>
      </c>
    </row>
    <row r="13" spans="1:64" s="3" customFormat="1" ht="286.5" customHeight="1">
      <c r="A13" s="332"/>
      <c r="B13" s="3029" t="s">
        <v>410</v>
      </c>
      <c r="C13" s="3030"/>
      <c r="D13" s="3031"/>
      <c r="E13" s="847" t="s">
        <v>411</v>
      </c>
      <c r="F13" s="3032" t="s">
        <v>23</v>
      </c>
      <c r="G13" s="3033"/>
      <c r="H13" s="3034"/>
      <c r="I13" s="2797" t="s">
        <v>3964</v>
      </c>
      <c r="J13" s="2798"/>
      <c r="K13" s="2799"/>
      <c r="L13" s="313" t="s">
        <v>283</v>
      </c>
      <c r="M13" s="313" t="s">
        <v>274</v>
      </c>
      <c r="N13" s="313"/>
      <c r="O13" s="31">
        <f>VLOOKUP(L13,[15]Listas!$M$69:$N$73,2,0)</f>
        <v>1</v>
      </c>
      <c r="P13" s="31"/>
      <c r="Q13" s="31">
        <f>HLOOKUP(M13,[15]Listas!$O$67:$Q$68,2,0)</f>
        <v>5</v>
      </c>
      <c r="R13" s="314" t="str">
        <f>INDEX([15]Listas!$O$69:$Q$73,MATCH(L13,[15]Listas!$M$69:$M$73,0),MATCH(M13,[15]Listas!$O$67:$Q$67,0))</f>
        <v>5
BAJA</v>
      </c>
      <c r="S13" s="3029" t="s">
        <v>3628</v>
      </c>
      <c r="T13" s="3030"/>
      <c r="U13" s="3031"/>
      <c r="V13" s="847" t="s">
        <v>65</v>
      </c>
      <c r="W13" s="847" t="s">
        <v>65</v>
      </c>
      <c r="X13" s="847" t="s">
        <v>65</v>
      </c>
      <c r="Y13" s="847" t="s">
        <v>65</v>
      </c>
      <c r="Z13" s="847" t="s">
        <v>65</v>
      </c>
      <c r="AA13" s="847" t="s">
        <v>36</v>
      </c>
      <c r="AB13" s="847" t="s">
        <v>65</v>
      </c>
      <c r="AC13" s="847" t="s">
        <v>65</v>
      </c>
      <c r="AD13" s="847" t="s">
        <v>65</v>
      </c>
      <c r="AE13" s="847" t="s">
        <v>65</v>
      </c>
      <c r="AF13" s="847"/>
      <c r="AG13" s="31">
        <f>IF(Y13="SI",15,0)</f>
        <v>15</v>
      </c>
      <c r="AH13" s="31">
        <f>IF(Z13="SI",5,0)</f>
        <v>5</v>
      </c>
      <c r="AI13" s="31">
        <f>IF(AA13="SI",15,0)</f>
        <v>0</v>
      </c>
      <c r="AJ13" s="31">
        <f>IF(AB13="SI",10,0)</f>
        <v>10</v>
      </c>
      <c r="AK13" s="31">
        <f>IF(AC13="SI",15,0)</f>
        <v>15</v>
      </c>
      <c r="AL13" s="31">
        <f>IF(AD13="SI",10,0)</f>
        <v>10</v>
      </c>
      <c r="AM13" s="31">
        <f>IF(AE13="SI",30,0)</f>
        <v>30</v>
      </c>
      <c r="AN13" s="31">
        <f>SUM(AG13+AH13+AI13+AJ13+AK13+AL13+AM13)</f>
        <v>85</v>
      </c>
      <c r="AO13" s="31">
        <f>IF(AN13&lt;=50,0,IF(AN13&gt;=76,2,1))</f>
        <v>2</v>
      </c>
      <c r="AP13" s="314" t="str">
        <f>CONCATENATE(AN13,"- disminuye ",AO13)</f>
        <v>85- disminuye 2</v>
      </c>
      <c r="AQ13" s="31">
        <f>IF(V13="SI",O13-AO13,O13)</f>
        <v>-1</v>
      </c>
      <c r="AR13" s="314" t="str">
        <f>IF(AQ13&lt;=1,"Rara vez",VLOOKUP(AQ13,[15]Listas!$L$69:$M$73,2,0))</f>
        <v>Rara vez</v>
      </c>
      <c r="AS13" s="31">
        <f>IF(W13="SI",Q13-AO13,Q13)</f>
        <v>3</v>
      </c>
      <c r="AT13" s="314" t="str">
        <f>IF(AS13&lt;=9,"Moderado",IF(AS13=20,"Catastrófico",IF(AS13=18,"Moderado","Mayor")))</f>
        <v>Moderado</v>
      </c>
      <c r="AU13" s="314" t="str">
        <f>INDEX([15]Listas!$O$69:$Q$73,MATCH(AR13,[15]Listas!$M$69:$M$73,0),MATCH(AT13,[15]Listas!$O$67:$Q$67,0))</f>
        <v>5
BAJA</v>
      </c>
      <c r="AV13" s="313" t="s">
        <v>271</v>
      </c>
      <c r="AW13" s="836" t="s">
        <v>3617</v>
      </c>
      <c r="AX13" s="315" t="s">
        <v>3629</v>
      </c>
      <c r="AY13" s="847" t="s">
        <v>2762</v>
      </c>
      <c r="AZ13" s="72" t="s">
        <v>2767</v>
      </c>
      <c r="BA13" s="72" t="s">
        <v>2698</v>
      </c>
      <c r="BB13" s="839" t="s">
        <v>3965</v>
      </c>
      <c r="BC13" s="12" t="s">
        <v>3630</v>
      </c>
      <c r="BD13" s="69" t="s">
        <v>3955</v>
      </c>
      <c r="BE13" s="839" t="s">
        <v>36</v>
      </c>
      <c r="BF13" s="839" t="s">
        <v>2573</v>
      </c>
      <c r="BG13" s="839" t="s">
        <v>2573</v>
      </c>
      <c r="BH13" s="505" t="s">
        <v>2573</v>
      </c>
      <c r="BI13" s="505" t="s">
        <v>2573</v>
      </c>
      <c r="BJ13" s="839" t="s">
        <v>2573</v>
      </c>
      <c r="BK13" s="982" t="s">
        <v>3966</v>
      </c>
      <c r="BL13" s="983" t="s">
        <v>3957</v>
      </c>
    </row>
    <row r="14" spans="1:64" s="3" customFormat="1" ht="240.75" customHeight="1">
      <c r="A14" s="332"/>
      <c r="B14" s="3029" t="s">
        <v>2768</v>
      </c>
      <c r="C14" s="3030"/>
      <c r="D14" s="3031"/>
      <c r="E14" s="847" t="s">
        <v>414</v>
      </c>
      <c r="F14" s="3032" t="s">
        <v>890</v>
      </c>
      <c r="G14" s="3033"/>
      <c r="H14" s="3034"/>
      <c r="I14" s="2797" t="s">
        <v>596</v>
      </c>
      <c r="J14" s="2798"/>
      <c r="K14" s="2799"/>
      <c r="L14" s="313" t="s">
        <v>283</v>
      </c>
      <c r="M14" s="313" t="s">
        <v>270</v>
      </c>
      <c r="N14" s="313"/>
      <c r="O14" s="31">
        <f>VLOOKUP(L14,[102]Listas!$M$69:$N$73,2,0)</f>
        <v>1</v>
      </c>
      <c r="P14" s="31"/>
      <c r="Q14" s="31">
        <f>HLOOKUP(M14,[102]Listas!$O$67:$Q$68,2,0)</f>
        <v>10</v>
      </c>
      <c r="R14" s="314" t="str">
        <f>INDEX([102]Listas!$O$69:$Q$73,MATCH(L14,[102]Listas!$M$69:$M$73,0),MATCH(M14,[102]Listas!$O$67:$Q$67,0))</f>
        <v>10
BAJA</v>
      </c>
      <c r="S14" s="3029" t="s">
        <v>3631</v>
      </c>
      <c r="T14" s="3030"/>
      <c r="U14" s="3031"/>
      <c r="V14" s="847" t="s">
        <v>65</v>
      </c>
      <c r="W14" s="847" t="s">
        <v>36</v>
      </c>
      <c r="X14" s="847" t="s">
        <v>65</v>
      </c>
      <c r="Y14" s="847" t="s">
        <v>65</v>
      </c>
      <c r="Z14" s="847" t="s">
        <v>65</v>
      </c>
      <c r="AA14" s="847" t="s">
        <v>36</v>
      </c>
      <c r="AB14" s="847" t="s">
        <v>65</v>
      </c>
      <c r="AC14" s="847" t="s">
        <v>65</v>
      </c>
      <c r="AD14" s="847" t="s">
        <v>65</v>
      </c>
      <c r="AE14" s="847" t="s">
        <v>65</v>
      </c>
      <c r="AF14" s="847"/>
      <c r="AG14" s="31">
        <f t="shared" ref="AG14" si="13">IF(Y14="SI",15,0)</f>
        <v>15</v>
      </c>
      <c r="AH14" s="31">
        <f t="shared" ref="AH14" si="14">IF(Z14="SI",5,0)</f>
        <v>5</v>
      </c>
      <c r="AI14" s="31">
        <f t="shared" ref="AI14" si="15">IF(AA14="SI",15,0)</f>
        <v>0</v>
      </c>
      <c r="AJ14" s="31">
        <f t="shared" ref="AJ14" si="16">IF(AB14="SI",10,0)</f>
        <v>10</v>
      </c>
      <c r="AK14" s="31">
        <f t="shared" ref="AK14" si="17">IF(AC14="SI",15,0)</f>
        <v>15</v>
      </c>
      <c r="AL14" s="31">
        <f t="shared" ref="AL14" si="18">IF(AD14="SI",10,0)</f>
        <v>10</v>
      </c>
      <c r="AM14" s="31">
        <f t="shared" ref="AM14" si="19">IF(AE14="SI",30,0)</f>
        <v>30</v>
      </c>
      <c r="AN14" s="31">
        <f t="shared" ref="AN14" si="20">SUM(AG14+AH14+AI14+AJ14+AK14+AL14+AM14)</f>
        <v>85</v>
      </c>
      <c r="AO14" s="31">
        <f t="shared" ref="AO14" si="21">IF(AN14&lt;=50,0,IF(AN14&gt;=76,2,1))</f>
        <v>2</v>
      </c>
      <c r="AP14" s="314" t="str">
        <f t="shared" ref="AP14" si="22">CONCATENATE(AN14,"- disminuye ",AO14)</f>
        <v>85- disminuye 2</v>
      </c>
      <c r="AQ14" s="31">
        <f t="shared" ref="AQ14" si="23">IF(V14="SI",O14-AO14,O14)</f>
        <v>-1</v>
      </c>
      <c r="AR14" s="314" t="str">
        <f>IF(AQ14&lt;=1,"Rara vez",VLOOKUP(AQ14,[102]Listas!$L$69:$M$73,2,0))</f>
        <v>Rara vez</v>
      </c>
      <c r="AS14" s="31">
        <f t="shared" ref="AS14" si="24">IF(W14="SI",Q14-AO14,Q14)</f>
        <v>10</v>
      </c>
      <c r="AT14" s="314" t="str">
        <f t="shared" ref="AT14" si="25">IF(AS14&lt;=9,"Moderado",IF(AS14=20,"Catastrófico",IF(AS14=18,"Moderado","Mayor")))</f>
        <v>Mayor</v>
      </c>
      <c r="AU14" s="314" t="str">
        <f>INDEX([102]Listas!$O$69:$Q$73,MATCH(AR14,[102]Listas!$M$69:$M$73,0),MATCH(AT14,[102]Listas!$O$67:$Q$67,0))</f>
        <v>10
BAJA</v>
      </c>
      <c r="AV14" s="313" t="s">
        <v>271</v>
      </c>
      <c r="AW14" s="836" t="s">
        <v>284</v>
      </c>
      <c r="AX14" s="315" t="s">
        <v>3632</v>
      </c>
      <c r="AY14" s="847" t="s">
        <v>2769</v>
      </c>
      <c r="AZ14" s="72" t="s">
        <v>3633</v>
      </c>
      <c r="BA14" s="72" t="s">
        <v>3634</v>
      </c>
      <c r="BB14" s="491" t="s">
        <v>3635</v>
      </c>
      <c r="BC14" s="12" t="s">
        <v>3636</v>
      </c>
      <c r="BD14" s="12" t="s">
        <v>3967</v>
      </c>
      <c r="BE14" s="839" t="s">
        <v>36</v>
      </c>
      <c r="BF14" s="839" t="s">
        <v>2573</v>
      </c>
      <c r="BG14" s="839" t="s">
        <v>2573</v>
      </c>
      <c r="BH14" s="505" t="s">
        <v>2573</v>
      </c>
      <c r="BI14" s="505" t="s">
        <v>2573</v>
      </c>
      <c r="BJ14" s="839" t="s">
        <v>2573</v>
      </c>
      <c r="BK14" s="984" t="s">
        <v>3968</v>
      </c>
      <c r="BL14" s="983"/>
    </row>
    <row r="15" spans="1:64" s="3" customFormat="1" ht="157.5" customHeight="1">
      <c r="A15" s="332"/>
      <c r="B15" s="3029" t="s">
        <v>416</v>
      </c>
      <c r="C15" s="3030"/>
      <c r="D15" s="3031"/>
      <c r="E15" s="847" t="s">
        <v>417</v>
      </c>
      <c r="F15" s="3032" t="s">
        <v>889</v>
      </c>
      <c r="G15" s="3033"/>
      <c r="H15" s="3034"/>
      <c r="I15" s="2797" t="s">
        <v>888</v>
      </c>
      <c r="J15" s="2798"/>
      <c r="K15" s="2799"/>
      <c r="L15" s="313" t="s">
        <v>64</v>
      </c>
      <c r="M15" s="313" t="s">
        <v>270</v>
      </c>
      <c r="N15" s="313"/>
      <c r="O15" s="31">
        <f>VLOOKUP(L15,[102]Listas!$M$69:$N$73,2,0)</f>
        <v>3</v>
      </c>
      <c r="P15" s="31"/>
      <c r="Q15" s="31">
        <f>HLOOKUP(M15,[102]Listas!$O$67:$Q$68,2,0)</f>
        <v>10</v>
      </c>
      <c r="R15" s="314" t="str">
        <f>INDEX([102]Listas!$O$69:$Q$73,MATCH(L15,[102]Listas!$M$69:$M$73,0),MATCH(M15,[102]Listas!$O$67:$Q$67,0))</f>
        <v>30
ALTA</v>
      </c>
      <c r="S15" s="3029" t="s">
        <v>3969</v>
      </c>
      <c r="T15" s="3030"/>
      <c r="U15" s="3031"/>
      <c r="V15" s="847" t="s">
        <v>65</v>
      </c>
      <c r="W15" s="847" t="s">
        <v>36</v>
      </c>
      <c r="X15" s="847" t="s">
        <v>65</v>
      </c>
      <c r="Y15" s="847" t="s">
        <v>65</v>
      </c>
      <c r="Z15" s="847" t="s">
        <v>65</v>
      </c>
      <c r="AA15" s="847" t="s">
        <v>36</v>
      </c>
      <c r="AB15" s="847" t="s">
        <v>65</v>
      </c>
      <c r="AC15" s="847" t="s">
        <v>65</v>
      </c>
      <c r="AD15" s="847" t="s">
        <v>65</v>
      </c>
      <c r="AE15" s="847" t="s">
        <v>65</v>
      </c>
      <c r="AF15" s="847"/>
      <c r="AG15" s="31">
        <f>IF(Y15="SI",15,0)</f>
        <v>15</v>
      </c>
      <c r="AH15" s="31">
        <f>IF(Z15="SI",5,0)</f>
        <v>5</v>
      </c>
      <c r="AI15" s="31">
        <f>IF(AA15="SI",15,0)</f>
        <v>0</v>
      </c>
      <c r="AJ15" s="31">
        <f>IF(AB15="SI",10,0)</f>
        <v>10</v>
      </c>
      <c r="AK15" s="31">
        <f>IF(AC15="SI",15,0)</f>
        <v>15</v>
      </c>
      <c r="AL15" s="31">
        <f>IF(AD15="SI",10,0)</f>
        <v>10</v>
      </c>
      <c r="AM15" s="31">
        <f>IF(AE15="SI",30,0)</f>
        <v>30</v>
      </c>
      <c r="AN15" s="31">
        <f>SUM(AG15+AH15+AI15+AJ15+AK15+AL15+AM15)</f>
        <v>85</v>
      </c>
      <c r="AO15" s="31">
        <f>IF(AN15&lt;=50,0,IF(AN15&gt;=76,2,1))</f>
        <v>2</v>
      </c>
      <c r="AP15" s="314" t="str">
        <f>CONCATENATE(AN15,"- disminuye ",AO15)</f>
        <v>85- disminuye 2</v>
      </c>
      <c r="AQ15" s="31">
        <f>IF(V15="SI",O15-AO15,O15)</f>
        <v>1</v>
      </c>
      <c r="AR15" s="314" t="str">
        <f>IF(AQ15&lt;=1,"Rara vez",VLOOKUP(AQ15,[102]Listas!$L$69:$M$73,2,0))</f>
        <v>Rara vez</v>
      </c>
      <c r="AS15" s="31">
        <f>IF(W15="SI",Q15-AO15,Q15)</f>
        <v>10</v>
      </c>
      <c r="AT15" s="314" t="str">
        <f>IF(AS15&lt;=9,"Moderado",IF(AS15=20,"Catastrófico",IF(AS15=18,"Moderado","Mayor")))</f>
        <v>Mayor</v>
      </c>
      <c r="AU15" s="314" t="str">
        <f>INDEX([102]Listas!$O$69:$Q$73,MATCH(AR15,[102]Listas!$M$69:$M$73,0),MATCH(AT15,[102]Listas!$O$67:$Q$67,0))</f>
        <v>10
BAJA</v>
      </c>
      <c r="AV15" s="313" t="s">
        <v>271</v>
      </c>
      <c r="AW15" s="836" t="s">
        <v>284</v>
      </c>
      <c r="AX15" s="315" t="s">
        <v>3637</v>
      </c>
      <c r="AY15" s="847" t="s">
        <v>2769</v>
      </c>
      <c r="AZ15" s="72" t="s">
        <v>2770</v>
      </c>
      <c r="BA15" s="72" t="s">
        <v>3638</v>
      </c>
      <c r="BB15" s="847" t="s">
        <v>3970</v>
      </c>
      <c r="BC15" s="12" t="s">
        <v>3971</v>
      </c>
      <c r="BD15" s="12" t="s">
        <v>3967</v>
      </c>
      <c r="BE15" s="839" t="s">
        <v>36</v>
      </c>
      <c r="BF15" s="839" t="s">
        <v>2573</v>
      </c>
      <c r="BG15" s="839" t="s">
        <v>2573</v>
      </c>
      <c r="BH15" s="505" t="s">
        <v>2573</v>
      </c>
      <c r="BI15" s="505" t="s">
        <v>2573</v>
      </c>
      <c r="BJ15" s="839" t="s">
        <v>2573</v>
      </c>
      <c r="BK15" s="985" t="s">
        <v>3968</v>
      </c>
      <c r="BL15" s="986"/>
    </row>
    <row r="16" spans="1:64" s="3" customFormat="1" ht="162.75" customHeight="1">
      <c r="A16" s="332"/>
      <c r="B16" s="3029" t="s">
        <v>887</v>
      </c>
      <c r="C16" s="3030"/>
      <c r="D16" s="3031"/>
      <c r="E16" s="847" t="s">
        <v>419</v>
      </c>
      <c r="F16" s="3032" t="s">
        <v>886</v>
      </c>
      <c r="G16" s="3033"/>
      <c r="H16" s="3034"/>
      <c r="I16" s="2797" t="s">
        <v>885</v>
      </c>
      <c r="J16" s="2798"/>
      <c r="K16" s="2799"/>
      <c r="L16" s="313" t="s">
        <v>283</v>
      </c>
      <c r="M16" s="313" t="s">
        <v>270</v>
      </c>
      <c r="N16" s="313"/>
      <c r="O16" s="31">
        <f>VLOOKUP(L16,[102]Listas!$M$69:$N$73,2,0)</f>
        <v>1</v>
      </c>
      <c r="P16" s="31"/>
      <c r="Q16" s="31">
        <f>HLOOKUP(M16,[102]Listas!$O$67:$Q$68,2,0)</f>
        <v>10</v>
      </c>
      <c r="R16" s="314" t="str">
        <f>INDEX([102]Listas!$O$69:$Q$73,MATCH(L16,[102]Listas!$M$69:$M$73,0),MATCH(M16,[102]Listas!$O$67:$Q$67,0))</f>
        <v>10
BAJA</v>
      </c>
      <c r="S16" s="3029" t="s">
        <v>3639</v>
      </c>
      <c r="T16" s="3030"/>
      <c r="U16" s="3031"/>
      <c r="V16" s="847" t="s">
        <v>65</v>
      </c>
      <c r="W16" s="847" t="s">
        <v>36</v>
      </c>
      <c r="X16" s="847" t="s">
        <v>65</v>
      </c>
      <c r="Y16" s="847" t="s">
        <v>65</v>
      </c>
      <c r="Z16" s="847" t="s">
        <v>65</v>
      </c>
      <c r="AA16" s="847" t="s">
        <v>36</v>
      </c>
      <c r="AB16" s="847" t="s">
        <v>65</v>
      </c>
      <c r="AC16" s="847" t="s">
        <v>65</v>
      </c>
      <c r="AD16" s="847" t="s">
        <v>65</v>
      </c>
      <c r="AE16" s="847" t="s">
        <v>65</v>
      </c>
      <c r="AF16" s="847"/>
      <c r="AG16" s="31">
        <f t="shared" ref="AG16" si="26">IF(Y16="SI",15,0)</f>
        <v>15</v>
      </c>
      <c r="AH16" s="31">
        <f t="shared" ref="AH16" si="27">IF(Z16="SI",5,0)</f>
        <v>5</v>
      </c>
      <c r="AI16" s="31">
        <f t="shared" ref="AI16" si="28">IF(AA16="SI",15,0)</f>
        <v>0</v>
      </c>
      <c r="AJ16" s="31">
        <f t="shared" ref="AJ16" si="29">IF(AB16="SI",10,0)</f>
        <v>10</v>
      </c>
      <c r="AK16" s="31">
        <f t="shared" ref="AK16" si="30">IF(AC16="SI",15,0)</f>
        <v>15</v>
      </c>
      <c r="AL16" s="31">
        <f t="shared" ref="AL16" si="31">IF(AD16="SI",10,0)</f>
        <v>10</v>
      </c>
      <c r="AM16" s="31">
        <f t="shared" ref="AM16" si="32">IF(AE16="SI",30,0)</f>
        <v>30</v>
      </c>
      <c r="AN16" s="31">
        <f t="shared" ref="AN16" si="33">SUM(AG16+AH16+AI16+AJ16+AK16+AL16+AM16)</f>
        <v>85</v>
      </c>
      <c r="AO16" s="31">
        <f t="shared" ref="AO16" si="34">IF(AN16&lt;=50,0,IF(AN16&gt;=76,2,1))</f>
        <v>2</v>
      </c>
      <c r="AP16" s="314" t="str">
        <f t="shared" ref="AP16" si="35">CONCATENATE(AN16,"- disminuye ",AO16)</f>
        <v>85- disminuye 2</v>
      </c>
      <c r="AQ16" s="31">
        <f t="shared" ref="AQ16" si="36">IF(V16="SI",O16-AO16,O16)</f>
        <v>-1</v>
      </c>
      <c r="AR16" s="314" t="str">
        <f>IF(AQ16&lt;=1,"Rara vez",VLOOKUP(AQ16,[102]Listas!$L$69:$M$73,2,0))</f>
        <v>Rara vez</v>
      </c>
      <c r="AS16" s="31">
        <f t="shared" ref="AS16" si="37">IF(W16="SI",Q16-AO16,Q16)</f>
        <v>10</v>
      </c>
      <c r="AT16" s="314" t="str">
        <f t="shared" ref="AT16" si="38">IF(AS16&lt;=9,"Moderado",IF(AS16=20,"Catastrófico",IF(AS16=18,"Moderado","Mayor")))</f>
        <v>Mayor</v>
      </c>
      <c r="AU16" s="314" t="str">
        <f>INDEX([102]Listas!$O$69:$Q$73,MATCH(AR16,[102]Listas!$M$69:$M$73,0),MATCH(AT16,[102]Listas!$O$67:$Q$67,0))</f>
        <v>10
BAJA</v>
      </c>
      <c r="AV16" s="313" t="s">
        <v>271</v>
      </c>
      <c r="AW16" s="836" t="s">
        <v>284</v>
      </c>
      <c r="AX16" s="315" t="s">
        <v>2771</v>
      </c>
      <c r="AY16" s="847" t="s">
        <v>2769</v>
      </c>
      <c r="AZ16" s="72" t="s">
        <v>3640</v>
      </c>
      <c r="BA16" s="72" t="s">
        <v>2772</v>
      </c>
      <c r="BB16" s="847" t="s">
        <v>3970</v>
      </c>
      <c r="BC16" s="12" t="s">
        <v>3972</v>
      </c>
      <c r="BD16" s="12" t="s">
        <v>3967</v>
      </c>
      <c r="BE16" s="839" t="s">
        <v>36</v>
      </c>
      <c r="BF16" s="839" t="s">
        <v>2573</v>
      </c>
      <c r="BG16" s="839" t="s">
        <v>2573</v>
      </c>
      <c r="BH16" s="505" t="s">
        <v>2573</v>
      </c>
      <c r="BI16" s="505" t="s">
        <v>2573</v>
      </c>
      <c r="BJ16" s="839" t="s">
        <v>2573</v>
      </c>
      <c r="BK16" s="985" t="s">
        <v>3968</v>
      </c>
      <c r="BL16" s="986"/>
    </row>
    <row r="17" spans="1:64" s="3" customFormat="1" ht="25.5" hidden="1" customHeight="1">
      <c r="A17" s="332"/>
      <c r="B17" s="2990"/>
      <c r="C17" s="2991"/>
      <c r="D17" s="2992"/>
      <c r="E17" s="329"/>
      <c r="F17" s="2993"/>
      <c r="G17" s="2994"/>
      <c r="H17" s="2995"/>
      <c r="I17" s="2990"/>
      <c r="J17" s="2991"/>
      <c r="K17" s="2992"/>
      <c r="L17" s="49"/>
      <c r="M17" s="313"/>
      <c r="N17" s="526"/>
      <c r="O17" s="527" t="e">
        <f>VLOOKUP(L17,[15]Listas!$M$69:$N$73,2,0)</f>
        <v>#N/A</v>
      </c>
      <c r="P17" s="527"/>
      <c r="Q17" s="527" t="e">
        <f>HLOOKUP(M17,[15]Listas!$O$67:$Q$68,2,0)</f>
        <v>#N/A</v>
      </c>
      <c r="R17" s="528" t="e">
        <f>INDEX([15]Listas!$O$69:$Q$73,MATCH(L17,[15]Listas!$M$69:$M$73,0),MATCH(M17,[15]Listas!$O$67:$Q$67,0))</f>
        <v>#N/A</v>
      </c>
      <c r="S17" s="2990"/>
      <c r="T17" s="2991"/>
      <c r="U17" s="2992"/>
      <c r="V17" s="329"/>
      <c r="W17" s="329"/>
      <c r="X17" s="329"/>
      <c r="Y17" s="329"/>
      <c r="Z17" s="329"/>
      <c r="AA17" s="329"/>
      <c r="AB17" s="329"/>
      <c r="AC17" s="329"/>
      <c r="AD17" s="329"/>
      <c r="AE17" s="329"/>
      <c r="AF17" s="33"/>
      <c r="AG17" s="527">
        <f t="shared" si="0"/>
        <v>0</v>
      </c>
      <c r="AH17" s="527">
        <f t="shared" si="1"/>
        <v>0</v>
      </c>
      <c r="AI17" s="527">
        <f t="shared" si="2"/>
        <v>0</v>
      </c>
      <c r="AJ17" s="527">
        <f t="shared" si="3"/>
        <v>0</v>
      </c>
      <c r="AK17" s="527">
        <f t="shared" si="4"/>
        <v>0</v>
      </c>
      <c r="AL17" s="527">
        <f t="shared" si="5"/>
        <v>0</v>
      </c>
      <c r="AM17" s="527">
        <f t="shared" si="6"/>
        <v>0</v>
      </c>
      <c r="AN17" s="527">
        <f t="shared" si="7"/>
        <v>0</v>
      </c>
      <c r="AO17" s="527">
        <f t="shared" si="8"/>
        <v>0</v>
      </c>
      <c r="AP17" s="528" t="str">
        <f t="shared" si="11"/>
        <v>0- disminuye 0</v>
      </c>
      <c r="AQ17" s="527" t="e">
        <f t="shared" si="9"/>
        <v>#N/A</v>
      </c>
      <c r="AR17" s="528" t="e">
        <f>IF(AQ17&lt;=1,"Rara vez",VLOOKUP(AQ17,[15]Listas!$L$69:$M$73,2,0))</f>
        <v>#N/A</v>
      </c>
      <c r="AS17" s="527" t="e">
        <f t="shared" si="10"/>
        <v>#N/A</v>
      </c>
      <c r="AT17" s="528" t="e">
        <f t="shared" si="12"/>
        <v>#N/A</v>
      </c>
      <c r="AU17" s="528" t="e">
        <f>INDEX([15]Listas!$O$69:$Q$73,MATCH(AR17,[15]Listas!$M$69:$M$73,0),MATCH(AT17,[15]Listas!$O$67:$Q$67,0))</f>
        <v>#N/A</v>
      </c>
      <c r="AV17" s="49"/>
      <c r="AW17" s="848"/>
      <c r="AX17" s="329"/>
      <c r="AY17" s="329"/>
      <c r="AZ17" s="12"/>
      <c r="BA17" s="12"/>
      <c r="BB17" s="839"/>
      <c r="BC17" s="12"/>
      <c r="BD17" s="12" t="s">
        <v>2877</v>
      </c>
      <c r="BE17" s="839"/>
      <c r="BF17" s="12"/>
      <c r="BG17" s="12"/>
      <c r="BH17" s="505"/>
      <c r="BI17" s="505"/>
      <c r="BJ17" s="839"/>
      <c r="BK17" s="839"/>
      <c r="BL17" s="504"/>
    </row>
    <row r="18" spans="1:64" s="3" customFormat="1" ht="25.5" hidden="1" customHeight="1">
      <c r="A18" s="332"/>
      <c r="B18" s="2990"/>
      <c r="C18" s="2991"/>
      <c r="D18" s="2992"/>
      <c r="E18" s="329"/>
      <c r="F18" s="2993"/>
      <c r="G18" s="2994"/>
      <c r="H18" s="2995"/>
      <c r="I18" s="2990"/>
      <c r="J18" s="2991"/>
      <c r="K18" s="2992"/>
      <c r="L18" s="49"/>
      <c r="M18" s="313"/>
      <c r="N18" s="526"/>
      <c r="O18" s="527" t="e">
        <f>VLOOKUP(L18,[15]Listas!$M$69:$N$73,2,0)</f>
        <v>#N/A</v>
      </c>
      <c r="P18" s="527"/>
      <c r="Q18" s="527" t="e">
        <f>HLOOKUP(M18,[15]Listas!$O$67:$Q$68,2,0)</f>
        <v>#N/A</v>
      </c>
      <c r="R18" s="528" t="e">
        <f>INDEX([15]Listas!$O$69:$Q$73,MATCH(L18,[15]Listas!$M$69:$M$73,0),MATCH(M18,[15]Listas!$O$67:$Q$67,0))</f>
        <v>#N/A</v>
      </c>
      <c r="S18" s="2990"/>
      <c r="T18" s="2991"/>
      <c r="U18" s="2992"/>
      <c r="V18" s="329"/>
      <c r="W18" s="329"/>
      <c r="X18" s="329"/>
      <c r="Y18" s="329"/>
      <c r="Z18" s="329"/>
      <c r="AA18" s="329"/>
      <c r="AB18" s="329"/>
      <c r="AC18" s="329"/>
      <c r="AD18" s="329"/>
      <c r="AE18" s="329"/>
      <c r="AF18" s="33"/>
      <c r="AG18" s="527">
        <f>IF(Y18="SI",15,0)</f>
        <v>0</v>
      </c>
      <c r="AH18" s="527">
        <f>IF(Z18="SI",5,0)</f>
        <v>0</v>
      </c>
      <c r="AI18" s="527">
        <f>IF(AA18="SI",15,0)</f>
        <v>0</v>
      </c>
      <c r="AJ18" s="527">
        <f>IF(AB18="SI",10,0)</f>
        <v>0</v>
      </c>
      <c r="AK18" s="527">
        <f>IF(AC18="SI",15,0)</f>
        <v>0</v>
      </c>
      <c r="AL18" s="527">
        <f>IF(AD18="SI",10,0)</f>
        <v>0</v>
      </c>
      <c r="AM18" s="527">
        <f>IF(AE18="SI",30,0)</f>
        <v>0</v>
      </c>
      <c r="AN18" s="527">
        <f>SUM(AG18+AH18+AI18+AJ18+AK18+AL18+AM18)</f>
        <v>0</v>
      </c>
      <c r="AO18" s="527">
        <f>IF(AN18&lt;=50,0,IF(AN18&gt;=76,2,1))</f>
        <v>0</v>
      </c>
      <c r="AP18" s="528" t="str">
        <f>CONCATENATE(AN18,"- disminuye ",AO18)</f>
        <v>0- disminuye 0</v>
      </c>
      <c r="AQ18" s="527" t="e">
        <f>IF(V18="SI",O18-AO18,O18)</f>
        <v>#N/A</v>
      </c>
      <c r="AR18" s="528" t="e">
        <f>IF(AQ18&lt;=1,"Rara vez",VLOOKUP(AQ18,[15]Listas!$L$69:$M$73,2,0))</f>
        <v>#N/A</v>
      </c>
      <c r="AS18" s="527" t="e">
        <f>IF(W18="SI",Q18-AO18,Q18)</f>
        <v>#N/A</v>
      </c>
      <c r="AT18" s="528" t="e">
        <f>IF(AS18&lt;=9,"Moderado",IF(AS18=20,"Catastrófico",IF(AS18=18,"Moderado","Mayor")))</f>
        <v>#N/A</v>
      </c>
      <c r="AU18" s="528" t="e">
        <f>INDEX([15]Listas!$O$69:$Q$73,MATCH(AR18,[15]Listas!$M$69:$M$73,0),MATCH(AT18,[15]Listas!$O$67:$Q$67,0))</f>
        <v>#N/A</v>
      </c>
      <c r="AV18" s="49"/>
      <c r="AW18" s="848"/>
      <c r="AX18" s="329"/>
      <c r="AY18" s="329"/>
      <c r="AZ18" s="12"/>
      <c r="BA18" s="12"/>
      <c r="BB18" s="839"/>
      <c r="BC18" s="12"/>
      <c r="BD18" s="12" t="s">
        <v>2877</v>
      </c>
      <c r="BE18" s="839"/>
      <c r="BF18" s="12"/>
      <c r="BG18" s="12"/>
      <c r="BH18" s="505"/>
      <c r="BI18" s="505"/>
      <c r="BJ18" s="839"/>
      <c r="BK18" s="839"/>
      <c r="BL18" s="504"/>
    </row>
    <row r="19" spans="1:64" s="3" customFormat="1" ht="25.5" hidden="1" customHeight="1">
      <c r="A19" s="332"/>
      <c r="B19" s="2990"/>
      <c r="C19" s="2991"/>
      <c r="D19" s="2992"/>
      <c r="E19" s="329"/>
      <c r="F19" s="2993"/>
      <c r="G19" s="2994"/>
      <c r="H19" s="2995"/>
      <c r="I19" s="2990"/>
      <c r="J19" s="2991"/>
      <c r="K19" s="2992"/>
      <c r="L19" s="49"/>
      <c r="M19" s="313"/>
      <c r="N19" s="526"/>
      <c r="O19" s="527" t="e">
        <f>VLOOKUP(L19,[15]Listas!$M$69:$N$73,2,0)</f>
        <v>#N/A</v>
      </c>
      <c r="P19" s="527"/>
      <c r="Q19" s="527" t="e">
        <f>HLOOKUP(M19,[15]Listas!$O$67:$Q$68,2,0)</f>
        <v>#N/A</v>
      </c>
      <c r="R19" s="528" t="e">
        <f>INDEX([15]Listas!$O$69:$Q$73,MATCH(L19,[15]Listas!$M$69:$M$73,0),MATCH(M19,[15]Listas!$O$67:$Q$67,0))</f>
        <v>#N/A</v>
      </c>
      <c r="S19" s="2990"/>
      <c r="T19" s="2991"/>
      <c r="U19" s="2992"/>
      <c r="V19" s="329"/>
      <c r="W19" s="329"/>
      <c r="X19" s="329"/>
      <c r="Y19" s="329"/>
      <c r="Z19" s="329"/>
      <c r="AA19" s="329"/>
      <c r="AB19" s="329"/>
      <c r="AC19" s="329"/>
      <c r="AD19" s="329"/>
      <c r="AE19" s="329"/>
      <c r="AF19" s="33"/>
      <c r="AG19" s="527">
        <f t="shared" si="0"/>
        <v>0</v>
      </c>
      <c r="AH19" s="527">
        <f t="shared" si="1"/>
        <v>0</v>
      </c>
      <c r="AI19" s="527">
        <f t="shared" si="2"/>
        <v>0</v>
      </c>
      <c r="AJ19" s="527">
        <f t="shared" si="3"/>
        <v>0</v>
      </c>
      <c r="AK19" s="527">
        <f t="shared" si="4"/>
        <v>0</v>
      </c>
      <c r="AL19" s="527">
        <f t="shared" si="5"/>
        <v>0</v>
      </c>
      <c r="AM19" s="527">
        <f t="shared" si="6"/>
        <v>0</v>
      </c>
      <c r="AN19" s="527">
        <f t="shared" si="7"/>
        <v>0</v>
      </c>
      <c r="AO19" s="527">
        <f t="shared" si="8"/>
        <v>0</v>
      </c>
      <c r="AP19" s="528" t="str">
        <f t="shared" si="11"/>
        <v>0- disminuye 0</v>
      </c>
      <c r="AQ19" s="527" t="e">
        <f t="shared" si="9"/>
        <v>#N/A</v>
      </c>
      <c r="AR19" s="528" t="e">
        <f>IF(AQ19&lt;=1,"Rara vez",VLOOKUP(AQ19,[15]Listas!$L$69:$M$73,2,0))</f>
        <v>#N/A</v>
      </c>
      <c r="AS19" s="527" t="e">
        <f t="shared" si="10"/>
        <v>#N/A</v>
      </c>
      <c r="AT19" s="528" t="e">
        <f t="shared" si="12"/>
        <v>#N/A</v>
      </c>
      <c r="AU19" s="528" t="e">
        <f>INDEX([15]Listas!$O$69:$Q$73,MATCH(AR19,[15]Listas!$M$69:$M$73,0),MATCH(AT19,[15]Listas!$O$67:$Q$67,0))</f>
        <v>#N/A</v>
      </c>
      <c r="AV19" s="49"/>
      <c r="AW19" s="848"/>
      <c r="AX19" s="329"/>
      <c r="AY19" s="329"/>
      <c r="AZ19" s="12"/>
      <c r="BA19" s="12"/>
      <c r="BB19" s="839"/>
      <c r="BC19" s="12"/>
      <c r="BD19" s="12" t="s">
        <v>2877</v>
      </c>
      <c r="BE19" s="839"/>
      <c r="BF19" s="12"/>
      <c r="BG19" s="12"/>
      <c r="BH19" s="505"/>
      <c r="BI19" s="505"/>
      <c r="BJ19" s="839"/>
      <c r="BK19" s="839"/>
      <c r="BL19" s="504"/>
    </row>
    <row r="20" spans="1:64" ht="6.75" customHeight="1">
      <c r="A20" s="2"/>
      <c r="B20" s="7"/>
      <c r="C20" s="7"/>
      <c r="D20" s="7"/>
      <c r="E20" s="4"/>
      <c r="F20" s="7"/>
      <c r="G20" s="7"/>
      <c r="H20" s="7"/>
      <c r="I20" s="7"/>
      <c r="J20" s="7"/>
      <c r="K20" s="7"/>
      <c r="L20" s="4"/>
      <c r="M20" s="4"/>
      <c r="N20" s="4"/>
      <c r="O20" s="4"/>
      <c r="P20" s="4"/>
      <c r="Q20" s="4"/>
      <c r="R20" s="4"/>
      <c r="S20" s="7"/>
      <c r="T20" s="7"/>
      <c r="U20" s="7"/>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7"/>
      <c r="AW20" s="7"/>
      <c r="AX20" s="229"/>
      <c r="AY20" s="229"/>
      <c r="AZ20" s="68"/>
      <c r="BA20" s="68"/>
      <c r="BB20" s="92"/>
      <c r="BC20" s="68"/>
      <c r="BD20" s="68"/>
      <c r="BE20" s="92"/>
      <c r="BF20" s="68"/>
      <c r="BG20" s="68"/>
      <c r="BH20" s="230"/>
      <c r="BI20" s="230"/>
      <c r="BJ20" s="92"/>
      <c r="BK20" s="92"/>
    </row>
    <row r="21" spans="1:64" ht="15" customHeight="1">
      <c r="A21" s="317"/>
      <c r="B21" s="2811" t="s">
        <v>277</v>
      </c>
      <c r="C21" s="2811"/>
      <c r="D21" s="2811"/>
      <c r="E21" s="2811"/>
      <c r="F21" s="2811"/>
      <c r="G21" s="2811"/>
      <c r="H21" s="2811"/>
      <c r="I21" s="2811"/>
      <c r="J21" s="2811"/>
      <c r="K21" s="2811"/>
      <c r="L21" s="2811"/>
      <c r="M21" s="2811"/>
      <c r="N21" s="2811"/>
      <c r="O21" s="2811"/>
      <c r="P21" s="2811"/>
      <c r="Q21" s="2811"/>
      <c r="R21" s="2811"/>
      <c r="S21" s="2811"/>
      <c r="T21" s="2811"/>
      <c r="U21" s="2811"/>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4"/>
      <c r="AV21" s="9"/>
      <c r="AW21" s="9"/>
      <c r="AX21" s="65"/>
      <c r="AY21" s="65"/>
      <c r="AZ21" s="68"/>
      <c r="BA21" s="68"/>
      <c r="BB21" s="92"/>
      <c r="BC21" s="68"/>
      <c r="BD21" s="68"/>
      <c r="BE21" s="92"/>
      <c r="BF21" s="68"/>
      <c r="BG21" s="68"/>
      <c r="BH21" s="230"/>
      <c r="BI21" s="230"/>
      <c r="BJ21" s="92"/>
      <c r="BK21" s="92"/>
    </row>
    <row r="22" spans="1:64" s="22" customFormat="1" ht="19.5" customHeight="1">
      <c r="A22" s="10"/>
      <c r="B22" s="2801" t="s">
        <v>278</v>
      </c>
      <c r="C22" s="2802"/>
      <c r="D22" s="2802"/>
      <c r="E22" s="2802"/>
      <c r="F22" s="2802"/>
      <c r="G22" s="2802"/>
      <c r="H22" s="2803"/>
      <c r="I22" s="2801" t="s">
        <v>279</v>
      </c>
      <c r="J22" s="2802"/>
      <c r="K22" s="2802"/>
      <c r="L22" s="2802"/>
      <c r="M22" s="2802"/>
      <c r="N22" s="2802"/>
      <c r="O22" s="2802"/>
      <c r="P22" s="2802"/>
      <c r="Q22" s="2802"/>
      <c r="R22" s="2802"/>
      <c r="S22" s="2802"/>
      <c r="T22" s="2802"/>
      <c r="U22" s="2803"/>
      <c r="V22" s="2801" t="s">
        <v>171</v>
      </c>
      <c r="W22" s="2802"/>
      <c r="X22" s="2802"/>
      <c r="Y22" s="2802"/>
      <c r="Z22" s="2802"/>
      <c r="AA22" s="2802"/>
      <c r="AB22" s="2802"/>
      <c r="AC22" s="2802"/>
      <c r="AD22" s="2802"/>
      <c r="AE22" s="2802"/>
      <c r="AF22" s="2802"/>
      <c r="AG22" s="2802"/>
      <c r="AH22" s="2802"/>
      <c r="AI22" s="2802"/>
      <c r="AJ22" s="2802"/>
      <c r="AK22" s="2802"/>
      <c r="AL22" s="2802"/>
      <c r="AM22" s="2802"/>
      <c r="AN22" s="2802"/>
      <c r="AO22" s="2802"/>
      <c r="AP22" s="2803"/>
      <c r="AQ22" s="34" t="s">
        <v>172</v>
      </c>
      <c r="AR22" s="2804" t="s">
        <v>172</v>
      </c>
      <c r="AS22" s="2804"/>
      <c r="AT22" s="2804"/>
      <c r="AU22" s="2804"/>
      <c r="AV22" s="2804"/>
      <c r="AW22" s="2804"/>
      <c r="AX22" s="65"/>
      <c r="AY22" s="65"/>
      <c r="AZ22" s="68"/>
      <c r="BA22" s="68"/>
      <c r="BB22" s="92"/>
      <c r="BC22" s="68"/>
      <c r="BD22" s="68"/>
      <c r="BE22" s="92"/>
      <c r="BF22" s="68"/>
      <c r="BG22" s="68"/>
      <c r="BH22" s="230"/>
      <c r="BI22" s="230"/>
      <c r="BJ22" s="92"/>
      <c r="BK22" s="92"/>
      <c r="BL22" s="210"/>
    </row>
    <row r="23" spans="1:64" s="22" customFormat="1" ht="25.5" customHeight="1">
      <c r="A23" s="11"/>
      <c r="B23" s="2794" t="s">
        <v>384</v>
      </c>
      <c r="C23" s="2795"/>
      <c r="D23" s="2795"/>
      <c r="E23" s="2795"/>
      <c r="F23" s="2795"/>
      <c r="G23" s="2795"/>
      <c r="H23" s="2796"/>
      <c r="I23" s="2794" t="s">
        <v>968</v>
      </c>
      <c r="J23" s="2795"/>
      <c r="K23" s="2795"/>
      <c r="L23" s="2795"/>
      <c r="M23" s="2795"/>
      <c r="N23" s="2795"/>
      <c r="O23" s="2795"/>
      <c r="P23" s="2795"/>
      <c r="Q23" s="2795"/>
      <c r="R23" s="2795"/>
      <c r="S23" s="2795"/>
      <c r="T23" s="2795"/>
      <c r="U23" s="2796"/>
      <c r="V23" s="2794" t="s">
        <v>385</v>
      </c>
      <c r="W23" s="2795"/>
      <c r="X23" s="2795"/>
      <c r="Y23" s="2795"/>
      <c r="Z23" s="2795"/>
      <c r="AA23" s="2795"/>
      <c r="AB23" s="2795"/>
      <c r="AC23" s="2795"/>
      <c r="AD23" s="2795"/>
      <c r="AE23" s="2795"/>
      <c r="AF23" s="2795"/>
      <c r="AG23" s="2795"/>
      <c r="AH23" s="2795"/>
      <c r="AI23" s="2795"/>
      <c r="AJ23" s="2795"/>
      <c r="AK23" s="2795"/>
      <c r="AL23" s="2795"/>
      <c r="AM23" s="2795"/>
      <c r="AN23" s="2795"/>
      <c r="AO23" s="2795"/>
      <c r="AP23" s="2796"/>
      <c r="AQ23" s="12"/>
      <c r="AR23" s="2800"/>
      <c r="AS23" s="2800"/>
      <c r="AT23" s="2800"/>
      <c r="AU23" s="2800"/>
      <c r="AV23" s="2800"/>
      <c r="AW23" s="2800"/>
      <c r="AX23" s="65"/>
      <c r="AY23" s="65"/>
      <c r="AZ23" s="68"/>
      <c r="BA23" s="68"/>
      <c r="BB23" s="92"/>
      <c r="BC23" s="68"/>
      <c r="BD23" s="68"/>
      <c r="BE23" s="92"/>
      <c r="BF23" s="68"/>
      <c r="BG23" s="68"/>
      <c r="BH23" s="230"/>
      <c r="BI23" s="230"/>
      <c r="BJ23" s="92"/>
      <c r="BK23" s="92"/>
      <c r="BL23" s="210"/>
    </row>
    <row r="24" spans="1:64" s="22" customFormat="1" ht="25.5" customHeight="1">
      <c r="A24" s="11"/>
      <c r="B24" s="2794" t="s">
        <v>386</v>
      </c>
      <c r="C24" s="2795"/>
      <c r="D24" s="2795"/>
      <c r="E24" s="2795"/>
      <c r="F24" s="2795"/>
      <c r="G24" s="2795"/>
      <c r="H24" s="2796"/>
      <c r="I24" s="2794" t="s">
        <v>847</v>
      </c>
      <c r="J24" s="2795"/>
      <c r="K24" s="2795"/>
      <c r="L24" s="2795"/>
      <c r="M24" s="2795"/>
      <c r="N24" s="2795"/>
      <c r="O24" s="2795"/>
      <c r="P24" s="2795"/>
      <c r="Q24" s="2795"/>
      <c r="R24" s="2795"/>
      <c r="S24" s="2795"/>
      <c r="T24" s="2795"/>
      <c r="U24" s="2796"/>
      <c r="V24" s="2794" t="s">
        <v>385</v>
      </c>
      <c r="W24" s="2795"/>
      <c r="X24" s="2795"/>
      <c r="Y24" s="2795"/>
      <c r="Z24" s="2795"/>
      <c r="AA24" s="2795"/>
      <c r="AB24" s="2795"/>
      <c r="AC24" s="2795"/>
      <c r="AD24" s="2795"/>
      <c r="AE24" s="2795"/>
      <c r="AF24" s="2795"/>
      <c r="AG24" s="2795"/>
      <c r="AH24" s="2795"/>
      <c r="AI24" s="2795"/>
      <c r="AJ24" s="2795"/>
      <c r="AK24" s="2795"/>
      <c r="AL24" s="2795"/>
      <c r="AM24" s="2795"/>
      <c r="AN24" s="2795"/>
      <c r="AO24" s="2795"/>
      <c r="AP24" s="2796"/>
      <c r="AQ24" s="12"/>
      <c r="AR24" s="2800"/>
      <c r="AS24" s="2800"/>
      <c r="AT24" s="2800"/>
      <c r="AU24" s="2800"/>
      <c r="AV24" s="2800"/>
      <c r="AW24" s="2800"/>
      <c r="AX24" s="65"/>
      <c r="AY24" s="65"/>
      <c r="AZ24" s="68"/>
      <c r="BA24" s="68"/>
      <c r="BB24" s="92"/>
      <c r="BC24" s="68"/>
      <c r="BD24" s="68"/>
      <c r="BE24" s="92"/>
      <c r="BF24" s="68"/>
      <c r="BG24" s="68"/>
      <c r="BH24" s="230"/>
      <c r="BI24" s="230"/>
      <c r="BJ24" s="92"/>
      <c r="BK24" s="92"/>
      <c r="BL24" s="210"/>
    </row>
    <row r="25" spans="1:64" ht="25.5" customHeight="1">
      <c r="A25" s="11"/>
      <c r="B25" s="2794" t="s">
        <v>280</v>
      </c>
      <c r="C25" s="2795"/>
      <c r="D25" s="2795"/>
      <c r="E25" s="2795"/>
      <c r="F25" s="2795"/>
      <c r="G25" s="2795"/>
      <c r="H25" s="2796"/>
      <c r="I25" s="2794" t="s">
        <v>281</v>
      </c>
      <c r="J25" s="2795"/>
      <c r="K25" s="2795"/>
      <c r="L25" s="2795"/>
      <c r="M25" s="2795"/>
      <c r="N25" s="2795"/>
      <c r="O25" s="2795"/>
      <c r="P25" s="2795"/>
      <c r="Q25" s="2795"/>
      <c r="R25" s="2795"/>
      <c r="S25" s="2795"/>
      <c r="T25" s="2795"/>
      <c r="U25" s="2796"/>
      <c r="V25" s="2794" t="s">
        <v>385</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68"/>
      <c r="BA25" s="68"/>
      <c r="BB25" s="92"/>
      <c r="BC25" s="68"/>
      <c r="BD25" s="68"/>
      <c r="BE25" s="92"/>
      <c r="BF25" s="68"/>
      <c r="BG25" s="68"/>
      <c r="BH25" s="230"/>
      <c r="BI25" s="230"/>
      <c r="BJ25" s="92"/>
      <c r="BK25" s="92"/>
    </row>
    <row r="26" spans="1:64">
      <c r="A26" s="13"/>
      <c r="B26" s="13"/>
      <c r="C26" s="13"/>
      <c r="D26" s="13"/>
      <c r="E26" s="14"/>
      <c r="F26" s="13"/>
      <c r="G26" s="13"/>
      <c r="H26" s="13"/>
      <c r="I26" s="13"/>
      <c r="J26" s="13"/>
      <c r="K26" s="13"/>
      <c r="L26" s="15"/>
      <c r="M26" s="15"/>
      <c r="N26" s="15"/>
      <c r="O26" s="15"/>
      <c r="P26" s="15"/>
      <c r="Q26" s="15"/>
      <c r="R26" s="15"/>
      <c r="S26" s="15"/>
      <c r="T26" s="15"/>
      <c r="U26" s="15"/>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5"/>
      <c r="AW26" s="15"/>
      <c r="AZ26" s="68"/>
      <c r="BA26" s="68"/>
      <c r="BB26" s="92"/>
      <c r="BC26" s="68"/>
      <c r="BD26" s="68"/>
      <c r="BE26" s="92"/>
      <c r="BF26" s="68"/>
      <c r="BG26" s="68"/>
      <c r="BH26" s="230"/>
      <c r="BI26" s="230"/>
      <c r="BJ26" s="92"/>
      <c r="BK26" s="92"/>
    </row>
    <row r="27" spans="1:64" ht="45.75" customHeight="1">
      <c r="A27" s="13"/>
      <c r="B27" s="3026" t="s">
        <v>3641</v>
      </c>
      <c r="C27" s="3027"/>
      <c r="D27" s="3027"/>
      <c r="E27" s="3027"/>
      <c r="F27" s="3027"/>
      <c r="G27" s="3027"/>
      <c r="H27" s="3027"/>
      <c r="I27" s="3027"/>
      <c r="J27" s="3027"/>
      <c r="K27" s="3027"/>
      <c r="L27" s="3027"/>
      <c r="M27" s="3027"/>
      <c r="N27" s="3027"/>
      <c r="O27" s="3027"/>
      <c r="P27" s="3027"/>
      <c r="Q27" s="3027"/>
      <c r="R27" s="3027"/>
      <c r="S27" s="3027"/>
      <c r="T27" s="3027"/>
      <c r="U27" s="3027"/>
      <c r="V27" s="3027"/>
      <c r="W27" s="3027"/>
      <c r="X27" s="3027"/>
      <c r="Y27" s="3027"/>
      <c r="Z27" s="3027"/>
      <c r="AA27" s="3027"/>
      <c r="AB27" s="3027"/>
      <c r="AC27" s="3027"/>
      <c r="AD27" s="3027"/>
      <c r="AE27" s="3027"/>
      <c r="AF27" s="3027"/>
      <c r="AG27" s="3027"/>
      <c r="AH27" s="3027"/>
      <c r="AI27" s="3027"/>
      <c r="AJ27" s="3027"/>
      <c r="AK27" s="3027"/>
      <c r="AL27" s="3027"/>
      <c r="AM27" s="3027"/>
      <c r="AN27" s="3027"/>
      <c r="AO27" s="3027"/>
      <c r="AP27" s="3027"/>
      <c r="AQ27" s="3027"/>
      <c r="AR27" s="3027"/>
      <c r="AS27" s="3027"/>
      <c r="AT27" s="3027"/>
      <c r="AU27" s="3027"/>
      <c r="AV27" s="3027"/>
      <c r="AW27" s="3028"/>
      <c r="AZ27" s="68"/>
      <c r="BA27" s="68"/>
      <c r="BB27" s="92"/>
      <c r="BC27" s="68"/>
      <c r="BD27" s="68"/>
      <c r="BE27" s="92"/>
      <c r="BF27" s="68"/>
      <c r="BG27" s="68"/>
      <c r="BH27" s="230"/>
      <c r="BI27" s="230"/>
      <c r="BJ27" s="92"/>
      <c r="BK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c r="BK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c r="BK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c r="BK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c r="BK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c r="BK32" s="92"/>
    </row>
    <row r="33" spans="1:63">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c r="BK33" s="92"/>
    </row>
    <row r="34" spans="1:63">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c r="BK34" s="92"/>
    </row>
    <row r="35" spans="1:63">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c r="BK35" s="92"/>
    </row>
    <row r="36" spans="1:63">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c r="BK36" s="92"/>
    </row>
    <row r="37" spans="1:63">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c r="BK37" s="92"/>
    </row>
    <row r="38" spans="1:63">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c r="BK38" s="92"/>
    </row>
    <row r="39" spans="1:63">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c r="BK39" s="92"/>
    </row>
    <row r="40" spans="1:63">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c r="BK40" s="92"/>
    </row>
    <row r="41" spans="1:63">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c r="BK41" s="92"/>
    </row>
    <row r="42" spans="1:63">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c r="BK42" s="92"/>
    </row>
    <row r="43" spans="1:63">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c r="BK43" s="92"/>
    </row>
    <row r="44" spans="1:63">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c r="BK44" s="92"/>
    </row>
    <row r="45" spans="1:63">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c r="BK45" s="92"/>
    </row>
    <row r="46" spans="1:63">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c r="BK46" s="92"/>
    </row>
    <row r="47" spans="1:63">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c r="BK47" s="92"/>
    </row>
    <row r="48" spans="1:63">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c r="BK48" s="92"/>
    </row>
    <row r="49" spans="1:63">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c r="BK49" s="92"/>
    </row>
    <row r="50" spans="1:63">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c r="BK50" s="92"/>
    </row>
    <row r="51" spans="1:63">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c r="BK51" s="92"/>
    </row>
    <row r="52" spans="1:63">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c r="BK52" s="92"/>
    </row>
    <row r="53" spans="1:63">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c r="BK53" s="92"/>
    </row>
    <row r="54" spans="1:63">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c r="BK54" s="92"/>
    </row>
    <row r="55" spans="1:63">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c r="BK55" s="92"/>
    </row>
    <row r="56" spans="1:63">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c r="BK56" s="92"/>
    </row>
    <row r="57" spans="1:63">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c r="BK57" s="92"/>
    </row>
    <row r="58" spans="1:63">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c r="BK58" s="92"/>
    </row>
    <row r="59" spans="1:63">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c r="BK59" s="92"/>
    </row>
    <row r="60" spans="1:63">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c r="BK60" s="92"/>
    </row>
    <row r="61" spans="1:63">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c r="BK61" s="92"/>
    </row>
    <row r="62" spans="1:63">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c r="BK62" s="92"/>
    </row>
    <row r="63" spans="1:63">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c r="BK63" s="92"/>
    </row>
    <row r="64" spans="1:63">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c r="BK64" s="92"/>
    </row>
    <row r="65" spans="1:63">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c r="BK65" s="92"/>
    </row>
    <row r="66" spans="1:63">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c r="BK66" s="92"/>
    </row>
    <row r="67" spans="1:63">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c r="BK67" s="92"/>
    </row>
    <row r="68" spans="1:63">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c r="BK68" s="92"/>
    </row>
    <row r="69" spans="1:63">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c r="BK69" s="92"/>
    </row>
    <row r="70" spans="1:63">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c r="BK70" s="92"/>
    </row>
    <row r="71" spans="1:63">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c r="BK71" s="92"/>
    </row>
    <row r="72" spans="1:63">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c r="BK72" s="92"/>
    </row>
    <row r="73" spans="1:63">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c r="BK73" s="92"/>
    </row>
    <row r="74" spans="1:63">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c r="BK74" s="92"/>
    </row>
    <row r="75" spans="1:63">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c r="BK75" s="92"/>
    </row>
    <row r="76" spans="1:63">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c r="BK76" s="92"/>
    </row>
    <row r="77" spans="1:63">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c r="BK77" s="92"/>
    </row>
    <row r="78" spans="1:63">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c r="BK78" s="92"/>
    </row>
    <row r="79" spans="1:63">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c r="BK79" s="92"/>
    </row>
    <row r="80" spans="1:63">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c r="BK80" s="92"/>
    </row>
    <row r="81" spans="1:64">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c r="BK81" s="92"/>
    </row>
    <row r="82" spans="1:64">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c r="BK82" s="92"/>
    </row>
    <row r="83" spans="1:64">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c r="BK83" s="92"/>
    </row>
    <row r="84" spans="1:64">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c r="BK84" s="92"/>
    </row>
    <row r="85" spans="1:64">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c r="BK85" s="92"/>
    </row>
    <row r="86" spans="1:64">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c r="BK86" s="92"/>
    </row>
    <row r="87" spans="1:64">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c r="BK87" s="92"/>
    </row>
    <row r="88" spans="1:64">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c r="BK88" s="92"/>
    </row>
    <row r="89" spans="1:64">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c r="BK89" s="92"/>
    </row>
    <row r="90" spans="1:64">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c r="BK90" s="92"/>
    </row>
    <row r="91" spans="1:64">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c r="BK91" s="92"/>
    </row>
    <row r="92" spans="1:64">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c r="BK92" s="92"/>
    </row>
    <row r="93" spans="1:64">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row>
    <row r="94" spans="1:64">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row>
    <row r="95" spans="1:64">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4" ht="11.25">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c r="AZ96" s="231"/>
      <c r="BA96" s="231"/>
      <c r="BB96" s="231"/>
      <c r="BC96" s="231"/>
      <c r="BD96" s="231"/>
      <c r="BE96" s="231"/>
      <c r="BF96" s="231"/>
      <c r="BG96" s="231"/>
      <c r="BH96" s="231"/>
      <c r="BI96" s="231"/>
      <c r="BJ96" s="231"/>
      <c r="BK96" s="231"/>
      <c r="BL96" s="231"/>
    </row>
    <row r="97" spans="1:64" ht="11.25">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c r="AZ97" s="231"/>
      <c r="BA97" s="231"/>
      <c r="BB97" s="231"/>
      <c r="BC97" s="231"/>
      <c r="BD97" s="231"/>
      <c r="BE97" s="231"/>
      <c r="BF97" s="231"/>
      <c r="BG97" s="231"/>
      <c r="BH97" s="231"/>
      <c r="BI97" s="231"/>
      <c r="BJ97" s="231"/>
      <c r="BK97" s="231"/>
      <c r="BL97" s="231"/>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row>
    <row r="105" spans="1:64">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sheetData>
  <sheetProtection formatCells="0" formatColumns="0" formatRows="0" insertRows="0" deleteRows="0" sort="0" autoFilter="0" pivotTables="0"/>
  <mergeCells count="90">
    <mergeCell ref="A1:AB1"/>
    <mergeCell ref="AC1:AU4"/>
    <mergeCell ref="BB1:BE1"/>
    <mergeCell ref="A2:AB2"/>
    <mergeCell ref="BB2:BC2"/>
    <mergeCell ref="BD2:BE2"/>
    <mergeCell ref="A3:D3"/>
    <mergeCell ref="E3:U3"/>
    <mergeCell ref="V3:AB3"/>
    <mergeCell ref="BB3:BC3"/>
    <mergeCell ref="AA6:BA6"/>
    <mergeCell ref="BD3:BE3"/>
    <mergeCell ref="A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B13:D13"/>
    <mergeCell ref="F13:H13"/>
    <mergeCell ref="I13:K13"/>
    <mergeCell ref="S13:U13"/>
    <mergeCell ref="B14:D14"/>
    <mergeCell ref="F14:H14"/>
    <mergeCell ref="I14:K14"/>
    <mergeCell ref="S14:U14"/>
    <mergeCell ref="B15:D15"/>
    <mergeCell ref="F15:H15"/>
    <mergeCell ref="I15:K15"/>
    <mergeCell ref="S15:U15"/>
    <mergeCell ref="B16:D16"/>
    <mergeCell ref="F16:H16"/>
    <mergeCell ref="I16:K16"/>
    <mergeCell ref="S16:U16"/>
    <mergeCell ref="B17:D17"/>
    <mergeCell ref="F17:H17"/>
    <mergeCell ref="I17:K17"/>
    <mergeCell ref="S17:U17"/>
    <mergeCell ref="B18:D18"/>
    <mergeCell ref="F18:H18"/>
    <mergeCell ref="I18:K18"/>
    <mergeCell ref="S18:U18"/>
    <mergeCell ref="B19:D19"/>
    <mergeCell ref="F19:H19"/>
    <mergeCell ref="I19:K19"/>
    <mergeCell ref="S19:U19"/>
    <mergeCell ref="B21:U21"/>
    <mergeCell ref="V22:AP22"/>
    <mergeCell ref="AR22:AW22"/>
    <mergeCell ref="B23:H23"/>
    <mergeCell ref="I23:U23"/>
    <mergeCell ref="V23:AP23"/>
    <mergeCell ref="AR23:AW23"/>
    <mergeCell ref="B22:H22"/>
    <mergeCell ref="I22:U22"/>
    <mergeCell ref="B27:AW27"/>
    <mergeCell ref="B24:H24"/>
    <mergeCell ref="I24:U24"/>
    <mergeCell ref="V24:AP24"/>
    <mergeCell ref="AR24:AW24"/>
    <mergeCell ref="B25:H25"/>
    <mergeCell ref="I25:U25"/>
    <mergeCell ref="V25:AP25"/>
    <mergeCell ref="AR25:AW25"/>
  </mergeCells>
  <dataValidations count="8">
    <dataValidation type="list" allowBlank="1" showInputMessage="1" showErrorMessage="1" sqref="BE10:BE19">
      <formula1>Efectividad</formula1>
    </dataValidation>
    <dataValidation type="list" allowBlank="1" showInputMessage="1" sqref="AV10:AV19">
      <formula1>Periodo</formula1>
    </dataValidation>
    <dataValidation type="list" showInputMessage="1" showErrorMessage="1" sqref="V10:AF19">
      <formula1>Efectividad</formula1>
    </dataValidation>
    <dataValidation showInputMessage="1" showErrorMessage="1" sqref="AG10:AT19"/>
    <dataValidation type="list" allowBlank="1" showInputMessage="1" showErrorMessage="1" sqref="M10:N19">
      <formula1>Impacto</formula1>
    </dataValidation>
    <dataValidation type="list" showInputMessage="1" showErrorMessage="1" sqref="L10:L19">
      <formula1>Probabilidad</formula1>
    </dataValidation>
    <dataValidation type="list" sqref="BD4:BE4">
      <formula1>Monitoreo</formula1>
    </dataValidation>
    <dataValidation type="list" allowBlank="1" showInputMessage="1" showErrorMessage="1" sqref="L6">
      <formula1>Proceso</formula1>
    </dataValidation>
  </dataValidations>
  <printOptions horizontalCentered="1"/>
  <pageMargins left="0.23622047244094491" right="0.23622047244094491" top="0.74803149606299213" bottom="0.35433070866141736" header="0.31496062992125984" footer="0.31496062992125984"/>
  <pageSetup paperSize="14" scale="34" fitToHeight="0" orientation="landscape" r:id="rId1"/>
  <headerFooter>
    <oddFooter>&amp;L&amp;"Segoe UI,Normal"&amp;9Formato: FO-AC-07 Versión: 3&amp;C&amp;"Segoe UI,Normal"&amp;9Página &amp;P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120"/>
  <sheetViews>
    <sheetView showGridLines="0" zoomScaleNormal="100" zoomScaleSheetLayoutView="85" workbookViewId="0">
      <selection sqref="A1:AB1"/>
    </sheetView>
  </sheetViews>
  <sheetFormatPr baseColWidth="10" defaultRowHeight="15"/>
  <cols>
    <col min="1" max="1" width="1.140625" style="16" customWidth="1"/>
    <col min="2" max="3" width="5.42578125" style="16" customWidth="1"/>
    <col min="4" max="4" width="14.5703125" style="16" customWidth="1"/>
    <col min="5" max="5" width="7.28515625" style="17" customWidth="1"/>
    <col min="6" max="8" width="7.140625" style="16" customWidth="1"/>
    <col min="9" max="10" width="4.5703125" style="16" customWidth="1"/>
    <col min="11" max="11" width="7.7109375" style="16" customWidth="1"/>
    <col min="12" max="13" width="3.28515625" style="18" bestFit="1" customWidth="1"/>
    <col min="14" max="14" width="0.7109375" style="18" hidden="1" customWidth="1"/>
    <col min="15" max="15" width="3" style="18" hidden="1" customWidth="1"/>
    <col min="16" max="16" width="5.140625" style="18" hidden="1" customWidth="1"/>
    <col min="17" max="17" width="3" style="18" hidden="1" customWidth="1"/>
    <col min="18" max="18" width="4.28515625" style="18" customWidth="1"/>
    <col min="19" max="20" width="7.140625" style="18" customWidth="1"/>
    <col min="21" max="21" width="31.42578125" style="18" customWidth="1"/>
    <col min="22" max="24" width="2.7109375" style="17" customWidth="1"/>
    <col min="25" max="25" width="2.85546875" style="17" customWidth="1"/>
    <col min="26" max="31" width="2.7109375" style="17" customWidth="1"/>
    <col min="32" max="32" width="1.140625" style="17" hidden="1" customWidth="1"/>
    <col min="33" max="39" width="2.7109375" style="17" hidden="1" customWidth="1"/>
    <col min="40" max="41" width="5.140625" style="17" hidden="1" customWidth="1"/>
    <col min="42" max="42" width="4.28515625" style="17" customWidth="1"/>
    <col min="43" max="43" width="5.140625" style="17" hidden="1" customWidth="1"/>
    <col min="44" max="44" width="3.28515625" style="17" bestFit="1" customWidth="1"/>
    <col min="45" max="45" width="5.140625" style="17" hidden="1" customWidth="1"/>
    <col min="46" max="46" width="3.28515625" style="17" bestFit="1" customWidth="1"/>
    <col min="47" max="47" width="4.28515625" style="17" customWidth="1"/>
    <col min="48" max="48" width="4.28515625" style="18" customWidth="1"/>
    <col min="49" max="49" width="28.28515625" style="18" customWidth="1"/>
    <col min="50" max="50" width="18.5703125" style="21" customWidth="1"/>
    <col min="51" max="51" width="6.85546875" style="21" customWidth="1"/>
    <col min="52" max="52" width="19.28515625" style="210" customWidth="1"/>
    <col min="53" max="53" width="18.140625" style="210" customWidth="1"/>
    <col min="54" max="54" width="12.85546875" style="210" customWidth="1"/>
    <col min="55" max="55" width="19.5703125" style="210" customWidth="1"/>
    <col min="56" max="56" width="42.7109375" style="210" customWidth="1"/>
    <col min="57" max="57" width="5.85546875" style="210" customWidth="1"/>
    <col min="58" max="58" width="26.140625" style="210" bestFit="1" customWidth="1"/>
    <col min="59" max="59" width="16.140625" style="210" customWidth="1"/>
    <col min="60" max="61" width="9.28515625" style="210" customWidth="1"/>
    <col min="62" max="62" width="11.140625" style="210" customWidth="1"/>
    <col min="63" max="63" width="31" style="210" hidden="1" customWidth="1"/>
    <col min="64" max="64" width="11.42578125" style="210"/>
    <col min="65" max="16384" width="11.42578125" style="20"/>
  </cols>
  <sheetData>
    <row r="1" spans="1:64" ht="13.5" customHeight="1" thickTop="1">
      <c r="A1" s="2846" t="s">
        <v>137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8"/>
      <c r="AC1" s="2849"/>
      <c r="AD1" s="2849"/>
      <c r="AE1" s="2849"/>
      <c r="AF1" s="2849"/>
      <c r="AG1" s="2849"/>
      <c r="AH1" s="2849"/>
      <c r="AI1" s="2849"/>
      <c r="AJ1" s="2849"/>
      <c r="AK1" s="2849"/>
      <c r="AL1" s="2849"/>
      <c r="AM1" s="2849"/>
      <c r="AN1" s="2849"/>
      <c r="AO1" s="2849"/>
      <c r="AP1" s="2849"/>
      <c r="AQ1" s="2849"/>
      <c r="AR1" s="2849"/>
      <c r="AS1" s="2849"/>
      <c r="AT1" s="2849"/>
      <c r="AU1" s="2850"/>
      <c r="AV1" s="208"/>
      <c r="AW1" s="208"/>
      <c r="AX1" s="208"/>
      <c r="AY1" s="208"/>
      <c r="AZ1" s="209" t="s">
        <v>2319</v>
      </c>
      <c r="BA1" s="208"/>
      <c r="BB1" s="2855" t="s">
        <v>2320</v>
      </c>
      <c r="BC1" s="2856"/>
      <c r="BD1" s="2856"/>
      <c r="BE1" s="2857"/>
      <c r="BF1" s="208"/>
      <c r="BG1" s="208"/>
    </row>
    <row r="2" spans="1:64" ht="16.5" customHeight="1">
      <c r="A2" s="2858" t="str">
        <f>UPPER([24]Control!A2)</f>
        <v>MATRIZ RIESGOS DE CORRUPCIÓN</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60"/>
      <c r="AC2" s="2851"/>
      <c r="AD2" s="2851"/>
      <c r="AE2" s="2851"/>
      <c r="AF2" s="2851"/>
      <c r="AG2" s="2851"/>
      <c r="AH2" s="2851"/>
      <c r="AI2" s="2851"/>
      <c r="AJ2" s="2851"/>
      <c r="AK2" s="2851"/>
      <c r="AL2" s="2851"/>
      <c r="AM2" s="2851"/>
      <c r="AN2" s="2851"/>
      <c r="AO2" s="2851"/>
      <c r="AP2" s="2851"/>
      <c r="AQ2" s="2851"/>
      <c r="AR2" s="2851"/>
      <c r="AS2" s="2851"/>
      <c r="AT2" s="2851"/>
      <c r="AU2" s="2852"/>
      <c r="AV2" s="208"/>
      <c r="AW2" s="992"/>
      <c r="AX2" s="993"/>
      <c r="AY2" s="208"/>
      <c r="AZ2" s="322">
        <v>2019</v>
      </c>
      <c r="BA2" s="208"/>
      <c r="BB2" s="2830" t="s">
        <v>138</v>
      </c>
      <c r="BC2" s="2831"/>
      <c r="BD2" s="2861" t="str">
        <f>L6</f>
        <v>MEJORAMIENTO CONTINUO</v>
      </c>
      <c r="BE2" s="2862"/>
      <c r="BF2" s="586"/>
      <c r="BG2" s="208"/>
    </row>
    <row r="3" spans="1:64" ht="20.25" customHeight="1">
      <c r="A3" s="2863" t="s">
        <v>139</v>
      </c>
      <c r="B3" s="2864"/>
      <c r="C3" s="2864"/>
      <c r="D3" s="2865"/>
      <c r="E3" s="2866" t="s">
        <v>140</v>
      </c>
      <c r="F3" s="2864"/>
      <c r="G3" s="2864"/>
      <c r="H3" s="2864"/>
      <c r="I3" s="2864"/>
      <c r="J3" s="2864"/>
      <c r="K3" s="2864"/>
      <c r="L3" s="2864"/>
      <c r="M3" s="2864"/>
      <c r="N3" s="2864"/>
      <c r="O3" s="2864"/>
      <c r="P3" s="2864"/>
      <c r="Q3" s="2864"/>
      <c r="R3" s="2864"/>
      <c r="S3" s="2864"/>
      <c r="T3" s="2864"/>
      <c r="U3" s="2865"/>
      <c r="V3" s="2866" t="s">
        <v>141</v>
      </c>
      <c r="W3" s="2864"/>
      <c r="X3" s="2864"/>
      <c r="Y3" s="2864"/>
      <c r="Z3" s="2864"/>
      <c r="AA3" s="2864"/>
      <c r="AB3" s="2865"/>
      <c r="AC3" s="2851"/>
      <c r="AD3" s="2851"/>
      <c r="AE3" s="2851"/>
      <c r="AF3" s="2851"/>
      <c r="AG3" s="2851"/>
      <c r="AH3" s="2851"/>
      <c r="AI3" s="2851"/>
      <c r="AJ3" s="2851"/>
      <c r="AK3" s="2851"/>
      <c r="AL3" s="2851"/>
      <c r="AM3" s="2851"/>
      <c r="AN3" s="2851"/>
      <c r="AO3" s="2851"/>
      <c r="AP3" s="2851"/>
      <c r="AQ3" s="2851"/>
      <c r="AR3" s="2851"/>
      <c r="AS3" s="2851"/>
      <c r="AT3" s="2851"/>
      <c r="AU3" s="2852"/>
      <c r="AV3" s="208"/>
      <c r="AW3" s="993"/>
      <c r="AX3" s="993"/>
      <c r="AY3" s="208"/>
      <c r="AZ3" s="289" t="s">
        <v>2321</v>
      </c>
      <c r="BA3" s="208"/>
      <c r="BB3" s="2830" t="s">
        <v>2322</v>
      </c>
      <c r="BC3" s="2831"/>
      <c r="BD3" s="2830" t="s">
        <v>2323</v>
      </c>
      <c r="BE3" s="2831"/>
      <c r="BF3" s="208"/>
      <c r="BG3" s="208"/>
    </row>
    <row r="4" spans="1:64" ht="22.5" customHeight="1" thickBot="1">
      <c r="A4" s="2832" t="str">
        <f>[24]Control!A4</f>
        <v>FO-PE-05</v>
      </c>
      <c r="B4" s="2833"/>
      <c r="C4" s="2833"/>
      <c r="D4" s="2834"/>
      <c r="E4" s="2835" t="str">
        <f>[24]Control!C4</f>
        <v>Planeación Estratégica</v>
      </c>
      <c r="F4" s="2833"/>
      <c r="G4" s="2833"/>
      <c r="H4" s="2833"/>
      <c r="I4" s="2833"/>
      <c r="J4" s="2833"/>
      <c r="K4" s="2833"/>
      <c r="L4" s="2833"/>
      <c r="M4" s="2833"/>
      <c r="N4" s="2833"/>
      <c r="O4" s="2833"/>
      <c r="P4" s="2833"/>
      <c r="Q4" s="2833"/>
      <c r="R4" s="2833"/>
      <c r="S4" s="2833"/>
      <c r="T4" s="2833"/>
      <c r="U4" s="2834"/>
      <c r="V4" s="2835">
        <f>[24]Control!H4</f>
        <v>5</v>
      </c>
      <c r="W4" s="2833"/>
      <c r="X4" s="2833"/>
      <c r="Y4" s="2833"/>
      <c r="Z4" s="2833"/>
      <c r="AA4" s="2833"/>
      <c r="AB4" s="2834"/>
      <c r="AC4" s="2853"/>
      <c r="AD4" s="2853"/>
      <c r="AE4" s="2853"/>
      <c r="AF4" s="2853"/>
      <c r="AG4" s="2853"/>
      <c r="AH4" s="2853"/>
      <c r="AI4" s="2853"/>
      <c r="AJ4" s="2853"/>
      <c r="AK4" s="2853"/>
      <c r="AL4" s="2853"/>
      <c r="AM4" s="2853"/>
      <c r="AN4" s="2853"/>
      <c r="AO4" s="2853"/>
      <c r="AP4" s="2853"/>
      <c r="AQ4" s="2853"/>
      <c r="AR4" s="2853"/>
      <c r="AS4" s="2853"/>
      <c r="AT4" s="2853"/>
      <c r="AU4" s="2854"/>
      <c r="AV4" s="208"/>
      <c r="AW4" s="993"/>
      <c r="AX4" s="993"/>
      <c r="AY4" s="208"/>
      <c r="AZ4" s="232">
        <v>43434</v>
      </c>
      <c r="BA4" s="208"/>
      <c r="BB4" s="2914">
        <v>43710</v>
      </c>
      <c r="BC4" s="2282"/>
      <c r="BD4" s="2282" t="s">
        <v>3995</v>
      </c>
      <c r="BE4" s="2282"/>
      <c r="BF4" s="208"/>
      <c r="BG4" s="208"/>
    </row>
    <row r="5" spans="1:64" s="3" customFormat="1" ht="6" customHeight="1" thickTop="1">
      <c r="A5" s="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BA5" s="45"/>
      <c r="BB5"/>
      <c r="BC5"/>
      <c r="BD5"/>
      <c r="BE5"/>
      <c r="BF5" s="212"/>
      <c r="BG5" s="212"/>
      <c r="BH5" s="45"/>
      <c r="BI5" s="45"/>
      <c r="BJ5" s="45"/>
      <c r="BK5" s="45"/>
      <c r="BL5" s="45"/>
    </row>
    <row r="6" spans="1:64" s="3" customFormat="1" ht="27" customHeight="1">
      <c r="A6" s="2"/>
      <c r="B6" s="2839" t="s">
        <v>57</v>
      </c>
      <c r="C6" s="2840"/>
      <c r="D6" s="2805" t="s">
        <v>58</v>
      </c>
      <c r="E6" s="2806"/>
      <c r="F6" s="2806"/>
      <c r="G6" s="2806"/>
      <c r="H6" s="2807"/>
      <c r="I6" s="2839" t="s">
        <v>138</v>
      </c>
      <c r="J6" s="2841"/>
      <c r="K6" s="2840"/>
      <c r="L6" s="2797" t="s">
        <v>49</v>
      </c>
      <c r="M6" s="2798"/>
      <c r="N6" s="2798"/>
      <c r="O6" s="2798"/>
      <c r="P6" s="2798"/>
      <c r="Q6" s="2798"/>
      <c r="R6" s="2798"/>
      <c r="S6" s="2798"/>
      <c r="T6" s="2798"/>
      <c r="U6" s="2799"/>
      <c r="V6" s="2845" t="s">
        <v>59</v>
      </c>
      <c r="W6" s="2845"/>
      <c r="X6" s="2845"/>
      <c r="Y6" s="2845"/>
      <c r="Z6" s="2845"/>
      <c r="AA6" s="2827" t="s">
        <v>581</v>
      </c>
      <c r="AB6" s="2828"/>
      <c r="AC6" s="2828"/>
      <c r="AD6" s="2828"/>
      <c r="AE6" s="2828"/>
      <c r="AF6" s="2828"/>
      <c r="AG6" s="2828"/>
      <c r="AH6" s="2828"/>
      <c r="AI6" s="2828"/>
      <c r="AJ6" s="2828"/>
      <c r="AK6" s="2828"/>
      <c r="AL6" s="2828"/>
      <c r="AM6" s="2828"/>
      <c r="AN6" s="2828"/>
      <c r="AO6" s="2828"/>
      <c r="AP6" s="2828"/>
      <c r="AQ6" s="2828"/>
      <c r="AR6" s="2828"/>
      <c r="AS6" s="2828"/>
      <c r="AT6" s="2828"/>
      <c r="AU6" s="2828"/>
      <c r="AV6" s="2828"/>
      <c r="AW6" s="2828"/>
      <c r="AX6" s="2828"/>
      <c r="AY6" s="2828"/>
      <c r="AZ6" s="2828"/>
      <c r="BA6" s="2829"/>
      <c r="BB6" s="213"/>
      <c r="BC6" s="212"/>
      <c r="BD6" s="213"/>
      <c r="BE6" s="213"/>
      <c r="BF6" s="213"/>
      <c r="BG6" s="213"/>
      <c r="BH6" s="213"/>
      <c r="BI6" s="213"/>
      <c r="BJ6" s="213"/>
      <c r="BK6" s="213"/>
      <c r="BL6" s="213"/>
    </row>
    <row r="7" spans="1:64" s="3" customFormat="1" ht="6" customHeight="1">
      <c r="A7" s="2"/>
      <c r="B7" s="333"/>
      <c r="C7" s="333"/>
      <c r="D7" s="333"/>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8"/>
      <c r="AZ7" s="321"/>
      <c r="BA7" s="214"/>
      <c r="BB7" s="215"/>
      <c r="BC7" s="216"/>
      <c r="BD7" s="216"/>
      <c r="BE7" s="217"/>
      <c r="BF7" s="2815"/>
      <c r="BG7" s="2815"/>
      <c r="BH7" s="2815"/>
      <c r="BI7" s="2815"/>
      <c r="BJ7" s="2815"/>
      <c r="BK7" s="63"/>
      <c r="BL7" s="63"/>
    </row>
    <row r="8" spans="1:64" s="3" customFormat="1" ht="23.25" customHeight="1">
      <c r="A8" s="5"/>
      <c r="B8" s="2816" t="s">
        <v>143</v>
      </c>
      <c r="C8" s="2817"/>
      <c r="D8" s="2817"/>
      <c r="E8" s="2817"/>
      <c r="F8" s="2817"/>
      <c r="G8" s="2817"/>
      <c r="H8" s="2817"/>
      <c r="I8" s="2817"/>
      <c r="J8" s="2817"/>
      <c r="K8" s="2818"/>
      <c r="L8" s="2819" t="s">
        <v>236</v>
      </c>
      <c r="M8" s="2820"/>
      <c r="N8" s="2820"/>
      <c r="O8" s="2820"/>
      <c r="P8" s="2820"/>
      <c r="Q8" s="2820"/>
      <c r="R8" s="2821"/>
      <c r="S8" s="2822" t="s">
        <v>2324</v>
      </c>
      <c r="T8" s="2823"/>
      <c r="U8" s="2823"/>
      <c r="V8" s="2823"/>
      <c r="W8" s="2823"/>
      <c r="X8" s="2823"/>
      <c r="Y8" s="2823"/>
      <c r="Z8" s="2823"/>
      <c r="AA8" s="2823"/>
      <c r="AB8" s="2823"/>
      <c r="AC8" s="2823"/>
      <c r="AD8" s="2823"/>
      <c r="AE8" s="2823"/>
      <c r="AF8" s="2823"/>
      <c r="AG8" s="2823"/>
      <c r="AH8" s="2823"/>
      <c r="AI8" s="2823"/>
      <c r="AJ8" s="2823"/>
      <c r="AK8" s="2823"/>
      <c r="AL8" s="2823"/>
      <c r="AM8" s="2823"/>
      <c r="AN8" s="2823"/>
      <c r="AO8" s="2823"/>
      <c r="AP8" s="2823"/>
      <c r="AQ8" s="2823"/>
      <c r="AR8" s="2823"/>
      <c r="AS8" s="2823"/>
      <c r="AT8" s="2823"/>
      <c r="AU8" s="2823"/>
      <c r="AV8" s="2823"/>
      <c r="AW8" s="2824" t="s">
        <v>268</v>
      </c>
      <c r="AX8" s="2825"/>
      <c r="AY8" s="2825"/>
      <c r="AZ8" s="2825"/>
      <c r="BA8" s="218"/>
      <c r="BB8" s="219" t="s">
        <v>2325</v>
      </c>
      <c r="BC8" s="220"/>
      <c r="BD8" s="220"/>
      <c r="BE8" s="221"/>
      <c r="BF8" s="2826" t="s">
        <v>2326</v>
      </c>
      <c r="BG8" s="2826"/>
      <c r="BH8" s="2826"/>
      <c r="BI8" s="2826"/>
      <c r="BJ8" s="2826"/>
      <c r="BK8" s="583"/>
      <c r="BL8" s="213"/>
    </row>
    <row r="9" spans="1:64" s="67" customFormat="1" ht="69" customHeight="1">
      <c r="A9" s="5"/>
      <c r="B9" s="2812" t="s">
        <v>61</v>
      </c>
      <c r="C9" s="2813"/>
      <c r="D9" s="2814"/>
      <c r="E9" s="30" t="s">
        <v>139</v>
      </c>
      <c r="F9" s="2812" t="s">
        <v>237</v>
      </c>
      <c r="G9" s="2813"/>
      <c r="H9" s="2814"/>
      <c r="I9" s="2812" t="s">
        <v>145</v>
      </c>
      <c r="J9" s="2813"/>
      <c r="K9" s="2814"/>
      <c r="L9" s="25" t="s">
        <v>238</v>
      </c>
      <c r="M9" s="25" t="s">
        <v>241</v>
      </c>
      <c r="N9" s="26"/>
      <c r="O9" s="27" t="s">
        <v>239</v>
      </c>
      <c r="P9" s="27" t="s">
        <v>240</v>
      </c>
      <c r="Q9" s="27" t="s">
        <v>242</v>
      </c>
      <c r="R9" s="25" t="s">
        <v>243</v>
      </c>
      <c r="S9" s="2812" t="s">
        <v>244</v>
      </c>
      <c r="T9" s="2813"/>
      <c r="U9" s="2814"/>
      <c r="V9" s="25" t="s">
        <v>245</v>
      </c>
      <c r="W9" s="25" t="s">
        <v>246</v>
      </c>
      <c r="X9" s="25" t="s">
        <v>247</v>
      </c>
      <c r="Y9" s="28" t="s">
        <v>248</v>
      </c>
      <c r="Z9" s="28" t="s">
        <v>250</v>
      </c>
      <c r="AA9" s="28" t="s">
        <v>252</v>
      </c>
      <c r="AB9" s="28" t="s">
        <v>254</v>
      </c>
      <c r="AC9" s="28" t="s">
        <v>256</v>
      </c>
      <c r="AD9" s="28" t="s">
        <v>258</v>
      </c>
      <c r="AE9" s="28" t="s">
        <v>63</v>
      </c>
      <c r="AF9" s="29"/>
      <c r="AG9" s="331" t="s">
        <v>249</v>
      </c>
      <c r="AH9" s="331" t="s">
        <v>251</v>
      </c>
      <c r="AI9" s="331" t="s">
        <v>253</v>
      </c>
      <c r="AJ9" s="331" t="s">
        <v>255</v>
      </c>
      <c r="AK9" s="331" t="s">
        <v>257</v>
      </c>
      <c r="AL9" s="331" t="s">
        <v>259</v>
      </c>
      <c r="AM9" s="331" t="s">
        <v>260</v>
      </c>
      <c r="AN9" s="331" t="s">
        <v>261</v>
      </c>
      <c r="AO9" s="331" t="s">
        <v>262</v>
      </c>
      <c r="AP9" s="25" t="s">
        <v>263</v>
      </c>
      <c r="AQ9" s="27" t="s">
        <v>264</v>
      </c>
      <c r="AR9" s="25" t="s">
        <v>238</v>
      </c>
      <c r="AS9" s="27" t="s">
        <v>265</v>
      </c>
      <c r="AT9" s="25" t="s">
        <v>241</v>
      </c>
      <c r="AU9" s="25" t="s">
        <v>266</v>
      </c>
      <c r="AV9" s="25" t="s">
        <v>267</v>
      </c>
      <c r="AW9" s="829" t="s">
        <v>268</v>
      </c>
      <c r="AX9" s="30" t="s">
        <v>269</v>
      </c>
      <c r="AY9" s="222" t="s">
        <v>62</v>
      </c>
      <c r="AZ9" s="223" t="s">
        <v>2327</v>
      </c>
      <c r="BA9" s="224" t="s">
        <v>2328</v>
      </c>
      <c r="BB9" s="406" t="s">
        <v>2329</v>
      </c>
      <c r="BC9" s="224" t="s">
        <v>2330</v>
      </c>
      <c r="BD9" s="406" t="s">
        <v>2331</v>
      </c>
      <c r="BE9" s="406" t="s">
        <v>2332</v>
      </c>
      <c r="BF9" s="406" t="s">
        <v>2333</v>
      </c>
      <c r="BG9" s="406" t="s">
        <v>2334</v>
      </c>
      <c r="BH9" s="406" t="s">
        <v>2335</v>
      </c>
      <c r="BI9" s="406" t="s">
        <v>2336</v>
      </c>
      <c r="BJ9" s="406" t="s">
        <v>2337</v>
      </c>
      <c r="BK9" s="994" t="s">
        <v>4027</v>
      </c>
      <c r="BL9" s="102"/>
    </row>
    <row r="10" spans="1:64" s="3" customFormat="1" ht="298.5" customHeight="1">
      <c r="A10" s="332"/>
      <c r="B10" s="3029" t="s">
        <v>582</v>
      </c>
      <c r="C10" s="3030"/>
      <c r="D10" s="3031"/>
      <c r="E10" s="847" t="s">
        <v>25</v>
      </c>
      <c r="F10" s="3032" t="s">
        <v>583</v>
      </c>
      <c r="G10" s="3033"/>
      <c r="H10" s="3034"/>
      <c r="I10" s="3029" t="s">
        <v>387</v>
      </c>
      <c r="J10" s="3030"/>
      <c r="K10" s="3031"/>
      <c r="L10" s="313" t="s">
        <v>286</v>
      </c>
      <c r="M10" s="313" t="s">
        <v>270</v>
      </c>
      <c r="N10" s="313"/>
      <c r="O10" s="31">
        <f>VLOOKUP(L10,[24]Listas!$M$69:$N$73,2,0)</f>
        <v>2</v>
      </c>
      <c r="P10" s="31"/>
      <c r="Q10" s="31">
        <f>HLOOKUP(M10,[24]Listas!$O$67:$Q$68,2,0)</f>
        <v>10</v>
      </c>
      <c r="R10" s="314" t="str">
        <f>INDEX([24]Listas!$O$69:$Q$73,MATCH(L10,[24]Listas!$M$69:$M$73,0),MATCH(M10,[24]Listas!$O$67:$Q$67,0))</f>
        <v>20
MODERADA</v>
      </c>
      <c r="S10" s="3029" t="s">
        <v>3671</v>
      </c>
      <c r="T10" s="3030"/>
      <c r="U10" s="3031"/>
      <c r="V10" s="847" t="s">
        <v>65</v>
      </c>
      <c r="W10" s="847" t="s">
        <v>65</v>
      </c>
      <c r="X10" s="847" t="s">
        <v>65</v>
      </c>
      <c r="Y10" s="847" t="s">
        <v>65</v>
      </c>
      <c r="Z10" s="847" t="s">
        <v>65</v>
      </c>
      <c r="AA10" s="847" t="s">
        <v>36</v>
      </c>
      <c r="AB10" s="847" t="s">
        <v>65</v>
      </c>
      <c r="AC10" s="847" t="s">
        <v>65</v>
      </c>
      <c r="AD10" s="847" t="s">
        <v>65</v>
      </c>
      <c r="AE10" s="847" t="s">
        <v>65</v>
      </c>
      <c r="AF10" s="847"/>
      <c r="AG10" s="31">
        <f t="shared" ref="AG10:AG21" si="0">IF(Y10="SI",15,0)</f>
        <v>15</v>
      </c>
      <c r="AH10" s="31">
        <f t="shared" ref="AH10:AH21" si="1">IF(Z10="SI",5,0)</f>
        <v>5</v>
      </c>
      <c r="AI10" s="31">
        <f t="shared" ref="AI10:AI21" si="2">IF(AA10="SI",15,0)</f>
        <v>0</v>
      </c>
      <c r="AJ10" s="31">
        <f t="shared" ref="AJ10:AJ21" si="3">IF(AB10="SI",10,0)</f>
        <v>10</v>
      </c>
      <c r="AK10" s="31">
        <f t="shared" ref="AK10:AK21" si="4">IF(AC10="SI",15,0)</f>
        <v>15</v>
      </c>
      <c r="AL10" s="31">
        <f t="shared" ref="AL10:AL21" si="5">IF(AD10="SI",10,0)</f>
        <v>10</v>
      </c>
      <c r="AM10" s="31">
        <f t="shared" ref="AM10:AM21" si="6">IF(AE10="SI",30,0)</f>
        <v>30</v>
      </c>
      <c r="AN10" s="31">
        <f t="shared" ref="AN10:AN21" si="7">SUM(AG10+AH10+AI10+AJ10+AK10+AL10+AM10)</f>
        <v>85</v>
      </c>
      <c r="AO10" s="31">
        <f t="shared" ref="AO10:AO21" si="8">IF(AN10&lt;=50,0,IF(AN10&gt;=76,2,1))</f>
        <v>2</v>
      </c>
      <c r="AP10" s="314" t="str">
        <f t="shared" ref="AP10:AP21" si="9">CONCATENATE(AN10,"- disminuye ",AO10)</f>
        <v>85- disminuye 2</v>
      </c>
      <c r="AQ10" s="31">
        <f t="shared" ref="AQ10:AQ21" si="10">IF(V10="SI",O10-AO10,O10)</f>
        <v>0</v>
      </c>
      <c r="AR10" s="314" t="str">
        <f>IF(AQ10&lt;=1,"Rara vez",VLOOKUP(AQ10,[24]Listas!$L$69:$M$73,2,0))</f>
        <v>Rara vez</v>
      </c>
      <c r="AS10" s="31">
        <f t="shared" ref="AS10:AS21" si="11">IF(W10="SI",Q10-AO10,Q10)</f>
        <v>8</v>
      </c>
      <c r="AT10" s="314" t="str">
        <f t="shared" ref="AT10:AT21" si="12">IF(AS10&lt;=9,"Moderado",IF(AS10=20,"Catastrófico",IF(AS10=18,"Moderado","Mayor")))</f>
        <v>Moderado</v>
      </c>
      <c r="AU10" s="314" t="str">
        <f>INDEX([24]Listas!$O$69:$Q$73,MATCH(AR10,[24]Listas!$M$69:$M$73,0),MATCH(AT10,[24]Listas!$O$67:$Q$67,0))</f>
        <v>5
BAJA</v>
      </c>
      <c r="AV10" s="313" t="s">
        <v>271</v>
      </c>
      <c r="AW10" s="850" t="s">
        <v>4028</v>
      </c>
      <c r="AX10" s="847" t="s">
        <v>4029</v>
      </c>
      <c r="AY10" s="847" t="s">
        <v>3672</v>
      </c>
      <c r="AZ10" s="72" t="s">
        <v>2784</v>
      </c>
      <c r="BA10" s="72" t="s">
        <v>3673</v>
      </c>
      <c r="BB10" s="226" t="s">
        <v>4030</v>
      </c>
      <c r="BC10" s="12" t="s">
        <v>4031</v>
      </c>
      <c r="BD10" s="12" t="s">
        <v>4032</v>
      </c>
      <c r="BE10" s="584" t="s">
        <v>36</v>
      </c>
      <c r="BF10" s="584" t="s">
        <v>2573</v>
      </c>
      <c r="BG10" s="584" t="s">
        <v>2573</v>
      </c>
      <c r="BH10" s="995" t="s">
        <v>2573</v>
      </c>
      <c r="BI10" s="995" t="s">
        <v>2573</v>
      </c>
      <c r="BJ10" s="584" t="s">
        <v>2573</v>
      </c>
      <c r="BK10" s="996" t="s">
        <v>4033</v>
      </c>
      <c r="BL10" s="228"/>
    </row>
    <row r="11" spans="1:64" s="3" customFormat="1" ht="168" customHeight="1">
      <c r="A11" s="332"/>
      <c r="B11" s="3029" t="s">
        <v>584</v>
      </c>
      <c r="C11" s="3030"/>
      <c r="D11" s="3031"/>
      <c r="E11" s="847" t="s">
        <v>585</v>
      </c>
      <c r="F11" s="3032" t="s">
        <v>586</v>
      </c>
      <c r="G11" s="3033"/>
      <c r="H11" s="3034"/>
      <c r="I11" s="2797" t="s">
        <v>969</v>
      </c>
      <c r="J11" s="2798"/>
      <c r="K11" s="2799"/>
      <c r="L11" s="313" t="s">
        <v>283</v>
      </c>
      <c r="M11" s="313" t="s">
        <v>287</v>
      </c>
      <c r="N11" s="313"/>
      <c r="O11" s="31">
        <f>VLOOKUP(L11,[24]Listas!$M$69:$N$73,2,0)</f>
        <v>1</v>
      </c>
      <c r="P11" s="31"/>
      <c r="Q11" s="31">
        <f>HLOOKUP(M11,[24]Listas!$O$67:$Q$68,2,0)</f>
        <v>20</v>
      </c>
      <c r="R11" s="314" t="str">
        <f>INDEX([24]Listas!$O$69:$Q$73,MATCH(L11,[24]Listas!$M$69:$M$73,0),MATCH(M11,[24]Listas!$O$67:$Q$67,0))</f>
        <v>20
MODERADA</v>
      </c>
      <c r="S11" s="3029" t="s">
        <v>3674</v>
      </c>
      <c r="T11" s="3030"/>
      <c r="U11" s="3031"/>
      <c r="V11" s="847" t="s">
        <v>65</v>
      </c>
      <c r="W11" s="847" t="s">
        <v>65</v>
      </c>
      <c r="X11" s="847" t="s">
        <v>65</v>
      </c>
      <c r="Y11" s="847" t="s">
        <v>65</v>
      </c>
      <c r="Z11" s="847" t="s">
        <v>65</v>
      </c>
      <c r="AA11" s="847" t="s">
        <v>36</v>
      </c>
      <c r="AB11" s="847" t="s">
        <v>65</v>
      </c>
      <c r="AC11" s="847" t="s">
        <v>65</v>
      </c>
      <c r="AD11" s="847" t="s">
        <v>65</v>
      </c>
      <c r="AE11" s="847" t="s">
        <v>65</v>
      </c>
      <c r="AF11" s="847"/>
      <c r="AG11" s="31">
        <f t="shared" si="0"/>
        <v>15</v>
      </c>
      <c r="AH11" s="31">
        <f t="shared" si="1"/>
        <v>5</v>
      </c>
      <c r="AI11" s="31">
        <f t="shared" si="2"/>
        <v>0</v>
      </c>
      <c r="AJ11" s="31">
        <f t="shared" si="3"/>
        <v>10</v>
      </c>
      <c r="AK11" s="31">
        <f t="shared" si="4"/>
        <v>15</v>
      </c>
      <c r="AL11" s="31">
        <f t="shared" si="5"/>
        <v>10</v>
      </c>
      <c r="AM11" s="31">
        <f t="shared" si="6"/>
        <v>30</v>
      </c>
      <c r="AN11" s="31">
        <f t="shared" si="7"/>
        <v>85</v>
      </c>
      <c r="AO11" s="31">
        <f t="shared" si="8"/>
        <v>2</v>
      </c>
      <c r="AP11" s="314" t="str">
        <f t="shared" si="9"/>
        <v>85- disminuye 2</v>
      </c>
      <c r="AQ11" s="31">
        <f t="shared" si="10"/>
        <v>-1</v>
      </c>
      <c r="AR11" s="314" t="str">
        <f>IF(AQ11&lt;=1,"Rara vez",VLOOKUP(AQ11,[24]Listas!$L$69:$M$73,2,0))</f>
        <v>Rara vez</v>
      </c>
      <c r="AS11" s="31">
        <f t="shared" si="11"/>
        <v>18</v>
      </c>
      <c r="AT11" s="314" t="str">
        <f t="shared" si="12"/>
        <v>Moderado</v>
      </c>
      <c r="AU11" s="314" t="str">
        <f>INDEX([24]Listas!$O$69:$Q$73,MATCH(AR11,[24]Listas!$M$69:$M$73,0),MATCH(AT11,[24]Listas!$O$67:$Q$67,0))</f>
        <v>5
BAJA</v>
      </c>
      <c r="AV11" s="313" t="s">
        <v>271</v>
      </c>
      <c r="AW11" s="850" t="s">
        <v>587</v>
      </c>
      <c r="AX11" s="847" t="s">
        <v>588</v>
      </c>
      <c r="AY11" s="847" t="s">
        <v>2785</v>
      </c>
      <c r="AZ11" s="72" t="s">
        <v>2786</v>
      </c>
      <c r="BA11" s="72" t="s">
        <v>2787</v>
      </c>
      <c r="BB11" s="839">
        <v>0</v>
      </c>
      <c r="BC11" s="12" t="s">
        <v>3675</v>
      </c>
      <c r="BD11" s="12" t="s">
        <v>4034</v>
      </c>
      <c r="BE11" s="584" t="s">
        <v>36</v>
      </c>
      <c r="BF11" s="584" t="s">
        <v>2573</v>
      </c>
      <c r="BG11" s="584" t="s">
        <v>2573</v>
      </c>
      <c r="BH11" s="585" t="s">
        <v>2573</v>
      </c>
      <c r="BI11" s="585" t="s">
        <v>2573</v>
      </c>
      <c r="BJ11" s="584" t="s">
        <v>2573</v>
      </c>
      <c r="BK11" s="997" t="s">
        <v>4035</v>
      </c>
      <c r="BL11" s="228"/>
    </row>
    <row r="12" spans="1:64" s="3" customFormat="1" ht="108" hidden="1" customHeight="1">
      <c r="A12" s="332"/>
      <c r="B12" s="2805"/>
      <c r="C12" s="2806"/>
      <c r="D12" s="2807"/>
      <c r="E12" s="843"/>
      <c r="F12" s="2808"/>
      <c r="G12" s="2809"/>
      <c r="H12" s="2810"/>
      <c r="I12" s="2805"/>
      <c r="J12" s="2806"/>
      <c r="K12" s="2807"/>
      <c r="L12" s="330"/>
      <c r="M12" s="50"/>
      <c r="N12" s="32"/>
      <c r="O12" s="6" t="e">
        <f>VLOOKUP(L12,[24]Listas!$M$69:$N$73,2,0)</f>
        <v>#N/A</v>
      </c>
      <c r="P12" s="6"/>
      <c r="Q12" s="6" t="e">
        <f>HLOOKUP(M12,[24]Listas!$O$67:$Q$68,2,0)</f>
        <v>#N/A</v>
      </c>
      <c r="R12" s="331" t="e">
        <f>INDEX([24]Listas!$O$69:$Q$73,MATCH(L12,[24]Listas!$M$69:$M$73,0),MATCH(M12,[24]Listas!$O$67:$Q$67,0))</f>
        <v>#N/A</v>
      </c>
      <c r="S12" s="2805"/>
      <c r="T12" s="2806"/>
      <c r="U12" s="2807"/>
      <c r="V12" s="329"/>
      <c r="W12" s="329"/>
      <c r="X12" s="329"/>
      <c r="Y12" s="329"/>
      <c r="Z12" s="329"/>
      <c r="AA12" s="329"/>
      <c r="AB12" s="329"/>
      <c r="AC12" s="329"/>
      <c r="AD12" s="329"/>
      <c r="AE12" s="329"/>
      <c r="AF12" s="33"/>
      <c r="AG12" s="6">
        <f>IF(Y12="SI",15,0)</f>
        <v>0</v>
      </c>
      <c r="AH12" s="6">
        <f>IF(Z12="SI",5,0)</f>
        <v>0</v>
      </c>
      <c r="AI12" s="6">
        <f>IF(AA12="SI",15,0)</f>
        <v>0</v>
      </c>
      <c r="AJ12" s="6">
        <f>IF(AB12="SI",10,0)</f>
        <v>0</v>
      </c>
      <c r="AK12" s="6">
        <f>IF(AC12="SI",15,0)</f>
        <v>0</v>
      </c>
      <c r="AL12" s="6">
        <f>IF(AD12="SI",10,0)</f>
        <v>0</v>
      </c>
      <c r="AM12" s="6">
        <f>IF(AE12="SI",30,0)</f>
        <v>0</v>
      </c>
      <c r="AN12" s="6">
        <f>SUM(AG12+AH12+AI12+AJ12+AK12+AL12+AM12)</f>
        <v>0</v>
      </c>
      <c r="AO12" s="6">
        <f>IF(AN12&lt;=50,0,IF(AN12&gt;=76,2,1))</f>
        <v>0</v>
      </c>
      <c r="AP12" s="331" t="str">
        <f>CONCATENATE(AN12,"- disminuye ",AO12)</f>
        <v>0- disminuye 0</v>
      </c>
      <c r="AQ12" s="6" t="e">
        <f>IF(V12="SI",O12-AO12,O12)</f>
        <v>#N/A</v>
      </c>
      <c r="AR12" s="331" t="e">
        <f>IF(AQ12&lt;=1,"Rara vez",VLOOKUP(AQ12,[24]Listas!$L$69:$M$73,2,0))</f>
        <v>#N/A</v>
      </c>
      <c r="AS12" s="6" t="e">
        <f>IF(W12="SI",Q12-AO12,Q12)</f>
        <v>#N/A</v>
      </c>
      <c r="AT12" s="331" t="e">
        <f>IF(AS12&lt;=9,"Moderado",IF(AS12=20,"Catastrófico",IF(AS12=18,"Moderado","Mayor")))</f>
        <v>#N/A</v>
      </c>
      <c r="AU12" s="331" t="e">
        <f>INDEX([24]Listas!$O$69:$Q$73,MATCH(AR12,[24]Listas!$M$69:$M$73,0),MATCH(AT12,[24]Listas!$O$67:$Q$67,0))</f>
        <v>#N/A</v>
      </c>
      <c r="AV12" s="330"/>
      <c r="AW12" s="826"/>
      <c r="AX12" s="843"/>
      <c r="AY12" s="843"/>
      <c r="AZ12" s="12"/>
      <c r="BA12" s="12"/>
      <c r="BB12" s="839"/>
      <c r="BC12" s="12"/>
      <c r="BD12" s="12" t="s">
        <v>2343</v>
      </c>
      <c r="BE12" s="839"/>
      <c r="BF12" s="12"/>
      <c r="BG12" s="12"/>
      <c r="BH12" s="227"/>
      <c r="BI12" s="227"/>
      <c r="BJ12" s="839"/>
      <c r="BK12" s="228"/>
      <c r="BL12" s="228"/>
    </row>
    <row r="13" spans="1:64" s="3" customFormat="1" ht="108" hidden="1" customHeight="1">
      <c r="A13" s="332"/>
      <c r="B13" s="2805"/>
      <c r="C13" s="2806"/>
      <c r="D13" s="2807"/>
      <c r="E13" s="843"/>
      <c r="F13" s="2808"/>
      <c r="G13" s="2809"/>
      <c r="H13" s="2810"/>
      <c r="I13" s="2805"/>
      <c r="J13" s="2806"/>
      <c r="K13" s="2807"/>
      <c r="L13" s="330"/>
      <c r="M13" s="50"/>
      <c r="N13" s="32"/>
      <c r="O13" s="6" t="e">
        <f>VLOOKUP(L13,[24]Listas!$M$69:$N$73,2,0)</f>
        <v>#N/A</v>
      </c>
      <c r="P13" s="6"/>
      <c r="Q13" s="6" t="e">
        <f>HLOOKUP(M13,[24]Listas!$O$67:$Q$68,2,0)</f>
        <v>#N/A</v>
      </c>
      <c r="R13" s="331" t="e">
        <f>INDEX([24]Listas!$O$69:$Q$73,MATCH(L13,[24]Listas!$M$69:$M$73,0),MATCH(M13,[24]Listas!$O$67:$Q$67,0))</f>
        <v>#N/A</v>
      </c>
      <c r="S13" s="2805"/>
      <c r="T13" s="2806"/>
      <c r="U13" s="2807"/>
      <c r="V13" s="329"/>
      <c r="W13" s="329"/>
      <c r="X13" s="329"/>
      <c r="Y13" s="329"/>
      <c r="Z13" s="329"/>
      <c r="AA13" s="329"/>
      <c r="AB13" s="329"/>
      <c r="AC13" s="329"/>
      <c r="AD13" s="329"/>
      <c r="AE13" s="329"/>
      <c r="AF13" s="33"/>
      <c r="AG13" s="6">
        <f>IF(Y13="SI",15,0)</f>
        <v>0</v>
      </c>
      <c r="AH13" s="6">
        <f>IF(Z13="SI",5,0)</f>
        <v>0</v>
      </c>
      <c r="AI13" s="6">
        <f>IF(AA13="SI",15,0)</f>
        <v>0</v>
      </c>
      <c r="AJ13" s="6">
        <f>IF(AB13="SI",10,0)</f>
        <v>0</v>
      </c>
      <c r="AK13" s="6">
        <f>IF(AC13="SI",15,0)</f>
        <v>0</v>
      </c>
      <c r="AL13" s="6">
        <f>IF(AD13="SI",10,0)</f>
        <v>0</v>
      </c>
      <c r="AM13" s="6">
        <f>IF(AE13="SI",30,0)</f>
        <v>0</v>
      </c>
      <c r="AN13" s="6">
        <f>SUM(AG13+AH13+AI13+AJ13+AK13+AL13+AM13)</f>
        <v>0</v>
      </c>
      <c r="AO13" s="6">
        <f>IF(AN13&lt;=50,0,IF(AN13&gt;=76,2,1))</f>
        <v>0</v>
      </c>
      <c r="AP13" s="331" t="str">
        <f>CONCATENATE(AN13,"- disminuye ",AO13)</f>
        <v>0- disminuye 0</v>
      </c>
      <c r="AQ13" s="6" t="e">
        <f>IF(V13="SI",O13-AO13,O13)</f>
        <v>#N/A</v>
      </c>
      <c r="AR13" s="331" t="e">
        <f>IF(AQ13&lt;=1,"Rara vez",VLOOKUP(AQ13,[24]Listas!$L$69:$M$73,2,0))</f>
        <v>#N/A</v>
      </c>
      <c r="AS13" s="6" t="e">
        <f>IF(W13="SI",Q13-AO13,Q13)</f>
        <v>#N/A</v>
      </c>
      <c r="AT13" s="331" t="e">
        <f>IF(AS13&lt;=9,"Moderado",IF(AS13=20,"Catastrófico",IF(AS13=18,"Moderado","Mayor")))</f>
        <v>#N/A</v>
      </c>
      <c r="AU13" s="331" t="e">
        <f>INDEX([24]Listas!$O$69:$Q$73,MATCH(AR13,[24]Listas!$M$69:$M$73,0),MATCH(AT13,[24]Listas!$O$67:$Q$67,0))</f>
        <v>#N/A</v>
      </c>
      <c r="AV13" s="330"/>
      <c r="AW13" s="826"/>
      <c r="AX13" s="843"/>
      <c r="AY13" s="843"/>
      <c r="AZ13" s="12"/>
      <c r="BA13" s="12"/>
      <c r="BB13" s="839"/>
      <c r="BC13" s="12"/>
      <c r="BD13" s="12" t="s">
        <v>2343</v>
      </c>
      <c r="BE13" s="839"/>
      <c r="BF13" s="12"/>
      <c r="BG13" s="12"/>
      <c r="BH13" s="227"/>
      <c r="BI13" s="227"/>
      <c r="BJ13" s="839"/>
      <c r="BK13" s="228"/>
      <c r="BL13" s="228"/>
    </row>
    <row r="14" spans="1:64" s="3" customFormat="1" ht="108" hidden="1" customHeight="1">
      <c r="A14" s="332"/>
      <c r="B14" s="2805"/>
      <c r="C14" s="2806"/>
      <c r="D14" s="2807"/>
      <c r="E14" s="843"/>
      <c r="F14" s="2808"/>
      <c r="G14" s="2809"/>
      <c r="H14" s="2810"/>
      <c r="I14" s="2805"/>
      <c r="J14" s="2806"/>
      <c r="K14" s="2807"/>
      <c r="L14" s="330"/>
      <c r="M14" s="50"/>
      <c r="N14" s="32"/>
      <c r="O14" s="6" t="e">
        <f>VLOOKUP(L14,[24]Listas!$M$69:$N$73,2,0)</f>
        <v>#N/A</v>
      </c>
      <c r="P14" s="6"/>
      <c r="Q14" s="6" t="e">
        <f>HLOOKUP(M14,[24]Listas!$O$67:$Q$68,2,0)</f>
        <v>#N/A</v>
      </c>
      <c r="R14" s="331" t="e">
        <f>INDEX([24]Listas!$O$69:$Q$73,MATCH(L14,[24]Listas!$M$69:$M$73,0),MATCH(M14,[24]Listas!$O$67:$Q$67,0))</f>
        <v>#N/A</v>
      </c>
      <c r="S14" s="2805"/>
      <c r="T14" s="2806"/>
      <c r="U14" s="2807"/>
      <c r="V14" s="329"/>
      <c r="W14" s="329"/>
      <c r="X14" s="329"/>
      <c r="Y14" s="329"/>
      <c r="Z14" s="329"/>
      <c r="AA14" s="329"/>
      <c r="AB14" s="329"/>
      <c r="AC14" s="329"/>
      <c r="AD14" s="329"/>
      <c r="AE14" s="329"/>
      <c r="AF14" s="33"/>
      <c r="AG14" s="6">
        <f>IF(Y14="SI",15,0)</f>
        <v>0</v>
      </c>
      <c r="AH14" s="6">
        <f>IF(Z14="SI",5,0)</f>
        <v>0</v>
      </c>
      <c r="AI14" s="6">
        <f>IF(AA14="SI",15,0)</f>
        <v>0</v>
      </c>
      <c r="AJ14" s="6">
        <f>IF(AB14="SI",10,0)</f>
        <v>0</v>
      </c>
      <c r="AK14" s="6">
        <f>IF(AC14="SI",15,0)</f>
        <v>0</v>
      </c>
      <c r="AL14" s="6">
        <f>IF(AD14="SI",10,0)</f>
        <v>0</v>
      </c>
      <c r="AM14" s="6">
        <f>IF(AE14="SI",30,0)</f>
        <v>0</v>
      </c>
      <c r="AN14" s="6">
        <f>SUM(AG14+AH14+AI14+AJ14+AK14+AL14+AM14)</f>
        <v>0</v>
      </c>
      <c r="AO14" s="6">
        <f>IF(AN14&lt;=50,0,IF(AN14&gt;=76,2,1))</f>
        <v>0</v>
      </c>
      <c r="AP14" s="331" t="str">
        <f>CONCATENATE(AN14,"- disminuye ",AO14)</f>
        <v>0- disminuye 0</v>
      </c>
      <c r="AQ14" s="6" t="e">
        <f>IF(V14="SI",O14-AO14,O14)</f>
        <v>#N/A</v>
      </c>
      <c r="AR14" s="331" t="e">
        <f>IF(AQ14&lt;=1,"Rara vez",VLOOKUP(AQ14,[24]Listas!$L$69:$M$73,2,0))</f>
        <v>#N/A</v>
      </c>
      <c r="AS14" s="6" t="e">
        <f>IF(W14="SI",Q14-AO14,Q14)</f>
        <v>#N/A</v>
      </c>
      <c r="AT14" s="331" t="e">
        <f>IF(AS14&lt;=9,"Moderado",IF(AS14=20,"Catastrófico",IF(AS14=18,"Moderado","Mayor")))</f>
        <v>#N/A</v>
      </c>
      <c r="AU14" s="331" t="e">
        <f>INDEX([24]Listas!$O$69:$Q$73,MATCH(AR14,[24]Listas!$M$69:$M$73,0),MATCH(AT14,[24]Listas!$O$67:$Q$67,0))</f>
        <v>#N/A</v>
      </c>
      <c r="AV14" s="330"/>
      <c r="AW14" s="826"/>
      <c r="AX14" s="843"/>
      <c r="AY14" s="843"/>
      <c r="AZ14" s="12"/>
      <c r="BA14" s="12"/>
      <c r="BB14" s="839"/>
      <c r="BC14" s="12"/>
      <c r="BD14" s="12" t="s">
        <v>2343</v>
      </c>
      <c r="BE14" s="839"/>
      <c r="BF14" s="12"/>
      <c r="BG14" s="12"/>
      <c r="BH14" s="227"/>
      <c r="BI14" s="227"/>
      <c r="BJ14" s="839"/>
      <c r="BK14" s="228"/>
      <c r="BL14" s="228"/>
    </row>
    <row r="15" spans="1:64" s="3" customFormat="1" ht="108" hidden="1" customHeight="1">
      <c r="A15" s="332"/>
      <c r="B15" s="2805"/>
      <c r="C15" s="2806"/>
      <c r="D15" s="2807"/>
      <c r="E15" s="843"/>
      <c r="F15" s="2808"/>
      <c r="G15" s="2809"/>
      <c r="H15" s="2810"/>
      <c r="I15" s="2805"/>
      <c r="J15" s="2806"/>
      <c r="K15" s="2807"/>
      <c r="L15" s="330"/>
      <c r="M15" s="50"/>
      <c r="N15" s="32"/>
      <c r="O15" s="6" t="e">
        <f>VLOOKUP(L15,[24]Listas!$M$69:$N$73,2,0)</f>
        <v>#N/A</v>
      </c>
      <c r="P15" s="6"/>
      <c r="Q15" s="6" t="e">
        <f>HLOOKUP(M15,[24]Listas!$O$67:$Q$68,2,0)</f>
        <v>#N/A</v>
      </c>
      <c r="R15" s="331" t="e">
        <f>INDEX([24]Listas!$O$69:$Q$73,MATCH(L15,[24]Listas!$M$69:$M$73,0),MATCH(M15,[24]Listas!$O$67:$Q$67,0))</f>
        <v>#N/A</v>
      </c>
      <c r="S15" s="2805"/>
      <c r="T15" s="2806"/>
      <c r="U15" s="2807"/>
      <c r="V15" s="329"/>
      <c r="W15" s="329"/>
      <c r="X15" s="329"/>
      <c r="Y15" s="329"/>
      <c r="Z15" s="329"/>
      <c r="AA15" s="329"/>
      <c r="AB15" s="329"/>
      <c r="AC15" s="329"/>
      <c r="AD15" s="329"/>
      <c r="AE15" s="329"/>
      <c r="AF15" s="33"/>
      <c r="AG15" s="6">
        <f t="shared" si="0"/>
        <v>0</v>
      </c>
      <c r="AH15" s="6">
        <f t="shared" si="1"/>
        <v>0</v>
      </c>
      <c r="AI15" s="6">
        <f t="shared" si="2"/>
        <v>0</v>
      </c>
      <c r="AJ15" s="6">
        <f t="shared" si="3"/>
        <v>0</v>
      </c>
      <c r="AK15" s="6">
        <f t="shared" si="4"/>
        <v>0</v>
      </c>
      <c r="AL15" s="6">
        <f t="shared" si="5"/>
        <v>0</v>
      </c>
      <c r="AM15" s="6">
        <f t="shared" si="6"/>
        <v>0</v>
      </c>
      <c r="AN15" s="6">
        <f t="shared" si="7"/>
        <v>0</v>
      </c>
      <c r="AO15" s="6">
        <f t="shared" si="8"/>
        <v>0</v>
      </c>
      <c r="AP15" s="331" t="str">
        <f t="shared" si="9"/>
        <v>0- disminuye 0</v>
      </c>
      <c r="AQ15" s="6" t="e">
        <f t="shared" si="10"/>
        <v>#N/A</v>
      </c>
      <c r="AR15" s="331" t="e">
        <f>IF(AQ15&lt;=1,"Rara vez",VLOOKUP(AQ15,[24]Listas!$L$69:$M$73,2,0))</f>
        <v>#N/A</v>
      </c>
      <c r="AS15" s="6" t="e">
        <f t="shared" si="11"/>
        <v>#N/A</v>
      </c>
      <c r="AT15" s="331" t="e">
        <f t="shared" si="12"/>
        <v>#N/A</v>
      </c>
      <c r="AU15" s="331" t="e">
        <f>INDEX([24]Listas!$O$69:$Q$73,MATCH(AR15,[24]Listas!$M$69:$M$73,0),MATCH(AT15,[24]Listas!$O$67:$Q$67,0))</f>
        <v>#N/A</v>
      </c>
      <c r="AV15" s="330"/>
      <c r="AW15" s="826"/>
      <c r="AX15" s="843"/>
      <c r="AY15" s="843"/>
      <c r="AZ15" s="12"/>
      <c r="BA15" s="12"/>
      <c r="BB15" s="839"/>
      <c r="BC15" s="12"/>
      <c r="BD15" s="12" t="s">
        <v>2343</v>
      </c>
      <c r="BE15" s="839"/>
      <c r="BF15" s="12"/>
      <c r="BG15" s="12"/>
      <c r="BH15" s="227"/>
      <c r="BI15" s="227"/>
      <c r="BJ15" s="839"/>
      <c r="BK15" s="228"/>
      <c r="BL15" s="228"/>
    </row>
    <row r="16" spans="1:64" s="3" customFormat="1" ht="108" hidden="1" customHeight="1">
      <c r="A16" s="332"/>
      <c r="B16" s="2805"/>
      <c r="C16" s="2806"/>
      <c r="D16" s="2807"/>
      <c r="E16" s="843"/>
      <c r="F16" s="2808"/>
      <c r="G16" s="2809"/>
      <c r="H16" s="2810"/>
      <c r="I16" s="2805"/>
      <c r="J16" s="2806"/>
      <c r="K16" s="2807"/>
      <c r="L16" s="330"/>
      <c r="M16" s="50"/>
      <c r="N16" s="32"/>
      <c r="O16" s="6" t="e">
        <f>VLOOKUP(L16,[24]Listas!$M$69:$N$73,2,0)</f>
        <v>#N/A</v>
      </c>
      <c r="P16" s="6"/>
      <c r="Q16" s="6" t="e">
        <f>HLOOKUP(M16,[24]Listas!$O$67:$Q$68,2,0)</f>
        <v>#N/A</v>
      </c>
      <c r="R16" s="331" t="e">
        <f>INDEX([24]Listas!$O$69:$Q$73,MATCH(L16,[24]Listas!$M$69:$M$73,0),MATCH(M16,[24]Listas!$O$67:$Q$67,0))</f>
        <v>#N/A</v>
      </c>
      <c r="S16" s="2805"/>
      <c r="T16" s="2806"/>
      <c r="U16" s="2807"/>
      <c r="V16" s="329"/>
      <c r="W16" s="329"/>
      <c r="X16" s="329"/>
      <c r="Y16" s="329"/>
      <c r="Z16" s="329"/>
      <c r="AA16" s="329"/>
      <c r="AB16" s="329"/>
      <c r="AC16" s="329"/>
      <c r="AD16" s="329"/>
      <c r="AE16" s="329"/>
      <c r="AF16" s="33"/>
      <c r="AG16" s="6">
        <f t="shared" si="0"/>
        <v>0</v>
      </c>
      <c r="AH16" s="6">
        <f t="shared" si="1"/>
        <v>0</v>
      </c>
      <c r="AI16" s="6">
        <f t="shared" si="2"/>
        <v>0</v>
      </c>
      <c r="AJ16" s="6">
        <f t="shared" si="3"/>
        <v>0</v>
      </c>
      <c r="AK16" s="6">
        <f t="shared" si="4"/>
        <v>0</v>
      </c>
      <c r="AL16" s="6">
        <f t="shared" si="5"/>
        <v>0</v>
      </c>
      <c r="AM16" s="6">
        <f t="shared" si="6"/>
        <v>0</v>
      </c>
      <c r="AN16" s="6">
        <f t="shared" si="7"/>
        <v>0</v>
      </c>
      <c r="AO16" s="6">
        <f t="shared" si="8"/>
        <v>0</v>
      </c>
      <c r="AP16" s="331" t="str">
        <f t="shared" si="9"/>
        <v>0- disminuye 0</v>
      </c>
      <c r="AQ16" s="6" t="e">
        <f t="shared" si="10"/>
        <v>#N/A</v>
      </c>
      <c r="AR16" s="331" t="e">
        <f>IF(AQ16&lt;=1,"Rara vez",VLOOKUP(AQ16,[24]Listas!$L$69:$M$73,2,0))</f>
        <v>#N/A</v>
      </c>
      <c r="AS16" s="6" t="e">
        <f t="shared" si="11"/>
        <v>#N/A</v>
      </c>
      <c r="AT16" s="331" t="e">
        <f t="shared" si="12"/>
        <v>#N/A</v>
      </c>
      <c r="AU16" s="331" t="e">
        <f>INDEX([24]Listas!$O$69:$Q$73,MATCH(AR16,[24]Listas!$M$69:$M$73,0),MATCH(AT16,[24]Listas!$O$67:$Q$67,0))</f>
        <v>#N/A</v>
      </c>
      <c r="AV16" s="330"/>
      <c r="AW16" s="826"/>
      <c r="AX16" s="843"/>
      <c r="AY16" s="843"/>
      <c r="AZ16" s="12"/>
      <c r="BA16" s="12"/>
      <c r="BB16" s="839"/>
      <c r="BC16" s="12"/>
      <c r="BD16" s="12" t="s">
        <v>2343</v>
      </c>
      <c r="BE16" s="839"/>
      <c r="BF16" s="12"/>
      <c r="BG16" s="12"/>
      <c r="BH16" s="227"/>
      <c r="BI16" s="227"/>
      <c r="BJ16" s="839"/>
      <c r="BK16" s="228"/>
      <c r="BL16" s="228"/>
    </row>
    <row r="17" spans="1:64" s="3" customFormat="1" ht="108" hidden="1" customHeight="1">
      <c r="A17" s="332"/>
      <c r="B17" s="2805"/>
      <c r="C17" s="2806"/>
      <c r="D17" s="2807"/>
      <c r="E17" s="843"/>
      <c r="F17" s="2808"/>
      <c r="G17" s="2809"/>
      <c r="H17" s="2810"/>
      <c r="I17" s="2805"/>
      <c r="J17" s="2806"/>
      <c r="K17" s="2807"/>
      <c r="L17" s="330"/>
      <c r="M17" s="50"/>
      <c r="N17" s="32"/>
      <c r="O17" s="6" t="e">
        <f>VLOOKUP(L17,[24]Listas!$M$69:$N$73,2,0)</f>
        <v>#N/A</v>
      </c>
      <c r="P17" s="6"/>
      <c r="Q17" s="6" t="e">
        <f>HLOOKUP(M17,[24]Listas!$O$67:$Q$68,2,0)</f>
        <v>#N/A</v>
      </c>
      <c r="R17" s="331" t="e">
        <f>INDEX([24]Listas!$O$69:$Q$73,MATCH(L17,[24]Listas!$M$69:$M$73,0),MATCH(M17,[24]Listas!$O$67:$Q$67,0))</f>
        <v>#N/A</v>
      </c>
      <c r="S17" s="2805"/>
      <c r="T17" s="2806"/>
      <c r="U17" s="2807"/>
      <c r="V17" s="329"/>
      <c r="W17" s="329"/>
      <c r="X17" s="329"/>
      <c r="Y17" s="329"/>
      <c r="Z17" s="329"/>
      <c r="AA17" s="329"/>
      <c r="AB17" s="329"/>
      <c r="AC17" s="329"/>
      <c r="AD17" s="329"/>
      <c r="AE17" s="329"/>
      <c r="AF17" s="33"/>
      <c r="AG17" s="6">
        <f>IF(Y17="SI",15,0)</f>
        <v>0</v>
      </c>
      <c r="AH17" s="6">
        <f>IF(Z17="SI",5,0)</f>
        <v>0</v>
      </c>
      <c r="AI17" s="6">
        <f>IF(AA17="SI",15,0)</f>
        <v>0</v>
      </c>
      <c r="AJ17" s="6">
        <f>IF(AB17="SI",10,0)</f>
        <v>0</v>
      </c>
      <c r="AK17" s="6">
        <f>IF(AC17="SI",15,0)</f>
        <v>0</v>
      </c>
      <c r="AL17" s="6">
        <f>IF(AD17="SI",10,0)</f>
        <v>0</v>
      </c>
      <c r="AM17" s="6">
        <f>IF(AE17="SI",30,0)</f>
        <v>0</v>
      </c>
      <c r="AN17" s="6">
        <f>SUM(AG17+AH17+AI17+AJ17+AK17+AL17+AM17)</f>
        <v>0</v>
      </c>
      <c r="AO17" s="6">
        <f>IF(AN17&lt;=50,0,IF(AN17&gt;=76,2,1))</f>
        <v>0</v>
      </c>
      <c r="AP17" s="331" t="str">
        <f>CONCATENATE(AN17,"- disminuye ",AO17)</f>
        <v>0- disminuye 0</v>
      </c>
      <c r="AQ17" s="6" t="e">
        <f>IF(V17="SI",O17-AO17,O17)</f>
        <v>#N/A</v>
      </c>
      <c r="AR17" s="331" t="e">
        <f>IF(AQ17&lt;=1,"Rara vez",VLOOKUP(AQ17,[24]Listas!$L$69:$M$73,2,0))</f>
        <v>#N/A</v>
      </c>
      <c r="AS17" s="6" t="e">
        <f>IF(W17="SI",Q17-AO17,Q17)</f>
        <v>#N/A</v>
      </c>
      <c r="AT17" s="331" t="e">
        <f>IF(AS17&lt;=9,"Moderado",IF(AS17=20,"Catastrófico",IF(AS17=18,"Moderado","Mayor")))</f>
        <v>#N/A</v>
      </c>
      <c r="AU17" s="331" t="e">
        <f>INDEX([24]Listas!$O$69:$Q$73,MATCH(AR17,[24]Listas!$M$69:$M$73,0),MATCH(AT17,[24]Listas!$O$67:$Q$67,0))</f>
        <v>#N/A</v>
      </c>
      <c r="AV17" s="330"/>
      <c r="AW17" s="826"/>
      <c r="AX17" s="843"/>
      <c r="AY17" s="843"/>
      <c r="AZ17" s="12"/>
      <c r="BA17" s="12"/>
      <c r="BB17" s="839"/>
      <c r="BC17" s="12"/>
      <c r="BD17" s="12" t="s">
        <v>2343</v>
      </c>
      <c r="BE17" s="839"/>
      <c r="BF17" s="12"/>
      <c r="BG17" s="12"/>
      <c r="BH17" s="227"/>
      <c r="BI17" s="227"/>
      <c r="BJ17" s="839"/>
      <c r="BK17" s="228"/>
      <c r="BL17" s="228"/>
    </row>
    <row r="18" spans="1:64" s="3" customFormat="1" ht="108" hidden="1" customHeight="1">
      <c r="A18" s="332"/>
      <c r="B18" s="2805"/>
      <c r="C18" s="2806"/>
      <c r="D18" s="2807"/>
      <c r="E18" s="843"/>
      <c r="F18" s="2808"/>
      <c r="G18" s="2809"/>
      <c r="H18" s="2810"/>
      <c r="I18" s="2805"/>
      <c r="J18" s="2806"/>
      <c r="K18" s="2807"/>
      <c r="L18" s="330"/>
      <c r="M18" s="50"/>
      <c r="N18" s="32"/>
      <c r="O18" s="6" t="e">
        <f>VLOOKUP(L18,[24]Listas!$M$69:$N$73,2,0)</f>
        <v>#N/A</v>
      </c>
      <c r="P18" s="6"/>
      <c r="Q18" s="6" t="e">
        <f>HLOOKUP(M18,[24]Listas!$O$67:$Q$68,2,0)</f>
        <v>#N/A</v>
      </c>
      <c r="R18" s="331" t="e">
        <f>INDEX([24]Listas!$O$69:$Q$73,MATCH(L18,[24]Listas!$M$69:$M$73,0),MATCH(M18,[24]Listas!$O$67:$Q$67,0))</f>
        <v>#N/A</v>
      </c>
      <c r="S18" s="2805"/>
      <c r="T18" s="2806"/>
      <c r="U18" s="2807"/>
      <c r="V18" s="329"/>
      <c r="W18" s="329"/>
      <c r="X18" s="329"/>
      <c r="Y18" s="329"/>
      <c r="Z18" s="329"/>
      <c r="AA18" s="329"/>
      <c r="AB18" s="329"/>
      <c r="AC18" s="329"/>
      <c r="AD18" s="329"/>
      <c r="AE18" s="329"/>
      <c r="AF18" s="33"/>
      <c r="AG18" s="6">
        <f t="shared" si="0"/>
        <v>0</v>
      </c>
      <c r="AH18" s="6">
        <f t="shared" si="1"/>
        <v>0</v>
      </c>
      <c r="AI18" s="6">
        <f t="shared" si="2"/>
        <v>0</v>
      </c>
      <c r="AJ18" s="6">
        <f t="shared" si="3"/>
        <v>0</v>
      </c>
      <c r="AK18" s="6">
        <f t="shared" si="4"/>
        <v>0</v>
      </c>
      <c r="AL18" s="6">
        <f t="shared" si="5"/>
        <v>0</v>
      </c>
      <c r="AM18" s="6">
        <f t="shared" si="6"/>
        <v>0</v>
      </c>
      <c r="AN18" s="6">
        <f t="shared" si="7"/>
        <v>0</v>
      </c>
      <c r="AO18" s="6">
        <f t="shared" si="8"/>
        <v>0</v>
      </c>
      <c r="AP18" s="331" t="str">
        <f t="shared" si="9"/>
        <v>0- disminuye 0</v>
      </c>
      <c r="AQ18" s="6" t="e">
        <f t="shared" si="10"/>
        <v>#N/A</v>
      </c>
      <c r="AR18" s="331" t="e">
        <f>IF(AQ18&lt;=1,"Rara vez",VLOOKUP(AQ18,[24]Listas!$L$69:$M$73,2,0))</f>
        <v>#N/A</v>
      </c>
      <c r="AS18" s="6" t="e">
        <f t="shared" si="11"/>
        <v>#N/A</v>
      </c>
      <c r="AT18" s="331" t="e">
        <f t="shared" si="12"/>
        <v>#N/A</v>
      </c>
      <c r="AU18" s="331" t="e">
        <f>INDEX([24]Listas!$O$69:$Q$73,MATCH(AR18,[24]Listas!$M$69:$M$73,0),MATCH(AT18,[24]Listas!$O$67:$Q$67,0))</f>
        <v>#N/A</v>
      </c>
      <c r="AV18" s="330"/>
      <c r="AW18" s="826"/>
      <c r="AX18" s="843"/>
      <c r="AY18" s="843"/>
      <c r="AZ18" s="12"/>
      <c r="BA18" s="12"/>
      <c r="BB18" s="839"/>
      <c r="BC18" s="12"/>
      <c r="BD18" s="12" t="s">
        <v>2343</v>
      </c>
      <c r="BE18" s="839"/>
      <c r="BF18" s="12"/>
      <c r="BG18" s="12"/>
      <c r="BH18" s="227"/>
      <c r="BI18" s="227"/>
      <c r="BJ18" s="839"/>
      <c r="BK18" s="228"/>
      <c r="BL18" s="228"/>
    </row>
    <row r="19" spans="1:64" s="3" customFormat="1" ht="108" hidden="1" customHeight="1">
      <c r="A19" s="332"/>
      <c r="B19" s="2805"/>
      <c r="C19" s="2806"/>
      <c r="D19" s="2807"/>
      <c r="E19" s="843"/>
      <c r="F19" s="2808"/>
      <c r="G19" s="2809"/>
      <c r="H19" s="2810"/>
      <c r="I19" s="2805"/>
      <c r="J19" s="2806"/>
      <c r="K19" s="2807"/>
      <c r="L19" s="330"/>
      <c r="M19" s="50"/>
      <c r="N19" s="32"/>
      <c r="O19" s="6" t="e">
        <f>VLOOKUP(L19,[24]Listas!$M$69:$N$73,2,0)</f>
        <v>#N/A</v>
      </c>
      <c r="P19" s="6"/>
      <c r="Q19" s="6" t="e">
        <f>HLOOKUP(M19,[24]Listas!$O$67:$Q$68,2,0)</f>
        <v>#N/A</v>
      </c>
      <c r="R19" s="331" t="e">
        <f>INDEX([24]Listas!$O$69:$Q$73,MATCH(L19,[24]Listas!$M$69:$M$73,0),MATCH(M19,[24]Listas!$O$67:$Q$67,0))</f>
        <v>#N/A</v>
      </c>
      <c r="S19" s="2805"/>
      <c r="T19" s="2806"/>
      <c r="U19" s="2807"/>
      <c r="V19" s="329"/>
      <c r="W19" s="329"/>
      <c r="X19" s="329"/>
      <c r="Y19" s="329"/>
      <c r="Z19" s="329"/>
      <c r="AA19" s="329"/>
      <c r="AB19" s="329"/>
      <c r="AC19" s="329"/>
      <c r="AD19" s="329"/>
      <c r="AE19" s="329"/>
      <c r="AF19" s="33"/>
      <c r="AG19" s="6">
        <f t="shared" si="0"/>
        <v>0</v>
      </c>
      <c r="AH19" s="6">
        <f t="shared" si="1"/>
        <v>0</v>
      </c>
      <c r="AI19" s="6">
        <f t="shared" si="2"/>
        <v>0</v>
      </c>
      <c r="AJ19" s="6">
        <f t="shared" si="3"/>
        <v>0</v>
      </c>
      <c r="AK19" s="6">
        <f t="shared" si="4"/>
        <v>0</v>
      </c>
      <c r="AL19" s="6">
        <f t="shared" si="5"/>
        <v>0</v>
      </c>
      <c r="AM19" s="6">
        <f t="shared" si="6"/>
        <v>0</v>
      </c>
      <c r="AN19" s="6">
        <f t="shared" si="7"/>
        <v>0</v>
      </c>
      <c r="AO19" s="6">
        <f t="shared" si="8"/>
        <v>0</v>
      </c>
      <c r="AP19" s="331" t="str">
        <f t="shared" si="9"/>
        <v>0- disminuye 0</v>
      </c>
      <c r="AQ19" s="6" t="e">
        <f t="shared" si="10"/>
        <v>#N/A</v>
      </c>
      <c r="AR19" s="331" t="e">
        <f>IF(AQ19&lt;=1,"Rara vez",VLOOKUP(AQ19,[24]Listas!$L$69:$M$73,2,0))</f>
        <v>#N/A</v>
      </c>
      <c r="AS19" s="6" t="e">
        <f t="shared" si="11"/>
        <v>#N/A</v>
      </c>
      <c r="AT19" s="331" t="e">
        <f t="shared" si="12"/>
        <v>#N/A</v>
      </c>
      <c r="AU19" s="331" t="e">
        <f>INDEX([24]Listas!$O$69:$Q$73,MATCH(AR19,[24]Listas!$M$69:$M$73,0),MATCH(AT19,[24]Listas!$O$67:$Q$67,0))</f>
        <v>#N/A</v>
      </c>
      <c r="AV19" s="330"/>
      <c r="AW19" s="826"/>
      <c r="AX19" s="843"/>
      <c r="AY19" s="843"/>
      <c r="AZ19" s="12"/>
      <c r="BA19" s="12"/>
      <c r="BB19" s="839"/>
      <c r="BC19" s="12"/>
      <c r="BD19" s="12" t="s">
        <v>2343</v>
      </c>
      <c r="BE19" s="839"/>
      <c r="BF19" s="12"/>
      <c r="BG19" s="12"/>
      <c r="BH19" s="227"/>
      <c r="BI19" s="227"/>
      <c r="BJ19" s="839"/>
      <c r="BK19" s="228"/>
      <c r="BL19" s="228"/>
    </row>
    <row r="20" spans="1:64" s="3" customFormat="1" ht="108" hidden="1" customHeight="1">
      <c r="A20" s="332"/>
      <c r="B20" s="2805"/>
      <c r="C20" s="2806"/>
      <c r="D20" s="2807"/>
      <c r="E20" s="843"/>
      <c r="F20" s="2808"/>
      <c r="G20" s="2809"/>
      <c r="H20" s="2810"/>
      <c r="I20" s="2805"/>
      <c r="J20" s="2806"/>
      <c r="K20" s="2807"/>
      <c r="L20" s="330"/>
      <c r="M20" s="50"/>
      <c r="N20" s="32"/>
      <c r="O20" s="6" t="e">
        <f>VLOOKUP(L20,[24]Listas!$M$69:$N$73,2,0)</f>
        <v>#N/A</v>
      </c>
      <c r="P20" s="6"/>
      <c r="Q20" s="6" t="e">
        <f>HLOOKUP(M20,[24]Listas!$O$67:$Q$68,2,0)</f>
        <v>#N/A</v>
      </c>
      <c r="R20" s="331" t="e">
        <f>INDEX([24]Listas!$O$69:$Q$73,MATCH(L20,[24]Listas!$M$69:$M$73,0),MATCH(M20,[24]Listas!$O$67:$Q$67,0))</f>
        <v>#N/A</v>
      </c>
      <c r="S20" s="2805"/>
      <c r="T20" s="2806"/>
      <c r="U20" s="2807"/>
      <c r="V20" s="329"/>
      <c r="W20" s="329"/>
      <c r="X20" s="329"/>
      <c r="Y20" s="329"/>
      <c r="Z20" s="329"/>
      <c r="AA20" s="329"/>
      <c r="AB20" s="329"/>
      <c r="AC20" s="329"/>
      <c r="AD20" s="329"/>
      <c r="AE20" s="329"/>
      <c r="AF20" s="33"/>
      <c r="AG20" s="6">
        <f>IF(Y20="SI",15,0)</f>
        <v>0</v>
      </c>
      <c r="AH20" s="6">
        <f>IF(Z20="SI",5,0)</f>
        <v>0</v>
      </c>
      <c r="AI20" s="6">
        <f>IF(AA20="SI",15,0)</f>
        <v>0</v>
      </c>
      <c r="AJ20" s="6">
        <f>IF(AB20="SI",10,0)</f>
        <v>0</v>
      </c>
      <c r="AK20" s="6">
        <f>IF(AC20="SI",15,0)</f>
        <v>0</v>
      </c>
      <c r="AL20" s="6">
        <f>IF(AD20="SI",10,0)</f>
        <v>0</v>
      </c>
      <c r="AM20" s="6">
        <f>IF(AE20="SI",30,0)</f>
        <v>0</v>
      </c>
      <c r="AN20" s="6">
        <f>SUM(AG20+AH20+AI20+AJ20+AK20+AL20+AM20)</f>
        <v>0</v>
      </c>
      <c r="AO20" s="6">
        <f>IF(AN20&lt;=50,0,IF(AN20&gt;=76,2,1))</f>
        <v>0</v>
      </c>
      <c r="AP20" s="331" t="str">
        <f>CONCATENATE(AN20,"- disminuye ",AO20)</f>
        <v>0- disminuye 0</v>
      </c>
      <c r="AQ20" s="6" t="e">
        <f>IF(V20="SI",O20-AO20,O20)</f>
        <v>#N/A</v>
      </c>
      <c r="AR20" s="331" t="e">
        <f>IF(AQ20&lt;=1,"Rara vez",VLOOKUP(AQ20,[24]Listas!$L$69:$M$73,2,0))</f>
        <v>#N/A</v>
      </c>
      <c r="AS20" s="6" t="e">
        <f>IF(W20="SI",Q20-AO20,Q20)</f>
        <v>#N/A</v>
      </c>
      <c r="AT20" s="331" t="e">
        <f>IF(AS20&lt;=9,"Moderado",IF(AS20=20,"Catastrófico",IF(AS20=18,"Moderado","Mayor")))</f>
        <v>#N/A</v>
      </c>
      <c r="AU20" s="331" t="e">
        <f>INDEX([24]Listas!$O$69:$Q$73,MATCH(AR20,[24]Listas!$M$69:$M$73,0),MATCH(AT20,[24]Listas!$O$67:$Q$67,0))</f>
        <v>#N/A</v>
      </c>
      <c r="AV20" s="330"/>
      <c r="AW20" s="826"/>
      <c r="AX20" s="843"/>
      <c r="AY20" s="843"/>
      <c r="AZ20" s="12"/>
      <c r="BA20" s="12"/>
      <c r="BB20" s="839"/>
      <c r="BC20" s="12"/>
      <c r="BD20" s="12" t="s">
        <v>2343</v>
      </c>
      <c r="BE20" s="839"/>
      <c r="BF20" s="12"/>
      <c r="BG20" s="12"/>
      <c r="BH20" s="227"/>
      <c r="BI20" s="227"/>
      <c r="BJ20" s="839"/>
      <c r="BK20" s="228"/>
      <c r="BL20" s="228"/>
    </row>
    <row r="21" spans="1:64" s="3" customFormat="1" ht="108" hidden="1" customHeight="1">
      <c r="A21" s="332"/>
      <c r="B21" s="2805"/>
      <c r="C21" s="2806"/>
      <c r="D21" s="2807"/>
      <c r="E21" s="843"/>
      <c r="F21" s="2808"/>
      <c r="G21" s="2809"/>
      <c r="H21" s="2810"/>
      <c r="I21" s="2805"/>
      <c r="J21" s="2806"/>
      <c r="K21" s="2807"/>
      <c r="L21" s="330"/>
      <c r="M21" s="50"/>
      <c r="N21" s="32"/>
      <c r="O21" s="6" t="e">
        <f>VLOOKUP(L21,[24]Listas!$M$69:$N$73,2,0)</f>
        <v>#N/A</v>
      </c>
      <c r="P21" s="6"/>
      <c r="Q21" s="6" t="e">
        <f>HLOOKUP(M21,[24]Listas!$O$67:$Q$68,2,0)</f>
        <v>#N/A</v>
      </c>
      <c r="R21" s="331" t="e">
        <f>INDEX([24]Listas!$O$69:$Q$73,MATCH(L21,[24]Listas!$M$69:$M$73,0),MATCH(M21,[24]Listas!$O$67:$Q$67,0))</f>
        <v>#N/A</v>
      </c>
      <c r="S21" s="2805"/>
      <c r="T21" s="2806"/>
      <c r="U21" s="2807"/>
      <c r="V21" s="329"/>
      <c r="W21" s="329"/>
      <c r="X21" s="329"/>
      <c r="Y21" s="329"/>
      <c r="Z21" s="329"/>
      <c r="AA21" s="329"/>
      <c r="AB21" s="329"/>
      <c r="AC21" s="329"/>
      <c r="AD21" s="329"/>
      <c r="AE21" s="329"/>
      <c r="AF21" s="33"/>
      <c r="AG21" s="6">
        <f t="shared" si="0"/>
        <v>0</v>
      </c>
      <c r="AH21" s="6">
        <f t="shared" si="1"/>
        <v>0</v>
      </c>
      <c r="AI21" s="6">
        <f t="shared" si="2"/>
        <v>0</v>
      </c>
      <c r="AJ21" s="6">
        <f t="shared" si="3"/>
        <v>0</v>
      </c>
      <c r="AK21" s="6">
        <f t="shared" si="4"/>
        <v>0</v>
      </c>
      <c r="AL21" s="6">
        <f t="shared" si="5"/>
        <v>0</v>
      </c>
      <c r="AM21" s="6">
        <f t="shared" si="6"/>
        <v>0</v>
      </c>
      <c r="AN21" s="6">
        <f t="shared" si="7"/>
        <v>0</v>
      </c>
      <c r="AO21" s="6">
        <f t="shared" si="8"/>
        <v>0</v>
      </c>
      <c r="AP21" s="331" t="str">
        <f t="shared" si="9"/>
        <v>0- disminuye 0</v>
      </c>
      <c r="AQ21" s="6" t="e">
        <f t="shared" si="10"/>
        <v>#N/A</v>
      </c>
      <c r="AR21" s="331" t="e">
        <f>IF(AQ21&lt;=1,"Rara vez",VLOOKUP(AQ21,[24]Listas!$L$69:$M$73,2,0))</f>
        <v>#N/A</v>
      </c>
      <c r="AS21" s="6" t="e">
        <f t="shared" si="11"/>
        <v>#N/A</v>
      </c>
      <c r="AT21" s="331" t="e">
        <f t="shared" si="12"/>
        <v>#N/A</v>
      </c>
      <c r="AU21" s="331" t="e">
        <f>INDEX([24]Listas!$O$69:$Q$73,MATCH(AR21,[24]Listas!$M$69:$M$73,0),MATCH(AT21,[24]Listas!$O$67:$Q$67,0))</f>
        <v>#N/A</v>
      </c>
      <c r="AV21" s="330"/>
      <c r="AW21" s="826"/>
      <c r="AX21" s="843"/>
      <c r="AY21" s="843"/>
      <c r="AZ21" s="12"/>
      <c r="BA21" s="12"/>
      <c r="BB21" s="839"/>
      <c r="BC21" s="12"/>
      <c r="BD21" s="12" t="s">
        <v>2343</v>
      </c>
      <c r="BE21" s="839"/>
      <c r="BF21" s="12"/>
      <c r="BG21" s="12"/>
      <c r="BH21" s="227"/>
      <c r="BI21" s="227"/>
      <c r="BJ21" s="839"/>
      <c r="BK21" s="228"/>
      <c r="BL21" s="228"/>
    </row>
    <row r="22" spans="1:64" ht="6.75" customHeight="1">
      <c r="A22" s="2"/>
      <c r="B22" s="7"/>
      <c r="C22" s="7"/>
      <c r="D22" s="7"/>
      <c r="E22" s="4"/>
      <c r="F22" s="7"/>
      <c r="G22" s="7"/>
      <c r="H22" s="7"/>
      <c r="I22" s="7"/>
      <c r="J22" s="7"/>
      <c r="K22" s="7"/>
      <c r="L22" s="4"/>
      <c r="M22" s="4"/>
      <c r="N22" s="4"/>
      <c r="O22" s="4"/>
      <c r="P22" s="4"/>
      <c r="Q22" s="4"/>
      <c r="R22" s="4"/>
      <c r="S22" s="7"/>
      <c r="T22" s="7"/>
      <c r="U22" s="7"/>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7"/>
      <c r="AW22" s="7"/>
      <c r="AX22" s="229"/>
      <c r="AY22" s="229"/>
      <c r="AZ22" s="68"/>
      <c r="BA22" s="68"/>
      <c r="BB22" s="92"/>
      <c r="BC22" s="68"/>
      <c r="BD22" s="68"/>
      <c r="BE22" s="92"/>
      <c r="BF22" s="68"/>
      <c r="BG22" s="68"/>
      <c r="BH22" s="230"/>
      <c r="BI22" s="230"/>
      <c r="BJ22" s="92"/>
    </row>
    <row r="23" spans="1:64" ht="15" customHeight="1">
      <c r="A23" s="317"/>
      <c r="B23" s="2811" t="s">
        <v>277</v>
      </c>
      <c r="C23" s="2811"/>
      <c r="D23" s="2811"/>
      <c r="E23" s="2811"/>
      <c r="F23" s="2811"/>
      <c r="G23" s="2811"/>
      <c r="H23" s="2811"/>
      <c r="I23" s="2811"/>
      <c r="J23" s="2811"/>
      <c r="K23" s="2811"/>
      <c r="L23" s="2811"/>
      <c r="M23" s="2811"/>
      <c r="N23" s="2811"/>
      <c r="O23" s="2811"/>
      <c r="P23" s="2811"/>
      <c r="Q23" s="2811"/>
      <c r="R23" s="2811"/>
      <c r="S23" s="2811"/>
      <c r="T23" s="2811"/>
      <c r="U23" s="2811"/>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4"/>
      <c r="AV23" s="9"/>
      <c r="AW23" s="9"/>
      <c r="AX23" s="65"/>
      <c r="AY23" s="65"/>
      <c r="AZ23" s="68"/>
      <c r="BA23" s="68"/>
      <c r="BB23" s="92"/>
      <c r="BC23" s="68"/>
      <c r="BD23" s="68"/>
      <c r="BE23" s="92"/>
      <c r="BF23" s="68"/>
      <c r="BG23" s="68"/>
      <c r="BH23" s="230"/>
      <c r="BI23" s="230"/>
      <c r="BJ23" s="92"/>
    </row>
    <row r="24" spans="1:64" s="22" customFormat="1" ht="19.5" customHeight="1">
      <c r="A24" s="10"/>
      <c r="B24" s="2801" t="s">
        <v>278</v>
      </c>
      <c r="C24" s="2802"/>
      <c r="D24" s="2802"/>
      <c r="E24" s="2802"/>
      <c r="F24" s="2802"/>
      <c r="G24" s="2802"/>
      <c r="H24" s="2803"/>
      <c r="I24" s="2801" t="s">
        <v>279</v>
      </c>
      <c r="J24" s="2802"/>
      <c r="K24" s="2802"/>
      <c r="L24" s="2802"/>
      <c r="M24" s="2802"/>
      <c r="N24" s="2802"/>
      <c r="O24" s="2802"/>
      <c r="P24" s="2802"/>
      <c r="Q24" s="2802"/>
      <c r="R24" s="2802"/>
      <c r="S24" s="2802"/>
      <c r="T24" s="2802"/>
      <c r="U24" s="2803"/>
      <c r="V24" s="2801" t="s">
        <v>171</v>
      </c>
      <c r="W24" s="2802"/>
      <c r="X24" s="2802"/>
      <c r="Y24" s="2802"/>
      <c r="Z24" s="2802"/>
      <c r="AA24" s="2802"/>
      <c r="AB24" s="2802"/>
      <c r="AC24" s="2802"/>
      <c r="AD24" s="2802"/>
      <c r="AE24" s="2802"/>
      <c r="AF24" s="2802"/>
      <c r="AG24" s="2802"/>
      <c r="AH24" s="2802"/>
      <c r="AI24" s="2802"/>
      <c r="AJ24" s="2802"/>
      <c r="AK24" s="2802"/>
      <c r="AL24" s="2802"/>
      <c r="AM24" s="2802"/>
      <c r="AN24" s="2802"/>
      <c r="AO24" s="2802"/>
      <c r="AP24" s="2803"/>
      <c r="AQ24" s="34" t="s">
        <v>172</v>
      </c>
      <c r="AR24" s="2804" t="s">
        <v>172</v>
      </c>
      <c r="AS24" s="2804"/>
      <c r="AT24" s="2804"/>
      <c r="AU24" s="2804"/>
      <c r="AV24" s="2804"/>
      <c r="AW24" s="2804"/>
      <c r="AX24" s="65"/>
      <c r="AY24" s="65"/>
      <c r="AZ24" s="68"/>
      <c r="BA24" s="68"/>
      <c r="BB24" s="92"/>
      <c r="BC24" s="68"/>
      <c r="BD24" s="68"/>
      <c r="BE24" s="92"/>
      <c r="BF24" s="68"/>
      <c r="BG24" s="68"/>
      <c r="BH24" s="230"/>
      <c r="BI24" s="230"/>
      <c r="BJ24" s="92"/>
      <c r="BK24" s="210"/>
      <c r="BL24" s="210"/>
    </row>
    <row r="25" spans="1:64" s="22" customFormat="1" ht="25.5" customHeight="1">
      <c r="A25" s="11"/>
      <c r="B25" s="2794" t="s">
        <v>384</v>
      </c>
      <c r="C25" s="2795"/>
      <c r="D25" s="2795"/>
      <c r="E25" s="2795"/>
      <c r="F25" s="2795"/>
      <c r="G25" s="2795"/>
      <c r="H25" s="2796"/>
      <c r="I25" s="2794" t="s">
        <v>968</v>
      </c>
      <c r="J25" s="2795"/>
      <c r="K25" s="2795"/>
      <c r="L25" s="2795"/>
      <c r="M25" s="2795"/>
      <c r="N25" s="2795"/>
      <c r="O25" s="2795"/>
      <c r="P25" s="2795"/>
      <c r="Q25" s="2795"/>
      <c r="R25" s="2795"/>
      <c r="S25" s="2795"/>
      <c r="T25" s="2795"/>
      <c r="U25" s="2796"/>
      <c r="V25" s="2794" t="s">
        <v>385</v>
      </c>
      <c r="W25" s="2795"/>
      <c r="X25" s="2795"/>
      <c r="Y25" s="2795"/>
      <c r="Z25" s="2795"/>
      <c r="AA25" s="2795"/>
      <c r="AB25" s="2795"/>
      <c r="AC25" s="2795"/>
      <c r="AD25" s="2795"/>
      <c r="AE25" s="2795"/>
      <c r="AF25" s="2795"/>
      <c r="AG25" s="2795"/>
      <c r="AH25" s="2795"/>
      <c r="AI25" s="2795"/>
      <c r="AJ25" s="2795"/>
      <c r="AK25" s="2795"/>
      <c r="AL25" s="2795"/>
      <c r="AM25" s="2795"/>
      <c r="AN25" s="2795"/>
      <c r="AO25" s="2795"/>
      <c r="AP25" s="2796"/>
      <c r="AQ25" s="12"/>
      <c r="AR25" s="2800"/>
      <c r="AS25" s="2800"/>
      <c r="AT25" s="2800"/>
      <c r="AU25" s="2800"/>
      <c r="AV25" s="2800"/>
      <c r="AW25" s="2800"/>
      <c r="AX25" s="65"/>
      <c r="AY25" s="65"/>
      <c r="AZ25" s="68"/>
      <c r="BA25" s="68"/>
      <c r="BB25" s="92"/>
      <c r="BC25" s="68"/>
      <c r="BD25" s="68"/>
      <c r="BE25" s="92"/>
      <c r="BF25" s="68"/>
      <c r="BG25" s="68"/>
      <c r="BH25" s="230"/>
      <c r="BI25" s="230"/>
      <c r="BJ25" s="92"/>
      <c r="BK25" s="210"/>
      <c r="BL25" s="210"/>
    </row>
    <row r="26" spans="1:64" s="22" customFormat="1" ht="25.5" customHeight="1">
      <c r="A26" s="11"/>
      <c r="B26" s="2794" t="s">
        <v>386</v>
      </c>
      <c r="C26" s="2795"/>
      <c r="D26" s="2795"/>
      <c r="E26" s="2795"/>
      <c r="F26" s="2795"/>
      <c r="G26" s="2795"/>
      <c r="H26" s="2796"/>
      <c r="I26" s="2794" t="s">
        <v>847</v>
      </c>
      <c r="J26" s="2795"/>
      <c r="K26" s="2795"/>
      <c r="L26" s="2795"/>
      <c r="M26" s="2795"/>
      <c r="N26" s="2795"/>
      <c r="O26" s="2795"/>
      <c r="P26" s="2795"/>
      <c r="Q26" s="2795"/>
      <c r="R26" s="2795"/>
      <c r="S26" s="2795"/>
      <c r="T26" s="2795"/>
      <c r="U26" s="2796"/>
      <c r="V26" s="2794" t="s">
        <v>385</v>
      </c>
      <c r="W26" s="2795"/>
      <c r="X26" s="2795"/>
      <c r="Y26" s="2795"/>
      <c r="Z26" s="2795"/>
      <c r="AA26" s="2795"/>
      <c r="AB26" s="2795"/>
      <c r="AC26" s="2795"/>
      <c r="AD26" s="2795"/>
      <c r="AE26" s="2795"/>
      <c r="AF26" s="2795"/>
      <c r="AG26" s="2795"/>
      <c r="AH26" s="2795"/>
      <c r="AI26" s="2795"/>
      <c r="AJ26" s="2795"/>
      <c r="AK26" s="2795"/>
      <c r="AL26" s="2795"/>
      <c r="AM26" s="2795"/>
      <c r="AN26" s="2795"/>
      <c r="AO26" s="2795"/>
      <c r="AP26" s="2796"/>
      <c r="AQ26" s="12"/>
      <c r="AR26" s="2800"/>
      <c r="AS26" s="2800"/>
      <c r="AT26" s="2800"/>
      <c r="AU26" s="2800"/>
      <c r="AV26" s="2800"/>
      <c r="AW26" s="2800"/>
      <c r="AX26" s="65"/>
      <c r="AY26" s="65"/>
      <c r="AZ26" s="68"/>
      <c r="BA26" s="68"/>
      <c r="BB26" s="92"/>
      <c r="BC26" s="68"/>
      <c r="BD26" s="68"/>
      <c r="BE26" s="92"/>
      <c r="BF26" s="68"/>
      <c r="BG26" s="68"/>
      <c r="BH26" s="230"/>
      <c r="BI26" s="230"/>
      <c r="BJ26" s="92"/>
      <c r="BK26" s="210"/>
      <c r="BL26" s="210"/>
    </row>
    <row r="27" spans="1:64" ht="25.5" customHeight="1">
      <c r="A27" s="11"/>
      <c r="B27" s="2794" t="s">
        <v>280</v>
      </c>
      <c r="C27" s="2795"/>
      <c r="D27" s="2795"/>
      <c r="E27" s="2795"/>
      <c r="F27" s="2795"/>
      <c r="G27" s="2795"/>
      <c r="H27" s="2796"/>
      <c r="I27" s="2794" t="s">
        <v>281</v>
      </c>
      <c r="J27" s="2795"/>
      <c r="K27" s="2795"/>
      <c r="L27" s="2795"/>
      <c r="M27" s="2795"/>
      <c r="N27" s="2795"/>
      <c r="O27" s="2795"/>
      <c r="P27" s="2795"/>
      <c r="Q27" s="2795"/>
      <c r="R27" s="2795"/>
      <c r="S27" s="2795"/>
      <c r="T27" s="2795"/>
      <c r="U27" s="2796"/>
      <c r="V27" s="2794" t="s">
        <v>385</v>
      </c>
      <c r="W27" s="2795"/>
      <c r="X27" s="2795"/>
      <c r="Y27" s="2795"/>
      <c r="Z27" s="2795"/>
      <c r="AA27" s="2795"/>
      <c r="AB27" s="2795"/>
      <c r="AC27" s="2795"/>
      <c r="AD27" s="2795"/>
      <c r="AE27" s="2795"/>
      <c r="AF27" s="2795"/>
      <c r="AG27" s="2795"/>
      <c r="AH27" s="2795"/>
      <c r="AI27" s="2795"/>
      <c r="AJ27" s="2795"/>
      <c r="AK27" s="2795"/>
      <c r="AL27" s="2795"/>
      <c r="AM27" s="2795"/>
      <c r="AN27" s="2795"/>
      <c r="AO27" s="2795"/>
      <c r="AP27" s="2796"/>
      <c r="AQ27" s="12"/>
      <c r="AR27" s="2800"/>
      <c r="AS27" s="2800"/>
      <c r="AT27" s="2800"/>
      <c r="AU27" s="2800"/>
      <c r="AV27" s="2800"/>
      <c r="AW27" s="2800"/>
      <c r="AX27" s="65"/>
      <c r="AY27" s="65"/>
      <c r="AZ27" s="68"/>
      <c r="BA27" s="68"/>
      <c r="BB27" s="92"/>
      <c r="BC27" s="68"/>
      <c r="BD27" s="68"/>
      <c r="BE27" s="92"/>
      <c r="BF27" s="68"/>
      <c r="BG27" s="68"/>
      <c r="BH27" s="230"/>
      <c r="BI27" s="230"/>
      <c r="BJ27" s="92"/>
    </row>
    <row r="28" spans="1:64">
      <c r="A28" s="13"/>
      <c r="B28" s="13"/>
      <c r="C28" s="13"/>
      <c r="D28" s="13"/>
      <c r="E28" s="14"/>
      <c r="F28" s="13"/>
      <c r="G28" s="13"/>
      <c r="H28" s="13"/>
      <c r="I28" s="13"/>
      <c r="J28" s="13"/>
      <c r="K28" s="13"/>
      <c r="L28" s="15"/>
      <c r="M28" s="15"/>
      <c r="N28" s="15"/>
      <c r="O28" s="15"/>
      <c r="P28" s="15"/>
      <c r="Q28" s="15"/>
      <c r="R28" s="15"/>
      <c r="S28" s="15"/>
      <c r="T28" s="15"/>
      <c r="U28" s="15"/>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5"/>
      <c r="AW28" s="15"/>
      <c r="AZ28" s="68"/>
      <c r="BA28" s="68"/>
      <c r="BB28" s="92"/>
      <c r="BC28" s="68"/>
      <c r="BD28" s="68"/>
      <c r="BE28" s="92"/>
      <c r="BF28" s="68"/>
      <c r="BG28" s="68"/>
      <c r="BH28" s="230"/>
      <c r="BI28" s="230"/>
      <c r="BJ28" s="92"/>
    </row>
    <row r="29" spans="1:64">
      <c r="A29" s="13"/>
      <c r="B29" s="13"/>
      <c r="C29" s="13"/>
      <c r="D29" s="13"/>
      <c r="E29" s="14"/>
      <c r="F29" s="13"/>
      <c r="G29" s="13"/>
      <c r="H29" s="13"/>
      <c r="I29" s="13"/>
      <c r="J29" s="13"/>
      <c r="K29" s="13"/>
      <c r="L29" s="15"/>
      <c r="M29" s="15"/>
      <c r="N29" s="15"/>
      <c r="O29" s="15"/>
      <c r="P29" s="15"/>
      <c r="Q29" s="15"/>
      <c r="R29" s="15"/>
      <c r="S29" s="15"/>
      <c r="T29" s="15"/>
      <c r="U29" s="15"/>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5"/>
      <c r="AW29" s="15"/>
      <c r="AZ29" s="68"/>
      <c r="BA29" s="68"/>
      <c r="BB29" s="92"/>
      <c r="BC29" s="68"/>
      <c r="BD29" s="68"/>
      <c r="BE29" s="92"/>
      <c r="BF29" s="68"/>
      <c r="BG29" s="68"/>
      <c r="BH29" s="230"/>
      <c r="BI29" s="230"/>
      <c r="BJ29" s="92"/>
    </row>
    <row r="30" spans="1:64">
      <c r="A30" s="13"/>
      <c r="B30" s="13"/>
      <c r="C30" s="13"/>
      <c r="D30" s="13"/>
      <c r="E30" s="14"/>
      <c r="F30" s="13"/>
      <c r="G30" s="13"/>
      <c r="H30" s="13"/>
      <c r="I30" s="13"/>
      <c r="J30" s="13"/>
      <c r="K30" s="13"/>
      <c r="L30" s="15"/>
      <c r="M30" s="15"/>
      <c r="N30" s="15"/>
      <c r="O30" s="15"/>
      <c r="P30" s="15"/>
      <c r="Q30" s="15"/>
      <c r="R30" s="15"/>
      <c r="S30" s="15"/>
      <c r="T30" s="15"/>
      <c r="U30" s="15"/>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5"/>
      <c r="AW30" s="15"/>
      <c r="AZ30" s="68"/>
      <c r="BA30" s="68"/>
      <c r="BB30" s="92"/>
      <c r="BC30" s="68"/>
      <c r="BD30" s="68"/>
      <c r="BE30" s="92"/>
      <c r="BF30" s="68"/>
      <c r="BG30" s="68"/>
      <c r="BH30" s="230"/>
      <c r="BI30" s="230"/>
      <c r="BJ30" s="92"/>
    </row>
    <row r="31" spans="1:64">
      <c r="A31" s="13"/>
      <c r="B31" s="13"/>
      <c r="C31" s="13"/>
      <c r="D31" s="13"/>
      <c r="E31" s="14"/>
      <c r="F31" s="13"/>
      <c r="G31" s="13"/>
      <c r="H31" s="13"/>
      <c r="I31" s="13"/>
      <c r="J31" s="13"/>
      <c r="K31" s="13"/>
      <c r="L31" s="15"/>
      <c r="M31" s="15"/>
      <c r="N31" s="15"/>
      <c r="O31" s="15"/>
      <c r="P31" s="15"/>
      <c r="Q31" s="15"/>
      <c r="R31" s="15"/>
      <c r="S31" s="15"/>
      <c r="T31" s="15"/>
      <c r="U31" s="15"/>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5"/>
      <c r="AW31" s="15"/>
      <c r="AZ31" s="68"/>
      <c r="BA31" s="68"/>
      <c r="BB31" s="92"/>
      <c r="BC31" s="68"/>
      <c r="BD31" s="68"/>
      <c r="BE31" s="92"/>
      <c r="BF31" s="68"/>
      <c r="BG31" s="68"/>
      <c r="BH31" s="230"/>
      <c r="BI31" s="230"/>
      <c r="BJ31" s="92"/>
    </row>
    <row r="32" spans="1:64">
      <c r="A32" s="13"/>
      <c r="B32" s="13"/>
      <c r="C32" s="13"/>
      <c r="D32" s="13"/>
      <c r="E32" s="14"/>
      <c r="F32" s="13"/>
      <c r="G32" s="13"/>
      <c r="H32" s="13"/>
      <c r="I32" s="13"/>
      <c r="J32" s="13"/>
      <c r="K32" s="13"/>
      <c r="L32" s="15"/>
      <c r="M32" s="15"/>
      <c r="N32" s="15"/>
      <c r="O32" s="15"/>
      <c r="P32" s="15"/>
      <c r="Q32" s="15"/>
      <c r="R32" s="15"/>
      <c r="S32" s="15"/>
      <c r="T32" s="15"/>
      <c r="U32" s="15"/>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5"/>
      <c r="AZ32" s="68"/>
      <c r="BA32" s="68"/>
      <c r="BB32" s="92"/>
      <c r="BC32" s="68"/>
      <c r="BD32" s="68"/>
      <c r="BE32" s="92"/>
      <c r="BF32" s="68"/>
      <c r="BG32" s="68"/>
      <c r="BH32" s="230"/>
      <c r="BI32" s="230"/>
      <c r="BJ32" s="92"/>
    </row>
    <row r="33" spans="1:62">
      <c r="A33" s="13"/>
      <c r="B33" s="13"/>
      <c r="C33" s="13"/>
      <c r="D33" s="13"/>
      <c r="E33" s="14"/>
      <c r="F33" s="13"/>
      <c r="G33" s="13"/>
      <c r="H33" s="13"/>
      <c r="I33" s="13"/>
      <c r="J33" s="13"/>
      <c r="K33" s="13"/>
      <c r="L33" s="15"/>
      <c r="M33" s="15"/>
      <c r="N33" s="15"/>
      <c r="O33" s="15"/>
      <c r="P33" s="15"/>
      <c r="Q33" s="15"/>
      <c r="R33" s="15"/>
      <c r="S33" s="15"/>
      <c r="T33" s="15"/>
      <c r="U33" s="15"/>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5"/>
      <c r="AW33" s="15"/>
      <c r="AZ33" s="68"/>
      <c r="BA33" s="68"/>
      <c r="BB33" s="92"/>
      <c r="BC33" s="68"/>
      <c r="BD33" s="68"/>
      <c r="BE33" s="92"/>
      <c r="BF33" s="68"/>
      <c r="BG33" s="68"/>
      <c r="BH33" s="230"/>
      <c r="BI33" s="230"/>
      <c r="BJ33" s="92"/>
    </row>
    <row r="34" spans="1:62">
      <c r="A34" s="13"/>
      <c r="B34" s="13"/>
      <c r="C34" s="13"/>
      <c r="D34" s="13"/>
      <c r="E34" s="14"/>
      <c r="F34" s="13"/>
      <c r="G34" s="13"/>
      <c r="H34" s="13"/>
      <c r="I34" s="13"/>
      <c r="J34" s="13"/>
      <c r="K34" s="13"/>
      <c r="L34" s="15"/>
      <c r="M34" s="15"/>
      <c r="N34" s="15"/>
      <c r="O34" s="15"/>
      <c r="P34" s="15"/>
      <c r="Q34" s="15"/>
      <c r="R34" s="15"/>
      <c r="S34" s="15"/>
      <c r="T34" s="15"/>
      <c r="U34" s="15"/>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5"/>
      <c r="AW34" s="15"/>
      <c r="AZ34" s="68"/>
      <c r="BA34" s="68"/>
      <c r="BB34" s="92"/>
      <c r="BC34" s="68"/>
      <c r="BD34" s="68"/>
      <c r="BE34" s="92"/>
      <c r="BF34" s="68"/>
      <c r="BG34" s="68"/>
      <c r="BH34" s="230"/>
      <c r="BI34" s="230"/>
      <c r="BJ34" s="92"/>
    </row>
    <row r="35" spans="1:62">
      <c r="A35" s="13"/>
      <c r="B35" s="13"/>
      <c r="C35" s="13"/>
      <c r="D35" s="13"/>
      <c r="E35" s="14"/>
      <c r="F35" s="13"/>
      <c r="G35" s="13"/>
      <c r="H35" s="13"/>
      <c r="I35" s="13"/>
      <c r="J35" s="13"/>
      <c r="K35" s="13"/>
      <c r="L35" s="15"/>
      <c r="M35" s="15"/>
      <c r="N35" s="15"/>
      <c r="O35" s="15"/>
      <c r="P35" s="15"/>
      <c r="Q35" s="15"/>
      <c r="R35" s="15"/>
      <c r="S35" s="15"/>
      <c r="T35" s="15"/>
      <c r="U35" s="15"/>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5"/>
      <c r="AW35" s="15"/>
      <c r="AZ35" s="68"/>
      <c r="BA35" s="68"/>
      <c r="BB35" s="92"/>
      <c r="BC35" s="68"/>
      <c r="BD35" s="68"/>
      <c r="BE35" s="92"/>
      <c r="BF35" s="68"/>
      <c r="BG35" s="68"/>
      <c r="BH35" s="230"/>
      <c r="BI35" s="230"/>
      <c r="BJ35" s="92"/>
    </row>
    <row r="36" spans="1:62">
      <c r="A36" s="13"/>
      <c r="B36" s="13"/>
      <c r="C36" s="13"/>
      <c r="D36" s="13"/>
      <c r="E36" s="14"/>
      <c r="F36" s="13"/>
      <c r="G36" s="13"/>
      <c r="H36" s="13"/>
      <c r="I36" s="13"/>
      <c r="J36" s="13"/>
      <c r="K36" s="13"/>
      <c r="L36" s="15"/>
      <c r="M36" s="15"/>
      <c r="N36" s="15"/>
      <c r="O36" s="15"/>
      <c r="P36" s="15"/>
      <c r="Q36" s="15"/>
      <c r="R36" s="15"/>
      <c r="S36" s="15"/>
      <c r="T36" s="15"/>
      <c r="U36" s="15"/>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5"/>
      <c r="AW36" s="15"/>
      <c r="AZ36" s="68"/>
      <c r="BA36" s="68"/>
      <c r="BB36" s="92"/>
      <c r="BC36" s="68"/>
      <c r="BD36" s="68"/>
      <c r="BE36" s="92"/>
      <c r="BF36" s="68"/>
      <c r="BG36" s="68"/>
      <c r="BH36" s="230"/>
      <c r="BI36" s="230"/>
      <c r="BJ36" s="92"/>
    </row>
    <row r="37" spans="1:62">
      <c r="A37" s="13"/>
      <c r="B37" s="13"/>
      <c r="C37" s="13"/>
      <c r="D37" s="13"/>
      <c r="E37" s="14"/>
      <c r="F37" s="13"/>
      <c r="G37" s="13"/>
      <c r="H37" s="13"/>
      <c r="I37" s="13"/>
      <c r="J37" s="13"/>
      <c r="K37" s="13"/>
      <c r="L37" s="15"/>
      <c r="M37" s="15"/>
      <c r="N37" s="15"/>
      <c r="O37" s="15"/>
      <c r="P37" s="15"/>
      <c r="Q37" s="15"/>
      <c r="R37" s="15"/>
      <c r="S37" s="15"/>
      <c r="T37" s="15"/>
      <c r="U37" s="15"/>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5"/>
      <c r="AW37" s="15"/>
      <c r="AZ37" s="68"/>
      <c r="BA37" s="68"/>
      <c r="BB37" s="92"/>
      <c r="BC37" s="68"/>
      <c r="BD37" s="68"/>
      <c r="BE37" s="92"/>
      <c r="BF37" s="68"/>
      <c r="BG37" s="68"/>
      <c r="BH37" s="230"/>
      <c r="BI37" s="230"/>
      <c r="BJ37" s="92"/>
    </row>
    <row r="38" spans="1:62">
      <c r="A38" s="13"/>
      <c r="B38" s="13"/>
      <c r="C38" s="13"/>
      <c r="D38" s="13"/>
      <c r="E38" s="14"/>
      <c r="F38" s="13"/>
      <c r="G38" s="13"/>
      <c r="H38" s="13"/>
      <c r="I38" s="13"/>
      <c r="J38" s="13"/>
      <c r="K38" s="13"/>
      <c r="L38" s="15"/>
      <c r="M38" s="15"/>
      <c r="N38" s="15"/>
      <c r="O38" s="15"/>
      <c r="P38" s="15"/>
      <c r="Q38" s="15"/>
      <c r="R38" s="15"/>
      <c r="S38" s="15"/>
      <c r="T38" s="15"/>
      <c r="U38" s="15"/>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5"/>
      <c r="AW38" s="15"/>
      <c r="AZ38" s="68"/>
      <c r="BA38" s="68"/>
      <c r="BB38" s="92"/>
      <c r="BC38" s="68"/>
      <c r="BD38" s="68"/>
      <c r="BE38" s="92"/>
      <c r="BF38" s="68"/>
      <c r="BG38" s="68"/>
      <c r="BH38" s="230"/>
      <c r="BI38" s="230"/>
      <c r="BJ38" s="92"/>
    </row>
    <row r="39" spans="1:62">
      <c r="A39" s="13"/>
      <c r="B39" s="13"/>
      <c r="C39" s="13"/>
      <c r="D39" s="13"/>
      <c r="E39" s="14"/>
      <c r="F39" s="13"/>
      <c r="G39" s="13"/>
      <c r="H39" s="13"/>
      <c r="I39" s="13"/>
      <c r="J39" s="13"/>
      <c r="K39" s="13"/>
      <c r="L39" s="15"/>
      <c r="M39" s="15"/>
      <c r="N39" s="15"/>
      <c r="O39" s="15"/>
      <c r="P39" s="15"/>
      <c r="Q39" s="15"/>
      <c r="R39" s="15"/>
      <c r="S39" s="15"/>
      <c r="T39" s="15"/>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5"/>
      <c r="AW39" s="15"/>
      <c r="AZ39" s="68"/>
      <c r="BA39" s="68"/>
      <c r="BB39" s="92"/>
      <c r="BC39" s="68"/>
      <c r="BD39" s="68"/>
      <c r="BE39" s="92"/>
      <c r="BF39" s="68"/>
      <c r="BG39" s="68"/>
      <c r="BH39" s="230"/>
      <c r="BI39" s="230"/>
      <c r="BJ39" s="92"/>
    </row>
    <row r="40" spans="1:62">
      <c r="A40" s="13"/>
      <c r="B40" s="13"/>
      <c r="C40" s="13"/>
      <c r="D40" s="13"/>
      <c r="E40" s="14"/>
      <c r="F40" s="13"/>
      <c r="G40" s="13"/>
      <c r="H40" s="13"/>
      <c r="I40" s="13"/>
      <c r="J40" s="13"/>
      <c r="K40" s="13"/>
      <c r="L40" s="15"/>
      <c r="M40" s="15"/>
      <c r="N40" s="15"/>
      <c r="O40" s="15"/>
      <c r="P40" s="15"/>
      <c r="Q40" s="15"/>
      <c r="R40" s="15"/>
      <c r="S40" s="15"/>
      <c r="T40" s="15"/>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5"/>
      <c r="AW40" s="15"/>
      <c r="AZ40" s="68"/>
      <c r="BA40" s="68"/>
      <c r="BB40" s="92"/>
      <c r="BC40" s="68"/>
      <c r="BD40" s="68"/>
      <c r="BE40" s="92"/>
      <c r="BF40" s="68"/>
      <c r="BG40" s="68"/>
      <c r="BH40" s="230"/>
      <c r="BI40" s="230"/>
      <c r="BJ40" s="92"/>
    </row>
    <row r="41" spans="1:62">
      <c r="A41" s="13"/>
      <c r="B41" s="13"/>
      <c r="C41" s="13"/>
      <c r="D41" s="13"/>
      <c r="E41" s="14"/>
      <c r="F41" s="13"/>
      <c r="G41" s="13"/>
      <c r="H41" s="13"/>
      <c r="I41" s="13"/>
      <c r="J41" s="13"/>
      <c r="K41" s="13"/>
      <c r="L41" s="15"/>
      <c r="M41" s="15"/>
      <c r="N41" s="15"/>
      <c r="O41" s="15"/>
      <c r="P41" s="15"/>
      <c r="Q41" s="15"/>
      <c r="R41" s="15"/>
      <c r="S41" s="15"/>
      <c r="T41" s="15"/>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c r="AZ41" s="68"/>
      <c r="BA41" s="68"/>
      <c r="BB41" s="92"/>
      <c r="BC41" s="68"/>
      <c r="BD41" s="68"/>
      <c r="BE41" s="92"/>
      <c r="BF41" s="68"/>
      <c r="BG41" s="68"/>
      <c r="BH41" s="230"/>
      <c r="BI41" s="230"/>
      <c r="BJ41" s="92"/>
    </row>
    <row r="42" spans="1:62">
      <c r="A42" s="13"/>
      <c r="B42" s="13"/>
      <c r="C42" s="13"/>
      <c r="D42" s="13"/>
      <c r="E42" s="14"/>
      <c r="F42" s="13"/>
      <c r="G42" s="13"/>
      <c r="H42" s="13"/>
      <c r="I42" s="13"/>
      <c r="J42" s="13"/>
      <c r="K42" s="13"/>
      <c r="L42" s="15"/>
      <c r="M42" s="15"/>
      <c r="N42" s="15"/>
      <c r="O42" s="15"/>
      <c r="P42" s="15"/>
      <c r="Q42" s="15"/>
      <c r="R42" s="15"/>
      <c r="S42" s="15"/>
      <c r="T42" s="15"/>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5"/>
      <c r="AW42" s="15"/>
      <c r="AZ42" s="68"/>
      <c r="BA42" s="68"/>
      <c r="BB42" s="92"/>
      <c r="BC42" s="68"/>
      <c r="BD42" s="68"/>
      <c r="BE42" s="92"/>
      <c r="BF42" s="68"/>
      <c r="BG42" s="68"/>
      <c r="BH42" s="230"/>
      <c r="BI42" s="230"/>
      <c r="BJ42" s="92"/>
    </row>
    <row r="43" spans="1:62">
      <c r="A43" s="13"/>
      <c r="B43" s="13"/>
      <c r="C43" s="13"/>
      <c r="D43" s="13"/>
      <c r="E43" s="14"/>
      <c r="F43" s="13"/>
      <c r="G43" s="13"/>
      <c r="H43" s="13"/>
      <c r="I43" s="13"/>
      <c r="J43" s="13"/>
      <c r="K43" s="13"/>
      <c r="L43" s="15"/>
      <c r="M43" s="15"/>
      <c r="N43" s="15"/>
      <c r="O43" s="15"/>
      <c r="P43" s="15"/>
      <c r="Q43" s="15"/>
      <c r="R43" s="15"/>
      <c r="S43" s="15"/>
      <c r="T43" s="15"/>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5"/>
      <c r="AW43" s="15"/>
      <c r="AZ43" s="68"/>
      <c r="BA43" s="68"/>
      <c r="BB43" s="92"/>
      <c r="BC43" s="68"/>
      <c r="BD43" s="68"/>
      <c r="BE43" s="92"/>
      <c r="BF43" s="68"/>
      <c r="BG43" s="68"/>
      <c r="BH43" s="230"/>
      <c r="BI43" s="230"/>
      <c r="BJ43" s="92"/>
    </row>
    <row r="44" spans="1:62">
      <c r="A44" s="13"/>
      <c r="B44" s="13"/>
      <c r="C44" s="13"/>
      <c r="D44" s="13"/>
      <c r="E44" s="14"/>
      <c r="F44" s="13"/>
      <c r="G44" s="13"/>
      <c r="H44" s="13"/>
      <c r="I44" s="13"/>
      <c r="J44" s="13"/>
      <c r="K44" s="13"/>
      <c r="L44" s="15"/>
      <c r="M44" s="15"/>
      <c r="N44" s="15"/>
      <c r="O44" s="15"/>
      <c r="P44" s="15"/>
      <c r="Q44" s="15"/>
      <c r="R44" s="15"/>
      <c r="S44" s="15"/>
      <c r="T44" s="15"/>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5"/>
      <c r="AW44" s="15"/>
      <c r="AZ44" s="68"/>
      <c r="BA44" s="68"/>
      <c r="BB44" s="92"/>
      <c r="BC44" s="68"/>
      <c r="BD44" s="68"/>
      <c r="BE44" s="92"/>
      <c r="BF44" s="68"/>
      <c r="BG44" s="68"/>
      <c r="BH44" s="230"/>
      <c r="BI44" s="230"/>
      <c r="BJ44" s="92"/>
    </row>
    <row r="45" spans="1:62">
      <c r="A45" s="13"/>
      <c r="B45" s="13"/>
      <c r="C45" s="13"/>
      <c r="D45" s="13"/>
      <c r="E45" s="14"/>
      <c r="F45" s="13"/>
      <c r="G45" s="13"/>
      <c r="H45" s="13"/>
      <c r="I45" s="13"/>
      <c r="J45" s="13"/>
      <c r="K45" s="13"/>
      <c r="L45" s="15"/>
      <c r="M45" s="15"/>
      <c r="N45" s="15"/>
      <c r="O45" s="15"/>
      <c r="P45" s="15"/>
      <c r="Q45" s="15"/>
      <c r="R45" s="15"/>
      <c r="S45" s="15"/>
      <c r="T45" s="15"/>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5"/>
      <c r="AW45" s="15"/>
      <c r="AZ45" s="68"/>
      <c r="BA45" s="68"/>
      <c r="BB45" s="92"/>
      <c r="BC45" s="68"/>
      <c r="BD45" s="68"/>
      <c r="BE45" s="92"/>
      <c r="BF45" s="68"/>
      <c r="BG45" s="68"/>
      <c r="BH45" s="230"/>
      <c r="BI45" s="230"/>
      <c r="BJ45" s="92"/>
    </row>
    <row r="46" spans="1:62">
      <c r="A46" s="13"/>
      <c r="B46" s="13"/>
      <c r="C46" s="13"/>
      <c r="D46" s="13"/>
      <c r="E46" s="14"/>
      <c r="F46" s="13"/>
      <c r="G46" s="13"/>
      <c r="H46" s="13"/>
      <c r="I46" s="13"/>
      <c r="J46" s="13"/>
      <c r="K46" s="13"/>
      <c r="L46" s="15"/>
      <c r="M46" s="15"/>
      <c r="N46" s="15"/>
      <c r="O46" s="15"/>
      <c r="P46" s="15"/>
      <c r="Q46" s="15"/>
      <c r="R46" s="15"/>
      <c r="S46" s="15"/>
      <c r="T46" s="15"/>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5"/>
      <c r="AW46" s="15"/>
      <c r="AZ46" s="68"/>
      <c r="BA46" s="68"/>
      <c r="BB46" s="92"/>
      <c r="BC46" s="68"/>
      <c r="BD46" s="68"/>
      <c r="BE46" s="92"/>
      <c r="BF46" s="68"/>
      <c r="BG46" s="68"/>
      <c r="BH46" s="230"/>
      <c r="BI46" s="230"/>
      <c r="BJ46" s="92"/>
    </row>
    <row r="47" spans="1:62">
      <c r="A47" s="13"/>
      <c r="B47" s="13"/>
      <c r="C47" s="13"/>
      <c r="D47" s="13"/>
      <c r="E47" s="14"/>
      <c r="F47" s="13"/>
      <c r="G47" s="13"/>
      <c r="H47" s="13"/>
      <c r="I47" s="13"/>
      <c r="J47" s="13"/>
      <c r="K47" s="13"/>
      <c r="L47" s="15"/>
      <c r="M47" s="15"/>
      <c r="N47" s="15"/>
      <c r="O47" s="15"/>
      <c r="P47" s="15"/>
      <c r="Q47" s="15"/>
      <c r="R47" s="15"/>
      <c r="S47" s="15"/>
      <c r="T47" s="15"/>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5"/>
      <c r="AW47" s="15"/>
      <c r="AZ47" s="68"/>
      <c r="BA47" s="68"/>
      <c r="BB47" s="92"/>
      <c r="BC47" s="68"/>
      <c r="BD47" s="68"/>
      <c r="BE47" s="92"/>
      <c r="BF47" s="68"/>
      <c r="BG47" s="68"/>
      <c r="BH47" s="230"/>
      <c r="BI47" s="230"/>
      <c r="BJ47" s="92"/>
    </row>
    <row r="48" spans="1:62">
      <c r="A48" s="13"/>
      <c r="B48" s="13"/>
      <c r="C48" s="13"/>
      <c r="D48" s="13"/>
      <c r="E48" s="14"/>
      <c r="F48" s="13"/>
      <c r="G48" s="13"/>
      <c r="H48" s="13"/>
      <c r="I48" s="13"/>
      <c r="J48" s="13"/>
      <c r="K48" s="13"/>
      <c r="L48" s="15"/>
      <c r="M48" s="15"/>
      <c r="N48" s="15"/>
      <c r="O48" s="15"/>
      <c r="P48" s="15"/>
      <c r="Q48" s="15"/>
      <c r="R48" s="15"/>
      <c r="S48" s="15"/>
      <c r="T48" s="15"/>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5"/>
      <c r="AW48" s="15"/>
      <c r="AZ48" s="68"/>
      <c r="BA48" s="68"/>
      <c r="BB48" s="92"/>
      <c r="BC48" s="68"/>
      <c r="BD48" s="68"/>
      <c r="BE48" s="92"/>
      <c r="BF48" s="68"/>
      <c r="BG48" s="68"/>
      <c r="BH48" s="230"/>
      <c r="BI48" s="230"/>
      <c r="BJ48" s="92"/>
    </row>
    <row r="49" spans="1:62">
      <c r="A49" s="13"/>
      <c r="B49" s="13"/>
      <c r="C49" s="13"/>
      <c r="D49" s="13"/>
      <c r="E49" s="14"/>
      <c r="F49" s="13"/>
      <c r="G49" s="13"/>
      <c r="H49" s="13"/>
      <c r="I49" s="13"/>
      <c r="J49" s="13"/>
      <c r="K49" s="13"/>
      <c r="L49" s="15"/>
      <c r="M49" s="15"/>
      <c r="N49" s="15"/>
      <c r="O49" s="15"/>
      <c r="P49" s="15"/>
      <c r="Q49" s="15"/>
      <c r="R49" s="15"/>
      <c r="S49" s="15"/>
      <c r="T49" s="15"/>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5"/>
      <c r="AW49" s="15"/>
      <c r="AZ49" s="68"/>
      <c r="BA49" s="68"/>
      <c r="BB49" s="92"/>
      <c r="BC49" s="68"/>
      <c r="BD49" s="68"/>
      <c r="BE49" s="92"/>
      <c r="BF49" s="68"/>
      <c r="BG49" s="68"/>
      <c r="BH49" s="230"/>
      <c r="BI49" s="230"/>
      <c r="BJ49" s="92"/>
    </row>
    <row r="50" spans="1:62">
      <c r="A50" s="13"/>
      <c r="B50" s="13"/>
      <c r="C50" s="13"/>
      <c r="D50" s="13"/>
      <c r="E50" s="14"/>
      <c r="F50" s="13"/>
      <c r="G50" s="13"/>
      <c r="H50" s="13"/>
      <c r="I50" s="13"/>
      <c r="J50" s="13"/>
      <c r="K50" s="13"/>
      <c r="L50" s="15"/>
      <c r="M50" s="15"/>
      <c r="N50" s="15"/>
      <c r="O50" s="15"/>
      <c r="P50" s="15"/>
      <c r="Q50" s="15"/>
      <c r="R50" s="15"/>
      <c r="S50" s="15"/>
      <c r="T50" s="15"/>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5"/>
      <c r="AW50" s="15"/>
      <c r="AZ50" s="68"/>
      <c r="BA50" s="68"/>
      <c r="BB50" s="92"/>
      <c r="BC50" s="68"/>
      <c r="BD50" s="68"/>
      <c r="BE50" s="92"/>
      <c r="BF50" s="68"/>
      <c r="BG50" s="68"/>
      <c r="BH50" s="230"/>
      <c r="BI50" s="230"/>
      <c r="BJ50" s="92"/>
    </row>
    <row r="51" spans="1:62">
      <c r="A51" s="13"/>
      <c r="B51" s="13"/>
      <c r="C51" s="13"/>
      <c r="D51" s="13"/>
      <c r="E51" s="14"/>
      <c r="F51" s="13"/>
      <c r="G51" s="13"/>
      <c r="H51" s="13"/>
      <c r="I51" s="13"/>
      <c r="J51" s="13"/>
      <c r="K51" s="13"/>
      <c r="L51" s="15"/>
      <c r="M51" s="15"/>
      <c r="N51" s="15"/>
      <c r="O51" s="15"/>
      <c r="P51" s="15"/>
      <c r="Q51" s="15"/>
      <c r="R51" s="15"/>
      <c r="S51" s="15"/>
      <c r="T51" s="15"/>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5"/>
      <c r="AW51" s="15"/>
      <c r="AZ51" s="68"/>
      <c r="BA51" s="68"/>
      <c r="BB51" s="92"/>
      <c r="BC51" s="68"/>
      <c r="BD51" s="68"/>
      <c r="BE51" s="92"/>
      <c r="BF51" s="68"/>
      <c r="BG51" s="68"/>
      <c r="BH51" s="230"/>
      <c r="BI51" s="230"/>
      <c r="BJ51" s="92"/>
    </row>
    <row r="52" spans="1:62">
      <c r="A52" s="13"/>
      <c r="B52" s="13"/>
      <c r="C52" s="13"/>
      <c r="D52" s="13"/>
      <c r="E52" s="14"/>
      <c r="F52" s="13"/>
      <c r="G52" s="13"/>
      <c r="H52" s="13"/>
      <c r="I52" s="13"/>
      <c r="J52" s="13"/>
      <c r="K52" s="13"/>
      <c r="L52" s="15"/>
      <c r="M52" s="15"/>
      <c r="N52" s="15"/>
      <c r="O52" s="15"/>
      <c r="P52" s="15"/>
      <c r="Q52" s="15"/>
      <c r="R52" s="15"/>
      <c r="S52" s="15"/>
      <c r="T52" s="15"/>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5"/>
      <c r="AW52" s="15"/>
      <c r="AZ52" s="68"/>
      <c r="BA52" s="68"/>
      <c r="BB52" s="92"/>
      <c r="BC52" s="68"/>
      <c r="BD52" s="68"/>
      <c r="BE52" s="92"/>
      <c r="BF52" s="68"/>
      <c r="BG52" s="68"/>
      <c r="BH52" s="230"/>
      <c r="BI52" s="230"/>
      <c r="BJ52" s="92"/>
    </row>
    <row r="53" spans="1:62">
      <c r="A53" s="13"/>
      <c r="B53" s="13"/>
      <c r="C53" s="13"/>
      <c r="D53" s="13"/>
      <c r="E53" s="14"/>
      <c r="F53" s="13"/>
      <c r="G53" s="13"/>
      <c r="H53" s="13"/>
      <c r="I53" s="13"/>
      <c r="J53" s="13"/>
      <c r="K53" s="13"/>
      <c r="L53" s="15"/>
      <c r="M53" s="15"/>
      <c r="N53" s="15"/>
      <c r="O53" s="15"/>
      <c r="P53" s="15"/>
      <c r="Q53" s="15"/>
      <c r="R53" s="15"/>
      <c r="S53" s="15"/>
      <c r="T53" s="15"/>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5"/>
      <c r="AW53" s="15"/>
      <c r="AZ53" s="68"/>
      <c r="BA53" s="68"/>
      <c r="BB53" s="92"/>
      <c r="BC53" s="68"/>
      <c r="BD53" s="68"/>
      <c r="BE53" s="92"/>
      <c r="BF53" s="68"/>
      <c r="BG53" s="68"/>
      <c r="BH53" s="230"/>
      <c r="BI53" s="230"/>
      <c r="BJ53" s="92"/>
    </row>
    <row r="54" spans="1:62">
      <c r="A54" s="13"/>
      <c r="B54" s="13"/>
      <c r="C54" s="13"/>
      <c r="D54" s="13"/>
      <c r="E54" s="14"/>
      <c r="F54" s="13"/>
      <c r="G54" s="13"/>
      <c r="H54" s="13"/>
      <c r="I54" s="13"/>
      <c r="J54" s="13"/>
      <c r="K54" s="13"/>
      <c r="L54" s="15"/>
      <c r="M54" s="15"/>
      <c r="N54" s="15"/>
      <c r="O54" s="15"/>
      <c r="P54" s="15"/>
      <c r="Q54" s="15"/>
      <c r="R54" s="15"/>
      <c r="S54" s="15"/>
      <c r="T54" s="15"/>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5"/>
      <c r="AW54" s="15"/>
      <c r="AZ54" s="68"/>
      <c r="BA54" s="68"/>
      <c r="BB54" s="92"/>
      <c r="BC54" s="68"/>
      <c r="BD54" s="68"/>
      <c r="BE54" s="92"/>
      <c r="BF54" s="68"/>
      <c r="BG54" s="68"/>
      <c r="BH54" s="230"/>
      <c r="BI54" s="230"/>
      <c r="BJ54" s="92"/>
    </row>
    <row r="55" spans="1:62">
      <c r="A55" s="13"/>
      <c r="B55" s="13"/>
      <c r="C55" s="13"/>
      <c r="D55" s="13"/>
      <c r="E55" s="14"/>
      <c r="F55" s="13"/>
      <c r="G55" s="13"/>
      <c r="H55" s="13"/>
      <c r="I55" s="13"/>
      <c r="J55" s="13"/>
      <c r="K55" s="13"/>
      <c r="L55" s="15"/>
      <c r="M55" s="15"/>
      <c r="N55" s="15"/>
      <c r="O55" s="15"/>
      <c r="P55" s="15"/>
      <c r="Q55" s="15"/>
      <c r="R55" s="15"/>
      <c r="S55" s="15"/>
      <c r="T55" s="15"/>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5"/>
      <c r="AW55" s="15"/>
      <c r="AZ55" s="68"/>
      <c r="BA55" s="68"/>
      <c r="BB55" s="92"/>
      <c r="BC55" s="68"/>
      <c r="BD55" s="68"/>
      <c r="BE55" s="92"/>
      <c r="BF55" s="68"/>
      <c r="BG55" s="68"/>
      <c r="BH55" s="230"/>
      <c r="BI55" s="230"/>
      <c r="BJ55" s="92"/>
    </row>
    <row r="56" spans="1:62">
      <c r="A56" s="13"/>
      <c r="B56" s="13"/>
      <c r="C56" s="13"/>
      <c r="D56" s="13"/>
      <c r="E56" s="14"/>
      <c r="F56" s="13"/>
      <c r="G56" s="13"/>
      <c r="H56" s="13"/>
      <c r="I56" s="13"/>
      <c r="J56" s="13"/>
      <c r="K56" s="13"/>
      <c r="L56" s="15"/>
      <c r="M56" s="15"/>
      <c r="N56" s="15"/>
      <c r="O56" s="15"/>
      <c r="P56" s="15"/>
      <c r="Q56" s="15"/>
      <c r="R56" s="15"/>
      <c r="S56" s="15"/>
      <c r="T56" s="15"/>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5"/>
      <c r="AW56" s="15"/>
      <c r="AZ56" s="68"/>
      <c r="BA56" s="68"/>
      <c r="BB56" s="92"/>
      <c r="BC56" s="68"/>
      <c r="BD56" s="68"/>
      <c r="BE56" s="92"/>
      <c r="BF56" s="68"/>
      <c r="BG56" s="68"/>
      <c r="BH56" s="230"/>
      <c r="BI56" s="230"/>
      <c r="BJ56" s="92"/>
    </row>
    <row r="57" spans="1:62">
      <c r="A57" s="13"/>
      <c r="B57" s="13"/>
      <c r="C57" s="13"/>
      <c r="D57" s="13"/>
      <c r="E57" s="14"/>
      <c r="F57" s="13"/>
      <c r="G57" s="13"/>
      <c r="H57" s="13"/>
      <c r="I57" s="13"/>
      <c r="J57" s="13"/>
      <c r="K57" s="13"/>
      <c r="L57" s="15"/>
      <c r="M57" s="15"/>
      <c r="N57" s="15"/>
      <c r="O57" s="15"/>
      <c r="P57" s="15"/>
      <c r="Q57" s="15"/>
      <c r="R57" s="15"/>
      <c r="S57" s="15"/>
      <c r="T57" s="15"/>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5"/>
      <c r="AW57" s="15"/>
      <c r="AZ57" s="68"/>
      <c r="BA57" s="68"/>
      <c r="BB57" s="92"/>
      <c r="BC57" s="68"/>
      <c r="BD57" s="68"/>
      <c r="BE57" s="92"/>
      <c r="BF57" s="68"/>
      <c r="BG57" s="68"/>
      <c r="BH57" s="230"/>
      <c r="BI57" s="230"/>
      <c r="BJ57" s="92"/>
    </row>
    <row r="58" spans="1:62">
      <c r="A58" s="13"/>
      <c r="B58" s="13"/>
      <c r="C58" s="13"/>
      <c r="D58" s="13"/>
      <c r="E58" s="14"/>
      <c r="F58" s="13"/>
      <c r="G58" s="13"/>
      <c r="H58" s="13"/>
      <c r="I58" s="13"/>
      <c r="J58" s="13"/>
      <c r="K58" s="13"/>
      <c r="L58" s="15"/>
      <c r="M58" s="15"/>
      <c r="N58" s="15"/>
      <c r="O58" s="15"/>
      <c r="P58" s="15"/>
      <c r="Q58" s="15"/>
      <c r="R58" s="15"/>
      <c r="S58" s="15"/>
      <c r="T58" s="15"/>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5"/>
      <c r="AW58" s="15"/>
      <c r="AZ58" s="68"/>
      <c r="BA58" s="68"/>
      <c r="BB58" s="92"/>
      <c r="BC58" s="68"/>
      <c r="BD58" s="68"/>
      <c r="BE58" s="92"/>
      <c r="BF58" s="68"/>
      <c r="BG58" s="68"/>
      <c r="BH58" s="230"/>
      <c r="BI58" s="230"/>
      <c r="BJ58" s="92"/>
    </row>
    <row r="59" spans="1:62">
      <c r="A59" s="13"/>
      <c r="B59" s="13"/>
      <c r="C59" s="13"/>
      <c r="D59" s="13"/>
      <c r="E59" s="14"/>
      <c r="F59" s="13"/>
      <c r="G59" s="13"/>
      <c r="H59" s="13"/>
      <c r="I59" s="13"/>
      <c r="J59" s="13"/>
      <c r="K59" s="13"/>
      <c r="L59" s="15"/>
      <c r="M59" s="15"/>
      <c r="N59" s="15"/>
      <c r="O59" s="15"/>
      <c r="P59" s="15"/>
      <c r="Q59" s="15"/>
      <c r="R59" s="15"/>
      <c r="S59" s="15"/>
      <c r="T59" s="15"/>
      <c r="U59" s="15"/>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5"/>
      <c r="AW59" s="15"/>
      <c r="AZ59" s="68"/>
      <c r="BA59" s="68"/>
      <c r="BB59" s="92"/>
      <c r="BC59" s="68"/>
      <c r="BD59" s="68"/>
      <c r="BE59" s="92"/>
      <c r="BF59" s="68"/>
      <c r="BG59" s="68"/>
      <c r="BH59" s="230"/>
      <c r="BI59" s="230"/>
      <c r="BJ59" s="92"/>
    </row>
    <row r="60" spans="1:62">
      <c r="A60" s="13"/>
      <c r="B60" s="13"/>
      <c r="C60" s="13"/>
      <c r="D60" s="13"/>
      <c r="E60" s="14"/>
      <c r="F60" s="13"/>
      <c r="G60" s="13"/>
      <c r="H60" s="13"/>
      <c r="I60" s="13"/>
      <c r="J60" s="13"/>
      <c r="K60" s="13"/>
      <c r="L60" s="15"/>
      <c r="M60" s="15"/>
      <c r="N60" s="15"/>
      <c r="O60" s="15"/>
      <c r="P60" s="15"/>
      <c r="Q60" s="15"/>
      <c r="R60" s="15"/>
      <c r="S60" s="15"/>
      <c r="T60" s="15"/>
      <c r="U60" s="15"/>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5"/>
      <c r="AW60" s="15"/>
      <c r="AZ60" s="68"/>
      <c r="BA60" s="68"/>
      <c r="BB60" s="92"/>
      <c r="BC60" s="68"/>
      <c r="BD60" s="68"/>
      <c r="BE60" s="92"/>
      <c r="BF60" s="68"/>
      <c r="BG60" s="68"/>
      <c r="BH60" s="230"/>
      <c r="BI60" s="230"/>
      <c r="BJ60" s="92"/>
    </row>
    <row r="61" spans="1:62">
      <c r="A61" s="13"/>
      <c r="B61" s="13"/>
      <c r="C61" s="13"/>
      <c r="D61" s="13"/>
      <c r="E61" s="14"/>
      <c r="F61" s="13"/>
      <c r="G61" s="13"/>
      <c r="H61" s="13"/>
      <c r="I61" s="13"/>
      <c r="J61" s="13"/>
      <c r="K61" s="13"/>
      <c r="L61" s="15"/>
      <c r="M61" s="15"/>
      <c r="N61" s="15"/>
      <c r="O61" s="15"/>
      <c r="P61" s="15"/>
      <c r="Q61" s="15"/>
      <c r="R61" s="15"/>
      <c r="S61" s="15"/>
      <c r="T61" s="15"/>
      <c r="U61" s="15"/>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5"/>
      <c r="AW61" s="15"/>
      <c r="AZ61" s="68"/>
      <c r="BA61" s="68"/>
      <c r="BB61" s="92"/>
      <c r="BC61" s="68"/>
      <c r="BD61" s="68"/>
      <c r="BE61" s="92"/>
      <c r="BF61" s="68"/>
      <c r="BG61" s="68"/>
      <c r="BH61" s="230"/>
      <c r="BI61" s="230"/>
      <c r="BJ61" s="92"/>
    </row>
    <row r="62" spans="1:62">
      <c r="A62" s="13"/>
      <c r="B62" s="13"/>
      <c r="C62" s="13"/>
      <c r="D62" s="13"/>
      <c r="E62" s="14"/>
      <c r="F62" s="13"/>
      <c r="G62" s="13"/>
      <c r="H62" s="13"/>
      <c r="I62" s="13"/>
      <c r="J62" s="13"/>
      <c r="K62" s="13"/>
      <c r="L62" s="15"/>
      <c r="M62" s="15"/>
      <c r="N62" s="15"/>
      <c r="O62" s="15"/>
      <c r="P62" s="15"/>
      <c r="Q62" s="15"/>
      <c r="R62" s="15"/>
      <c r="S62" s="15"/>
      <c r="T62" s="15"/>
      <c r="U62" s="15"/>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5"/>
      <c r="AW62" s="15"/>
      <c r="AZ62" s="68"/>
      <c r="BA62" s="68"/>
      <c r="BB62" s="92"/>
      <c r="BC62" s="68"/>
      <c r="BD62" s="68"/>
      <c r="BE62" s="92"/>
      <c r="BF62" s="68"/>
      <c r="BG62" s="68"/>
      <c r="BH62" s="230"/>
      <c r="BI62" s="230"/>
      <c r="BJ62" s="92"/>
    </row>
    <row r="63" spans="1:62">
      <c r="A63" s="13"/>
      <c r="B63" s="13"/>
      <c r="C63" s="13"/>
      <c r="D63" s="13"/>
      <c r="E63" s="14"/>
      <c r="F63" s="13"/>
      <c r="G63" s="13"/>
      <c r="H63" s="13"/>
      <c r="I63" s="13"/>
      <c r="J63" s="13"/>
      <c r="K63" s="13"/>
      <c r="L63" s="15"/>
      <c r="M63" s="15"/>
      <c r="N63" s="15"/>
      <c r="O63" s="15"/>
      <c r="P63" s="15"/>
      <c r="Q63" s="15"/>
      <c r="R63" s="15"/>
      <c r="S63" s="15"/>
      <c r="T63" s="15"/>
      <c r="U63" s="15"/>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5"/>
      <c r="AW63" s="15"/>
      <c r="AZ63" s="68"/>
      <c r="BA63" s="68"/>
      <c r="BB63" s="92"/>
      <c r="BC63" s="68"/>
      <c r="BD63" s="68"/>
      <c r="BE63" s="92"/>
      <c r="BF63" s="68"/>
      <c r="BG63" s="68"/>
      <c r="BH63" s="230"/>
      <c r="BI63" s="230"/>
      <c r="BJ63" s="92"/>
    </row>
    <row r="64" spans="1:62">
      <c r="A64" s="13"/>
      <c r="B64" s="13"/>
      <c r="C64" s="13"/>
      <c r="D64" s="13"/>
      <c r="E64" s="14"/>
      <c r="F64" s="13"/>
      <c r="G64" s="13"/>
      <c r="H64" s="13"/>
      <c r="I64" s="13"/>
      <c r="J64" s="13"/>
      <c r="K64" s="13"/>
      <c r="L64" s="15"/>
      <c r="M64" s="15"/>
      <c r="N64" s="15"/>
      <c r="O64" s="15"/>
      <c r="P64" s="15"/>
      <c r="Q64" s="15"/>
      <c r="R64" s="15"/>
      <c r="S64" s="15"/>
      <c r="T64" s="15"/>
      <c r="U64" s="15"/>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5"/>
      <c r="AW64" s="15"/>
      <c r="AZ64" s="68"/>
      <c r="BA64" s="68"/>
      <c r="BB64" s="92"/>
      <c r="BC64" s="68"/>
      <c r="BD64" s="68"/>
      <c r="BE64" s="92"/>
      <c r="BF64" s="68"/>
      <c r="BG64" s="68"/>
      <c r="BH64" s="230"/>
      <c r="BI64" s="230"/>
      <c r="BJ64" s="92"/>
    </row>
    <row r="65" spans="1:62">
      <c r="A65" s="13"/>
      <c r="B65" s="13"/>
      <c r="C65" s="13"/>
      <c r="D65" s="13"/>
      <c r="E65" s="14"/>
      <c r="F65" s="13"/>
      <c r="G65" s="13"/>
      <c r="H65" s="13"/>
      <c r="I65" s="13"/>
      <c r="J65" s="13"/>
      <c r="K65" s="13"/>
      <c r="L65" s="15"/>
      <c r="M65" s="15"/>
      <c r="N65" s="15"/>
      <c r="O65" s="15"/>
      <c r="P65" s="15"/>
      <c r="Q65" s="15"/>
      <c r="R65" s="15"/>
      <c r="S65" s="15"/>
      <c r="T65" s="15"/>
      <c r="U65" s="15"/>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5"/>
      <c r="AW65" s="15"/>
      <c r="AZ65" s="68"/>
      <c r="BA65" s="68"/>
      <c r="BB65" s="92"/>
      <c r="BC65" s="68"/>
      <c r="BD65" s="68"/>
      <c r="BE65" s="92"/>
      <c r="BF65" s="68"/>
      <c r="BG65" s="68"/>
      <c r="BH65" s="230"/>
      <c r="BI65" s="230"/>
      <c r="BJ65" s="92"/>
    </row>
    <row r="66" spans="1:62">
      <c r="A66" s="13"/>
      <c r="B66" s="13"/>
      <c r="C66" s="13"/>
      <c r="D66" s="13"/>
      <c r="E66" s="14"/>
      <c r="F66" s="13"/>
      <c r="G66" s="13"/>
      <c r="H66" s="13"/>
      <c r="I66" s="13"/>
      <c r="J66" s="13"/>
      <c r="K66" s="13"/>
      <c r="L66" s="15"/>
      <c r="M66" s="15"/>
      <c r="N66" s="15"/>
      <c r="O66" s="15"/>
      <c r="P66" s="15"/>
      <c r="Q66" s="15"/>
      <c r="R66" s="15"/>
      <c r="S66" s="15"/>
      <c r="T66" s="15"/>
      <c r="U66" s="15"/>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5"/>
      <c r="AW66" s="15"/>
      <c r="AZ66" s="68"/>
      <c r="BA66" s="68"/>
      <c r="BB66" s="92"/>
      <c r="BC66" s="68"/>
      <c r="BD66" s="68"/>
      <c r="BE66" s="92"/>
      <c r="BF66" s="68"/>
      <c r="BG66" s="68"/>
      <c r="BH66" s="230"/>
      <c r="BI66" s="230"/>
      <c r="BJ66" s="92"/>
    </row>
    <row r="67" spans="1:62">
      <c r="A67" s="13"/>
      <c r="B67" s="13"/>
      <c r="C67" s="13"/>
      <c r="D67" s="13"/>
      <c r="E67" s="14"/>
      <c r="F67" s="13"/>
      <c r="G67" s="13"/>
      <c r="H67" s="13"/>
      <c r="I67" s="13"/>
      <c r="J67" s="13"/>
      <c r="K67" s="13"/>
      <c r="L67" s="15"/>
      <c r="M67" s="15"/>
      <c r="N67" s="15"/>
      <c r="O67" s="15"/>
      <c r="P67" s="15"/>
      <c r="Q67" s="15"/>
      <c r="R67" s="15"/>
      <c r="S67" s="15"/>
      <c r="T67" s="15"/>
      <c r="U67" s="15"/>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5"/>
      <c r="AW67" s="15"/>
      <c r="AZ67" s="68"/>
      <c r="BA67" s="68"/>
      <c r="BB67" s="92"/>
      <c r="BC67" s="68"/>
      <c r="BD67" s="68"/>
      <c r="BE67" s="92"/>
      <c r="BF67" s="68"/>
      <c r="BG67" s="68"/>
      <c r="BH67" s="230"/>
      <c r="BI67" s="230"/>
      <c r="BJ67" s="92"/>
    </row>
    <row r="68" spans="1:62">
      <c r="A68" s="13"/>
      <c r="B68" s="13"/>
      <c r="C68" s="13"/>
      <c r="D68" s="13"/>
      <c r="E68" s="14"/>
      <c r="F68" s="13"/>
      <c r="G68" s="13"/>
      <c r="H68" s="13"/>
      <c r="I68" s="13"/>
      <c r="J68" s="13"/>
      <c r="K68" s="13"/>
      <c r="L68" s="15"/>
      <c r="M68" s="15"/>
      <c r="N68" s="15"/>
      <c r="O68" s="15"/>
      <c r="P68" s="15"/>
      <c r="Q68" s="15"/>
      <c r="R68" s="15"/>
      <c r="S68" s="15"/>
      <c r="T68" s="15"/>
      <c r="U68" s="15"/>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5"/>
      <c r="AW68" s="15"/>
      <c r="AZ68" s="68"/>
      <c r="BA68" s="68"/>
      <c r="BB68" s="92"/>
      <c r="BC68" s="68"/>
      <c r="BD68" s="68"/>
      <c r="BE68" s="92"/>
      <c r="BF68" s="68"/>
      <c r="BG68" s="68"/>
      <c r="BH68" s="230"/>
      <c r="BI68" s="230"/>
      <c r="BJ68" s="92"/>
    </row>
    <row r="69" spans="1:62">
      <c r="A69" s="13"/>
      <c r="B69" s="13"/>
      <c r="C69" s="13"/>
      <c r="D69" s="13"/>
      <c r="E69" s="14"/>
      <c r="F69" s="13"/>
      <c r="G69" s="13"/>
      <c r="H69" s="13"/>
      <c r="I69" s="13"/>
      <c r="J69" s="13"/>
      <c r="K69" s="13"/>
      <c r="L69" s="15"/>
      <c r="M69" s="15"/>
      <c r="N69" s="15"/>
      <c r="O69" s="15"/>
      <c r="P69" s="15"/>
      <c r="Q69" s="15"/>
      <c r="R69" s="15"/>
      <c r="S69" s="15"/>
      <c r="T69" s="15"/>
      <c r="U69" s="15"/>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5"/>
      <c r="AW69" s="15"/>
      <c r="AZ69" s="68"/>
      <c r="BA69" s="68"/>
      <c r="BB69" s="92"/>
      <c r="BC69" s="68"/>
      <c r="BD69" s="68"/>
      <c r="BE69" s="92"/>
      <c r="BF69" s="68"/>
      <c r="BG69" s="68"/>
      <c r="BH69" s="230"/>
      <c r="BI69" s="230"/>
      <c r="BJ69" s="92"/>
    </row>
    <row r="70" spans="1:62">
      <c r="A70" s="13"/>
      <c r="B70" s="13"/>
      <c r="C70" s="13"/>
      <c r="D70" s="13"/>
      <c r="E70" s="14"/>
      <c r="F70" s="13"/>
      <c r="G70" s="13"/>
      <c r="H70" s="13"/>
      <c r="I70" s="13"/>
      <c r="J70" s="13"/>
      <c r="K70" s="13"/>
      <c r="L70" s="15"/>
      <c r="M70" s="15"/>
      <c r="N70" s="15"/>
      <c r="O70" s="15"/>
      <c r="P70" s="15"/>
      <c r="Q70" s="15"/>
      <c r="R70" s="15"/>
      <c r="S70" s="15"/>
      <c r="T70" s="15"/>
      <c r="U70" s="15"/>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5"/>
      <c r="AW70" s="15"/>
      <c r="AZ70" s="68"/>
      <c r="BA70" s="68"/>
      <c r="BB70" s="92"/>
      <c r="BC70" s="68"/>
      <c r="BD70" s="68"/>
      <c r="BE70" s="92"/>
      <c r="BF70" s="68"/>
      <c r="BG70" s="68"/>
      <c r="BH70" s="230"/>
      <c r="BI70" s="230"/>
      <c r="BJ70" s="92"/>
    </row>
    <row r="71" spans="1:62">
      <c r="A71" s="13"/>
      <c r="B71" s="13"/>
      <c r="C71" s="13"/>
      <c r="D71" s="13"/>
      <c r="E71" s="14"/>
      <c r="F71" s="13"/>
      <c r="G71" s="13"/>
      <c r="H71" s="13"/>
      <c r="I71" s="13"/>
      <c r="J71" s="13"/>
      <c r="K71" s="13"/>
      <c r="L71" s="15"/>
      <c r="M71" s="15"/>
      <c r="N71" s="15"/>
      <c r="O71" s="15"/>
      <c r="P71" s="15"/>
      <c r="Q71" s="15"/>
      <c r="R71" s="15"/>
      <c r="S71" s="15"/>
      <c r="T71" s="15"/>
      <c r="U71" s="15"/>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5"/>
      <c r="AW71" s="15"/>
      <c r="AZ71" s="68"/>
      <c r="BA71" s="68"/>
      <c r="BB71" s="92"/>
      <c r="BC71" s="68"/>
      <c r="BD71" s="68"/>
      <c r="BE71" s="92"/>
      <c r="BF71" s="68"/>
      <c r="BG71" s="68"/>
      <c r="BH71" s="230"/>
      <c r="BI71" s="230"/>
      <c r="BJ71" s="92"/>
    </row>
    <row r="72" spans="1:62">
      <c r="A72" s="13"/>
      <c r="B72" s="13"/>
      <c r="C72" s="13"/>
      <c r="D72" s="13"/>
      <c r="E72" s="14"/>
      <c r="F72" s="13"/>
      <c r="G72" s="13"/>
      <c r="H72" s="13"/>
      <c r="I72" s="13"/>
      <c r="J72" s="13"/>
      <c r="K72" s="13"/>
      <c r="L72" s="15"/>
      <c r="M72" s="15"/>
      <c r="N72" s="15"/>
      <c r="O72" s="15"/>
      <c r="P72" s="15"/>
      <c r="Q72" s="15"/>
      <c r="R72" s="15"/>
      <c r="S72" s="15"/>
      <c r="T72" s="15"/>
      <c r="U72" s="15"/>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5"/>
      <c r="AW72" s="15"/>
      <c r="AZ72" s="68"/>
      <c r="BA72" s="68"/>
      <c r="BB72" s="92"/>
      <c r="BC72" s="68"/>
      <c r="BD72" s="68"/>
      <c r="BE72" s="92"/>
      <c r="BF72" s="68"/>
      <c r="BG72" s="68"/>
      <c r="BH72" s="230"/>
      <c r="BI72" s="230"/>
      <c r="BJ72" s="92"/>
    </row>
    <row r="73" spans="1:62">
      <c r="A73" s="13"/>
      <c r="B73" s="13"/>
      <c r="C73" s="13"/>
      <c r="D73" s="13"/>
      <c r="E73" s="14"/>
      <c r="F73" s="13"/>
      <c r="G73" s="13"/>
      <c r="H73" s="13"/>
      <c r="I73" s="13"/>
      <c r="J73" s="13"/>
      <c r="K73" s="13"/>
      <c r="L73" s="15"/>
      <c r="M73" s="15"/>
      <c r="N73" s="15"/>
      <c r="O73" s="15"/>
      <c r="P73" s="15"/>
      <c r="Q73" s="15"/>
      <c r="R73" s="15"/>
      <c r="S73" s="15"/>
      <c r="T73" s="15"/>
      <c r="U73" s="15"/>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5"/>
      <c r="AW73" s="15"/>
      <c r="AZ73" s="68"/>
      <c r="BA73" s="68"/>
      <c r="BB73" s="92"/>
      <c r="BC73" s="68"/>
      <c r="BD73" s="68"/>
      <c r="BE73" s="92"/>
      <c r="BF73" s="68"/>
      <c r="BG73" s="68"/>
      <c r="BH73" s="230"/>
      <c r="BI73" s="230"/>
      <c r="BJ73" s="92"/>
    </row>
    <row r="74" spans="1:62">
      <c r="A74" s="13"/>
      <c r="B74" s="13"/>
      <c r="C74" s="13"/>
      <c r="D74" s="13"/>
      <c r="E74" s="14"/>
      <c r="F74" s="13"/>
      <c r="G74" s="13"/>
      <c r="H74" s="13"/>
      <c r="I74" s="13"/>
      <c r="J74" s="13"/>
      <c r="K74" s="13"/>
      <c r="L74" s="15"/>
      <c r="M74" s="15"/>
      <c r="N74" s="15"/>
      <c r="O74" s="15"/>
      <c r="P74" s="15"/>
      <c r="Q74" s="15"/>
      <c r="R74" s="15"/>
      <c r="S74" s="15"/>
      <c r="T74" s="15"/>
      <c r="U74" s="15"/>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5"/>
      <c r="AW74" s="15"/>
      <c r="AZ74" s="68"/>
      <c r="BA74" s="68"/>
      <c r="BB74" s="92"/>
      <c r="BC74" s="68"/>
      <c r="BD74" s="68"/>
      <c r="BE74" s="92"/>
      <c r="BF74" s="68"/>
      <c r="BG74" s="68"/>
      <c r="BH74" s="230"/>
      <c r="BI74" s="230"/>
      <c r="BJ74" s="92"/>
    </row>
    <row r="75" spans="1:62">
      <c r="A75" s="13"/>
      <c r="B75" s="13"/>
      <c r="C75" s="13"/>
      <c r="D75" s="13"/>
      <c r="E75" s="14"/>
      <c r="F75" s="13"/>
      <c r="G75" s="13"/>
      <c r="H75" s="13"/>
      <c r="I75" s="13"/>
      <c r="J75" s="13"/>
      <c r="K75" s="13"/>
      <c r="L75" s="15"/>
      <c r="M75" s="15"/>
      <c r="N75" s="15"/>
      <c r="O75" s="15"/>
      <c r="P75" s="15"/>
      <c r="Q75" s="15"/>
      <c r="R75" s="15"/>
      <c r="S75" s="15"/>
      <c r="T75" s="15"/>
      <c r="U75" s="15"/>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5"/>
      <c r="AW75" s="15"/>
      <c r="AZ75" s="68"/>
      <c r="BA75" s="68"/>
      <c r="BB75" s="92"/>
      <c r="BC75" s="68"/>
      <c r="BD75" s="68"/>
      <c r="BE75" s="92"/>
      <c r="BF75" s="68"/>
      <c r="BG75" s="68"/>
      <c r="BH75" s="230"/>
      <c r="BI75" s="230"/>
      <c r="BJ75" s="92"/>
    </row>
    <row r="76" spans="1:62">
      <c r="A76" s="13"/>
      <c r="B76" s="13"/>
      <c r="C76" s="13"/>
      <c r="D76" s="13"/>
      <c r="E76" s="14"/>
      <c r="F76" s="13"/>
      <c r="G76" s="13"/>
      <c r="H76" s="13"/>
      <c r="I76" s="13"/>
      <c r="J76" s="13"/>
      <c r="K76" s="13"/>
      <c r="L76" s="15"/>
      <c r="M76" s="15"/>
      <c r="N76" s="15"/>
      <c r="O76" s="15"/>
      <c r="P76" s="15"/>
      <c r="Q76" s="15"/>
      <c r="R76" s="15"/>
      <c r="S76" s="15"/>
      <c r="T76" s="15"/>
      <c r="U76" s="15"/>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5"/>
      <c r="AW76" s="15"/>
      <c r="AZ76" s="68"/>
      <c r="BA76" s="68"/>
      <c r="BB76" s="92"/>
      <c r="BC76" s="68"/>
      <c r="BD76" s="68"/>
      <c r="BE76" s="92"/>
      <c r="BF76" s="68"/>
      <c r="BG76" s="68"/>
      <c r="BH76" s="230"/>
      <c r="BI76" s="230"/>
      <c r="BJ76" s="92"/>
    </row>
    <row r="77" spans="1:62">
      <c r="A77" s="13"/>
      <c r="B77" s="13"/>
      <c r="C77" s="13"/>
      <c r="D77" s="13"/>
      <c r="E77" s="14"/>
      <c r="F77" s="13"/>
      <c r="G77" s="13"/>
      <c r="H77" s="13"/>
      <c r="I77" s="13"/>
      <c r="J77" s="13"/>
      <c r="K77" s="13"/>
      <c r="L77" s="15"/>
      <c r="M77" s="15"/>
      <c r="N77" s="15"/>
      <c r="O77" s="15"/>
      <c r="P77" s="15"/>
      <c r="Q77" s="15"/>
      <c r="R77" s="15"/>
      <c r="S77" s="15"/>
      <c r="T77" s="15"/>
      <c r="U77" s="15"/>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5"/>
      <c r="AW77" s="15"/>
      <c r="AZ77" s="68"/>
      <c r="BA77" s="68"/>
      <c r="BB77" s="92"/>
      <c r="BC77" s="68"/>
      <c r="BD77" s="68"/>
      <c r="BE77" s="92"/>
      <c r="BF77" s="68"/>
      <c r="BG77" s="68"/>
      <c r="BH77" s="230"/>
      <c r="BI77" s="230"/>
      <c r="BJ77" s="92"/>
    </row>
    <row r="78" spans="1:62">
      <c r="A78" s="13"/>
      <c r="B78" s="13"/>
      <c r="C78" s="13"/>
      <c r="D78" s="13"/>
      <c r="E78" s="14"/>
      <c r="F78" s="13"/>
      <c r="G78" s="13"/>
      <c r="H78" s="13"/>
      <c r="I78" s="13"/>
      <c r="J78" s="13"/>
      <c r="K78" s="13"/>
      <c r="L78" s="15"/>
      <c r="M78" s="15"/>
      <c r="N78" s="15"/>
      <c r="O78" s="15"/>
      <c r="P78" s="15"/>
      <c r="Q78" s="15"/>
      <c r="R78" s="15"/>
      <c r="S78" s="15"/>
      <c r="T78" s="15"/>
      <c r="U78" s="15"/>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5"/>
      <c r="AW78" s="15"/>
      <c r="AZ78" s="68"/>
      <c r="BA78" s="68"/>
      <c r="BB78" s="92"/>
      <c r="BC78" s="68"/>
      <c r="BD78" s="68"/>
      <c r="BE78" s="92"/>
      <c r="BF78" s="68"/>
      <c r="BG78" s="68"/>
      <c r="BH78" s="230"/>
      <c r="BI78" s="230"/>
      <c r="BJ78" s="92"/>
    </row>
    <row r="79" spans="1:62">
      <c r="A79" s="13"/>
      <c r="B79" s="13"/>
      <c r="C79" s="13"/>
      <c r="D79" s="13"/>
      <c r="E79" s="14"/>
      <c r="F79" s="13"/>
      <c r="G79" s="13"/>
      <c r="H79" s="13"/>
      <c r="I79" s="13"/>
      <c r="J79" s="13"/>
      <c r="K79" s="13"/>
      <c r="L79" s="15"/>
      <c r="M79" s="15"/>
      <c r="N79" s="15"/>
      <c r="O79" s="15"/>
      <c r="P79" s="15"/>
      <c r="Q79" s="15"/>
      <c r="R79" s="15"/>
      <c r="S79" s="15"/>
      <c r="T79" s="15"/>
      <c r="U79" s="15"/>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5"/>
      <c r="AW79" s="15"/>
      <c r="AZ79" s="68"/>
      <c r="BA79" s="68"/>
      <c r="BB79" s="92"/>
      <c r="BC79" s="68"/>
      <c r="BD79" s="68"/>
      <c r="BE79" s="92"/>
      <c r="BF79" s="68"/>
      <c r="BG79" s="68"/>
      <c r="BH79" s="230"/>
      <c r="BI79" s="230"/>
      <c r="BJ79" s="92"/>
    </row>
    <row r="80" spans="1:62">
      <c r="A80" s="13"/>
      <c r="B80" s="13"/>
      <c r="C80" s="13"/>
      <c r="D80" s="13"/>
      <c r="E80" s="14"/>
      <c r="F80" s="13"/>
      <c r="G80" s="13"/>
      <c r="H80" s="13"/>
      <c r="I80" s="13"/>
      <c r="J80" s="13"/>
      <c r="K80" s="13"/>
      <c r="L80" s="15"/>
      <c r="M80" s="15"/>
      <c r="N80" s="15"/>
      <c r="O80" s="15"/>
      <c r="P80" s="15"/>
      <c r="Q80" s="15"/>
      <c r="R80" s="15"/>
      <c r="S80" s="15"/>
      <c r="T80" s="15"/>
      <c r="U80" s="15"/>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5"/>
      <c r="AW80" s="15"/>
      <c r="AZ80" s="68"/>
      <c r="BA80" s="68"/>
      <c r="BB80" s="92"/>
      <c r="BC80" s="68"/>
      <c r="BD80" s="68"/>
      <c r="BE80" s="92"/>
      <c r="BF80" s="68"/>
      <c r="BG80" s="68"/>
      <c r="BH80" s="230"/>
      <c r="BI80" s="230"/>
      <c r="BJ80" s="92"/>
    </row>
    <row r="81" spans="1:62">
      <c r="A81" s="13"/>
      <c r="B81" s="13"/>
      <c r="C81" s="13"/>
      <c r="D81" s="13"/>
      <c r="E81" s="14"/>
      <c r="F81" s="13"/>
      <c r="G81" s="13"/>
      <c r="H81" s="13"/>
      <c r="I81" s="13"/>
      <c r="J81" s="13"/>
      <c r="K81" s="13"/>
      <c r="L81" s="15"/>
      <c r="M81" s="15"/>
      <c r="N81" s="15"/>
      <c r="O81" s="15"/>
      <c r="P81" s="15"/>
      <c r="Q81" s="15"/>
      <c r="R81" s="15"/>
      <c r="S81" s="15"/>
      <c r="T81" s="15"/>
      <c r="U81" s="15"/>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5"/>
      <c r="AW81" s="15"/>
      <c r="AZ81" s="68"/>
      <c r="BA81" s="68"/>
      <c r="BB81" s="92"/>
      <c r="BC81" s="68"/>
      <c r="BD81" s="68"/>
      <c r="BE81" s="92"/>
      <c r="BF81" s="68"/>
      <c r="BG81" s="68"/>
      <c r="BH81" s="230"/>
      <c r="BI81" s="230"/>
      <c r="BJ81" s="92"/>
    </row>
    <row r="82" spans="1:62">
      <c r="A82" s="13"/>
      <c r="B82" s="13"/>
      <c r="C82" s="13"/>
      <c r="D82" s="13"/>
      <c r="E82" s="14"/>
      <c r="F82" s="13"/>
      <c r="G82" s="13"/>
      <c r="H82" s="13"/>
      <c r="I82" s="13"/>
      <c r="J82" s="13"/>
      <c r="K82" s="13"/>
      <c r="L82" s="15"/>
      <c r="M82" s="15"/>
      <c r="N82" s="15"/>
      <c r="O82" s="15"/>
      <c r="P82" s="15"/>
      <c r="Q82" s="15"/>
      <c r="R82" s="15"/>
      <c r="S82" s="15"/>
      <c r="T82" s="15"/>
      <c r="U82" s="15"/>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5"/>
      <c r="AW82" s="15"/>
      <c r="AZ82" s="68"/>
      <c r="BA82" s="68"/>
      <c r="BB82" s="92"/>
      <c r="BC82" s="68"/>
      <c r="BD82" s="68"/>
      <c r="BE82" s="92"/>
      <c r="BF82" s="68"/>
      <c r="BG82" s="68"/>
      <c r="BH82" s="230"/>
      <c r="BI82" s="230"/>
      <c r="BJ82" s="92"/>
    </row>
    <row r="83" spans="1:62">
      <c r="A83" s="13"/>
      <c r="B83" s="13"/>
      <c r="C83" s="13"/>
      <c r="D83" s="13"/>
      <c r="E83" s="14"/>
      <c r="F83" s="13"/>
      <c r="G83" s="13"/>
      <c r="H83" s="13"/>
      <c r="I83" s="13"/>
      <c r="J83" s="13"/>
      <c r="K83" s="13"/>
      <c r="L83" s="15"/>
      <c r="M83" s="15"/>
      <c r="N83" s="15"/>
      <c r="O83" s="15"/>
      <c r="P83" s="15"/>
      <c r="Q83" s="15"/>
      <c r="R83" s="15"/>
      <c r="S83" s="15"/>
      <c r="T83" s="15"/>
      <c r="U83" s="15"/>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5"/>
      <c r="AW83" s="15"/>
      <c r="AZ83" s="68"/>
      <c r="BA83" s="68"/>
      <c r="BB83" s="92"/>
      <c r="BC83" s="68"/>
      <c r="BD83" s="68"/>
      <c r="BE83" s="92"/>
      <c r="BF83" s="68"/>
      <c r="BG83" s="68"/>
      <c r="BH83" s="230"/>
      <c r="BI83" s="230"/>
      <c r="BJ83" s="92"/>
    </row>
    <row r="84" spans="1:62">
      <c r="A84" s="13"/>
      <c r="B84" s="13"/>
      <c r="C84" s="13"/>
      <c r="D84" s="13"/>
      <c r="E84" s="14"/>
      <c r="F84" s="13"/>
      <c r="G84" s="13"/>
      <c r="H84" s="13"/>
      <c r="I84" s="13"/>
      <c r="J84" s="13"/>
      <c r="K84" s="13"/>
      <c r="L84" s="15"/>
      <c r="M84" s="15"/>
      <c r="N84" s="15"/>
      <c r="O84" s="15"/>
      <c r="P84" s="15"/>
      <c r="Q84" s="15"/>
      <c r="R84" s="15"/>
      <c r="S84" s="15"/>
      <c r="T84" s="15"/>
      <c r="U84" s="15"/>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5"/>
      <c r="AW84" s="15"/>
      <c r="AZ84" s="68"/>
      <c r="BA84" s="68"/>
      <c r="BB84" s="92"/>
      <c r="BC84" s="68"/>
      <c r="BD84" s="68"/>
      <c r="BE84" s="92"/>
      <c r="BF84" s="68"/>
      <c r="BG84" s="68"/>
      <c r="BH84" s="230"/>
      <c r="BI84" s="230"/>
      <c r="BJ84" s="92"/>
    </row>
    <row r="85" spans="1:62">
      <c r="A85" s="13"/>
      <c r="B85" s="13"/>
      <c r="C85" s="13"/>
      <c r="D85" s="13"/>
      <c r="E85" s="14"/>
      <c r="F85" s="13"/>
      <c r="G85" s="13"/>
      <c r="H85" s="13"/>
      <c r="I85" s="13"/>
      <c r="J85" s="13"/>
      <c r="K85" s="13"/>
      <c r="L85" s="15"/>
      <c r="M85" s="15"/>
      <c r="N85" s="15"/>
      <c r="O85" s="15"/>
      <c r="P85" s="15"/>
      <c r="Q85" s="15"/>
      <c r="R85" s="15"/>
      <c r="S85" s="15"/>
      <c r="T85" s="15"/>
      <c r="U85" s="15"/>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c r="AZ85" s="68"/>
      <c r="BA85" s="68"/>
      <c r="BB85" s="92"/>
      <c r="BC85" s="68"/>
      <c r="BD85" s="68"/>
      <c r="BE85" s="92"/>
      <c r="BF85" s="68"/>
      <c r="BG85" s="68"/>
      <c r="BH85" s="230"/>
      <c r="BI85" s="230"/>
      <c r="BJ85" s="92"/>
    </row>
    <row r="86" spans="1:62">
      <c r="A86" s="13"/>
      <c r="B86" s="13"/>
      <c r="C86" s="13"/>
      <c r="D86" s="13"/>
      <c r="E86" s="14"/>
      <c r="F86" s="13"/>
      <c r="G86" s="13"/>
      <c r="H86" s="13"/>
      <c r="I86" s="13"/>
      <c r="J86" s="13"/>
      <c r="K86" s="13"/>
      <c r="L86" s="15"/>
      <c r="M86" s="15"/>
      <c r="N86" s="15"/>
      <c r="O86" s="15"/>
      <c r="P86" s="15"/>
      <c r="Q86" s="15"/>
      <c r="R86" s="15"/>
      <c r="S86" s="15"/>
      <c r="T86" s="15"/>
      <c r="U86" s="15"/>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5"/>
      <c r="AW86" s="15"/>
      <c r="AZ86" s="68"/>
      <c r="BA86" s="68"/>
      <c r="BB86" s="92"/>
      <c r="BC86" s="68"/>
      <c r="BD86" s="68"/>
      <c r="BE86" s="92"/>
      <c r="BF86" s="68"/>
      <c r="BG86" s="68"/>
      <c r="BH86" s="230"/>
      <c r="BI86" s="230"/>
      <c r="BJ86" s="92"/>
    </row>
    <row r="87" spans="1:62">
      <c r="A87" s="13"/>
      <c r="B87" s="13"/>
      <c r="C87" s="13"/>
      <c r="D87" s="13"/>
      <c r="E87" s="14"/>
      <c r="F87" s="13"/>
      <c r="G87" s="13"/>
      <c r="H87" s="13"/>
      <c r="I87" s="13"/>
      <c r="J87" s="13"/>
      <c r="K87" s="13"/>
      <c r="L87" s="15"/>
      <c r="M87" s="15"/>
      <c r="N87" s="15"/>
      <c r="O87" s="15"/>
      <c r="P87" s="15"/>
      <c r="Q87" s="15"/>
      <c r="R87" s="15"/>
      <c r="S87" s="15"/>
      <c r="T87" s="15"/>
      <c r="U87" s="15"/>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5"/>
      <c r="AW87" s="15"/>
      <c r="AZ87" s="68"/>
      <c r="BA87" s="68"/>
      <c r="BB87" s="92"/>
      <c r="BC87" s="68"/>
      <c r="BD87" s="68"/>
      <c r="BE87" s="92"/>
      <c r="BF87" s="68"/>
      <c r="BG87" s="68"/>
      <c r="BH87" s="230"/>
      <c r="BI87" s="230"/>
      <c r="BJ87" s="92"/>
    </row>
    <row r="88" spans="1:62">
      <c r="A88" s="13"/>
      <c r="B88" s="13"/>
      <c r="C88" s="13"/>
      <c r="D88" s="13"/>
      <c r="E88" s="14"/>
      <c r="F88" s="13"/>
      <c r="G88" s="13"/>
      <c r="H88" s="13"/>
      <c r="I88" s="13"/>
      <c r="J88" s="13"/>
      <c r="K88" s="13"/>
      <c r="L88" s="15"/>
      <c r="M88" s="15"/>
      <c r="N88" s="15"/>
      <c r="O88" s="15"/>
      <c r="P88" s="15"/>
      <c r="Q88" s="15"/>
      <c r="R88" s="15"/>
      <c r="S88" s="15"/>
      <c r="T88" s="15"/>
      <c r="U88" s="15"/>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5"/>
      <c r="AW88" s="15"/>
      <c r="AZ88" s="68"/>
      <c r="BA88" s="68"/>
      <c r="BB88" s="92"/>
      <c r="BC88" s="68"/>
      <c r="BD88" s="68"/>
      <c r="BE88" s="92"/>
      <c r="BF88" s="68"/>
      <c r="BG88" s="68"/>
      <c r="BH88" s="230"/>
      <c r="BI88" s="230"/>
      <c r="BJ88" s="92"/>
    </row>
    <row r="89" spans="1:62">
      <c r="A89" s="13"/>
      <c r="B89" s="13"/>
      <c r="C89" s="13"/>
      <c r="D89" s="13"/>
      <c r="E89" s="14"/>
      <c r="F89" s="13"/>
      <c r="G89" s="13"/>
      <c r="H89" s="13"/>
      <c r="I89" s="13"/>
      <c r="J89" s="13"/>
      <c r="K89" s="13"/>
      <c r="L89" s="15"/>
      <c r="M89" s="15"/>
      <c r="N89" s="15"/>
      <c r="O89" s="15"/>
      <c r="P89" s="15"/>
      <c r="Q89" s="15"/>
      <c r="R89" s="15"/>
      <c r="S89" s="15"/>
      <c r="T89" s="15"/>
      <c r="U89" s="15"/>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5"/>
      <c r="AW89" s="15"/>
      <c r="AZ89" s="68"/>
      <c r="BA89" s="68"/>
      <c r="BB89" s="92"/>
      <c r="BC89" s="68"/>
      <c r="BD89" s="68"/>
      <c r="BE89" s="92"/>
      <c r="BF89" s="68"/>
      <c r="BG89" s="68"/>
      <c r="BH89" s="230"/>
      <c r="BI89" s="230"/>
      <c r="BJ89" s="92"/>
    </row>
    <row r="90" spans="1:62">
      <c r="A90" s="13"/>
      <c r="B90" s="13"/>
      <c r="C90" s="13"/>
      <c r="D90" s="13"/>
      <c r="E90" s="14"/>
      <c r="F90" s="13"/>
      <c r="G90" s="13"/>
      <c r="H90" s="13"/>
      <c r="I90" s="13"/>
      <c r="J90" s="13"/>
      <c r="K90" s="13"/>
      <c r="L90" s="15"/>
      <c r="M90" s="15"/>
      <c r="N90" s="15"/>
      <c r="O90" s="15"/>
      <c r="P90" s="15"/>
      <c r="Q90" s="15"/>
      <c r="R90" s="15"/>
      <c r="S90" s="15"/>
      <c r="T90" s="15"/>
      <c r="U90" s="15"/>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5"/>
      <c r="AW90" s="15"/>
      <c r="AZ90" s="68"/>
      <c r="BA90" s="68"/>
      <c r="BB90" s="92"/>
      <c r="BC90" s="68"/>
      <c r="BD90" s="68"/>
      <c r="BE90" s="92"/>
      <c r="BF90" s="68"/>
      <c r="BG90" s="68"/>
      <c r="BH90" s="230"/>
      <c r="BI90" s="230"/>
      <c r="BJ90" s="92"/>
    </row>
    <row r="91" spans="1:62">
      <c r="A91" s="13"/>
      <c r="B91" s="13"/>
      <c r="C91" s="13"/>
      <c r="D91" s="13"/>
      <c r="E91" s="14"/>
      <c r="F91" s="13"/>
      <c r="G91" s="13"/>
      <c r="H91" s="13"/>
      <c r="I91" s="13"/>
      <c r="J91" s="13"/>
      <c r="K91" s="13"/>
      <c r="L91" s="15"/>
      <c r="M91" s="15"/>
      <c r="N91" s="15"/>
      <c r="O91" s="15"/>
      <c r="P91" s="15"/>
      <c r="Q91" s="15"/>
      <c r="R91" s="15"/>
      <c r="S91" s="15"/>
      <c r="T91" s="15"/>
      <c r="U91" s="15"/>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5"/>
      <c r="AW91" s="15"/>
      <c r="AZ91" s="68"/>
      <c r="BA91" s="68"/>
      <c r="BB91" s="92"/>
      <c r="BC91" s="68"/>
      <c r="BD91" s="68"/>
      <c r="BE91" s="92"/>
      <c r="BF91" s="68"/>
      <c r="BG91" s="68"/>
      <c r="BH91" s="230"/>
      <c r="BI91" s="230"/>
      <c r="BJ91" s="92"/>
    </row>
    <row r="92" spans="1:62">
      <c r="A92" s="13"/>
      <c r="B92" s="13"/>
      <c r="C92" s="13"/>
      <c r="D92" s="13"/>
      <c r="E92" s="14"/>
      <c r="F92" s="13"/>
      <c r="G92" s="13"/>
      <c r="H92" s="13"/>
      <c r="I92" s="13"/>
      <c r="J92" s="13"/>
      <c r="K92" s="13"/>
      <c r="L92" s="15"/>
      <c r="M92" s="15"/>
      <c r="N92" s="15"/>
      <c r="O92" s="15"/>
      <c r="P92" s="15"/>
      <c r="Q92" s="15"/>
      <c r="R92" s="15"/>
      <c r="S92" s="15"/>
      <c r="T92" s="15"/>
      <c r="U92" s="15"/>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5"/>
      <c r="AW92" s="15"/>
      <c r="AZ92" s="68"/>
      <c r="BA92" s="68"/>
      <c r="BB92" s="92"/>
      <c r="BC92" s="68"/>
      <c r="BD92" s="68"/>
      <c r="BE92" s="92"/>
      <c r="BF92" s="68"/>
      <c r="BG92" s="68"/>
      <c r="BH92" s="230"/>
      <c r="BI92" s="230"/>
      <c r="BJ92" s="92"/>
    </row>
    <row r="93" spans="1:62">
      <c r="A93" s="13"/>
      <c r="B93" s="13"/>
      <c r="C93" s="13"/>
      <c r="D93" s="13"/>
      <c r="E93" s="14"/>
      <c r="F93" s="13"/>
      <c r="G93" s="13"/>
      <c r="H93" s="13"/>
      <c r="I93" s="13"/>
      <c r="J93" s="13"/>
      <c r="K93" s="13"/>
      <c r="L93" s="15"/>
      <c r="M93" s="15"/>
      <c r="N93" s="15"/>
      <c r="O93" s="15"/>
      <c r="P93" s="15"/>
      <c r="Q93" s="15"/>
      <c r="R93" s="15"/>
      <c r="S93" s="15"/>
      <c r="T93" s="15"/>
      <c r="U93" s="15"/>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5"/>
      <c r="AW93" s="15"/>
      <c r="AZ93" s="68"/>
      <c r="BA93" s="68"/>
      <c r="BB93" s="92"/>
      <c r="BC93" s="68"/>
      <c r="BD93" s="68"/>
      <c r="BE93" s="92"/>
      <c r="BF93" s="68"/>
      <c r="BG93" s="68"/>
      <c r="BH93" s="230"/>
      <c r="BI93" s="230"/>
      <c r="BJ93" s="92"/>
    </row>
    <row r="94" spans="1:62">
      <c r="A94" s="13"/>
      <c r="B94" s="13"/>
      <c r="C94" s="13"/>
      <c r="D94" s="13"/>
      <c r="E94" s="14"/>
      <c r="F94" s="13"/>
      <c r="G94" s="13"/>
      <c r="H94" s="13"/>
      <c r="I94" s="13"/>
      <c r="J94" s="13"/>
      <c r="K94" s="13"/>
      <c r="L94" s="15"/>
      <c r="M94" s="15"/>
      <c r="N94" s="15"/>
      <c r="O94" s="15"/>
      <c r="P94" s="15"/>
      <c r="Q94" s="15"/>
      <c r="R94" s="15"/>
      <c r="S94" s="15"/>
      <c r="T94" s="15"/>
      <c r="U94" s="15"/>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5"/>
      <c r="AW94" s="15"/>
      <c r="AZ94" s="68"/>
      <c r="BA94" s="68"/>
      <c r="BB94" s="92"/>
      <c r="BC94" s="68"/>
      <c r="BD94" s="68"/>
      <c r="BE94" s="92"/>
      <c r="BF94" s="68"/>
      <c r="BG94" s="68"/>
      <c r="BH94" s="230"/>
      <c r="BI94" s="230"/>
      <c r="BJ94" s="92"/>
    </row>
    <row r="95" spans="1:62">
      <c r="A95" s="13"/>
      <c r="B95" s="13"/>
      <c r="C95" s="13"/>
      <c r="D95" s="13"/>
      <c r="E95" s="14"/>
      <c r="F95" s="13"/>
      <c r="G95" s="13"/>
      <c r="H95" s="13"/>
      <c r="I95" s="13"/>
      <c r="J95" s="13"/>
      <c r="K95" s="13"/>
      <c r="L95" s="15"/>
      <c r="M95" s="15"/>
      <c r="N95" s="15"/>
      <c r="O95" s="15"/>
      <c r="P95" s="15"/>
      <c r="Q95" s="15"/>
      <c r="R95" s="15"/>
      <c r="S95" s="15"/>
      <c r="T95" s="15"/>
      <c r="U95" s="15"/>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5"/>
      <c r="AW95" s="15"/>
    </row>
    <row r="96" spans="1:62">
      <c r="A96" s="13"/>
      <c r="B96" s="13"/>
      <c r="C96" s="13"/>
      <c r="D96" s="13"/>
      <c r="E96" s="14"/>
      <c r="F96" s="13"/>
      <c r="G96" s="13"/>
      <c r="H96" s="13"/>
      <c r="I96" s="13"/>
      <c r="J96" s="13"/>
      <c r="K96" s="13"/>
      <c r="L96" s="15"/>
      <c r="M96" s="15"/>
      <c r="N96" s="15"/>
      <c r="O96" s="15"/>
      <c r="P96" s="15"/>
      <c r="Q96" s="15"/>
      <c r="R96" s="15"/>
      <c r="S96" s="15"/>
      <c r="T96" s="15"/>
      <c r="U96" s="15"/>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5"/>
      <c r="AW96" s="15"/>
    </row>
    <row r="97" spans="1:64">
      <c r="A97" s="13"/>
      <c r="B97" s="13"/>
      <c r="C97" s="13"/>
      <c r="D97" s="13"/>
      <c r="E97" s="14"/>
      <c r="F97" s="13"/>
      <c r="G97" s="13"/>
      <c r="H97" s="13"/>
      <c r="I97" s="13"/>
      <c r="J97" s="13"/>
      <c r="K97" s="13"/>
      <c r="L97" s="15"/>
      <c r="M97" s="15"/>
      <c r="N97" s="15"/>
      <c r="O97" s="15"/>
      <c r="P97" s="15"/>
      <c r="Q97" s="15"/>
      <c r="R97" s="15"/>
      <c r="S97" s="15"/>
      <c r="T97" s="15"/>
      <c r="U97" s="15"/>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5"/>
      <c r="AW97" s="15"/>
    </row>
    <row r="98" spans="1:64" ht="11.25">
      <c r="A98" s="13"/>
      <c r="B98" s="13"/>
      <c r="C98" s="13"/>
      <c r="D98" s="13"/>
      <c r="E98" s="14"/>
      <c r="F98" s="13"/>
      <c r="G98" s="13"/>
      <c r="H98" s="13"/>
      <c r="I98" s="13"/>
      <c r="J98" s="13"/>
      <c r="K98" s="13"/>
      <c r="L98" s="15"/>
      <c r="M98" s="15"/>
      <c r="N98" s="15"/>
      <c r="O98" s="15"/>
      <c r="P98" s="15"/>
      <c r="Q98" s="15"/>
      <c r="R98" s="15"/>
      <c r="S98" s="15"/>
      <c r="T98" s="15"/>
      <c r="U98" s="15"/>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5"/>
      <c r="AW98" s="15"/>
      <c r="AZ98" s="231"/>
      <c r="BA98" s="231"/>
      <c r="BB98" s="231"/>
      <c r="BC98" s="231"/>
      <c r="BD98" s="231"/>
      <c r="BE98" s="231"/>
      <c r="BF98" s="231"/>
      <c r="BG98" s="231"/>
      <c r="BH98" s="231"/>
      <c r="BI98" s="231"/>
      <c r="BJ98" s="231"/>
      <c r="BK98" s="231"/>
      <c r="BL98" s="231"/>
    </row>
    <row r="99" spans="1:64" ht="11.25">
      <c r="A99" s="13"/>
      <c r="B99" s="13"/>
      <c r="C99" s="13"/>
      <c r="D99" s="13"/>
      <c r="E99" s="14"/>
      <c r="F99" s="13"/>
      <c r="G99" s="13"/>
      <c r="H99" s="13"/>
      <c r="I99" s="13"/>
      <c r="J99" s="13"/>
      <c r="K99" s="13"/>
      <c r="L99" s="15"/>
      <c r="M99" s="15"/>
      <c r="N99" s="15"/>
      <c r="O99" s="15"/>
      <c r="P99" s="15"/>
      <c r="Q99" s="15"/>
      <c r="R99" s="15"/>
      <c r="S99" s="15"/>
      <c r="T99" s="15"/>
      <c r="U99" s="15"/>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5"/>
      <c r="AW99" s="15"/>
      <c r="AZ99" s="231"/>
      <c r="BA99" s="231"/>
      <c r="BB99" s="231"/>
      <c r="BC99" s="231"/>
      <c r="BD99" s="231"/>
      <c r="BE99" s="231"/>
      <c r="BF99" s="231"/>
      <c r="BG99" s="231"/>
      <c r="BH99" s="231"/>
      <c r="BI99" s="231"/>
      <c r="BJ99" s="231"/>
      <c r="BK99" s="231"/>
      <c r="BL99" s="231"/>
    </row>
    <row r="100" spans="1:64" ht="11.25">
      <c r="A100" s="13"/>
      <c r="B100" s="13"/>
      <c r="C100" s="13"/>
      <c r="D100" s="13"/>
      <c r="E100" s="14"/>
      <c r="F100" s="13"/>
      <c r="G100" s="13"/>
      <c r="H100" s="13"/>
      <c r="I100" s="13"/>
      <c r="J100" s="13"/>
      <c r="K100" s="13"/>
      <c r="L100" s="15"/>
      <c r="M100" s="15"/>
      <c r="N100" s="15"/>
      <c r="O100" s="15"/>
      <c r="P100" s="15"/>
      <c r="Q100" s="15"/>
      <c r="R100" s="15"/>
      <c r="S100" s="15"/>
      <c r="T100" s="15"/>
      <c r="U100" s="15"/>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5"/>
      <c r="AW100" s="15"/>
      <c r="AZ100" s="231"/>
      <c r="BA100" s="231"/>
      <c r="BB100" s="231"/>
      <c r="BC100" s="231"/>
      <c r="BD100" s="231"/>
      <c r="BE100" s="231"/>
      <c r="BF100" s="231"/>
      <c r="BG100" s="231"/>
      <c r="BH100" s="231"/>
      <c r="BI100" s="231"/>
      <c r="BJ100" s="231"/>
      <c r="BK100" s="231"/>
      <c r="BL100" s="231"/>
    </row>
    <row r="101" spans="1:64" ht="11.25">
      <c r="A101" s="13"/>
      <c r="B101" s="13"/>
      <c r="C101" s="13"/>
      <c r="D101" s="13"/>
      <c r="E101" s="14"/>
      <c r="F101" s="13"/>
      <c r="G101" s="13"/>
      <c r="H101" s="13"/>
      <c r="I101" s="13"/>
      <c r="J101" s="13"/>
      <c r="K101" s="13"/>
      <c r="L101" s="15"/>
      <c r="M101" s="15"/>
      <c r="N101" s="15"/>
      <c r="O101" s="15"/>
      <c r="P101" s="15"/>
      <c r="Q101" s="15"/>
      <c r="R101" s="15"/>
      <c r="S101" s="15"/>
      <c r="T101" s="15"/>
      <c r="U101" s="15"/>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5"/>
      <c r="AW101" s="15"/>
      <c r="AZ101" s="231"/>
      <c r="BA101" s="231"/>
      <c r="BB101" s="231"/>
      <c r="BC101" s="231"/>
      <c r="BD101" s="231"/>
      <c r="BE101" s="231"/>
      <c r="BF101" s="231"/>
      <c r="BG101" s="231"/>
      <c r="BH101" s="231"/>
      <c r="BI101" s="231"/>
      <c r="BJ101" s="231"/>
      <c r="BK101" s="231"/>
      <c r="BL101" s="231"/>
    </row>
    <row r="102" spans="1:64" ht="11.25">
      <c r="A102" s="13"/>
      <c r="B102" s="13"/>
      <c r="C102" s="13"/>
      <c r="D102" s="13"/>
      <c r="E102" s="14"/>
      <c r="F102" s="13"/>
      <c r="G102" s="13"/>
      <c r="H102" s="13"/>
      <c r="I102" s="13"/>
      <c r="J102" s="13"/>
      <c r="K102" s="13"/>
      <c r="L102" s="15"/>
      <c r="M102" s="15"/>
      <c r="N102" s="15"/>
      <c r="O102" s="15"/>
      <c r="P102" s="15"/>
      <c r="Q102" s="15"/>
      <c r="R102" s="15"/>
      <c r="S102" s="15"/>
      <c r="T102" s="15"/>
      <c r="U102" s="15"/>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5"/>
      <c r="AW102" s="15"/>
      <c r="AZ102" s="231"/>
      <c r="BA102" s="231"/>
      <c r="BB102" s="231"/>
      <c r="BC102" s="231"/>
      <c r="BD102" s="231"/>
      <c r="BE102" s="231"/>
      <c r="BF102" s="231"/>
      <c r="BG102" s="231"/>
      <c r="BH102" s="231"/>
      <c r="BI102" s="231"/>
      <c r="BJ102" s="231"/>
      <c r="BK102" s="231"/>
      <c r="BL102" s="231"/>
    </row>
    <row r="103" spans="1:64" ht="11.25">
      <c r="A103" s="13"/>
      <c r="B103" s="13"/>
      <c r="C103" s="13"/>
      <c r="D103" s="13"/>
      <c r="E103" s="14"/>
      <c r="F103" s="13"/>
      <c r="G103" s="13"/>
      <c r="H103" s="13"/>
      <c r="I103" s="13"/>
      <c r="J103" s="13"/>
      <c r="K103" s="13"/>
      <c r="L103" s="15"/>
      <c r="M103" s="15"/>
      <c r="N103" s="15"/>
      <c r="O103" s="15"/>
      <c r="P103" s="15"/>
      <c r="Q103" s="15"/>
      <c r="R103" s="15"/>
      <c r="S103" s="15"/>
      <c r="T103" s="15"/>
      <c r="U103" s="15"/>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5"/>
      <c r="AW103" s="15"/>
      <c r="AZ103" s="231"/>
      <c r="BA103" s="231"/>
      <c r="BB103" s="231"/>
      <c r="BC103" s="231"/>
      <c r="BD103" s="231"/>
      <c r="BE103" s="231"/>
      <c r="BF103" s="231"/>
      <c r="BG103" s="231"/>
      <c r="BH103" s="231"/>
      <c r="BI103" s="231"/>
      <c r="BJ103" s="231"/>
      <c r="BK103" s="231"/>
      <c r="BL103" s="231"/>
    </row>
    <row r="104" spans="1:64" ht="11.25">
      <c r="A104" s="13"/>
      <c r="B104" s="13"/>
      <c r="C104" s="13"/>
      <c r="D104" s="13"/>
      <c r="E104" s="14"/>
      <c r="F104" s="13"/>
      <c r="G104" s="13"/>
      <c r="H104" s="13"/>
      <c r="I104" s="13"/>
      <c r="J104" s="13"/>
      <c r="K104" s="13"/>
      <c r="L104" s="15"/>
      <c r="M104" s="15"/>
      <c r="N104" s="15"/>
      <c r="O104" s="15"/>
      <c r="P104" s="15"/>
      <c r="Q104" s="15"/>
      <c r="R104" s="15"/>
      <c r="S104" s="15"/>
      <c r="T104" s="15"/>
      <c r="U104" s="15"/>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5"/>
      <c r="AW104" s="15"/>
      <c r="AZ104" s="231"/>
      <c r="BA104" s="231"/>
      <c r="BB104" s="231"/>
      <c r="BC104" s="231"/>
      <c r="BD104" s="231"/>
      <c r="BE104" s="231"/>
      <c r="BF104" s="231"/>
      <c r="BG104" s="231"/>
      <c r="BH104" s="231"/>
      <c r="BI104" s="231"/>
      <c r="BJ104" s="231"/>
      <c r="BK104" s="231"/>
      <c r="BL104" s="231"/>
    </row>
    <row r="105" spans="1:64" ht="11.25">
      <c r="A105" s="13"/>
      <c r="B105" s="13"/>
      <c r="C105" s="13"/>
      <c r="D105" s="13"/>
      <c r="E105" s="14"/>
      <c r="F105" s="13"/>
      <c r="G105" s="13"/>
      <c r="H105" s="13"/>
      <c r="I105" s="13"/>
      <c r="J105" s="13"/>
      <c r="K105" s="13"/>
      <c r="L105" s="15"/>
      <c r="M105" s="15"/>
      <c r="N105" s="15"/>
      <c r="O105" s="15"/>
      <c r="P105" s="15"/>
      <c r="Q105" s="15"/>
      <c r="R105" s="15"/>
      <c r="S105" s="15"/>
      <c r="T105" s="15"/>
      <c r="U105" s="15"/>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5"/>
      <c r="AW105" s="15"/>
      <c r="AZ105" s="231"/>
      <c r="BA105" s="231"/>
      <c r="BB105" s="231"/>
      <c r="BC105" s="231"/>
      <c r="BD105" s="231"/>
      <c r="BE105" s="231"/>
      <c r="BF105" s="231"/>
      <c r="BG105" s="231"/>
      <c r="BH105" s="231"/>
      <c r="BI105" s="231"/>
      <c r="BJ105" s="231"/>
      <c r="BK105" s="231"/>
      <c r="BL105" s="231"/>
    </row>
    <row r="106" spans="1:64">
      <c r="A106" s="13"/>
      <c r="B106" s="13"/>
      <c r="C106" s="13"/>
      <c r="D106" s="13"/>
      <c r="E106" s="14"/>
      <c r="F106" s="13"/>
      <c r="G106" s="13"/>
      <c r="H106" s="13"/>
      <c r="I106" s="13"/>
      <c r="J106" s="13"/>
      <c r="K106" s="13"/>
      <c r="L106" s="15"/>
      <c r="M106" s="15"/>
      <c r="N106" s="15"/>
      <c r="O106" s="15"/>
      <c r="P106" s="15"/>
      <c r="Q106" s="15"/>
      <c r="R106" s="15"/>
      <c r="S106" s="15"/>
      <c r="T106" s="15"/>
      <c r="U106" s="15"/>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5"/>
      <c r="AW106" s="15"/>
    </row>
    <row r="107" spans="1:64">
      <c r="A107" s="13"/>
      <c r="B107" s="13"/>
      <c r="C107" s="13"/>
      <c r="D107" s="13"/>
      <c r="E107" s="14"/>
      <c r="F107" s="13"/>
      <c r="G107" s="13"/>
      <c r="H107" s="13"/>
      <c r="I107" s="13"/>
      <c r="J107" s="13"/>
      <c r="K107" s="13"/>
      <c r="L107" s="15"/>
      <c r="M107" s="15"/>
      <c r="N107" s="15"/>
      <c r="O107" s="15"/>
      <c r="P107" s="15"/>
      <c r="Q107" s="15"/>
      <c r="R107" s="15"/>
      <c r="S107" s="15"/>
      <c r="T107" s="15"/>
      <c r="U107" s="15"/>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5"/>
      <c r="AW107" s="15"/>
    </row>
    <row r="108" spans="1:64">
      <c r="A108" s="13"/>
      <c r="B108" s="13"/>
      <c r="C108" s="13"/>
      <c r="D108" s="13"/>
      <c r="E108" s="14"/>
      <c r="F108" s="13"/>
      <c r="G108" s="13"/>
      <c r="H108" s="13"/>
      <c r="I108" s="13"/>
      <c r="J108" s="13"/>
      <c r="K108" s="13"/>
      <c r="L108" s="15"/>
      <c r="M108" s="15"/>
      <c r="N108" s="15"/>
      <c r="O108" s="15"/>
      <c r="P108" s="15"/>
      <c r="Q108" s="15"/>
      <c r="R108" s="15"/>
      <c r="S108" s="15"/>
      <c r="T108" s="15"/>
      <c r="U108" s="15"/>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5"/>
      <c r="AW108" s="15"/>
    </row>
    <row r="109" spans="1:64">
      <c r="A109" s="13"/>
      <c r="B109" s="13"/>
      <c r="C109" s="13"/>
      <c r="D109" s="13"/>
      <c r="E109" s="14"/>
      <c r="F109" s="13"/>
      <c r="G109" s="13"/>
      <c r="H109" s="13"/>
      <c r="I109" s="13"/>
      <c r="J109" s="13"/>
      <c r="K109" s="13"/>
      <c r="L109" s="15"/>
      <c r="M109" s="15"/>
      <c r="N109" s="15"/>
      <c r="O109" s="15"/>
      <c r="P109" s="15"/>
      <c r="Q109" s="15"/>
      <c r="R109" s="15"/>
      <c r="S109" s="15"/>
      <c r="T109" s="15"/>
      <c r="U109" s="15"/>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5"/>
      <c r="AW109" s="15"/>
    </row>
    <row r="110" spans="1:64">
      <c r="A110" s="13"/>
      <c r="B110" s="13"/>
      <c r="C110" s="13"/>
      <c r="D110" s="13"/>
      <c r="E110" s="14"/>
      <c r="F110" s="13"/>
      <c r="G110" s="13"/>
      <c r="H110" s="13"/>
      <c r="I110" s="13"/>
      <c r="J110" s="13"/>
      <c r="K110" s="13"/>
      <c r="L110" s="15"/>
      <c r="M110" s="15"/>
      <c r="N110" s="15"/>
      <c r="O110" s="15"/>
      <c r="P110" s="15"/>
      <c r="Q110" s="15"/>
      <c r="R110" s="15"/>
      <c r="S110" s="15"/>
      <c r="T110" s="15"/>
      <c r="U110" s="15"/>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5"/>
      <c r="AW110" s="15"/>
    </row>
    <row r="111" spans="1:64">
      <c r="A111" s="13"/>
      <c r="B111" s="13"/>
      <c r="C111" s="13"/>
      <c r="D111" s="13"/>
      <c r="E111" s="14"/>
      <c r="F111" s="13"/>
      <c r="G111" s="13"/>
      <c r="H111" s="13"/>
      <c r="I111" s="13"/>
      <c r="J111" s="13"/>
      <c r="K111" s="13"/>
      <c r="L111" s="15"/>
      <c r="M111" s="15"/>
      <c r="N111" s="15"/>
      <c r="O111" s="15"/>
      <c r="P111" s="15"/>
      <c r="Q111" s="15"/>
      <c r="R111" s="15"/>
      <c r="S111" s="15"/>
      <c r="T111" s="15"/>
      <c r="U111" s="15"/>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5"/>
      <c r="AW111" s="15"/>
    </row>
    <row r="112" spans="1:64">
      <c r="A112" s="13"/>
      <c r="B112" s="13"/>
      <c r="C112" s="13"/>
      <c r="D112" s="13"/>
      <c r="E112" s="14"/>
      <c r="F112" s="13"/>
      <c r="G112" s="13"/>
      <c r="H112" s="13"/>
      <c r="I112" s="13"/>
      <c r="J112" s="13"/>
      <c r="K112" s="13"/>
      <c r="L112" s="15"/>
      <c r="M112" s="15"/>
      <c r="N112" s="15"/>
      <c r="O112" s="15"/>
      <c r="P112" s="15"/>
      <c r="Q112" s="15"/>
      <c r="R112" s="15"/>
      <c r="S112" s="15"/>
      <c r="T112" s="15"/>
      <c r="U112" s="15"/>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5"/>
      <c r="AW112" s="15"/>
    </row>
    <row r="113" spans="1:49">
      <c r="A113" s="13"/>
      <c r="B113" s="13"/>
      <c r="C113" s="13"/>
      <c r="D113" s="13"/>
      <c r="E113" s="14"/>
      <c r="F113" s="13"/>
      <c r="G113" s="13"/>
      <c r="H113" s="13"/>
      <c r="I113" s="13"/>
      <c r="J113" s="13"/>
      <c r="K113" s="13"/>
      <c r="L113" s="15"/>
      <c r="M113" s="15"/>
      <c r="N113" s="15"/>
      <c r="O113" s="15"/>
      <c r="P113" s="15"/>
      <c r="Q113" s="15"/>
      <c r="R113" s="15"/>
      <c r="S113" s="15"/>
      <c r="T113" s="15"/>
      <c r="U113" s="15"/>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5"/>
      <c r="AW113" s="15"/>
    </row>
    <row r="114" spans="1:49">
      <c r="A114" s="13"/>
      <c r="B114" s="13"/>
      <c r="C114" s="13"/>
      <c r="D114" s="13"/>
      <c r="E114" s="14"/>
      <c r="F114" s="13"/>
      <c r="G114" s="13"/>
      <c r="H114" s="13"/>
      <c r="I114" s="13"/>
      <c r="J114" s="13"/>
      <c r="K114" s="13"/>
      <c r="L114" s="15"/>
      <c r="M114" s="15"/>
      <c r="N114" s="15"/>
      <c r="O114" s="15"/>
      <c r="P114" s="15"/>
      <c r="Q114" s="15"/>
      <c r="R114" s="15"/>
      <c r="S114" s="15"/>
      <c r="T114" s="15"/>
      <c r="U114" s="15"/>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5"/>
      <c r="AW114" s="15"/>
    </row>
    <row r="115" spans="1:49">
      <c r="A115" s="13"/>
      <c r="B115" s="13"/>
      <c r="C115" s="13"/>
      <c r="D115" s="13"/>
      <c r="E115" s="14"/>
      <c r="F115" s="13"/>
      <c r="G115" s="13"/>
      <c r="H115" s="13"/>
      <c r="I115" s="13"/>
      <c r="J115" s="13"/>
      <c r="K115" s="13"/>
      <c r="L115" s="15"/>
      <c r="M115" s="15"/>
      <c r="N115" s="15"/>
      <c r="O115" s="15"/>
      <c r="P115" s="15"/>
      <c r="Q115" s="15"/>
      <c r="R115" s="15"/>
      <c r="S115" s="15"/>
      <c r="T115" s="15"/>
      <c r="U115" s="15"/>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5"/>
      <c r="AW115" s="15"/>
    </row>
    <row r="116" spans="1:49">
      <c r="A116" s="13"/>
      <c r="B116" s="13"/>
      <c r="C116" s="13"/>
      <c r="D116" s="13"/>
      <c r="E116" s="14"/>
      <c r="F116" s="13"/>
      <c r="G116" s="13"/>
      <c r="H116" s="13"/>
      <c r="I116" s="13"/>
      <c r="J116" s="13"/>
      <c r="K116" s="13"/>
      <c r="L116" s="15"/>
      <c r="M116" s="15"/>
      <c r="N116" s="15"/>
      <c r="O116" s="15"/>
      <c r="P116" s="15"/>
      <c r="Q116" s="15"/>
      <c r="R116" s="15"/>
      <c r="S116" s="15"/>
      <c r="T116" s="15"/>
      <c r="U116" s="15"/>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5"/>
      <c r="AW116" s="15"/>
    </row>
    <row r="117" spans="1:49">
      <c r="A117" s="13"/>
      <c r="B117" s="13"/>
      <c r="C117" s="13"/>
      <c r="D117" s="13"/>
      <c r="E117" s="14"/>
      <c r="F117" s="13"/>
      <c r="G117" s="13"/>
      <c r="H117" s="13"/>
      <c r="I117" s="13"/>
      <c r="J117" s="13"/>
      <c r="K117" s="13"/>
      <c r="L117" s="15"/>
      <c r="M117" s="15"/>
      <c r="N117" s="15"/>
      <c r="O117" s="15"/>
      <c r="P117" s="15"/>
      <c r="Q117" s="15"/>
      <c r="R117" s="15"/>
      <c r="S117" s="15"/>
      <c r="T117" s="15"/>
      <c r="U117" s="15"/>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5"/>
      <c r="AW117" s="15"/>
    </row>
    <row r="118" spans="1:49">
      <c r="A118" s="13"/>
      <c r="B118" s="13"/>
      <c r="C118" s="13"/>
      <c r="D118" s="13"/>
      <c r="E118" s="14"/>
      <c r="F118" s="13"/>
      <c r="G118" s="13"/>
      <c r="H118" s="13"/>
      <c r="I118" s="13"/>
      <c r="J118" s="13"/>
      <c r="K118" s="13"/>
      <c r="L118" s="15"/>
      <c r="M118" s="15"/>
      <c r="N118" s="15"/>
      <c r="O118" s="15"/>
      <c r="P118" s="15"/>
      <c r="Q118" s="15"/>
      <c r="R118" s="15"/>
      <c r="S118" s="15"/>
      <c r="T118" s="15"/>
      <c r="U118" s="15"/>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5"/>
      <c r="AW118" s="15"/>
    </row>
    <row r="119" spans="1:49">
      <c r="A119" s="13"/>
      <c r="B119" s="13"/>
      <c r="C119" s="13"/>
      <c r="D119" s="13"/>
      <c r="E119" s="14"/>
      <c r="F119" s="13"/>
      <c r="G119" s="13"/>
      <c r="H119" s="13"/>
      <c r="I119" s="13"/>
      <c r="J119" s="13"/>
      <c r="K119" s="13"/>
      <c r="L119" s="15"/>
      <c r="M119" s="15"/>
      <c r="N119" s="15"/>
      <c r="O119" s="15"/>
      <c r="P119" s="15"/>
      <c r="Q119" s="15"/>
      <c r="R119" s="15"/>
      <c r="S119" s="15"/>
      <c r="T119" s="15"/>
      <c r="U119" s="15"/>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5"/>
      <c r="AW119" s="15"/>
    </row>
    <row r="120" spans="1:49">
      <c r="A120" s="13"/>
      <c r="B120" s="13"/>
      <c r="C120" s="13"/>
      <c r="D120" s="13"/>
      <c r="E120" s="14"/>
      <c r="F120" s="13"/>
      <c r="G120" s="13"/>
      <c r="H120" s="13"/>
      <c r="I120" s="13"/>
      <c r="J120" s="13"/>
      <c r="K120" s="13"/>
      <c r="L120" s="15"/>
      <c r="M120" s="15"/>
      <c r="N120" s="15"/>
      <c r="O120" s="15"/>
      <c r="P120" s="15"/>
      <c r="Q120" s="15"/>
      <c r="R120" s="15"/>
      <c r="S120" s="15"/>
      <c r="T120" s="15"/>
      <c r="U120" s="15"/>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5"/>
      <c r="AW120" s="15"/>
    </row>
  </sheetData>
  <sheetProtection formatCells="0" formatColumns="0" formatRows="0" insertRows="0" deleteRows="0" sort="0" autoFilter="0" pivotTables="0"/>
  <mergeCells count="97">
    <mergeCell ref="A1:AB1"/>
    <mergeCell ref="AC1:AU4"/>
    <mergeCell ref="BB1:BE1"/>
    <mergeCell ref="A2:AB2"/>
    <mergeCell ref="BB2:BC2"/>
    <mergeCell ref="BD2:BE2"/>
    <mergeCell ref="A3:D3"/>
    <mergeCell ref="E3:U3"/>
    <mergeCell ref="V3:AB3"/>
    <mergeCell ref="BB3:BC3"/>
    <mergeCell ref="AA6:BA6"/>
    <mergeCell ref="BD3:BE3"/>
    <mergeCell ref="A4:D4"/>
    <mergeCell ref="E4:U4"/>
    <mergeCell ref="V4:AB4"/>
    <mergeCell ref="BB4:BC4"/>
    <mergeCell ref="BD4:BE4"/>
    <mergeCell ref="B6:C6"/>
    <mergeCell ref="D6:H6"/>
    <mergeCell ref="I6:K6"/>
    <mergeCell ref="L6:U6"/>
    <mergeCell ref="V6:Z6"/>
    <mergeCell ref="BF7:BJ7"/>
    <mergeCell ref="B8:K8"/>
    <mergeCell ref="L8:R8"/>
    <mergeCell ref="S8:AV8"/>
    <mergeCell ref="AW8:AZ8"/>
    <mergeCell ref="BF8:BJ8"/>
    <mergeCell ref="B9:D9"/>
    <mergeCell ref="F9:H9"/>
    <mergeCell ref="I9:K9"/>
    <mergeCell ref="S9:U9"/>
    <mergeCell ref="B10:D10"/>
    <mergeCell ref="F10:H10"/>
    <mergeCell ref="I10:K10"/>
    <mergeCell ref="S10:U10"/>
    <mergeCell ref="B11:D11"/>
    <mergeCell ref="F11:H11"/>
    <mergeCell ref="I11:K11"/>
    <mergeCell ref="S11:U11"/>
    <mergeCell ref="B12:D12"/>
    <mergeCell ref="F12:H12"/>
    <mergeCell ref="I12:K12"/>
    <mergeCell ref="S12:U12"/>
    <mergeCell ref="B13:D13"/>
    <mergeCell ref="F13:H13"/>
    <mergeCell ref="I13:K13"/>
    <mergeCell ref="S13:U13"/>
    <mergeCell ref="B14:D14"/>
    <mergeCell ref="F14:H14"/>
    <mergeCell ref="I14:K14"/>
    <mergeCell ref="S14:U14"/>
    <mergeCell ref="B15:D15"/>
    <mergeCell ref="F15:H15"/>
    <mergeCell ref="I15:K15"/>
    <mergeCell ref="S15:U15"/>
    <mergeCell ref="B16:D16"/>
    <mergeCell ref="F16:H16"/>
    <mergeCell ref="I16:K16"/>
    <mergeCell ref="S16:U16"/>
    <mergeCell ref="B17:D17"/>
    <mergeCell ref="F17:H17"/>
    <mergeCell ref="I17:K17"/>
    <mergeCell ref="S17:U17"/>
    <mergeCell ref="B18:D18"/>
    <mergeCell ref="F18:H18"/>
    <mergeCell ref="I18:K18"/>
    <mergeCell ref="S18:U18"/>
    <mergeCell ref="B19:D19"/>
    <mergeCell ref="F19:H19"/>
    <mergeCell ref="I19:K19"/>
    <mergeCell ref="S19:U19"/>
    <mergeCell ref="B20:D20"/>
    <mergeCell ref="F20:H20"/>
    <mergeCell ref="I20:K20"/>
    <mergeCell ref="S20:U20"/>
    <mergeCell ref="B21:D21"/>
    <mergeCell ref="F21:H21"/>
    <mergeCell ref="I21:K21"/>
    <mergeCell ref="S21:U21"/>
    <mergeCell ref="B23:U23"/>
    <mergeCell ref="V24:AP24"/>
    <mergeCell ref="AR24:AW24"/>
    <mergeCell ref="B25:H25"/>
    <mergeCell ref="I25:U25"/>
    <mergeCell ref="V25:AP25"/>
    <mergeCell ref="AR25:AW25"/>
    <mergeCell ref="B24:H24"/>
    <mergeCell ref="I24:U24"/>
    <mergeCell ref="B26:H26"/>
    <mergeCell ref="I26:U26"/>
    <mergeCell ref="V26:AP26"/>
    <mergeCell ref="AR26:AW26"/>
    <mergeCell ref="B27:H27"/>
    <mergeCell ref="I27:U27"/>
    <mergeCell ref="V27:AP27"/>
    <mergeCell ref="AR27:AW27"/>
  </mergeCells>
  <dataValidations count="8">
    <dataValidation type="list" allowBlank="1" showInputMessage="1" showErrorMessage="1" sqref="BE10:BE21">
      <formula1>Efectividad</formula1>
    </dataValidation>
    <dataValidation type="list" allowBlank="1" showInputMessage="1" sqref="AV10:AV21">
      <formula1>Periodo</formula1>
    </dataValidation>
    <dataValidation type="list" showInputMessage="1" showErrorMessage="1" sqref="V10:AF21">
      <formula1>Efectividad</formula1>
    </dataValidation>
    <dataValidation showInputMessage="1" showErrorMessage="1" sqref="AG10:AT21"/>
    <dataValidation type="list" allowBlank="1" showInputMessage="1" showErrorMessage="1" sqref="M10:N21">
      <formula1>Impacto</formula1>
    </dataValidation>
    <dataValidation type="list" showInputMessage="1" showErrorMessage="1" sqref="L10:L21">
      <formula1>Probabilidad</formula1>
    </dataValidation>
    <dataValidation type="list" sqref="BD4:BE4">
      <formula1>Monitoreo</formula1>
    </dataValidation>
    <dataValidation type="list" allowBlank="1" showInputMessage="1" showErrorMessage="1" sqref="L6">
      <formula1>Proceso</formula1>
    </dataValidation>
  </dataValidations>
  <printOptions horizontalCentered="1"/>
  <pageMargins left="0.23622047244094491" right="0.23622047244094491" top="0.74803149606299213" bottom="0.35433070866141736" header="0.31496062992125984" footer="0.31496062992125984"/>
  <pageSetup paperSize="14" scale="38" fitToHeight="0" orientation="landscape" r:id="rId1"/>
  <headerFooter>
    <oddFooter>&amp;L&amp;"Segoe UI,Normal"&amp;9Formato: FO-AC-07 Versión: 3&amp;C&amp;"Segoe UI,Normal"&amp;9Página &amp;P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Q97"/>
  <sheetViews>
    <sheetView zoomScale="115" zoomScaleNormal="115" workbookViewId="0">
      <selection activeCell="H47" sqref="H47"/>
    </sheetView>
  </sheetViews>
  <sheetFormatPr baseColWidth="10" defaultRowHeight="15"/>
  <cols>
    <col min="1" max="1" width="12.28515625" style="37" bestFit="1" customWidth="1"/>
    <col min="2" max="2" width="11.42578125" style="37"/>
    <col min="3" max="3" width="10.7109375" style="37" bestFit="1" customWidth="1"/>
    <col min="4" max="4" width="10.85546875" style="37" bestFit="1" customWidth="1"/>
    <col min="5" max="5" width="14.42578125" bestFit="1" customWidth="1"/>
    <col min="6" max="8" width="22.28515625" customWidth="1"/>
    <col min="9" max="9" width="47.140625" customWidth="1"/>
    <col min="10" max="10" width="3.28515625" customWidth="1"/>
    <col min="12" max="12" width="1.85546875" bestFit="1" customWidth="1"/>
    <col min="14" max="14" width="1.85546875" bestFit="1" customWidth="1"/>
  </cols>
  <sheetData>
    <row r="1" spans="1:3">
      <c r="A1" s="48" t="s">
        <v>153</v>
      </c>
    </row>
    <row r="2" spans="1:3">
      <c r="A2" s="35" t="s">
        <v>283</v>
      </c>
    </row>
    <row r="3" spans="1:3">
      <c r="A3" s="35" t="s">
        <v>286</v>
      </c>
    </row>
    <row r="4" spans="1:3">
      <c r="A4" s="35" t="s">
        <v>64</v>
      </c>
    </row>
    <row r="5" spans="1:3">
      <c r="A5" s="35" t="s">
        <v>309</v>
      </c>
    </row>
    <row r="6" spans="1:3">
      <c r="A6" s="35" t="s">
        <v>37</v>
      </c>
    </row>
    <row r="8" spans="1:3">
      <c r="B8" s="48" t="s">
        <v>151</v>
      </c>
    </row>
    <row r="9" spans="1:3">
      <c r="B9" s="35" t="s">
        <v>274</v>
      </c>
    </row>
    <row r="10" spans="1:3">
      <c r="B10" s="35" t="s">
        <v>270</v>
      </c>
    </row>
    <row r="11" spans="1:3">
      <c r="B11" s="35" t="s">
        <v>287</v>
      </c>
    </row>
    <row r="12" spans="1:3">
      <c r="B12" s="35"/>
      <c r="C12" s="48"/>
    </row>
    <row r="13" spans="1:3">
      <c r="C13" s="48" t="s">
        <v>578</v>
      </c>
    </row>
    <row r="14" spans="1:3">
      <c r="C14" s="37" t="s">
        <v>577</v>
      </c>
    </row>
    <row r="15" spans="1:3">
      <c r="C15" s="35" t="s">
        <v>576</v>
      </c>
    </row>
    <row r="16" spans="1:3">
      <c r="C16" s="35" t="s">
        <v>575</v>
      </c>
    </row>
    <row r="17" spans="4:14">
      <c r="D17" s="48"/>
    </row>
    <row r="18" spans="4:14">
      <c r="D18" s="48" t="s">
        <v>63</v>
      </c>
    </row>
    <row r="19" spans="4:14">
      <c r="D19" s="35" t="s">
        <v>65</v>
      </c>
    </row>
    <row r="20" spans="4:14">
      <c r="D20" s="35" t="s">
        <v>36</v>
      </c>
    </row>
    <row r="22" spans="4:14">
      <c r="E22" s="48" t="s">
        <v>574</v>
      </c>
      <c r="F22" s="48"/>
      <c r="G22" s="48"/>
      <c r="H22" s="48"/>
      <c r="I22" s="48"/>
      <c r="J22" s="48"/>
      <c r="N22" s="48"/>
    </row>
    <row r="23" spans="4:14">
      <c r="E23" s="35" t="s">
        <v>573</v>
      </c>
      <c r="F23" s="35"/>
      <c r="G23" s="35"/>
      <c r="H23" s="35"/>
      <c r="I23" s="35"/>
      <c r="J23" s="35"/>
      <c r="N23" s="35"/>
    </row>
    <row r="24" spans="4:14">
      <c r="E24" s="35" t="s">
        <v>572</v>
      </c>
      <c r="F24" s="35"/>
      <c r="G24" s="35"/>
      <c r="H24" s="35"/>
      <c r="I24" s="35"/>
      <c r="J24" s="35"/>
      <c r="N24" s="35"/>
    </row>
    <row r="25" spans="4:14">
      <c r="E25" s="35"/>
      <c r="F25" s="35"/>
      <c r="G25" s="35"/>
      <c r="H25" s="35"/>
      <c r="I25" s="35"/>
      <c r="J25" s="35"/>
      <c r="N25" s="35"/>
    </row>
    <row r="26" spans="4:14">
      <c r="E26" s="35"/>
      <c r="F26" s="47" t="s">
        <v>571</v>
      </c>
      <c r="G26" s="47"/>
      <c r="H26" s="47"/>
      <c r="I26" s="47"/>
      <c r="J26" s="47"/>
      <c r="N26" s="35"/>
    </row>
    <row r="27" spans="4:14">
      <c r="E27" s="35"/>
      <c r="F27" s="35" t="s">
        <v>383</v>
      </c>
      <c r="G27" s="35"/>
      <c r="H27" s="35"/>
      <c r="I27" s="35"/>
      <c r="J27" s="35"/>
      <c r="N27" s="35"/>
    </row>
    <row r="28" spans="4:14">
      <c r="E28" s="35"/>
      <c r="F28" s="35" t="s">
        <v>359</v>
      </c>
      <c r="G28" s="35"/>
      <c r="H28" s="35"/>
      <c r="I28" s="35"/>
      <c r="J28" s="35"/>
      <c r="N28" s="35"/>
    </row>
    <row r="29" spans="4:14">
      <c r="E29" s="35"/>
      <c r="F29" s="35" t="s">
        <v>380</v>
      </c>
      <c r="G29" s="35"/>
      <c r="H29" s="35"/>
      <c r="I29" s="35"/>
      <c r="J29" s="35"/>
      <c r="N29" s="35"/>
    </row>
    <row r="30" spans="4:14">
      <c r="E30" s="35"/>
      <c r="F30" s="35" t="s">
        <v>275</v>
      </c>
      <c r="G30" s="35"/>
      <c r="H30" s="35"/>
      <c r="I30" s="35"/>
      <c r="J30" s="35"/>
      <c r="N30" s="35"/>
    </row>
    <row r="31" spans="4:14">
      <c r="E31" s="35"/>
      <c r="F31" s="35" t="s">
        <v>570</v>
      </c>
      <c r="G31" s="35"/>
      <c r="H31" s="35"/>
      <c r="I31" s="35"/>
      <c r="J31" s="35"/>
      <c r="N31" s="35"/>
    </row>
    <row r="32" spans="4:14">
      <c r="E32" s="35"/>
      <c r="F32" s="35" t="s">
        <v>569</v>
      </c>
      <c r="G32" s="35"/>
      <c r="H32" s="35"/>
      <c r="I32" s="35"/>
      <c r="J32" s="35"/>
      <c r="N32" s="35"/>
    </row>
    <row r="33" spans="5:14">
      <c r="E33" s="35"/>
      <c r="F33" s="35" t="s">
        <v>568</v>
      </c>
      <c r="G33" s="35"/>
      <c r="H33" s="35"/>
      <c r="I33" s="35"/>
      <c r="J33" s="35"/>
      <c r="N33" s="35"/>
    </row>
    <row r="34" spans="5:14">
      <c r="E34" s="35"/>
      <c r="F34" s="35" t="s">
        <v>271</v>
      </c>
      <c r="G34" s="35"/>
      <c r="H34" s="35"/>
      <c r="I34" s="35"/>
      <c r="J34" s="35"/>
      <c r="N34" s="35"/>
    </row>
    <row r="35" spans="5:14">
      <c r="E35" s="35"/>
      <c r="F35" s="35"/>
      <c r="G35" s="35"/>
      <c r="H35" s="35"/>
      <c r="I35" s="35"/>
      <c r="J35" s="35"/>
      <c r="N35" s="35"/>
    </row>
    <row r="36" spans="5:14">
      <c r="E36" s="35"/>
      <c r="G36" s="47" t="s">
        <v>567</v>
      </c>
      <c r="H36" s="47"/>
      <c r="I36" s="47"/>
      <c r="J36" s="47"/>
      <c r="N36" s="35"/>
    </row>
    <row r="37" spans="5:14">
      <c r="E37" s="35"/>
      <c r="G37" s="35" t="s">
        <v>342</v>
      </c>
      <c r="H37" s="35"/>
      <c r="I37" s="35"/>
      <c r="J37" s="35"/>
    </row>
    <row r="38" spans="5:14">
      <c r="E38" s="35"/>
      <c r="G38" s="35" t="s">
        <v>500</v>
      </c>
      <c r="H38" s="35"/>
      <c r="I38" s="35"/>
      <c r="J38" s="35"/>
    </row>
    <row r="39" spans="5:14">
      <c r="G39" s="35" t="s">
        <v>532</v>
      </c>
      <c r="H39" s="35"/>
      <c r="I39" s="35"/>
      <c r="J39" s="35"/>
    </row>
    <row r="41" spans="5:14">
      <c r="H41" s="44" t="s">
        <v>566</v>
      </c>
      <c r="I41" s="44"/>
      <c r="J41" s="44"/>
    </row>
    <row r="42" spans="5:14">
      <c r="H42" s="46" t="s">
        <v>120</v>
      </c>
    </row>
    <row r="43" spans="5:14" ht="22.5">
      <c r="H43" s="46" t="s">
        <v>125</v>
      </c>
    </row>
    <row r="44" spans="5:14">
      <c r="H44" s="46" t="s">
        <v>132</v>
      </c>
    </row>
    <row r="45" spans="5:14">
      <c r="H45" s="46" t="s">
        <v>35</v>
      </c>
    </row>
    <row r="46" spans="5:14">
      <c r="H46" s="46" t="s">
        <v>76</v>
      </c>
      <c r="M46" s="35"/>
    </row>
    <row r="47" spans="5:14" ht="22.5">
      <c r="H47" s="46" t="s">
        <v>155</v>
      </c>
      <c r="M47" s="35"/>
    </row>
    <row r="48" spans="5:14" ht="22.5">
      <c r="H48" s="46" t="s">
        <v>340</v>
      </c>
      <c r="M48" s="35"/>
    </row>
    <row r="49" spans="8:13">
      <c r="H49" s="46" t="s">
        <v>90</v>
      </c>
      <c r="M49" s="35"/>
    </row>
    <row r="50" spans="8:13" ht="33.75">
      <c r="H50" s="46" t="s">
        <v>156</v>
      </c>
    </row>
    <row r="51" spans="8:13" ht="22.5">
      <c r="H51" s="46" t="s">
        <v>83</v>
      </c>
    </row>
    <row r="52" spans="8:13">
      <c r="H52" s="46" t="s">
        <v>73</v>
      </c>
    </row>
    <row r="53" spans="8:13">
      <c r="H53" s="46" t="s">
        <v>81</v>
      </c>
    </row>
    <row r="54" spans="8:13" ht="22.5">
      <c r="H54" s="46" t="s">
        <v>379</v>
      </c>
    </row>
    <row r="55" spans="8:13" ht="22.5">
      <c r="H55" s="46" t="s">
        <v>119</v>
      </c>
    </row>
    <row r="56" spans="8:13">
      <c r="H56" s="46" t="s">
        <v>95</v>
      </c>
    </row>
    <row r="57" spans="8:13">
      <c r="H57" s="46" t="s">
        <v>133</v>
      </c>
    </row>
    <row r="58" spans="8:13" ht="22.5">
      <c r="H58" s="46" t="s">
        <v>118</v>
      </c>
    </row>
    <row r="59" spans="8:13" ht="33.75">
      <c r="H59" s="46" t="s">
        <v>356</v>
      </c>
    </row>
    <row r="60" spans="8:13" ht="22.5">
      <c r="H60" s="46" t="s">
        <v>66</v>
      </c>
    </row>
    <row r="61" spans="8:13">
      <c r="H61" s="46" t="s">
        <v>49</v>
      </c>
    </row>
    <row r="62" spans="8:13">
      <c r="H62" s="46" t="s">
        <v>142</v>
      </c>
    </row>
    <row r="63" spans="8:13">
      <c r="H63" s="46" t="s">
        <v>102</v>
      </c>
    </row>
    <row r="64" spans="8:13">
      <c r="H64" s="45"/>
      <c r="I64" s="44" t="s">
        <v>278</v>
      </c>
      <c r="J64" s="44"/>
    </row>
    <row r="65" spans="9:17">
      <c r="I65" s="38" t="s">
        <v>565</v>
      </c>
      <c r="J65" s="38"/>
      <c r="N65" s="35"/>
      <c r="O65" s="1185" t="s">
        <v>241</v>
      </c>
      <c r="P65" s="1185"/>
      <c r="Q65" s="1185"/>
    </row>
    <row r="66" spans="9:17">
      <c r="I66" s="38" t="s">
        <v>280</v>
      </c>
      <c r="J66" s="38"/>
      <c r="N66" s="35"/>
      <c r="O66" s="43">
        <v>5</v>
      </c>
      <c r="P66" s="43">
        <v>10</v>
      </c>
      <c r="Q66" s="43">
        <v>20</v>
      </c>
    </row>
    <row r="67" spans="9:17">
      <c r="I67" s="38" t="s">
        <v>185</v>
      </c>
      <c r="J67" s="38"/>
      <c r="O67" s="36" t="s">
        <v>274</v>
      </c>
      <c r="P67" s="36" t="s">
        <v>270</v>
      </c>
      <c r="Q67" s="36" t="s">
        <v>287</v>
      </c>
    </row>
    <row r="68" spans="9:17">
      <c r="I68" s="38" t="s">
        <v>564</v>
      </c>
      <c r="J68" s="38"/>
      <c r="O68" s="24">
        <v>5</v>
      </c>
      <c r="P68" s="24">
        <v>10</v>
      </c>
      <c r="Q68" s="24">
        <v>20</v>
      </c>
    </row>
    <row r="69" spans="9:17" ht="22.5">
      <c r="I69" s="38" t="s">
        <v>386</v>
      </c>
      <c r="J69" s="38"/>
      <c r="K69" s="3048" t="s">
        <v>238</v>
      </c>
      <c r="L69" s="24">
        <v>5</v>
      </c>
      <c r="M69" s="36" t="s">
        <v>37</v>
      </c>
      <c r="N69" s="24">
        <v>5</v>
      </c>
      <c r="O69" s="39" t="s">
        <v>539</v>
      </c>
      <c r="P69" s="41" t="s">
        <v>540</v>
      </c>
      <c r="Q69" s="42" t="s">
        <v>541</v>
      </c>
    </row>
    <row r="70" spans="9:17" ht="22.5">
      <c r="I70" s="38" t="s">
        <v>174</v>
      </c>
      <c r="J70" s="38"/>
      <c r="K70" s="3048"/>
      <c r="L70" s="24">
        <v>4</v>
      </c>
      <c r="M70" s="36" t="s">
        <v>309</v>
      </c>
      <c r="N70" s="24">
        <v>4</v>
      </c>
      <c r="O70" s="39" t="s">
        <v>525</v>
      </c>
      <c r="P70" s="41" t="s">
        <v>527</v>
      </c>
      <c r="Q70" s="42" t="s">
        <v>542</v>
      </c>
    </row>
    <row r="71" spans="9:17" ht="22.5">
      <c r="I71" s="38" t="s">
        <v>293</v>
      </c>
      <c r="J71" s="38"/>
      <c r="K71" s="3048"/>
      <c r="L71" s="24">
        <v>3</v>
      </c>
      <c r="M71" s="36" t="s">
        <v>64</v>
      </c>
      <c r="N71" s="24">
        <v>3</v>
      </c>
      <c r="O71" s="39" t="s">
        <v>543</v>
      </c>
      <c r="P71" s="41" t="s">
        <v>544</v>
      </c>
      <c r="Q71" s="42" t="s">
        <v>545</v>
      </c>
    </row>
    <row r="72" spans="9:17" ht="22.5">
      <c r="I72" s="38" t="s">
        <v>563</v>
      </c>
      <c r="J72" s="38"/>
      <c r="K72" s="3048"/>
      <c r="L72" s="24">
        <v>2</v>
      </c>
      <c r="M72" s="36" t="s">
        <v>286</v>
      </c>
      <c r="N72" s="24">
        <v>2</v>
      </c>
      <c r="O72" s="40" t="s">
        <v>415</v>
      </c>
      <c r="P72" s="39" t="s">
        <v>525</v>
      </c>
      <c r="Q72" s="41" t="s">
        <v>527</v>
      </c>
    </row>
    <row r="73" spans="9:17" ht="22.5">
      <c r="I73" s="38" t="s">
        <v>562</v>
      </c>
      <c r="J73" s="38"/>
      <c r="K73" s="3048"/>
      <c r="L73" s="24">
        <v>1</v>
      </c>
      <c r="M73" s="36" t="s">
        <v>283</v>
      </c>
      <c r="N73" s="24">
        <v>1</v>
      </c>
      <c r="O73" s="40" t="s">
        <v>418</v>
      </c>
      <c r="P73" s="40" t="s">
        <v>415</v>
      </c>
      <c r="Q73" s="39" t="s">
        <v>525</v>
      </c>
    </row>
    <row r="74" spans="9:17">
      <c r="I74" s="38" t="s">
        <v>343</v>
      </c>
      <c r="J74" s="38"/>
    </row>
    <row r="75" spans="9:17">
      <c r="I75" s="38" t="s">
        <v>561</v>
      </c>
      <c r="J75" s="38"/>
    </row>
    <row r="76" spans="9:17">
      <c r="I76" s="38" t="s">
        <v>294</v>
      </c>
      <c r="J76" s="38"/>
    </row>
    <row r="77" spans="9:17">
      <c r="I77" s="38" t="s">
        <v>560</v>
      </c>
      <c r="J77" s="38"/>
    </row>
    <row r="78" spans="9:17">
      <c r="I78" s="38" t="s">
        <v>134</v>
      </c>
      <c r="J78" s="38"/>
    </row>
    <row r="79" spans="9:17">
      <c r="I79" s="38" t="s">
        <v>226</v>
      </c>
      <c r="J79" s="38"/>
    </row>
    <row r="80" spans="9:17">
      <c r="I80" s="38" t="s">
        <v>559</v>
      </c>
      <c r="J80" s="38"/>
    </row>
    <row r="81" spans="9:10">
      <c r="I81" s="38" t="s">
        <v>558</v>
      </c>
      <c r="J81" s="38"/>
    </row>
    <row r="82" spans="9:10">
      <c r="I82" s="38" t="s">
        <v>557</v>
      </c>
      <c r="J82" s="38"/>
    </row>
    <row r="83" spans="9:10">
      <c r="I83" s="38" t="s">
        <v>402</v>
      </c>
      <c r="J83" s="38"/>
    </row>
    <row r="84" spans="9:10">
      <c r="I84" s="38" t="s">
        <v>556</v>
      </c>
      <c r="J84" s="38"/>
    </row>
    <row r="85" spans="9:10">
      <c r="I85" s="38" t="s">
        <v>354</v>
      </c>
      <c r="J85" s="38"/>
    </row>
    <row r="86" spans="9:10">
      <c r="I86" s="38" t="s">
        <v>555</v>
      </c>
      <c r="J86" s="38"/>
    </row>
    <row r="87" spans="9:10">
      <c r="I87" s="38" t="s">
        <v>554</v>
      </c>
      <c r="J87" s="38"/>
    </row>
    <row r="88" spans="9:10">
      <c r="I88" s="38" t="s">
        <v>553</v>
      </c>
      <c r="J88" s="38"/>
    </row>
    <row r="89" spans="9:10">
      <c r="I89" s="38" t="s">
        <v>552</v>
      </c>
      <c r="J89" s="38"/>
    </row>
    <row r="90" spans="9:10">
      <c r="I90" s="38" t="s">
        <v>551</v>
      </c>
      <c r="J90" s="38"/>
    </row>
    <row r="91" spans="9:10">
      <c r="I91" s="38" t="s">
        <v>84</v>
      </c>
      <c r="J91" s="38"/>
    </row>
    <row r="92" spans="9:10">
      <c r="I92" s="38" t="s">
        <v>210</v>
      </c>
      <c r="J92" s="38"/>
    </row>
    <row r="93" spans="9:10">
      <c r="I93" s="38" t="s">
        <v>550</v>
      </c>
      <c r="J93" s="38"/>
    </row>
    <row r="94" spans="9:10">
      <c r="I94" s="38" t="s">
        <v>377</v>
      </c>
      <c r="J94" s="38"/>
    </row>
    <row r="95" spans="9:10">
      <c r="I95" s="38" t="s">
        <v>549</v>
      </c>
      <c r="J95" s="38"/>
    </row>
    <row r="96" spans="9:10">
      <c r="I96" s="38" t="s">
        <v>548</v>
      </c>
      <c r="J96" s="38"/>
    </row>
    <row r="97" spans="9:10">
      <c r="I97" s="38" t="s">
        <v>547</v>
      </c>
      <c r="J97" s="38"/>
    </row>
  </sheetData>
  <sheetProtection sheet="1"/>
  <mergeCells count="2">
    <mergeCell ref="O65:Q65"/>
    <mergeCell ref="K69:K7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3:M9"/>
  <sheetViews>
    <sheetView topLeftCell="A3" workbookViewId="0">
      <selection activeCell="T12" sqref="T12"/>
    </sheetView>
  </sheetViews>
  <sheetFormatPr baseColWidth="10" defaultRowHeight="11.25"/>
  <cols>
    <col min="1" max="1" width="11.42578125" style="61"/>
    <col min="2" max="2" width="6.42578125" style="61" customWidth="1"/>
    <col min="3" max="3" width="33.28515625" style="61" customWidth="1"/>
    <col min="4" max="4" width="12.42578125" style="62" customWidth="1"/>
    <col min="5" max="5" width="17.140625" style="62" customWidth="1"/>
    <col min="6" max="7" width="12.140625" style="61" hidden="1" customWidth="1"/>
    <col min="8" max="16384" width="11.42578125" style="61"/>
  </cols>
  <sheetData>
    <row r="3" spans="2:13" ht="29.25" customHeight="1">
      <c r="B3" s="128" t="s">
        <v>2119</v>
      </c>
      <c r="C3" s="128" t="s">
        <v>2110</v>
      </c>
      <c r="D3" s="128" t="s">
        <v>2111</v>
      </c>
      <c r="E3" s="128" t="s">
        <v>2112</v>
      </c>
      <c r="F3" s="126" t="s">
        <v>2147</v>
      </c>
      <c r="G3" s="126" t="s">
        <v>2148</v>
      </c>
      <c r="H3" s="128" t="s">
        <v>2155</v>
      </c>
    </row>
    <row r="4" spans="2:13" ht="337.5">
      <c r="B4" s="129">
        <v>1</v>
      </c>
      <c r="C4" s="66" t="s">
        <v>2113</v>
      </c>
      <c r="D4" s="130">
        <v>29</v>
      </c>
      <c r="E4" s="131" t="s">
        <v>2149</v>
      </c>
      <c r="F4" s="132"/>
      <c r="G4" s="132"/>
      <c r="H4" s="132"/>
      <c r="M4" s="133"/>
    </row>
    <row r="5" spans="2:13" ht="135">
      <c r="B5" s="129">
        <v>2</v>
      </c>
      <c r="C5" s="66" t="s">
        <v>2114</v>
      </c>
      <c r="D5" s="130">
        <v>12</v>
      </c>
      <c r="E5" s="125" t="s">
        <v>2150</v>
      </c>
      <c r="F5" s="132"/>
      <c r="G5" s="132"/>
      <c r="H5" s="132"/>
    </row>
    <row r="6" spans="2:13" ht="90">
      <c r="B6" s="129">
        <v>3</v>
      </c>
      <c r="C6" s="66" t="s">
        <v>2115</v>
      </c>
      <c r="D6" s="130">
        <v>7</v>
      </c>
      <c r="E6" s="125" t="s">
        <v>2153</v>
      </c>
      <c r="F6" s="132"/>
      <c r="G6" s="132"/>
      <c r="H6" s="132"/>
    </row>
    <row r="7" spans="2:13" ht="45">
      <c r="B7" s="129">
        <v>4</v>
      </c>
      <c r="C7" s="66" t="s">
        <v>2116</v>
      </c>
      <c r="D7" s="130">
        <v>2</v>
      </c>
      <c r="E7" s="125" t="s">
        <v>2151</v>
      </c>
      <c r="F7" s="134"/>
      <c r="G7" s="132"/>
      <c r="H7" s="132"/>
    </row>
    <row r="8" spans="2:13" ht="135">
      <c r="B8" s="129">
        <v>5</v>
      </c>
      <c r="C8" s="66" t="s">
        <v>2117</v>
      </c>
      <c r="D8" s="130">
        <v>12</v>
      </c>
      <c r="E8" s="125" t="s">
        <v>2156</v>
      </c>
      <c r="F8" s="132"/>
      <c r="G8" s="132"/>
      <c r="H8" s="132"/>
    </row>
    <row r="9" spans="2:13" ht="292.5">
      <c r="B9" s="129">
        <v>6</v>
      </c>
      <c r="C9" s="66" t="s">
        <v>2118</v>
      </c>
      <c r="D9" s="130">
        <v>25</v>
      </c>
      <c r="E9" s="125" t="s">
        <v>2152</v>
      </c>
      <c r="F9" s="132"/>
      <c r="G9" s="132"/>
      <c r="H9" s="13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theme="0" tint="-4.9989318521683403E-2"/>
  </sheetPr>
  <dimension ref="B1:R32"/>
  <sheetViews>
    <sheetView workbookViewId="0">
      <selection activeCell="F26" sqref="F26"/>
    </sheetView>
  </sheetViews>
  <sheetFormatPr baseColWidth="10" defaultRowHeight="15"/>
  <cols>
    <col min="2" max="2" width="6.5703125" customWidth="1"/>
    <col min="3" max="3" width="6.42578125" customWidth="1"/>
    <col min="5" max="7" width="13.140625" customWidth="1"/>
    <col min="11" max="11" width="6.28515625" customWidth="1"/>
    <col min="14" max="18" width="12.7109375" customWidth="1"/>
    <col min="260" max="261" width="14.28515625" customWidth="1"/>
    <col min="263" max="263" width="24.140625" customWidth="1"/>
    <col min="270" max="270" width="5.5703125" customWidth="1"/>
    <col min="516" max="517" width="14.28515625" customWidth="1"/>
    <col min="519" max="519" width="24.140625" customWidth="1"/>
    <col min="526" max="526" width="5.5703125" customWidth="1"/>
    <col min="772" max="773" width="14.28515625" customWidth="1"/>
    <col min="775" max="775" width="24.140625" customWidth="1"/>
    <col min="782" max="782" width="5.5703125" customWidth="1"/>
    <col min="1028" max="1029" width="14.28515625" customWidth="1"/>
    <col min="1031" max="1031" width="24.140625" customWidth="1"/>
    <col min="1038" max="1038" width="5.5703125" customWidth="1"/>
    <col min="1284" max="1285" width="14.28515625" customWidth="1"/>
    <col min="1287" max="1287" width="24.140625" customWidth="1"/>
    <col min="1294" max="1294" width="5.5703125" customWidth="1"/>
    <col min="1540" max="1541" width="14.28515625" customWidth="1"/>
    <col min="1543" max="1543" width="24.140625" customWidth="1"/>
    <col min="1550" max="1550" width="5.5703125" customWidth="1"/>
    <col min="1796" max="1797" width="14.28515625" customWidth="1"/>
    <col min="1799" max="1799" width="24.140625" customWidth="1"/>
    <col min="1806" max="1806" width="5.5703125" customWidth="1"/>
    <col min="2052" max="2053" width="14.28515625" customWidth="1"/>
    <col min="2055" max="2055" width="24.140625" customWidth="1"/>
    <col min="2062" max="2062" width="5.5703125" customWidth="1"/>
    <col min="2308" max="2309" width="14.28515625" customWidth="1"/>
    <col min="2311" max="2311" width="24.140625" customWidth="1"/>
    <col min="2318" max="2318" width="5.5703125" customWidth="1"/>
    <col min="2564" max="2565" width="14.28515625" customWidth="1"/>
    <col min="2567" max="2567" width="24.140625" customWidth="1"/>
    <col min="2574" max="2574" width="5.5703125" customWidth="1"/>
    <col min="2820" max="2821" width="14.28515625" customWidth="1"/>
    <col min="2823" max="2823" width="24.140625" customWidth="1"/>
    <col min="2830" max="2830" width="5.5703125" customWidth="1"/>
    <col min="3076" max="3077" width="14.28515625" customWidth="1"/>
    <col min="3079" max="3079" width="24.140625" customWidth="1"/>
    <col min="3086" max="3086" width="5.5703125" customWidth="1"/>
    <col min="3332" max="3333" width="14.28515625" customWidth="1"/>
    <col min="3335" max="3335" width="24.140625" customWidth="1"/>
    <col min="3342" max="3342" width="5.5703125" customWidth="1"/>
    <col min="3588" max="3589" width="14.28515625" customWidth="1"/>
    <col min="3591" max="3591" width="24.140625" customWidth="1"/>
    <col min="3598" max="3598" width="5.5703125" customWidth="1"/>
    <col min="3844" max="3845" width="14.28515625" customWidth="1"/>
    <col min="3847" max="3847" width="24.140625" customWidth="1"/>
    <col min="3854" max="3854" width="5.5703125" customWidth="1"/>
    <col min="4100" max="4101" width="14.28515625" customWidth="1"/>
    <col min="4103" max="4103" width="24.140625" customWidth="1"/>
    <col min="4110" max="4110" width="5.5703125" customWidth="1"/>
    <col min="4356" max="4357" width="14.28515625" customWidth="1"/>
    <col min="4359" max="4359" width="24.140625" customWidth="1"/>
    <col min="4366" max="4366" width="5.5703125" customWidth="1"/>
    <col min="4612" max="4613" width="14.28515625" customWidth="1"/>
    <col min="4615" max="4615" width="24.140625" customWidth="1"/>
    <col min="4622" max="4622" width="5.5703125" customWidth="1"/>
    <col min="4868" max="4869" width="14.28515625" customWidth="1"/>
    <col min="4871" max="4871" width="24.140625" customWidth="1"/>
    <col min="4878" max="4878" width="5.5703125" customWidth="1"/>
    <col min="5124" max="5125" width="14.28515625" customWidth="1"/>
    <col min="5127" max="5127" width="24.140625" customWidth="1"/>
    <col min="5134" max="5134" width="5.5703125" customWidth="1"/>
    <col min="5380" max="5381" width="14.28515625" customWidth="1"/>
    <col min="5383" max="5383" width="24.140625" customWidth="1"/>
    <col min="5390" max="5390" width="5.5703125" customWidth="1"/>
    <col min="5636" max="5637" width="14.28515625" customWidth="1"/>
    <col min="5639" max="5639" width="24.140625" customWidth="1"/>
    <col min="5646" max="5646" width="5.5703125" customWidth="1"/>
    <col min="5892" max="5893" width="14.28515625" customWidth="1"/>
    <col min="5895" max="5895" width="24.140625" customWidth="1"/>
    <col min="5902" max="5902" width="5.5703125" customWidth="1"/>
    <col min="6148" max="6149" width="14.28515625" customWidth="1"/>
    <col min="6151" max="6151" width="24.140625" customWidth="1"/>
    <col min="6158" max="6158" width="5.5703125" customWidth="1"/>
    <col min="6404" max="6405" width="14.28515625" customWidth="1"/>
    <col min="6407" max="6407" width="24.140625" customWidth="1"/>
    <col min="6414" max="6414" width="5.5703125" customWidth="1"/>
    <col min="6660" max="6661" width="14.28515625" customWidth="1"/>
    <col min="6663" max="6663" width="24.140625" customWidth="1"/>
    <col min="6670" max="6670" width="5.5703125" customWidth="1"/>
    <col min="6916" max="6917" width="14.28515625" customWidth="1"/>
    <col min="6919" max="6919" width="24.140625" customWidth="1"/>
    <col min="6926" max="6926" width="5.5703125" customWidth="1"/>
    <col min="7172" max="7173" width="14.28515625" customWidth="1"/>
    <col min="7175" max="7175" width="24.140625" customWidth="1"/>
    <col min="7182" max="7182" width="5.5703125" customWidth="1"/>
    <col min="7428" max="7429" width="14.28515625" customWidth="1"/>
    <col min="7431" max="7431" width="24.140625" customWidth="1"/>
    <col min="7438" max="7438" width="5.5703125" customWidth="1"/>
    <col min="7684" max="7685" width="14.28515625" customWidth="1"/>
    <col min="7687" max="7687" width="24.140625" customWidth="1"/>
    <col min="7694" max="7694" width="5.5703125" customWidth="1"/>
    <col min="7940" max="7941" width="14.28515625" customWidth="1"/>
    <col min="7943" max="7943" width="24.140625" customWidth="1"/>
    <col min="7950" max="7950" width="5.5703125" customWidth="1"/>
    <col min="8196" max="8197" width="14.28515625" customWidth="1"/>
    <col min="8199" max="8199" width="24.140625" customWidth="1"/>
    <col min="8206" max="8206" width="5.5703125" customWidth="1"/>
    <col min="8452" max="8453" width="14.28515625" customWidth="1"/>
    <col min="8455" max="8455" width="24.140625" customWidth="1"/>
    <col min="8462" max="8462" width="5.5703125" customWidth="1"/>
    <col min="8708" max="8709" width="14.28515625" customWidth="1"/>
    <col min="8711" max="8711" width="24.140625" customWidth="1"/>
    <col min="8718" max="8718" width="5.5703125" customWidth="1"/>
    <col min="8964" max="8965" width="14.28515625" customWidth="1"/>
    <col min="8967" max="8967" width="24.140625" customWidth="1"/>
    <col min="8974" max="8974" width="5.5703125" customWidth="1"/>
    <col min="9220" max="9221" width="14.28515625" customWidth="1"/>
    <col min="9223" max="9223" width="24.140625" customWidth="1"/>
    <col min="9230" max="9230" width="5.5703125" customWidth="1"/>
    <col min="9476" max="9477" width="14.28515625" customWidth="1"/>
    <col min="9479" max="9479" width="24.140625" customWidth="1"/>
    <col min="9486" max="9486" width="5.5703125" customWidth="1"/>
    <col min="9732" max="9733" width="14.28515625" customWidth="1"/>
    <col min="9735" max="9735" width="24.140625" customWidth="1"/>
    <col min="9742" max="9742" width="5.5703125" customWidth="1"/>
    <col min="9988" max="9989" width="14.28515625" customWidth="1"/>
    <col min="9991" max="9991" width="24.140625" customWidth="1"/>
    <col min="9998" max="9998" width="5.5703125" customWidth="1"/>
    <col min="10244" max="10245" width="14.28515625" customWidth="1"/>
    <col min="10247" max="10247" width="24.140625" customWidth="1"/>
    <col min="10254" max="10254" width="5.5703125" customWidth="1"/>
    <col min="10500" max="10501" width="14.28515625" customWidth="1"/>
    <col min="10503" max="10503" width="24.140625" customWidth="1"/>
    <col min="10510" max="10510" width="5.5703125" customWidth="1"/>
    <col min="10756" max="10757" width="14.28515625" customWidth="1"/>
    <col min="10759" max="10759" width="24.140625" customWidth="1"/>
    <col min="10766" max="10766" width="5.5703125" customWidth="1"/>
    <col min="11012" max="11013" width="14.28515625" customWidth="1"/>
    <col min="11015" max="11015" width="24.140625" customWidth="1"/>
    <col min="11022" max="11022" width="5.5703125" customWidth="1"/>
    <col min="11268" max="11269" width="14.28515625" customWidth="1"/>
    <col min="11271" max="11271" width="24.140625" customWidth="1"/>
    <col min="11278" max="11278" width="5.5703125" customWidth="1"/>
    <col min="11524" max="11525" width="14.28515625" customWidth="1"/>
    <col min="11527" max="11527" width="24.140625" customWidth="1"/>
    <col min="11534" max="11534" width="5.5703125" customWidth="1"/>
    <col min="11780" max="11781" width="14.28515625" customWidth="1"/>
    <col min="11783" max="11783" width="24.140625" customWidth="1"/>
    <col min="11790" max="11790" width="5.5703125" customWidth="1"/>
    <col min="12036" max="12037" width="14.28515625" customWidth="1"/>
    <col min="12039" max="12039" width="24.140625" customWidth="1"/>
    <col min="12046" max="12046" width="5.5703125" customWidth="1"/>
    <col min="12292" max="12293" width="14.28515625" customWidth="1"/>
    <col min="12295" max="12295" width="24.140625" customWidth="1"/>
    <col min="12302" max="12302" width="5.5703125" customWidth="1"/>
    <col min="12548" max="12549" width="14.28515625" customWidth="1"/>
    <col min="12551" max="12551" width="24.140625" customWidth="1"/>
    <col min="12558" max="12558" width="5.5703125" customWidth="1"/>
    <col min="12804" max="12805" width="14.28515625" customWidth="1"/>
    <col min="12807" max="12807" width="24.140625" customWidth="1"/>
    <col min="12814" max="12814" width="5.5703125" customWidth="1"/>
    <col min="13060" max="13061" width="14.28515625" customWidth="1"/>
    <col min="13063" max="13063" width="24.140625" customWidth="1"/>
    <col min="13070" max="13070" width="5.5703125" customWidth="1"/>
    <col min="13316" max="13317" width="14.28515625" customWidth="1"/>
    <col min="13319" max="13319" width="24.140625" customWidth="1"/>
    <col min="13326" max="13326" width="5.5703125" customWidth="1"/>
    <col min="13572" max="13573" width="14.28515625" customWidth="1"/>
    <col min="13575" max="13575" width="24.140625" customWidth="1"/>
    <col min="13582" max="13582" width="5.5703125" customWidth="1"/>
    <col min="13828" max="13829" width="14.28515625" customWidth="1"/>
    <col min="13831" max="13831" width="24.140625" customWidth="1"/>
    <col min="13838" max="13838" width="5.5703125" customWidth="1"/>
    <col min="14084" max="14085" width="14.28515625" customWidth="1"/>
    <col min="14087" max="14087" width="24.140625" customWidth="1"/>
    <col min="14094" max="14094" width="5.5703125" customWidth="1"/>
    <col min="14340" max="14341" width="14.28515625" customWidth="1"/>
    <col min="14343" max="14343" width="24.140625" customWidth="1"/>
    <col min="14350" max="14350" width="5.5703125" customWidth="1"/>
    <col min="14596" max="14597" width="14.28515625" customWidth="1"/>
    <col min="14599" max="14599" width="24.140625" customWidth="1"/>
    <col min="14606" max="14606" width="5.5703125" customWidth="1"/>
    <col min="14852" max="14853" width="14.28515625" customWidth="1"/>
    <col min="14855" max="14855" width="24.140625" customWidth="1"/>
    <col min="14862" max="14862" width="5.5703125" customWidth="1"/>
    <col min="15108" max="15109" width="14.28515625" customWidth="1"/>
    <col min="15111" max="15111" width="24.140625" customWidth="1"/>
    <col min="15118" max="15118" width="5.5703125" customWidth="1"/>
    <col min="15364" max="15365" width="14.28515625" customWidth="1"/>
    <col min="15367" max="15367" width="24.140625" customWidth="1"/>
    <col min="15374" max="15374" width="5.5703125" customWidth="1"/>
    <col min="15620" max="15621" width="14.28515625" customWidth="1"/>
    <col min="15623" max="15623" width="24.140625" customWidth="1"/>
    <col min="15630" max="15630" width="5.5703125" customWidth="1"/>
    <col min="15876" max="15877" width="14.28515625" customWidth="1"/>
    <col min="15879" max="15879" width="24.140625" customWidth="1"/>
    <col min="15886" max="15886" width="5.5703125" customWidth="1"/>
    <col min="16132" max="16133" width="14.28515625" customWidth="1"/>
    <col min="16135" max="16135" width="24.140625" customWidth="1"/>
    <col min="16142" max="16142" width="5.5703125" customWidth="1"/>
  </cols>
  <sheetData>
    <row r="1" spans="2:18" ht="24" customHeight="1">
      <c r="B1" s="1193" t="s">
        <v>3205</v>
      </c>
      <c r="C1" s="1193"/>
      <c r="D1" s="1193"/>
      <c r="E1" s="1193"/>
      <c r="F1" s="1193"/>
      <c r="G1" s="1193"/>
      <c r="L1" s="1192" t="s">
        <v>3206</v>
      </c>
      <c r="M1" s="1192"/>
      <c r="N1" s="1192"/>
      <c r="O1" s="1192"/>
      <c r="P1" s="1192"/>
      <c r="Q1" s="1192"/>
      <c r="R1" s="1192"/>
    </row>
    <row r="2" spans="2:18" ht="16.5" customHeight="1"/>
    <row r="3" spans="2:18" ht="19.5" customHeight="1">
      <c r="B3" s="1194" t="s">
        <v>3203</v>
      </c>
      <c r="C3" s="1194"/>
      <c r="D3" s="1194"/>
      <c r="E3" s="1194"/>
      <c r="F3" s="1194"/>
      <c r="G3" s="1194"/>
      <c r="H3" s="431"/>
      <c r="I3" s="431"/>
      <c r="J3" s="431"/>
      <c r="K3" s="431"/>
    </row>
    <row r="4" spans="2:18" ht="19.5" customHeight="1">
      <c r="C4" s="35"/>
      <c r="H4" s="431"/>
      <c r="I4" s="431"/>
      <c r="J4" s="431"/>
      <c r="K4" s="431"/>
    </row>
    <row r="5" spans="2:18" ht="19.5" customHeight="1">
      <c r="C5" s="35"/>
      <c r="E5" s="1185" t="s">
        <v>241</v>
      </c>
      <c r="F5" s="1185"/>
      <c r="G5" s="1185"/>
      <c r="H5" s="431"/>
      <c r="I5" s="431"/>
      <c r="J5" s="431"/>
      <c r="K5" s="1195"/>
      <c r="L5" s="1195"/>
      <c r="M5" s="1195"/>
      <c r="N5" s="1196" t="s">
        <v>241</v>
      </c>
      <c r="O5" s="1197"/>
      <c r="P5" s="1197"/>
      <c r="Q5" s="1197"/>
      <c r="R5" s="1198"/>
    </row>
    <row r="6" spans="2:18" ht="19.5" customHeight="1">
      <c r="E6" s="24">
        <v>5</v>
      </c>
      <c r="F6" s="24">
        <v>10</v>
      </c>
      <c r="G6" s="24">
        <v>20</v>
      </c>
      <c r="H6" s="431"/>
      <c r="I6" s="431"/>
      <c r="J6" s="431"/>
      <c r="K6" s="1195"/>
      <c r="L6" s="1195"/>
      <c r="M6" s="1195"/>
      <c r="N6" s="435">
        <v>1</v>
      </c>
      <c r="O6" s="435">
        <v>2</v>
      </c>
      <c r="P6" s="435">
        <v>3</v>
      </c>
      <c r="Q6" s="436">
        <v>4</v>
      </c>
      <c r="R6" s="436">
        <v>5</v>
      </c>
    </row>
    <row r="7" spans="2:18" ht="28.5" customHeight="1">
      <c r="E7" s="429" t="s">
        <v>274</v>
      </c>
      <c r="F7" s="429" t="s">
        <v>270</v>
      </c>
      <c r="G7" s="429" t="s">
        <v>287</v>
      </c>
      <c r="H7" s="431"/>
      <c r="I7" s="431"/>
      <c r="J7" s="431"/>
      <c r="K7" s="1195"/>
      <c r="L7" s="1195"/>
      <c r="M7" s="1195"/>
      <c r="N7" s="437" t="s">
        <v>661</v>
      </c>
      <c r="O7" s="437" t="s">
        <v>643</v>
      </c>
      <c r="P7" s="437" t="s">
        <v>274</v>
      </c>
      <c r="Q7" s="437" t="s">
        <v>270</v>
      </c>
      <c r="R7" s="437" t="s">
        <v>287</v>
      </c>
    </row>
    <row r="8" spans="2:18" ht="28.5" customHeight="1">
      <c r="B8" s="1180" t="s">
        <v>238</v>
      </c>
      <c r="C8" s="1181">
        <v>5</v>
      </c>
      <c r="D8" s="1184" t="s">
        <v>37</v>
      </c>
      <c r="E8" s="1183" t="s">
        <v>539</v>
      </c>
      <c r="F8" s="1186" t="s">
        <v>540</v>
      </c>
      <c r="G8" s="1187" t="s">
        <v>541</v>
      </c>
      <c r="H8" s="431"/>
      <c r="I8" s="431"/>
      <c r="J8" s="431"/>
      <c r="K8" s="1199" t="s">
        <v>238</v>
      </c>
      <c r="L8" s="1188">
        <v>5</v>
      </c>
      <c r="M8" s="1190" t="s">
        <v>3204</v>
      </c>
      <c r="N8" s="441">
        <v>5</v>
      </c>
      <c r="O8" s="443">
        <v>10</v>
      </c>
      <c r="P8" s="454">
        <v>15</v>
      </c>
      <c r="Q8" s="444">
        <v>20</v>
      </c>
      <c r="R8" s="451">
        <v>25</v>
      </c>
    </row>
    <row r="9" spans="2:18" ht="28.5" customHeight="1">
      <c r="B9" s="1180"/>
      <c r="C9" s="1181"/>
      <c r="D9" s="1184"/>
      <c r="E9" s="1183"/>
      <c r="F9" s="1186"/>
      <c r="G9" s="1187"/>
      <c r="H9" s="431"/>
      <c r="I9" s="431"/>
      <c r="J9" s="431"/>
      <c r="K9" s="1200"/>
      <c r="L9" s="1189"/>
      <c r="M9" s="1191"/>
      <c r="N9" s="442" t="s">
        <v>2296</v>
      </c>
      <c r="O9" s="445" t="s">
        <v>2297</v>
      </c>
      <c r="P9" s="455" t="s">
        <v>2297</v>
      </c>
      <c r="Q9" s="446" t="s">
        <v>2298</v>
      </c>
      <c r="R9" s="452" t="s">
        <v>2298</v>
      </c>
    </row>
    <row r="10" spans="2:18" ht="28.5" customHeight="1">
      <c r="B10" s="1180"/>
      <c r="C10" s="1181">
        <v>4</v>
      </c>
      <c r="D10" s="1184" t="s">
        <v>309</v>
      </c>
      <c r="E10" s="1183" t="s">
        <v>525</v>
      </c>
      <c r="F10" s="1186" t="s">
        <v>527</v>
      </c>
      <c r="G10" s="1187" t="s">
        <v>542</v>
      </c>
      <c r="H10" s="431"/>
      <c r="I10" s="431"/>
      <c r="J10" s="431"/>
      <c r="K10" s="1200"/>
      <c r="L10" s="1188">
        <v>4</v>
      </c>
      <c r="M10" s="1190" t="s">
        <v>648</v>
      </c>
      <c r="N10" s="457">
        <v>4</v>
      </c>
      <c r="O10" s="438">
        <v>8</v>
      </c>
      <c r="P10" s="456">
        <v>12</v>
      </c>
      <c r="Q10" s="439">
        <v>16</v>
      </c>
      <c r="R10" s="453">
        <v>20</v>
      </c>
    </row>
    <row r="11" spans="2:18" ht="28.5" customHeight="1">
      <c r="B11" s="1180"/>
      <c r="C11" s="1181"/>
      <c r="D11" s="1184"/>
      <c r="E11" s="1183"/>
      <c r="F11" s="1186"/>
      <c r="G11" s="1187"/>
      <c r="H11" s="431"/>
      <c r="I11" s="431"/>
      <c r="J11" s="431"/>
      <c r="K11" s="1200"/>
      <c r="L11" s="1189"/>
      <c r="M11" s="1191"/>
      <c r="N11" s="457" t="s">
        <v>2296</v>
      </c>
      <c r="O11" s="438" t="s">
        <v>2296</v>
      </c>
      <c r="P11" s="456" t="s">
        <v>2297</v>
      </c>
      <c r="Q11" s="439" t="s">
        <v>2298</v>
      </c>
      <c r="R11" s="453" t="s">
        <v>2298</v>
      </c>
    </row>
    <row r="12" spans="2:18" ht="28.5" customHeight="1">
      <c r="B12" s="1180"/>
      <c r="C12" s="1181">
        <v>3</v>
      </c>
      <c r="D12" s="1184" t="s">
        <v>64</v>
      </c>
      <c r="E12" s="1183" t="s">
        <v>543</v>
      </c>
      <c r="F12" s="1186" t="s">
        <v>544</v>
      </c>
      <c r="G12" s="1187" t="s">
        <v>545</v>
      </c>
      <c r="H12" s="431"/>
      <c r="I12" s="431"/>
      <c r="J12" s="431"/>
      <c r="K12" s="1200"/>
      <c r="L12" s="1188">
        <v>3</v>
      </c>
      <c r="M12" s="1190" t="s">
        <v>64</v>
      </c>
      <c r="N12" s="458">
        <v>3</v>
      </c>
      <c r="O12" s="447">
        <v>6</v>
      </c>
      <c r="P12" s="441">
        <v>9</v>
      </c>
      <c r="Q12" s="443">
        <v>12</v>
      </c>
      <c r="R12" s="454">
        <v>15</v>
      </c>
    </row>
    <row r="13" spans="2:18" ht="28.5" customHeight="1">
      <c r="B13" s="1180"/>
      <c r="C13" s="1181"/>
      <c r="D13" s="1184"/>
      <c r="E13" s="1183"/>
      <c r="F13" s="1186"/>
      <c r="G13" s="1187"/>
      <c r="H13" s="431"/>
      <c r="I13" s="431"/>
      <c r="J13" s="431"/>
      <c r="K13" s="1200"/>
      <c r="L13" s="1189"/>
      <c r="M13" s="1191"/>
      <c r="N13" s="459" t="s">
        <v>2295</v>
      </c>
      <c r="O13" s="448" t="s">
        <v>2296</v>
      </c>
      <c r="P13" s="442" t="s">
        <v>2296</v>
      </c>
      <c r="Q13" s="445" t="s">
        <v>2297</v>
      </c>
      <c r="R13" s="455" t="s">
        <v>2297</v>
      </c>
    </row>
    <row r="14" spans="2:18" ht="28.5" customHeight="1">
      <c r="B14" s="1180"/>
      <c r="C14" s="1181">
        <v>2</v>
      </c>
      <c r="D14" s="1184" t="s">
        <v>286</v>
      </c>
      <c r="E14" s="1182" t="s">
        <v>415</v>
      </c>
      <c r="F14" s="1183" t="s">
        <v>525</v>
      </c>
      <c r="G14" s="1186" t="s">
        <v>527</v>
      </c>
      <c r="H14" s="431"/>
      <c r="I14" s="431"/>
      <c r="J14" s="431"/>
      <c r="K14" s="1200"/>
      <c r="L14" s="1188">
        <v>2</v>
      </c>
      <c r="M14" s="1190" t="s">
        <v>655</v>
      </c>
      <c r="N14" s="460">
        <v>2</v>
      </c>
      <c r="O14" s="440">
        <v>4</v>
      </c>
      <c r="P14" s="457">
        <v>6</v>
      </c>
      <c r="Q14" s="438">
        <v>8</v>
      </c>
      <c r="R14" s="456">
        <v>10</v>
      </c>
    </row>
    <row r="15" spans="2:18" ht="28.5" customHeight="1">
      <c r="B15" s="1180"/>
      <c r="C15" s="1181"/>
      <c r="D15" s="1184"/>
      <c r="E15" s="1182"/>
      <c r="F15" s="1183"/>
      <c r="G15" s="1186"/>
      <c r="H15" s="431"/>
      <c r="I15" s="431"/>
      <c r="J15" s="431"/>
      <c r="K15" s="1200"/>
      <c r="L15" s="1189"/>
      <c r="M15" s="1191"/>
      <c r="N15" s="460" t="s">
        <v>2295</v>
      </c>
      <c r="O15" s="440" t="s">
        <v>2295</v>
      </c>
      <c r="P15" s="457" t="s">
        <v>2296</v>
      </c>
      <c r="Q15" s="438" t="s">
        <v>2296</v>
      </c>
      <c r="R15" s="456" t="s">
        <v>2297</v>
      </c>
    </row>
    <row r="16" spans="2:18" ht="28.5" customHeight="1">
      <c r="B16" s="1180"/>
      <c r="C16" s="1181">
        <v>1</v>
      </c>
      <c r="D16" s="1184" t="s">
        <v>283</v>
      </c>
      <c r="E16" s="1182" t="s">
        <v>418</v>
      </c>
      <c r="F16" s="1182" t="s">
        <v>415</v>
      </c>
      <c r="G16" s="1183" t="s">
        <v>525</v>
      </c>
      <c r="H16" s="431"/>
      <c r="I16" s="431"/>
      <c r="J16" s="431"/>
      <c r="K16" s="1200"/>
      <c r="L16" s="1188">
        <v>1</v>
      </c>
      <c r="M16" s="1190" t="s">
        <v>654</v>
      </c>
      <c r="N16" s="458">
        <v>1</v>
      </c>
      <c r="O16" s="449">
        <v>2</v>
      </c>
      <c r="P16" s="458">
        <v>3</v>
      </c>
      <c r="Q16" s="447">
        <v>4</v>
      </c>
      <c r="R16" s="441">
        <v>5</v>
      </c>
    </row>
    <row r="17" spans="2:18" ht="28.5" customHeight="1">
      <c r="B17" s="1180"/>
      <c r="C17" s="1181"/>
      <c r="D17" s="1184"/>
      <c r="E17" s="1182"/>
      <c r="F17" s="1182"/>
      <c r="G17" s="1183"/>
      <c r="H17" s="433"/>
      <c r="I17" s="433"/>
      <c r="J17" s="433"/>
      <c r="K17" s="1201"/>
      <c r="L17" s="1189"/>
      <c r="M17" s="1191"/>
      <c r="N17" s="459" t="s">
        <v>2295</v>
      </c>
      <c r="O17" s="450" t="s">
        <v>2295</v>
      </c>
      <c r="P17" s="459" t="s">
        <v>2295</v>
      </c>
      <c r="Q17" s="448" t="s">
        <v>2296</v>
      </c>
      <c r="R17" s="442" t="s">
        <v>2296</v>
      </c>
    </row>
    <row r="18" spans="2:18" ht="15" customHeight="1">
      <c r="B18" s="98"/>
      <c r="C18" s="98"/>
      <c r="D18" s="98"/>
      <c r="E18" s="98"/>
      <c r="F18" s="98"/>
      <c r="G18" s="98"/>
      <c r="H18" s="431"/>
      <c r="I18" s="431"/>
      <c r="J18" s="431"/>
      <c r="K18" s="431"/>
    </row>
    <row r="19" spans="2:18">
      <c r="B19" s="434"/>
      <c r="C19" s="434"/>
      <c r="D19" s="434"/>
      <c r="E19" s="434"/>
      <c r="F19" s="434"/>
      <c r="G19" s="434"/>
      <c r="H19" s="431"/>
      <c r="I19" s="431"/>
      <c r="J19" s="431"/>
      <c r="K19" s="431"/>
    </row>
    <row r="20" spans="2:18">
      <c r="B20" s="434"/>
      <c r="C20" s="434"/>
      <c r="D20" s="434"/>
      <c r="E20" s="434"/>
      <c r="F20" s="434"/>
      <c r="G20" s="434"/>
      <c r="H20" s="431"/>
      <c r="I20" s="431"/>
      <c r="J20" s="431"/>
      <c r="K20" s="431"/>
    </row>
    <row r="21" spans="2:18">
      <c r="B21" s="434"/>
      <c r="C21" s="434"/>
      <c r="D21" s="434"/>
      <c r="E21" s="434"/>
      <c r="F21" s="434"/>
      <c r="G21" s="434"/>
      <c r="H21" s="431"/>
      <c r="I21" s="431"/>
      <c r="J21" s="431"/>
      <c r="K21" s="431"/>
    </row>
    <row r="22" spans="2:18">
      <c r="B22" s="434"/>
      <c r="C22" s="434"/>
      <c r="D22" s="434"/>
      <c r="E22" s="434"/>
      <c r="F22" s="434"/>
      <c r="G22" s="434"/>
      <c r="H22" s="431"/>
      <c r="I22" s="431"/>
      <c r="J22" s="431"/>
      <c r="K22" s="431"/>
    </row>
    <row r="23" spans="2:18">
      <c r="B23" s="434"/>
      <c r="C23" s="432"/>
      <c r="D23" s="434"/>
      <c r="E23" s="434"/>
      <c r="F23" s="434"/>
      <c r="G23" s="434"/>
      <c r="H23" s="431"/>
      <c r="I23" s="431"/>
      <c r="J23" s="431"/>
      <c r="K23" s="431"/>
    </row>
    <row r="24" spans="2:18">
      <c r="B24" s="434"/>
      <c r="C24" s="434"/>
      <c r="D24" s="434"/>
      <c r="E24" s="434"/>
      <c r="F24" s="434"/>
      <c r="G24" s="434"/>
      <c r="H24" s="431"/>
      <c r="I24" s="431"/>
      <c r="J24" s="431"/>
      <c r="K24" s="431"/>
    </row>
    <row r="25" spans="2:18">
      <c r="B25" s="434"/>
      <c r="C25" s="434"/>
      <c r="D25" s="434"/>
      <c r="E25" s="434"/>
      <c r="F25" s="434"/>
      <c r="G25" s="434"/>
      <c r="H25" s="431"/>
      <c r="I25" s="431"/>
      <c r="J25" s="431"/>
      <c r="K25" s="431"/>
    </row>
    <row r="26" spans="2:18">
      <c r="B26" s="431"/>
      <c r="C26" s="431"/>
      <c r="D26" s="431"/>
      <c r="E26" s="431"/>
      <c r="F26" s="431"/>
      <c r="G26" s="431"/>
      <c r="H26" s="431"/>
      <c r="I26" s="431"/>
      <c r="J26" s="431"/>
      <c r="K26" s="431"/>
    </row>
    <row r="27" spans="2:18">
      <c r="B27" s="431"/>
      <c r="C27" s="431"/>
      <c r="D27" s="431"/>
      <c r="E27" s="431"/>
      <c r="F27" s="431"/>
      <c r="G27" s="431"/>
      <c r="H27" s="431"/>
      <c r="I27" s="431"/>
      <c r="J27" s="431"/>
      <c r="K27" s="431"/>
    </row>
    <row r="28" spans="2:18">
      <c r="B28" s="430"/>
      <c r="C28" s="430"/>
      <c r="D28" s="430"/>
      <c r="E28" s="431"/>
      <c r="F28" s="431"/>
      <c r="G28" s="431"/>
      <c r="H28" s="431"/>
      <c r="I28" s="431"/>
      <c r="J28" s="431"/>
      <c r="K28" s="431"/>
    </row>
    <row r="29" spans="2:18">
      <c r="B29" s="431"/>
      <c r="C29" s="431"/>
      <c r="D29" s="431"/>
      <c r="E29" s="431"/>
      <c r="F29" s="431"/>
      <c r="G29" s="431"/>
      <c r="H29" s="431"/>
      <c r="I29" s="431"/>
      <c r="J29" s="431"/>
      <c r="K29" s="431"/>
    </row>
    <row r="30" spans="2:18">
      <c r="B30" s="431"/>
      <c r="C30" s="431"/>
      <c r="D30" s="431"/>
      <c r="E30" s="431"/>
      <c r="F30" s="431"/>
      <c r="G30" s="431"/>
      <c r="H30" s="431"/>
      <c r="I30" s="431"/>
      <c r="J30" s="431"/>
      <c r="K30" s="431"/>
    </row>
    <row r="31" spans="2:18">
      <c r="B31" s="431"/>
      <c r="C31" s="431"/>
      <c r="D31" s="431"/>
      <c r="E31" s="431"/>
      <c r="F31" s="431"/>
      <c r="G31" s="431"/>
      <c r="H31" s="431"/>
      <c r="I31" s="431"/>
      <c r="J31" s="431"/>
      <c r="K31" s="431"/>
    </row>
    <row r="32" spans="2:18" ht="48.75" customHeight="1"/>
  </sheetData>
  <mergeCells count="43">
    <mergeCell ref="L1:R1"/>
    <mergeCell ref="B1:G1"/>
    <mergeCell ref="D8:D9"/>
    <mergeCell ref="D10:D11"/>
    <mergeCell ref="D12:D13"/>
    <mergeCell ref="E8:E9"/>
    <mergeCell ref="E10:E11"/>
    <mergeCell ref="E12:E13"/>
    <mergeCell ref="F8:F9"/>
    <mergeCell ref="F10:F11"/>
    <mergeCell ref="G8:G9"/>
    <mergeCell ref="G10:G11"/>
    <mergeCell ref="B3:G3"/>
    <mergeCell ref="K5:M7"/>
    <mergeCell ref="N5:R5"/>
    <mergeCell ref="K8:K17"/>
    <mergeCell ref="L8:L9"/>
    <mergeCell ref="M8:M9"/>
    <mergeCell ref="L10:L11"/>
    <mergeCell ref="M10:M11"/>
    <mergeCell ref="L12:L13"/>
    <mergeCell ref="M12:M13"/>
    <mergeCell ref="L14:L15"/>
    <mergeCell ref="M14:M15"/>
    <mergeCell ref="L16:L17"/>
    <mergeCell ref="M16:M17"/>
    <mergeCell ref="D14:D15"/>
    <mergeCell ref="E5:G5"/>
    <mergeCell ref="E14:E15"/>
    <mergeCell ref="F12:F13"/>
    <mergeCell ref="F14:F15"/>
    <mergeCell ref="G14:G15"/>
    <mergeCell ref="G12:G13"/>
    <mergeCell ref="B8:B17"/>
    <mergeCell ref="C8:C9"/>
    <mergeCell ref="E16:E17"/>
    <mergeCell ref="G16:G17"/>
    <mergeCell ref="F16:F17"/>
    <mergeCell ref="D16:D17"/>
    <mergeCell ref="C12:C13"/>
    <mergeCell ref="C14:C15"/>
    <mergeCell ref="C16:C17"/>
    <mergeCell ref="C10:C1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MM50"/>
  <sheetViews>
    <sheetView view="pageBreakPreview" zoomScaleNormal="124" zoomScaleSheetLayoutView="100" zoomScalePageLayoutView="95" workbookViewId="0"/>
  </sheetViews>
  <sheetFormatPr baseColWidth="10" defaultRowHeight="12.75"/>
  <cols>
    <col min="1" max="1" width="12" style="235" customWidth="1"/>
    <col min="2" max="2" width="2.7109375" style="235" customWidth="1"/>
    <col min="3" max="4" width="6.5703125" style="235" customWidth="1"/>
    <col min="5" max="5" width="5.85546875" style="235" customWidth="1"/>
    <col min="6" max="6" width="9" style="235" customWidth="1"/>
    <col min="7" max="8" width="8.42578125" style="235" customWidth="1"/>
    <col min="9" max="9" width="25.5703125" style="235" customWidth="1"/>
    <col min="10" max="10" width="2.5703125" style="235" customWidth="1"/>
    <col min="11" max="12" width="9.5703125" style="235" customWidth="1"/>
    <col min="13" max="13" width="3.7109375" style="235" customWidth="1"/>
    <col min="14" max="14" width="4.85546875" style="235" customWidth="1"/>
    <col min="15" max="15" width="3.7109375" style="235" customWidth="1"/>
    <col min="16" max="16" width="3.5703125" style="235" customWidth="1"/>
    <col min="17" max="17" width="2.85546875" style="235" customWidth="1"/>
    <col min="18" max="18" width="3" style="235" customWidth="1"/>
    <col min="19" max="21" width="0" style="235" hidden="1" customWidth="1"/>
    <col min="22" max="22" width="7" style="235" customWidth="1"/>
    <col min="23" max="23" width="0" style="235" hidden="1" customWidth="1"/>
    <col min="24" max="26" width="14.28515625" style="235" customWidth="1"/>
    <col min="27" max="27" width="14.28515625" style="1126" customWidth="1"/>
    <col min="28" max="28" width="6.42578125" style="235" customWidth="1"/>
    <col min="29" max="29" width="33.85546875" style="235" customWidth="1"/>
    <col min="30" max="30" width="4.140625" style="235" customWidth="1"/>
    <col min="31" max="31" width="3" style="235" customWidth="1"/>
    <col min="32" max="34" width="0" style="235" hidden="1" customWidth="1"/>
    <col min="35" max="35" width="3" style="235" customWidth="1"/>
    <col min="36" max="36" width="0" style="235" hidden="1" customWidth="1"/>
    <col min="37" max="37" width="3" style="235" customWidth="1"/>
    <col min="38" max="38" width="0" style="235" hidden="1" customWidth="1"/>
    <col min="39" max="39" width="4.42578125" style="235" customWidth="1"/>
    <col min="40" max="40" width="34.28515625" style="235" customWidth="1"/>
    <col min="41" max="41" width="18.42578125" style="235" customWidth="1"/>
    <col min="42" max="42" width="13.140625" style="235" customWidth="1"/>
    <col min="43" max="43" width="25" style="235" customWidth="1"/>
    <col min="44" max="44" width="32.28515625" style="235" customWidth="1"/>
    <col min="45" max="45" width="5.85546875" style="235" customWidth="1"/>
    <col min="46" max="46" width="24.7109375" style="235" customWidth="1"/>
    <col min="47" max="47" width="13.5703125" style="235" customWidth="1"/>
    <col min="48" max="49" width="9.28515625" style="235" customWidth="1"/>
    <col min="50" max="50" width="11.140625" style="235" customWidth="1"/>
    <col min="51" max="51" width="2.140625" style="235" customWidth="1"/>
    <col min="52"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51" ht="11.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1260" t="s">
        <v>155</v>
      </c>
      <c r="AE1" s="1260"/>
      <c r="AF1" s="1260"/>
      <c r="AG1" s="1260"/>
      <c r="AH1" s="1260"/>
      <c r="AI1" s="1260"/>
      <c r="AJ1" s="1260"/>
      <c r="AK1" s="1260"/>
      <c r="AL1" s="1260"/>
      <c r="AM1" s="1260"/>
      <c r="AN1" s="1260"/>
      <c r="AP1" s="1247" t="s">
        <v>2320</v>
      </c>
      <c r="AQ1" s="1247"/>
      <c r="AR1" s="1247"/>
      <c r="AS1" s="1247"/>
      <c r="AT1" s="233"/>
      <c r="AU1" s="233"/>
      <c r="AV1" s="233"/>
      <c r="AW1" s="1246"/>
      <c r="AX1" s="1246"/>
      <c r="AY1" s="233"/>
    </row>
    <row r="2" spans="1:51" ht="14.25" customHeight="1">
      <c r="A2" s="1213" t="s">
        <v>2348</v>
      </c>
      <c r="B2" s="1213"/>
      <c r="C2" s="1213"/>
      <c r="D2" s="1213"/>
      <c r="E2" s="1213"/>
      <c r="F2" s="233"/>
      <c r="G2" s="1214" t="str">
        <f>UPPER([51]Control!A2)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1260"/>
      <c r="AE2" s="1260"/>
      <c r="AF2" s="1260"/>
      <c r="AG2" s="1260"/>
      <c r="AH2" s="1260"/>
      <c r="AI2" s="1260"/>
      <c r="AJ2" s="1260"/>
      <c r="AK2" s="1260"/>
      <c r="AL2" s="1260"/>
      <c r="AM2" s="1260"/>
      <c r="AN2" s="1260"/>
      <c r="AP2" s="1268" t="s">
        <v>138</v>
      </c>
      <c r="AQ2" s="1269"/>
      <c r="AR2" s="1270" t="str">
        <f>AD1</f>
        <v>FACTIBILIDAD DE PROYECTOS</v>
      </c>
      <c r="AS2" s="1271"/>
      <c r="AT2" s="233"/>
      <c r="AU2" s="233"/>
      <c r="AV2" s="233"/>
      <c r="AW2" s="1246"/>
      <c r="AX2" s="1246"/>
      <c r="AY2" s="233"/>
    </row>
    <row r="3" spans="1:51" ht="11.25" customHeight="1">
      <c r="A3" s="1202">
        <v>2019</v>
      </c>
      <c r="B3" s="1202"/>
      <c r="C3" s="1202"/>
      <c r="D3" s="1202"/>
      <c r="E3" s="1202"/>
      <c r="F3" s="233"/>
      <c r="G3" s="1203" t="s">
        <v>139</v>
      </c>
      <c r="H3" s="1204"/>
      <c r="I3" s="1204" t="s">
        <v>140</v>
      </c>
      <c r="J3" s="1204"/>
      <c r="K3" s="1204"/>
      <c r="L3" s="1204"/>
      <c r="M3" s="1204"/>
      <c r="N3" s="1204"/>
      <c r="O3" s="1205" t="s">
        <v>141</v>
      </c>
      <c r="P3" s="1204"/>
      <c r="Q3" s="1204"/>
      <c r="R3" s="1204"/>
      <c r="S3" s="1204"/>
      <c r="T3" s="1204"/>
      <c r="U3" s="1204"/>
      <c r="V3" s="1206"/>
      <c r="W3" s="238"/>
      <c r="X3" s="1253"/>
      <c r="Y3" s="1254"/>
      <c r="Z3" s="1207">
        <v>43713</v>
      </c>
      <c r="AA3" s="1208"/>
      <c r="AB3" s="1209"/>
      <c r="AC3" s="1259" t="s">
        <v>2379</v>
      </c>
      <c r="AD3" s="1261" t="s">
        <v>168</v>
      </c>
      <c r="AE3" s="1261"/>
      <c r="AF3" s="1261"/>
      <c r="AG3" s="1261"/>
      <c r="AH3" s="1261"/>
      <c r="AI3" s="1261"/>
      <c r="AJ3" s="1261"/>
      <c r="AK3" s="1261"/>
      <c r="AL3" s="1261"/>
      <c r="AM3" s="1261"/>
      <c r="AN3" s="1261"/>
      <c r="AP3" s="1265" t="s">
        <v>2322</v>
      </c>
      <c r="AQ3" s="1266"/>
      <c r="AR3" s="1266" t="s">
        <v>2323</v>
      </c>
      <c r="AS3" s="1267"/>
      <c r="AT3" s="233"/>
      <c r="AU3" s="233"/>
      <c r="AV3" s="233"/>
      <c r="AW3" s="1246"/>
      <c r="AX3" s="1246"/>
      <c r="AY3" s="233"/>
    </row>
    <row r="4" spans="1:51" ht="14.25" customHeight="1" thickBot="1">
      <c r="A4" s="1202"/>
      <c r="B4" s="1202"/>
      <c r="C4" s="1202"/>
      <c r="D4" s="1202"/>
      <c r="E4" s="1202"/>
      <c r="F4" s="233"/>
      <c r="G4" s="1236" t="str">
        <f>[51]Control!A4</f>
        <v>FO-PE-06</v>
      </c>
      <c r="H4" s="1237"/>
      <c r="I4" s="1238" t="str">
        <f>[51]Control!C4</f>
        <v>Planeación Estratégica</v>
      </c>
      <c r="J4" s="1237"/>
      <c r="K4" s="1237"/>
      <c r="L4" s="1237"/>
      <c r="M4" s="1237"/>
      <c r="N4" s="1239"/>
      <c r="O4" s="1238">
        <f>[51]Control!H4</f>
        <v>5</v>
      </c>
      <c r="P4" s="1237"/>
      <c r="Q4" s="1237"/>
      <c r="R4" s="1237"/>
      <c r="S4" s="1237"/>
      <c r="T4" s="1237"/>
      <c r="U4" s="1237"/>
      <c r="V4" s="1239"/>
      <c r="W4" s="239"/>
      <c r="X4" s="1255"/>
      <c r="Y4" s="1256"/>
      <c r="Z4" s="1210"/>
      <c r="AA4" s="1211"/>
      <c r="AB4" s="1212"/>
      <c r="AC4" s="1259"/>
      <c r="AD4" s="1261"/>
      <c r="AE4" s="1261"/>
      <c r="AF4" s="1261"/>
      <c r="AG4" s="1261"/>
      <c r="AH4" s="1261"/>
      <c r="AI4" s="1261"/>
      <c r="AJ4" s="1261"/>
      <c r="AK4" s="1261"/>
      <c r="AL4" s="1261"/>
      <c r="AM4" s="1261"/>
      <c r="AN4" s="1261"/>
      <c r="AP4" s="1240">
        <v>43700</v>
      </c>
      <c r="AQ4" s="1241"/>
      <c r="AR4" s="1242" t="s">
        <v>3853</v>
      </c>
      <c r="AS4" s="1243"/>
      <c r="AT4" s="233"/>
      <c r="AU4" s="233"/>
      <c r="AV4" s="233"/>
      <c r="AW4" s="1246"/>
      <c r="AX4" s="1246"/>
      <c r="AY4" s="233"/>
    </row>
    <row r="5" spans="1:51"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1"/>
      <c r="AB5" s="242"/>
      <c r="AC5" s="242"/>
      <c r="AD5" s="241"/>
      <c r="AE5" s="241"/>
      <c r="AF5" s="241"/>
      <c r="AG5" s="241"/>
      <c r="AH5" s="241"/>
      <c r="AI5" s="241"/>
      <c r="AJ5" s="241"/>
      <c r="AK5" s="241"/>
      <c r="AL5" s="241"/>
      <c r="AM5" s="240"/>
      <c r="AN5" s="240"/>
      <c r="AO5" s="240"/>
      <c r="AQ5" s="244"/>
      <c r="AY5" s="245"/>
    </row>
    <row r="6" spans="1:51" s="243" customFormat="1" ht="11.2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671" t="s">
        <v>268</v>
      </c>
      <c r="AO6" s="294"/>
      <c r="AP6" s="247" t="s">
        <v>2325</v>
      </c>
      <c r="AQ6" s="248"/>
      <c r="AR6" s="248"/>
      <c r="AS6" s="249"/>
      <c r="AT6" s="1244" t="s">
        <v>2326</v>
      </c>
      <c r="AU6" s="1244"/>
      <c r="AV6" s="1244"/>
      <c r="AW6" s="1244"/>
      <c r="AX6" s="1245"/>
      <c r="AY6" s="245"/>
    </row>
    <row r="7" spans="1:51" s="295" customFormat="1" ht="32.25" customHeight="1">
      <c r="A7" s="1217" t="s">
        <v>1004</v>
      </c>
      <c r="B7" s="1218" t="s">
        <v>640</v>
      </c>
      <c r="C7" s="1219" t="s">
        <v>1001</v>
      </c>
      <c r="D7" s="1220"/>
      <c r="E7" s="1221"/>
      <c r="F7" s="1217" t="s">
        <v>1000</v>
      </c>
      <c r="G7" s="1219" t="s">
        <v>999</v>
      </c>
      <c r="H7" s="1220"/>
      <c r="I7" s="1221"/>
      <c r="J7" s="1217" t="s">
        <v>145</v>
      </c>
      <c r="K7" s="1217"/>
      <c r="L7" s="1217"/>
      <c r="M7" s="1225" t="s">
        <v>144</v>
      </c>
      <c r="N7" s="1226"/>
      <c r="O7" s="1226"/>
      <c r="P7" s="1226"/>
      <c r="Q7" s="1227" t="s">
        <v>637</v>
      </c>
      <c r="R7" s="1228"/>
      <c r="S7" s="1228"/>
      <c r="T7" s="1228"/>
      <c r="U7" s="1228"/>
      <c r="V7" s="1229"/>
      <c r="W7" s="680"/>
      <c r="X7" s="1217" t="s">
        <v>2351</v>
      </c>
      <c r="Y7" s="1217"/>
      <c r="Z7" s="1217"/>
      <c r="AA7" s="1284" t="s">
        <v>4175</v>
      </c>
      <c r="AB7" s="1221" t="s">
        <v>998</v>
      </c>
      <c r="AC7" s="1284" t="s">
        <v>641</v>
      </c>
      <c r="AD7" s="1286" t="s">
        <v>546</v>
      </c>
      <c r="AE7" s="1286" t="s">
        <v>638</v>
      </c>
      <c r="AF7" s="670"/>
      <c r="AG7" s="252"/>
      <c r="AH7" s="253"/>
      <c r="AI7" s="1288" t="s">
        <v>639</v>
      </c>
      <c r="AJ7" s="1288"/>
      <c r="AK7" s="1288"/>
      <c r="AL7" s="1288"/>
      <c r="AM7" s="1288"/>
      <c r="AN7" s="1288" t="s">
        <v>2327</v>
      </c>
      <c r="AO7" s="1217" t="s">
        <v>2328</v>
      </c>
      <c r="AP7" s="1217" t="s">
        <v>3249</v>
      </c>
      <c r="AQ7" s="1217" t="s">
        <v>2380</v>
      </c>
      <c r="AR7" s="1217" t="s">
        <v>2381</v>
      </c>
      <c r="AS7" s="1217" t="s">
        <v>2332</v>
      </c>
      <c r="AT7" s="1217" t="s">
        <v>2382</v>
      </c>
      <c r="AU7" s="1217" t="s">
        <v>2383</v>
      </c>
      <c r="AV7" s="1217" t="s">
        <v>2384</v>
      </c>
      <c r="AW7" s="1217" t="s">
        <v>2385</v>
      </c>
      <c r="AX7" s="1217" t="s">
        <v>2386</v>
      </c>
    </row>
    <row r="8" spans="1:51" s="260" customFormat="1" ht="24.75" customHeight="1">
      <c r="A8" s="1217"/>
      <c r="B8" s="1218"/>
      <c r="C8" s="1222"/>
      <c r="D8" s="1223"/>
      <c r="E8" s="1224"/>
      <c r="F8" s="1217"/>
      <c r="G8" s="1222"/>
      <c r="H8" s="1223"/>
      <c r="I8" s="1224"/>
      <c r="J8" s="1217"/>
      <c r="K8" s="1217"/>
      <c r="L8" s="1217"/>
      <c r="M8" s="254" t="s">
        <v>146</v>
      </c>
      <c r="N8" s="254" t="s">
        <v>997</v>
      </c>
      <c r="O8" s="254" t="s">
        <v>65</v>
      </c>
      <c r="P8" s="254" t="s">
        <v>996</v>
      </c>
      <c r="Q8" s="669" t="s">
        <v>147</v>
      </c>
      <c r="R8" s="669" t="s">
        <v>148</v>
      </c>
      <c r="S8" s="669"/>
      <c r="T8" s="669" t="s">
        <v>239</v>
      </c>
      <c r="U8" s="669" t="s">
        <v>242</v>
      </c>
      <c r="V8" s="669" t="s">
        <v>149</v>
      </c>
      <c r="W8" s="669"/>
      <c r="X8" s="1217"/>
      <c r="Y8" s="1217"/>
      <c r="Z8" s="1217"/>
      <c r="AA8" s="1285"/>
      <c r="AB8" s="1224"/>
      <c r="AC8" s="1285"/>
      <c r="AD8" s="1287"/>
      <c r="AE8" s="1287"/>
      <c r="AF8" s="669"/>
      <c r="AG8" s="296" t="s">
        <v>642</v>
      </c>
      <c r="AH8" s="296" t="s">
        <v>264</v>
      </c>
      <c r="AI8" s="669" t="s">
        <v>147</v>
      </c>
      <c r="AJ8" s="297" t="s">
        <v>265</v>
      </c>
      <c r="AK8" s="669" t="s">
        <v>148</v>
      </c>
      <c r="AL8" s="669" t="s">
        <v>150</v>
      </c>
      <c r="AM8" s="669" t="s">
        <v>150</v>
      </c>
      <c r="AN8" s="1288"/>
      <c r="AO8" s="1217"/>
      <c r="AP8" s="1217"/>
      <c r="AQ8" s="1217"/>
      <c r="AR8" s="1217"/>
      <c r="AS8" s="1217"/>
      <c r="AT8" s="1217"/>
      <c r="AU8" s="1217"/>
      <c r="AV8" s="1217"/>
      <c r="AW8" s="1217"/>
      <c r="AX8" s="1217"/>
      <c r="AY8" s="295"/>
    </row>
    <row r="9" spans="1:51" s="260" customFormat="1" ht="162" customHeight="1">
      <c r="A9" s="664" t="s">
        <v>3854</v>
      </c>
      <c r="B9" s="668" t="s">
        <v>1969</v>
      </c>
      <c r="C9" s="1275" t="s">
        <v>3855</v>
      </c>
      <c r="D9" s="1276"/>
      <c r="E9" s="1277"/>
      <c r="F9" s="668" t="s">
        <v>168</v>
      </c>
      <c r="G9" s="1272" t="s">
        <v>3856</v>
      </c>
      <c r="H9" s="1273"/>
      <c r="I9" s="1274"/>
      <c r="J9" s="1278" t="s">
        <v>3857</v>
      </c>
      <c r="K9" s="1279"/>
      <c r="L9" s="1280"/>
      <c r="M9" s="664" t="s">
        <v>8</v>
      </c>
      <c r="N9" s="664">
        <v>2</v>
      </c>
      <c r="O9" s="664"/>
      <c r="P9" s="664" t="s">
        <v>8</v>
      </c>
      <c r="Q9" s="668" t="s">
        <v>64</v>
      </c>
      <c r="R9" s="668" t="s">
        <v>274</v>
      </c>
      <c r="S9" s="499"/>
      <c r="T9" s="677">
        <f>VLOOKUP(Q9,[69]Listas!$D$6:$E$10,2,0)</f>
        <v>3</v>
      </c>
      <c r="U9" s="677">
        <f>HLOOKUP(R9,[69]Listas!$F$4:$J$5,2,0)</f>
        <v>3</v>
      </c>
      <c r="V9" s="666" t="str">
        <f>INDEX([69]Listas!$F$6:$J$10,MATCH(Q9,[69]Listas!$D$6:$D$10,0),MATCH(R9,[69]Listas!$F$4:$J$4,0))</f>
        <v>9
MODERADO</v>
      </c>
      <c r="W9" s="499"/>
      <c r="X9" s="1281" t="s">
        <v>3858</v>
      </c>
      <c r="Y9" s="1282"/>
      <c r="Z9" s="1283"/>
      <c r="AA9" s="1070" t="s">
        <v>4013</v>
      </c>
      <c r="AB9" s="667" t="s">
        <v>3250</v>
      </c>
      <c r="AC9" s="672" t="s">
        <v>3859</v>
      </c>
      <c r="AD9" s="664">
        <v>56</v>
      </c>
      <c r="AE9" s="667" t="s">
        <v>152</v>
      </c>
      <c r="AF9" s="499"/>
      <c r="AG9" s="677">
        <f>IF(AD9&lt;=33,0,IF(AD9&gt;81,2,1))</f>
        <v>1</v>
      </c>
      <c r="AH9" s="298">
        <f>IF(OR(AE9="Probabilidad",AE9="Ambos"),T9-AG9,T9)</f>
        <v>2</v>
      </c>
      <c r="AI9" s="665" t="str">
        <f>IF(AH9&lt;=1,"Remota",VLOOKUP(AH9,[69]Listas!$C$6:$D$10,2,0))</f>
        <v>Baja</v>
      </c>
      <c r="AJ9" s="298">
        <f>IF(OR(AE9="Impacto",AE9="Ambos"),U9-AG9,U9)</f>
        <v>2</v>
      </c>
      <c r="AK9" s="665" t="str">
        <f>IF(AJ9&lt;=1,"Insignificante",HLOOKUP(AJ9,[69]Listas!$F$3:$J$4,2,0))</f>
        <v>Menor</v>
      </c>
      <c r="AL9" s="675">
        <f>AH9*AJ9</f>
        <v>4</v>
      </c>
      <c r="AM9" s="666" t="str">
        <f>INDEX([69]Listas!$F$6:$J$10,MATCH(AI9,[69]Listas!$D$6:$D$10,0),MATCH(AK9,[69]Listas!$F$4:$J$4,0))</f>
        <v>4
INFERIOR</v>
      </c>
      <c r="AN9" s="259" t="s">
        <v>3860</v>
      </c>
      <c r="AO9" s="655" t="s">
        <v>3861</v>
      </c>
      <c r="AP9" s="888">
        <v>0</v>
      </c>
      <c r="AQ9" s="259" t="s">
        <v>3862</v>
      </c>
      <c r="AR9" s="259" t="s">
        <v>3863</v>
      </c>
      <c r="AS9" s="655" t="s">
        <v>36</v>
      </c>
      <c r="AT9" s="518"/>
      <c r="AU9" s="259"/>
      <c r="AV9" s="261"/>
      <c r="AW9" s="261"/>
      <c r="AX9" s="655"/>
    </row>
    <row r="10" spans="1:51" s="906" customFormat="1" ht="152.25" hidden="1" customHeight="1">
      <c r="A10" s="889" t="s">
        <v>3854</v>
      </c>
      <c r="B10" s="890" t="s">
        <v>1970</v>
      </c>
      <c r="C10" s="1289" t="s">
        <v>3251</v>
      </c>
      <c r="D10" s="1290"/>
      <c r="E10" s="1291"/>
      <c r="F10" s="891" t="s">
        <v>168</v>
      </c>
      <c r="G10" s="1292" t="s">
        <v>2388</v>
      </c>
      <c r="H10" s="1293"/>
      <c r="I10" s="1294"/>
      <c r="J10" s="1295" t="s">
        <v>2389</v>
      </c>
      <c r="K10" s="1295"/>
      <c r="L10" s="1295"/>
      <c r="M10" s="892" t="s">
        <v>8</v>
      </c>
      <c r="N10" s="892">
        <v>2</v>
      </c>
      <c r="O10" s="892"/>
      <c r="P10" s="892"/>
      <c r="Q10" s="893" t="s">
        <v>64</v>
      </c>
      <c r="R10" s="893" t="s">
        <v>274</v>
      </c>
      <c r="S10" s="894"/>
      <c r="T10" s="895">
        <f>VLOOKUP(Q10,[69]Listas!$D$6:$E$10,2,0)</f>
        <v>3</v>
      </c>
      <c r="U10" s="895">
        <f>HLOOKUP(R10,[69]Listas!$F$4:$J$5,2,0)</f>
        <v>3</v>
      </c>
      <c r="V10" s="896" t="str">
        <f>INDEX([69]Listas!$F$6:$J$10,MATCH(Q10,[69]Listas!$D$6:$D$10,0),MATCH(R10,[69]Listas!$F$4:$J$4,0))</f>
        <v>9
MODERADO</v>
      </c>
      <c r="W10" s="894"/>
      <c r="X10" s="1292" t="s">
        <v>1091</v>
      </c>
      <c r="Y10" s="1293"/>
      <c r="Z10" s="1294"/>
      <c r="AA10" s="1071" t="s">
        <v>4013</v>
      </c>
      <c r="AB10" s="891" t="s">
        <v>168</v>
      </c>
      <c r="AC10" s="897" t="s">
        <v>3252</v>
      </c>
      <c r="AD10" s="892">
        <v>72</v>
      </c>
      <c r="AE10" s="891" t="s">
        <v>152</v>
      </c>
      <c r="AF10" s="894"/>
      <c r="AG10" s="895">
        <f t="shared" ref="AG10:AG16" si="0">IF(AD10&lt;=33,0,IF(AD10&gt;81,2,1))</f>
        <v>1</v>
      </c>
      <c r="AH10" s="898">
        <f>IF(OR(AE10="Probabilidad",AE10="Ambos"),T10-AG10,T10)</f>
        <v>2</v>
      </c>
      <c r="AI10" s="899" t="str">
        <f>IF(AH10&lt;=1,"Remota",VLOOKUP(AH10,[69]Listas!$C$6:$D$10,2,0))</f>
        <v>Baja</v>
      </c>
      <c r="AJ10" s="898">
        <f>IF(OR(AE10="Impacto",AE10="Ambos"),U10-AG10,U10)</f>
        <v>2</v>
      </c>
      <c r="AK10" s="899" t="str">
        <f>IF(AJ10&lt;=1,"Insignificante",HLOOKUP(AJ10,[69]Listas!$F$3:$J$4,2,0))</f>
        <v>Menor</v>
      </c>
      <c r="AL10" s="900">
        <f t="shared" ref="AL10:AL16" si="1">AH10*AJ10</f>
        <v>4</v>
      </c>
      <c r="AM10" s="896" t="str">
        <f>INDEX([69]Listas!$F$6:$J$10,MATCH(AI10,[69]Listas!$D$6:$D$10,0),MATCH(AK10,[69]Listas!$F$4:$J$4,0))</f>
        <v>4
INFERIOR</v>
      </c>
      <c r="AN10" s="901" t="s">
        <v>2390</v>
      </c>
      <c r="AO10" s="901" t="s">
        <v>3253</v>
      </c>
      <c r="AP10" s="902"/>
      <c r="AQ10" s="903"/>
      <c r="AR10" s="901" t="s">
        <v>3864</v>
      </c>
      <c r="AS10" s="904" t="s">
        <v>36</v>
      </c>
      <c r="AT10" s="901"/>
      <c r="AU10" s="901"/>
      <c r="AV10" s="905"/>
      <c r="AW10" s="905"/>
      <c r="AX10" s="904"/>
    </row>
    <row r="11" spans="1:51" s="260" customFormat="1" ht="152.25" customHeight="1">
      <c r="A11" s="664" t="s">
        <v>3854</v>
      </c>
      <c r="B11" s="678" t="s">
        <v>2391</v>
      </c>
      <c r="C11" s="1317" t="s">
        <v>3865</v>
      </c>
      <c r="D11" s="1318"/>
      <c r="E11" s="1319"/>
      <c r="F11" s="660" t="s">
        <v>168</v>
      </c>
      <c r="G11" s="1272" t="s">
        <v>3866</v>
      </c>
      <c r="H11" s="1273"/>
      <c r="I11" s="1274"/>
      <c r="J11" s="1320" t="s">
        <v>2392</v>
      </c>
      <c r="K11" s="1320"/>
      <c r="L11" s="1320"/>
      <c r="M11" s="656" t="s">
        <v>8</v>
      </c>
      <c r="N11" s="656">
        <v>2</v>
      </c>
      <c r="O11" s="656"/>
      <c r="P11" s="656"/>
      <c r="Q11" s="661" t="s">
        <v>64</v>
      </c>
      <c r="R11" s="661" t="s">
        <v>274</v>
      </c>
      <c r="S11" s="499"/>
      <c r="T11" s="677">
        <f>VLOOKUP(Q11,[69]Listas!$D$6:$E$10,2,0)</f>
        <v>3</v>
      </c>
      <c r="U11" s="677">
        <f>HLOOKUP(R11,[69]Listas!$F$4:$J$5,2,0)</f>
        <v>3</v>
      </c>
      <c r="V11" s="658" t="str">
        <f>INDEX([69]Listas!$F$6:$J$10,MATCH(Q11,[69]Listas!$D$6:$D$10,0),MATCH(R11,[69]Listas!$F$4:$J$4,0))</f>
        <v>9
MODERADO</v>
      </c>
      <c r="W11" s="499"/>
      <c r="X11" s="1272" t="s">
        <v>3867</v>
      </c>
      <c r="Y11" s="1273"/>
      <c r="Z11" s="1274"/>
      <c r="AA11" s="1071" t="s">
        <v>4013</v>
      </c>
      <c r="AB11" s="660" t="s">
        <v>168</v>
      </c>
      <c r="AC11" s="674" t="s">
        <v>2393</v>
      </c>
      <c r="AD11" s="656">
        <v>72</v>
      </c>
      <c r="AE11" s="660" t="s">
        <v>152</v>
      </c>
      <c r="AF11" s="499"/>
      <c r="AG11" s="677">
        <f t="shared" si="0"/>
        <v>1</v>
      </c>
      <c r="AH11" s="298">
        <f>IF(OR(AE11="Probabilidad",AE11="Ambos"),T11-AG11,T11)</f>
        <v>2</v>
      </c>
      <c r="AI11" s="657" t="str">
        <f>IF(AH11&lt;=1,"Remota",VLOOKUP(AH11,[69]Listas!$C$6:$D$10,2,0))</f>
        <v>Baja</v>
      </c>
      <c r="AJ11" s="298">
        <f>IF(OR(AE11="Impacto",AE11="Ambos"),U11-AG11,U11)</f>
        <v>2</v>
      </c>
      <c r="AK11" s="657" t="str">
        <f>IF(AJ11&lt;=1,"Insignificante",HLOOKUP(AJ11,[69]Listas!$F$3:$J$4,2,0))</f>
        <v>Menor</v>
      </c>
      <c r="AL11" s="675">
        <f t="shared" si="1"/>
        <v>4</v>
      </c>
      <c r="AM11" s="658" t="str">
        <f>INDEX([69]Listas!$F$6:$J$10,MATCH(AI11,[69]Listas!$D$6:$D$10,0),MATCH(AK11,[69]Listas!$F$4:$J$4,0))</f>
        <v>4
INFERIOR</v>
      </c>
      <c r="AN11" s="259" t="s">
        <v>3868</v>
      </c>
      <c r="AO11" s="259" t="s">
        <v>2394</v>
      </c>
      <c r="AP11" s="659" t="s">
        <v>3254</v>
      </c>
      <c r="AQ11" s="259" t="s">
        <v>3255</v>
      </c>
      <c r="AR11" s="259" t="s">
        <v>3869</v>
      </c>
      <c r="AS11" s="655" t="s">
        <v>36</v>
      </c>
      <c r="AT11" s="259"/>
      <c r="AU11" s="259"/>
      <c r="AV11" s="261"/>
      <c r="AW11" s="261"/>
      <c r="AX11" s="655"/>
    </row>
    <row r="12" spans="1:51" s="260" customFormat="1" ht="138" customHeight="1">
      <c r="A12" s="656" t="s">
        <v>3870</v>
      </c>
      <c r="B12" s="678" t="s">
        <v>2395</v>
      </c>
      <c r="C12" s="1317" t="s">
        <v>3871</v>
      </c>
      <c r="D12" s="1318"/>
      <c r="E12" s="1319"/>
      <c r="F12" s="660" t="s">
        <v>168</v>
      </c>
      <c r="G12" s="1281" t="s">
        <v>3872</v>
      </c>
      <c r="H12" s="1282"/>
      <c r="I12" s="1283"/>
      <c r="J12" s="1320" t="s">
        <v>2392</v>
      </c>
      <c r="K12" s="1320"/>
      <c r="L12" s="1320"/>
      <c r="M12" s="656" t="s">
        <v>8</v>
      </c>
      <c r="N12" s="656">
        <v>2</v>
      </c>
      <c r="O12" s="656"/>
      <c r="P12" s="656"/>
      <c r="Q12" s="661" t="s">
        <v>64</v>
      </c>
      <c r="R12" s="661" t="s">
        <v>274</v>
      </c>
      <c r="S12" s="499"/>
      <c r="T12" s="677">
        <f>VLOOKUP(Q12,[69]Listas!$D$6:$E$10,2,0)</f>
        <v>3</v>
      </c>
      <c r="U12" s="677">
        <f>HLOOKUP(R12,[69]Listas!$F$4:$J$5,2,0)</f>
        <v>3</v>
      </c>
      <c r="V12" s="658" t="str">
        <f>INDEX([69]Listas!$F$6:$J$10,MATCH(Q12,[69]Listas!$D$6:$D$10,0),MATCH(R12,[69]Listas!$F$4:$J$4,0))</f>
        <v>9
MODERADO</v>
      </c>
      <c r="W12" s="499"/>
      <c r="X12" s="1272" t="s">
        <v>2396</v>
      </c>
      <c r="Y12" s="1273"/>
      <c r="Z12" s="1274"/>
      <c r="AA12" s="1071" t="s">
        <v>4013</v>
      </c>
      <c r="AB12" s="660" t="s">
        <v>168</v>
      </c>
      <c r="AC12" s="674" t="s">
        <v>3873</v>
      </c>
      <c r="AD12" s="656">
        <v>72</v>
      </c>
      <c r="AE12" s="660" t="s">
        <v>152</v>
      </c>
      <c r="AF12" s="499"/>
      <c r="AG12" s="677">
        <f t="shared" si="0"/>
        <v>1</v>
      </c>
      <c r="AH12" s="298">
        <f>IF(OR(AE12="Probabilidad",AE12="Ambos"),T12-AG12,T12)</f>
        <v>2</v>
      </c>
      <c r="AI12" s="657" t="str">
        <f>IF(AH12&lt;=1,"Remota",VLOOKUP(AH12,[69]Listas!$C$6:$D$10,2,0))</f>
        <v>Baja</v>
      </c>
      <c r="AJ12" s="298">
        <f>IF(OR(AE12="Impacto",AE12="Ambos"),U12-AG12,U12)</f>
        <v>2</v>
      </c>
      <c r="AK12" s="657" t="str">
        <f>IF(AJ12&lt;=1,"Insignificante",HLOOKUP(AJ12,[69]Listas!$F$3:$J$4,2,0))</f>
        <v>Menor</v>
      </c>
      <c r="AL12" s="675">
        <f t="shared" si="1"/>
        <v>4</v>
      </c>
      <c r="AM12" s="658" t="str">
        <f>INDEX([69]Listas!$F$6:$J$10,MATCH(AI12,[69]Listas!$D$6:$D$10,0),MATCH(AK12,[69]Listas!$F$4:$J$4,0))</f>
        <v>4
INFERIOR</v>
      </c>
      <c r="AN12" s="259" t="s">
        <v>3874</v>
      </c>
      <c r="AO12" s="259" t="s">
        <v>2387</v>
      </c>
      <c r="AP12" s="659" t="s">
        <v>3254</v>
      </c>
      <c r="AQ12" s="259" t="s">
        <v>3256</v>
      </c>
      <c r="AR12" s="259" t="s">
        <v>3875</v>
      </c>
      <c r="AS12" s="655" t="s">
        <v>36</v>
      </c>
      <c r="AT12" s="259"/>
      <c r="AU12" s="259"/>
      <c r="AV12" s="261"/>
      <c r="AW12" s="261"/>
      <c r="AX12" s="655"/>
    </row>
    <row r="13" spans="1:51" s="260" customFormat="1" ht="58.5" customHeight="1">
      <c r="A13" s="1296" t="s">
        <v>3854</v>
      </c>
      <c r="B13" s="1298" t="s">
        <v>2397</v>
      </c>
      <c r="C13" s="1300" t="s">
        <v>3876</v>
      </c>
      <c r="D13" s="1301"/>
      <c r="E13" s="1302"/>
      <c r="F13" s="1306" t="s">
        <v>168</v>
      </c>
      <c r="G13" s="1308" t="s">
        <v>3877</v>
      </c>
      <c r="H13" s="1309"/>
      <c r="I13" s="1310"/>
      <c r="J13" s="1309" t="s">
        <v>3878</v>
      </c>
      <c r="K13" s="1309"/>
      <c r="L13" s="1310"/>
      <c r="M13" s="1323" t="s">
        <v>684</v>
      </c>
      <c r="N13" s="1323" t="s">
        <v>1128</v>
      </c>
      <c r="O13" s="1296"/>
      <c r="P13" s="1323" t="s">
        <v>684</v>
      </c>
      <c r="Q13" s="1175" t="s">
        <v>64</v>
      </c>
      <c r="R13" s="1175" t="s">
        <v>274</v>
      </c>
      <c r="S13" s="499"/>
      <c r="T13" s="677">
        <f>VLOOKUP(Q13,[68]Listas!$D$6:$E$10,2,0)</f>
        <v>3</v>
      </c>
      <c r="U13" s="677">
        <f>HLOOKUP(R13,[68]Listas!$F$4:$J$5,2,0)</f>
        <v>3</v>
      </c>
      <c r="V13" s="1177" t="str">
        <f>INDEX([68]Listas!$F$6:$J$10,MATCH(Q13,[68]Listas!$D$6:$D$10,0),MATCH(R13,[68]Listas!$F$4:$J$4,0))</f>
        <v>9
MODERADO</v>
      </c>
      <c r="W13" s="499"/>
      <c r="X13" s="1345" t="s">
        <v>3879</v>
      </c>
      <c r="Y13" s="1346"/>
      <c r="Z13" s="1347"/>
      <c r="AA13" s="1296" t="s">
        <v>4013</v>
      </c>
      <c r="AB13" s="1356" t="s">
        <v>168</v>
      </c>
      <c r="AC13" s="1296" t="s">
        <v>3257</v>
      </c>
      <c r="AD13" s="1320">
        <v>64</v>
      </c>
      <c r="AE13" s="1321" t="s">
        <v>152</v>
      </c>
      <c r="AF13" s="499"/>
      <c r="AG13" s="677">
        <f t="shared" si="0"/>
        <v>1</v>
      </c>
      <c r="AH13" s="298">
        <f t="shared" ref="AH13:AH16" si="2">IF(OR(AE13="Probabilidad",AE13="Ambos"),T13-AG13,T13)</f>
        <v>2</v>
      </c>
      <c r="AI13" s="1351" t="str">
        <f>IF(AH13&lt;=1,"Remota",VLOOKUP(AH13,[68]Listas!$C$6:$D$10,2,0))</f>
        <v>Baja</v>
      </c>
      <c r="AJ13" s="298">
        <f t="shared" ref="AJ13:AJ16" si="3">IF(OR(AE13="Impacto",AE13="Ambos"),U13-AG13,U13)</f>
        <v>2</v>
      </c>
      <c r="AK13" s="1351" t="str">
        <f>IF(AJ13&lt;=1,"Insignificante",HLOOKUP(AJ13,[68]Listas!$F$3:$J$4,2,0))</f>
        <v>Menor</v>
      </c>
      <c r="AL13" s="675">
        <f t="shared" si="1"/>
        <v>4</v>
      </c>
      <c r="AM13" s="1177" t="str">
        <f>INDEX([68]Listas!$F$6:$J$10,MATCH(AI13,[68]Listas!$D$6:$D$10,0),MATCH(AK13,[68]Listas!$F$4:$J$4,0))</f>
        <v>4
INFERIOR</v>
      </c>
      <c r="AN13" s="1325" t="s">
        <v>2398</v>
      </c>
      <c r="AO13" s="1325" t="s">
        <v>2399</v>
      </c>
      <c r="AP13" s="1353" t="s">
        <v>3258</v>
      </c>
      <c r="AQ13" s="1325" t="s">
        <v>3880</v>
      </c>
      <c r="AR13" s="1329" t="s">
        <v>3881</v>
      </c>
      <c r="AS13" s="1325" t="s">
        <v>36</v>
      </c>
      <c r="AT13" s="259"/>
      <c r="AU13" s="259"/>
      <c r="AV13" s="261"/>
      <c r="AW13" s="261"/>
      <c r="AX13" s="655"/>
    </row>
    <row r="14" spans="1:51" s="260" customFormat="1" ht="84" customHeight="1">
      <c r="A14" s="1297"/>
      <c r="B14" s="1299"/>
      <c r="C14" s="1303"/>
      <c r="D14" s="1304"/>
      <c r="E14" s="1305"/>
      <c r="F14" s="1307"/>
      <c r="G14" s="1311"/>
      <c r="H14" s="1312"/>
      <c r="I14" s="1313"/>
      <c r="J14" s="1312"/>
      <c r="K14" s="1312"/>
      <c r="L14" s="1313"/>
      <c r="M14" s="1324"/>
      <c r="N14" s="1324"/>
      <c r="O14" s="1297"/>
      <c r="P14" s="1324"/>
      <c r="Q14" s="1176"/>
      <c r="R14" s="1176"/>
      <c r="S14" s="499"/>
      <c r="T14" s="677" t="e">
        <f>VLOOKUP(Q14,[68]Listas!$D$6:$E$10,2,0)</f>
        <v>#N/A</v>
      </c>
      <c r="U14" s="677" t="e">
        <f>HLOOKUP(R14,[68]Listas!$F$4:$J$5,2,0)</f>
        <v>#N/A</v>
      </c>
      <c r="V14" s="1178"/>
      <c r="W14" s="499"/>
      <c r="X14" s="1348"/>
      <c r="Y14" s="1349"/>
      <c r="Z14" s="1350"/>
      <c r="AA14" s="1297"/>
      <c r="AB14" s="1356"/>
      <c r="AC14" s="1297"/>
      <c r="AD14" s="1320"/>
      <c r="AE14" s="1322"/>
      <c r="AF14" s="499"/>
      <c r="AG14" s="677">
        <f t="shared" si="0"/>
        <v>0</v>
      </c>
      <c r="AH14" s="298" t="e">
        <f t="shared" si="2"/>
        <v>#N/A</v>
      </c>
      <c r="AI14" s="1352"/>
      <c r="AJ14" s="298" t="e">
        <f t="shared" si="3"/>
        <v>#N/A</v>
      </c>
      <c r="AK14" s="1352"/>
      <c r="AL14" s="675" t="e">
        <f t="shared" si="1"/>
        <v>#N/A</v>
      </c>
      <c r="AM14" s="1178"/>
      <c r="AN14" s="1326"/>
      <c r="AO14" s="1326"/>
      <c r="AP14" s="1354"/>
      <c r="AQ14" s="1326"/>
      <c r="AR14" s="1330"/>
      <c r="AS14" s="1326"/>
      <c r="AT14" s="259"/>
      <c r="AU14" s="259"/>
      <c r="AV14" s="261"/>
      <c r="AW14" s="261"/>
      <c r="AX14" s="655"/>
    </row>
    <row r="15" spans="1:51" s="260" customFormat="1" ht="44.25" customHeight="1">
      <c r="A15" s="1297"/>
      <c r="B15" s="1299"/>
      <c r="C15" s="1303"/>
      <c r="D15" s="1304"/>
      <c r="E15" s="1305"/>
      <c r="F15" s="1307"/>
      <c r="G15" s="1311"/>
      <c r="H15" s="1312"/>
      <c r="I15" s="1313"/>
      <c r="J15" s="1312"/>
      <c r="K15" s="1312"/>
      <c r="L15" s="1313"/>
      <c r="M15" s="1324"/>
      <c r="N15" s="1324"/>
      <c r="O15" s="1297"/>
      <c r="P15" s="1324"/>
      <c r="Q15" s="1176"/>
      <c r="R15" s="1176"/>
      <c r="S15" s="499"/>
      <c r="T15" s="677" t="e">
        <f>VLOOKUP(Q15,[68]Listas!$D$6:$E$10,2,0)</f>
        <v>#N/A</v>
      </c>
      <c r="U15" s="677" t="e">
        <f>HLOOKUP(R15,[68]Listas!$F$4:$J$5,2,0)</f>
        <v>#N/A</v>
      </c>
      <c r="V15" s="1178"/>
      <c r="W15" s="499"/>
      <c r="X15" s="1348"/>
      <c r="Y15" s="1349"/>
      <c r="Z15" s="1350"/>
      <c r="AA15" s="1297"/>
      <c r="AB15" s="1356"/>
      <c r="AC15" s="1297"/>
      <c r="AD15" s="1320"/>
      <c r="AE15" s="1322"/>
      <c r="AF15" s="499"/>
      <c r="AG15" s="677">
        <f t="shared" si="0"/>
        <v>0</v>
      </c>
      <c r="AH15" s="298" t="e">
        <f t="shared" si="2"/>
        <v>#N/A</v>
      </c>
      <c r="AI15" s="1352"/>
      <c r="AJ15" s="298" t="e">
        <f t="shared" si="3"/>
        <v>#N/A</v>
      </c>
      <c r="AK15" s="1352"/>
      <c r="AL15" s="675" t="e">
        <f t="shared" si="1"/>
        <v>#N/A</v>
      </c>
      <c r="AM15" s="1178"/>
      <c r="AN15" s="1326"/>
      <c r="AO15" s="1326"/>
      <c r="AP15" s="1354"/>
      <c r="AQ15" s="1326"/>
      <c r="AR15" s="1330"/>
      <c r="AS15" s="1326"/>
      <c r="AT15" s="259"/>
      <c r="AU15" s="259"/>
      <c r="AV15" s="261"/>
      <c r="AW15" s="261"/>
      <c r="AX15" s="655"/>
    </row>
    <row r="16" spans="1:51" s="260" customFormat="1">
      <c r="A16" s="1297"/>
      <c r="B16" s="1299"/>
      <c r="C16" s="1303"/>
      <c r="D16" s="1304"/>
      <c r="E16" s="1305"/>
      <c r="F16" s="1307"/>
      <c r="G16" s="1314"/>
      <c r="H16" s="1315"/>
      <c r="I16" s="1316"/>
      <c r="J16" s="1312"/>
      <c r="K16" s="1312"/>
      <c r="L16" s="1313"/>
      <c r="M16" s="1324"/>
      <c r="N16" s="1324"/>
      <c r="O16" s="1297"/>
      <c r="P16" s="1324"/>
      <c r="Q16" s="1176"/>
      <c r="R16" s="1176"/>
      <c r="S16" s="499"/>
      <c r="T16" s="500" t="e">
        <f>VLOOKUP(Q16,[68]Listas!$D$6:$E$10,2,0)</f>
        <v>#N/A</v>
      </c>
      <c r="U16" s="500" t="e">
        <f>HLOOKUP(R16,[68]Listas!$F$4:$J$5,2,0)</f>
        <v>#N/A</v>
      </c>
      <c r="V16" s="1178"/>
      <c r="W16" s="499"/>
      <c r="X16" s="1348"/>
      <c r="Y16" s="1349"/>
      <c r="Z16" s="1350"/>
      <c r="AA16" s="1328"/>
      <c r="AB16" s="1356"/>
      <c r="AC16" s="1328"/>
      <c r="AD16" s="1320"/>
      <c r="AE16" s="1322"/>
      <c r="AF16" s="499"/>
      <c r="AG16" s="500">
        <f t="shared" si="0"/>
        <v>0</v>
      </c>
      <c r="AH16" s="298" t="e">
        <f t="shared" si="2"/>
        <v>#N/A</v>
      </c>
      <c r="AI16" s="1352"/>
      <c r="AJ16" s="298" t="e">
        <f t="shared" si="3"/>
        <v>#N/A</v>
      </c>
      <c r="AK16" s="1352"/>
      <c r="AL16" s="496" t="e">
        <f t="shared" si="1"/>
        <v>#N/A</v>
      </c>
      <c r="AM16" s="1178"/>
      <c r="AN16" s="1326"/>
      <c r="AO16" s="1326"/>
      <c r="AP16" s="1355"/>
      <c r="AQ16" s="1327"/>
      <c r="AR16" s="1331"/>
      <c r="AS16" s="1327"/>
      <c r="AT16" s="519"/>
      <c r="AU16" s="519"/>
      <c r="AV16" s="662"/>
      <c r="AW16" s="662"/>
      <c r="AX16" s="663"/>
    </row>
    <row r="17" spans="1:51" s="932" customFormat="1" ht="3" customHeight="1">
      <c r="A17" s="907"/>
      <c r="B17" s="908"/>
      <c r="C17" s="909"/>
      <c r="D17" s="910"/>
      <c r="E17" s="911"/>
      <c r="F17" s="912"/>
      <c r="G17" s="913"/>
      <c r="H17" s="914"/>
      <c r="I17" s="915"/>
      <c r="J17" s="914"/>
      <c r="K17" s="914"/>
      <c r="L17" s="915"/>
      <c r="M17" s="916"/>
      <c r="N17" s="916"/>
      <c r="O17" s="907"/>
      <c r="P17" s="916"/>
      <c r="Q17" s="917"/>
      <c r="R17" s="917"/>
      <c r="S17" s="918"/>
      <c r="T17" s="919"/>
      <c r="U17" s="919"/>
      <c r="V17" s="920"/>
      <c r="W17" s="918"/>
      <c r="X17" s="921"/>
      <c r="Y17" s="922"/>
      <c r="Z17" s="923"/>
      <c r="AA17" s="923"/>
      <c r="AB17" s="924"/>
      <c r="AC17" s="907"/>
      <c r="AD17" s="907"/>
      <c r="AE17" s="924"/>
      <c r="AF17" s="918"/>
      <c r="AG17" s="919"/>
      <c r="AH17" s="925"/>
      <c r="AI17" s="926"/>
      <c r="AJ17" s="925"/>
      <c r="AK17" s="926"/>
      <c r="AL17" s="927"/>
      <c r="AM17" s="920"/>
      <c r="AN17" s="928"/>
      <c r="AO17" s="928"/>
      <c r="AP17" s="929"/>
      <c r="AQ17" s="930"/>
      <c r="AR17" s="930"/>
      <c r="AS17" s="928"/>
      <c r="AT17" s="930"/>
      <c r="AU17" s="930"/>
      <c r="AV17" s="931"/>
      <c r="AW17" s="931"/>
      <c r="AX17" s="928"/>
    </row>
    <row r="18" spans="1:51" s="260" customFormat="1" ht="31.5" customHeight="1">
      <c r="A18" s="1332" t="s">
        <v>1092</v>
      </c>
      <c r="B18" s="1334" t="s">
        <v>1971</v>
      </c>
      <c r="C18" s="1336" t="s">
        <v>729</v>
      </c>
      <c r="D18" s="1337"/>
      <c r="E18" s="1338"/>
      <c r="F18" s="1321" t="s">
        <v>168</v>
      </c>
      <c r="G18" s="1342" t="s">
        <v>994</v>
      </c>
      <c r="H18" s="1343"/>
      <c r="I18" s="1344"/>
      <c r="J18" s="1345" t="s">
        <v>993</v>
      </c>
      <c r="K18" s="1346"/>
      <c r="L18" s="1347"/>
      <c r="M18" s="1296"/>
      <c r="N18" s="1296"/>
      <c r="O18" s="1296" t="s">
        <v>8</v>
      </c>
      <c r="P18" s="1296"/>
      <c r="Q18" s="1175" t="s">
        <v>655</v>
      </c>
      <c r="R18" s="1175" t="s">
        <v>643</v>
      </c>
      <c r="S18" s="499"/>
      <c r="T18" s="677"/>
      <c r="U18" s="677"/>
      <c r="V18" s="1177" t="s">
        <v>1093</v>
      </c>
      <c r="W18" s="499"/>
      <c r="X18" s="1360" t="s">
        <v>2400</v>
      </c>
      <c r="Y18" s="1361"/>
      <c r="Z18" s="1362"/>
      <c r="AA18" s="1332" t="s">
        <v>4172</v>
      </c>
      <c r="AB18" s="1321" t="s">
        <v>28</v>
      </c>
      <c r="AC18" s="1297" t="s">
        <v>3882</v>
      </c>
      <c r="AD18" s="1296">
        <v>33</v>
      </c>
      <c r="AE18" s="1321" t="s">
        <v>152</v>
      </c>
      <c r="AF18" s="499"/>
      <c r="AG18" s="677"/>
      <c r="AH18" s="298"/>
      <c r="AI18" s="1351" t="s">
        <v>1094</v>
      </c>
      <c r="AJ18" s="298"/>
      <c r="AK18" s="1351" t="s">
        <v>1095</v>
      </c>
      <c r="AL18" s="675"/>
      <c r="AM18" s="1177" t="s">
        <v>1093</v>
      </c>
      <c r="AN18" s="1378" t="s">
        <v>2401</v>
      </c>
      <c r="AO18" s="1378" t="s">
        <v>2402</v>
      </c>
      <c r="AP18" s="1357" t="s">
        <v>3260</v>
      </c>
      <c r="AQ18" s="1325" t="s">
        <v>3840</v>
      </c>
      <c r="AR18" s="1329" t="s">
        <v>3261</v>
      </c>
      <c r="AS18" s="1325" t="s">
        <v>36</v>
      </c>
      <c r="AT18" s="1325"/>
      <c r="AU18" s="1325"/>
      <c r="AV18" s="1375"/>
      <c r="AW18" s="1375"/>
      <c r="AX18" s="1325"/>
    </row>
    <row r="19" spans="1:51" s="260" customFormat="1" ht="23.25" customHeight="1">
      <c r="A19" s="1333"/>
      <c r="B19" s="1335"/>
      <c r="C19" s="1339"/>
      <c r="D19" s="1340"/>
      <c r="E19" s="1341"/>
      <c r="F19" s="1322"/>
      <c r="G19" s="1342" t="s">
        <v>992</v>
      </c>
      <c r="H19" s="1343"/>
      <c r="I19" s="1344"/>
      <c r="J19" s="1348"/>
      <c r="K19" s="1349"/>
      <c r="L19" s="1350"/>
      <c r="M19" s="1297"/>
      <c r="N19" s="1297"/>
      <c r="O19" s="1297"/>
      <c r="P19" s="1297"/>
      <c r="Q19" s="1176"/>
      <c r="R19" s="1176"/>
      <c r="S19" s="499"/>
      <c r="T19" s="677" t="e">
        <f>VLOOKUP(Q19,[69]Listas!$D$6:$E$10,2,0)</f>
        <v>#N/A</v>
      </c>
      <c r="U19" s="677" t="e">
        <f>HLOOKUP(R19,[69]Listas!$F$4:$J$5,2,0)</f>
        <v>#N/A</v>
      </c>
      <c r="V19" s="1178"/>
      <c r="W19" s="499"/>
      <c r="X19" s="1363"/>
      <c r="Y19" s="1364"/>
      <c r="Z19" s="1365"/>
      <c r="AA19" s="1333"/>
      <c r="AB19" s="1322"/>
      <c r="AC19" s="1297"/>
      <c r="AD19" s="1297"/>
      <c r="AE19" s="1322"/>
      <c r="AF19" s="499"/>
      <c r="AG19" s="677">
        <f t="shared" ref="AG19:AG21" si="4">IF(AD19&lt;=33,0,IF(AD19&gt;81,2,1))</f>
        <v>0</v>
      </c>
      <c r="AH19" s="298" t="e">
        <f>IF(OR(AE19="Probabilidad",AE19="Ambos"),T19-AG19,T19)</f>
        <v>#N/A</v>
      </c>
      <c r="AI19" s="1352"/>
      <c r="AJ19" s="298" t="e">
        <f>IF(OR(AE19="Impacto",AE19="Ambos"),U19-AG19,U19)</f>
        <v>#N/A</v>
      </c>
      <c r="AK19" s="1352"/>
      <c r="AL19" s="675" t="e">
        <f t="shared" ref="AL19:AL21" si="5">AH19*AJ19</f>
        <v>#N/A</v>
      </c>
      <c r="AM19" s="1178"/>
      <c r="AN19" s="1378"/>
      <c r="AO19" s="1378"/>
      <c r="AP19" s="1358"/>
      <c r="AQ19" s="1326"/>
      <c r="AR19" s="1330"/>
      <c r="AS19" s="1326"/>
      <c r="AT19" s="1326"/>
      <c r="AU19" s="1326"/>
      <c r="AV19" s="1376"/>
      <c r="AW19" s="1376"/>
      <c r="AX19" s="1326"/>
    </row>
    <row r="20" spans="1:51" s="260" customFormat="1" ht="44.25" customHeight="1">
      <c r="A20" s="1333"/>
      <c r="B20" s="1335"/>
      <c r="C20" s="1339"/>
      <c r="D20" s="1340"/>
      <c r="E20" s="1341"/>
      <c r="F20" s="1322"/>
      <c r="G20" s="1342" t="s">
        <v>1096</v>
      </c>
      <c r="H20" s="1343"/>
      <c r="I20" s="1344"/>
      <c r="J20" s="1348"/>
      <c r="K20" s="1349"/>
      <c r="L20" s="1350"/>
      <c r="M20" s="1297"/>
      <c r="N20" s="1297"/>
      <c r="O20" s="1297"/>
      <c r="P20" s="1297"/>
      <c r="Q20" s="1176"/>
      <c r="R20" s="1176"/>
      <c r="S20" s="499"/>
      <c r="T20" s="677" t="e">
        <f>VLOOKUP(Q20,[69]Listas!$D$6:$E$10,2,0)</f>
        <v>#N/A</v>
      </c>
      <c r="U20" s="677" t="e">
        <f>HLOOKUP(R20,[69]Listas!$F$4:$J$5,2,0)</f>
        <v>#N/A</v>
      </c>
      <c r="V20" s="1178"/>
      <c r="W20" s="499"/>
      <c r="X20" s="1369" t="s">
        <v>1097</v>
      </c>
      <c r="Y20" s="1370"/>
      <c r="Z20" s="1371"/>
      <c r="AA20" s="1333"/>
      <c r="AB20" s="1322"/>
      <c r="AC20" s="1297"/>
      <c r="AD20" s="1297"/>
      <c r="AE20" s="1322"/>
      <c r="AF20" s="499"/>
      <c r="AG20" s="677">
        <f t="shared" si="4"/>
        <v>0</v>
      </c>
      <c r="AH20" s="298" t="e">
        <f>IF(OR(AE20="Probabilidad",AE20="Ambos"),T20-AG20,T20)</f>
        <v>#N/A</v>
      </c>
      <c r="AI20" s="1352"/>
      <c r="AJ20" s="298" t="e">
        <f>IF(OR(AE20="Impacto",AE20="Ambos"),U20-AG20,U20)</f>
        <v>#N/A</v>
      </c>
      <c r="AK20" s="1352"/>
      <c r="AL20" s="675" t="e">
        <f t="shared" si="5"/>
        <v>#N/A</v>
      </c>
      <c r="AM20" s="1178"/>
      <c r="AN20" s="1378"/>
      <c r="AO20" s="1378"/>
      <c r="AP20" s="1358"/>
      <c r="AQ20" s="1326"/>
      <c r="AR20" s="1330"/>
      <c r="AS20" s="1326"/>
      <c r="AT20" s="1326"/>
      <c r="AU20" s="1326"/>
      <c r="AV20" s="1376"/>
      <c r="AW20" s="1376"/>
      <c r="AX20" s="1326"/>
    </row>
    <row r="21" spans="1:51" s="260" customFormat="1" ht="41.25" customHeight="1">
      <c r="A21" s="1333"/>
      <c r="B21" s="1335"/>
      <c r="C21" s="1339"/>
      <c r="D21" s="1340"/>
      <c r="E21" s="1341"/>
      <c r="F21" s="1322"/>
      <c r="G21" s="1342" t="s">
        <v>1098</v>
      </c>
      <c r="H21" s="1343"/>
      <c r="I21" s="1344"/>
      <c r="J21" s="1348"/>
      <c r="K21" s="1349"/>
      <c r="L21" s="1350"/>
      <c r="M21" s="1297"/>
      <c r="N21" s="1297"/>
      <c r="O21" s="1297"/>
      <c r="P21" s="1297"/>
      <c r="Q21" s="1176"/>
      <c r="R21" s="1176"/>
      <c r="S21" s="499"/>
      <c r="T21" s="677" t="e">
        <f>VLOOKUP(Q21,[69]Listas!$D$6:$E$10,2,0)</f>
        <v>#N/A</v>
      </c>
      <c r="U21" s="677" t="e">
        <f>HLOOKUP(R21,[69]Listas!$F$4:$J$5,2,0)</f>
        <v>#N/A</v>
      </c>
      <c r="V21" s="1178"/>
      <c r="W21" s="499"/>
      <c r="X21" s="1369" t="s">
        <v>1099</v>
      </c>
      <c r="Y21" s="1370"/>
      <c r="Z21" s="1371"/>
      <c r="AA21" s="1333"/>
      <c r="AB21" s="1322"/>
      <c r="AC21" s="1297"/>
      <c r="AD21" s="1297"/>
      <c r="AE21" s="1322"/>
      <c r="AF21" s="499"/>
      <c r="AG21" s="677">
        <f t="shared" si="4"/>
        <v>0</v>
      </c>
      <c r="AH21" s="298" t="e">
        <f>IF(OR(AE21="Probabilidad",AE21="Ambos"),T21-AG21,T21)</f>
        <v>#N/A</v>
      </c>
      <c r="AI21" s="1352"/>
      <c r="AJ21" s="298" t="e">
        <f>IF(OR(AE21="Impacto",AE21="Ambos"),U21-AG21,U21)</f>
        <v>#N/A</v>
      </c>
      <c r="AK21" s="1352"/>
      <c r="AL21" s="675" t="e">
        <f t="shared" si="5"/>
        <v>#N/A</v>
      </c>
      <c r="AM21" s="1178"/>
      <c r="AN21" s="1378"/>
      <c r="AO21" s="1378"/>
      <c r="AP21" s="1358"/>
      <c r="AQ21" s="1326"/>
      <c r="AR21" s="1330"/>
      <c r="AS21" s="1326"/>
      <c r="AT21" s="1326"/>
      <c r="AU21" s="1326"/>
      <c r="AV21" s="1376"/>
      <c r="AW21" s="1376"/>
      <c r="AX21" s="1326"/>
    </row>
    <row r="22" spans="1:51" s="260" customFormat="1" ht="43.5" customHeight="1">
      <c r="A22" s="1333"/>
      <c r="B22" s="1335"/>
      <c r="C22" s="1339"/>
      <c r="D22" s="1340"/>
      <c r="E22" s="1341"/>
      <c r="F22" s="1322"/>
      <c r="G22" s="1342" t="s">
        <v>991</v>
      </c>
      <c r="H22" s="1343"/>
      <c r="I22" s="1344"/>
      <c r="J22" s="1348"/>
      <c r="K22" s="1349"/>
      <c r="L22" s="1350"/>
      <c r="M22" s="1297"/>
      <c r="N22" s="1297"/>
      <c r="O22" s="1297"/>
      <c r="P22" s="1297"/>
      <c r="Q22" s="1176"/>
      <c r="R22" s="1176"/>
      <c r="S22" s="499"/>
      <c r="T22" s="677"/>
      <c r="U22" s="677"/>
      <c r="V22" s="1178"/>
      <c r="W22" s="499"/>
      <c r="X22" s="1372" t="s">
        <v>1101</v>
      </c>
      <c r="Y22" s="1373"/>
      <c r="Z22" s="1374"/>
      <c r="AA22" s="1402"/>
      <c r="AB22" s="1322"/>
      <c r="AC22" s="1297"/>
      <c r="AD22" s="1297"/>
      <c r="AE22" s="1322"/>
      <c r="AF22" s="499"/>
      <c r="AG22" s="677"/>
      <c r="AH22" s="298"/>
      <c r="AI22" s="1352"/>
      <c r="AJ22" s="298"/>
      <c r="AK22" s="1352"/>
      <c r="AL22" s="675"/>
      <c r="AM22" s="1178"/>
      <c r="AN22" s="1378"/>
      <c r="AO22" s="1378"/>
      <c r="AP22" s="1359"/>
      <c r="AQ22" s="1327"/>
      <c r="AR22" s="1331"/>
      <c r="AS22" s="1327"/>
      <c r="AT22" s="1327"/>
      <c r="AU22" s="1327"/>
      <c r="AV22" s="1377"/>
      <c r="AW22" s="1377"/>
      <c r="AX22" s="1327"/>
    </row>
    <row r="23" spans="1:51" s="260" customFormat="1" ht="27" customHeight="1">
      <c r="A23" s="1320" t="s">
        <v>1092</v>
      </c>
      <c r="B23" s="1366" t="s">
        <v>1972</v>
      </c>
      <c r="C23" s="1367" t="s">
        <v>988</v>
      </c>
      <c r="D23" s="1367"/>
      <c r="E23" s="1367"/>
      <c r="F23" s="1356" t="s">
        <v>168</v>
      </c>
      <c r="G23" s="1320" t="s">
        <v>987</v>
      </c>
      <c r="H23" s="1320"/>
      <c r="I23" s="1320"/>
      <c r="J23" s="1345" t="s">
        <v>986</v>
      </c>
      <c r="K23" s="1346"/>
      <c r="L23" s="1347"/>
      <c r="M23" s="1296"/>
      <c r="N23" s="1296"/>
      <c r="O23" s="1296" t="s">
        <v>8</v>
      </c>
      <c r="P23" s="1175"/>
      <c r="Q23" s="1175" t="s">
        <v>654</v>
      </c>
      <c r="R23" s="1175" t="s">
        <v>643</v>
      </c>
      <c r="S23" s="299"/>
      <c r="T23" s="501"/>
      <c r="U23" s="501"/>
      <c r="V23" s="1177" t="s">
        <v>1102</v>
      </c>
      <c r="W23" s="499"/>
      <c r="X23" s="1272" t="s">
        <v>1103</v>
      </c>
      <c r="Y23" s="1273"/>
      <c r="Z23" s="1274"/>
      <c r="AA23" s="1296" t="s">
        <v>4173</v>
      </c>
      <c r="AB23" s="1321" t="s">
        <v>28</v>
      </c>
      <c r="AC23" s="1296" t="s">
        <v>3883</v>
      </c>
      <c r="AD23" s="1296">
        <v>32</v>
      </c>
      <c r="AE23" s="1356" t="s">
        <v>152</v>
      </c>
      <c r="AF23" s="499"/>
      <c r="AG23" s="677"/>
      <c r="AH23" s="298"/>
      <c r="AI23" s="1351" t="s">
        <v>654</v>
      </c>
      <c r="AJ23" s="298"/>
      <c r="AK23" s="1351" t="s">
        <v>643</v>
      </c>
      <c r="AL23" s="675"/>
      <c r="AM23" s="1177" t="s">
        <v>1102</v>
      </c>
      <c r="AN23" s="1378" t="s">
        <v>2401</v>
      </c>
      <c r="AO23" s="1320" t="s">
        <v>2403</v>
      </c>
      <c r="AP23" s="1353" t="s">
        <v>3260</v>
      </c>
      <c r="AQ23" s="1325" t="s">
        <v>3840</v>
      </c>
      <c r="AR23" s="1329" t="s">
        <v>3259</v>
      </c>
      <c r="AS23" s="1325" t="s">
        <v>36</v>
      </c>
      <c r="AT23" s="1325"/>
      <c r="AU23" s="1325"/>
      <c r="AV23" s="1375"/>
      <c r="AW23" s="1375"/>
      <c r="AX23" s="1325"/>
    </row>
    <row r="24" spans="1:51" s="260" customFormat="1" ht="27.75" customHeight="1">
      <c r="A24" s="1320"/>
      <c r="B24" s="1366"/>
      <c r="C24" s="1367"/>
      <c r="D24" s="1367"/>
      <c r="E24" s="1367"/>
      <c r="F24" s="1356"/>
      <c r="G24" s="1320" t="s">
        <v>985</v>
      </c>
      <c r="H24" s="1320"/>
      <c r="I24" s="1320"/>
      <c r="J24" s="1348"/>
      <c r="K24" s="1349"/>
      <c r="L24" s="1350"/>
      <c r="M24" s="1297"/>
      <c r="N24" s="1297"/>
      <c r="O24" s="1297"/>
      <c r="P24" s="1176"/>
      <c r="Q24" s="1176"/>
      <c r="R24" s="1176"/>
      <c r="S24" s="299"/>
      <c r="T24" s="501"/>
      <c r="U24" s="501"/>
      <c r="V24" s="1178"/>
      <c r="W24" s="499"/>
      <c r="X24" s="1272" t="s">
        <v>1104</v>
      </c>
      <c r="Y24" s="1273"/>
      <c r="Z24" s="1274"/>
      <c r="AA24" s="1297"/>
      <c r="AB24" s="1322"/>
      <c r="AC24" s="1297"/>
      <c r="AD24" s="1297"/>
      <c r="AE24" s="1356"/>
      <c r="AF24" s="499"/>
      <c r="AG24" s="677"/>
      <c r="AH24" s="298"/>
      <c r="AI24" s="1352"/>
      <c r="AJ24" s="298"/>
      <c r="AK24" s="1352"/>
      <c r="AL24" s="675"/>
      <c r="AM24" s="1178"/>
      <c r="AN24" s="1378"/>
      <c r="AO24" s="1320"/>
      <c r="AP24" s="1354"/>
      <c r="AQ24" s="1326"/>
      <c r="AR24" s="1330"/>
      <c r="AS24" s="1326"/>
      <c r="AT24" s="1326"/>
      <c r="AU24" s="1326"/>
      <c r="AV24" s="1376"/>
      <c r="AW24" s="1376"/>
      <c r="AX24" s="1326"/>
    </row>
    <row r="25" spans="1:51" s="260" customFormat="1" ht="48" customHeight="1">
      <c r="A25" s="1320"/>
      <c r="B25" s="1366"/>
      <c r="C25" s="1367"/>
      <c r="D25" s="1367"/>
      <c r="E25" s="1367"/>
      <c r="F25" s="1356"/>
      <c r="G25" s="1320" t="s">
        <v>1061</v>
      </c>
      <c r="H25" s="1320"/>
      <c r="I25" s="1320"/>
      <c r="J25" s="1348"/>
      <c r="K25" s="1349"/>
      <c r="L25" s="1350"/>
      <c r="M25" s="1297"/>
      <c r="N25" s="1297"/>
      <c r="O25" s="1297"/>
      <c r="P25" s="1176"/>
      <c r="Q25" s="1176"/>
      <c r="R25" s="1176"/>
      <c r="S25" s="299"/>
      <c r="T25" s="501"/>
      <c r="U25" s="501"/>
      <c r="V25" s="1178"/>
      <c r="W25" s="499"/>
      <c r="X25" s="1272" t="s">
        <v>1105</v>
      </c>
      <c r="Y25" s="1273"/>
      <c r="Z25" s="1274"/>
      <c r="AA25" s="1297"/>
      <c r="AB25" s="1322"/>
      <c r="AC25" s="1297"/>
      <c r="AD25" s="1297"/>
      <c r="AE25" s="1356"/>
      <c r="AF25" s="499"/>
      <c r="AG25" s="677"/>
      <c r="AH25" s="298"/>
      <c r="AI25" s="1352"/>
      <c r="AJ25" s="298"/>
      <c r="AK25" s="1352"/>
      <c r="AL25" s="675"/>
      <c r="AM25" s="1178"/>
      <c r="AN25" s="1378"/>
      <c r="AO25" s="1320"/>
      <c r="AP25" s="1354"/>
      <c r="AQ25" s="1326"/>
      <c r="AR25" s="1330"/>
      <c r="AS25" s="1326"/>
      <c r="AT25" s="1326"/>
      <c r="AU25" s="1326"/>
      <c r="AV25" s="1376"/>
      <c r="AW25" s="1376"/>
      <c r="AX25" s="1326"/>
    </row>
    <row r="26" spans="1:51" s="260" customFormat="1" ht="76.5" customHeight="1">
      <c r="A26" s="1296"/>
      <c r="B26" s="1334"/>
      <c r="C26" s="1368"/>
      <c r="D26" s="1368"/>
      <c r="E26" s="1368"/>
      <c r="F26" s="1321"/>
      <c r="G26" s="1296" t="s">
        <v>983</v>
      </c>
      <c r="H26" s="1296"/>
      <c r="I26" s="1296"/>
      <c r="J26" s="1348"/>
      <c r="K26" s="1349"/>
      <c r="L26" s="1350"/>
      <c r="M26" s="1297"/>
      <c r="N26" s="1297"/>
      <c r="O26" s="1297"/>
      <c r="P26" s="1176"/>
      <c r="Q26" s="1176"/>
      <c r="R26" s="1176"/>
      <c r="S26" s="299"/>
      <c r="T26" s="520"/>
      <c r="U26" s="520"/>
      <c r="V26" s="1178"/>
      <c r="W26" s="499"/>
      <c r="X26" s="1281" t="s">
        <v>1106</v>
      </c>
      <c r="Y26" s="1282"/>
      <c r="Z26" s="1283"/>
      <c r="AA26" s="1328"/>
      <c r="AB26" s="1322"/>
      <c r="AC26" s="1297"/>
      <c r="AD26" s="1297"/>
      <c r="AE26" s="1321"/>
      <c r="AF26" s="499"/>
      <c r="AG26" s="500"/>
      <c r="AH26" s="298"/>
      <c r="AI26" s="1352"/>
      <c r="AJ26" s="298"/>
      <c r="AK26" s="1352"/>
      <c r="AL26" s="496"/>
      <c r="AM26" s="1178"/>
      <c r="AN26" s="1379"/>
      <c r="AO26" s="1296"/>
      <c r="AP26" s="1354"/>
      <c r="AQ26" s="1326"/>
      <c r="AR26" s="1330"/>
      <c r="AS26" s="1326"/>
      <c r="AT26" s="1326"/>
      <c r="AU26" s="1326"/>
      <c r="AV26" s="1376"/>
      <c r="AW26" s="1376"/>
      <c r="AX26" s="1326"/>
    </row>
    <row r="27" spans="1:51" s="260" customFormat="1" ht="37.5" customHeight="1">
      <c r="A27" s="1320" t="s">
        <v>1092</v>
      </c>
      <c r="B27" s="1366" t="s">
        <v>1973</v>
      </c>
      <c r="C27" s="1367" t="s">
        <v>982</v>
      </c>
      <c r="D27" s="1367"/>
      <c r="E27" s="1367"/>
      <c r="F27" s="1356" t="s">
        <v>168</v>
      </c>
      <c r="G27" s="1320" t="s">
        <v>981</v>
      </c>
      <c r="H27" s="1320"/>
      <c r="I27" s="1320"/>
      <c r="J27" s="1320" t="s">
        <v>1107</v>
      </c>
      <c r="K27" s="1320"/>
      <c r="L27" s="1320"/>
      <c r="M27" s="1320"/>
      <c r="N27" s="1320"/>
      <c r="O27" s="1320" t="s">
        <v>8</v>
      </c>
      <c r="P27" s="1404"/>
      <c r="Q27" s="1404" t="s">
        <v>64</v>
      </c>
      <c r="R27" s="1404" t="s">
        <v>643</v>
      </c>
      <c r="S27" s="676"/>
      <c r="T27" s="677"/>
      <c r="U27" s="677"/>
      <c r="V27" s="1384" t="s">
        <v>1108</v>
      </c>
      <c r="W27" s="676"/>
      <c r="X27" s="1382" t="s">
        <v>1109</v>
      </c>
      <c r="Y27" s="1382"/>
      <c r="Z27" s="1382"/>
      <c r="AA27" s="1296" t="s">
        <v>4174</v>
      </c>
      <c r="AB27" s="1356" t="s">
        <v>28</v>
      </c>
      <c r="AC27" s="1320" t="s">
        <v>3884</v>
      </c>
      <c r="AD27" s="1320">
        <v>22</v>
      </c>
      <c r="AE27" s="1356" t="s">
        <v>152</v>
      </c>
      <c r="AF27" s="676"/>
      <c r="AG27" s="677"/>
      <c r="AH27" s="311"/>
      <c r="AI27" s="1383" t="s">
        <v>64</v>
      </c>
      <c r="AJ27" s="311"/>
      <c r="AK27" s="1383" t="s">
        <v>1110</v>
      </c>
      <c r="AL27" s="675"/>
      <c r="AM27" s="1384" t="s">
        <v>1108</v>
      </c>
      <c r="AN27" s="1320" t="s">
        <v>2404</v>
      </c>
      <c r="AO27" s="1320" t="s">
        <v>3885</v>
      </c>
      <c r="AP27" s="1385" t="s">
        <v>3260</v>
      </c>
      <c r="AQ27" s="1380" t="s">
        <v>3840</v>
      </c>
      <c r="AR27" s="1381" t="s">
        <v>3259</v>
      </c>
      <c r="AS27" s="1380" t="s">
        <v>36</v>
      </c>
      <c r="AT27" s="521"/>
      <c r="AU27" s="259"/>
      <c r="AV27" s="261"/>
      <c r="AW27" s="261"/>
      <c r="AX27" s="655"/>
      <c r="AY27" s="262"/>
    </row>
    <row r="28" spans="1:51" s="260" customFormat="1" ht="48.75" customHeight="1">
      <c r="A28" s="1320"/>
      <c r="B28" s="1366"/>
      <c r="C28" s="1367"/>
      <c r="D28" s="1367"/>
      <c r="E28" s="1367"/>
      <c r="F28" s="1356"/>
      <c r="G28" s="1320" t="s">
        <v>976</v>
      </c>
      <c r="H28" s="1320"/>
      <c r="I28" s="1320"/>
      <c r="J28" s="1320"/>
      <c r="K28" s="1320"/>
      <c r="L28" s="1320"/>
      <c r="M28" s="1320"/>
      <c r="N28" s="1320"/>
      <c r="O28" s="1320"/>
      <c r="P28" s="1404"/>
      <c r="Q28" s="1404"/>
      <c r="R28" s="1404"/>
      <c r="S28" s="676"/>
      <c r="T28" s="677"/>
      <c r="U28" s="677"/>
      <c r="V28" s="1384"/>
      <c r="W28" s="676"/>
      <c r="X28" s="1382" t="s">
        <v>1111</v>
      </c>
      <c r="Y28" s="1382"/>
      <c r="Z28" s="1382"/>
      <c r="AA28" s="1297"/>
      <c r="AB28" s="1356"/>
      <c r="AC28" s="1320"/>
      <c r="AD28" s="1320"/>
      <c r="AE28" s="1356"/>
      <c r="AF28" s="676"/>
      <c r="AG28" s="677"/>
      <c r="AH28" s="311"/>
      <c r="AI28" s="1383"/>
      <c r="AJ28" s="311"/>
      <c r="AK28" s="1383"/>
      <c r="AL28" s="675"/>
      <c r="AM28" s="1384"/>
      <c r="AN28" s="1320"/>
      <c r="AO28" s="1320"/>
      <c r="AP28" s="1385"/>
      <c r="AQ28" s="1380"/>
      <c r="AR28" s="1381"/>
      <c r="AS28" s="1380"/>
      <c r="AT28" s="259"/>
      <c r="AU28" s="259"/>
      <c r="AV28" s="261"/>
      <c r="AW28" s="261"/>
      <c r="AX28" s="655"/>
      <c r="AY28" s="262"/>
    </row>
    <row r="29" spans="1:51" s="260" customFormat="1" ht="48.75" customHeight="1">
      <c r="A29" s="1320"/>
      <c r="B29" s="1366"/>
      <c r="C29" s="1367"/>
      <c r="D29" s="1367"/>
      <c r="E29" s="1367"/>
      <c r="F29" s="1356"/>
      <c r="G29" s="1320" t="s">
        <v>1067</v>
      </c>
      <c r="H29" s="1320"/>
      <c r="I29" s="1320"/>
      <c r="J29" s="1320"/>
      <c r="K29" s="1320"/>
      <c r="L29" s="1320"/>
      <c r="M29" s="1320"/>
      <c r="N29" s="1320"/>
      <c r="O29" s="1320"/>
      <c r="P29" s="1404"/>
      <c r="Q29" s="1404"/>
      <c r="R29" s="1404"/>
      <c r="S29" s="676"/>
      <c r="T29" s="677"/>
      <c r="U29" s="677"/>
      <c r="V29" s="1384"/>
      <c r="W29" s="676"/>
      <c r="X29" s="1382" t="s">
        <v>1112</v>
      </c>
      <c r="Y29" s="1382"/>
      <c r="Z29" s="1382"/>
      <c r="AA29" s="1297"/>
      <c r="AB29" s="1356"/>
      <c r="AC29" s="1320"/>
      <c r="AD29" s="1320"/>
      <c r="AE29" s="1356"/>
      <c r="AF29" s="676"/>
      <c r="AG29" s="677"/>
      <c r="AH29" s="311"/>
      <c r="AI29" s="1383"/>
      <c r="AJ29" s="311"/>
      <c r="AK29" s="1383"/>
      <c r="AL29" s="675"/>
      <c r="AM29" s="1384"/>
      <c r="AN29" s="1320"/>
      <c r="AO29" s="1320"/>
      <c r="AP29" s="1385"/>
      <c r="AQ29" s="1380"/>
      <c r="AR29" s="1381"/>
      <c r="AS29" s="1380"/>
      <c r="AT29" s="259"/>
      <c r="AU29" s="259"/>
      <c r="AV29" s="261"/>
      <c r="AW29" s="261"/>
      <c r="AX29" s="655"/>
      <c r="AY29" s="262"/>
    </row>
    <row r="30" spans="1:51" s="260" customFormat="1" ht="30.75" customHeight="1">
      <c r="A30" s="1320"/>
      <c r="B30" s="1366"/>
      <c r="C30" s="1367"/>
      <c r="D30" s="1367"/>
      <c r="E30" s="1367"/>
      <c r="F30" s="1356"/>
      <c r="G30" s="1320" t="s">
        <v>974</v>
      </c>
      <c r="H30" s="1320"/>
      <c r="I30" s="1320"/>
      <c r="J30" s="1320"/>
      <c r="K30" s="1320"/>
      <c r="L30" s="1320"/>
      <c r="M30" s="1320"/>
      <c r="N30" s="1320"/>
      <c r="O30" s="1320"/>
      <c r="P30" s="1404"/>
      <c r="Q30" s="1404"/>
      <c r="R30" s="1404"/>
      <c r="S30" s="676"/>
      <c r="T30" s="677"/>
      <c r="U30" s="677"/>
      <c r="V30" s="1384"/>
      <c r="W30" s="676"/>
      <c r="X30" s="1382" t="s">
        <v>1113</v>
      </c>
      <c r="Y30" s="1382"/>
      <c r="Z30" s="1382"/>
      <c r="AA30" s="1328"/>
      <c r="AB30" s="1356"/>
      <c r="AC30" s="1320"/>
      <c r="AD30" s="1320"/>
      <c r="AE30" s="1356"/>
      <c r="AF30" s="676"/>
      <c r="AG30" s="677"/>
      <c r="AH30" s="311"/>
      <c r="AI30" s="1383"/>
      <c r="AJ30" s="311"/>
      <c r="AK30" s="1383"/>
      <c r="AL30" s="675"/>
      <c r="AM30" s="1384"/>
      <c r="AN30" s="1320"/>
      <c r="AO30" s="1320"/>
      <c r="AP30" s="1385"/>
      <c r="AQ30" s="1380"/>
      <c r="AR30" s="1381"/>
      <c r="AS30" s="1380"/>
      <c r="AT30" s="259"/>
      <c r="AU30" s="259"/>
      <c r="AV30" s="261"/>
      <c r="AW30" s="261"/>
      <c r="AX30" s="655"/>
      <c r="AY30" s="262"/>
    </row>
    <row r="31" spans="1:51" s="243" customFormat="1" ht="15.75" customHeight="1">
      <c r="A31" s="275"/>
      <c r="B31" s="276"/>
      <c r="C31" s="276"/>
      <c r="D31" s="276"/>
      <c r="E31" s="275"/>
      <c r="F31" s="275"/>
      <c r="G31" s="277"/>
      <c r="H31" s="277"/>
      <c r="I31" s="277"/>
      <c r="J31" s="275"/>
      <c r="K31" s="275"/>
      <c r="L31" s="278"/>
      <c r="M31" s="278"/>
      <c r="N31" s="278"/>
      <c r="O31" s="278"/>
      <c r="P31" s="278"/>
      <c r="Q31" s="278"/>
      <c r="R31" s="278"/>
      <c r="S31" s="278"/>
      <c r="T31" s="278"/>
      <c r="U31" s="278"/>
      <c r="V31" s="275"/>
      <c r="W31" s="275"/>
      <c r="X31" s="277"/>
      <c r="Y31" s="277"/>
      <c r="Z31" s="277"/>
      <c r="AA31" s="275"/>
      <c r="AB31" s="277"/>
      <c r="AC31" s="277"/>
      <c r="AD31" s="275"/>
      <c r="AE31" s="275"/>
      <c r="AF31" s="275"/>
      <c r="AG31" s="275"/>
      <c r="AH31" s="275"/>
      <c r="AI31" s="275"/>
      <c r="AJ31" s="275"/>
      <c r="AK31" s="275"/>
      <c r="AL31" s="275"/>
      <c r="AM31" s="279"/>
      <c r="AN31" s="262"/>
      <c r="AO31" s="262"/>
      <c r="AP31" s="262"/>
      <c r="AQ31" s="262"/>
      <c r="AR31" s="262"/>
      <c r="AS31" s="262"/>
      <c r="AT31" s="260"/>
      <c r="AU31" s="260"/>
      <c r="AV31" s="260"/>
      <c r="AW31" s="260"/>
      <c r="AX31" s="260"/>
    </row>
    <row r="32" spans="1:51" s="243" customFormat="1" ht="30" customHeight="1">
      <c r="A32" s="1386" t="s">
        <v>3886</v>
      </c>
      <c r="B32" s="1387"/>
      <c r="C32" s="1387"/>
      <c r="D32" s="1387"/>
      <c r="E32" s="1387"/>
      <c r="F32" s="1387"/>
      <c r="G32" s="1387"/>
      <c r="H32" s="1387"/>
      <c r="I32" s="1387"/>
      <c r="J32" s="1387"/>
      <c r="K32" s="1387"/>
      <c r="L32" s="1388"/>
      <c r="M32" s="275"/>
      <c r="N32" s="280" t="s">
        <v>650</v>
      </c>
      <c r="O32" s="280"/>
      <c r="P32" s="281"/>
      <c r="Q32" s="281"/>
      <c r="R32" s="281"/>
      <c r="S32" s="281"/>
      <c r="T32" s="281"/>
      <c r="U32" s="281"/>
      <c r="V32" s="281"/>
      <c r="W32" s="281"/>
      <c r="X32" s="282"/>
      <c r="Y32" s="282"/>
      <c r="Z32" s="933"/>
      <c r="AA32" s="1125"/>
      <c r="AB32" s="933"/>
      <c r="AC32" s="933"/>
      <c r="AD32" s="281"/>
      <c r="AE32" s="281"/>
      <c r="AF32" s="281"/>
      <c r="AG32" s="281"/>
      <c r="AH32" s="281"/>
      <c r="AI32" s="281"/>
      <c r="AJ32" s="275"/>
      <c r="AK32" s="275"/>
      <c r="AL32" s="275"/>
      <c r="AM32" s="279"/>
      <c r="AN32" s="262"/>
      <c r="AO32" s="262"/>
      <c r="AP32" s="262"/>
      <c r="AQ32" s="262"/>
      <c r="AR32" s="262"/>
      <c r="AS32" s="262"/>
      <c r="AT32" s="260"/>
      <c r="AU32" s="260"/>
      <c r="AV32" s="260"/>
      <c r="AW32" s="260"/>
      <c r="AX32" s="260"/>
    </row>
    <row r="33" spans="1:50" s="243" customFormat="1" ht="14.25" customHeight="1">
      <c r="A33" s="1389"/>
      <c r="B33" s="1390"/>
      <c r="C33" s="1390"/>
      <c r="D33" s="1390"/>
      <c r="E33" s="1390"/>
      <c r="F33" s="1390"/>
      <c r="G33" s="1390"/>
      <c r="H33" s="1390"/>
      <c r="I33" s="1390"/>
      <c r="J33" s="1390"/>
      <c r="K33" s="1390"/>
      <c r="L33" s="1391"/>
      <c r="M33" s="283"/>
      <c r="N33" s="1392" t="s">
        <v>278</v>
      </c>
      <c r="O33" s="1393"/>
      <c r="P33" s="1393"/>
      <c r="Q33" s="1393"/>
      <c r="R33" s="1394"/>
      <c r="S33" s="284"/>
      <c r="T33" s="284"/>
      <c r="U33" s="284"/>
      <c r="V33" s="1395" t="s">
        <v>170</v>
      </c>
      <c r="W33" s="1395"/>
      <c r="X33" s="1395"/>
      <c r="Y33" s="1395"/>
      <c r="Z33" s="1395"/>
      <c r="AA33" s="1066"/>
      <c r="AB33" s="1395" t="s">
        <v>171</v>
      </c>
      <c r="AC33" s="1395"/>
      <c r="AD33" s="1395" t="s">
        <v>172</v>
      </c>
      <c r="AE33" s="1395"/>
      <c r="AF33" s="1395"/>
      <c r="AG33" s="1395"/>
      <c r="AH33" s="1395"/>
      <c r="AI33" s="1395"/>
      <c r="AJ33" s="1395"/>
      <c r="AK33" s="1395"/>
      <c r="AL33" s="1395"/>
      <c r="AM33" s="1395"/>
      <c r="AN33" s="1395"/>
      <c r="AO33" s="262"/>
      <c r="AP33" s="262"/>
      <c r="AQ33" s="262"/>
      <c r="AR33" s="262"/>
      <c r="AS33" s="262"/>
      <c r="AT33" s="262"/>
      <c r="AU33" s="262"/>
      <c r="AV33" s="262"/>
      <c r="AW33" s="262"/>
      <c r="AX33" s="262"/>
    </row>
    <row r="34" spans="1:50" ht="26.25" customHeight="1">
      <c r="A34" s="1386" t="s">
        <v>3887</v>
      </c>
      <c r="B34" s="1387"/>
      <c r="C34" s="1387"/>
      <c r="D34" s="1387"/>
      <c r="E34" s="1387"/>
      <c r="F34" s="1387"/>
      <c r="G34" s="1387"/>
      <c r="H34" s="1387"/>
      <c r="I34" s="1387"/>
      <c r="J34" s="1387"/>
      <c r="K34" s="1387"/>
      <c r="L34" s="1388"/>
      <c r="M34" s="285"/>
      <c r="N34" s="1396" t="s">
        <v>173</v>
      </c>
      <c r="O34" s="1397"/>
      <c r="P34" s="1397"/>
      <c r="Q34" s="1397"/>
      <c r="R34" s="1398"/>
      <c r="S34" s="286"/>
      <c r="T34" s="286"/>
      <c r="U34" s="286"/>
      <c r="V34" s="1396" t="s">
        <v>2405</v>
      </c>
      <c r="W34" s="1397"/>
      <c r="X34" s="1397"/>
      <c r="Y34" s="1397"/>
      <c r="Z34" s="1398"/>
      <c r="AA34" s="1062"/>
      <c r="AB34" s="1399" t="s">
        <v>2406</v>
      </c>
      <c r="AC34" s="1400"/>
      <c r="AD34" s="1401"/>
      <c r="AE34" s="1401"/>
      <c r="AF34" s="1401"/>
      <c r="AG34" s="1401"/>
      <c r="AH34" s="1401"/>
      <c r="AI34" s="1401"/>
      <c r="AJ34" s="1401"/>
      <c r="AK34" s="1401"/>
      <c r="AL34" s="1401"/>
      <c r="AM34" s="1401"/>
      <c r="AN34" s="1401"/>
      <c r="AO34" s="245"/>
      <c r="AP34" s="245"/>
      <c r="AQ34" s="245"/>
      <c r="AR34" s="245"/>
      <c r="AS34" s="245"/>
      <c r="AT34" s="245"/>
      <c r="AU34" s="245"/>
      <c r="AV34" s="245"/>
      <c r="AW34" s="245"/>
      <c r="AX34" s="245"/>
    </row>
    <row r="35" spans="1:50" ht="26.25" customHeight="1">
      <c r="A35" s="1389"/>
      <c r="B35" s="1390"/>
      <c r="C35" s="1390"/>
      <c r="D35" s="1390"/>
      <c r="E35" s="1390"/>
      <c r="F35" s="1390"/>
      <c r="G35" s="1390"/>
      <c r="H35" s="1390"/>
      <c r="I35" s="1390"/>
      <c r="J35" s="1390"/>
      <c r="K35" s="1390"/>
      <c r="L35" s="1391"/>
      <c r="M35" s="285"/>
      <c r="N35" s="1396" t="s">
        <v>168</v>
      </c>
      <c r="O35" s="1397"/>
      <c r="P35" s="1397"/>
      <c r="Q35" s="1397"/>
      <c r="R35" s="1398"/>
      <c r="S35" s="286"/>
      <c r="T35" s="286"/>
      <c r="U35" s="286"/>
      <c r="V35" s="1396" t="s">
        <v>1018</v>
      </c>
      <c r="W35" s="1397"/>
      <c r="X35" s="1397"/>
      <c r="Y35" s="1397"/>
      <c r="Z35" s="1398"/>
      <c r="AA35" s="1062"/>
      <c r="AB35" s="1399" t="s">
        <v>2407</v>
      </c>
      <c r="AC35" s="1400"/>
      <c r="AD35" s="1401"/>
      <c r="AE35" s="1401"/>
      <c r="AF35" s="1401"/>
      <c r="AG35" s="1401"/>
      <c r="AH35" s="1401"/>
      <c r="AI35" s="1401"/>
      <c r="AJ35" s="1401"/>
      <c r="AK35" s="1401"/>
      <c r="AL35" s="1401"/>
      <c r="AM35" s="1401"/>
      <c r="AN35" s="1401"/>
      <c r="AO35" s="245"/>
      <c r="AP35" s="245"/>
      <c r="AQ35" s="245"/>
      <c r="AR35" s="245"/>
      <c r="AS35" s="245"/>
      <c r="AT35" s="245"/>
      <c r="AU35" s="245"/>
      <c r="AV35" s="245"/>
      <c r="AW35" s="245"/>
      <c r="AX35" s="245"/>
    </row>
    <row r="36" spans="1:50">
      <c r="A36" s="300"/>
      <c r="B36" s="300"/>
      <c r="C36" s="300"/>
      <c r="D36" s="300"/>
      <c r="E36" s="300"/>
      <c r="F36" s="300"/>
      <c r="G36" s="300"/>
      <c r="H36" s="300"/>
      <c r="I36" s="300"/>
      <c r="J36" s="300"/>
      <c r="K36" s="300"/>
      <c r="L36" s="300"/>
      <c r="M36" s="285"/>
      <c r="N36" s="1403"/>
      <c r="O36" s="1403"/>
      <c r="P36" s="1403"/>
      <c r="Q36" s="1403"/>
      <c r="R36" s="1403"/>
      <c r="S36" s="288"/>
      <c r="T36" s="288"/>
      <c r="U36" s="288"/>
      <c r="V36" s="1403"/>
      <c r="W36" s="1403"/>
      <c r="X36" s="1403"/>
      <c r="Y36" s="1403"/>
      <c r="Z36" s="1403"/>
      <c r="AA36" s="1064"/>
      <c r="AB36" s="654"/>
      <c r="AC36" s="654"/>
      <c r="AD36" s="285"/>
      <c r="AE36" s="285"/>
      <c r="AF36" s="285"/>
      <c r="AG36" s="285"/>
      <c r="AH36" s="285"/>
      <c r="AI36" s="285"/>
      <c r="AJ36" s="285"/>
      <c r="AK36" s="285"/>
      <c r="AL36" s="285"/>
      <c r="AM36" s="285"/>
      <c r="AN36" s="245"/>
      <c r="AO36" s="245"/>
      <c r="AP36" s="245"/>
      <c r="AQ36" s="245"/>
      <c r="AR36" s="245"/>
      <c r="AS36" s="245"/>
      <c r="AT36" s="245"/>
      <c r="AU36" s="245"/>
      <c r="AV36" s="245"/>
      <c r="AW36" s="245"/>
      <c r="AX36" s="245"/>
    </row>
    <row r="37" spans="1:50">
      <c r="A37" s="233"/>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1076"/>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row>
    <row r="38" spans="1:50">
      <c r="A38" s="233"/>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1076"/>
      <c r="AB38" s="233"/>
      <c r="AC38" s="233"/>
      <c r="AD38" s="233"/>
      <c r="AE38" s="233"/>
      <c r="AF38" s="233"/>
      <c r="AG38" s="233"/>
      <c r="AH38" s="233"/>
      <c r="AI38" s="233"/>
      <c r="AJ38" s="233"/>
      <c r="AK38" s="233"/>
      <c r="AL38" s="233"/>
      <c r="AM38" s="233"/>
    </row>
    <row r="49" spans="29:37">
      <c r="AC49" s="235">
        <v>2</v>
      </c>
      <c r="AD49" s="235">
        <v>100</v>
      </c>
      <c r="AK49" s="235">
        <f>AC49/AC50*AD49</f>
        <v>50</v>
      </c>
    </row>
    <row r="50" spans="29:37">
      <c r="AC50" s="235">
        <v>4</v>
      </c>
    </row>
  </sheetData>
  <sheetProtection formatCells="0" formatColumns="0" formatRows="0" insertRows="0" deleteColumns="0" sort="0" autoFilter="0"/>
  <mergeCells count="228">
    <mergeCell ref="AA27:AA30"/>
    <mergeCell ref="AA18:AA22"/>
    <mergeCell ref="AA23:AA26"/>
    <mergeCell ref="N35:R35"/>
    <mergeCell ref="V35:Z35"/>
    <mergeCell ref="AB35:AC35"/>
    <mergeCell ref="AD35:AN35"/>
    <mergeCell ref="N36:R36"/>
    <mergeCell ref="V36:Z36"/>
    <mergeCell ref="P27:P30"/>
    <mergeCell ref="Q27:Q30"/>
    <mergeCell ref="R27:R30"/>
    <mergeCell ref="A32:L33"/>
    <mergeCell ref="N33:R33"/>
    <mergeCell ref="V33:Z33"/>
    <mergeCell ref="AB33:AC33"/>
    <mergeCell ref="AD33:AN33"/>
    <mergeCell ref="A34:L35"/>
    <mergeCell ref="N34:R34"/>
    <mergeCell ref="V34:Z34"/>
    <mergeCell ref="AB34:AC34"/>
    <mergeCell ref="AD34:AN34"/>
    <mergeCell ref="AQ27:AQ30"/>
    <mergeCell ref="AR27:AR30"/>
    <mergeCell ref="AS27:AS30"/>
    <mergeCell ref="G28:I28"/>
    <mergeCell ref="X28:Z28"/>
    <mergeCell ref="G29:I29"/>
    <mergeCell ref="X29:Z29"/>
    <mergeCell ref="G30:I30"/>
    <mergeCell ref="X30:Z30"/>
    <mergeCell ref="AI27:AI30"/>
    <mergeCell ref="AK27:AK30"/>
    <mergeCell ref="AM27:AM30"/>
    <mergeCell ref="AN27:AN30"/>
    <mergeCell ref="AO27:AO30"/>
    <mergeCell ref="AP27:AP30"/>
    <mergeCell ref="V27:V30"/>
    <mergeCell ref="X27:Z27"/>
    <mergeCell ref="AB27:AB30"/>
    <mergeCell ref="AC27:AC30"/>
    <mergeCell ref="AD27:AD30"/>
    <mergeCell ref="AE27:AE30"/>
    <mergeCell ref="M27:M30"/>
    <mergeCell ref="N27:N30"/>
    <mergeCell ref="O27:O30"/>
    <mergeCell ref="A27:A30"/>
    <mergeCell ref="B27:B30"/>
    <mergeCell ref="C27:E30"/>
    <mergeCell ref="F27:F30"/>
    <mergeCell ref="G27:I27"/>
    <mergeCell ref="J27:L30"/>
    <mergeCell ref="AW23:AW26"/>
    <mergeCell ref="AX23:AX26"/>
    <mergeCell ref="G24:I24"/>
    <mergeCell ref="X24:Z24"/>
    <mergeCell ref="G25:I25"/>
    <mergeCell ref="X25:Z25"/>
    <mergeCell ref="G26:I26"/>
    <mergeCell ref="X26:Z26"/>
    <mergeCell ref="AQ23:AQ26"/>
    <mergeCell ref="AR23:AR26"/>
    <mergeCell ref="AS23:AS26"/>
    <mergeCell ref="AT23:AT26"/>
    <mergeCell ref="AU23:AU26"/>
    <mergeCell ref="AV23:AV26"/>
    <mergeCell ref="AI23:AI26"/>
    <mergeCell ref="AK23:AK26"/>
    <mergeCell ref="AM23:AM26"/>
    <mergeCell ref="AN23:AN26"/>
    <mergeCell ref="AO23:AO26"/>
    <mergeCell ref="AP23:AP26"/>
    <mergeCell ref="V23:V26"/>
    <mergeCell ref="X23:Z23"/>
    <mergeCell ref="AB23:AB26"/>
    <mergeCell ref="AC23:AC26"/>
    <mergeCell ref="AD23:AD26"/>
    <mergeCell ref="AE23:AE26"/>
    <mergeCell ref="M23:M26"/>
    <mergeCell ref="N23:N26"/>
    <mergeCell ref="O23:O26"/>
    <mergeCell ref="P23:P26"/>
    <mergeCell ref="Q23:Q26"/>
    <mergeCell ref="R23:R26"/>
    <mergeCell ref="A23:A26"/>
    <mergeCell ref="B23:B26"/>
    <mergeCell ref="C23:E26"/>
    <mergeCell ref="F23:F26"/>
    <mergeCell ref="G23:I23"/>
    <mergeCell ref="J23:L26"/>
    <mergeCell ref="AX18:AX22"/>
    <mergeCell ref="G19:I19"/>
    <mergeCell ref="G20:I20"/>
    <mergeCell ref="X20:Z20"/>
    <mergeCell ref="G21:I21"/>
    <mergeCell ref="X21:Z21"/>
    <mergeCell ref="G22:I22"/>
    <mergeCell ref="X22:Z22"/>
    <mergeCell ref="AR18:AR22"/>
    <mergeCell ref="AS18:AS22"/>
    <mergeCell ref="AT18:AT22"/>
    <mergeCell ref="AU18:AU22"/>
    <mergeCell ref="AV18:AV22"/>
    <mergeCell ref="AW18:AW22"/>
    <mergeCell ref="AK18:AK22"/>
    <mergeCell ref="AM18:AM22"/>
    <mergeCell ref="AN18:AN22"/>
    <mergeCell ref="AO18:AO22"/>
    <mergeCell ref="AP18:AP22"/>
    <mergeCell ref="AQ18:AQ22"/>
    <mergeCell ref="X18:Z19"/>
    <mergeCell ref="AB18:AB22"/>
    <mergeCell ref="AC18:AC22"/>
    <mergeCell ref="AD18:AD22"/>
    <mergeCell ref="AE18:AE22"/>
    <mergeCell ref="AI18:AI22"/>
    <mergeCell ref="N18:N22"/>
    <mergeCell ref="O18:O22"/>
    <mergeCell ref="P18:P22"/>
    <mergeCell ref="Q18:Q22"/>
    <mergeCell ref="R18:R22"/>
    <mergeCell ref="V18:V22"/>
    <mergeCell ref="AQ13:AQ16"/>
    <mergeCell ref="P13:P16"/>
    <mergeCell ref="Q13:Q16"/>
    <mergeCell ref="R13:R16"/>
    <mergeCell ref="AA13:AA16"/>
    <mergeCell ref="AR13:AR16"/>
    <mergeCell ref="AS13:AS16"/>
    <mergeCell ref="A18:A22"/>
    <mergeCell ref="B18:B22"/>
    <mergeCell ref="C18:E22"/>
    <mergeCell ref="F18:F22"/>
    <mergeCell ref="G18:I18"/>
    <mergeCell ref="J18:L22"/>
    <mergeCell ref="M18:M22"/>
    <mergeCell ref="AI13:AI16"/>
    <mergeCell ref="AK13:AK16"/>
    <mergeCell ref="AM13:AM16"/>
    <mergeCell ref="AN13:AN16"/>
    <mergeCell ref="AO13:AO16"/>
    <mergeCell ref="AP13:AP16"/>
    <mergeCell ref="V13:V16"/>
    <mergeCell ref="X13:Z16"/>
    <mergeCell ref="AB13:AB16"/>
    <mergeCell ref="AC13:AC16"/>
    <mergeCell ref="AD13:AD16"/>
    <mergeCell ref="AE13:AE16"/>
    <mergeCell ref="M13:M16"/>
    <mergeCell ref="N13:N16"/>
    <mergeCell ref="O13:O16"/>
    <mergeCell ref="C12:E12"/>
    <mergeCell ref="G12:I12"/>
    <mergeCell ref="J12:L12"/>
    <mergeCell ref="X12:Z12"/>
    <mergeCell ref="A13:A16"/>
    <mergeCell ref="B13:B16"/>
    <mergeCell ref="C13:E16"/>
    <mergeCell ref="F13:F16"/>
    <mergeCell ref="G13:I16"/>
    <mergeCell ref="J13:L16"/>
    <mergeCell ref="C11:E11"/>
    <mergeCell ref="G11:I11"/>
    <mergeCell ref="J11:L11"/>
    <mergeCell ref="X11:Z11"/>
    <mergeCell ref="AU7:AU8"/>
    <mergeCell ref="C9:E9"/>
    <mergeCell ref="G9:I9"/>
    <mergeCell ref="J9:L9"/>
    <mergeCell ref="X9:Z9"/>
    <mergeCell ref="AO7:AO8"/>
    <mergeCell ref="AP7:AP8"/>
    <mergeCell ref="AQ7:AQ8"/>
    <mergeCell ref="AR7:AR8"/>
    <mergeCell ref="AS7:AS8"/>
    <mergeCell ref="AB7:AB8"/>
    <mergeCell ref="AC7:AC8"/>
    <mergeCell ref="AD7:AD8"/>
    <mergeCell ref="AE7:AE8"/>
    <mergeCell ref="AI7:AM7"/>
    <mergeCell ref="AN7:AN8"/>
    <mergeCell ref="AA7:AA8"/>
    <mergeCell ref="X7:Z8"/>
    <mergeCell ref="C10:E10"/>
    <mergeCell ref="G10:I10"/>
    <mergeCell ref="J10:L10"/>
    <mergeCell ref="X10:Z10"/>
    <mergeCell ref="AV7:AV8"/>
    <mergeCell ref="AW7:AW8"/>
    <mergeCell ref="AX7:AX8"/>
    <mergeCell ref="AT7:AT8"/>
    <mergeCell ref="G4:H4"/>
    <mergeCell ref="I4:N4"/>
    <mergeCell ref="O4:V4"/>
    <mergeCell ref="AP4:AQ4"/>
    <mergeCell ref="AR4:AS4"/>
    <mergeCell ref="AT6:AX6"/>
    <mergeCell ref="AW1:AX4"/>
    <mergeCell ref="AP1:AS1"/>
    <mergeCell ref="G1:V1"/>
    <mergeCell ref="X1:Y4"/>
    <mergeCell ref="Z1:AB2"/>
    <mergeCell ref="AC1:AC2"/>
    <mergeCell ref="AD1:AN2"/>
    <mergeCell ref="AC3:AC4"/>
    <mergeCell ref="AD3:AN4"/>
    <mergeCell ref="X6:AM6"/>
    <mergeCell ref="AP3:AQ3"/>
    <mergeCell ref="AR3:AS3"/>
    <mergeCell ref="AP2:AQ2"/>
    <mergeCell ref="AR2:AS2"/>
    <mergeCell ref="A3:E4"/>
    <mergeCell ref="G3:H3"/>
    <mergeCell ref="I3:N3"/>
    <mergeCell ref="O3:V3"/>
    <mergeCell ref="Z3:AB4"/>
    <mergeCell ref="A2:E2"/>
    <mergeCell ref="G2:V2"/>
    <mergeCell ref="A7:A8"/>
    <mergeCell ref="B7:B8"/>
    <mergeCell ref="C7:E8"/>
    <mergeCell ref="F7:F8"/>
    <mergeCell ref="G7:I8"/>
    <mergeCell ref="J7:L8"/>
    <mergeCell ref="M7:P7"/>
    <mergeCell ref="Q7:V7"/>
    <mergeCell ref="Q6:V6"/>
    <mergeCell ref="A6:P6"/>
  </mergeCells>
  <dataValidations count="6">
    <dataValidation type="whole" allowBlank="1" showInputMessage="1" showErrorMessage="1" sqref="AD9:AD13 AD18 WCT9:WCT30 WWL9:WWL30 WMP9:WMP30 JZ9:JZ30 TV9:TV30 ADR9:ADR30 ANN9:ANN30 AXJ9:AXJ30 BHF9:BHF30 BRB9:BRB30 CAX9:CAX30 CKT9:CKT30 CUP9:CUP30 DEL9:DEL30 DOH9:DOH30 DYD9:DYD30 EHZ9:EHZ30 ERV9:ERV30 FBR9:FBR30 FLN9:FLN30 FVJ9:FVJ30 GFF9:GFF30 GPB9:GPB30 GYX9:GYX30 HIT9:HIT30 HSP9:HSP30 ICL9:ICL30 IMH9:IMH30 IWD9:IWD30 JFZ9:JFZ30 JPV9:JPV30 JZR9:JZR30 KJN9:KJN30 KTJ9:KTJ30 LDF9:LDF30 LNB9:LNB30 LWX9:LWX30 MGT9:MGT30 MQP9:MQP30 NAL9:NAL30 NKH9:NKH30 NUD9:NUD30 ODZ9:ODZ30 ONV9:ONV30 OXR9:OXR30 PHN9:PHN30 PRJ9:PRJ30 QBF9:QBF30 QLB9:QLB30 QUX9:QUX30 RET9:RET30 ROP9:ROP30 RYL9:RYL30 SIH9:SIH30 SSD9:SSD30 TBZ9:TBZ30 TLV9:TLV30 TVR9:TVR30 UFN9:UFN30 UPJ9:UPJ30 UZF9:UZF30 VJB9:VJB30 VSX9:VSX30">
      <formula1>0</formula1>
      <formula2>100</formula2>
    </dataValidation>
    <dataValidation showInputMessage="1" showErrorMessage="1" sqref="AJ13:AJ30 AG13:AH30 AG9:AK12 AI13 AK13 AI18 AI27 AK27 AK18 VTA9:VTE30 WCW9:WDA30 WWO9:WWS30 WMS9:WMW30 KC9:KG30 TY9:UC30 ADU9:ADY30 ANQ9:ANU30 AXM9:AXQ30 BHI9:BHM30 BRE9:BRI30 CBA9:CBE30 CKW9:CLA30 CUS9:CUW30 DEO9:DES30 DOK9:DOO30 DYG9:DYK30 EIC9:EIG30 ERY9:ESC30 FBU9:FBY30 FLQ9:FLU30 FVM9:FVQ30 GFI9:GFM30 GPE9:GPI30 GZA9:GZE30 HIW9:HJA30 HSS9:HSW30 ICO9:ICS30 IMK9:IMO30 IWG9:IWK30 JGC9:JGG30 JPY9:JQC30 JZU9:JZY30 KJQ9:KJU30 KTM9:KTQ30 LDI9:LDM30 LNE9:LNI30 LXA9:LXE30 MGW9:MHA30 MQS9:MQW30 NAO9:NAS30 NKK9:NKO30 NUG9:NUK30 OEC9:OEG30 ONY9:OOC30 OXU9:OXY30 PHQ9:PHU30 PRM9:PRQ30 QBI9:QBM30 QLE9:QLI30 QVA9:QVE30 REW9:RFA30 ROS9:ROW30 RYO9:RYS30 SIK9:SIO30 SSG9:SSK30 TCC9:TCG30 TLY9:TMC30 TVU9:TVY30 UFQ9:UFU30 UPM9:UPQ30 UZI9:UZM30 VJE9:VJI30"/>
    <dataValidation type="list" showInputMessage="1" showErrorMessage="1" errorTitle="Rechazado" error="Solo son validadas las opciones de la lista" sqref="AE9:AE13 AE18 WCU9:WCU30 WWM9:WWM30 WMQ9:WMQ30 KA9:KA30 TW9:TW30 ADS9:ADS30 ANO9:ANO30 AXK9:AXK30 BHG9:BHG30 BRC9:BRC30 CAY9:CAY30 CKU9:CKU30 CUQ9:CUQ30 DEM9:DEM30 DOI9:DOI30 DYE9:DYE30 EIA9:EIA30 ERW9:ERW30 FBS9:FBS30 FLO9:FLO30 FVK9:FVK30 GFG9:GFG30 GPC9:GPC30 GYY9:GYY30 HIU9:HIU30 HSQ9:HSQ30 ICM9:ICM30 IMI9:IMI30 IWE9:IWE30 JGA9:JGA30 JPW9:JPW30 JZS9:JZS30 KJO9:KJO30 KTK9:KTK30 LDG9:LDG30 LNC9:LNC30 LWY9:LWY30 MGU9:MGU30 MQQ9:MQQ30 NAM9:NAM30 NKI9:NKI30 NUE9:NUE30 OEA9:OEA30 ONW9:ONW30 OXS9:OXS30 PHO9:PHO30 PRK9:PRK30 QBG9:QBG30 QLC9:QLC30 QUY9:QUY30 REU9:REU30 ROQ9:ROQ30 RYM9:RYM30 SII9:SII30 SSE9:SSE30 TCA9:TCA30 TLW9:TLW30 TVS9:TVS30 UFO9:UFO30 UPK9:UPK30 UZG9:UZG30 VJC9:VJC30 VSY9:VSY30">
      <formula1>Efecto</formula1>
    </dataValidation>
    <dataValidation type="list" allowBlank="1" showInputMessage="1" showErrorMessage="1" sqref="R9:R13 R18 WCI9:WCI30 WWA9:WWA30 WME9:WME30 JO9:JO30 TK9:TK30 ADG9:ADG30 ANC9:ANC30 AWY9:AWY30 BGU9:BGU30 BQQ9:BQQ30 CAM9:CAM30 CKI9:CKI30 CUE9:CUE30 DEA9:DEA30 DNW9:DNW30 DXS9:DXS30 EHO9:EHO30 ERK9:ERK30 FBG9:FBG30 FLC9:FLC30 FUY9:FUY30 GEU9:GEU30 GOQ9:GOQ30 GYM9:GYM30 HII9:HII30 HSE9:HSE30 ICA9:ICA30 ILW9:ILW30 IVS9:IVS30 JFO9:JFO30 JPK9:JPK30 JZG9:JZG30 KJC9:KJC30 KSY9:KSY30 LCU9:LCU30 LMQ9:LMQ30 LWM9:LWM30 MGI9:MGI30 MQE9:MQE30 NAA9:NAA30 NJW9:NJW30 NTS9:NTS30 ODO9:ODO30 ONK9:ONK30 OXG9:OXG30 PHC9:PHC30 PQY9:PQY30 QAU9:QAU30 QKQ9:QKQ30 QUM9:QUM30 REI9:REI30 ROE9:ROE30 RYA9:RYA30 SHW9:SHW30 SRS9:SRS30 TBO9:TBO30 TLK9:TLK30 TVG9:TVG30 UFC9:UFC30 UOY9:UOY30 UYU9:UYU30 VIQ9:VIQ30 VSM9:VSM30">
      <formula1>IMPACTO</formula1>
    </dataValidation>
    <dataValidation type="list" allowBlank="1" showInputMessage="1" showErrorMessage="1" sqref="Q9:Q13 Q18 WCH9:WCH30 WVZ9:WVZ30 WMD9:WMD30 JN9:JN30 TJ9:TJ30 ADF9:ADF30 ANB9:ANB30 AWX9:AWX30 BGT9:BGT30 BQP9:BQP30 CAL9:CAL30 CKH9:CKH30 CUD9:CUD30 DDZ9:DDZ30 DNV9:DNV30 DXR9:DXR30 EHN9:EHN30 ERJ9:ERJ30 FBF9:FBF30 FLB9:FLB30 FUX9:FUX30 GET9:GET30 GOP9:GOP30 GYL9:GYL30 HIH9:HIH30 HSD9:HSD30 IBZ9:IBZ30 ILV9:ILV30 IVR9:IVR30 JFN9:JFN30 JPJ9:JPJ30 JZF9:JZF30 KJB9:KJB30 KSX9:KSX30 LCT9:LCT30 LMP9:LMP30 LWL9:LWL30 MGH9:MGH30 MQD9:MQD30 MZZ9:MZZ30 NJV9:NJV30 NTR9:NTR30 ODN9:ODN30 ONJ9:ONJ30 OXF9:OXF30 PHB9:PHB30 PQX9:PQX30 QAT9:QAT30 QKP9:QKP30 QUL9:QUL30 REH9:REH30 ROD9:ROD30 RXZ9:RXZ30 SHV9:SHV30 SRR9:SRR30 TBN9:TBN30 TLJ9:TLJ30 TVF9:TVF30 UFB9:UFB30 UOX9:UOX30 UYT9:UYT30 VIP9:VIP30 VSL9:VSL30">
      <formula1>PROBAB</formula1>
    </dataValidation>
    <dataValidation type="list" allowBlank="1" showInputMessage="1" showErrorMessage="1" sqref="AS23 AS9:AS13 AS17:AS18 WNE9:WNE30 WXA9:WXA30 KO9:KO30 UK9:UK30 AEG9:AEG30 AOC9:AOC30 AXY9:AXY30 BHU9:BHU30 BRQ9:BRQ30 CBM9:CBM30 CLI9:CLI30 CVE9:CVE30 DFA9:DFA30 DOW9:DOW30 DYS9:DYS30 EIO9:EIO30 ESK9:ESK30 FCG9:FCG30 FMC9:FMC30 FVY9:FVY30 GFU9:GFU30 GPQ9:GPQ30 GZM9:GZM30 HJI9:HJI30 HTE9:HTE30 IDA9:IDA30 IMW9:IMW30 IWS9:IWS30 JGO9:JGO30 JQK9:JQK30 KAG9:KAG30 KKC9:KKC30 KTY9:KTY30 LDU9:LDU30 LNQ9:LNQ30 LXM9:LXM30 MHI9:MHI30 MRE9:MRE30 NBA9:NBA30 NKW9:NKW30 NUS9:NUS30 OEO9:OEO30 OOK9:OOK30 OYG9:OYG30 PIC9:PIC30 PRY9:PRY30 QBU9:QBU30 QLQ9:QLQ30 QVM9:QVM30 RFI9:RFI30 RPE9:RPE30 RZA9:RZA30 SIW9:SIW30 SSS9:SSS30 TCO9:TCO30 TMK9:TMK30 TWG9:TWG30 UGC9:UGC30 UPY9:UPY30 UZU9:UZU30 VJQ9:VJQ30 VTM9:VTM30 WDI9:WDI30 AS27">
      <formula1>SINO</formula1>
    </dataValidation>
  </dataValidations>
  <printOptions horizontalCentered="1" verticalCentered="1"/>
  <pageMargins left="0.23622047244094491" right="0.23622047244094491" top="0.74803149606299213" bottom="0.74803149606299213" header="0.31496062992125984" footer="0.31496062992125984"/>
  <pageSetup paperSize="5" scale="38" firstPageNumber="0" orientation="landscape" r:id="rId1"/>
  <headerFooter>
    <oddFooter>&amp;L&amp;9Formato: FO-AC-07 Versión: 3&amp;C&amp;9Página &amp;P</oddFooter>
  </headerFooter>
  <rowBreaks count="1" manualBreakCount="1">
    <brk id="12" max="48" man="1"/>
  </row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M131"/>
  <sheetViews>
    <sheetView zoomScale="85" zoomScaleNormal="85" zoomScaleSheetLayoutView="100" zoomScalePageLayoutView="95" workbookViewId="0">
      <pane xSplit="5" ySplit="8" topLeftCell="F9" activePane="bottomRight" state="frozen"/>
      <selection pane="topRight" activeCell="F1" sqref="F1"/>
      <selection pane="bottomLeft" activeCell="A9" sqref="A9"/>
      <selection pane="bottomRight"/>
    </sheetView>
  </sheetViews>
  <sheetFormatPr baseColWidth="10" defaultRowHeight="12.75"/>
  <cols>
    <col min="1" max="1" width="12" style="235" customWidth="1"/>
    <col min="2" max="2" width="2.7109375" style="235" customWidth="1"/>
    <col min="3" max="4" width="6.5703125" style="235" customWidth="1"/>
    <col min="5" max="5" width="5.85546875" style="235" customWidth="1"/>
    <col min="6" max="6" width="6.5703125" style="235" customWidth="1"/>
    <col min="7" max="8" width="8.42578125" style="235" customWidth="1"/>
    <col min="9" max="9" width="18.140625" style="235" customWidth="1"/>
    <col min="10" max="10" width="2.5703125" style="235" customWidth="1"/>
    <col min="11" max="12" width="9.5703125" style="235" customWidth="1"/>
    <col min="13" max="15" width="3.7109375" style="235" customWidth="1"/>
    <col min="16" max="16" width="3.5703125" style="235" customWidth="1"/>
    <col min="17" max="17" width="2.85546875" style="235" customWidth="1"/>
    <col min="18" max="18" width="3" style="235" customWidth="1"/>
    <col min="19" max="21" width="0" style="235" hidden="1" customWidth="1"/>
    <col min="22" max="22" width="4.42578125" style="235" customWidth="1"/>
    <col min="23" max="23" width="0" style="235" hidden="1" customWidth="1"/>
    <col min="24" max="24" width="14.28515625" style="235" customWidth="1"/>
    <col min="25" max="25" width="16.5703125" style="235" customWidth="1"/>
    <col min="26" max="26" width="15" style="235" customWidth="1"/>
    <col min="27" max="27" width="15" style="1126" customWidth="1"/>
    <col min="28" max="28" width="8.28515625" style="235" customWidth="1"/>
    <col min="29" max="29" width="21" style="235" customWidth="1"/>
    <col min="30" max="30" width="4.140625" style="235" customWidth="1"/>
    <col min="31" max="31" width="3" style="235" customWidth="1"/>
    <col min="32" max="34" width="0" style="235" hidden="1" customWidth="1"/>
    <col min="35" max="35" width="3" style="235" customWidth="1"/>
    <col min="36" max="36" width="0" style="235" hidden="1" customWidth="1"/>
    <col min="37" max="37" width="3" style="235" customWidth="1"/>
    <col min="38" max="38" width="0" style="235" hidden="1" customWidth="1"/>
    <col min="39" max="39" width="11" style="235" customWidth="1"/>
    <col min="40" max="40" width="31.5703125" style="235" customWidth="1"/>
    <col min="41" max="41" width="23.42578125" style="235" customWidth="1"/>
    <col min="42" max="42" width="9.140625" style="235" customWidth="1"/>
    <col min="43" max="43" width="37.28515625" style="235" customWidth="1"/>
    <col min="44" max="44" width="34.7109375" style="235" customWidth="1"/>
    <col min="45" max="45" width="5.85546875" style="235" customWidth="1"/>
    <col min="46" max="46" width="26.5703125" style="235" customWidth="1"/>
    <col min="47" max="47" width="16.140625" style="235" customWidth="1"/>
    <col min="48" max="49" width="9.28515625" style="235" customWidth="1"/>
    <col min="50" max="50" width="11.140625" style="235" customWidth="1"/>
    <col min="51" max="51" width="2.140625" style="235" customWidth="1"/>
    <col min="52" max="257" width="11.42578125" style="235"/>
    <col min="258" max="258" width="12" style="235" customWidth="1"/>
    <col min="259" max="259" width="2.7109375" style="235" customWidth="1"/>
    <col min="260" max="261" width="6.5703125" style="235" customWidth="1"/>
    <col min="262" max="262" width="5.85546875" style="235" customWidth="1"/>
    <col min="263" max="263" width="6.5703125" style="235" customWidth="1"/>
    <col min="264" max="264" width="13.7109375" style="235" customWidth="1"/>
    <col min="265" max="266" width="9" style="235" customWidth="1"/>
    <col min="267" max="267" width="2.5703125" style="235" customWidth="1"/>
    <col min="268" max="268" width="8.85546875" style="235" customWidth="1"/>
    <col min="269" max="269" width="7.5703125" style="235" customWidth="1"/>
    <col min="270" max="272" width="3.7109375" style="235" customWidth="1"/>
    <col min="273" max="273" width="3.5703125" style="235" customWidth="1"/>
    <col min="274" max="274" width="2.85546875" style="235" customWidth="1"/>
    <col min="275" max="275" width="3" style="235" customWidth="1"/>
    <col min="276" max="278" width="0" style="235" hidden="1" customWidth="1"/>
    <col min="279" max="279" width="4.42578125" style="235" customWidth="1"/>
    <col min="280" max="280" width="0" style="235" hidden="1" customWidth="1"/>
    <col min="281" max="282" width="14.85546875" style="235" customWidth="1"/>
    <col min="283" max="283" width="15.140625" style="235" customWidth="1"/>
    <col min="284" max="284" width="6.42578125" style="235" customWidth="1"/>
    <col min="285" max="285" width="15.140625" style="235" customWidth="1"/>
    <col min="286" max="286" width="4.140625" style="235" customWidth="1"/>
    <col min="287" max="287" width="3" style="235" customWidth="1"/>
    <col min="288" max="290" width="0" style="235" hidden="1" customWidth="1"/>
    <col min="291" max="291" width="3" style="235" customWidth="1"/>
    <col min="292" max="292" width="0" style="235" hidden="1" customWidth="1"/>
    <col min="293" max="293" width="3" style="235" customWidth="1"/>
    <col min="294" max="294" width="0" style="235" hidden="1" customWidth="1"/>
    <col min="295" max="295" width="4.42578125" style="235" customWidth="1"/>
    <col min="296" max="296" width="34.28515625" style="235" customWidth="1"/>
    <col min="297" max="297" width="23.42578125" style="235" customWidth="1"/>
    <col min="298" max="298" width="9.140625" style="235" customWidth="1"/>
    <col min="299" max="299" width="19.5703125" style="235" customWidth="1"/>
    <col min="300" max="300" width="42.7109375" style="235" customWidth="1"/>
    <col min="301" max="301" width="5.85546875" style="235" customWidth="1"/>
    <col min="302" max="302" width="31.5703125" style="235" customWidth="1"/>
    <col min="303" max="303" width="16.140625" style="235" customWidth="1"/>
    <col min="304" max="305" width="9.28515625" style="235" customWidth="1"/>
    <col min="306" max="306" width="11.140625" style="235" customWidth="1"/>
    <col min="307" max="307" width="2.140625" style="235" customWidth="1"/>
    <col min="308" max="513" width="11.42578125" style="235"/>
    <col min="514" max="514" width="12" style="235" customWidth="1"/>
    <col min="515" max="515" width="2.7109375" style="235" customWidth="1"/>
    <col min="516" max="517" width="6.5703125" style="235" customWidth="1"/>
    <col min="518" max="518" width="5.85546875" style="235" customWidth="1"/>
    <col min="519" max="519" width="6.5703125" style="235" customWidth="1"/>
    <col min="520" max="520" width="13.7109375" style="235" customWidth="1"/>
    <col min="521" max="522" width="9" style="235" customWidth="1"/>
    <col min="523" max="523" width="2.5703125" style="235" customWidth="1"/>
    <col min="524" max="524" width="8.85546875" style="235" customWidth="1"/>
    <col min="525" max="525" width="7.5703125" style="235" customWidth="1"/>
    <col min="526" max="528" width="3.7109375" style="235" customWidth="1"/>
    <col min="529" max="529" width="3.5703125" style="235" customWidth="1"/>
    <col min="530" max="530" width="2.85546875" style="235" customWidth="1"/>
    <col min="531" max="531" width="3" style="235" customWidth="1"/>
    <col min="532" max="534" width="0" style="235" hidden="1" customWidth="1"/>
    <col min="535" max="535" width="4.42578125" style="235" customWidth="1"/>
    <col min="536" max="536" width="0" style="235" hidden="1" customWidth="1"/>
    <col min="537" max="538" width="14.85546875" style="235" customWidth="1"/>
    <col min="539" max="539" width="15.140625" style="235" customWidth="1"/>
    <col min="540" max="540" width="6.42578125" style="235" customWidth="1"/>
    <col min="541" max="541" width="15.140625" style="235" customWidth="1"/>
    <col min="542" max="542" width="4.140625" style="235" customWidth="1"/>
    <col min="543" max="543" width="3" style="235" customWidth="1"/>
    <col min="544" max="546" width="0" style="235" hidden="1" customWidth="1"/>
    <col min="547" max="547" width="3" style="235" customWidth="1"/>
    <col min="548" max="548" width="0" style="235" hidden="1" customWidth="1"/>
    <col min="549" max="549" width="3" style="235" customWidth="1"/>
    <col min="550" max="550" width="0" style="235" hidden="1" customWidth="1"/>
    <col min="551" max="551" width="4.42578125" style="235" customWidth="1"/>
    <col min="552" max="552" width="34.28515625" style="235" customWidth="1"/>
    <col min="553" max="553" width="23.42578125" style="235" customWidth="1"/>
    <col min="554" max="554" width="9.140625" style="235" customWidth="1"/>
    <col min="555" max="555" width="19.5703125" style="235" customWidth="1"/>
    <col min="556" max="556" width="42.7109375" style="235" customWidth="1"/>
    <col min="557" max="557" width="5.85546875" style="235" customWidth="1"/>
    <col min="558" max="558" width="31.5703125" style="235" customWidth="1"/>
    <col min="559" max="559" width="16.140625" style="235" customWidth="1"/>
    <col min="560" max="561" width="9.28515625" style="235" customWidth="1"/>
    <col min="562" max="562" width="11.140625" style="235" customWidth="1"/>
    <col min="563" max="563" width="2.140625" style="235" customWidth="1"/>
    <col min="564" max="769" width="11.42578125" style="235"/>
    <col min="770" max="770" width="12" style="235" customWidth="1"/>
    <col min="771" max="771" width="2.7109375" style="235" customWidth="1"/>
    <col min="772" max="773" width="6.5703125" style="235" customWidth="1"/>
    <col min="774" max="774" width="5.85546875" style="235" customWidth="1"/>
    <col min="775" max="775" width="6.5703125" style="235" customWidth="1"/>
    <col min="776" max="776" width="13.7109375" style="235" customWidth="1"/>
    <col min="777" max="778" width="9" style="235" customWidth="1"/>
    <col min="779" max="779" width="2.5703125" style="235" customWidth="1"/>
    <col min="780" max="780" width="8.85546875" style="235" customWidth="1"/>
    <col min="781" max="781" width="7.5703125" style="235" customWidth="1"/>
    <col min="782" max="784" width="3.7109375" style="235" customWidth="1"/>
    <col min="785" max="785" width="3.5703125" style="235" customWidth="1"/>
    <col min="786" max="786" width="2.85546875" style="235" customWidth="1"/>
    <col min="787" max="787" width="3" style="235" customWidth="1"/>
    <col min="788" max="790" width="0" style="235" hidden="1" customWidth="1"/>
    <col min="791" max="791" width="4.42578125" style="235" customWidth="1"/>
    <col min="792" max="792" width="0" style="235" hidden="1" customWidth="1"/>
    <col min="793" max="794" width="14.85546875" style="235" customWidth="1"/>
    <col min="795" max="795" width="15.140625" style="235" customWidth="1"/>
    <col min="796" max="796" width="6.42578125" style="235" customWidth="1"/>
    <col min="797" max="797" width="15.140625" style="235" customWidth="1"/>
    <col min="798" max="798" width="4.140625" style="235" customWidth="1"/>
    <col min="799" max="799" width="3" style="235" customWidth="1"/>
    <col min="800" max="802" width="0" style="235" hidden="1" customWidth="1"/>
    <col min="803" max="803" width="3" style="235" customWidth="1"/>
    <col min="804" max="804" width="0" style="235" hidden="1" customWidth="1"/>
    <col min="805" max="805" width="3" style="235" customWidth="1"/>
    <col min="806" max="806" width="0" style="235" hidden="1" customWidth="1"/>
    <col min="807" max="807" width="4.42578125" style="235" customWidth="1"/>
    <col min="808" max="808" width="34.28515625" style="235" customWidth="1"/>
    <col min="809" max="809" width="23.42578125" style="235" customWidth="1"/>
    <col min="810" max="810" width="9.140625" style="235" customWidth="1"/>
    <col min="811" max="811" width="19.5703125" style="235" customWidth="1"/>
    <col min="812" max="812" width="42.7109375" style="235" customWidth="1"/>
    <col min="813" max="813" width="5.85546875" style="235" customWidth="1"/>
    <col min="814" max="814" width="31.5703125" style="235" customWidth="1"/>
    <col min="815" max="815" width="16.140625" style="235" customWidth="1"/>
    <col min="816" max="817" width="9.28515625" style="235" customWidth="1"/>
    <col min="818" max="818" width="11.140625" style="235" customWidth="1"/>
    <col min="819" max="819" width="2.140625" style="235" customWidth="1"/>
    <col min="820" max="1025" width="11.42578125" style="235"/>
    <col min="1026" max="1026" width="12" style="235" customWidth="1"/>
    <col min="1027" max="1027" width="2.7109375" style="235" customWidth="1"/>
    <col min="1028" max="1029" width="6.5703125" style="236" customWidth="1"/>
    <col min="1030" max="1030" width="5.85546875" style="236" customWidth="1"/>
    <col min="1031" max="1031" width="6.5703125" style="236" customWidth="1"/>
    <col min="1032" max="1032" width="13.7109375" style="236" customWidth="1"/>
    <col min="1033" max="1034" width="9" style="236" customWidth="1"/>
    <col min="1035" max="1035" width="2.5703125" style="236" customWidth="1"/>
    <col min="1036" max="1036" width="8.85546875" style="236" customWidth="1"/>
    <col min="1037" max="1037" width="7.5703125" style="236" customWidth="1"/>
    <col min="1038" max="1040" width="3.7109375" style="236" customWidth="1"/>
    <col min="1041" max="1041" width="3.5703125" style="236" customWidth="1"/>
    <col min="1042" max="1042" width="2.85546875" style="236" customWidth="1"/>
    <col min="1043" max="1043" width="3" style="236" customWidth="1"/>
    <col min="1044" max="1046" width="0" style="236" hidden="1" customWidth="1"/>
    <col min="1047" max="1047" width="4.42578125" style="236" customWidth="1"/>
    <col min="1048" max="1048" width="0" style="236" hidden="1" customWidth="1"/>
    <col min="1049" max="1050" width="14.85546875" style="236" customWidth="1"/>
    <col min="1051" max="1051" width="15.140625" style="236" customWidth="1"/>
    <col min="1052" max="1052" width="6.42578125" style="236" customWidth="1"/>
    <col min="1053" max="1053" width="15.140625" style="236" customWidth="1"/>
    <col min="1054" max="1054" width="4.140625" style="236" customWidth="1"/>
    <col min="1055" max="1055" width="3" style="236" customWidth="1"/>
    <col min="1056" max="1058" width="0" style="236" hidden="1" customWidth="1"/>
    <col min="1059" max="1059" width="3" style="236" customWidth="1"/>
    <col min="1060" max="1060" width="0" style="236" hidden="1" customWidth="1"/>
    <col min="1061" max="1061" width="3" style="236" customWidth="1"/>
    <col min="1062" max="1062" width="0" style="236" hidden="1" customWidth="1"/>
    <col min="1063" max="1063" width="4.42578125" style="236" customWidth="1"/>
    <col min="1064" max="1064" width="34.28515625" style="236" customWidth="1"/>
    <col min="1065" max="1065" width="23.42578125" style="236" customWidth="1"/>
    <col min="1066" max="1066" width="9.140625" style="236" customWidth="1"/>
    <col min="1067" max="1067" width="19.5703125" style="236" customWidth="1"/>
    <col min="1068" max="1068" width="42.7109375" style="236" customWidth="1"/>
    <col min="1069" max="1069" width="5.85546875" style="236" customWidth="1"/>
    <col min="1070" max="1070" width="31.5703125" style="236" customWidth="1"/>
    <col min="1071" max="1071" width="16.140625" style="236" customWidth="1"/>
    <col min="1072" max="1073" width="9.28515625" style="236" customWidth="1"/>
    <col min="1074" max="1074" width="11.140625" style="236" customWidth="1"/>
    <col min="1075" max="1075" width="2.140625" style="236" customWidth="1"/>
    <col min="1076" max="1281" width="11.42578125" style="236"/>
    <col min="1282" max="1282" width="12" style="236" customWidth="1"/>
    <col min="1283" max="1283" width="2.7109375" style="236" customWidth="1"/>
    <col min="1284" max="1285" width="6.5703125" style="236" customWidth="1"/>
    <col min="1286" max="1286" width="5.85546875" style="236" customWidth="1"/>
    <col min="1287" max="1287" width="6.5703125" style="236" customWidth="1"/>
    <col min="1288" max="1288" width="13.7109375" style="236" customWidth="1"/>
    <col min="1289" max="1290" width="9" style="236" customWidth="1"/>
    <col min="1291" max="1291" width="2.5703125" style="236" customWidth="1"/>
    <col min="1292" max="1292" width="8.85546875" style="236" customWidth="1"/>
    <col min="1293" max="1293" width="7.5703125" style="236" customWidth="1"/>
    <col min="1294" max="1296" width="3.7109375" style="236" customWidth="1"/>
    <col min="1297" max="1297" width="3.5703125" style="236" customWidth="1"/>
    <col min="1298" max="1298" width="2.85546875" style="236" customWidth="1"/>
    <col min="1299" max="1299" width="3" style="236" customWidth="1"/>
    <col min="1300" max="1302" width="0" style="236" hidden="1" customWidth="1"/>
    <col min="1303" max="1303" width="4.42578125" style="236" customWidth="1"/>
    <col min="1304" max="1304" width="0" style="236" hidden="1" customWidth="1"/>
    <col min="1305" max="1306" width="14.85546875" style="236" customWidth="1"/>
    <col min="1307" max="1307" width="15.140625" style="236" customWidth="1"/>
    <col min="1308" max="1308" width="6.42578125" style="236" customWidth="1"/>
    <col min="1309" max="1309" width="15.140625" style="236" customWidth="1"/>
    <col min="1310" max="1310" width="4.140625" style="236" customWidth="1"/>
    <col min="1311" max="1311" width="3" style="236" customWidth="1"/>
    <col min="1312" max="1314" width="0" style="236" hidden="1" customWidth="1"/>
    <col min="1315" max="1315" width="3" style="236" customWidth="1"/>
    <col min="1316" max="1316" width="0" style="236" hidden="1" customWidth="1"/>
    <col min="1317" max="1317" width="3" style="236" customWidth="1"/>
    <col min="1318" max="1318" width="0" style="236" hidden="1" customWidth="1"/>
    <col min="1319" max="1319" width="4.42578125" style="236" customWidth="1"/>
    <col min="1320" max="1320" width="34.28515625" style="236" customWidth="1"/>
    <col min="1321" max="1321" width="23.42578125" style="236" customWidth="1"/>
    <col min="1322" max="1322" width="9.140625" style="236" customWidth="1"/>
    <col min="1323" max="1323" width="19.5703125" style="236" customWidth="1"/>
    <col min="1324" max="1324" width="42.7109375" style="236" customWidth="1"/>
    <col min="1325" max="1325" width="5.85546875" style="236" customWidth="1"/>
    <col min="1326" max="1326" width="31.5703125" style="236" customWidth="1"/>
    <col min="1327" max="1327" width="16.140625" style="236" customWidth="1"/>
    <col min="1328" max="1329" width="9.28515625" style="236" customWidth="1"/>
    <col min="1330" max="1330" width="11.140625" style="236" customWidth="1"/>
    <col min="1331" max="1331" width="2.140625" style="236" customWidth="1"/>
    <col min="1332" max="1537" width="11.42578125" style="236"/>
    <col min="1538" max="1538" width="12" style="236" customWidth="1"/>
    <col min="1539" max="1539" width="2.7109375" style="236" customWidth="1"/>
    <col min="1540" max="1541" width="6.5703125" style="236" customWidth="1"/>
    <col min="1542" max="1542" width="5.85546875" style="236" customWidth="1"/>
    <col min="1543" max="1543" width="6.5703125" style="236" customWidth="1"/>
    <col min="1544" max="1544" width="13.7109375" style="236" customWidth="1"/>
    <col min="1545" max="1546" width="9" style="236" customWidth="1"/>
    <col min="1547" max="1547" width="2.5703125" style="236" customWidth="1"/>
    <col min="1548" max="1548" width="8.85546875" style="236" customWidth="1"/>
    <col min="1549" max="1549" width="7.5703125" style="236" customWidth="1"/>
    <col min="1550" max="1552" width="3.7109375" style="236" customWidth="1"/>
    <col min="1553" max="1553" width="3.5703125" style="236" customWidth="1"/>
    <col min="1554" max="1554" width="2.85546875" style="236" customWidth="1"/>
    <col min="1555" max="1555" width="3" style="236" customWidth="1"/>
    <col min="1556" max="1558" width="0" style="236" hidden="1" customWidth="1"/>
    <col min="1559" max="1559" width="4.42578125" style="236" customWidth="1"/>
    <col min="1560" max="1560" width="0" style="236" hidden="1" customWidth="1"/>
    <col min="1561" max="1562" width="14.85546875" style="236" customWidth="1"/>
    <col min="1563" max="1563" width="15.140625" style="236" customWidth="1"/>
    <col min="1564" max="1564" width="6.42578125" style="236" customWidth="1"/>
    <col min="1565" max="1565" width="15.140625" style="236" customWidth="1"/>
    <col min="1566" max="1566" width="4.140625" style="236" customWidth="1"/>
    <col min="1567" max="1567" width="3" style="236" customWidth="1"/>
    <col min="1568" max="1570" width="0" style="236" hidden="1" customWidth="1"/>
    <col min="1571" max="1571" width="3" style="236" customWidth="1"/>
    <col min="1572" max="1572" width="0" style="236" hidden="1" customWidth="1"/>
    <col min="1573" max="1573" width="3" style="236" customWidth="1"/>
    <col min="1574" max="1574" width="0" style="236" hidden="1" customWidth="1"/>
    <col min="1575" max="1575" width="4.42578125" style="236" customWidth="1"/>
    <col min="1576" max="1576" width="34.28515625" style="236" customWidth="1"/>
    <col min="1577" max="1577" width="23.42578125" style="236" customWidth="1"/>
    <col min="1578" max="1578" width="9.140625" style="236" customWidth="1"/>
    <col min="1579" max="1579" width="19.5703125" style="236" customWidth="1"/>
    <col min="1580" max="1580" width="42.7109375" style="236" customWidth="1"/>
    <col min="1581" max="1581" width="5.85546875" style="236" customWidth="1"/>
    <col min="1582" max="1582" width="31.5703125" style="236" customWidth="1"/>
    <col min="1583" max="1583" width="16.140625" style="236" customWidth="1"/>
    <col min="1584" max="1585" width="9.28515625" style="236" customWidth="1"/>
    <col min="1586" max="1586" width="11.140625" style="236" customWidth="1"/>
    <col min="1587" max="1587" width="2.140625" style="236" customWidth="1"/>
    <col min="1588" max="1793" width="11.42578125" style="236"/>
    <col min="1794" max="1794" width="12" style="236" customWidth="1"/>
    <col min="1795" max="1795" width="2.7109375" style="236" customWidth="1"/>
    <col min="1796" max="1797" width="6.5703125" style="236" customWidth="1"/>
    <col min="1798" max="1798" width="5.85546875" style="236" customWidth="1"/>
    <col min="1799" max="1799" width="6.5703125" style="236" customWidth="1"/>
    <col min="1800" max="1800" width="13.7109375" style="236" customWidth="1"/>
    <col min="1801" max="1802" width="9" style="236" customWidth="1"/>
    <col min="1803" max="1803" width="2.5703125" style="236" customWidth="1"/>
    <col min="1804" max="1804" width="8.85546875" style="236" customWidth="1"/>
    <col min="1805" max="1805" width="7.5703125" style="236" customWidth="1"/>
    <col min="1806" max="1808" width="3.7109375" style="236" customWidth="1"/>
    <col min="1809" max="1809" width="3.5703125" style="236" customWidth="1"/>
    <col min="1810" max="1810" width="2.85546875" style="236" customWidth="1"/>
    <col min="1811" max="1811" width="3" style="236" customWidth="1"/>
    <col min="1812" max="1814" width="0" style="236" hidden="1" customWidth="1"/>
    <col min="1815" max="1815" width="4.42578125" style="236" customWidth="1"/>
    <col min="1816" max="1816" width="0" style="236" hidden="1" customWidth="1"/>
    <col min="1817" max="1818" width="14.85546875" style="236" customWidth="1"/>
    <col min="1819" max="1819" width="15.140625" style="236" customWidth="1"/>
    <col min="1820" max="1820" width="6.42578125" style="236" customWidth="1"/>
    <col min="1821" max="1821" width="15.140625" style="236" customWidth="1"/>
    <col min="1822" max="1822" width="4.140625" style="236" customWidth="1"/>
    <col min="1823" max="1823" width="3" style="236" customWidth="1"/>
    <col min="1824" max="1826" width="0" style="236" hidden="1" customWidth="1"/>
    <col min="1827" max="1827" width="3" style="236" customWidth="1"/>
    <col min="1828" max="1828" width="0" style="236" hidden="1" customWidth="1"/>
    <col min="1829" max="1829" width="3" style="236" customWidth="1"/>
    <col min="1830" max="1830" width="0" style="236" hidden="1" customWidth="1"/>
    <col min="1831" max="1831" width="4.42578125" style="236" customWidth="1"/>
    <col min="1832" max="1832" width="34.28515625" style="236" customWidth="1"/>
    <col min="1833" max="1833" width="23.42578125" style="236" customWidth="1"/>
    <col min="1834" max="1834" width="9.140625" style="236" customWidth="1"/>
    <col min="1835" max="1835" width="19.5703125" style="236" customWidth="1"/>
    <col min="1836" max="1836" width="42.7109375" style="236" customWidth="1"/>
    <col min="1837" max="1837" width="5.85546875" style="236" customWidth="1"/>
    <col min="1838" max="1838" width="31.5703125" style="236" customWidth="1"/>
    <col min="1839" max="1839" width="16.140625" style="236" customWidth="1"/>
    <col min="1840" max="1841" width="9.28515625" style="236" customWidth="1"/>
    <col min="1842" max="1842" width="11.140625" style="236" customWidth="1"/>
    <col min="1843" max="1843" width="2.140625" style="236" customWidth="1"/>
    <col min="1844" max="2049" width="11.42578125" style="236"/>
    <col min="2050" max="2050" width="12" style="236" customWidth="1"/>
    <col min="2051" max="2051" width="2.7109375" style="236" customWidth="1"/>
    <col min="2052" max="2053" width="6.5703125" style="236" customWidth="1"/>
    <col min="2054" max="2054" width="5.85546875" style="236" customWidth="1"/>
    <col min="2055" max="2055" width="6.5703125" style="236" customWidth="1"/>
    <col min="2056" max="2056" width="13.7109375" style="236" customWidth="1"/>
    <col min="2057" max="2058" width="9" style="236" customWidth="1"/>
    <col min="2059" max="2059" width="2.5703125" style="236" customWidth="1"/>
    <col min="2060" max="2060" width="8.85546875" style="236" customWidth="1"/>
    <col min="2061" max="2061" width="7.5703125" style="236" customWidth="1"/>
    <col min="2062" max="2064" width="3.7109375" style="236" customWidth="1"/>
    <col min="2065" max="2065" width="3.5703125" style="236" customWidth="1"/>
    <col min="2066" max="2066" width="2.85546875" style="236" customWidth="1"/>
    <col min="2067" max="2067" width="3" style="236" customWidth="1"/>
    <col min="2068" max="2070" width="0" style="236" hidden="1" customWidth="1"/>
    <col min="2071" max="2071" width="4.42578125" style="236" customWidth="1"/>
    <col min="2072" max="2072" width="0" style="236" hidden="1" customWidth="1"/>
    <col min="2073" max="2074" width="14.85546875" style="236" customWidth="1"/>
    <col min="2075" max="2075" width="15.140625" style="236" customWidth="1"/>
    <col min="2076" max="2076" width="6.42578125" style="236" customWidth="1"/>
    <col min="2077" max="2077" width="15.140625" style="236" customWidth="1"/>
    <col min="2078" max="2078" width="4.140625" style="236" customWidth="1"/>
    <col min="2079" max="2079" width="3" style="236" customWidth="1"/>
    <col min="2080" max="2082" width="0" style="236" hidden="1" customWidth="1"/>
    <col min="2083" max="2083" width="3" style="236" customWidth="1"/>
    <col min="2084" max="2084" width="0" style="236" hidden="1" customWidth="1"/>
    <col min="2085" max="2085" width="3" style="236" customWidth="1"/>
    <col min="2086" max="2086" width="0" style="236" hidden="1" customWidth="1"/>
    <col min="2087" max="2087" width="4.42578125" style="236" customWidth="1"/>
    <col min="2088" max="2088" width="34.28515625" style="236" customWidth="1"/>
    <col min="2089" max="2089" width="23.42578125" style="236" customWidth="1"/>
    <col min="2090" max="2090" width="9.140625" style="236" customWidth="1"/>
    <col min="2091" max="2091" width="19.5703125" style="236" customWidth="1"/>
    <col min="2092" max="2092" width="42.7109375" style="236" customWidth="1"/>
    <col min="2093" max="2093" width="5.85546875" style="236" customWidth="1"/>
    <col min="2094" max="2094" width="31.5703125" style="236" customWidth="1"/>
    <col min="2095" max="2095" width="16.140625" style="236" customWidth="1"/>
    <col min="2096" max="2097" width="9.28515625" style="236" customWidth="1"/>
    <col min="2098" max="2098" width="11.140625" style="236" customWidth="1"/>
    <col min="2099" max="2099" width="2.140625" style="236" customWidth="1"/>
    <col min="2100" max="2305" width="11.42578125" style="236"/>
    <col min="2306" max="2306" width="12" style="236" customWidth="1"/>
    <col min="2307" max="2307" width="2.7109375" style="236" customWidth="1"/>
    <col min="2308" max="2309" width="6.5703125" style="236" customWidth="1"/>
    <col min="2310" max="2310" width="5.85546875" style="236" customWidth="1"/>
    <col min="2311" max="2311" width="6.5703125" style="236" customWidth="1"/>
    <col min="2312" max="2312" width="13.7109375" style="236" customWidth="1"/>
    <col min="2313" max="2314" width="9" style="236" customWidth="1"/>
    <col min="2315" max="2315" width="2.5703125" style="236" customWidth="1"/>
    <col min="2316" max="2316" width="8.85546875" style="236" customWidth="1"/>
    <col min="2317" max="2317" width="7.5703125" style="236" customWidth="1"/>
    <col min="2318" max="2320" width="3.7109375" style="236" customWidth="1"/>
    <col min="2321" max="2321" width="3.5703125" style="236" customWidth="1"/>
    <col min="2322" max="2322" width="2.85546875" style="236" customWidth="1"/>
    <col min="2323" max="2323" width="3" style="236" customWidth="1"/>
    <col min="2324" max="2326" width="0" style="236" hidden="1" customWidth="1"/>
    <col min="2327" max="2327" width="4.42578125" style="236" customWidth="1"/>
    <col min="2328" max="2328" width="0" style="236" hidden="1" customWidth="1"/>
    <col min="2329" max="2330" width="14.85546875" style="236" customWidth="1"/>
    <col min="2331" max="2331" width="15.140625" style="236" customWidth="1"/>
    <col min="2332" max="2332" width="6.42578125" style="236" customWidth="1"/>
    <col min="2333" max="2333" width="15.140625" style="236" customWidth="1"/>
    <col min="2334" max="2334" width="4.140625" style="236" customWidth="1"/>
    <col min="2335" max="2335" width="3" style="236" customWidth="1"/>
    <col min="2336" max="2338" width="0" style="236" hidden="1" customWidth="1"/>
    <col min="2339" max="2339" width="3" style="236" customWidth="1"/>
    <col min="2340" max="2340" width="0" style="236" hidden="1" customWidth="1"/>
    <col min="2341" max="2341" width="3" style="236" customWidth="1"/>
    <col min="2342" max="2342" width="0" style="236" hidden="1" customWidth="1"/>
    <col min="2343" max="2343" width="4.42578125" style="236" customWidth="1"/>
    <col min="2344" max="2344" width="34.28515625" style="236" customWidth="1"/>
    <col min="2345" max="2345" width="23.42578125" style="236" customWidth="1"/>
    <col min="2346" max="2346" width="9.140625" style="236" customWidth="1"/>
    <col min="2347" max="2347" width="19.5703125" style="236" customWidth="1"/>
    <col min="2348" max="2348" width="42.7109375" style="236" customWidth="1"/>
    <col min="2349" max="2349" width="5.85546875" style="236" customWidth="1"/>
    <col min="2350" max="2350" width="31.5703125" style="236" customWidth="1"/>
    <col min="2351" max="2351" width="16.140625" style="236" customWidth="1"/>
    <col min="2352" max="2353" width="9.28515625" style="236" customWidth="1"/>
    <col min="2354" max="2354" width="11.140625" style="236" customWidth="1"/>
    <col min="2355" max="2355" width="2.140625" style="236" customWidth="1"/>
    <col min="2356" max="2561" width="11.42578125" style="236"/>
    <col min="2562" max="2562" width="12" style="236" customWidth="1"/>
    <col min="2563" max="2563" width="2.7109375" style="236" customWidth="1"/>
    <col min="2564" max="2565" width="6.5703125" style="236" customWidth="1"/>
    <col min="2566" max="2566" width="5.85546875" style="236" customWidth="1"/>
    <col min="2567" max="2567" width="6.5703125" style="236" customWidth="1"/>
    <col min="2568" max="2568" width="13.7109375" style="236" customWidth="1"/>
    <col min="2569" max="2570" width="9" style="236" customWidth="1"/>
    <col min="2571" max="2571" width="2.5703125" style="236" customWidth="1"/>
    <col min="2572" max="2572" width="8.85546875" style="236" customWidth="1"/>
    <col min="2573" max="2573" width="7.5703125" style="236" customWidth="1"/>
    <col min="2574" max="2576" width="3.7109375" style="236" customWidth="1"/>
    <col min="2577" max="2577" width="3.5703125" style="236" customWidth="1"/>
    <col min="2578" max="2578" width="2.85546875" style="236" customWidth="1"/>
    <col min="2579" max="2579" width="3" style="236" customWidth="1"/>
    <col min="2580" max="2582" width="0" style="236" hidden="1" customWidth="1"/>
    <col min="2583" max="2583" width="4.42578125" style="236" customWidth="1"/>
    <col min="2584" max="2584" width="0" style="236" hidden="1" customWidth="1"/>
    <col min="2585" max="2586" width="14.85546875" style="236" customWidth="1"/>
    <col min="2587" max="2587" width="15.140625" style="236" customWidth="1"/>
    <col min="2588" max="2588" width="6.42578125" style="236" customWidth="1"/>
    <col min="2589" max="2589" width="15.140625" style="236" customWidth="1"/>
    <col min="2590" max="2590" width="4.140625" style="236" customWidth="1"/>
    <col min="2591" max="2591" width="3" style="236" customWidth="1"/>
    <col min="2592" max="2594" width="0" style="236" hidden="1" customWidth="1"/>
    <col min="2595" max="2595" width="3" style="236" customWidth="1"/>
    <col min="2596" max="2596" width="0" style="236" hidden="1" customWidth="1"/>
    <col min="2597" max="2597" width="3" style="236" customWidth="1"/>
    <col min="2598" max="2598" width="0" style="236" hidden="1" customWidth="1"/>
    <col min="2599" max="2599" width="4.42578125" style="236" customWidth="1"/>
    <col min="2600" max="2600" width="34.28515625" style="236" customWidth="1"/>
    <col min="2601" max="2601" width="23.42578125" style="236" customWidth="1"/>
    <col min="2602" max="2602" width="9.140625" style="236" customWidth="1"/>
    <col min="2603" max="2603" width="19.5703125" style="236" customWidth="1"/>
    <col min="2604" max="2604" width="42.7109375" style="236" customWidth="1"/>
    <col min="2605" max="2605" width="5.85546875" style="236" customWidth="1"/>
    <col min="2606" max="2606" width="31.5703125" style="236" customWidth="1"/>
    <col min="2607" max="2607" width="16.140625" style="236" customWidth="1"/>
    <col min="2608" max="2609" width="9.28515625" style="236" customWidth="1"/>
    <col min="2610" max="2610" width="11.140625" style="236" customWidth="1"/>
    <col min="2611" max="2611" width="2.140625" style="236" customWidth="1"/>
    <col min="2612" max="2817" width="11.42578125" style="236"/>
    <col min="2818" max="2818" width="12" style="236" customWidth="1"/>
    <col min="2819" max="2819" width="2.7109375" style="236" customWidth="1"/>
    <col min="2820" max="2821" width="6.5703125" style="236" customWidth="1"/>
    <col min="2822" max="2822" width="5.85546875" style="236" customWidth="1"/>
    <col min="2823" max="2823" width="6.5703125" style="236" customWidth="1"/>
    <col min="2824" max="2824" width="13.7109375" style="236" customWidth="1"/>
    <col min="2825" max="2826" width="9" style="236" customWidth="1"/>
    <col min="2827" max="2827" width="2.5703125" style="236" customWidth="1"/>
    <col min="2828" max="2828" width="8.85546875" style="236" customWidth="1"/>
    <col min="2829" max="2829" width="7.5703125" style="236" customWidth="1"/>
    <col min="2830" max="2832" width="3.7109375" style="236" customWidth="1"/>
    <col min="2833" max="2833" width="3.5703125" style="236" customWidth="1"/>
    <col min="2834" max="2834" width="2.85546875" style="236" customWidth="1"/>
    <col min="2835" max="2835" width="3" style="236" customWidth="1"/>
    <col min="2836" max="2838" width="0" style="236" hidden="1" customWidth="1"/>
    <col min="2839" max="2839" width="4.42578125" style="236" customWidth="1"/>
    <col min="2840" max="2840" width="0" style="236" hidden="1" customWidth="1"/>
    <col min="2841" max="2842" width="14.85546875" style="236" customWidth="1"/>
    <col min="2843" max="2843" width="15.140625" style="236" customWidth="1"/>
    <col min="2844" max="2844" width="6.42578125" style="236" customWidth="1"/>
    <col min="2845" max="2845" width="15.140625" style="236" customWidth="1"/>
    <col min="2846" max="2846" width="4.140625" style="236" customWidth="1"/>
    <col min="2847" max="2847" width="3" style="236" customWidth="1"/>
    <col min="2848" max="2850" width="0" style="236" hidden="1" customWidth="1"/>
    <col min="2851" max="2851" width="3" style="236" customWidth="1"/>
    <col min="2852" max="2852" width="0" style="236" hidden="1" customWidth="1"/>
    <col min="2853" max="2853" width="3" style="236" customWidth="1"/>
    <col min="2854" max="2854" width="0" style="236" hidden="1" customWidth="1"/>
    <col min="2855" max="2855" width="4.42578125" style="236" customWidth="1"/>
    <col min="2856" max="2856" width="34.28515625" style="236" customWidth="1"/>
    <col min="2857" max="2857" width="23.42578125" style="236" customWidth="1"/>
    <col min="2858" max="2858" width="9.140625" style="236" customWidth="1"/>
    <col min="2859" max="2859" width="19.5703125" style="236" customWidth="1"/>
    <col min="2860" max="2860" width="42.7109375" style="236" customWidth="1"/>
    <col min="2861" max="2861" width="5.85546875" style="236" customWidth="1"/>
    <col min="2862" max="2862" width="31.5703125" style="236" customWidth="1"/>
    <col min="2863" max="2863" width="16.140625" style="236" customWidth="1"/>
    <col min="2864" max="2865" width="9.28515625" style="236" customWidth="1"/>
    <col min="2866" max="2866" width="11.140625" style="236" customWidth="1"/>
    <col min="2867" max="2867" width="2.140625" style="236" customWidth="1"/>
    <col min="2868" max="3073" width="11.42578125" style="236"/>
    <col min="3074" max="3074" width="12" style="236" customWidth="1"/>
    <col min="3075" max="3075" width="2.7109375" style="236" customWidth="1"/>
    <col min="3076" max="3077" width="6.5703125" style="236" customWidth="1"/>
    <col min="3078" max="3078" width="5.85546875" style="236" customWidth="1"/>
    <col min="3079" max="3079" width="6.5703125" style="236" customWidth="1"/>
    <col min="3080" max="3080" width="13.7109375" style="236" customWidth="1"/>
    <col min="3081" max="3082" width="9" style="236" customWidth="1"/>
    <col min="3083" max="3083" width="2.5703125" style="236" customWidth="1"/>
    <col min="3084" max="3084" width="8.85546875" style="236" customWidth="1"/>
    <col min="3085" max="3085" width="7.5703125" style="236" customWidth="1"/>
    <col min="3086" max="3088" width="3.7109375" style="236" customWidth="1"/>
    <col min="3089" max="3089" width="3.5703125" style="236" customWidth="1"/>
    <col min="3090" max="3090" width="2.85546875" style="236" customWidth="1"/>
    <col min="3091" max="3091" width="3" style="236" customWidth="1"/>
    <col min="3092" max="3094" width="0" style="236" hidden="1" customWidth="1"/>
    <col min="3095" max="3095" width="4.42578125" style="236" customWidth="1"/>
    <col min="3096" max="3096" width="0" style="236" hidden="1" customWidth="1"/>
    <col min="3097" max="3098" width="14.85546875" style="236" customWidth="1"/>
    <col min="3099" max="3099" width="15.140625" style="236" customWidth="1"/>
    <col min="3100" max="3100" width="6.42578125" style="236" customWidth="1"/>
    <col min="3101" max="3101" width="15.140625" style="236" customWidth="1"/>
    <col min="3102" max="3102" width="4.140625" style="236" customWidth="1"/>
    <col min="3103" max="3103" width="3" style="236" customWidth="1"/>
    <col min="3104" max="3106" width="0" style="236" hidden="1" customWidth="1"/>
    <col min="3107" max="3107" width="3" style="236" customWidth="1"/>
    <col min="3108" max="3108" width="0" style="236" hidden="1" customWidth="1"/>
    <col min="3109" max="3109" width="3" style="236" customWidth="1"/>
    <col min="3110" max="3110" width="0" style="236" hidden="1" customWidth="1"/>
    <col min="3111" max="3111" width="4.42578125" style="236" customWidth="1"/>
    <col min="3112" max="3112" width="34.28515625" style="236" customWidth="1"/>
    <col min="3113" max="3113" width="23.42578125" style="236" customWidth="1"/>
    <col min="3114" max="3114" width="9.140625" style="236" customWidth="1"/>
    <col min="3115" max="3115" width="19.5703125" style="236" customWidth="1"/>
    <col min="3116" max="3116" width="42.7109375" style="236" customWidth="1"/>
    <col min="3117" max="3117" width="5.85546875" style="236" customWidth="1"/>
    <col min="3118" max="3118" width="31.5703125" style="236" customWidth="1"/>
    <col min="3119" max="3119" width="16.140625" style="236" customWidth="1"/>
    <col min="3120" max="3121" width="9.28515625" style="236" customWidth="1"/>
    <col min="3122" max="3122" width="11.140625" style="236" customWidth="1"/>
    <col min="3123" max="3123" width="2.140625" style="236" customWidth="1"/>
    <col min="3124" max="3329" width="11.42578125" style="236"/>
    <col min="3330" max="3330" width="12" style="236" customWidth="1"/>
    <col min="3331" max="3331" width="2.7109375" style="236" customWidth="1"/>
    <col min="3332" max="3333" width="6.5703125" style="236" customWidth="1"/>
    <col min="3334" max="3334" width="5.85546875" style="236" customWidth="1"/>
    <col min="3335" max="3335" width="6.5703125" style="236" customWidth="1"/>
    <col min="3336" max="3336" width="13.7109375" style="236" customWidth="1"/>
    <col min="3337" max="3338" width="9" style="236" customWidth="1"/>
    <col min="3339" max="3339" width="2.5703125" style="236" customWidth="1"/>
    <col min="3340" max="3340" width="8.85546875" style="236" customWidth="1"/>
    <col min="3341" max="3341" width="7.5703125" style="236" customWidth="1"/>
    <col min="3342" max="3344" width="3.7109375" style="236" customWidth="1"/>
    <col min="3345" max="3345" width="3.5703125" style="236" customWidth="1"/>
    <col min="3346" max="3346" width="2.85546875" style="236" customWidth="1"/>
    <col min="3347" max="3347" width="3" style="236" customWidth="1"/>
    <col min="3348" max="3350" width="0" style="236" hidden="1" customWidth="1"/>
    <col min="3351" max="3351" width="4.42578125" style="236" customWidth="1"/>
    <col min="3352" max="3352" width="0" style="236" hidden="1" customWidth="1"/>
    <col min="3353" max="3354" width="14.85546875" style="236" customWidth="1"/>
    <col min="3355" max="3355" width="15.140625" style="236" customWidth="1"/>
    <col min="3356" max="3356" width="6.42578125" style="236" customWidth="1"/>
    <col min="3357" max="3357" width="15.140625" style="236" customWidth="1"/>
    <col min="3358" max="3358" width="4.140625" style="236" customWidth="1"/>
    <col min="3359" max="3359" width="3" style="236" customWidth="1"/>
    <col min="3360" max="3362" width="0" style="236" hidden="1" customWidth="1"/>
    <col min="3363" max="3363" width="3" style="236" customWidth="1"/>
    <col min="3364" max="3364" width="0" style="236" hidden="1" customWidth="1"/>
    <col min="3365" max="3365" width="3" style="236" customWidth="1"/>
    <col min="3366" max="3366" width="0" style="236" hidden="1" customWidth="1"/>
    <col min="3367" max="3367" width="4.42578125" style="236" customWidth="1"/>
    <col min="3368" max="3368" width="34.28515625" style="236" customWidth="1"/>
    <col min="3369" max="3369" width="23.42578125" style="236" customWidth="1"/>
    <col min="3370" max="3370" width="9.140625" style="236" customWidth="1"/>
    <col min="3371" max="3371" width="19.5703125" style="236" customWidth="1"/>
    <col min="3372" max="3372" width="42.7109375" style="236" customWidth="1"/>
    <col min="3373" max="3373" width="5.85546875" style="236" customWidth="1"/>
    <col min="3374" max="3374" width="31.5703125" style="236" customWidth="1"/>
    <col min="3375" max="3375" width="16.140625" style="236" customWidth="1"/>
    <col min="3376" max="3377" width="9.28515625" style="236" customWidth="1"/>
    <col min="3378" max="3378" width="11.140625" style="236" customWidth="1"/>
    <col min="3379" max="3379" width="2.140625" style="236" customWidth="1"/>
    <col min="3380" max="3585" width="11.42578125" style="236"/>
    <col min="3586" max="3586" width="12" style="236" customWidth="1"/>
    <col min="3587" max="3587" width="2.7109375" style="236" customWidth="1"/>
    <col min="3588" max="3589" width="6.5703125" style="236" customWidth="1"/>
    <col min="3590" max="3590" width="5.85546875" style="236" customWidth="1"/>
    <col min="3591" max="3591" width="6.5703125" style="236" customWidth="1"/>
    <col min="3592" max="3592" width="13.7109375" style="236" customWidth="1"/>
    <col min="3593" max="3594" width="9" style="236" customWidth="1"/>
    <col min="3595" max="3595" width="2.5703125" style="236" customWidth="1"/>
    <col min="3596" max="3596" width="8.85546875" style="236" customWidth="1"/>
    <col min="3597" max="3597" width="7.5703125" style="236" customWidth="1"/>
    <col min="3598" max="3600" width="3.7109375" style="236" customWidth="1"/>
    <col min="3601" max="3601" width="3.5703125" style="236" customWidth="1"/>
    <col min="3602" max="3602" width="2.85546875" style="236" customWidth="1"/>
    <col min="3603" max="3603" width="3" style="236" customWidth="1"/>
    <col min="3604" max="3606" width="0" style="236" hidden="1" customWidth="1"/>
    <col min="3607" max="3607" width="4.42578125" style="236" customWidth="1"/>
    <col min="3608" max="3608" width="0" style="236" hidden="1" customWidth="1"/>
    <col min="3609" max="3610" width="14.85546875" style="236" customWidth="1"/>
    <col min="3611" max="3611" width="15.140625" style="236" customWidth="1"/>
    <col min="3612" max="3612" width="6.42578125" style="236" customWidth="1"/>
    <col min="3613" max="3613" width="15.140625" style="236" customWidth="1"/>
    <col min="3614" max="3614" width="4.140625" style="236" customWidth="1"/>
    <col min="3615" max="3615" width="3" style="236" customWidth="1"/>
    <col min="3616" max="3618" width="0" style="236" hidden="1" customWidth="1"/>
    <col min="3619" max="3619" width="3" style="236" customWidth="1"/>
    <col min="3620" max="3620" width="0" style="236" hidden="1" customWidth="1"/>
    <col min="3621" max="3621" width="3" style="236" customWidth="1"/>
    <col min="3622" max="3622" width="0" style="236" hidden="1" customWidth="1"/>
    <col min="3623" max="3623" width="4.42578125" style="236" customWidth="1"/>
    <col min="3624" max="3624" width="34.28515625" style="236" customWidth="1"/>
    <col min="3625" max="3625" width="23.42578125" style="236" customWidth="1"/>
    <col min="3626" max="3626" width="9.140625" style="236" customWidth="1"/>
    <col min="3627" max="3627" width="19.5703125" style="236" customWidth="1"/>
    <col min="3628" max="3628" width="42.7109375" style="236" customWidth="1"/>
    <col min="3629" max="3629" width="5.85546875" style="236" customWidth="1"/>
    <col min="3630" max="3630" width="31.5703125" style="236" customWidth="1"/>
    <col min="3631" max="3631" width="16.140625" style="236" customWidth="1"/>
    <col min="3632" max="3633" width="9.28515625" style="236" customWidth="1"/>
    <col min="3634" max="3634" width="11.140625" style="236" customWidth="1"/>
    <col min="3635" max="3635" width="2.140625" style="236" customWidth="1"/>
    <col min="3636" max="3841" width="11.42578125" style="236"/>
    <col min="3842" max="3842" width="12" style="236" customWidth="1"/>
    <col min="3843" max="3843" width="2.7109375" style="236" customWidth="1"/>
    <col min="3844" max="3845" width="6.5703125" style="236" customWidth="1"/>
    <col min="3846" max="3846" width="5.85546875" style="236" customWidth="1"/>
    <col min="3847" max="3847" width="6.5703125" style="236" customWidth="1"/>
    <col min="3848" max="3848" width="13.7109375" style="236" customWidth="1"/>
    <col min="3849" max="3850" width="9" style="236" customWidth="1"/>
    <col min="3851" max="3851" width="2.5703125" style="236" customWidth="1"/>
    <col min="3852" max="3852" width="8.85546875" style="236" customWidth="1"/>
    <col min="3853" max="3853" width="7.5703125" style="236" customWidth="1"/>
    <col min="3854" max="3856" width="3.7109375" style="236" customWidth="1"/>
    <col min="3857" max="3857" width="3.5703125" style="236" customWidth="1"/>
    <col min="3858" max="3858" width="2.85546875" style="236" customWidth="1"/>
    <col min="3859" max="3859" width="3" style="236" customWidth="1"/>
    <col min="3860" max="3862" width="0" style="236" hidden="1" customWidth="1"/>
    <col min="3863" max="3863" width="4.42578125" style="236" customWidth="1"/>
    <col min="3864" max="3864" width="0" style="236" hidden="1" customWidth="1"/>
    <col min="3865" max="3866" width="14.85546875" style="236" customWidth="1"/>
    <col min="3867" max="3867" width="15.140625" style="236" customWidth="1"/>
    <col min="3868" max="3868" width="6.42578125" style="236" customWidth="1"/>
    <col min="3869" max="3869" width="15.140625" style="236" customWidth="1"/>
    <col min="3870" max="3870" width="4.140625" style="236" customWidth="1"/>
    <col min="3871" max="3871" width="3" style="236" customWidth="1"/>
    <col min="3872" max="3874" width="0" style="236" hidden="1" customWidth="1"/>
    <col min="3875" max="3875" width="3" style="236" customWidth="1"/>
    <col min="3876" max="3876" width="0" style="236" hidden="1" customWidth="1"/>
    <col min="3877" max="3877" width="3" style="236" customWidth="1"/>
    <col min="3878" max="3878" width="0" style="236" hidden="1" customWidth="1"/>
    <col min="3879" max="3879" width="4.42578125" style="236" customWidth="1"/>
    <col min="3880" max="3880" width="34.28515625" style="236" customWidth="1"/>
    <col min="3881" max="3881" width="23.42578125" style="236" customWidth="1"/>
    <col min="3882" max="3882" width="9.140625" style="236" customWidth="1"/>
    <col min="3883" max="3883" width="19.5703125" style="236" customWidth="1"/>
    <col min="3884" max="3884" width="42.7109375" style="236" customWidth="1"/>
    <col min="3885" max="3885" width="5.85546875" style="236" customWidth="1"/>
    <col min="3886" max="3886" width="31.5703125" style="236" customWidth="1"/>
    <col min="3887" max="3887" width="16.140625" style="236" customWidth="1"/>
    <col min="3888" max="3889" width="9.28515625" style="236" customWidth="1"/>
    <col min="3890" max="3890" width="11.140625" style="236" customWidth="1"/>
    <col min="3891" max="3891" width="2.140625" style="236" customWidth="1"/>
    <col min="3892" max="4097" width="11.42578125" style="236"/>
    <col min="4098" max="4098" width="12" style="236" customWidth="1"/>
    <col min="4099" max="4099" width="2.7109375" style="236" customWidth="1"/>
    <col min="4100" max="4101" width="6.5703125" style="236" customWidth="1"/>
    <col min="4102" max="4102" width="5.85546875" style="236" customWidth="1"/>
    <col min="4103" max="4103" width="6.5703125" style="236" customWidth="1"/>
    <col min="4104" max="4104" width="13.7109375" style="236" customWidth="1"/>
    <col min="4105" max="4106" width="9" style="236" customWidth="1"/>
    <col min="4107" max="4107" width="2.5703125" style="236" customWidth="1"/>
    <col min="4108" max="4108" width="8.85546875" style="236" customWidth="1"/>
    <col min="4109" max="4109" width="7.5703125" style="236" customWidth="1"/>
    <col min="4110" max="4112" width="3.7109375" style="236" customWidth="1"/>
    <col min="4113" max="4113" width="3.5703125" style="236" customWidth="1"/>
    <col min="4114" max="4114" width="2.85546875" style="236" customWidth="1"/>
    <col min="4115" max="4115" width="3" style="236" customWidth="1"/>
    <col min="4116" max="4118" width="0" style="236" hidden="1" customWidth="1"/>
    <col min="4119" max="4119" width="4.42578125" style="236" customWidth="1"/>
    <col min="4120" max="4120" width="0" style="236" hidden="1" customWidth="1"/>
    <col min="4121" max="4122" width="14.85546875" style="236" customWidth="1"/>
    <col min="4123" max="4123" width="15.140625" style="236" customWidth="1"/>
    <col min="4124" max="4124" width="6.42578125" style="236" customWidth="1"/>
    <col min="4125" max="4125" width="15.140625" style="236" customWidth="1"/>
    <col min="4126" max="4126" width="4.140625" style="236" customWidth="1"/>
    <col min="4127" max="4127" width="3" style="236" customWidth="1"/>
    <col min="4128" max="4130" width="0" style="236" hidden="1" customWidth="1"/>
    <col min="4131" max="4131" width="3" style="236" customWidth="1"/>
    <col min="4132" max="4132" width="0" style="236" hidden="1" customWidth="1"/>
    <col min="4133" max="4133" width="3" style="236" customWidth="1"/>
    <col min="4134" max="4134" width="0" style="236" hidden="1" customWidth="1"/>
    <col min="4135" max="4135" width="4.42578125" style="236" customWidth="1"/>
    <col min="4136" max="4136" width="34.28515625" style="236" customWidth="1"/>
    <col min="4137" max="4137" width="23.42578125" style="236" customWidth="1"/>
    <col min="4138" max="4138" width="9.140625" style="236" customWidth="1"/>
    <col min="4139" max="4139" width="19.5703125" style="236" customWidth="1"/>
    <col min="4140" max="4140" width="42.7109375" style="236" customWidth="1"/>
    <col min="4141" max="4141" width="5.85546875" style="236" customWidth="1"/>
    <col min="4142" max="4142" width="31.5703125" style="236" customWidth="1"/>
    <col min="4143" max="4143" width="16.140625" style="236" customWidth="1"/>
    <col min="4144" max="4145" width="9.28515625" style="236" customWidth="1"/>
    <col min="4146" max="4146" width="11.140625" style="236" customWidth="1"/>
    <col min="4147" max="4147" width="2.140625" style="236" customWidth="1"/>
    <col min="4148" max="4353" width="11.42578125" style="236"/>
    <col min="4354" max="4354" width="12" style="236" customWidth="1"/>
    <col min="4355" max="4355" width="2.7109375" style="236" customWidth="1"/>
    <col min="4356" max="4357" width="6.5703125" style="236" customWidth="1"/>
    <col min="4358" max="4358" width="5.85546875" style="236" customWidth="1"/>
    <col min="4359" max="4359" width="6.5703125" style="236" customWidth="1"/>
    <col min="4360" max="4360" width="13.7109375" style="236" customWidth="1"/>
    <col min="4361" max="4362" width="9" style="236" customWidth="1"/>
    <col min="4363" max="4363" width="2.5703125" style="236" customWidth="1"/>
    <col min="4364" max="4364" width="8.85546875" style="236" customWidth="1"/>
    <col min="4365" max="4365" width="7.5703125" style="236" customWidth="1"/>
    <col min="4366" max="4368" width="3.7109375" style="236" customWidth="1"/>
    <col min="4369" max="4369" width="3.5703125" style="236" customWidth="1"/>
    <col min="4370" max="4370" width="2.85546875" style="236" customWidth="1"/>
    <col min="4371" max="4371" width="3" style="236" customWidth="1"/>
    <col min="4372" max="4374" width="0" style="236" hidden="1" customWidth="1"/>
    <col min="4375" max="4375" width="4.42578125" style="236" customWidth="1"/>
    <col min="4376" max="4376" width="0" style="236" hidden="1" customWidth="1"/>
    <col min="4377" max="4378" width="14.85546875" style="236" customWidth="1"/>
    <col min="4379" max="4379" width="15.140625" style="236" customWidth="1"/>
    <col min="4380" max="4380" width="6.42578125" style="236" customWidth="1"/>
    <col min="4381" max="4381" width="15.140625" style="236" customWidth="1"/>
    <col min="4382" max="4382" width="4.140625" style="236" customWidth="1"/>
    <col min="4383" max="4383" width="3" style="236" customWidth="1"/>
    <col min="4384" max="4386" width="0" style="236" hidden="1" customWidth="1"/>
    <col min="4387" max="4387" width="3" style="236" customWidth="1"/>
    <col min="4388" max="4388" width="0" style="236" hidden="1" customWidth="1"/>
    <col min="4389" max="4389" width="3" style="236" customWidth="1"/>
    <col min="4390" max="4390" width="0" style="236" hidden="1" customWidth="1"/>
    <col min="4391" max="4391" width="4.42578125" style="236" customWidth="1"/>
    <col min="4392" max="4392" width="34.28515625" style="236" customWidth="1"/>
    <col min="4393" max="4393" width="23.42578125" style="236" customWidth="1"/>
    <col min="4394" max="4394" width="9.140625" style="236" customWidth="1"/>
    <col min="4395" max="4395" width="19.5703125" style="236" customWidth="1"/>
    <col min="4396" max="4396" width="42.7109375" style="236" customWidth="1"/>
    <col min="4397" max="4397" width="5.85546875" style="236" customWidth="1"/>
    <col min="4398" max="4398" width="31.5703125" style="236" customWidth="1"/>
    <col min="4399" max="4399" width="16.140625" style="236" customWidth="1"/>
    <col min="4400" max="4401" width="9.28515625" style="236" customWidth="1"/>
    <col min="4402" max="4402" width="11.140625" style="236" customWidth="1"/>
    <col min="4403" max="4403" width="2.140625" style="236" customWidth="1"/>
    <col min="4404" max="4609" width="11.42578125" style="236"/>
    <col min="4610" max="4610" width="12" style="236" customWidth="1"/>
    <col min="4611" max="4611" width="2.7109375" style="236" customWidth="1"/>
    <col min="4612" max="4613" width="6.5703125" style="236" customWidth="1"/>
    <col min="4614" max="4614" width="5.85546875" style="236" customWidth="1"/>
    <col min="4615" max="4615" width="6.5703125" style="236" customWidth="1"/>
    <col min="4616" max="4616" width="13.7109375" style="236" customWidth="1"/>
    <col min="4617" max="4618" width="9" style="236" customWidth="1"/>
    <col min="4619" max="4619" width="2.5703125" style="236" customWidth="1"/>
    <col min="4620" max="4620" width="8.85546875" style="236" customWidth="1"/>
    <col min="4621" max="4621" width="7.5703125" style="236" customWidth="1"/>
    <col min="4622" max="4624" width="3.7109375" style="236" customWidth="1"/>
    <col min="4625" max="4625" width="3.5703125" style="236" customWidth="1"/>
    <col min="4626" max="4626" width="2.85546875" style="236" customWidth="1"/>
    <col min="4627" max="4627" width="3" style="236" customWidth="1"/>
    <col min="4628" max="4630" width="0" style="236" hidden="1" customWidth="1"/>
    <col min="4631" max="4631" width="4.42578125" style="236" customWidth="1"/>
    <col min="4632" max="4632" width="0" style="236" hidden="1" customWidth="1"/>
    <col min="4633" max="4634" width="14.85546875" style="236" customWidth="1"/>
    <col min="4635" max="4635" width="15.140625" style="236" customWidth="1"/>
    <col min="4636" max="4636" width="6.42578125" style="236" customWidth="1"/>
    <col min="4637" max="4637" width="15.140625" style="236" customWidth="1"/>
    <col min="4638" max="4638" width="4.140625" style="236" customWidth="1"/>
    <col min="4639" max="4639" width="3" style="236" customWidth="1"/>
    <col min="4640" max="4642" width="0" style="236" hidden="1" customWidth="1"/>
    <col min="4643" max="4643" width="3" style="236" customWidth="1"/>
    <col min="4644" max="4644" width="0" style="236" hidden="1" customWidth="1"/>
    <col min="4645" max="4645" width="3" style="236" customWidth="1"/>
    <col min="4646" max="4646" width="0" style="236" hidden="1" customWidth="1"/>
    <col min="4647" max="4647" width="4.42578125" style="236" customWidth="1"/>
    <col min="4648" max="4648" width="34.28515625" style="236" customWidth="1"/>
    <col min="4649" max="4649" width="23.42578125" style="236" customWidth="1"/>
    <col min="4650" max="4650" width="9.140625" style="236" customWidth="1"/>
    <col min="4651" max="4651" width="19.5703125" style="236" customWidth="1"/>
    <col min="4652" max="4652" width="42.7109375" style="236" customWidth="1"/>
    <col min="4653" max="4653" width="5.85546875" style="236" customWidth="1"/>
    <col min="4654" max="4654" width="31.5703125" style="236" customWidth="1"/>
    <col min="4655" max="4655" width="16.140625" style="236" customWidth="1"/>
    <col min="4656" max="4657" width="9.28515625" style="236" customWidth="1"/>
    <col min="4658" max="4658" width="11.140625" style="236" customWidth="1"/>
    <col min="4659" max="4659" width="2.140625" style="236" customWidth="1"/>
    <col min="4660" max="4865" width="11.42578125" style="236"/>
    <col min="4866" max="4866" width="12" style="236" customWidth="1"/>
    <col min="4867" max="4867" width="2.7109375" style="236" customWidth="1"/>
    <col min="4868" max="4869" width="6.5703125" style="236" customWidth="1"/>
    <col min="4870" max="4870" width="5.85546875" style="236" customWidth="1"/>
    <col min="4871" max="4871" width="6.5703125" style="236" customWidth="1"/>
    <col min="4872" max="4872" width="13.7109375" style="236" customWidth="1"/>
    <col min="4873" max="4874" width="9" style="236" customWidth="1"/>
    <col min="4875" max="4875" width="2.5703125" style="236" customWidth="1"/>
    <col min="4876" max="4876" width="8.85546875" style="236" customWidth="1"/>
    <col min="4877" max="4877" width="7.5703125" style="236" customWidth="1"/>
    <col min="4878" max="4880" width="3.7109375" style="236" customWidth="1"/>
    <col min="4881" max="4881" width="3.5703125" style="236" customWidth="1"/>
    <col min="4882" max="4882" width="2.85546875" style="236" customWidth="1"/>
    <col min="4883" max="4883" width="3" style="236" customWidth="1"/>
    <col min="4884" max="4886" width="0" style="236" hidden="1" customWidth="1"/>
    <col min="4887" max="4887" width="4.42578125" style="236" customWidth="1"/>
    <col min="4888" max="4888" width="0" style="236" hidden="1" customWidth="1"/>
    <col min="4889" max="4890" width="14.85546875" style="236" customWidth="1"/>
    <col min="4891" max="4891" width="15.140625" style="236" customWidth="1"/>
    <col min="4892" max="4892" width="6.42578125" style="236" customWidth="1"/>
    <col min="4893" max="4893" width="15.140625" style="236" customWidth="1"/>
    <col min="4894" max="4894" width="4.140625" style="236" customWidth="1"/>
    <col min="4895" max="4895" width="3" style="236" customWidth="1"/>
    <col min="4896" max="4898" width="0" style="236" hidden="1" customWidth="1"/>
    <col min="4899" max="4899" width="3" style="236" customWidth="1"/>
    <col min="4900" max="4900" width="0" style="236" hidden="1" customWidth="1"/>
    <col min="4901" max="4901" width="3" style="236" customWidth="1"/>
    <col min="4902" max="4902" width="0" style="236" hidden="1" customWidth="1"/>
    <col min="4903" max="4903" width="4.42578125" style="236" customWidth="1"/>
    <col min="4904" max="4904" width="34.28515625" style="236" customWidth="1"/>
    <col min="4905" max="4905" width="23.42578125" style="236" customWidth="1"/>
    <col min="4906" max="4906" width="9.140625" style="236" customWidth="1"/>
    <col min="4907" max="4907" width="19.5703125" style="236" customWidth="1"/>
    <col min="4908" max="4908" width="42.7109375" style="236" customWidth="1"/>
    <col min="4909" max="4909" width="5.85546875" style="236" customWidth="1"/>
    <col min="4910" max="4910" width="31.5703125" style="236" customWidth="1"/>
    <col min="4911" max="4911" width="16.140625" style="236" customWidth="1"/>
    <col min="4912" max="4913" width="9.28515625" style="236" customWidth="1"/>
    <col min="4914" max="4914" width="11.140625" style="236" customWidth="1"/>
    <col min="4915" max="4915" width="2.140625" style="236" customWidth="1"/>
    <col min="4916" max="5121" width="11.42578125" style="236"/>
    <col min="5122" max="5122" width="12" style="236" customWidth="1"/>
    <col min="5123" max="5123" width="2.7109375" style="236" customWidth="1"/>
    <col min="5124" max="5125" width="6.5703125" style="236" customWidth="1"/>
    <col min="5126" max="5126" width="5.85546875" style="236" customWidth="1"/>
    <col min="5127" max="5127" width="6.5703125" style="236" customWidth="1"/>
    <col min="5128" max="5128" width="13.7109375" style="236" customWidth="1"/>
    <col min="5129" max="5130" width="9" style="236" customWidth="1"/>
    <col min="5131" max="5131" width="2.5703125" style="236" customWidth="1"/>
    <col min="5132" max="5132" width="8.85546875" style="236" customWidth="1"/>
    <col min="5133" max="5133" width="7.5703125" style="236" customWidth="1"/>
    <col min="5134" max="5136" width="3.7109375" style="236" customWidth="1"/>
    <col min="5137" max="5137" width="3.5703125" style="236" customWidth="1"/>
    <col min="5138" max="5138" width="2.85546875" style="236" customWidth="1"/>
    <col min="5139" max="5139" width="3" style="236" customWidth="1"/>
    <col min="5140" max="5142" width="0" style="236" hidden="1" customWidth="1"/>
    <col min="5143" max="5143" width="4.42578125" style="236" customWidth="1"/>
    <col min="5144" max="5144" width="0" style="236" hidden="1" customWidth="1"/>
    <col min="5145" max="5146" width="14.85546875" style="236" customWidth="1"/>
    <col min="5147" max="5147" width="15.140625" style="236" customWidth="1"/>
    <col min="5148" max="5148" width="6.42578125" style="236" customWidth="1"/>
    <col min="5149" max="5149" width="15.140625" style="236" customWidth="1"/>
    <col min="5150" max="5150" width="4.140625" style="236" customWidth="1"/>
    <col min="5151" max="5151" width="3" style="236" customWidth="1"/>
    <col min="5152" max="5154" width="0" style="236" hidden="1" customWidth="1"/>
    <col min="5155" max="5155" width="3" style="236" customWidth="1"/>
    <col min="5156" max="5156" width="0" style="236" hidden="1" customWidth="1"/>
    <col min="5157" max="5157" width="3" style="236" customWidth="1"/>
    <col min="5158" max="5158" width="0" style="236" hidden="1" customWidth="1"/>
    <col min="5159" max="5159" width="4.42578125" style="236" customWidth="1"/>
    <col min="5160" max="5160" width="34.28515625" style="236" customWidth="1"/>
    <col min="5161" max="5161" width="23.42578125" style="236" customWidth="1"/>
    <col min="5162" max="5162" width="9.140625" style="236" customWidth="1"/>
    <col min="5163" max="5163" width="19.5703125" style="236" customWidth="1"/>
    <col min="5164" max="5164" width="42.7109375" style="236" customWidth="1"/>
    <col min="5165" max="5165" width="5.85546875" style="236" customWidth="1"/>
    <col min="5166" max="5166" width="31.5703125" style="236" customWidth="1"/>
    <col min="5167" max="5167" width="16.140625" style="236" customWidth="1"/>
    <col min="5168" max="5169" width="9.28515625" style="236" customWidth="1"/>
    <col min="5170" max="5170" width="11.140625" style="236" customWidth="1"/>
    <col min="5171" max="5171" width="2.140625" style="236" customWidth="1"/>
    <col min="5172" max="5377" width="11.42578125" style="236"/>
    <col min="5378" max="5378" width="12" style="236" customWidth="1"/>
    <col min="5379" max="5379" width="2.7109375" style="236" customWidth="1"/>
    <col min="5380" max="5381" width="6.5703125" style="236" customWidth="1"/>
    <col min="5382" max="5382" width="5.85546875" style="236" customWidth="1"/>
    <col min="5383" max="5383" width="6.5703125" style="236" customWidth="1"/>
    <col min="5384" max="5384" width="13.7109375" style="236" customWidth="1"/>
    <col min="5385" max="5386" width="9" style="236" customWidth="1"/>
    <col min="5387" max="5387" width="2.5703125" style="236" customWidth="1"/>
    <col min="5388" max="5388" width="8.85546875" style="236" customWidth="1"/>
    <col min="5389" max="5389" width="7.5703125" style="236" customWidth="1"/>
    <col min="5390" max="5392" width="3.7109375" style="236" customWidth="1"/>
    <col min="5393" max="5393" width="3.5703125" style="236" customWidth="1"/>
    <col min="5394" max="5394" width="2.85546875" style="236" customWidth="1"/>
    <col min="5395" max="5395" width="3" style="236" customWidth="1"/>
    <col min="5396" max="5398" width="0" style="236" hidden="1" customWidth="1"/>
    <col min="5399" max="5399" width="4.42578125" style="236" customWidth="1"/>
    <col min="5400" max="5400" width="0" style="236" hidden="1" customWidth="1"/>
    <col min="5401" max="5402" width="14.85546875" style="236" customWidth="1"/>
    <col min="5403" max="5403" width="15.140625" style="236" customWidth="1"/>
    <col min="5404" max="5404" width="6.42578125" style="236" customWidth="1"/>
    <col min="5405" max="5405" width="15.140625" style="236" customWidth="1"/>
    <col min="5406" max="5406" width="4.140625" style="236" customWidth="1"/>
    <col min="5407" max="5407" width="3" style="236" customWidth="1"/>
    <col min="5408" max="5410" width="0" style="236" hidden="1" customWidth="1"/>
    <col min="5411" max="5411" width="3" style="236" customWidth="1"/>
    <col min="5412" max="5412" width="0" style="236" hidden="1" customWidth="1"/>
    <col min="5413" max="5413" width="3" style="236" customWidth="1"/>
    <col min="5414" max="5414" width="0" style="236" hidden="1" customWidth="1"/>
    <col min="5415" max="5415" width="4.42578125" style="236" customWidth="1"/>
    <col min="5416" max="5416" width="34.28515625" style="236" customWidth="1"/>
    <col min="5417" max="5417" width="23.42578125" style="236" customWidth="1"/>
    <col min="5418" max="5418" width="9.140625" style="236" customWidth="1"/>
    <col min="5419" max="5419" width="19.5703125" style="236" customWidth="1"/>
    <col min="5420" max="5420" width="42.7109375" style="236" customWidth="1"/>
    <col min="5421" max="5421" width="5.85546875" style="236" customWidth="1"/>
    <col min="5422" max="5422" width="31.5703125" style="236" customWidth="1"/>
    <col min="5423" max="5423" width="16.140625" style="236" customWidth="1"/>
    <col min="5424" max="5425" width="9.28515625" style="236" customWidth="1"/>
    <col min="5426" max="5426" width="11.140625" style="236" customWidth="1"/>
    <col min="5427" max="5427" width="2.140625" style="236" customWidth="1"/>
    <col min="5428" max="5633" width="11.42578125" style="236"/>
    <col min="5634" max="5634" width="12" style="236" customWidth="1"/>
    <col min="5635" max="5635" width="2.7109375" style="236" customWidth="1"/>
    <col min="5636" max="5637" width="6.5703125" style="236" customWidth="1"/>
    <col min="5638" max="5638" width="5.85546875" style="236" customWidth="1"/>
    <col min="5639" max="5639" width="6.5703125" style="236" customWidth="1"/>
    <col min="5640" max="5640" width="13.7109375" style="236" customWidth="1"/>
    <col min="5641" max="5642" width="9" style="236" customWidth="1"/>
    <col min="5643" max="5643" width="2.5703125" style="236" customWidth="1"/>
    <col min="5644" max="5644" width="8.85546875" style="236" customWidth="1"/>
    <col min="5645" max="5645" width="7.5703125" style="236" customWidth="1"/>
    <col min="5646" max="5648" width="3.7109375" style="236" customWidth="1"/>
    <col min="5649" max="5649" width="3.5703125" style="236" customWidth="1"/>
    <col min="5650" max="5650" width="2.85546875" style="236" customWidth="1"/>
    <col min="5651" max="5651" width="3" style="236" customWidth="1"/>
    <col min="5652" max="5654" width="0" style="236" hidden="1" customWidth="1"/>
    <col min="5655" max="5655" width="4.42578125" style="236" customWidth="1"/>
    <col min="5656" max="5656" width="0" style="236" hidden="1" customWidth="1"/>
    <col min="5657" max="5658" width="14.85546875" style="236" customWidth="1"/>
    <col min="5659" max="5659" width="15.140625" style="236" customWidth="1"/>
    <col min="5660" max="5660" width="6.42578125" style="236" customWidth="1"/>
    <col min="5661" max="5661" width="15.140625" style="236" customWidth="1"/>
    <col min="5662" max="5662" width="4.140625" style="236" customWidth="1"/>
    <col min="5663" max="5663" width="3" style="236" customWidth="1"/>
    <col min="5664" max="5666" width="0" style="236" hidden="1" customWidth="1"/>
    <col min="5667" max="5667" width="3" style="236" customWidth="1"/>
    <col min="5668" max="5668" width="0" style="236" hidden="1" customWidth="1"/>
    <col min="5669" max="5669" width="3" style="236" customWidth="1"/>
    <col min="5670" max="5670" width="0" style="236" hidden="1" customWidth="1"/>
    <col min="5671" max="5671" width="4.42578125" style="236" customWidth="1"/>
    <col min="5672" max="5672" width="34.28515625" style="236" customWidth="1"/>
    <col min="5673" max="5673" width="23.42578125" style="236" customWidth="1"/>
    <col min="5674" max="5674" width="9.140625" style="236" customWidth="1"/>
    <col min="5675" max="5675" width="19.5703125" style="236" customWidth="1"/>
    <col min="5676" max="5676" width="42.7109375" style="236" customWidth="1"/>
    <col min="5677" max="5677" width="5.85546875" style="236" customWidth="1"/>
    <col min="5678" max="5678" width="31.5703125" style="236" customWidth="1"/>
    <col min="5679" max="5679" width="16.140625" style="236" customWidth="1"/>
    <col min="5680" max="5681" width="9.28515625" style="236" customWidth="1"/>
    <col min="5682" max="5682" width="11.140625" style="236" customWidth="1"/>
    <col min="5683" max="5683" width="2.140625" style="236" customWidth="1"/>
    <col min="5684" max="5889" width="11.42578125" style="236"/>
    <col min="5890" max="5890" width="12" style="236" customWidth="1"/>
    <col min="5891" max="5891" width="2.7109375" style="236" customWidth="1"/>
    <col min="5892" max="5893" width="6.5703125" style="236" customWidth="1"/>
    <col min="5894" max="5894" width="5.85546875" style="236" customWidth="1"/>
    <col min="5895" max="5895" width="6.5703125" style="236" customWidth="1"/>
    <col min="5896" max="5896" width="13.7109375" style="236" customWidth="1"/>
    <col min="5897" max="5898" width="9" style="236" customWidth="1"/>
    <col min="5899" max="5899" width="2.5703125" style="236" customWidth="1"/>
    <col min="5900" max="5900" width="8.85546875" style="236" customWidth="1"/>
    <col min="5901" max="5901" width="7.5703125" style="236" customWidth="1"/>
    <col min="5902" max="5904" width="3.7109375" style="236" customWidth="1"/>
    <col min="5905" max="5905" width="3.5703125" style="236" customWidth="1"/>
    <col min="5906" max="5906" width="2.85546875" style="236" customWidth="1"/>
    <col min="5907" max="5907" width="3" style="236" customWidth="1"/>
    <col min="5908" max="5910" width="0" style="236" hidden="1" customWidth="1"/>
    <col min="5911" max="5911" width="4.42578125" style="236" customWidth="1"/>
    <col min="5912" max="5912" width="0" style="236" hidden="1" customWidth="1"/>
    <col min="5913" max="5914" width="14.85546875" style="236" customWidth="1"/>
    <col min="5915" max="5915" width="15.140625" style="236" customWidth="1"/>
    <col min="5916" max="5916" width="6.42578125" style="236" customWidth="1"/>
    <col min="5917" max="5917" width="15.140625" style="236" customWidth="1"/>
    <col min="5918" max="5918" width="4.140625" style="236" customWidth="1"/>
    <col min="5919" max="5919" width="3" style="236" customWidth="1"/>
    <col min="5920" max="5922" width="0" style="236" hidden="1" customWidth="1"/>
    <col min="5923" max="5923" width="3" style="236" customWidth="1"/>
    <col min="5924" max="5924" width="0" style="236" hidden="1" customWidth="1"/>
    <col min="5925" max="5925" width="3" style="236" customWidth="1"/>
    <col min="5926" max="5926" width="0" style="236" hidden="1" customWidth="1"/>
    <col min="5927" max="5927" width="4.42578125" style="236" customWidth="1"/>
    <col min="5928" max="5928" width="34.28515625" style="236" customWidth="1"/>
    <col min="5929" max="5929" width="23.42578125" style="236" customWidth="1"/>
    <col min="5930" max="5930" width="9.140625" style="236" customWidth="1"/>
    <col min="5931" max="5931" width="19.5703125" style="236" customWidth="1"/>
    <col min="5932" max="5932" width="42.7109375" style="236" customWidth="1"/>
    <col min="5933" max="5933" width="5.85546875" style="236" customWidth="1"/>
    <col min="5934" max="5934" width="31.5703125" style="236" customWidth="1"/>
    <col min="5935" max="5935" width="16.140625" style="236" customWidth="1"/>
    <col min="5936" max="5937" width="9.28515625" style="236" customWidth="1"/>
    <col min="5938" max="5938" width="11.140625" style="236" customWidth="1"/>
    <col min="5939" max="5939" width="2.140625" style="236" customWidth="1"/>
    <col min="5940" max="6145" width="11.42578125" style="236"/>
    <col min="6146" max="6146" width="12" style="236" customWidth="1"/>
    <col min="6147" max="6147" width="2.7109375" style="236" customWidth="1"/>
    <col min="6148" max="6149" width="6.5703125" style="236" customWidth="1"/>
    <col min="6150" max="6150" width="5.85546875" style="236" customWidth="1"/>
    <col min="6151" max="6151" width="6.5703125" style="236" customWidth="1"/>
    <col min="6152" max="6152" width="13.7109375" style="236" customWidth="1"/>
    <col min="6153" max="6154" width="9" style="236" customWidth="1"/>
    <col min="6155" max="6155" width="2.5703125" style="236" customWidth="1"/>
    <col min="6156" max="6156" width="8.85546875" style="236" customWidth="1"/>
    <col min="6157" max="6157" width="7.5703125" style="236" customWidth="1"/>
    <col min="6158" max="6160" width="3.7109375" style="236" customWidth="1"/>
    <col min="6161" max="6161" width="3.5703125" style="236" customWidth="1"/>
    <col min="6162" max="6162" width="2.85546875" style="236" customWidth="1"/>
    <col min="6163" max="6163" width="3" style="236" customWidth="1"/>
    <col min="6164" max="6166" width="0" style="236" hidden="1" customWidth="1"/>
    <col min="6167" max="6167" width="4.42578125" style="236" customWidth="1"/>
    <col min="6168" max="6168" width="0" style="236" hidden="1" customWidth="1"/>
    <col min="6169" max="6170" width="14.85546875" style="236" customWidth="1"/>
    <col min="6171" max="6171" width="15.140625" style="236" customWidth="1"/>
    <col min="6172" max="6172" width="6.42578125" style="236" customWidth="1"/>
    <col min="6173" max="6173" width="15.140625" style="236" customWidth="1"/>
    <col min="6174" max="6174" width="4.140625" style="236" customWidth="1"/>
    <col min="6175" max="6175" width="3" style="236" customWidth="1"/>
    <col min="6176" max="6178" width="0" style="236" hidden="1" customWidth="1"/>
    <col min="6179" max="6179" width="3" style="236" customWidth="1"/>
    <col min="6180" max="6180" width="0" style="236" hidden="1" customWidth="1"/>
    <col min="6181" max="6181" width="3" style="236" customWidth="1"/>
    <col min="6182" max="6182" width="0" style="236" hidden="1" customWidth="1"/>
    <col min="6183" max="6183" width="4.42578125" style="236" customWidth="1"/>
    <col min="6184" max="6184" width="34.28515625" style="236" customWidth="1"/>
    <col min="6185" max="6185" width="23.42578125" style="236" customWidth="1"/>
    <col min="6186" max="6186" width="9.140625" style="236" customWidth="1"/>
    <col min="6187" max="6187" width="19.5703125" style="236" customWidth="1"/>
    <col min="6188" max="6188" width="42.7109375" style="236" customWidth="1"/>
    <col min="6189" max="6189" width="5.85546875" style="236" customWidth="1"/>
    <col min="6190" max="6190" width="31.5703125" style="236" customWidth="1"/>
    <col min="6191" max="6191" width="16.140625" style="236" customWidth="1"/>
    <col min="6192" max="6193" width="9.28515625" style="236" customWidth="1"/>
    <col min="6194" max="6194" width="11.140625" style="236" customWidth="1"/>
    <col min="6195" max="6195" width="2.140625" style="236" customWidth="1"/>
    <col min="6196" max="6401" width="11.42578125" style="236"/>
    <col min="6402" max="6402" width="12" style="236" customWidth="1"/>
    <col min="6403" max="6403" width="2.7109375" style="236" customWidth="1"/>
    <col min="6404" max="6405" width="6.5703125" style="236" customWidth="1"/>
    <col min="6406" max="6406" width="5.85546875" style="236" customWidth="1"/>
    <col min="6407" max="6407" width="6.5703125" style="236" customWidth="1"/>
    <col min="6408" max="6408" width="13.7109375" style="236" customWidth="1"/>
    <col min="6409" max="6410" width="9" style="236" customWidth="1"/>
    <col min="6411" max="6411" width="2.5703125" style="236" customWidth="1"/>
    <col min="6412" max="6412" width="8.85546875" style="236" customWidth="1"/>
    <col min="6413" max="6413" width="7.5703125" style="236" customWidth="1"/>
    <col min="6414" max="6416" width="3.7109375" style="236" customWidth="1"/>
    <col min="6417" max="6417" width="3.5703125" style="236" customWidth="1"/>
    <col min="6418" max="6418" width="2.85546875" style="236" customWidth="1"/>
    <col min="6419" max="6419" width="3" style="236" customWidth="1"/>
    <col min="6420" max="6422" width="0" style="236" hidden="1" customWidth="1"/>
    <col min="6423" max="6423" width="4.42578125" style="236" customWidth="1"/>
    <col min="6424" max="6424" width="0" style="236" hidden="1" customWidth="1"/>
    <col min="6425" max="6426" width="14.85546875" style="236" customWidth="1"/>
    <col min="6427" max="6427" width="15.140625" style="236" customWidth="1"/>
    <col min="6428" max="6428" width="6.42578125" style="236" customWidth="1"/>
    <col min="6429" max="6429" width="15.140625" style="236" customWidth="1"/>
    <col min="6430" max="6430" width="4.140625" style="236" customWidth="1"/>
    <col min="6431" max="6431" width="3" style="236" customWidth="1"/>
    <col min="6432" max="6434" width="0" style="236" hidden="1" customWidth="1"/>
    <col min="6435" max="6435" width="3" style="236" customWidth="1"/>
    <col min="6436" max="6436" width="0" style="236" hidden="1" customWidth="1"/>
    <col min="6437" max="6437" width="3" style="236" customWidth="1"/>
    <col min="6438" max="6438" width="0" style="236" hidden="1" customWidth="1"/>
    <col min="6439" max="6439" width="4.42578125" style="236" customWidth="1"/>
    <col min="6440" max="6440" width="34.28515625" style="236" customWidth="1"/>
    <col min="6441" max="6441" width="23.42578125" style="236" customWidth="1"/>
    <col min="6442" max="6442" width="9.140625" style="236" customWidth="1"/>
    <col min="6443" max="6443" width="19.5703125" style="236" customWidth="1"/>
    <col min="6444" max="6444" width="42.7109375" style="236" customWidth="1"/>
    <col min="6445" max="6445" width="5.85546875" style="236" customWidth="1"/>
    <col min="6446" max="6446" width="31.5703125" style="236" customWidth="1"/>
    <col min="6447" max="6447" width="16.140625" style="236" customWidth="1"/>
    <col min="6448" max="6449" width="9.28515625" style="236" customWidth="1"/>
    <col min="6450" max="6450" width="11.140625" style="236" customWidth="1"/>
    <col min="6451" max="6451" width="2.140625" style="236" customWidth="1"/>
    <col min="6452" max="6657" width="11.42578125" style="236"/>
    <col min="6658" max="6658" width="12" style="236" customWidth="1"/>
    <col min="6659" max="6659" width="2.7109375" style="236" customWidth="1"/>
    <col min="6660" max="6661" width="6.5703125" style="236" customWidth="1"/>
    <col min="6662" max="6662" width="5.85546875" style="236" customWidth="1"/>
    <col min="6663" max="6663" width="6.5703125" style="236" customWidth="1"/>
    <col min="6664" max="6664" width="13.7109375" style="236" customWidth="1"/>
    <col min="6665" max="6666" width="9" style="236" customWidth="1"/>
    <col min="6667" max="6667" width="2.5703125" style="236" customWidth="1"/>
    <col min="6668" max="6668" width="8.85546875" style="236" customWidth="1"/>
    <col min="6669" max="6669" width="7.5703125" style="236" customWidth="1"/>
    <col min="6670" max="6672" width="3.7109375" style="236" customWidth="1"/>
    <col min="6673" max="6673" width="3.5703125" style="236" customWidth="1"/>
    <col min="6674" max="6674" width="2.85546875" style="236" customWidth="1"/>
    <col min="6675" max="6675" width="3" style="236" customWidth="1"/>
    <col min="6676" max="6678" width="0" style="236" hidden="1" customWidth="1"/>
    <col min="6679" max="6679" width="4.42578125" style="236" customWidth="1"/>
    <col min="6680" max="6680" width="0" style="236" hidden="1" customWidth="1"/>
    <col min="6681" max="6682" width="14.85546875" style="236" customWidth="1"/>
    <col min="6683" max="6683" width="15.140625" style="236" customWidth="1"/>
    <col min="6684" max="6684" width="6.42578125" style="236" customWidth="1"/>
    <col min="6685" max="6685" width="15.140625" style="236" customWidth="1"/>
    <col min="6686" max="6686" width="4.140625" style="236" customWidth="1"/>
    <col min="6687" max="6687" width="3" style="236" customWidth="1"/>
    <col min="6688" max="6690" width="0" style="236" hidden="1" customWidth="1"/>
    <col min="6691" max="6691" width="3" style="236" customWidth="1"/>
    <col min="6692" max="6692" width="0" style="236" hidden="1" customWidth="1"/>
    <col min="6693" max="6693" width="3" style="236" customWidth="1"/>
    <col min="6694" max="6694" width="0" style="236" hidden="1" customWidth="1"/>
    <col min="6695" max="6695" width="4.42578125" style="236" customWidth="1"/>
    <col min="6696" max="6696" width="34.28515625" style="236" customWidth="1"/>
    <col min="6697" max="6697" width="23.42578125" style="236" customWidth="1"/>
    <col min="6698" max="6698" width="9.140625" style="236" customWidth="1"/>
    <col min="6699" max="6699" width="19.5703125" style="236" customWidth="1"/>
    <col min="6700" max="6700" width="42.7109375" style="236" customWidth="1"/>
    <col min="6701" max="6701" width="5.85546875" style="236" customWidth="1"/>
    <col min="6702" max="6702" width="31.5703125" style="236" customWidth="1"/>
    <col min="6703" max="6703" width="16.140625" style="236" customWidth="1"/>
    <col min="6704" max="6705" width="9.28515625" style="236" customWidth="1"/>
    <col min="6706" max="6706" width="11.140625" style="236" customWidth="1"/>
    <col min="6707" max="6707" width="2.140625" style="236" customWidth="1"/>
    <col min="6708" max="6913" width="11.42578125" style="236"/>
    <col min="6914" max="6914" width="12" style="236" customWidth="1"/>
    <col min="6915" max="6915" width="2.7109375" style="236" customWidth="1"/>
    <col min="6916" max="6917" width="6.5703125" style="236" customWidth="1"/>
    <col min="6918" max="6918" width="5.85546875" style="236" customWidth="1"/>
    <col min="6919" max="6919" width="6.5703125" style="236" customWidth="1"/>
    <col min="6920" max="6920" width="13.7109375" style="236" customWidth="1"/>
    <col min="6921" max="6922" width="9" style="236" customWidth="1"/>
    <col min="6923" max="6923" width="2.5703125" style="236" customWidth="1"/>
    <col min="6924" max="6924" width="8.85546875" style="236" customWidth="1"/>
    <col min="6925" max="6925" width="7.5703125" style="236" customWidth="1"/>
    <col min="6926" max="6928" width="3.7109375" style="236" customWidth="1"/>
    <col min="6929" max="6929" width="3.5703125" style="236" customWidth="1"/>
    <col min="6930" max="6930" width="2.85546875" style="236" customWidth="1"/>
    <col min="6931" max="6931" width="3" style="236" customWidth="1"/>
    <col min="6932" max="6934" width="0" style="236" hidden="1" customWidth="1"/>
    <col min="6935" max="6935" width="4.42578125" style="236" customWidth="1"/>
    <col min="6936" max="6936" width="0" style="236" hidden="1" customWidth="1"/>
    <col min="6937" max="6938" width="14.85546875" style="236" customWidth="1"/>
    <col min="6939" max="6939" width="15.140625" style="236" customWidth="1"/>
    <col min="6940" max="6940" width="6.42578125" style="236" customWidth="1"/>
    <col min="6941" max="6941" width="15.140625" style="236" customWidth="1"/>
    <col min="6942" max="6942" width="4.140625" style="236" customWidth="1"/>
    <col min="6943" max="6943" width="3" style="236" customWidth="1"/>
    <col min="6944" max="6946" width="0" style="236" hidden="1" customWidth="1"/>
    <col min="6947" max="6947" width="3" style="236" customWidth="1"/>
    <col min="6948" max="6948" width="0" style="236" hidden="1" customWidth="1"/>
    <col min="6949" max="6949" width="3" style="236" customWidth="1"/>
    <col min="6950" max="6950" width="0" style="236" hidden="1" customWidth="1"/>
    <col min="6951" max="6951" width="4.42578125" style="236" customWidth="1"/>
    <col min="6952" max="6952" width="34.28515625" style="236" customWidth="1"/>
    <col min="6953" max="6953" width="23.42578125" style="236" customWidth="1"/>
    <col min="6954" max="6954" width="9.140625" style="236" customWidth="1"/>
    <col min="6955" max="6955" width="19.5703125" style="236" customWidth="1"/>
    <col min="6956" max="6956" width="42.7109375" style="236" customWidth="1"/>
    <col min="6957" max="6957" width="5.85546875" style="236" customWidth="1"/>
    <col min="6958" max="6958" width="31.5703125" style="236" customWidth="1"/>
    <col min="6959" max="6959" width="16.140625" style="236" customWidth="1"/>
    <col min="6960" max="6961" width="9.28515625" style="236" customWidth="1"/>
    <col min="6962" max="6962" width="11.140625" style="236" customWidth="1"/>
    <col min="6963" max="6963" width="2.140625" style="236" customWidth="1"/>
    <col min="6964" max="7169" width="11.42578125" style="236"/>
    <col min="7170" max="7170" width="12" style="236" customWidth="1"/>
    <col min="7171" max="7171" width="2.7109375" style="236" customWidth="1"/>
    <col min="7172" max="7173" width="6.5703125" style="236" customWidth="1"/>
    <col min="7174" max="7174" width="5.85546875" style="236" customWidth="1"/>
    <col min="7175" max="7175" width="6.5703125" style="236" customWidth="1"/>
    <col min="7176" max="7176" width="13.7109375" style="236" customWidth="1"/>
    <col min="7177" max="7178" width="9" style="236" customWidth="1"/>
    <col min="7179" max="7179" width="2.5703125" style="236" customWidth="1"/>
    <col min="7180" max="7180" width="8.85546875" style="236" customWidth="1"/>
    <col min="7181" max="7181" width="7.5703125" style="236" customWidth="1"/>
    <col min="7182" max="7184" width="3.7109375" style="236" customWidth="1"/>
    <col min="7185" max="7185" width="3.5703125" style="236" customWidth="1"/>
    <col min="7186" max="7186" width="2.85546875" style="236" customWidth="1"/>
    <col min="7187" max="7187" width="3" style="236" customWidth="1"/>
    <col min="7188" max="7190" width="0" style="236" hidden="1" customWidth="1"/>
    <col min="7191" max="7191" width="4.42578125" style="236" customWidth="1"/>
    <col min="7192" max="7192" width="0" style="236" hidden="1" customWidth="1"/>
    <col min="7193" max="7194" width="14.85546875" style="236" customWidth="1"/>
    <col min="7195" max="7195" width="15.140625" style="236" customWidth="1"/>
    <col min="7196" max="7196" width="6.42578125" style="236" customWidth="1"/>
    <col min="7197" max="7197" width="15.140625" style="236" customWidth="1"/>
    <col min="7198" max="7198" width="4.140625" style="236" customWidth="1"/>
    <col min="7199" max="7199" width="3" style="236" customWidth="1"/>
    <col min="7200" max="7202" width="0" style="236" hidden="1" customWidth="1"/>
    <col min="7203" max="7203" width="3" style="236" customWidth="1"/>
    <col min="7204" max="7204" width="0" style="236" hidden="1" customWidth="1"/>
    <col min="7205" max="7205" width="3" style="236" customWidth="1"/>
    <col min="7206" max="7206" width="0" style="236" hidden="1" customWidth="1"/>
    <col min="7207" max="7207" width="4.42578125" style="236" customWidth="1"/>
    <col min="7208" max="7208" width="34.28515625" style="236" customWidth="1"/>
    <col min="7209" max="7209" width="23.42578125" style="236" customWidth="1"/>
    <col min="7210" max="7210" width="9.140625" style="236" customWidth="1"/>
    <col min="7211" max="7211" width="19.5703125" style="236" customWidth="1"/>
    <col min="7212" max="7212" width="42.7109375" style="236" customWidth="1"/>
    <col min="7213" max="7213" width="5.85546875" style="236" customWidth="1"/>
    <col min="7214" max="7214" width="31.5703125" style="236" customWidth="1"/>
    <col min="7215" max="7215" width="16.140625" style="236" customWidth="1"/>
    <col min="7216" max="7217" width="9.28515625" style="236" customWidth="1"/>
    <col min="7218" max="7218" width="11.140625" style="236" customWidth="1"/>
    <col min="7219" max="7219" width="2.140625" style="236" customWidth="1"/>
    <col min="7220" max="7425" width="11.42578125" style="236"/>
    <col min="7426" max="7426" width="12" style="236" customWidth="1"/>
    <col min="7427" max="7427" width="2.7109375" style="236" customWidth="1"/>
    <col min="7428" max="7429" width="6.5703125" style="236" customWidth="1"/>
    <col min="7430" max="7430" width="5.85546875" style="236" customWidth="1"/>
    <col min="7431" max="7431" width="6.5703125" style="236" customWidth="1"/>
    <col min="7432" max="7432" width="13.7109375" style="236" customWidth="1"/>
    <col min="7433" max="7434" width="9" style="236" customWidth="1"/>
    <col min="7435" max="7435" width="2.5703125" style="236" customWidth="1"/>
    <col min="7436" max="7436" width="8.85546875" style="236" customWidth="1"/>
    <col min="7437" max="7437" width="7.5703125" style="236" customWidth="1"/>
    <col min="7438" max="7440" width="3.7109375" style="236" customWidth="1"/>
    <col min="7441" max="7441" width="3.5703125" style="236" customWidth="1"/>
    <col min="7442" max="7442" width="2.85546875" style="236" customWidth="1"/>
    <col min="7443" max="7443" width="3" style="236" customWidth="1"/>
    <col min="7444" max="7446" width="0" style="236" hidden="1" customWidth="1"/>
    <col min="7447" max="7447" width="4.42578125" style="236" customWidth="1"/>
    <col min="7448" max="7448" width="0" style="236" hidden="1" customWidth="1"/>
    <col min="7449" max="7450" width="14.85546875" style="236" customWidth="1"/>
    <col min="7451" max="7451" width="15.140625" style="236" customWidth="1"/>
    <col min="7452" max="7452" width="6.42578125" style="236" customWidth="1"/>
    <col min="7453" max="7453" width="15.140625" style="236" customWidth="1"/>
    <col min="7454" max="7454" width="4.140625" style="236" customWidth="1"/>
    <col min="7455" max="7455" width="3" style="236" customWidth="1"/>
    <col min="7456" max="7458" width="0" style="236" hidden="1" customWidth="1"/>
    <col min="7459" max="7459" width="3" style="236" customWidth="1"/>
    <col min="7460" max="7460" width="0" style="236" hidden="1" customWidth="1"/>
    <col min="7461" max="7461" width="3" style="236" customWidth="1"/>
    <col min="7462" max="7462" width="0" style="236" hidden="1" customWidth="1"/>
    <col min="7463" max="7463" width="4.42578125" style="236" customWidth="1"/>
    <col min="7464" max="7464" width="34.28515625" style="236" customWidth="1"/>
    <col min="7465" max="7465" width="23.42578125" style="236" customWidth="1"/>
    <col min="7466" max="7466" width="9.140625" style="236" customWidth="1"/>
    <col min="7467" max="7467" width="19.5703125" style="236" customWidth="1"/>
    <col min="7468" max="7468" width="42.7109375" style="236" customWidth="1"/>
    <col min="7469" max="7469" width="5.85546875" style="236" customWidth="1"/>
    <col min="7470" max="7470" width="31.5703125" style="236" customWidth="1"/>
    <col min="7471" max="7471" width="16.140625" style="236" customWidth="1"/>
    <col min="7472" max="7473" width="9.28515625" style="236" customWidth="1"/>
    <col min="7474" max="7474" width="11.140625" style="236" customWidth="1"/>
    <col min="7475" max="7475" width="2.140625" style="236" customWidth="1"/>
    <col min="7476" max="7681" width="11.42578125" style="236"/>
    <col min="7682" max="7682" width="12" style="236" customWidth="1"/>
    <col min="7683" max="7683" width="2.7109375" style="236" customWidth="1"/>
    <col min="7684" max="7685" width="6.5703125" style="236" customWidth="1"/>
    <col min="7686" max="7686" width="5.85546875" style="236" customWidth="1"/>
    <col min="7687" max="7687" width="6.5703125" style="236" customWidth="1"/>
    <col min="7688" max="7688" width="13.7109375" style="236" customWidth="1"/>
    <col min="7689" max="7690" width="9" style="236" customWidth="1"/>
    <col min="7691" max="7691" width="2.5703125" style="236" customWidth="1"/>
    <col min="7692" max="7692" width="8.85546875" style="236" customWidth="1"/>
    <col min="7693" max="7693" width="7.5703125" style="236" customWidth="1"/>
    <col min="7694" max="7696" width="3.7109375" style="236" customWidth="1"/>
    <col min="7697" max="7697" width="3.5703125" style="236" customWidth="1"/>
    <col min="7698" max="7698" width="2.85546875" style="236" customWidth="1"/>
    <col min="7699" max="7699" width="3" style="236" customWidth="1"/>
    <col min="7700" max="7702" width="0" style="236" hidden="1" customWidth="1"/>
    <col min="7703" max="7703" width="4.42578125" style="236" customWidth="1"/>
    <col min="7704" max="7704" width="0" style="236" hidden="1" customWidth="1"/>
    <col min="7705" max="7706" width="14.85546875" style="236" customWidth="1"/>
    <col min="7707" max="7707" width="15.140625" style="236" customWidth="1"/>
    <col min="7708" max="7708" width="6.42578125" style="236" customWidth="1"/>
    <col min="7709" max="7709" width="15.140625" style="236" customWidth="1"/>
    <col min="7710" max="7710" width="4.140625" style="236" customWidth="1"/>
    <col min="7711" max="7711" width="3" style="236" customWidth="1"/>
    <col min="7712" max="7714" width="0" style="236" hidden="1" customWidth="1"/>
    <col min="7715" max="7715" width="3" style="236" customWidth="1"/>
    <col min="7716" max="7716" width="0" style="236" hidden="1" customWidth="1"/>
    <col min="7717" max="7717" width="3" style="236" customWidth="1"/>
    <col min="7718" max="7718" width="0" style="236" hidden="1" customWidth="1"/>
    <col min="7719" max="7719" width="4.42578125" style="236" customWidth="1"/>
    <col min="7720" max="7720" width="34.28515625" style="236" customWidth="1"/>
    <col min="7721" max="7721" width="23.42578125" style="236" customWidth="1"/>
    <col min="7722" max="7722" width="9.140625" style="236" customWidth="1"/>
    <col min="7723" max="7723" width="19.5703125" style="236" customWidth="1"/>
    <col min="7724" max="7724" width="42.7109375" style="236" customWidth="1"/>
    <col min="7725" max="7725" width="5.85546875" style="236" customWidth="1"/>
    <col min="7726" max="7726" width="31.5703125" style="236" customWidth="1"/>
    <col min="7727" max="7727" width="16.140625" style="236" customWidth="1"/>
    <col min="7728" max="7729" width="9.28515625" style="236" customWidth="1"/>
    <col min="7730" max="7730" width="11.140625" style="236" customWidth="1"/>
    <col min="7731" max="7731" width="2.140625" style="236" customWidth="1"/>
    <col min="7732" max="7937" width="11.42578125" style="236"/>
    <col min="7938" max="7938" width="12" style="236" customWidth="1"/>
    <col min="7939" max="7939" width="2.7109375" style="236" customWidth="1"/>
    <col min="7940" max="7941" width="6.5703125" style="236" customWidth="1"/>
    <col min="7942" max="7942" width="5.85546875" style="236" customWidth="1"/>
    <col min="7943" max="7943" width="6.5703125" style="236" customWidth="1"/>
    <col min="7944" max="7944" width="13.7109375" style="236" customWidth="1"/>
    <col min="7945" max="7946" width="9" style="236" customWidth="1"/>
    <col min="7947" max="7947" width="2.5703125" style="236" customWidth="1"/>
    <col min="7948" max="7948" width="8.85546875" style="236" customWidth="1"/>
    <col min="7949" max="7949" width="7.5703125" style="236" customWidth="1"/>
    <col min="7950" max="7952" width="3.7109375" style="236" customWidth="1"/>
    <col min="7953" max="7953" width="3.5703125" style="236" customWidth="1"/>
    <col min="7954" max="7954" width="2.85546875" style="236" customWidth="1"/>
    <col min="7955" max="7955" width="3" style="236" customWidth="1"/>
    <col min="7956" max="7958" width="0" style="236" hidden="1" customWidth="1"/>
    <col min="7959" max="7959" width="4.42578125" style="236" customWidth="1"/>
    <col min="7960" max="7960" width="0" style="236" hidden="1" customWidth="1"/>
    <col min="7961" max="7962" width="14.85546875" style="236" customWidth="1"/>
    <col min="7963" max="7963" width="15.140625" style="236" customWidth="1"/>
    <col min="7964" max="7964" width="6.42578125" style="236" customWidth="1"/>
    <col min="7965" max="7965" width="15.140625" style="236" customWidth="1"/>
    <col min="7966" max="7966" width="4.140625" style="236" customWidth="1"/>
    <col min="7967" max="7967" width="3" style="236" customWidth="1"/>
    <col min="7968" max="7970" width="0" style="236" hidden="1" customWidth="1"/>
    <col min="7971" max="7971" width="3" style="236" customWidth="1"/>
    <col min="7972" max="7972" width="0" style="236" hidden="1" customWidth="1"/>
    <col min="7973" max="7973" width="3" style="236" customWidth="1"/>
    <col min="7974" max="7974" width="0" style="236" hidden="1" customWidth="1"/>
    <col min="7975" max="7975" width="4.42578125" style="236" customWidth="1"/>
    <col min="7976" max="7976" width="34.28515625" style="236" customWidth="1"/>
    <col min="7977" max="7977" width="23.42578125" style="236" customWidth="1"/>
    <col min="7978" max="7978" width="9.140625" style="236" customWidth="1"/>
    <col min="7979" max="7979" width="19.5703125" style="236" customWidth="1"/>
    <col min="7980" max="7980" width="42.7109375" style="236" customWidth="1"/>
    <col min="7981" max="7981" width="5.85546875" style="236" customWidth="1"/>
    <col min="7982" max="7982" width="31.5703125" style="236" customWidth="1"/>
    <col min="7983" max="7983" width="16.140625" style="236" customWidth="1"/>
    <col min="7984" max="7985" width="9.28515625" style="236" customWidth="1"/>
    <col min="7986" max="7986" width="11.140625" style="236" customWidth="1"/>
    <col min="7987" max="7987" width="2.140625" style="236" customWidth="1"/>
    <col min="7988" max="8193" width="11.42578125" style="236"/>
    <col min="8194" max="8194" width="12" style="236" customWidth="1"/>
    <col min="8195" max="8195" width="2.7109375" style="236" customWidth="1"/>
    <col min="8196" max="8197" width="6.5703125" style="236" customWidth="1"/>
    <col min="8198" max="8198" width="5.85546875" style="236" customWidth="1"/>
    <col min="8199" max="8199" width="6.5703125" style="236" customWidth="1"/>
    <col min="8200" max="8200" width="13.7109375" style="236" customWidth="1"/>
    <col min="8201" max="8202" width="9" style="236" customWidth="1"/>
    <col min="8203" max="8203" width="2.5703125" style="236" customWidth="1"/>
    <col min="8204" max="8204" width="8.85546875" style="236" customWidth="1"/>
    <col min="8205" max="8205" width="7.5703125" style="236" customWidth="1"/>
    <col min="8206" max="8208" width="3.7109375" style="236" customWidth="1"/>
    <col min="8209" max="8209" width="3.5703125" style="236" customWidth="1"/>
    <col min="8210" max="8210" width="2.85546875" style="236" customWidth="1"/>
    <col min="8211" max="8211" width="3" style="236" customWidth="1"/>
    <col min="8212" max="8214" width="0" style="236" hidden="1" customWidth="1"/>
    <col min="8215" max="8215" width="4.42578125" style="236" customWidth="1"/>
    <col min="8216" max="8216" width="0" style="236" hidden="1" customWidth="1"/>
    <col min="8217" max="8218" width="14.85546875" style="236" customWidth="1"/>
    <col min="8219" max="8219" width="15.140625" style="236" customWidth="1"/>
    <col min="8220" max="8220" width="6.42578125" style="236" customWidth="1"/>
    <col min="8221" max="8221" width="15.140625" style="236" customWidth="1"/>
    <col min="8222" max="8222" width="4.140625" style="236" customWidth="1"/>
    <col min="8223" max="8223" width="3" style="236" customWidth="1"/>
    <col min="8224" max="8226" width="0" style="236" hidden="1" customWidth="1"/>
    <col min="8227" max="8227" width="3" style="236" customWidth="1"/>
    <col min="8228" max="8228" width="0" style="236" hidden="1" customWidth="1"/>
    <col min="8229" max="8229" width="3" style="236" customWidth="1"/>
    <col min="8230" max="8230" width="0" style="236" hidden="1" customWidth="1"/>
    <col min="8231" max="8231" width="4.42578125" style="236" customWidth="1"/>
    <col min="8232" max="8232" width="34.28515625" style="236" customWidth="1"/>
    <col min="8233" max="8233" width="23.42578125" style="236" customWidth="1"/>
    <col min="8234" max="8234" width="9.140625" style="236" customWidth="1"/>
    <col min="8235" max="8235" width="19.5703125" style="236" customWidth="1"/>
    <col min="8236" max="8236" width="42.7109375" style="236" customWidth="1"/>
    <col min="8237" max="8237" width="5.85546875" style="236" customWidth="1"/>
    <col min="8238" max="8238" width="31.5703125" style="236" customWidth="1"/>
    <col min="8239" max="8239" width="16.140625" style="236" customWidth="1"/>
    <col min="8240" max="8241" width="9.28515625" style="236" customWidth="1"/>
    <col min="8242" max="8242" width="11.140625" style="236" customWidth="1"/>
    <col min="8243" max="8243" width="2.140625" style="236" customWidth="1"/>
    <col min="8244" max="8449" width="11.42578125" style="236"/>
    <col min="8450" max="8450" width="12" style="236" customWidth="1"/>
    <col min="8451" max="8451" width="2.7109375" style="236" customWidth="1"/>
    <col min="8452" max="8453" width="6.5703125" style="236" customWidth="1"/>
    <col min="8454" max="8454" width="5.85546875" style="236" customWidth="1"/>
    <col min="8455" max="8455" width="6.5703125" style="236" customWidth="1"/>
    <col min="8456" max="8456" width="13.7109375" style="236" customWidth="1"/>
    <col min="8457" max="8458" width="9" style="236" customWidth="1"/>
    <col min="8459" max="8459" width="2.5703125" style="236" customWidth="1"/>
    <col min="8460" max="8460" width="8.85546875" style="236" customWidth="1"/>
    <col min="8461" max="8461" width="7.5703125" style="236" customWidth="1"/>
    <col min="8462" max="8464" width="3.7109375" style="236" customWidth="1"/>
    <col min="8465" max="8465" width="3.5703125" style="236" customWidth="1"/>
    <col min="8466" max="8466" width="2.85546875" style="236" customWidth="1"/>
    <col min="8467" max="8467" width="3" style="236" customWidth="1"/>
    <col min="8468" max="8470" width="0" style="236" hidden="1" customWidth="1"/>
    <col min="8471" max="8471" width="4.42578125" style="236" customWidth="1"/>
    <col min="8472" max="8472" width="0" style="236" hidden="1" customWidth="1"/>
    <col min="8473" max="8474" width="14.85546875" style="236" customWidth="1"/>
    <col min="8475" max="8475" width="15.140625" style="236" customWidth="1"/>
    <col min="8476" max="8476" width="6.42578125" style="236" customWidth="1"/>
    <col min="8477" max="8477" width="15.140625" style="236" customWidth="1"/>
    <col min="8478" max="8478" width="4.140625" style="236" customWidth="1"/>
    <col min="8479" max="8479" width="3" style="236" customWidth="1"/>
    <col min="8480" max="8482" width="0" style="236" hidden="1" customWidth="1"/>
    <col min="8483" max="8483" width="3" style="236" customWidth="1"/>
    <col min="8484" max="8484" width="0" style="236" hidden="1" customWidth="1"/>
    <col min="8485" max="8485" width="3" style="236" customWidth="1"/>
    <col min="8486" max="8486" width="0" style="236" hidden="1" customWidth="1"/>
    <col min="8487" max="8487" width="4.42578125" style="236" customWidth="1"/>
    <col min="8488" max="8488" width="34.28515625" style="236" customWidth="1"/>
    <col min="8489" max="8489" width="23.42578125" style="236" customWidth="1"/>
    <col min="8490" max="8490" width="9.140625" style="236" customWidth="1"/>
    <col min="8491" max="8491" width="19.5703125" style="236" customWidth="1"/>
    <col min="8492" max="8492" width="42.7109375" style="236" customWidth="1"/>
    <col min="8493" max="8493" width="5.85546875" style="236" customWidth="1"/>
    <col min="8494" max="8494" width="31.5703125" style="236" customWidth="1"/>
    <col min="8495" max="8495" width="16.140625" style="236" customWidth="1"/>
    <col min="8496" max="8497" width="9.28515625" style="236" customWidth="1"/>
    <col min="8498" max="8498" width="11.140625" style="236" customWidth="1"/>
    <col min="8499" max="8499" width="2.140625" style="236" customWidth="1"/>
    <col min="8500" max="8705" width="11.42578125" style="236"/>
    <col min="8706" max="8706" width="12" style="236" customWidth="1"/>
    <col min="8707" max="8707" width="2.7109375" style="236" customWidth="1"/>
    <col min="8708" max="8709" width="6.5703125" style="236" customWidth="1"/>
    <col min="8710" max="8710" width="5.85546875" style="236" customWidth="1"/>
    <col min="8711" max="8711" width="6.5703125" style="236" customWidth="1"/>
    <col min="8712" max="8712" width="13.7109375" style="236" customWidth="1"/>
    <col min="8713" max="8714" width="9" style="236" customWidth="1"/>
    <col min="8715" max="8715" width="2.5703125" style="236" customWidth="1"/>
    <col min="8716" max="8716" width="8.85546875" style="236" customWidth="1"/>
    <col min="8717" max="8717" width="7.5703125" style="236" customWidth="1"/>
    <col min="8718" max="8720" width="3.7109375" style="236" customWidth="1"/>
    <col min="8721" max="8721" width="3.5703125" style="236" customWidth="1"/>
    <col min="8722" max="8722" width="2.85546875" style="236" customWidth="1"/>
    <col min="8723" max="8723" width="3" style="236" customWidth="1"/>
    <col min="8724" max="8726" width="0" style="236" hidden="1" customWidth="1"/>
    <col min="8727" max="8727" width="4.42578125" style="236" customWidth="1"/>
    <col min="8728" max="8728" width="0" style="236" hidden="1" customWidth="1"/>
    <col min="8729" max="8730" width="14.85546875" style="236" customWidth="1"/>
    <col min="8731" max="8731" width="15.140625" style="236" customWidth="1"/>
    <col min="8732" max="8732" width="6.42578125" style="236" customWidth="1"/>
    <col min="8733" max="8733" width="15.140625" style="236" customWidth="1"/>
    <col min="8734" max="8734" width="4.140625" style="236" customWidth="1"/>
    <col min="8735" max="8735" width="3" style="236" customWidth="1"/>
    <col min="8736" max="8738" width="0" style="236" hidden="1" customWidth="1"/>
    <col min="8739" max="8739" width="3" style="236" customWidth="1"/>
    <col min="8740" max="8740" width="0" style="236" hidden="1" customWidth="1"/>
    <col min="8741" max="8741" width="3" style="236" customWidth="1"/>
    <col min="8742" max="8742" width="0" style="236" hidden="1" customWidth="1"/>
    <col min="8743" max="8743" width="4.42578125" style="236" customWidth="1"/>
    <col min="8744" max="8744" width="34.28515625" style="236" customWidth="1"/>
    <col min="8745" max="8745" width="23.42578125" style="236" customWidth="1"/>
    <col min="8746" max="8746" width="9.140625" style="236" customWidth="1"/>
    <col min="8747" max="8747" width="19.5703125" style="236" customWidth="1"/>
    <col min="8748" max="8748" width="42.7109375" style="236" customWidth="1"/>
    <col min="8749" max="8749" width="5.85546875" style="236" customWidth="1"/>
    <col min="8750" max="8750" width="31.5703125" style="236" customWidth="1"/>
    <col min="8751" max="8751" width="16.140625" style="236" customWidth="1"/>
    <col min="8752" max="8753" width="9.28515625" style="236" customWidth="1"/>
    <col min="8754" max="8754" width="11.140625" style="236" customWidth="1"/>
    <col min="8755" max="8755" width="2.140625" style="236" customWidth="1"/>
    <col min="8756" max="8961" width="11.42578125" style="236"/>
    <col min="8962" max="8962" width="12" style="236" customWidth="1"/>
    <col min="8963" max="8963" width="2.7109375" style="236" customWidth="1"/>
    <col min="8964" max="8965" width="6.5703125" style="236" customWidth="1"/>
    <col min="8966" max="8966" width="5.85546875" style="236" customWidth="1"/>
    <col min="8967" max="8967" width="6.5703125" style="236" customWidth="1"/>
    <col min="8968" max="8968" width="13.7109375" style="236" customWidth="1"/>
    <col min="8969" max="8970" width="9" style="236" customWidth="1"/>
    <col min="8971" max="8971" width="2.5703125" style="236" customWidth="1"/>
    <col min="8972" max="8972" width="8.85546875" style="236" customWidth="1"/>
    <col min="8973" max="8973" width="7.5703125" style="236" customWidth="1"/>
    <col min="8974" max="8976" width="3.7109375" style="236" customWidth="1"/>
    <col min="8977" max="8977" width="3.5703125" style="236" customWidth="1"/>
    <col min="8978" max="8978" width="2.85546875" style="236" customWidth="1"/>
    <col min="8979" max="8979" width="3" style="236" customWidth="1"/>
    <col min="8980" max="8982" width="0" style="236" hidden="1" customWidth="1"/>
    <col min="8983" max="8983" width="4.42578125" style="236" customWidth="1"/>
    <col min="8984" max="8984" width="0" style="236" hidden="1" customWidth="1"/>
    <col min="8985" max="8986" width="14.85546875" style="236" customWidth="1"/>
    <col min="8987" max="8987" width="15.140625" style="236" customWidth="1"/>
    <col min="8988" max="8988" width="6.42578125" style="236" customWidth="1"/>
    <col min="8989" max="8989" width="15.140625" style="236" customWidth="1"/>
    <col min="8990" max="8990" width="4.140625" style="236" customWidth="1"/>
    <col min="8991" max="8991" width="3" style="236" customWidth="1"/>
    <col min="8992" max="8994" width="0" style="236" hidden="1" customWidth="1"/>
    <col min="8995" max="8995" width="3" style="236" customWidth="1"/>
    <col min="8996" max="8996" width="0" style="236" hidden="1" customWidth="1"/>
    <col min="8997" max="8997" width="3" style="236" customWidth="1"/>
    <col min="8998" max="8998" width="0" style="236" hidden="1" customWidth="1"/>
    <col min="8999" max="8999" width="4.42578125" style="236" customWidth="1"/>
    <col min="9000" max="9000" width="34.28515625" style="236" customWidth="1"/>
    <col min="9001" max="9001" width="23.42578125" style="236" customWidth="1"/>
    <col min="9002" max="9002" width="9.140625" style="236" customWidth="1"/>
    <col min="9003" max="9003" width="19.5703125" style="236" customWidth="1"/>
    <col min="9004" max="9004" width="42.7109375" style="236" customWidth="1"/>
    <col min="9005" max="9005" width="5.85546875" style="236" customWidth="1"/>
    <col min="9006" max="9006" width="31.5703125" style="236" customWidth="1"/>
    <col min="9007" max="9007" width="16.140625" style="236" customWidth="1"/>
    <col min="9008" max="9009" width="9.28515625" style="236" customWidth="1"/>
    <col min="9010" max="9010" width="11.140625" style="236" customWidth="1"/>
    <col min="9011" max="9011" width="2.140625" style="236" customWidth="1"/>
    <col min="9012" max="9217" width="11.42578125" style="236"/>
    <col min="9218" max="9218" width="12" style="236" customWidth="1"/>
    <col min="9219" max="9219" width="2.7109375" style="236" customWidth="1"/>
    <col min="9220" max="9221" width="6.5703125" style="236" customWidth="1"/>
    <col min="9222" max="9222" width="5.85546875" style="236" customWidth="1"/>
    <col min="9223" max="9223" width="6.5703125" style="236" customWidth="1"/>
    <col min="9224" max="9224" width="13.7109375" style="236" customWidth="1"/>
    <col min="9225" max="9226" width="9" style="236" customWidth="1"/>
    <col min="9227" max="9227" width="2.5703125" style="236" customWidth="1"/>
    <col min="9228" max="9228" width="8.85546875" style="236" customWidth="1"/>
    <col min="9229" max="9229" width="7.5703125" style="236" customWidth="1"/>
    <col min="9230" max="9232" width="3.7109375" style="236" customWidth="1"/>
    <col min="9233" max="9233" width="3.5703125" style="236" customWidth="1"/>
    <col min="9234" max="9234" width="2.85546875" style="236" customWidth="1"/>
    <col min="9235" max="9235" width="3" style="236" customWidth="1"/>
    <col min="9236" max="9238" width="0" style="236" hidden="1" customWidth="1"/>
    <col min="9239" max="9239" width="4.42578125" style="236" customWidth="1"/>
    <col min="9240" max="9240" width="0" style="236" hidden="1" customWidth="1"/>
    <col min="9241" max="9242" width="14.85546875" style="236" customWidth="1"/>
    <col min="9243" max="9243" width="15.140625" style="236" customWidth="1"/>
    <col min="9244" max="9244" width="6.42578125" style="236" customWidth="1"/>
    <col min="9245" max="9245" width="15.140625" style="236" customWidth="1"/>
    <col min="9246" max="9246" width="4.140625" style="236" customWidth="1"/>
    <col min="9247" max="9247" width="3" style="236" customWidth="1"/>
    <col min="9248" max="9250" width="0" style="236" hidden="1" customWidth="1"/>
    <col min="9251" max="9251" width="3" style="236" customWidth="1"/>
    <col min="9252" max="9252" width="0" style="236" hidden="1" customWidth="1"/>
    <col min="9253" max="9253" width="3" style="236" customWidth="1"/>
    <col min="9254" max="9254" width="0" style="236" hidden="1" customWidth="1"/>
    <col min="9255" max="9255" width="4.42578125" style="236" customWidth="1"/>
    <col min="9256" max="9256" width="34.28515625" style="236" customWidth="1"/>
    <col min="9257" max="9257" width="23.42578125" style="236" customWidth="1"/>
    <col min="9258" max="9258" width="9.140625" style="236" customWidth="1"/>
    <col min="9259" max="9259" width="19.5703125" style="236" customWidth="1"/>
    <col min="9260" max="9260" width="42.7109375" style="236" customWidth="1"/>
    <col min="9261" max="9261" width="5.85546875" style="236" customWidth="1"/>
    <col min="9262" max="9262" width="31.5703125" style="236" customWidth="1"/>
    <col min="9263" max="9263" width="16.140625" style="236" customWidth="1"/>
    <col min="9264" max="9265" width="9.28515625" style="236" customWidth="1"/>
    <col min="9266" max="9266" width="11.140625" style="236" customWidth="1"/>
    <col min="9267" max="9267" width="2.140625" style="236" customWidth="1"/>
    <col min="9268" max="9473" width="11.42578125" style="236"/>
    <col min="9474" max="9474" width="12" style="236" customWidth="1"/>
    <col min="9475" max="9475" width="2.7109375" style="236" customWidth="1"/>
    <col min="9476" max="9477" width="6.5703125" style="236" customWidth="1"/>
    <col min="9478" max="9478" width="5.85546875" style="236" customWidth="1"/>
    <col min="9479" max="9479" width="6.5703125" style="236" customWidth="1"/>
    <col min="9480" max="9480" width="13.7109375" style="236" customWidth="1"/>
    <col min="9481" max="9482" width="9" style="236" customWidth="1"/>
    <col min="9483" max="9483" width="2.5703125" style="236" customWidth="1"/>
    <col min="9484" max="9484" width="8.85546875" style="236" customWidth="1"/>
    <col min="9485" max="9485" width="7.5703125" style="236" customWidth="1"/>
    <col min="9486" max="9488" width="3.7109375" style="236" customWidth="1"/>
    <col min="9489" max="9489" width="3.5703125" style="236" customWidth="1"/>
    <col min="9490" max="9490" width="2.85546875" style="236" customWidth="1"/>
    <col min="9491" max="9491" width="3" style="236" customWidth="1"/>
    <col min="9492" max="9494" width="0" style="236" hidden="1" customWidth="1"/>
    <col min="9495" max="9495" width="4.42578125" style="236" customWidth="1"/>
    <col min="9496" max="9496" width="0" style="236" hidden="1" customWidth="1"/>
    <col min="9497" max="9498" width="14.85546875" style="236" customWidth="1"/>
    <col min="9499" max="9499" width="15.140625" style="236" customWidth="1"/>
    <col min="9500" max="9500" width="6.42578125" style="236" customWidth="1"/>
    <col min="9501" max="9501" width="15.140625" style="236" customWidth="1"/>
    <col min="9502" max="9502" width="4.140625" style="236" customWidth="1"/>
    <col min="9503" max="9503" width="3" style="236" customWidth="1"/>
    <col min="9504" max="9506" width="0" style="236" hidden="1" customWidth="1"/>
    <col min="9507" max="9507" width="3" style="236" customWidth="1"/>
    <col min="9508" max="9508" width="0" style="236" hidden="1" customWidth="1"/>
    <col min="9509" max="9509" width="3" style="236" customWidth="1"/>
    <col min="9510" max="9510" width="0" style="236" hidden="1" customWidth="1"/>
    <col min="9511" max="9511" width="4.42578125" style="236" customWidth="1"/>
    <col min="9512" max="9512" width="34.28515625" style="236" customWidth="1"/>
    <col min="9513" max="9513" width="23.42578125" style="236" customWidth="1"/>
    <col min="9514" max="9514" width="9.140625" style="236" customWidth="1"/>
    <col min="9515" max="9515" width="19.5703125" style="236" customWidth="1"/>
    <col min="9516" max="9516" width="42.7109375" style="236" customWidth="1"/>
    <col min="9517" max="9517" width="5.85546875" style="236" customWidth="1"/>
    <col min="9518" max="9518" width="31.5703125" style="236" customWidth="1"/>
    <col min="9519" max="9519" width="16.140625" style="236" customWidth="1"/>
    <col min="9520" max="9521" width="9.28515625" style="236" customWidth="1"/>
    <col min="9522" max="9522" width="11.140625" style="236" customWidth="1"/>
    <col min="9523" max="9523" width="2.140625" style="236" customWidth="1"/>
    <col min="9524" max="9729" width="11.42578125" style="236"/>
    <col min="9730" max="9730" width="12" style="236" customWidth="1"/>
    <col min="9731" max="9731" width="2.7109375" style="236" customWidth="1"/>
    <col min="9732" max="9733" width="6.5703125" style="236" customWidth="1"/>
    <col min="9734" max="9734" width="5.85546875" style="236" customWidth="1"/>
    <col min="9735" max="9735" width="6.5703125" style="236" customWidth="1"/>
    <col min="9736" max="9736" width="13.7109375" style="236" customWidth="1"/>
    <col min="9737" max="9738" width="9" style="236" customWidth="1"/>
    <col min="9739" max="9739" width="2.5703125" style="236" customWidth="1"/>
    <col min="9740" max="9740" width="8.85546875" style="236" customWidth="1"/>
    <col min="9741" max="9741" width="7.5703125" style="236" customWidth="1"/>
    <col min="9742" max="9744" width="3.7109375" style="236" customWidth="1"/>
    <col min="9745" max="9745" width="3.5703125" style="236" customWidth="1"/>
    <col min="9746" max="9746" width="2.85546875" style="236" customWidth="1"/>
    <col min="9747" max="9747" width="3" style="236" customWidth="1"/>
    <col min="9748" max="9750" width="0" style="236" hidden="1" customWidth="1"/>
    <col min="9751" max="9751" width="4.42578125" style="236" customWidth="1"/>
    <col min="9752" max="9752" width="0" style="236" hidden="1" customWidth="1"/>
    <col min="9753" max="9754" width="14.85546875" style="236" customWidth="1"/>
    <col min="9755" max="9755" width="15.140625" style="236" customWidth="1"/>
    <col min="9756" max="9756" width="6.42578125" style="236" customWidth="1"/>
    <col min="9757" max="9757" width="15.140625" style="236" customWidth="1"/>
    <col min="9758" max="9758" width="4.140625" style="236" customWidth="1"/>
    <col min="9759" max="9759" width="3" style="236" customWidth="1"/>
    <col min="9760" max="9762" width="0" style="236" hidden="1" customWidth="1"/>
    <col min="9763" max="9763" width="3" style="236" customWidth="1"/>
    <col min="9764" max="9764" width="0" style="236" hidden="1" customWidth="1"/>
    <col min="9765" max="9765" width="3" style="236" customWidth="1"/>
    <col min="9766" max="9766" width="0" style="236" hidden="1" customWidth="1"/>
    <col min="9767" max="9767" width="4.42578125" style="236" customWidth="1"/>
    <col min="9768" max="9768" width="34.28515625" style="236" customWidth="1"/>
    <col min="9769" max="9769" width="23.42578125" style="236" customWidth="1"/>
    <col min="9770" max="9770" width="9.140625" style="236" customWidth="1"/>
    <col min="9771" max="9771" width="19.5703125" style="236" customWidth="1"/>
    <col min="9772" max="9772" width="42.7109375" style="236" customWidth="1"/>
    <col min="9773" max="9773" width="5.85546875" style="236" customWidth="1"/>
    <col min="9774" max="9774" width="31.5703125" style="236" customWidth="1"/>
    <col min="9775" max="9775" width="16.140625" style="236" customWidth="1"/>
    <col min="9776" max="9777" width="9.28515625" style="236" customWidth="1"/>
    <col min="9778" max="9778" width="11.140625" style="236" customWidth="1"/>
    <col min="9779" max="9779" width="2.140625" style="236" customWidth="1"/>
    <col min="9780" max="9985" width="11.42578125" style="236"/>
    <col min="9986" max="9986" width="12" style="236" customWidth="1"/>
    <col min="9987" max="9987" width="2.7109375" style="236" customWidth="1"/>
    <col min="9988" max="9989" width="6.5703125" style="236" customWidth="1"/>
    <col min="9990" max="9990" width="5.85546875" style="236" customWidth="1"/>
    <col min="9991" max="9991" width="6.5703125" style="236" customWidth="1"/>
    <col min="9992" max="9992" width="13.7109375" style="236" customWidth="1"/>
    <col min="9993" max="9994" width="9" style="236" customWidth="1"/>
    <col min="9995" max="9995" width="2.5703125" style="236" customWidth="1"/>
    <col min="9996" max="9996" width="8.85546875" style="236" customWidth="1"/>
    <col min="9997" max="9997" width="7.5703125" style="236" customWidth="1"/>
    <col min="9998" max="10000" width="3.7109375" style="236" customWidth="1"/>
    <col min="10001" max="10001" width="3.5703125" style="236" customWidth="1"/>
    <col min="10002" max="10002" width="2.85546875" style="236" customWidth="1"/>
    <col min="10003" max="10003" width="3" style="236" customWidth="1"/>
    <col min="10004" max="10006" width="0" style="236" hidden="1" customWidth="1"/>
    <col min="10007" max="10007" width="4.42578125" style="236" customWidth="1"/>
    <col min="10008" max="10008" width="0" style="236" hidden="1" customWidth="1"/>
    <col min="10009" max="10010" width="14.85546875" style="236" customWidth="1"/>
    <col min="10011" max="10011" width="15.140625" style="236" customWidth="1"/>
    <col min="10012" max="10012" width="6.42578125" style="236" customWidth="1"/>
    <col min="10013" max="10013" width="15.140625" style="236" customWidth="1"/>
    <col min="10014" max="10014" width="4.140625" style="236" customWidth="1"/>
    <col min="10015" max="10015" width="3" style="236" customWidth="1"/>
    <col min="10016" max="10018" width="0" style="236" hidden="1" customWidth="1"/>
    <col min="10019" max="10019" width="3" style="236" customWidth="1"/>
    <col min="10020" max="10020" width="0" style="236" hidden="1" customWidth="1"/>
    <col min="10021" max="10021" width="3" style="236" customWidth="1"/>
    <col min="10022" max="10022" width="0" style="236" hidden="1" customWidth="1"/>
    <col min="10023" max="10023" width="4.42578125" style="236" customWidth="1"/>
    <col min="10024" max="10024" width="34.28515625" style="236" customWidth="1"/>
    <col min="10025" max="10025" width="23.42578125" style="236" customWidth="1"/>
    <col min="10026" max="10026" width="9.140625" style="236" customWidth="1"/>
    <col min="10027" max="10027" width="19.5703125" style="236" customWidth="1"/>
    <col min="10028" max="10028" width="42.7109375" style="236" customWidth="1"/>
    <col min="10029" max="10029" width="5.85546875" style="236" customWidth="1"/>
    <col min="10030" max="10030" width="31.5703125" style="236" customWidth="1"/>
    <col min="10031" max="10031" width="16.140625" style="236" customWidth="1"/>
    <col min="10032" max="10033" width="9.28515625" style="236" customWidth="1"/>
    <col min="10034" max="10034" width="11.140625" style="236" customWidth="1"/>
    <col min="10035" max="10035" width="2.140625" style="236" customWidth="1"/>
    <col min="10036" max="10241" width="11.42578125" style="236"/>
    <col min="10242" max="10242" width="12" style="236" customWidth="1"/>
    <col min="10243" max="10243" width="2.7109375" style="236" customWidth="1"/>
    <col min="10244" max="10245" width="6.5703125" style="236" customWidth="1"/>
    <col min="10246" max="10246" width="5.85546875" style="236" customWidth="1"/>
    <col min="10247" max="10247" width="6.5703125" style="236" customWidth="1"/>
    <col min="10248" max="10248" width="13.7109375" style="236" customWidth="1"/>
    <col min="10249" max="10250" width="9" style="236" customWidth="1"/>
    <col min="10251" max="10251" width="2.5703125" style="236" customWidth="1"/>
    <col min="10252" max="10252" width="8.85546875" style="236" customWidth="1"/>
    <col min="10253" max="10253" width="7.5703125" style="236" customWidth="1"/>
    <col min="10254" max="10256" width="3.7109375" style="236" customWidth="1"/>
    <col min="10257" max="10257" width="3.5703125" style="236" customWidth="1"/>
    <col min="10258" max="10258" width="2.85546875" style="236" customWidth="1"/>
    <col min="10259" max="10259" width="3" style="236" customWidth="1"/>
    <col min="10260" max="10262" width="0" style="236" hidden="1" customWidth="1"/>
    <col min="10263" max="10263" width="4.42578125" style="236" customWidth="1"/>
    <col min="10264" max="10264" width="0" style="236" hidden="1" customWidth="1"/>
    <col min="10265" max="10266" width="14.85546875" style="236" customWidth="1"/>
    <col min="10267" max="10267" width="15.140625" style="236" customWidth="1"/>
    <col min="10268" max="10268" width="6.42578125" style="236" customWidth="1"/>
    <col min="10269" max="10269" width="15.140625" style="236" customWidth="1"/>
    <col min="10270" max="10270" width="4.140625" style="236" customWidth="1"/>
    <col min="10271" max="10271" width="3" style="236" customWidth="1"/>
    <col min="10272" max="10274" width="0" style="236" hidden="1" customWidth="1"/>
    <col min="10275" max="10275" width="3" style="236" customWidth="1"/>
    <col min="10276" max="10276" width="0" style="236" hidden="1" customWidth="1"/>
    <col min="10277" max="10277" width="3" style="236" customWidth="1"/>
    <col min="10278" max="10278" width="0" style="236" hidden="1" customWidth="1"/>
    <col min="10279" max="10279" width="4.42578125" style="236" customWidth="1"/>
    <col min="10280" max="10280" width="34.28515625" style="236" customWidth="1"/>
    <col min="10281" max="10281" width="23.42578125" style="236" customWidth="1"/>
    <col min="10282" max="10282" width="9.140625" style="236" customWidth="1"/>
    <col min="10283" max="10283" width="19.5703125" style="236" customWidth="1"/>
    <col min="10284" max="10284" width="42.7109375" style="236" customWidth="1"/>
    <col min="10285" max="10285" width="5.85546875" style="236" customWidth="1"/>
    <col min="10286" max="10286" width="31.5703125" style="236" customWidth="1"/>
    <col min="10287" max="10287" width="16.140625" style="236" customWidth="1"/>
    <col min="10288" max="10289" width="9.28515625" style="236" customWidth="1"/>
    <col min="10290" max="10290" width="11.140625" style="236" customWidth="1"/>
    <col min="10291" max="10291" width="2.140625" style="236" customWidth="1"/>
    <col min="10292" max="10497" width="11.42578125" style="236"/>
    <col min="10498" max="10498" width="12" style="236" customWidth="1"/>
    <col min="10499" max="10499" width="2.7109375" style="236" customWidth="1"/>
    <col min="10500" max="10501" width="6.5703125" style="236" customWidth="1"/>
    <col min="10502" max="10502" width="5.85546875" style="236" customWidth="1"/>
    <col min="10503" max="10503" width="6.5703125" style="236" customWidth="1"/>
    <col min="10504" max="10504" width="13.7109375" style="236" customWidth="1"/>
    <col min="10505" max="10506" width="9" style="236" customWidth="1"/>
    <col min="10507" max="10507" width="2.5703125" style="236" customWidth="1"/>
    <col min="10508" max="10508" width="8.85546875" style="236" customWidth="1"/>
    <col min="10509" max="10509" width="7.5703125" style="236" customWidth="1"/>
    <col min="10510" max="10512" width="3.7109375" style="236" customWidth="1"/>
    <col min="10513" max="10513" width="3.5703125" style="236" customWidth="1"/>
    <col min="10514" max="10514" width="2.85546875" style="236" customWidth="1"/>
    <col min="10515" max="10515" width="3" style="236" customWidth="1"/>
    <col min="10516" max="10518" width="0" style="236" hidden="1" customWidth="1"/>
    <col min="10519" max="10519" width="4.42578125" style="236" customWidth="1"/>
    <col min="10520" max="10520" width="0" style="236" hidden="1" customWidth="1"/>
    <col min="10521" max="10522" width="14.85546875" style="236" customWidth="1"/>
    <col min="10523" max="10523" width="15.140625" style="236" customWidth="1"/>
    <col min="10524" max="10524" width="6.42578125" style="236" customWidth="1"/>
    <col min="10525" max="10525" width="15.140625" style="236" customWidth="1"/>
    <col min="10526" max="10526" width="4.140625" style="236" customWidth="1"/>
    <col min="10527" max="10527" width="3" style="236" customWidth="1"/>
    <col min="10528" max="10530" width="0" style="236" hidden="1" customWidth="1"/>
    <col min="10531" max="10531" width="3" style="236" customWidth="1"/>
    <col min="10532" max="10532" width="0" style="236" hidden="1" customWidth="1"/>
    <col min="10533" max="10533" width="3" style="236" customWidth="1"/>
    <col min="10534" max="10534" width="0" style="236" hidden="1" customWidth="1"/>
    <col min="10535" max="10535" width="4.42578125" style="236" customWidth="1"/>
    <col min="10536" max="10536" width="34.28515625" style="236" customWidth="1"/>
    <col min="10537" max="10537" width="23.42578125" style="236" customWidth="1"/>
    <col min="10538" max="10538" width="9.140625" style="236" customWidth="1"/>
    <col min="10539" max="10539" width="19.5703125" style="236" customWidth="1"/>
    <col min="10540" max="10540" width="42.7109375" style="236" customWidth="1"/>
    <col min="10541" max="10541" width="5.85546875" style="236" customWidth="1"/>
    <col min="10542" max="10542" width="31.5703125" style="236" customWidth="1"/>
    <col min="10543" max="10543" width="16.140625" style="236" customWidth="1"/>
    <col min="10544" max="10545" width="9.28515625" style="236" customWidth="1"/>
    <col min="10546" max="10546" width="11.140625" style="236" customWidth="1"/>
    <col min="10547" max="10547" width="2.140625" style="236" customWidth="1"/>
    <col min="10548" max="10753" width="11.42578125" style="236"/>
    <col min="10754" max="10754" width="12" style="236" customWidth="1"/>
    <col min="10755" max="10755" width="2.7109375" style="236" customWidth="1"/>
    <col min="10756" max="10757" width="6.5703125" style="236" customWidth="1"/>
    <col min="10758" max="10758" width="5.85546875" style="236" customWidth="1"/>
    <col min="10759" max="10759" width="6.5703125" style="236" customWidth="1"/>
    <col min="10760" max="10760" width="13.7109375" style="236" customWidth="1"/>
    <col min="10761" max="10762" width="9" style="236" customWidth="1"/>
    <col min="10763" max="10763" width="2.5703125" style="236" customWidth="1"/>
    <col min="10764" max="10764" width="8.85546875" style="236" customWidth="1"/>
    <col min="10765" max="10765" width="7.5703125" style="236" customWidth="1"/>
    <col min="10766" max="10768" width="3.7109375" style="236" customWidth="1"/>
    <col min="10769" max="10769" width="3.5703125" style="236" customWidth="1"/>
    <col min="10770" max="10770" width="2.85546875" style="236" customWidth="1"/>
    <col min="10771" max="10771" width="3" style="236" customWidth="1"/>
    <col min="10772" max="10774" width="0" style="236" hidden="1" customWidth="1"/>
    <col min="10775" max="10775" width="4.42578125" style="236" customWidth="1"/>
    <col min="10776" max="10776" width="0" style="236" hidden="1" customWidth="1"/>
    <col min="10777" max="10778" width="14.85546875" style="236" customWidth="1"/>
    <col min="10779" max="10779" width="15.140625" style="236" customWidth="1"/>
    <col min="10780" max="10780" width="6.42578125" style="236" customWidth="1"/>
    <col min="10781" max="10781" width="15.140625" style="236" customWidth="1"/>
    <col min="10782" max="10782" width="4.140625" style="236" customWidth="1"/>
    <col min="10783" max="10783" width="3" style="236" customWidth="1"/>
    <col min="10784" max="10786" width="0" style="236" hidden="1" customWidth="1"/>
    <col min="10787" max="10787" width="3" style="236" customWidth="1"/>
    <col min="10788" max="10788" width="0" style="236" hidden="1" customWidth="1"/>
    <col min="10789" max="10789" width="3" style="236" customWidth="1"/>
    <col min="10790" max="10790" width="0" style="236" hidden="1" customWidth="1"/>
    <col min="10791" max="10791" width="4.42578125" style="236" customWidth="1"/>
    <col min="10792" max="10792" width="34.28515625" style="236" customWidth="1"/>
    <col min="10793" max="10793" width="23.42578125" style="236" customWidth="1"/>
    <col min="10794" max="10794" width="9.140625" style="236" customWidth="1"/>
    <col min="10795" max="10795" width="19.5703125" style="236" customWidth="1"/>
    <col min="10796" max="10796" width="42.7109375" style="236" customWidth="1"/>
    <col min="10797" max="10797" width="5.85546875" style="236" customWidth="1"/>
    <col min="10798" max="10798" width="31.5703125" style="236" customWidth="1"/>
    <col min="10799" max="10799" width="16.140625" style="236" customWidth="1"/>
    <col min="10800" max="10801" width="9.28515625" style="236" customWidth="1"/>
    <col min="10802" max="10802" width="11.140625" style="236" customWidth="1"/>
    <col min="10803" max="10803" width="2.140625" style="236" customWidth="1"/>
    <col min="10804" max="11009" width="11.42578125" style="236"/>
    <col min="11010" max="11010" width="12" style="236" customWidth="1"/>
    <col min="11011" max="11011" width="2.7109375" style="236" customWidth="1"/>
    <col min="11012" max="11013" width="6.5703125" style="236" customWidth="1"/>
    <col min="11014" max="11014" width="5.85546875" style="236" customWidth="1"/>
    <col min="11015" max="11015" width="6.5703125" style="236" customWidth="1"/>
    <col min="11016" max="11016" width="13.7109375" style="236" customWidth="1"/>
    <col min="11017" max="11018" width="9" style="236" customWidth="1"/>
    <col min="11019" max="11019" width="2.5703125" style="236" customWidth="1"/>
    <col min="11020" max="11020" width="8.85546875" style="236" customWidth="1"/>
    <col min="11021" max="11021" width="7.5703125" style="236" customWidth="1"/>
    <col min="11022" max="11024" width="3.7109375" style="236" customWidth="1"/>
    <col min="11025" max="11025" width="3.5703125" style="236" customWidth="1"/>
    <col min="11026" max="11026" width="2.85546875" style="236" customWidth="1"/>
    <col min="11027" max="11027" width="3" style="236" customWidth="1"/>
    <col min="11028" max="11030" width="0" style="236" hidden="1" customWidth="1"/>
    <col min="11031" max="11031" width="4.42578125" style="236" customWidth="1"/>
    <col min="11032" max="11032" width="0" style="236" hidden="1" customWidth="1"/>
    <col min="11033" max="11034" width="14.85546875" style="236" customWidth="1"/>
    <col min="11035" max="11035" width="15.140625" style="236" customWidth="1"/>
    <col min="11036" max="11036" width="6.42578125" style="236" customWidth="1"/>
    <col min="11037" max="11037" width="15.140625" style="236" customWidth="1"/>
    <col min="11038" max="11038" width="4.140625" style="236" customWidth="1"/>
    <col min="11039" max="11039" width="3" style="236" customWidth="1"/>
    <col min="11040" max="11042" width="0" style="236" hidden="1" customWidth="1"/>
    <col min="11043" max="11043" width="3" style="236" customWidth="1"/>
    <col min="11044" max="11044" width="0" style="236" hidden="1" customWidth="1"/>
    <col min="11045" max="11045" width="3" style="236" customWidth="1"/>
    <col min="11046" max="11046" width="0" style="236" hidden="1" customWidth="1"/>
    <col min="11047" max="11047" width="4.42578125" style="236" customWidth="1"/>
    <col min="11048" max="11048" width="34.28515625" style="236" customWidth="1"/>
    <col min="11049" max="11049" width="23.42578125" style="236" customWidth="1"/>
    <col min="11050" max="11050" width="9.140625" style="236" customWidth="1"/>
    <col min="11051" max="11051" width="19.5703125" style="236" customWidth="1"/>
    <col min="11052" max="11052" width="42.7109375" style="236" customWidth="1"/>
    <col min="11053" max="11053" width="5.85546875" style="236" customWidth="1"/>
    <col min="11054" max="11054" width="31.5703125" style="236" customWidth="1"/>
    <col min="11055" max="11055" width="16.140625" style="236" customWidth="1"/>
    <col min="11056" max="11057" width="9.28515625" style="236" customWidth="1"/>
    <col min="11058" max="11058" width="11.140625" style="236" customWidth="1"/>
    <col min="11059" max="11059" width="2.140625" style="236" customWidth="1"/>
    <col min="11060" max="11265" width="11.42578125" style="236"/>
    <col min="11266" max="11266" width="12" style="236" customWidth="1"/>
    <col min="11267" max="11267" width="2.7109375" style="236" customWidth="1"/>
    <col min="11268" max="11269" width="6.5703125" style="236" customWidth="1"/>
    <col min="11270" max="11270" width="5.85546875" style="236" customWidth="1"/>
    <col min="11271" max="11271" width="6.5703125" style="236" customWidth="1"/>
    <col min="11272" max="11272" width="13.7109375" style="236" customWidth="1"/>
    <col min="11273" max="11274" width="9" style="236" customWidth="1"/>
    <col min="11275" max="11275" width="2.5703125" style="236" customWidth="1"/>
    <col min="11276" max="11276" width="8.85546875" style="236" customWidth="1"/>
    <col min="11277" max="11277" width="7.5703125" style="236" customWidth="1"/>
    <col min="11278" max="11280" width="3.7109375" style="236" customWidth="1"/>
    <col min="11281" max="11281" width="3.5703125" style="236" customWidth="1"/>
    <col min="11282" max="11282" width="2.85546875" style="236" customWidth="1"/>
    <col min="11283" max="11283" width="3" style="236" customWidth="1"/>
    <col min="11284" max="11286" width="0" style="236" hidden="1" customWidth="1"/>
    <col min="11287" max="11287" width="4.42578125" style="236" customWidth="1"/>
    <col min="11288" max="11288" width="0" style="236" hidden="1" customWidth="1"/>
    <col min="11289" max="11290" width="14.85546875" style="236" customWidth="1"/>
    <col min="11291" max="11291" width="15.140625" style="236" customWidth="1"/>
    <col min="11292" max="11292" width="6.42578125" style="236" customWidth="1"/>
    <col min="11293" max="11293" width="15.140625" style="236" customWidth="1"/>
    <col min="11294" max="11294" width="4.140625" style="236" customWidth="1"/>
    <col min="11295" max="11295" width="3" style="236" customWidth="1"/>
    <col min="11296" max="11298" width="0" style="236" hidden="1" customWidth="1"/>
    <col min="11299" max="11299" width="3" style="236" customWidth="1"/>
    <col min="11300" max="11300" width="0" style="236" hidden="1" customWidth="1"/>
    <col min="11301" max="11301" width="3" style="236" customWidth="1"/>
    <col min="11302" max="11302" width="0" style="236" hidden="1" customWidth="1"/>
    <col min="11303" max="11303" width="4.42578125" style="236" customWidth="1"/>
    <col min="11304" max="11304" width="34.28515625" style="236" customWidth="1"/>
    <col min="11305" max="11305" width="23.42578125" style="236" customWidth="1"/>
    <col min="11306" max="11306" width="9.140625" style="236" customWidth="1"/>
    <col min="11307" max="11307" width="19.5703125" style="236" customWidth="1"/>
    <col min="11308" max="11308" width="42.7109375" style="236" customWidth="1"/>
    <col min="11309" max="11309" width="5.85546875" style="236" customWidth="1"/>
    <col min="11310" max="11310" width="31.5703125" style="236" customWidth="1"/>
    <col min="11311" max="11311" width="16.140625" style="236" customWidth="1"/>
    <col min="11312" max="11313" width="9.28515625" style="236" customWidth="1"/>
    <col min="11314" max="11314" width="11.140625" style="236" customWidth="1"/>
    <col min="11315" max="11315" width="2.140625" style="236" customWidth="1"/>
    <col min="11316" max="11521" width="11.42578125" style="236"/>
    <col min="11522" max="11522" width="12" style="236" customWidth="1"/>
    <col min="11523" max="11523" width="2.7109375" style="236" customWidth="1"/>
    <col min="11524" max="11525" width="6.5703125" style="236" customWidth="1"/>
    <col min="11526" max="11526" width="5.85546875" style="236" customWidth="1"/>
    <col min="11527" max="11527" width="6.5703125" style="236" customWidth="1"/>
    <col min="11528" max="11528" width="13.7109375" style="236" customWidth="1"/>
    <col min="11529" max="11530" width="9" style="236" customWidth="1"/>
    <col min="11531" max="11531" width="2.5703125" style="236" customWidth="1"/>
    <col min="11532" max="11532" width="8.85546875" style="236" customWidth="1"/>
    <col min="11533" max="11533" width="7.5703125" style="236" customWidth="1"/>
    <col min="11534" max="11536" width="3.7109375" style="236" customWidth="1"/>
    <col min="11537" max="11537" width="3.5703125" style="236" customWidth="1"/>
    <col min="11538" max="11538" width="2.85546875" style="236" customWidth="1"/>
    <col min="11539" max="11539" width="3" style="236" customWidth="1"/>
    <col min="11540" max="11542" width="0" style="236" hidden="1" customWidth="1"/>
    <col min="11543" max="11543" width="4.42578125" style="236" customWidth="1"/>
    <col min="11544" max="11544" width="0" style="236" hidden="1" customWidth="1"/>
    <col min="11545" max="11546" width="14.85546875" style="236" customWidth="1"/>
    <col min="11547" max="11547" width="15.140625" style="236" customWidth="1"/>
    <col min="11548" max="11548" width="6.42578125" style="236" customWidth="1"/>
    <col min="11549" max="11549" width="15.140625" style="236" customWidth="1"/>
    <col min="11550" max="11550" width="4.140625" style="236" customWidth="1"/>
    <col min="11551" max="11551" width="3" style="236" customWidth="1"/>
    <col min="11552" max="11554" width="0" style="236" hidden="1" customWidth="1"/>
    <col min="11555" max="11555" width="3" style="236" customWidth="1"/>
    <col min="11556" max="11556" width="0" style="236" hidden="1" customWidth="1"/>
    <col min="11557" max="11557" width="3" style="236" customWidth="1"/>
    <col min="11558" max="11558" width="0" style="236" hidden="1" customWidth="1"/>
    <col min="11559" max="11559" width="4.42578125" style="236" customWidth="1"/>
    <col min="11560" max="11560" width="34.28515625" style="236" customWidth="1"/>
    <col min="11561" max="11561" width="23.42578125" style="236" customWidth="1"/>
    <col min="11562" max="11562" width="9.140625" style="236" customWidth="1"/>
    <col min="11563" max="11563" width="19.5703125" style="236" customWidth="1"/>
    <col min="11564" max="11564" width="42.7109375" style="236" customWidth="1"/>
    <col min="11565" max="11565" width="5.85546875" style="236" customWidth="1"/>
    <col min="11566" max="11566" width="31.5703125" style="236" customWidth="1"/>
    <col min="11567" max="11567" width="16.140625" style="236" customWidth="1"/>
    <col min="11568" max="11569" width="9.28515625" style="236" customWidth="1"/>
    <col min="11570" max="11570" width="11.140625" style="236" customWidth="1"/>
    <col min="11571" max="11571" width="2.140625" style="236" customWidth="1"/>
    <col min="11572" max="11777" width="11.42578125" style="236"/>
    <col min="11778" max="11778" width="12" style="236" customWidth="1"/>
    <col min="11779" max="11779" width="2.7109375" style="236" customWidth="1"/>
    <col min="11780" max="11781" width="6.5703125" style="236" customWidth="1"/>
    <col min="11782" max="11782" width="5.85546875" style="236" customWidth="1"/>
    <col min="11783" max="11783" width="6.5703125" style="236" customWidth="1"/>
    <col min="11784" max="11784" width="13.7109375" style="236" customWidth="1"/>
    <col min="11785" max="11786" width="9" style="236" customWidth="1"/>
    <col min="11787" max="11787" width="2.5703125" style="236" customWidth="1"/>
    <col min="11788" max="11788" width="8.85546875" style="236" customWidth="1"/>
    <col min="11789" max="11789" width="7.5703125" style="236" customWidth="1"/>
    <col min="11790" max="11792" width="3.7109375" style="236" customWidth="1"/>
    <col min="11793" max="11793" width="3.5703125" style="236" customWidth="1"/>
    <col min="11794" max="11794" width="2.85546875" style="236" customWidth="1"/>
    <col min="11795" max="11795" width="3" style="236" customWidth="1"/>
    <col min="11796" max="11798" width="0" style="236" hidden="1" customWidth="1"/>
    <col min="11799" max="11799" width="4.42578125" style="236" customWidth="1"/>
    <col min="11800" max="11800" width="0" style="236" hidden="1" customWidth="1"/>
    <col min="11801" max="11802" width="14.85546875" style="236" customWidth="1"/>
    <col min="11803" max="11803" width="15.140625" style="236" customWidth="1"/>
    <col min="11804" max="11804" width="6.42578125" style="236" customWidth="1"/>
    <col min="11805" max="11805" width="15.140625" style="236" customWidth="1"/>
    <col min="11806" max="11806" width="4.140625" style="236" customWidth="1"/>
    <col min="11807" max="11807" width="3" style="236" customWidth="1"/>
    <col min="11808" max="11810" width="0" style="236" hidden="1" customWidth="1"/>
    <col min="11811" max="11811" width="3" style="236" customWidth="1"/>
    <col min="11812" max="11812" width="0" style="236" hidden="1" customWidth="1"/>
    <col min="11813" max="11813" width="3" style="236" customWidth="1"/>
    <col min="11814" max="11814" width="0" style="236" hidden="1" customWidth="1"/>
    <col min="11815" max="11815" width="4.42578125" style="236" customWidth="1"/>
    <col min="11816" max="11816" width="34.28515625" style="236" customWidth="1"/>
    <col min="11817" max="11817" width="23.42578125" style="236" customWidth="1"/>
    <col min="11818" max="11818" width="9.140625" style="236" customWidth="1"/>
    <col min="11819" max="11819" width="19.5703125" style="236" customWidth="1"/>
    <col min="11820" max="11820" width="42.7109375" style="236" customWidth="1"/>
    <col min="11821" max="11821" width="5.85546875" style="236" customWidth="1"/>
    <col min="11822" max="11822" width="31.5703125" style="236" customWidth="1"/>
    <col min="11823" max="11823" width="16.140625" style="236" customWidth="1"/>
    <col min="11824" max="11825" width="9.28515625" style="236" customWidth="1"/>
    <col min="11826" max="11826" width="11.140625" style="236" customWidth="1"/>
    <col min="11827" max="11827" width="2.140625" style="236" customWidth="1"/>
    <col min="11828" max="12033" width="11.42578125" style="236"/>
    <col min="12034" max="12034" width="12" style="236" customWidth="1"/>
    <col min="12035" max="12035" width="2.7109375" style="236" customWidth="1"/>
    <col min="12036" max="12037" width="6.5703125" style="236" customWidth="1"/>
    <col min="12038" max="12038" width="5.85546875" style="236" customWidth="1"/>
    <col min="12039" max="12039" width="6.5703125" style="236" customWidth="1"/>
    <col min="12040" max="12040" width="13.7109375" style="236" customWidth="1"/>
    <col min="12041" max="12042" width="9" style="236" customWidth="1"/>
    <col min="12043" max="12043" width="2.5703125" style="236" customWidth="1"/>
    <col min="12044" max="12044" width="8.85546875" style="236" customWidth="1"/>
    <col min="12045" max="12045" width="7.5703125" style="236" customWidth="1"/>
    <col min="12046" max="12048" width="3.7109375" style="236" customWidth="1"/>
    <col min="12049" max="12049" width="3.5703125" style="236" customWidth="1"/>
    <col min="12050" max="12050" width="2.85546875" style="236" customWidth="1"/>
    <col min="12051" max="12051" width="3" style="236" customWidth="1"/>
    <col min="12052" max="12054" width="0" style="236" hidden="1" customWidth="1"/>
    <col min="12055" max="12055" width="4.42578125" style="236" customWidth="1"/>
    <col min="12056" max="12056" width="0" style="236" hidden="1" customWidth="1"/>
    <col min="12057" max="12058" width="14.85546875" style="236" customWidth="1"/>
    <col min="12059" max="12059" width="15.140625" style="236" customWidth="1"/>
    <col min="12060" max="12060" width="6.42578125" style="236" customWidth="1"/>
    <col min="12061" max="12061" width="15.140625" style="236" customWidth="1"/>
    <col min="12062" max="12062" width="4.140625" style="236" customWidth="1"/>
    <col min="12063" max="12063" width="3" style="236" customWidth="1"/>
    <col min="12064" max="12066" width="0" style="236" hidden="1" customWidth="1"/>
    <col min="12067" max="12067" width="3" style="236" customWidth="1"/>
    <col min="12068" max="12068" width="0" style="236" hidden="1" customWidth="1"/>
    <col min="12069" max="12069" width="3" style="236" customWidth="1"/>
    <col min="12070" max="12070" width="0" style="236" hidden="1" customWidth="1"/>
    <col min="12071" max="12071" width="4.42578125" style="236" customWidth="1"/>
    <col min="12072" max="12072" width="34.28515625" style="236" customWidth="1"/>
    <col min="12073" max="12073" width="23.42578125" style="236" customWidth="1"/>
    <col min="12074" max="12074" width="9.140625" style="236" customWidth="1"/>
    <col min="12075" max="12075" width="19.5703125" style="236" customWidth="1"/>
    <col min="12076" max="12076" width="42.7109375" style="236" customWidth="1"/>
    <col min="12077" max="12077" width="5.85546875" style="236" customWidth="1"/>
    <col min="12078" max="12078" width="31.5703125" style="236" customWidth="1"/>
    <col min="12079" max="12079" width="16.140625" style="236" customWidth="1"/>
    <col min="12080" max="12081" width="9.28515625" style="236" customWidth="1"/>
    <col min="12082" max="12082" width="11.140625" style="236" customWidth="1"/>
    <col min="12083" max="12083" width="2.140625" style="236" customWidth="1"/>
    <col min="12084" max="12289" width="11.42578125" style="236"/>
    <col min="12290" max="12290" width="12" style="236" customWidth="1"/>
    <col min="12291" max="12291" width="2.7109375" style="236" customWidth="1"/>
    <col min="12292" max="12293" width="6.5703125" style="236" customWidth="1"/>
    <col min="12294" max="12294" width="5.85546875" style="236" customWidth="1"/>
    <col min="12295" max="12295" width="6.5703125" style="236" customWidth="1"/>
    <col min="12296" max="12296" width="13.7109375" style="236" customWidth="1"/>
    <col min="12297" max="12298" width="9" style="236" customWidth="1"/>
    <col min="12299" max="12299" width="2.5703125" style="236" customWidth="1"/>
    <col min="12300" max="12300" width="8.85546875" style="236" customWidth="1"/>
    <col min="12301" max="12301" width="7.5703125" style="236" customWidth="1"/>
    <col min="12302" max="12304" width="3.7109375" style="236" customWidth="1"/>
    <col min="12305" max="12305" width="3.5703125" style="236" customWidth="1"/>
    <col min="12306" max="12306" width="2.85546875" style="236" customWidth="1"/>
    <col min="12307" max="12307" width="3" style="236" customWidth="1"/>
    <col min="12308" max="12310" width="0" style="236" hidden="1" customWidth="1"/>
    <col min="12311" max="12311" width="4.42578125" style="236" customWidth="1"/>
    <col min="12312" max="12312" width="0" style="236" hidden="1" customWidth="1"/>
    <col min="12313" max="12314" width="14.85546875" style="236" customWidth="1"/>
    <col min="12315" max="12315" width="15.140625" style="236" customWidth="1"/>
    <col min="12316" max="12316" width="6.42578125" style="236" customWidth="1"/>
    <col min="12317" max="12317" width="15.140625" style="236" customWidth="1"/>
    <col min="12318" max="12318" width="4.140625" style="236" customWidth="1"/>
    <col min="12319" max="12319" width="3" style="236" customWidth="1"/>
    <col min="12320" max="12322" width="0" style="236" hidden="1" customWidth="1"/>
    <col min="12323" max="12323" width="3" style="236" customWidth="1"/>
    <col min="12324" max="12324" width="0" style="236" hidden="1" customWidth="1"/>
    <col min="12325" max="12325" width="3" style="236" customWidth="1"/>
    <col min="12326" max="12326" width="0" style="236" hidden="1" customWidth="1"/>
    <col min="12327" max="12327" width="4.42578125" style="236" customWidth="1"/>
    <col min="12328" max="12328" width="34.28515625" style="236" customWidth="1"/>
    <col min="12329" max="12329" width="23.42578125" style="236" customWidth="1"/>
    <col min="12330" max="12330" width="9.140625" style="236" customWidth="1"/>
    <col min="12331" max="12331" width="19.5703125" style="236" customWidth="1"/>
    <col min="12332" max="12332" width="42.7109375" style="236" customWidth="1"/>
    <col min="12333" max="12333" width="5.85546875" style="236" customWidth="1"/>
    <col min="12334" max="12334" width="31.5703125" style="236" customWidth="1"/>
    <col min="12335" max="12335" width="16.140625" style="236" customWidth="1"/>
    <col min="12336" max="12337" width="9.28515625" style="236" customWidth="1"/>
    <col min="12338" max="12338" width="11.140625" style="236" customWidth="1"/>
    <col min="12339" max="12339" width="2.140625" style="236" customWidth="1"/>
    <col min="12340" max="12545" width="11.42578125" style="236"/>
    <col min="12546" max="12546" width="12" style="236" customWidth="1"/>
    <col min="12547" max="12547" width="2.7109375" style="236" customWidth="1"/>
    <col min="12548" max="12549" width="6.5703125" style="236" customWidth="1"/>
    <col min="12550" max="12550" width="5.85546875" style="236" customWidth="1"/>
    <col min="12551" max="12551" width="6.5703125" style="236" customWidth="1"/>
    <col min="12552" max="12552" width="13.7109375" style="236" customWidth="1"/>
    <col min="12553" max="12554" width="9" style="236" customWidth="1"/>
    <col min="12555" max="12555" width="2.5703125" style="236" customWidth="1"/>
    <col min="12556" max="12556" width="8.85546875" style="236" customWidth="1"/>
    <col min="12557" max="12557" width="7.5703125" style="236" customWidth="1"/>
    <col min="12558" max="12560" width="3.7109375" style="236" customWidth="1"/>
    <col min="12561" max="12561" width="3.5703125" style="236" customWidth="1"/>
    <col min="12562" max="12562" width="2.85546875" style="236" customWidth="1"/>
    <col min="12563" max="12563" width="3" style="236" customWidth="1"/>
    <col min="12564" max="12566" width="0" style="236" hidden="1" customWidth="1"/>
    <col min="12567" max="12567" width="4.42578125" style="236" customWidth="1"/>
    <col min="12568" max="12568" width="0" style="236" hidden="1" customWidth="1"/>
    <col min="12569" max="12570" width="14.85546875" style="236" customWidth="1"/>
    <col min="12571" max="12571" width="15.140625" style="236" customWidth="1"/>
    <col min="12572" max="12572" width="6.42578125" style="236" customWidth="1"/>
    <col min="12573" max="12573" width="15.140625" style="236" customWidth="1"/>
    <col min="12574" max="12574" width="4.140625" style="236" customWidth="1"/>
    <col min="12575" max="12575" width="3" style="236" customWidth="1"/>
    <col min="12576" max="12578" width="0" style="236" hidden="1" customWidth="1"/>
    <col min="12579" max="12579" width="3" style="236" customWidth="1"/>
    <col min="12580" max="12580" width="0" style="236" hidden="1" customWidth="1"/>
    <col min="12581" max="12581" width="3" style="236" customWidth="1"/>
    <col min="12582" max="12582" width="0" style="236" hidden="1" customWidth="1"/>
    <col min="12583" max="12583" width="4.42578125" style="236" customWidth="1"/>
    <col min="12584" max="12584" width="34.28515625" style="236" customWidth="1"/>
    <col min="12585" max="12585" width="23.42578125" style="236" customWidth="1"/>
    <col min="12586" max="12586" width="9.140625" style="236" customWidth="1"/>
    <col min="12587" max="12587" width="19.5703125" style="236" customWidth="1"/>
    <col min="12588" max="12588" width="42.7109375" style="236" customWidth="1"/>
    <col min="12589" max="12589" width="5.85546875" style="236" customWidth="1"/>
    <col min="12590" max="12590" width="31.5703125" style="236" customWidth="1"/>
    <col min="12591" max="12591" width="16.140625" style="236" customWidth="1"/>
    <col min="12592" max="12593" width="9.28515625" style="236" customWidth="1"/>
    <col min="12594" max="12594" width="11.140625" style="236" customWidth="1"/>
    <col min="12595" max="12595" width="2.140625" style="236" customWidth="1"/>
    <col min="12596" max="12801" width="11.42578125" style="236"/>
    <col min="12802" max="12802" width="12" style="236" customWidth="1"/>
    <col min="12803" max="12803" width="2.7109375" style="236" customWidth="1"/>
    <col min="12804" max="12805" width="6.5703125" style="236" customWidth="1"/>
    <col min="12806" max="12806" width="5.85546875" style="236" customWidth="1"/>
    <col min="12807" max="12807" width="6.5703125" style="236" customWidth="1"/>
    <col min="12808" max="12808" width="13.7109375" style="236" customWidth="1"/>
    <col min="12809" max="12810" width="9" style="236" customWidth="1"/>
    <col min="12811" max="12811" width="2.5703125" style="236" customWidth="1"/>
    <col min="12812" max="12812" width="8.85546875" style="236" customWidth="1"/>
    <col min="12813" max="12813" width="7.5703125" style="236" customWidth="1"/>
    <col min="12814" max="12816" width="3.7109375" style="236" customWidth="1"/>
    <col min="12817" max="12817" width="3.5703125" style="236" customWidth="1"/>
    <col min="12818" max="12818" width="2.85546875" style="236" customWidth="1"/>
    <col min="12819" max="12819" width="3" style="236" customWidth="1"/>
    <col min="12820" max="12822" width="0" style="236" hidden="1" customWidth="1"/>
    <col min="12823" max="12823" width="4.42578125" style="236" customWidth="1"/>
    <col min="12824" max="12824" width="0" style="236" hidden="1" customWidth="1"/>
    <col min="12825" max="12826" width="14.85546875" style="236" customWidth="1"/>
    <col min="12827" max="12827" width="15.140625" style="236" customWidth="1"/>
    <col min="12828" max="12828" width="6.42578125" style="236" customWidth="1"/>
    <col min="12829" max="12829" width="15.140625" style="236" customWidth="1"/>
    <col min="12830" max="12830" width="4.140625" style="236" customWidth="1"/>
    <col min="12831" max="12831" width="3" style="236" customWidth="1"/>
    <col min="12832" max="12834" width="0" style="236" hidden="1" customWidth="1"/>
    <col min="12835" max="12835" width="3" style="236" customWidth="1"/>
    <col min="12836" max="12836" width="0" style="236" hidden="1" customWidth="1"/>
    <col min="12837" max="12837" width="3" style="236" customWidth="1"/>
    <col min="12838" max="12838" width="0" style="236" hidden="1" customWidth="1"/>
    <col min="12839" max="12839" width="4.42578125" style="236" customWidth="1"/>
    <col min="12840" max="12840" width="34.28515625" style="236" customWidth="1"/>
    <col min="12841" max="12841" width="23.42578125" style="236" customWidth="1"/>
    <col min="12842" max="12842" width="9.140625" style="236" customWidth="1"/>
    <col min="12843" max="12843" width="19.5703125" style="236" customWidth="1"/>
    <col min="12844" max="12844" width="42.7109375" style="236" customWidth="1"/>
    <col min="12845" max="12845" width="5.85546875" style="236" customWidth="1"/>
    <col min="12846" max="12846" width="31.5703125" style="236" customWidth="1"/>
    <col min="12847" max="12847" width="16.140625" style="236" customWidth="1"/>
    <col min="12848" max="12849" width="9.28515625" style="236" customWidth="1"/>
    <col min="12850" max="12850" width="11.140625" style="236" customWidth="1"/>
    <col min="12851" max="12851" width="2.140625" style="236" customWidth="1"/>
    <col min="12852" max="13057" width="11.42578125" style="236"/>
    <col min="13058" max="13058" width="12" style="236" customWidth="1"/>
    <col min="13059" max="13059" width="2.7109375" style="236" customWidth="1"/>
    <col min="13060" max="13061" width="6.5703125" style="236" customWidth="1"/>
    <col min="13062" max="13062" width="5.85546875" style="236" customWidth="1"/>
    <col min="13063" max="13063" width="6.5703125" style="236" customWidth="1"/>
    <col min="13064" max="13064" width="13.7109375" style="236" customWidth="1"/>
    <col min="13065" max="13066" width="9" style="236" customWidth="1"/>
    <col min="13067" max="13067" width="2.5703125" style="236" customWidth="1"/>
    <col min="13068" max="13068" width="8.85546875" style="236" customWidth="1"/>
    <col min="13069" max="13069" width="7.5703125" style="236" customWidth="1"/>
    <col min="13070" max="13072" width="3.7109375" style="236" customWidth="1"/>
    <col min="13073" max="13073" width="3.5703125" style="236" customWidth="1"/>
    <col min="13074" max="13074" width="2.85546875" style="236" customWidth="1"/>
    <col min="13075" max="13075" width="3" style="236" customWidth="1"/>
    <col min="13076" max="13078" width="0" style="236" hidden="1" customWidth="1"/>
    <col min="13079" max="13079" width="4.42578125" style="236" customWidth="1"/>
    <col min="13080" max="13080" width="0" style="236" hidden="1" customWidth="1"/>
    <col min="13081" max="13082" width="14.85546875" style="236" customWidth="1"/>
    <col min="13083" max="13083" width="15.140625" style="236" customWidth="1"/>
    <col min="13084" max="13084" width="6.42578125" style="236" customWidth="1"/>
    <col min="13085" max="13085" width="15.140625" style="236" customWidth="1"/>
    <col min="13086" max="13086" width="4.140625" style="236" customWidth="1"/>
    <col min="13087" max="13087" width="3" style="236" customWidth="1"/>
    <col min="13088" max="13090" width="0" style="236" hidden="1" customWidth="1"/>
    <col min="13091" max="13091" width="3" style="236" customWidth="1"/>
    <col min="13092" max="13092" width="0" style="236" hidden="1" customWidth="1"/>
    <col min="13093" max="13093" width="3" style="236" customWidth="1"/>
    <col min="13094" max="13094" width="0" style="236" hidden="1" customWidth="1"/>
    <col min="13095" max="13095" width="4.42578125" style="236" customWidth="1"/>
    <col min="13096" max="13096" width="34.28515625" style="236" customWidth="1"/>
    <col min="13097" max="13097" width="23.42578125" style="236" customWidth="1"/>
    <col min="13098" max="13098" width="9.140625" style="236" customWidth="1"/>
    <col min="13099" max="13099" width="19.5703125" style="236" customWidth="1"/>
    <col min="13100" max="13100" width="42.7109375" style="236" customWidth="1"/>
    <col min="13101" max="13101" width="5.85546875" style="236" customWidth="1"/>
    <col min="13102" max="13102" width="31.5703125" style="236" customWidth="1"/>
    <col min="13103" max="13103" width="16.140625" style="236" customWidth="1"/>
    <col min="13104" max="13105" width="9.28515625" style="236" customWidth="1"/>
    <col min="13106" max="13106" width="11.140625" style="236" customWidth="1"/>
    <col min="13107" max="13107" width="2.140625" style="236" customWidth="1"/>
    <col min="13108" max="13313" width="11.42578125" style="236"/>
    <col min="13314" max="13314" width="12" style="236" customWidth="1"/>
    <col min="13315" max="13315" width="2.7109375" style="236" customWidth="1"/>
    <col min="13316" max="13317" width="6.5703125" style="236" customWidth="1"/>
    <col min="13318" max="13318" width="5.85546875" style="236" customWidth="1"/>
    <col min="13319" max="13319" width="6.5703125" style="236" customWidth="1"/>
    <col min="13320" max="13320" width="13.7109375" style="236" customWidth="1"/>
    <col min="13321" max="13322" width="9" style="236" customWidth="1"/>
    <col min="13323" max="13323" width="2.5703125" style="236" customWidth="1"/>
    <col min="13324" max="13324" width="8.85546875" style="236" customWidth="1"/>
    <col min="13325" max="13325" width="7.5703125" style="236" customWidth="1"/>
    <col min="13326" max="13328" width="3.7109375" style="236" customWidth="1"/>
    <col min="13329" max="13329" width="3.5703125" style="236" customWidth="1"/>
    <col min="13330" max="13330" width="2.85546875" style="236" customWidth="1"/>
    <col min="13331" max="13331" width="3" style="236" customWidth="1"/>
    <col min="13332" max="13334" width="0" style="236" hidden="1" customWidth="1"/>
    <col min="13335" max="13335" width="4.42578125" style="236" customWidth="1"/>
    <col min="13336" max="13336" width="0" style="236" hidden="1" customWidth="1"/>
    <col min="13337" max="13338" width="14.85546875" style="236" customWidth="1"/>
    <col min="13339" max="13339" width="15.140625" style="236" customWidth="1"/>
    <col min="13340" max="13340" width="6.42578125" style="236" customWidth="1"/>
    <col min="13341" max="13341" width="15.140625" style="236" customWidth="1"/>
    <col min="13342" max="13342" width="4.140625" style="236" customWidth="1"/>
    <col min="13343" max="13343" width="3" style="236" customWidth="1"/>
    <col min="13344" max="13346" width="0" style="236" hidden="1" customWidth="1"/>
    <col min="13347" max="13347" width="3" style="236" customWidth="1"/>
    <col min="13348" max="13348" width="0" style="236" hidden="1" customWidth="1"/>
    <col min="13349" max="13349" width="3" style="236" customWidth="1"/>
    <col min="13350" max="13350" width="0" style="236" hidden="1" customWidth="1"/>
    <col min="13351" max="13351" width="4.42578125" style="236" customWidth="1"/>
    <col min="13352" max="13352" width="34.28515625" style="236" customWidth="1"/>
    <col min="13353" max="13353" width="23.42578125" style="236" customWidth="1"/>
    <col min="13354" max="13354" width="9.140625" style="236" customWidth="1"/>
    <col min="13355" max="13355" width="19.5703125" style="236" customWidth="1"/>
    <col min="13356" max="13356" width="42.7109375" style="236" customWidth="1"/>
    <col min="13357" max="13357" width="5.85546875" style="236" customWidth="1"/>
    <col min="13358" max="13358" width="31.5703125" style="236" customWidth="1"/>
    <col min="13359" max="13359" width="16.140625" style="236" customWidth="1"/>
    <col min="13360" max="13361" width="9.28515625" style="236" customWidth="1"/>
    <col min="13362" max="13362" width="11.140625" style="236" customWidth="1"/>
    <col min="13363" max="13363" width="2.140625" style="236" customWidth="1"/>
    <col min="13364" max="13569" width="11.42578125" style="236"/>
    <col min="13570" max="13570" width="12" style="236" customWidth="1"/>
    <col min="13571" max="13571" width="2.7109375" style="236" customWidth="1"/>
    <col min="13572" max="13573" width="6.5703125" style="236" customWidth="1"/>
    <col min="13574" max="13574" width="5.85546875" style="236" customWidth="1"/>
    <col min="13575" max="13575" width="6.5703125" style="236" customWidth="1"/>
    <col min="13576" max="13576" width="13.7109375" style="236" customWidth="1"/>
    <col min="13577" max="13578" width="9" style="236" customWidth="1"/>
    <col min="13579" max="13579" width="2.5703125" style="236" customWidth="1"/>
    <col min="13580" max="13580" width="8.85546875" style="236" customWidth="1"/>
    <col min="13581" max="13581" width="7.5703125" style="236" customWidth="1"/>
    <col min="13582" max="13584" width="3.7109375" style="236" customWidth="1"/>
    <col min="13585" max="13585" width="3.5703125" style="236" customWidth="1"/>
    <col min="13586" max="13586" width="2.85546875" style="236" customWidth="1"/>
    <col min="13587" max="13587" width="3" style="236" customWidth="1"/>
    <col min="13588" max="13590" width="0" style="236" hidden="1" customWidth="1"/>
    <col min="13591" max="13591" width="4.42578125" style="236" customWidth="1"/>
    <col min="13592" max="13592" width="0" style="236" hidden="1" customWidth="1"/>
    <col min="13593" max="13594" width="14.85546875" style="236" customWidth="1"/>
    <col min="13595" max="13595" width="15.140625" style="236" customWidth="1"/>
    <col min="13596" max="13596" width="6.42578125" style="236" customWidth="1"/>
    <col min="13597" max="13597" width="15.140625" style="236" customWidth="1"/>
    <col min="13598" max="13598" width="4.140625" style="236" customWidth="1"/>
    <col min="13599" max="13599" width="3" style="236" customWidth="1"/>
    <col min="13600" max="13602" width="0" style="236" hidden="1" customWidth="1"/>
    <col min="13603" max="13603" width="3" style="236" customWidth="1"/>
    <col min="13604" max="13604" width="0" style="236" hidden="1" customWidth="1"/>
    <col min="13605" max="13605" width="3" style="236" customWidth="1"/>
    <col min="13606" max="13606" width="0" style="236" hidden="1" customWidth="1"/>
    <col min="13607" max="13607" width="4.42578125" style="236" customWidth="1"/>
    <col min="13608" max="13608" width="34.28515625" style="236" customWidth="1"/>
    <col min="13609" max="13609" width="23.42578125" style="236" customWidth="1"/>
    <col min="13610" max="13610" width="9.140625" style="236" customWidth="1"/>
    <col min="13611" max="13611" width="19.5703125" style="236" customWidth="1"/>
    <col min="13612" max="13612" width="42.7109375" style="236" customWidth="1"/>
    <col min="13613" max="13613" width="5.85546875" style="236" customWidth="1"/>
    <col min="13614" max="13614" width="31.5703125" style="236" customWidth="1"/>
    <col min="13615" max="13615" width="16.140625" style="236" customWidth="1"/>
    <col min="13616" max="13617" width="9.28515625" style="236" customWidth="1"/>
    <col min="13618" max="13618" width="11.140625" style="236" customWidth="1"/>
    <col min="13619" max="13619" width="2.140625" style="236" customWidth="1"/>
    <col min="13620" max="13825" width="11.42578125" style="236"/>
    <col min="13826" max="13826" width="12" style="236" customWidth="1"/>
    <col min="13827" max="13827" width="2.7109375" style="236" customWidth="1"/>
    <col min="13828" max="13829" width="6.5703125" style="236" customWidth="1"/>
    <col min="13830" max="13830" width="5.85546875" style="236" customWidth="1"/>
    <col min="13831" max="13831" width="6.5703125" style="236" customWidth="1"/>
    <col min="13832" max="13832" width="13.7109375" style="236" customWidth="1"/>
    <col min="13833" max="13834" width="9" style="236" customWidth="1"/>
    <col min="13835" max="13835" width="2.5703125" style="236" customWidth="1"/>
    <col min="13836" max="13836" width="8.85546875" style="236" customWidth="1"/>
    <col min="13837" max="13837" width="7.5703125" style="236" customWidth="1"/>
    <col min="13838" max="13840" width="3.7109375" style="236" customWidth="1"/>
    <col min="13841" max="13841" width="3.5703125" style="236" customWidth="1"/>
    <col min="13842" max="13842" width="2.85546875" style="236" customWidth="1"/>
    <col min="13843" max="13843" width="3" style="236" customWidth="1"/>
    <col min="13844" max="13846" width="0" style="236" hidden="1" customWidth="1"/>
    <col min="13847" max="13847" width="4.42578125" style="236" customWidth="1"/>
    <col min="13848" max="13848" width="0" style="236" hidden="1" customWidth="1"/>
    <col min="13849" max="13850" width="14.85546875" style="236" customWidth="1"/>
    <col min="13851" max="13851" width="15.140625" style="236" customWidth="1"/>
    <col min="13852" max="13852" width="6.42578125" style="236" customWidth="1"/>
    <col min="13853" max="13853" width="15.140625" style="236" customWidth="1"/>
    <col min="13854" max="13854" width="4.140625" style="236" customWidth="1"/>
    <col min="13855" max="13855" width="3" style="236" customWidth="1"/>
    <col min="13856" max="13858" width="0" style="236" hidden="1" customWidth="1"/>
    <col min="13859" max="13859" width="3" style="236" customWidth="1"/>
    <col min="13860" max="13860" width="0" style="236" hidden="1" customWidth="1"/>
    <col min="13861" max="13861" width="3" style="236" customWidth="1"/>
    <col min="13862" max="13862" width="0" style="236" hidden="1" customWidth="1"/>
    <col min="13863" max="13863" width="4.42578125" style="236" customWidth="1"/>
    <col min="13864" max="13864" width="34.28515625" style="236" customWidth="1"/>
    <col min="13865" max="13865" width="23.42578125" style="236" customWidth="1"/>
    <col min="13866" max="13866" width="9.140625" style="236" customWidth="1"/>
    <col min="13867" max="13867" width="19.5703125" style="236" customWidth="1"/>
    <col min="13868" max="13868" width="42.7109375" style="236" customWidth="1"/>
    <col min="13869" max="13869" width="5.85546875" style="236" customWidth="1"/>
    <col min="13870" max="13870" width="31.5703125" style="236" customWidth="1"/>
    <col min="13871" max="13871" width="16.140625" style="236" customWidth="1"/>
    <col min="13872" max="13873" width="9.28515625" style="236" customWidth="1"/>
    <col min="13874" max="13874" width="11.140625" style="236" customWidth="1"/>
    <col min="13875" max="13875" width="2.140625" style="236" customWidth="1"/>
    <col min="13876" max="14081" width="11.42578125" style="236"/>
    <col min="14082" max="14082" width="12" style="236" customWidth="1"/>
    <col min="14083" max="14083" width="2.7109375" style="236" customWidth="1"/>
    <col min="14084" max="14085" width="6.5703125" style="236" customWidth="1"/>
    <col min="14086" max="14086" width="5.85546875" style="236" customWidth="1"/>
    <col min="14087" max="14087" width="6.5703125" style="236" customWidth="1"/>
    <col min="14088" max="14088" width="13.7109375" style="236" customWidth="1"/>
    <col min="14089" max="14090" width="9" style="236" customWidth="1"/>
    <col min="14091" max="14091" width="2.5703125" style="236" customWidth="1"/>
    <col min="14092" max="14092" width="8.85546875" style="236" customWidth="1"/>
    <col min="14093" max="14093" width="7.5703125" style="236" customWidth="1"/>
    <col min="14094" max="14096" width="3.7109375" style="236" customWidth="1"/>
    <col min="14097" max="14097" width="3.5703125" style="236" customWidth="1"/>
    <col min="14098" max="14098" width="2.85546875" style="236" customWidth="1"/>
    <col min="14099" max="14099" width="3" style="236" customWidth="1"/>
    <col min="14100" max="14102" width="0" style="236" hidden="1" customWidth="1"/>
    <col min="14103" max="14103" width="4.42578125" style="236" customWidth="1"/>
    <col min="14104" max="14104" width="0" style="236" hidden="1" customWidth="1"/>
    <col min="14105" max="14106" width="14.85546875" style="236" customWidth="1"/>
    <col min="14107" max="14107" width="15.140625" style="236" customWidth="1"/>
    <col min="14108" max="14108" width="6.42578125" style="236" customWidth="1"/>
    <col min="14109" max="14109" width="15.140625" style="236" customWidth="1"/>
    <col min="14110" max="14110" width="4.140625" style="236" customWidth="1"/>
    <col min="14111" max="14111" width="3" style="236" customWidth="1"/>
    <col min="14112" max="14114" width="0" style="236" hidden="1" customWidth="1"/>
    <col min="14115" max="14115" width="3" style="236" customWidth="1"/>
    <col min="14116" max="14116" width="0" style="236" hidden="1" customWidth="1"/>
    <col min="14117" max="14117" width="3" style="236" customWidth="1"/>
    <col min="14118" max="14118" width="0" style="236" hidden="1" customWidth="1"/>
    <col min="14119" max="14119" width="4.42578125" style="236" customWidth="1"/>
    <col min="14120" max="14120" width="34.28515625" style="236" customWidth="1"/>
    <col min="14121" max="14121" width="23.42578125" style="236" customWidth="1"/>
    <col min="14122" max="14122" width="9.140625" style="236" customWidth="1"/>
    <col min="14123" max="14123" width="19.5703125" style="236" customWidth="1"/>
    <col min="14124" max="14124" width="42.7109375" style="236" customWidth="1"/>
    <col min="14125" max="14125" width="5.85546875" style="236" customWidth="1"/>
    <col min="14126" max="14126" width="31.5703125" style="236" customWidth="1"/>
    <col min="14127" max="14127" width="16.140625" style="236" customWidth="1"/>
    <col min="14128" max="14129" width="9.28515625" style="236" customWidth="1"/>
    <col min="14130" max="14130" width="11.140625" style="236" customWidth="1"/>
    <col min="14131" max="14131" width="2.140625" style="236" customWidth="1"/>
    <col min="14132" max="14337" width="11.42578125" style="236"/>
    <col min="14338" max="14338" width="12" style="236" customWidth="1"/>
    <col min="14339" max="14339" width="2.7109375" style="236" customWidth="1"/>
    <col min="14340" max="14341" width="6.5703125" style="236" customWidth="1"/>
    <col min="14342" max="14342" width="5.85546875" style="236" customWidth="1"/>
    <col min="14343" max="14343" width="6.5703125" style="236" customWidth="1"/>
    <col min="14344" max="14344" width="13.7109375" style="236" customWidth="1"/>
    <col min="14345" max="14346" width="9" style="236" customWidth="1"/>
    <col min="14347" max="14347" width="2.5703125" style="236" customWidth="1"/>
    <col min="14348" max="14348" width="8.85546875" style="236" customWidth="1"/>
    <col min="14349" max="14349" width="7.5703125" style="236" customWidth="1"/>
    <col min="14350" max="14352" width="3.7109375" style="236" customWidth="1"/>
    <col min="14353" max="14353" width="3.5703125" style="236" customWidth="1"/>
    <col min="14354" max="14354" width="2.85546875" style="236" customWidth="1"/>
    <col min="14355" max="14355" width="3" style="236" customWidth="1"/>
    <col min="14356" max="14358" width="0" style="236" hidden="1" customWidth="1"/>
    <col min="14359" max="14359" width="4.42578125" style="236" customWidth="1"/>
    <col min="14360" max="14360" width="0" style="236" hidden="1" customWidth="1"/>
    <col min="14361" max="14362" width="14.85546875" style="236" customWidth="1"/>
    <col min="14363" max="14363" width="15.140625" style="236" customWidth="1"/>
    <col min="14364" max="14364" width="6.42578125" style="236" customWidth="1"/>
    <col min="14365" max="14365" width="15.140625" style="236" customWidth="1"/>
    <col min="14366" max="14366" width="4.140625" style="236" customWidth="1"/>
    <col min="14367" max="14367" width="3" style="236" customWidth="1"/>
    <col min="14368" max="14370" width="0" style="236" hidden="1" customWidth="1"/>
    <col min="14371" max="14371" width="3" style="236" customWidth="1"/>
    <col min="14372" max="14372" width="0" style="236" hidden="1" customWidth="1"/>
    <col min="14373" max="14373" width="3" style="236" customWidth="1"/>
    <col min="14374" max="14374" width="0" style="236" hidden="1" customWidth="1"/>
    <col min="14375" max="14375" width="4.42578125" style="236" customWidth="1"/>
    <col min="14376" max="14376" width="34.28515625" style="236" customWidth="1"/>
    <col min="14377" max="14377" width="23.42578125" style="236" customWidth="1"/>
    <col min="14378" max="14378" width="9.140625" style="236" customWidth="1"/>
    <col min="14379" max="14379" width="19.5703125" style="236" customWidth="1"/>
    <col min="14380" max="14380" width="42.7109375" style="236" customWidth="1"/>
    <col min="14381" max="14381" width="5.85546875" style="236" customWidth="1"/>
    <col min="14382" max="14382" width="31.5703125" style="236" customWidth="1"/>
    <col min="14383" max="14383" width="16.140625" style="236" customWidth="1"/>
    <col min="14384" max="14385" width="9.28515625" style="236" customWidth="1"/>
    <col min="14386" max="14386" width="11.140625" style="236" customWidth="1"/>
    <col min="14387" max="14387" width="2.140625" style="236" customWidth="1"/>
    <col min="14388" max="14593" width="11.42578125" style="236"/>
    <col min="14594" max="14594" width="12" style="236" customWidth="1"/>
    <col min="14595" max="14595" width="2.7109375" style="236" customWidth="1"/>
    <col min="14596" max="14597" width="6.5703125" style="236" customWidth="1"/>
    <col min="14598" max="14598" width="5.85546875" style="236" customWidth="1"/>
    <col min="14599" max="14599" width="6.5703125" style="236" customWidth="1"/>
    <col min="14600" max="14600" width="13.7109375" style="236" customWidth="1"/>
    <col min="14601" max="14602" width="9" style="236" customWidth="1"/>
    <col min="14603" max="14603" width="2.5703125" style="236" customWidth="1"/>
    <col min="14604" max="14604" width="8.85546875" style="236" customWidth="1"/>
    <col min="14605" max="14605" width="7.5703125" style="236" customWidth="1"/>
    <col min="14606" max="14608" width="3.7109375" style="236" customWidth="1"/>
    <col min="14609" max="14609" width="3.5703125" style="236" customWidth="1"/>
    <col min="14610" max="14610" width="2.85546875" style="236" customWidth="1"/>
    <col min="14611" max="14611" width="3" style="236" customWidth="1"/>
    <col min="14612" max="14614" width="0" style="236" hidden="1" customWidth="1"/>
    <col min="14615" max="14615" width="4.42578125" style="236" customWidth="1"/>
    <col min="14616" max="14616" width="0" style="236" hidden="1" customWidth="1"/>
    <col min="14617" max="14618" width="14.85546875" style="236" customWidth="1"/>
    <col min="14619" max="14619" width="15.140625" style="236" customWidth="1"/>
    <col min="14620" max="14620" width="6.42578125" style="236" customWidth="1"/>
    <col min="14621" max="14621" width="15.140625" style="236" customWidth="1"/>
    <col min="14622" max="14622" width="4.140625" style="236" customWidth="1"/>
    <col min="14623" max="14623" width="3" style="236" customWidth="1"/>
    <col min="14624" max="14626" width="0" style="236" hidden="1" customWidth="1"/>
    <col min="14627" max="14627" width="3" style="236" customWidth="1"/>
    <col min="14628" max="14628" width="0" style="236" hidden="1" customWidth="1"/>
    <col min="14629" max="14629" width="3" style="236" customWidth="1"/>
    <col min="14630" max="14630" width="0" style="236" hidden="1" customWidth="1"/>
    <col min="14631" max="14631" width="4.42578125" style="236" customWidth="1"/>
    <col min="14632" max="14632" width="34.28515625" style="236" customWidth="1"/>
    <col min="14633" max="14633" width="23.42578125" style="236" customWidth="1"/>
    <col min="14634" max="14634" width="9.140625" style="236" customWidth="1"/>
    <col min="14635" max="14635" width="19.5703125" style="236" customWidth="1"/>
    <col min="14636" max="14636" width="42.7109375" style="236" customWidth="1"/>
    <col min="14637" max="14637" width="5.85546875" style="236" customWidth="1"/>
    <col min="14638" max="14638" width="31.5703125" style="236" customWidth="1"/>
    <col min="14639" max="14639" width="16.140625" style="236" customWidth="1"/>
    <col min="14640" max="14641" width="9.28515625" style="236" customWidth="1"/>
    <col min="14642" max="14642" width="11.140625" style="236" customWidth="1"/>
    <col min="14643" max="14643" width="2.140625" style="236" customWidth="1"/>
    <col min="14644" max="14849" width="11.42578125" style="236"/>
    <col min="14850" max="14850" width="12" style="236" customWidth="1"/>
    <col min="14851" max="14851" width="2.7109375" style="236" customWidth="1"/>
    <col min="14852" max="14853" width="6.5703125" style="236" customWidth="1"/>
    <col min="14854" max="14854" width="5.85546875" style="236" customWidth="1"/>
    <col min="14855" max="14855" width="6.5703125" style="236" customWidth="1"/>
    <col min="14856" max="14856" width="13.7109375" style="236" customWidth="1"/>
    <col min="14857" max="14858" width="9" style="236" customWidth="1"/>
    <col min="14859" max="14859" width="2.5703125" style="236" customWidth="1"/>
    <col min="14860" max="14860" width="8.85546875" style="236" customWidth="1"/>
    <col min="14861" max="14861" width="7.5703125" style="236" customWidth="1"/>
    <col min="14862" max="14864" width="3.7109375" style="236" customWidth="1"/>
    <col min="14865" max="14865" width="3.5703125" style="236" customWidth="1"/>
    <col min="14866" max="14866" width="2.85546875" style="236" customWidth="1"/>
    <col min="14867" max="14867" width="3" style="236" customWidth="1"/>
    <col min="14868" max="14870" width="0" style="236" hidden="1" customWidth="1"/>
    <col min="14871" max="14871" width="4.42578125" style="236" customWidth="1"/>
    <col min="14872" max="14872" width="0" style="236" hidden="1" customWidth="1"/>
    <col min="14873" max="14874" width="14.85546875" style="236" customWidth="1"/>
    <col min="14875" max="14875" width="15.140625" style="236" customWidth="1"/>
    <col min="14876" max="14876" width="6.42578125" style="236" customWidth="1"/>
    <col min="14877" max="14877" width="15.140625" style="236" customWidth="1"/>
    <col min="14878" max="14878" width="4.140625" style="236" customWidth="1"/>
    <col min="14879" max="14879" width="3" style="236" customWidth="1"/>
    <col min="14880" max="14882" width="0" style="236" hidden="1" customWidth="1"/>
    <col min="14883" max="14883" width="3" style="236" customWidth="1"/>
    <col min="14884" max="14884" width="0" style="236" hidden="1" customWidth="1"/>
    <col min="14885" max="14885" width="3" style="236" customWidth="1"/>
    <col min="14886" max="14886" width="0" style="236" hidden="1" customWidth="1"/>
    <col min="14887" max="14887" width="4.42578125" style="236" customWidth="1"/>
    <col min="14888" max="14888" width="34.28515625" style="236" customWidth="1"/>
    <col min="14889" max="14889" width="23.42578125" style="236" customWidth="1"/>
    <col min="14890" max="14890" width="9.140625" style="236" customWidth="1"/>
    <col min="14891" max="14891" width="19.5703125" style="236" customWidth="1"/>
    <col min="14892" max="14892" width="42.7109375" style="236" customWidth="1"/>
    <col min="14893" max="14893" width="5.85546875" style="236" customWidth="1"/>
    <col min="14894" max="14894" width="31.5703125" style="236" customWidth="1"/>
    <col min="14895" max="14895" width="16.140625" style="236" customWidth="1"/>
    <col min="14896" max="14897" width="9.28515625" style="236" customWidth="1"/>
    <col min="14898" max="14898" width="11.140625" style="236" customWidth="1"/>
    <col min="14899" max="14899" width="2.140625" style="236" customWidth="1"/>
    <col min="14900" max="15105" width="11.42578125" style="236"/>
    <col min="15106" max="15106" width="12" style="236" customWidth="1"/>
    <col min="15107" max="15107" width="2.7109375" style="236" customWidth="1"/>
    <col min="15108" max="15109" width="6.5703125" style="236" customWidth="1"/>
    <col min="15110" max="15110" width="5.85546875" style="236" customWidth="1"/>
    <col min="15111" max="15111" width="6.5703125" style="236" customWidth="1"/>
    <col min="15112" max="15112" width="13.7109375" style="236" customWidth="1"/>
    <col min="15113" max="15114" width="9" style="236" customWidth="1"/>
    <col min="15115" max="15115" width="2.5703125" style="236" customWidth="1"/>
    <col min="15116" max="15116" width="8.85546875" style="236" customWidth="1"/>
    <col min="15117" max="15117" width="7.5703125" style="236" customWidth="1"/>
    <col min="15118" max="15120" width="3.7109375" style="236" customWidth="1"/>
    <col min="15121" max="15121" width="3.5703125" style="236" customWidth="1"/>
    <col min="15122" max="15122" width="2.85546875" style="236" customWidth="1"/>
    <col min="15123" max="15123" width="3" style="236" customWidth="1"/>
    <col min="15124" max="15126" width="0" style="236" hidden="1" customWidth="1"/>
    <col min="15127" max="15127" width="4.42578125" style="236" customWidth="1"/>
    <col min="15128" max="15128" width="0" style="236" hidden="1" customWidth="1"/>
    <col min="15129" max="15130" width="14.85546875" style="236" customWidth="1"/>
    <col min="15131" max="15131" width="15.140625" style="236" customWidth="1"/>
    <col min="15132" max="15132" width="6.42578125" style="236" customWidth="1"/>
    <col min="15133" max="15133" width="15.140625" style="236" customWidth="1"/>
    <col min="15134" max="15134" width="4.140625" style="236" customWidth="1"/>
    <col min="15135" max="15135" width="3" style="236" customWidth="1"/>
    <col min="15136" max="15138" width="0" style="236" hidden="1" customWidth="1"/>
    <col min="15139" max="15139" width="3" style="236" customWidth="1"/>
    <col min="15140" max="15140" width="0" style="236" hidden="1" customWidth="1"/>
    <col min="15141" max="15141" width="3" style="236" customWidth="1"/>
    <col min="15142" max="15142" width="0" style="236" hidden="1" customWidth="1"/>
    <col min="15143" max="15143" width="4.42578125" style="236" customWidth="1"/>
    <col min="15144" max="15144" width="34.28515625" style="236" customWidth="1"/>
    <col min="15145" max="15145" width="23.42578125" style="236" customWidth="1"/>
    <col min="15146" max="15146" width="9.140625" style="236" customWidth="1"/>
    <col min="15147" max="15147" width="19.5703125" style="236" customWidth="1"/>
    <col min="15148" max="15148" width="42.7109375" style="236" customWidth="1"/>
    <col min="15149" max="15149" width="5.85546875" style="236" customWidth="1"/>
    <col min="15150" max="15150" width="31.5703125" style="236" customWidth="1"/>
    <col min="15151" max="15151" width="16.140625" style="236" customWidth="1"/>
    <col min="15152" max="15153" width="9.28515625" style="236" customWidth="1"/>
    <col min="15154" max="15154" width="11.140625" style="236" customWidth="1"/>
    <col min="15155" max="15155" width="2.140625" style="236" customWidth="1"/>
    <col min="15156" max="15361" width="11.42578125" style="236"/>
    <col min="15362" max="15362" width="12" style="236" customWidth="1"/>
    <col min="15363" max="15363" width="2.7109375" style="236" customWidth="1"/>
    <col min="15364" max="15365" width="6.5703125" style="236" customWidth="1"/>
    <col min="15366" max="15366" width="5.85546875" style="236" customWidth="1"/>
    <col min="15367" max="15367" width="6.5703125" style="236" customWidth="1"/>
    <col min="15368" max="15368" width="13.7109375" style="236" customWidth="1"/>
    <col min="15369" max="15370" width="9" style="236" customWidth="1"/>
    <col min="15371" max="15371" width="2.5703125" style="236" customWidth="1"/>
    <col min="15372" max="15372" width="8.85546875" style="236" customWidth="1"/>
    <col min="15373" max="15373" width="7.5703125" style="236" customWidth="1"/>
    <col min="15374" max="15376" width="3.7109375" style="236" customWidth="1"/>
    <col min="15377" max="15377" width="3.5703125" style="236" customWidth="1"/>
    <col min="15378" max="15378" width="2.85546875" style="236" customWidth="1"/>
    <col min="15379" max="15379" width="3" style="236" customWidth="1"/>
    <col min="15380" max="15382" width="0" style="236" hidden="1" customWidth="1"/>
    <col min="15383" max="15383" width="4.42578125" style="236" customWidth="1"/>
    <col min="15384" max="15384" width="0" style="236" hidden="1" customWidth="1"/>
    <col min="15385" max="15386" width="14.85546875" style="236" customWidth="1"/>
    <col min="15387" max="15387" width="15.140625" style="236" customWidth="1"/>
    <col min="15388" max="15388" width="6.42578125" style="236" customWidth="1"/>
    <col min="15389" max="15389" width="15.140625" style="236" customWidth="1"/>
    <col min="15390" max="15390" width="4.140625" style="236" customWidth="1"/>
    <col min="15391" max="15391" width="3" style="236" customWidth="1"/>
    <col min="15392" max="15394" width="0" style="236" hidden="1" customWidth="1"/>
    <col min="15395" max="15395" width="3" style="236" customWidth="1"/>
    <col min="15396" max="15396" width="0" style="236" hidden="1" customWidth="1"/>
    <col min="15397" max="15397" width="3" style="236" customWidth="1"/>
    <col min="15398" max="15398" width="0" style="236" hidden="1" customWidth="1"/>
    <col min="15399" max="15399" width="4.42578125" style="236" customWidth="1"/>
    <col min="15400" max="15400" width="34.28515625" style="236" customWidth="1"/>
    <col min="15401" max="15401" width="23.42578125" style="236" customWidth="1"/>
    <col min="15402" max="15402" width="9.140625" style="236" customWidth="1"/>
    <col min="15403" max="15403" width="19.5703125" style="236" customWidth="1"/>
    <col min="15404" max="15404" width="42.7109375" style="236" customWidth="1"/>
    <col min="15405" max="15405" width="5.85546875" style="236" customWidth="1"/>
    <col min="15406" max="15406" width="31.5703125" style="236" customWidth="1"/>
    <col min="15407" max="15407" width="16.140625" style="236" customWidth="1"/>
    <col min="15408" max="15409" width="9.28515625" style="236" customWidth="1"/>
    <col min="15410" max="15410" width="11.140625" style="236" customWidth="1"/>
    <col min="15411" max="15411" width="2.140625" style="236" customWidth="1"/>
    <col min="15412" max="15617" width="11.42578125" style="236"/>
    <col min="15618" max="15618" width="12" style="236" customWidth="1"/>
    <col min="15619" max="15619" width="2.7109375" style="236" customWidth="1"/>
    <col min="15620" max="15621" width="6.5703125" style="236" customWidth="1"/>
    <col min="15622" max="15622" width="5.85546875" style="236" customWidth="1"/>
    <col min="15623" max="15623" width="6.5703125" style="236" customWidth="1"/>
    <col min="15624" max="15624" width="13.7109375" style="236" customWidth="1"/>
    <col min="15625" max="15626" width="9" style="236" customWidth="1"/>
    <col min="15627" max="15627" width="2.5703125" style="236" customWidth="1"/>
    <col min="15628" max="15628" width="8.85546875" style="236" customWidth="1"/>
    <col min="15629" max="15629" width="7.5703125" style="236" customWidth="1"/>
    <col min="15630" max="15632" width="3.7109375" style="236" customWidth="1"/>
    <col min="15633" max="15633" width="3.5703125" style="236" customWidth="1"/>
    <col min="15634" max="15634" width="2.85546875" style="236" customWidth="1"/>
    <col min="15635" max="15635" width="3" style="236" customWidth="1"/>
    <col min="15636" max="15638" width="0" style="236" hidden="1" customWidth="1"/>
    <col min="15639" max="15639" width="4.42578125" style="236" customWidth="1"/>
    <col min="15640" max="15640" width="0" style="236" hidden="1" customWidth="1"/>
    <col min="15641" max="15642" width="14.85546875" style="236" customWidth="1"/>
    <col min="15643" max="15643" width="15.140625" style="236" customWidth="1"/>
    <col min="15644" max="15644" width="6.42578125" style="236" customWidth="1"/>
    <col min="15645" max="15645" width="15.140625" style="236" customWidth="1"/>
    <col min="15646" max="15646" width="4.140625" style="236" customWidth="1"/>
    <col min="15647" max="15647" width="3" style="236" customWidth="1"/>
    <col min="15648" max="15650" width="0" style="236" hidden="1" customWidth="1"/>
    <col min="15651" max="15651" width="3" style="236" customWidth="1"/>
    <col min="15652" max="15652" width="0" style="236" hidden="1" customWidth="1"/>
    <col min="15653" max="15653" width="3" style="236" customWidth="1"/>
    <col min="15654" max="15654" width="0" style="236" hidden="1" customWidth="1"/>
    <col min="15655" max="15655" width="4.42578125" style="236" customWidth="1"/>
    <col min="15656" max="15656" width="34.28515625" style="236" customWidth="1"/>
    <col min="15657" max="15657" width="23.42578125" style="236" customWidth="1"/>
    <col min="15658" max="15658" width="9.140625" style="236" customWidth="1"/>
    <col min="15659" max="15659" width="19.5703125" style="236" customWidth="1"/>
    <col min="15660" max="15660" width="42.7109375" style="236" customWidth="1"/>
    <col min="15661" max="15661" width="5.85546875" style="236" customWidth="1"/>
    <col min="15662" max="15662" width="31.5703125" style="236" customWidth="1"/>
    <col min="15663" max="15663" width="16.140625" style="236" customWidth="1"/>
    <col min="15664" max="15665" width="9.28515625" style="236" customWidth="1"/>
    <col min="15666" max="15666" width="11.140625" style="236" customWidth="1"/>
    <col min="15667" max="15667" width="2.140625" style="236" customWidth="1"/>
    <col min="15668" max="15873" width="11.42578125" style="236"/>
    <col min="15874" max="15874" width="12" style="236" customWidth="1"/>
    <col min="15875" max="15875" width="2.7109375" style="236" customWidth="1"/>
    <col min="15876" max="15877" width="6.5703125" style="236" customWidth="1"/>
    <col min="15878" max="15878" width="5.85546875" style="236" customWidth="1"/>
    <col min="15879" max="15879" width="6.5703125" style="236" customWidth="1"/>
    <col min="15880" max="15880" width="13.7109375" style="236" customWidth="1"/>
    <col min="15881" max="15882" width="9" style="236" customWidth="1"/>
    <col min="15883" max="15883" width="2.5703125" style="236" customWidth="1"/>
    <col min="15884" max="15884" width="8.85546875" style="236" customWidth="1"/>
    <col min="15885" max="15885" width="7.5703125" style="236" customWidth="1"/>
    <col min="15886" max="15888" width="3.7109375" style="236" customWidth="1"/>
    <col min="15889" max="15889" width="3.5703125" style="236" customWidth="1"/>
    <col min="15890" max="15890" width="2.85546875" style="236" customWidth="1"/>
    <col min="15891" max="15891" width="3" style="236" customWidth="1"/>
    <col min="15892" max="15894" width="0" style="236" hidden="1" customWidth="1"/>
    <col min="15895" max="15895" width="4.42578125" style="236" customWidth="1"/>
    <col min="15896" max="15896" width="0" style="236" hidden="1" customWidth="1"/>
    <col min="15897" max="15898" width="14.85546875" style="236" customWidth="1"/>
    <col min="15899" max="15899" width="15.140625" style="236" customWidth="1"/>
    <col min="15900" max="15900" width="6.42578125" style="236" customWidth="1"/>
    <col min="15901" max="15901" width="15.140625" style="236" customWidth="1"/>
    <col min="15902" max="15902" width="4.140625" style="236" customWidth="1"/>
    <col min="15903" max="15903" width="3" style="236" customWidth="1"/>
    <col min="15904" max="15906" width="0" style="236" hidden="1" customWidth="1"/>
    <col min="15907" max="15907" width="3" style="236" customWidth="1"/>
    <col min="15908" max="15908" width="0" style="236" hidden="1" customWidth="1"/>
    <col min="15909" max="15909" width="3" style="236" customWidth="1"/>
    <col min="15910" max="15910" width="0" style="236" hidden="1" customWidth="1"/>
    <col min="15911" max="15911" width="4.42578125" style="236" customWidth="1"/>
    <col min="15912" max="15912" width="34.28515625" style="236" customWidth="1"/>
    <col min="15913" max="15913" width="23.42578125" style="236" customWidth="1"/>
    <col min="15914" max="15914" width="9.140625" style="236" customWidth="1"/>
    <col min="15915" max="15915" width="19.5703125" style="236" customWidth="1"/>
    <col min="15916" max="15916" width="42.7109375" style="236" customWidth="1"/>
    <col min="15917" max="15917" width="5.85546875" style="236" customWidth="1"/>
    <col min="15918" max="15918" width="31.5703125" style="236" customWidth="1"/>
    <col min="15919" max="15919" width="16.140625" style="236" customWidth="1"/>
    <col min="15920" max="15921" width="9.28515625" style="236" customWidth="1"/>
    <col min="15922" max="15922" width="11.140625" style="236" customWidth="1"/>
    <col min="15923" max="15923" width="2.140625" style="236" customWidth="1"/>
    <col min="15924" max="16129" width="11.42578125" style="236"/>
    <col min="16130" max="16130" width="12" style="236" customWidth="1"/>
    <col min="16131" max="16131" width="2.7109375" style="236" customWidth="1"/>
    <col min="16132" max="16133" width="6.5703125" style="236" customWidth="1"/>
    <col min="16134" max="16134" width="5.85546875" style="236" customWidth="1"/>
    <col min="16135" max="16135" width="6.5703125" style="236" customWidth="1"/>
    <col min="16136" max="16136" width="13.7109375" style="236" customWidth="1"/>
    <col min="16137" max="16138" width="9" style="236" customWidth="1"/>
    <col min="16139" max="16139" width="2.5703125" style="236" customWidth="1"/>
    <col min="16140" max="16140" width="8.85546875" style="236" customWidth="1"/>
    <col min="16141" max="16141" width="7.5703125" style="236" customWidth="1"/>
    <col min="16142" max="16144" width="3.7109375" style="236" customWidth="1"/>
    <col min="16145" max="16145" width="3.5703125" style="236" customWidth="1"/>
    <col min="16146" max="16146" width="2.85546875" style="236" customWidth="1"/>
    <col min="16147" max="16147" width="3" style="236" customWidth="1"/>
    <col min="16148" max="16150" width="0" style="236" hidden="1" customWidth="1"/>
    <col min="16151" max="16151" width="4.42578125" style="236" customWidth="1"/>
    <col min="16152" max="16152" width="0" style="236" hidden="1" customWidth="1"/>
    <col min="16153" max="16154" width="14.85546875" style="236" customWidth="1"/>
    <col min="16155" max="16155" width="15.140625" style="236" customWidth="1"/>
    <col min="16156" max="16156" width="6.42578125" style="236" customWidth="1"/>
    <col min="16157" max="16157" width="15.140625" style="236" customWidth="1"/>
    <col min="16158" max="16158" width="4.140625" style="236" customWidth="1"/>
    <col min="16159" max="16159" width="3" style="236" customWidth="1"/>
    <col min="16160" max="16162" width="0" style="236" hidden="1" customWidth="1"/>
    <col min="16163" max="16163" width="3" style="236" customWidth="1"/>
    <col min="16164" max="16164" width="0" style="236" hidden="1" customWidth="1"/>
    <col min="16165" max="16165" width="3" style="236" customWidth="1"/>
    <col min="16166" max="16166" width="0" style="236" hidden="1" customWidth="1"/>
    <col min="16167" max="16167" width="4.42578125" style="236" customWidth="1"/>
    <col min="16168" max="16168" width="34.28515625" style="236" customWidth="1"/>
    <col min="16169" max="16169" width="23.42578125" style="236" customWidth="1"/>
    <col min="16170" max="16170" width="9.140625" style="236" customWidth="1"/>
    <col min="16171" max="16171" width="19.5703125" style="236" customWidth="1"/>
    <col min="16172" max="16172" width="42.7109375" style="236" customWidth="1"/>
    <col min="16173" max="16173" width="5.85546875" style="236" customWidth="1"/>
    <col min="16174" max="16174" width="31.5703125" style="236" customWidth="1"/>
    <col min="16175" max="16175" width="16.140625" style="236" customWidth="1"/>
    <col min="16176" max="16177" width="9.28515625" style="236" customWidth="1"/>
    <col min="16178" max="16178" width="11.140625" style="236" customWidth="1"/>
    <col min="16179" max="16179" width="2.140625" style="236" customWidth="1"/>
    <col min="16180" max="16384" width="11.42578125" style="236"/>
  </cols>
  <sheetData>
    <row r="1" spans="1:1027" ht="11.25" customHeight="1" thickTop="1">
      <c r="A1" s="233"/>
      <c r="B1" s="233"/>
      <c r="C1" s="233"/>
      <c r="D1" s="233"/>
      <c r="E1" s="233"/>
      <c r="F1" s="233"/>
      <c r="G1" s="1248" t="s">
        <v>137</v>
      </c>
      <c r="H1" s="1249"/>
      <c r="I1" s="1249"/>
      <c r="J1" s="1249"/>
      <c r="K1" s="1249"/>
      <c r="L1" s="1249"/>
      <c r="M1" s="1249"/>
      <c r="N1" s="1249"/>
      <c r="O1" s="1249"/>
      <c r="P1" s="1249"/>
      <c r="Q1" s="1249"/>
      <c r="R1" s="1249"/>
      <c r="S1" s="1249"/>
      <c r="T1" s="1249"/>
      <c r="U1" s="1249"/>
      <c r="V1" s="1250"/>
      <c r="W1" s="234"/>
      <c r="X1" s="1251"/>
      <c r="Y1" s="1252"/>
      <c r="Z1" s="1257" t="s">
        <v>2347</v>
      </c>
      <c r="AA1" s="1257"/>
      <c r="AB1" s="1257"/>
      <c r="AC1" s="1258" t="s">
        <v>636</v>
      </c>
      <c r="AD1" s="1260" t="s">
        <v>3150</v>
      </c>
      <c r="AE1" s="1260"/>
      <c r="AF1" s="1260"/>
      <c r="AG1" s="1260"/>
      <c r="AH1" s="1260"/>
      <c r="AI1" s="1260"/>
      <c r="AJ1" s="1260"/>
      <c r="AK1" s="1260"/>
      <c r="AL1" s="1260"/>
      <c r="AM1" s="1260"/>
      <c r="AN1" s="1260"/>
      <c r="AP1" s="1247" t="s">
        <v>2320</v>
      </c>
      <c r="AQ1" s="1247"/>
      <c r="AR1" s="1247"/>
      <c r="AS1" s="1247"/>
      <c r="AT1" s="233"/>
      <c r="AU1" s="233"/>
      <c r="AV1" s="233"/>
      <c r="AW1" s="1246"/>
      <c r="AX1" s="1246"/>
      <c r="AY1" s="233"/>
    </row>
    <row r="2" spans="1:1027" ht="14.25" customHeight="1">
      <c r="A2" s="237" t="s">
        <v>2348</v>
      </c>
      <c r="B2" s="233"/>
      <c r="C2" s="233"/>
      <c r="D2" s="233"/>
      <c r="E2" s="233"/>
      <c r="F2" s="233"/>
      <c r="G2" s="1214" t="str">
        <f>UPPER([53]Control!A2)</f>
        <v xml:space="preserve">MATRIZ DE RIESGOS </v>
      </c>
      <c r="H2" s="1215"/>
      <c r="I2" s="1215"/>
      <c r="J2" s="1215"/>
      <c r="K2" s="1215"/>
      <c r="L2" s="1215"/>
      <c r="M2" s="1215"/>
      <c r="N2" s="1215"/>
      <c r="O2" s="1215"/>
      <c r="P2" s="1215"/>
      <c r="Q2" s="1215"/>
      <c r="R2" s="1215"/>
      <c r="S2" s="1215"/>
      <c r="T2" s="1215"/>
      <c r="U2" s="1215"/>
      <c r="V2" s="1216"/>
      <c r="W2" s="238"/>
      <c r="X2" s="1253"/>
      <c r="Y2" s="1254"/>
      <c r="Z2" s="1257"/>
      <c r="AA2" s="1257"/>
      <c r="AB2" s="1257"/>
      <c r="AC2" s="1259"/>
      <c r="AD2" s="1260"/>
      <c r="AE2" s="1260"/>
      <c r="AF2" s="1260"/>
      <c r="AG2" s="1260"/>
      <c r="AH2" s="1260"/>
      <c r="AI2" s="1260"/>
      <c r="AJ2" s="1260"/>
      <c r="AK2" s="1260"/>
      <c r="AL2" s="1260"/>
      <c r="AM2" s="1260"/>
      <c r="AN2" s="1260"/>
      <c r="AP2" s="1268" t="s">
        <v>138</v>
      </c>
      <c r="AQ2" s="1269"/>
      <c r="AR2" s="1433" t="str">
        <f>AD1</f>
        <v>GESTIÓN DE LA VALORIZACIÓN Y FINANCIACION</v>
      </c>
      <c r="AS2" s="1434"/>
      <c r="AT2" s="233"/>
      <c r="AU2" s="233"/>
      <c r="AV2" s="233"/>
      <c r="AW2" s="1246"/>
      <c r="AX2" s="1246"/>
      <c r="AY2" s="233"/>
    </row>
    <row r="3" spans="1:1027" ht="11.25" customHeight="1">
      <c r="A3" s="1435">
        <v>2019</v>
      </c>
      <c r="B3" s="233"/>
      <c r="C3" s="233"/>
      <c r="D3" s="233"/>
      <c r="E3" s="233"/>
      <c r="F3" s="233"/>
      <c r="G3" s="1203" t="s">
        <v>139</v>
      </c>
      <c r="H3" s="1204"/>
      <c r="I3" s="1204" t="s">
        <v>140</v>
      </c>
      <c r="J3" s="1204"/>
      <c r="K3" s="1204"/>
      <c r="L3" s="1204"/>
      <c r="M3" s="1204"/>
      <c r="N3" s="1204"/>
      <c r="O3" s="1205" t="s">
        <v>141</v>
      </c>
      <c r="P3" s="1204"/>
      <c r="Q3" s="1204"/>
      <c r="R3" s="1204"/>
      <c r="S3" s="1204"/>
      <c r="T3" s="1204"/>
      <c r="U3" s="1204"/>
      <c r="V3" s="1206"/>
      <c r="W3" s="238"/>
      <c r="X3" s="1253"/>
      <c r="Y3" s="1254"/>
      <c r="Z3" s="1436">
        <v>43423</v>
      </c>
      <c r="AA3" s="1437"/>
      <c r="AB3" s="1438"/>
      <c r="AC3" s="1259" t="s">
        <v>2349</v>
      </c>
      <c r="AD3" s="1261" t="s">
        <v>690</v>
      </c>
      <c r="AE3" s="1261"/>
      <c r="AF3" s="1261"/>
      <c r="AG3" s="1261"/>
      <c r="AH3" s="1261"/>
      <c r="AI3" s="1261"/>
      <c r="AJ3" s="1261"/>
      <c r="AK3" s="1261"/>
      <c r="AL3" s="1261"/>
      <c r="AM3" s="1261"/>
      <c r="AN3" s="1261"/>
      <c r="AP3" s="1265" t="s">
        <v>2322</v>
      </c>
      <c r="AQ3" s="1266"/>
      <c r="AR3" s="1266" t="s">
        <v>2323</v>
      </c>
      <c r="AS3" s="1267"/>
      <c r="AT3" s="233"/>
      <c r="AU3" s="233"/>
      <c r="AV3" s="233"/>
      <c r="AW3" s="1246"/>
      <c r="AX3" s="1246"/>
      <c r="AY3" s="233"/>
    </row>
    <row r="4" spans="1:1027" ht="14.25" customHeight="1" thickBot="1">
      <c r="A4" s="1435"/>
      <c r="B4" s="233"/>
      <c r="C4" s="233"/>
      <c r="D4" s="233"/>
      <c r="E4" s="233"/>
      <c r="F4" s="233"/>
      <c r="G4" s="1236" t="str">
        <f>[53]Control!A4</f>
        <v>FO-PE-06</v>
      </c>
      <c r="H4" s="1237"/>
      <c r="I4" s="1238" t="str">
        <f>[53]Control!C4</f>
        <v>Planeación Estratégica</v>
      </c>
      <c r="J4" s="1237"/>
      <c r="K4" s="1237"/>
      <c r="L4" s="1237"/>
      <c r="M4" s="1237"/>
      <c r="N4" s="1239"/>
      <c r="O4" s="1238">
        <f>[53]Control!H4</f>
        <v>5</v>
      </c>
      <c r="P4" s="1237"/>
      <c r="Q4" s="1237"/>
      <c r="R4" s="1237"/>
      <c r="S4" s="1237"/>
      <c r="T4" s="1237"/>
      <c r="U4" s="1237"/>
      <c r="V4" s="1239"/>
      <c r="W4" s="239"/>
      <c r="X4" s="1255"/>
      <c r="Y4" s="1256"/>
      <c r="Z4" s="1439"/>
      <c r="AA4" s="1440"/>
      <c r="AB4" s="1441"/>
      <c r="AC4" s="1259"/>
      <c r="AD4" s="1261"/>
      <c r="AE4" s="1261"/>
      <c r="AF4" s="1261"/>
      <c r="AG4" s="1261"/>
      <c r="AH4" s="1261"/>
      <c r="AI4" s="1261"/>
      <c r="AJ4" s="1261"/>
      <c r="AK4" s="1261"/>
      <c r="AL4" s="1261"/>
      <c r="AM4" s="1261"/>
      <c r="AN4" s="1261"/>
      <c r="AP4" s="1442">
        <v>43732</v>
      </c>
      <c r="AQ4" s="1443"/>
      <c r="AR4" s="1444" t="s">
        <v>4290</v>
      </c>
      <c r="AS4" s="1243"/>
      <c r="AT4" s="233"/>
      <c r="AU4" s="233"/>
      <c r="AV4" s="233"/>
      <c r="AW4" s="1246"/>
      <c r="AX4" s="1246"/>
      <c r="AY4" s="233"/>
    </row>
    <row r="5" spans="1:1027" s="243" customFormat="1" ht="5.25" customHeight="1" thickTop="1">
      <c r="A5" s="240"/>
      <c r="B5" s="241"/>
      <c r="C5" s="241"/>
      <c r="D5" s="241"/>
      <c r="E5" s="241"/>
      <c r="F5" s="240"/>
      <c r="G5" s="242"/>
      <c r="H5" s="242"/>
      <c r="I5" s="242"/>
      <c r="J5" s="241"/>
      <c r="K5" s="241"/>
      <c r="L5" s="241"/>
      <c r="M5" s="241"/>
      <c r="N5" s="241"/>
      <c r="O5" s="241"/>
      <c r="P5" s="241"/>
      <c r="Q5" s="241"/>
      <c r="R5" s="241"/>
      <c r="S5" s="241"/>
      <c r="T5" s="241"/>
      <c r="U5" s="241"/>
      <c r="V5" s="241"/>
      <c r="W5" s="241"/>
      <c r="X5" s="242"/>
      <c r="Y5" s="242"/>
      <c r="Z5" s="242"/>
      <c r="AA5" s="241"/>
      <c r="AB5" s="242"/>
      <c r="AC5" s="242"/>
      <c r="AD5" s="241"/>
      <c r="AE5" s="241"/>
      <c r="AF5" s="241"/>
      <c r="AG5" s="241"/>
      <c r="AH5" s="241"/>
      <c r="AI5" s="241"/>
      <c r="AJ5" s="241"/>
      <c r="AK5" s="241"/>
      <c r="AL5" s="241"/>
      <c r="AM5" s="240"/>
      <c r="AN5" s="240"/>
      <c r="AO5" s="240"/>
      <c r="AQ5" s="244"/>
      <c r="AY5" s="245"/>
    </row>
    <row r="6" spans="1:1027" s="243" customFormat="1" ht="11.25" customHeight="1">
      <c r="A6" s="1233" t="s">
        <v>143</v>
      </c>
      <c r="B6" s="1234"/>
      <c r="C6" s="1234"/>
      <c r="D6" s="1234"/>
      <c r="E6" s="1234"/>
      <c r="F6" s="1234"/>
      <c r="G6" s="1234"/>
      <c r="H6" s="1234"/>
      <c r="I6" s="1234"/>
      <c r="J6" s="1234"/>
      <c r="K6" s="1234"/>
      <c r="L6" s="1234"/>
      <c r="M6" s="1234"/>
      <c r="N6" s="1234"/>
      <c r="O6" s="1234"/>
      <c r="P6" s="1235"/>
      <c r="Q6" s="1230" t="s">
        <v>1003</v>
      </c>
      <c r="R6" s="1231"/>
      <c r="S6" s="1231"/>
      <c r="T6" s="1231"/>
      <c r="U6" s="1231"/>
      <c r="V6" s="1232"/>
      <c r="W6" s="246"/>
      <c r="X6" s="1262" t="s">
        <v>2350</v>
      </c>
      <c r="Y6" s="1263"/>
      <c r="Z6" s="1263"/>
      <c r="AA6" s="1263"/>
      <c r="AB6" s="1263"/>
      <c r="AC6" s="1263"/>
      <c r="AD6" s="1263"/>
      <c r="AE6" s="1263"/>
      <c r="AF6" s="1263"/>
      <c r="AG6" s="1263"/>
      <c r="AH6" s="1263"/>
      <c r="AI6" s="1263"/>
      <c r="AJ6" s="1263"/>
      <c r="AK6" s="1263"/>
      <c r="AL6" s="1263"/>
      <c r="AM6" s="1264"/>
      <c r="AN6" s="782" t="s">
        <v>268</v>
      </c>
      <c r="AO6" s="294"/>
      <c r="AP6" s="247" t="s">
        <v>2325</v>
      </c>
      <c r="AQ6" s="248"/>
      <c r="AR6" s="248"/>
      <c r="AS6" s="249"/>
      <c r="AT6" s="1244" t="s">
        <v>2326</v>
      </c>
      <c r="AU6" s="1244"/>
      <c r="AV6" s="1244"/>
      <c r="AW6" s="1244"/>
      <c r="AX6" s="1245"/>
      <c r="AY6" s="245"/>
    </row>
    <row r="7" spans="1:1027" s="243" customFormat="1" ht="25.5" customHeight="1">
      <c r="A7" s="1217" t="s">
        <v>1002</v>
      </c>
      <c r="B7" s="1218" t="s">
        <v>640</v>
      </c>
      <c r="C7" s="1219" t="s">
        <v>1001</v>
      </c>
      <c r="D7" s="1220"/>
      <c r="E7" s="1221"/>
      <c r="F7" s="1217" t="s">
        <v>1000</v>
      </c>
      <c r="G7" s="1219" t="s">
        <v>999</v>
      </c>
      <c r="H7" s="1220"/>
      <c r="I7" s="1221"/>
      <c r="J7" s="1217" t="s">
        <v>145</v>
      </c>
      <c r="K7" s="1217"/>
      <c r="L7" s="1217"/>
      <c r="M7" s="1225" t="s">
        <v>144</v>
      </c>
      <c r="N7" s="1226"/>
      <c r="O7" s="1226"/>
      <c r="P7" s="1226"/>
      <c r="Q7" s="1227" t="s">
        <v>637</v>
      </c>
      <c r="R7" s="1228"/>
      <c r="S7" s="1228"/>
      <c r="T7" s="1228"/>
      <c r="U7" s="1228"/>
      <c r="V7" s="1229"/>
      <c r="W7" s="250"/>
      <c r="X7" s="1217" t="s">
        <v>2351</v>
      </c>
      <c r="Y7" s="1217"/>
      <c r="Z7" s="1217"/>
      <c r="AA7" s="1284" t="s">
        <v>4175</v>
      </c>
      <c r="AB7" s="1221" t="s">
        <v>998</v>
      </c>
      <c r="AC7" s="1284" t="s">
        <v>641</v>
      </c>
      <c r="AD7" s="1286" t="s">
        <v>546</v>
      </c>
      <c r="AE7" s="1286" t="s">
        <v>638</v>
      </c>
      <c r="AF7" s="251"/>
      <c r="AG7" s="252"/>
      <c r="AH7" s="253"/>
      <c r="AI7" s="1288" t="s">
        <v>639</v>
      </c>
      <c r="AJ7" s="1288"/>
      <c r="AK7" s="1288"/>
      <c r="AL7" s="1288"/>
      <c r="AM7" s="1288"/>
      <c r="AN7" s="1288" t="s">
        <v>2327</v>
      </c>
      <c r="AO7" s="1431" t="s">
        <v>2328</v>
      </c>
      <c r="AP7" s="1432" t="s">
        <v>2353</v>
      </c>
      <c r="AQ7" s="1431" t="s">
        <v>2330</v>
      </c>
      <c r="AR7" s="1432" t="s">
        <v>2354</v>
      </c>
      <c r="AS7" s="1432" t="s">
        <v>2332</v>
      </c>
      <c r="AT7" s="1432" t="s">
        <v>2333</v>
      </c>
      <c r="AU7" s="1432" t="s">
        <v>2334</v>
      </c>
      <c r="AV7" s="1432" t="s">
        <v>2335</v>
      </c>
      <c r="AW7" s="1432" t="s">
        <v>2336</v>
      </c>
      <c r="AX7" s="1432" t="s">
        <v>2337</v>
      </c>
      <c r="AY7" s="245"/>
    </row>
    <row r="8" spans="1:1027" ht="26.25" customHeight="1">
      <c r="A8" s="1217"/>
      <c r="B8" s="1218"/>
      <c r="C8" s="1222"/>
      <c r="D8" s="1223"/>
      <c r="E8" s="1224"/>
      <c r="F8" s="1217"/>
      <c r="G8" s="1222"/>
      <c r="H8" s="1223"/>
      <c r="I8" s="1224"/>
      <c r="J8" s="1217"/>
      <c r="K8" s="1217"/>
      <c r="L8" s="1217"/>
      <c r="M8" s="254" t="s">
        <v>146</v>
      </c>
      <c r="N8" s="254" t="s">
        <v>997</v>
      </c>
      <c r="O8" s="254" t="s">
        <v>65</v>
      </c>
      <c r="P8" s="254" t="s">
        <v>996</v>
      </c>
      <c r="Q8" s="781" t="s">
        <v>147</v>
      </c>
      <c r="R8" s="781" t="s">
        <v>148</v>
      </c>
      <c r="S8" s="255"/>
      <c r="T8" s="255" t="s">
        <v>239</v>
      </c>
      <c r="U8" s="255" t="s">
        <v>242</v>
      </c>
      <c r="V8" s="781" t="s">
        <v>149</v>
      </c>
      <c r="W8" s="256"/>
      <c r="X8" s="1217"/>
      <c r="Y8" s="1217"/>
      <c r="Z8" s="1217"/>
      <c r="AA8" s="1285"/>
      <c r="AB8" s="1224"/>
      <c r="AC8" s="1285"/>
      <c r="AD8" s="1287"/>
      <c r="AE8" s="1287"/>
      <c r="AF8" s="256"/>
      <c r="AG8" s="257" t="s">
        <v>642</v>
      </c>
      <c r="AH8" s="257" t="s">
        <v>264</v>
      </c>
      <c r="AI8" s="781" t="s">
        <v>147</v>
      </c>
      <c r="AJ8" s="258" t="s">
        <v>265</v>
      </c>
      <c r="AK8" s="781" t="s">
        <v>148</v>
      </c>
      <c r="AL8" s="255" t="s">
        <v>150</v>
      </c>
      <c r="AM8" s="781" t="s">
        <v>150</v>
      </c>
      <c r="AN8" s="1288"/>
      <c r="AO8" s="1431"/>
      <c r="AP8" s="1432"/>
      <c r="AQ8" s="1432"/>
      <c r="AR8" s="1432"/>
      <c r="AS8" s="1432"/>
      <c r="AT8" s="1432"/>
      <c r="AU8" s="1432"/>
      <c r="AV8" s="1432"/>
      <c r="AW8" s="1432"/>
      <c r="AX8" s="1432"/>
      <c r="AY8" s="245"/>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6"/>
      <c r="AMG8" s="236"/>
      <c r="AMH8" s="236"/>
      <c r="AMI8" s="236"/>
      <c r="AMJ8" s="236"/>
      <c r="AMK8" s="236"/>
      <c r="AML8" s="236"/>
      <c r="AMM8" s="236"/>
    </row>
    <row r="9" spans="1:1027" s="260" customFormat="1" ht="165" customHeight="1">
      <c r="A9" s="809" t="s">
        <v>1114</v>
      </c>
      <c r="B9" s="788" t="s">
        <v>2102</v>
      </c>
      <c r="C9" s="1428" t="s">
        <v>3151</v>
      </c>
      <c r="D9" s="1429"/>
      <c r="E9" s="1430"/>
      <c r="F9" s="789" t="s">
        <v>1115</v>
      </c>
      <c r="G9" s="1272" t="s">
        <v>1116</v>
      </c>
      <c r="H9" s="1273"/>
      <c r="I9" s="1274"/>
      <c r="J9" s="1272" t="s">
        <v>1117</v>
      </c>
      <c r="K9" s="1273"/>
      <c r="L9" s="1274"/>
      <c r="M9" s="783"/>
      <c r="N9" s="783">
        <v>4</v>
      </c>
      <c r="O9" s="783"/>
      <c r="P9" s="783" t="s">
        <v>684</v>
      </c>
      <c r="Q9" s="789" t="s">
        <v>654</v>
      </c>
      <c r="R9" s="789" t="s">
        <v>270</v>
      </c>
      <c r="S9" s="805"/>
      <c r="T9" s="806"/>
      <c r="U9" s="806"/>
      <c r="V9" s="814" t="str">
        <f>INDEX([70]Listas!$F$6:$J$10,MATCH(Q9,[70]Listas!$D$6:$D$10,0),MATCH(R9,[70]Listas!$F$4:$J$4,0))</f>
        <v>4
MODERADO</v>
      </c>
      <c r="W9" s="805"/>
      <c r="X9" s="1272" t="s">
        <v>3152</v>
      </c>
      <c r="Y9" s="1273"/>
      <c r="Z9" s="1274"/>
      <c r="AA9" s="1071" t="s">
        <v>4013</v>
      </c>
      <c r="AB9" s="412" t="s">
        <v>1118</v>
      </c>
      <c r="AC9" s="809" t="s">
        <v>425</v>
      </c>
      <c r="AD9" s="783">
        <v>76</v>
      </c>
      <c r="AE9" s="788" t="s">
        <v>152</v>
      </c>
      <c r="AF9" s="805"/>
      <c r="AG9" s="806"/>
      <c r="AH9" s="824">
        <f>IF(OR(AE9="Probabilidad",AE9="Ambos"),T9-AG9,T9)</f>
        <v>0</v>
      </c>
      <c r="AI9" s="822" t="str">
        <f>IF(AH9&lt;=1,"Remota",VLOOKUP(AH9,[70]Listas!$C$6:$D$10,2,0))</f>
        <v>Remota</v>
      </c>
      <c r="AJ9" s="824">
        <f>IF(OR(AE9="Impacto",AE9="Ambos"),U9-AG9,U9)</f>
        <v>0</v>
      </c>
      <c r="AK9" s="822" t="str">
        <f>IF(AJ9&lt;=1,"Insignificante",HLOOKUP(AJ9,[70]Listas!$F$3:$J$4,2,0))</f>
        <v>Insignificante</v>
      </c>
      <c r="AL9" s="823">
        <f>AH9*AJ9</f>
        <v>0</v>
      </c>
      <c r="AM9" s="814" t="str">
        <f>INDEX([70]Listas!$F$6:$J$10,MATCH(AI9,[70]Listas!$D$6:$D$10,0),MATCH(AK9,[70]Listas!$F$4:$J$4,0))</f>
        <v>1
INFERIOR</v>
      </c>
      <c r="AN9" s="259" t="s">
        <v>3153</v>
      </c>
      <c r="AO9" s="259" t="s">
        <v>3154</v>
      </c>
      <c r="AP9" s="794">
        <v>1</v>
      </c>
      <c r="AQ9" s="259" t="s">
        <v>3295</v>
      </c>
      <c r="AR9" s="259" t="s">
        <v>3296</v>
      </c>
      <c r="AS9" s="790" t="s">
        <v>36</v>
      </c>
      <c r="AT9" s="259"/>
      <c r="AU9" s="259"/>
      <c r="AV9" s="261"/>
      <c r="AW9" s="261"/>
      <c r="AX9" s="790"/>
      <c r="AY9" s="262"/>
    </row>
    <row r="10" spans="1:1027" s="260" customFormat="1" ht="285" customHeight="1">
      <c r="A10" s="810" t="s">
        <v>691</v>
      </c>
      <c r="B10" s="812" t="s">
        <v>2104</v>
      </c>
      <c r="C10" s="1424" t="s">
        <v>3297</v>
      </c>
      <c r="D10" s="1425"/>
      <c r="E10" s="1426"/>
      <c r="F10" s="788" t="s">
        <v>1119</v>
      </c>
      <c r="G10" s="1421" t="s">
        <v>3298</v>
      </c>
      <c r="H10" s="1422"/>
      <c r="I10" s="1423"/>
      <c r="J10" s="1427" t="s">
        <v>3299</v>
      </c>
      <c r="K10" s="1427"/>
      <c r="L10" s="1427"/>
      <c r="M10" s="783" t="s">
        <v>8</v>
      </c>
      <c r="N10" s="783">
        <v>1</v>
      </c>
      <c r="O10" s="783"/>
      <c r="P10" s="783" t="s">
        <v>8</v>
      </c>
      <c r="Q10" s="789" t="s">
        <v>64</v>
      </c>
      <c r="R10" s="789" t="s">
        <v>274</v>
      </c>
      <c r="S10" s="324"/>
      <c r="T10" s="821">
        <f>VLOOKUP(Q10,[70]Listas!$D$6:$E$10,2,0)</f>
        <v>3</v>
      </c>
      <c r="U10" s="821">
        <f>HLOOKUP(R10,[70]Listas!$F$4:$J$5,2,0)</f>
        <v>3</v>
      </c>
      <c r="V10" s="814" t="str">
        <f>INDEX([70]Listas!$F$6:$J$10,MATCH(Q10,[70]Listas!$D$6:$D$10,0),MATCH(R10,[70]Listas!$F$4:$J$4,0))</f>
        <v>9
MODERADO</v>
      </c>
      <c r="W10" s="324"/>
      <c r="X10" s="1421" t="s">
        <v>3897</v>
      </c>
      <c r="Y10" s="1422"/>
      <c r="Z10" s="1423"/>
      <c r="AA10" s="1071" t="s">
        <v>4013</v>
      </c>
      <c r="AB10" s="788" t="s">
        <v>1119</v>
      </c>
      <c r="AC10" s="411" t="s">
        <v>3300</v>
      </c>
      <c r="AD10" s="783">
        <v>84</v>
      </c>
      <c r="AE10" s="788" t="s">
        <v>152</v>
      </c>
      <c r="AF10" s="324"/>
      <c r="AG10" s="821">
        <f t="shared" ref="AG10" si="0">IF(AD10&lt;=33,0,IF(AD10&gt;81,2,1))</f>
        <v>2</v>
      </c>
      <c r="AH10" s="821">
        <f t="shared" ref="AH10" si="1">IF(OR(AE10="Probabilidad",AE10="Ambos"),T10-AG10,T10)</f>
        <v>1</v>
      </c>
      <c r="AI10" s="814" t="str">
        <f>IF(AH10&lt;=1,"Remota",VLOOKUP(AH10,[70]Listas!$C$6:$D$10,2,0))</f>
        <v>Remota</v>
      </c>
      <c r="AJ10" s="821">
        <f t="shared" ref="AJ10" si="2">IF(OR(AE10="Impacto",AE10="Ambos"),U10-AG10,U10)</f>
        <v>1</v>
      </c>
      <c r="AK10" s="814" t="str">
        <f>IF(AJ10&lt;=1,"Insignificante",HLOOKUP(AJ10,[70]Listas!$F$3:$J$4,2,0))</f>
        <v>Insignificante</v>
      </c>
      <c r="AL10" s="823">
        <f t="shared" ref="AL10" si="3">AH10*AJ10</f>
        <v>1</v>
      </c>
      <c r="AM10" s="814" t="str">
        <f>INDEX([70]Listas!$F$6:$J$10,MATCH(AI10,[70]Listas!$D$6:$D$10,0),MATCH(AK10,[70]Listas!$F$4:$J$4,0))</f>
        <v>1
INFERIOR</v>
      </c>
      <c r="AN10" s="413" t="s">
        <v>3155</v>
      </c>
      <c r="AO10" s="259" t="s">
        <v>3301</v>
      </c>
      <c r="AP10" s="794" t="s">
        <v>3898</v>
      </c>
      <c r="AQ10" s="259" t="s">
        <v>3899</v>
      </c>
      <c r="AR10" s="259" t="s">
        <v>3900</v>
      </c>
      <c r="AS10" s="790" t="s">
        <v>36</v>
      </c>
      <c r="AT10" s="259"/>
      <c r="AU10" s="259"/>
      <c r="AV10" s="261"/>
      <c r="AW10" s="261"/>
      <c r="AX10" s="790"/>
      <c r="AY10" s="262"/>
    </row>
    <row r="11" spans="1:1027" s="260" customFormat="1" ht="300.75" customHeight="1">
      <c r="A11" s="783" t="s">
        <v>426</v>
      </c>
      <c r="B11" s="786" t="s">
        <v>2105</v>
      </c>
      <c r="C11" s="1317" t="s">
        <v>3302</v>
      </c>
      <c r="D11" s="1318"/>
      <c r="E11" s="1319"/>
      <c r="F11" s="788" t="s">
        <v>1120</v>
      </c>
      <c r="G11" s="1421" t="s">
        <v>3156</v>
      </c>
      <c r="H11" s="1422"/>
      <c r="I11" s="1423"/>
      <c r="J11" s="1421" t="s">
        <v>1121</v>
      </c>
      <c r="K11" s="1422"/>
      <c r="L11" s="1423"/>
      <c r="M11" s="783"/>
      <c r="N11" s="783">
        <v>1</v>
      </c>
      <c r="O11" s="783"/>
      <c r="P11" s="783" t="s">
        <v>8</v>
      </c>
      <c r="Q11" s="789" t="s">
        <v>655</v>
      </c>
      <c r="R11" s="789" t="s">
        <v>274</v>
      </c>
      <c r="S11" s="499"/>
      <c r="T11" s="806"/>
      <c r="U11" s="806"/>
      <c r="V11" s="793" t="str">
        <f>INDEX([70]Listas!$F$6:$J$10,MATCH(Q11,[70]Listas!$D$6:$D$10,0),MATCH(R11,[70]Listas!$F$4:$J$4,0))</f>
        <v>6
MODERADO</v>
      </c>
      <c r="W11" s="499"/>
      <c r="X11" s="1421" t="s">
        <v>3157</v>
      </c>
      <c r="Y11" s="1422"/>
      <c r="Z11" s="1423"/>
      <c r="AA11" s="1071" t="s">
        <v>4013</v>
      </c>
      <c r="AB11" s="788" t="s">
        <v>1122</v>
      </c>
      <c r="AC11" s="411" t="s">
        <v>1123</v>
      </c>
      <c r="AD11" s="783">
        <v>87</v>
      </c>
      <c r="AE11" s="788" t="s">
        <v>153</v>
      </c>
      <c r="AF11" s="499"/>
      <c r="AG11" s="806"/>
      <c r="AH11" s="298">
        <f>IF(OR(AE11="Probabilidad",AE11="Ambos"),T11-AG11,T11)</f>
        <v>0</v>
      </c>
      <c r="AI11" s="792" t="str">
        <f>IF(AH11&lt;=1,"Remota",VLOOKUP(AH11,[70]Listas!$C$6:$D$10,2,0))</f>
        <v>Remota</v>
      </c>
      <c r="AJ11" s="298">
        <f>IF(OR(AE11="Impacto",AE11="Ambos"),U11-AG11,U11)</f>
        <v>0</v>
      </c>
      <c r="AK11" s="792" t="str">
        <f>IF(AJ11&lt;=1,"Insignificante",HLOOKUP(AJ11,[70]Listas!$F$3:$J$4,2,0))</f>
        <v>Insignificante</v>
      </c>
      <c r="AL11" s="801">
        <f>AH11*AJ11</f>
        <v>0</v>
      </c>
      <c r="AM11" s="793" t="str">
        <f>INDEX([70]Listas!$F$6:$J$10,MATCH(AI11,[70]Listas!$D$6:$D$10,0),MATCH(AK11,[70]Listas!$F$4:$J$4,0))</f>
        <v>1
INFERIOR</v>
      </c>
      <c r="AN11" s="259" t="s">
        <v>3303</v>
      </c>
      <c r="AO11" s="259" t="s">
        <v>3304</v>
      </c>
      <c r="AP11" s="794">
        <v>1</v>
      </c>
      <c r="AQ11" s="259" t="s">
        <v>3901</v>
      </c>
      <c r="AR11" s="259" t="s">
        <v>3305</v>
      </c>
      <c r="AS11" s="790" t="s">
        <v>36</v>
      </c>
      <c r="AT11" s="259"/>
      <c r="AU11" s="259"/>
      <c r="AV11" s="261"/>
      <c r="AW11" s="261"/>
      <c r="AX11" s="790"/>
      <c r="AY11" s="262"/>
    </row>
    <row r="12" spans="1:1027" s="260" customFormat="1" ht="104.25" customHeight="1">
      <c r="A12" s="783" t="s">
        <v>157</v>
      </c>
      <c r="B12" s="414" t="s">
        <v>2107</v>
      </c>
      <c r="C12" s="1317" t="s">
        <v>3306</v>
      </c>
      <c r="D12" s="1318"/>
      <c r="E12" s="1319"/>
      <c r="F12" s="788" t="s">
        <v>1124</v>
      </c>
      <c r="G12" s="1421" t="s">
        <v>3158</v>
      </c>
      <c r="H12" s="1422"/>
      <c r="I12" s="1423"/>
      <c r="J12" s="1382" t="s">
        <v>1125</v>
      </c>
      <c r="K12" s="1382"/>
      <c r="L12" s="1382"/>
      <c r="M12" s="783"/>
      <c r="N12" s="783">
        <v>1</v>
      </c>
      <c r="O12" s="783"/>
      <c r="P12" s="783" t="s">
        <v>8</v>
      </c>
      <c r="Q12" s="789" t="s">
        <v>64</v>
      </c>
      <c r="R12" s="789" t="s">
        <v>274</v>
      </c>
      <c r="S12" s="499"/>
      <c r="T12" s="806">
        <f>VLOOKUP(Q12,[70]Listas!$D$6:$E$10,2,0)</f>
        <v>3</v>
      </c>
      <c r="U12" s="806">
        <f>HLOOKUP(R12,[70]Listas!$F$4:$J$5,2,0)</f>
        <v>3</v>
      </c>
      <c r="V12" s="793" t="str">
        <f>INDEX([70]Listas!$F$6:$J$10,MATCH(Q12,[70]Listas!$D$6:$D$10,0),MATCH(R12,[70]Listas!$F$4:$J$4,0))</f>
        <v>9
MODERADO</v>
      </c>
      <c r="W12" s="499"/>
      <c r="X12" s="1421" t="s">
        <v>3159</v>
      </c>
      <c r="Y12" s="1422"/>
      <c r="Z12" s="1423"/>
      <c r="AA12" s="1141" t="s">
        <v>4013</v>
      </c>
      <c r="AB12" s="788" t="s">
        <v>1126</v>
      </c>
      <c r="AC12" s="411" t="s">
        <v>1127</v>
      </c>
      <c r="AD12" s="783">
        <v>87</v>
      </c>
      <c r="AE12" s="788" t="s">
        <v>153</v>
      </c>
      <c r="AF12" s="499"/>
      <c r="AG12" s="806">
        <f t="shared" ref="AG12:AG15" si="4">IF(AD12&lt;=33,0,IF(AD12&gt;81,2,1))</f>
        <v>2</v>
      </c>
      <c r="AH12" s="298">
        <f t="shared" ref="AH12:AH15" si="5">IF(OR(AE12="Probabilidad",AE12="Ambos"),T12-AG12,T12)</f>
        <v>1</v>
      </c>
      <c r="AI12" s="792" t="str">
        <f>IF(AH12&lt;=1,"Remota",VLOOKUP(AH12,[70]Listas!$C$6:$D$10,2,0))</f>
        <v>Remota</v>
      </c>
      <c r="AJ12" s="298">
        <f t="shared" ref="AJ12:AJ15" si="6">IF(OR(AE12="Impacto",AE12="Ambos"),U12-AG12,U12)</f>
        <v>3</v>
      </c>
      <c r="AK12" s="792" t="str">
        <f>IF(AJ12&lt;=1,"Insignificante",HLOOKUP(AJ12,[70]Listas!$F$3:$J$4,2,0))</f>
        <v>Moderado</v>
      </c>
      <c r="AL12" s="801">
        <f t="shared" ref="AL12:AL15" si="7">AH12*AJ12</f>
        <v>3</v>
      </c>
      <c r="AM12" s="793" t="str">
        <f>INDEX([70]Listas!$F$6:$J$10,MATCH(AI12,[70]Listas!$D$6:$D$10,0),MATCH(AK12,[70]Listas!$F$4:$J$4,0))</f>
        <v>3
INFERIOR</v>
      </c>
      <c r="AN12" s="259" t="s">
        <v>3160</v>
      </c>
      <c r="AO12" s="259" t="s">
        <v>3161</v>
      </c>
      <c r="AP12" s="794">
        <v>1</v>
      </c>
      <c r="AQ12" s="259" t="s">
        <v>3902</v>
      </c>
      <c r="AR12" s="259" t="s">
        <v>3296</v>
      </c>
      <c r="AS12" s="790" t="s">
        <v>36</v>
      </c>
      <c r="AT12" s="259"/>
      <c r="AU12" s="259"/>
      <c r="AV12" s="261"/>
      <c r="AW12" s="261"/>
      <c r="AX12" s="790"/>
      <c r="AY12" s="262"/>
    </row>
    <row r="13" spans="1:1027" s="260" customFormat="1" ht="103.5" hidden="1" customHeight="1">
      <c r="A13" s="790"/>
      <c r="B13" s="266"/>
      <c r="C13" s="1399"/>
      <c r="D13" s="1408"/>
      <c r="E13" s="1400"/>
      <c r="F13" s="267"/>
      <c r="G13" s="1399"/>
      <c r="H13" s="1408"/>
      <c r="I13" s="1400"/>
      <c r="J13" s="1380"/>
      <c r="K13" s="1380"/>
      <c r="L13" s="1380"/>
      <c r="M13" s="790"/>
      <c r="N13" s="790"/>
      <c r="O13" s="790"/>
      <c r="P13" s="790"/>
      <c r="Q13" s="266"/>
      <c r="R13" s="266"/>
      <c r="S13" s="268"/>
      <c r="T13" s="269" t="e">
        <f>VLOOKUP(Q13,[71]Listas!$D$6:$E$10,2,0)</f>
        <v>#N/A</v>
      </c>
      <c r="U13" s="269" t="e">
        <f>HLOOKUP(R13,[71]Listas!$F$4:$J$5,2,0)</f>
        <v>#N/A</v>
      </c>
      <c r="V13" s="270" t="e">
        <f>INDEX([71]Listas!$F$6:$J$10,MATCH(Q13,[71]Listas!$D$6:$D$10,0),MATCH(R13,[71]Listas!$F$4:$J$4,0))</f>
        <v>#N/A</v>
      </c>
      <c r="W13" s="268"/>
      <c r="X13" s="1399"/>
      <c r="Y13" s="1408"/>
      <c r="Z13" s="1400"/>
      <c r="AA13" s="1063"/>
      <c r="AB13" s="1140" t="s">
        <v>1126</v>
      </c>
      <c r="AC13" s="259"/>
      <c r="AD13" s="790"/>
      <c r="AE13" s="267"/>
      <c r="AF13" s="268"/>
      <c r="AG13" s="269">
        <f t="shared" si="4"/>
        <v>0</v>
      </c>
      <c r="AH13" s="271" t="e">
        <f t="shared" si="5"/>
        <v>#N/A</v>
      </c>
      <c r="AI13" s="272" t="e">
        <f>IF(AH13&lt;=1,"Remota",VLOOKUP(AH13,[71]Listas!$C$6:$D$10,2,0))</f>
        <v>#N/A</v>
      </c>
      <c r="AJ13" s="271" t="e">
        <f t="shared" si="6"/>
        <v>#N/A</v>
      </c>
      <c r="AK13" s="272" t="e">
        <f>IF(AJ13&lt;=1,"Insignificante",HLOOKUP(AJ13,[71]Listas!$F$3:$J$4,2,0))</f>
        <v>#N/A</v>
      </c>
      <c r="AL13" s="273" t="e">
        <f t="shared" si="7"/>
        <v>#N/A</v>
      </c>
      <c r="AM13" s="270" t="e">
        <f>INDEX([71]Listas!$F$6:$J$10,MATCH(AI13,[71]Listas!$D$6:$D$10,0),MATCH(AK13,[71]Listas!$F$4:$J$4,0))</f>
        <v>#N/A</v>
      </c>
      <c r="AN13" s="259"/>
      <c r="AO13" s="259"/>
      <c r="AP13" s="794"/>
      <c r="AQ13" s="259"/>
      <c r="AR13" s="259" t="s">
        <v>2343</v>
      </c>
      <c r="AS13" s="790"/>
      <c r="AT13" s="259"/>
      <c r="AU13" s="259"/>
      <c r="AV13" s="261"/>
      <c r="AW13" s="261"/>
      <c r="AX13" s="790"/>
      <c r="AY13" s="262"/>
    </row>
    <row r="14" spans="1:1027" s="260" customFormat="1" ht="103.5" hidden="1" customHeight="1">
      <c r="A14" s="790"/>
      <c r="B14" s="266"/>
      <c r="C14" s="1399"/>
      <c r="D14" s="1408"/>
      <c r="E14" s="1400"/>
      <c r="F14" s="267"/>
      <c r="G14" s="1399"/>
      <c r="H14" s="1408"/>
      <c r="I14" s="1400"/>
      <c r="J14" s="1380"/>
      <c r="K14" s="1380"/>
      <c r="L14" s="1380"/>
      <c r="M14" s="790"/>
      <c r="N14" s="790"/>
      <c r="O14" s="790"/>
      <c r="P14" s="790"/>
      <c r="Q14" s="266"/>
      <c r="R14" s="266"/>
      <c r="S14" s="268"/>
      <c r="T14" s="269" t="e">
        <f>VLOOKUP(Q14,[71]Listas!$D$6:$E$10,2,0)</f>
        <v>#N/A</v>
      </c>
      <c r="U14" s="269" t="e">
        <f>HLOOKUP(R14,[71]Listas!$F$4:$J$5,2,0)</f>
        <v>#N/A</v>
      </c>
      <c r="V14" s="270" t="e">
        <f>INDEX([71]Listas!$F$6:$J$10,MATCH(Q14,[71]Listas!$D$6:$D$10,0),MATCH(R14,[71]Listas!$F$4:$J$4,0))</f>
        <v>#N/A</v>
      </c>
      <c r="W14" s="268"/>
      <c r="X14" s="1399"/>
      <c r="Y14" s="1408"/>
      <c r="Z14" s="1400"/>
      <c r="AA14" s="1063"/>
      <c r="AB14" s="1140" t="s">
        <v>1126</v>
      </c>
      <c r="AC14" s="259"/>
      <c r="AD14" s="790"/>
      <c r="AE14" s="267"/>
      <c r="AF14" s="268"/>
      <c r="AG14" s="269">
        <f t="shared" si="4"/>
        <v>0</v>
      </c>
      <c r="AH14" s="271" t="e">
        <f t="shared" si="5"/>
        <v>#N/A</v>
      </c>
      <c r="AI14" s="272" t="e">
        <f>IF(AH14&lt;=1,"Remota",VLOOKUP(AH14,[71]Listas!$C$6:$D$10,2,0))</f>
        <v>#N/A</v>
      </c>
      <c r="AJ14" s="271" t="e">
        <f t="shared" si="6"/>
        <v>#N/A</v>
      </c>
      <c r="AK14" s="272" t="e">
        <f>IF(AJ14&lt;=1,"Insignificante",HLOOKUP(AJ14,[71]Listas!$F$3:$J$4,2,0))</f>
        <v>#N/A</v>
      </c>
      <c r="AL14" s="273" t="e">
        <f t="shared" si="7"/>
        <v>#N/A</v>
      </c>
      <c r="AM14" s="270" t="e">
        <f>INDEX([71]Listas!$F$6:$J$10,MATCH(AI14,[71]Listas!$D$6:$D$10,0),MATCH(AK14,[71]Listas!$F$4:$J$4,0))</f>
        <v>#N/A</v>
      </c>
      <c r="AN14" s="259"/>
      <c r="AO14" s="259"/>
      <c r="AP14" s="794"/>
      <c r="AQ14" s="259"/>
      <c r="AR14" s="259" t="s">
        <v>2343</v>
      </c>
      <c r="AS14" s="790"/>
      <c r="AT14" s="259"/>
      <c r="AU14" s="259"/>
      <c r="AV14" s="261"/>
      <c r="AW14" s="261"/>
      <c r="AX14" s="790"/>
      <c r="AY14" s="262"/>
    </row>
    <row r="15" spans="1:1027" s="260" customFormat="1" ht="103.5" hidden="1" customHeight="1">
      <c r="A15" s="790"/>
      <c r="B15" s="266"/>
      <c r="C15" s="1399"/>
      <c r="D15" s="1408"/>
      <c r="E15" s="1400"/>
      <c r="F15" s="267"/>
      <c r="G15" s="1399"/>
      <c r="H15" s="1408"/>
      <c r="I15" s="1400"/>
      <c r="J15" s="1380"/>
      <c r="K15" s="1380"/>
      <c r="L15" s="1380"/>
      <c r="M15" s="790"/>
      <c r="N15" s="790"/>
      <c r="O15" s="790"/>
      <c r="P15" s="790"/>
      <c r="Q15" s="266"/>
      <c r="R15" s="266"/>
      <c r="S15" s="268"/>
      <c r="T15" s="269" t="e">
        <f>VLOOKUP(Q15,[71]Listas!$D$6:$E$10,2,0)</f>
        <v>#N/A</v>
      </c>
      <c r="U15" s="269" t="e">
        <f>HLOOKUP(R15,[71]Listas!$F$4:$J$5,2,0)</f>
        <v>#N/A</v>
      </c>
      <c r="V15" s="270" t="e">
        <f>INDEX([71]Listas!$F$6:$J$10,MATCH(Q15,[71]Listas!$D$6:$D$10,0),MATCH(R15,[71]Listas!$F$4:$J$4,0))</f>
        <v>#N/A</v>
      </c>
      <c r="W15" s="268"/>
      <c r="X15" s="1399"/>
      <c r="Y15" s="1408"/>
      <c r="Z15" s="1400"/>
      <c r="AA15" s="1063"/>
      <c r="AB15" s="1140" t="s">
        <v>1126</v>
      </c>
      <c r="AC15" s="259"/>
      <c r="AD15" s="790"/>
      <c r="AE15" s="267"/>
      <c r="AF15" s="268"/>
      <c r="AG15" s="269">
        <f t="shared" si="4"/>
        <v>0</v>
      </c>
      <c r="AH15" s="271" t="e">
        <f t="shared" si="5"/>
        <v>#N/A</v>
      </c>
      <c r="AI15" s="272" t="e">
        <f>IF(AH15&lt;=1,"Remota",VLOOKUP(AH15,[71]Listas!$C$6:$D$10,2,0))</f>
        <v>#N/A</v>
      </c>
      <c r="AJ15" s="271" t="e">
        <f t="shared" si="6"/>
        <v>#N/A</v>
      </c>
      <c r="AK15" s="272" t="e">
        <f>IF(AJ15&lt;=1,"Insignificante",HLOOKUP(AJ15,[71]Listas!$F$3:$J$4,2,0))</f>
        <v>#N/A</v>
      </c>
      <c r="AL15" s="273" t="e">
        <f t="shared" si="7"/>
        <v>#N/A</v>
      </c>
      <c r="AM15" s="270" t="e">
        <f>INDEX([71]Listas!$F$6:$J$10,MATCH(AI15,[71]Listas!$D$6:$D$10,0),MATCH(AK15,[71]Listas!$F$4:$J$4,0))</f>
        <v>#N/A</v>
      </c>
      <c r="AN15" s="259"/>
      <c r="AO15" s="259"/>
      <c r="AP15" s="794"/>
      <c r="AQ15" s="259"/>
      <c r="AR15" s="259" t="s">
        <v>2343</v>
      </c>
      <c r="AS15" s="790"/>
      <c r="AT15" s="259"/>
      <c r="AU15" s="259"/>
      <c r="AV15" s="261"/>
      <c r="AW15" s="261"/>
      <c r="AX15" s="790"/>
      <c r="AY15" s="262"/>
    </row>
    <row r="16" spans="1:1027" s="260" customFormat="1" ht="103.5" hidden="1" customHeight="1">
      <c r="A16" s="790"/>
      <c r="B16" s="266"/>
      <c r="C16" s="1399"/>
      <c r="D16" s="1408"/>
      <c r="E16" s="1400"/>
      <c r="F16" s="266"/>
      <c r="G16" s="1399"/>
      <c r="H16" s="1408"/>
      <c r="I16" s="1400"/>
      <c r="J16" s="1380"/>
      <c r="K16" s="1380"/>
      <c r="L16" s="1380"/>
      <c r="M16" s="790"/>
      <c r="N16" s="790"/>
      <c r="O16" s="790"/>
      <c r="P16" s="790"/>
      <c r="Q16" s="266"/>
      <c r="R16" s="266"/>
      <c r="S16" s="268"/>
      <c r="T16" s="269" t="e">
        <f>VLOOKUP(Q16,[71]Listas!$D$6:$E$10,2,0)</f>
        <v>#N/A</v>
      </c>
      <c r="U16" s="269" t="e">
        <f>HLOOKUP(R16,[71]Listas!$F$4:$J$5,2,0)</f>
        <v>#N/A</v>
      </c>
      <c r="V16" s="270" t="e">
        <f>INDEX([71]Listas!$F$6:$J$10,MATCH(Q16,[71]Listas!$D$6:$D$10,0),MATCH(R16,[71]Listas!$F$4:$J$4,0))</f>
        <v>#N/A</v>
      </c>
      <c r="W16" s="268"/>
      <c r="X16" s="1399"/>
      <c r="Y16" s="1408"/>
      <c r="Z16" s="1400"/>
      <c r="AA16" s="1063"/>
      <c r="AB16" s="1140" t="s">
        <v>1126</v>
      </c>
      <c r="AC16" s="259"/>
      <c r="AD16" s="790"/>
      <c r="AE16" s="267"/>
      <c r="AF16" s="268"/>
      <c r="AG16" s="269">
        <f>IF(AD16&lt;=33,0,IF(AD16&gt;81,2,1))</f>
        <v>0</v>
      </c>
      <c r="AH16" s="271" t="e">
        <f>IF(OR(AE16="Probabilidad",AE16="Ambos"),T16-AG16,T16)</f>
        <v>#N/A</v>
      </c>
      <c r="AI16" s="272" t="e">
        <f>IF(AH16&lt;=1,"Remota",VLOOKUP(AH16,[71]Listas!$C$6:$D$10,2,0))</f>
        <v>#N/A</v>
      </c>
      <c r="AJ16" s="271" t="e">
        <f>IF(OR(AE16="Impacto",AE16="Ambos"),U16-AG16,U16)</f>
        <v>#N/A</v>
      </c>
      <c r="AK16" s="272" t="e">
        <f>IF(AJ16&lt;=1,"Insignificante",HLOOKUP(AJ16,[71]Listas!$F$3:$J$4,2,0))</f>
        <v>#N/A</v>
      </c>
      <c r="AL16" s="273" t="e">
        <f>AH16*AJ16</f>
        <v>#N/A</v>
      </c>
      <c r="AM16" s="270" t="e">
        <f>INDEX([71]Listas!$F$6:$J$10,MATCH(AI16,[71]Listas!$D$6:$D$10,0),MATCH(AK16,[71]Listas!$F$4:$J$4,0))</f>
        <v>#N/A</v>
      </c>
      <c r="AN16" s="259"/>
      <c r="AO16" s="259"/>
      <c r="AP16" s="794"/>
      <c r="AQ16" s="259"/>
      <c r="AR16" s="259" t="s">
        <v>2343</v>
      </c>
      <c r="AS16" s="790"/>
      <c r="AU16" s="259"/>
      <c r="AV16" s="261"/>
      <c r="AW16" s="261"/>
      <c r="AX16" s="790"/>
      <c r="AY16" s="262"/>
    </row>
    <row r="17" spans="1:51" s="260" customFormat="1" ht="103.5" hidden="1" customHeight="1">
      <c r="A17" s="790"/>
      <c r="B17" s="266"/>
      <c r="C17" s="1399"/>
      <c r="D17" s="1408"/>
      <c r="E17" s="1400"/>
      <c r="F17" s="267"/>
      <c r="G17" s="1399"/>
      <c r="H17" s="1408"/>
      <c r="I17" s="1400"/>
      <c r="J17" s="1380"/>
      <c r="K17" s="1380"/>
      <c r="L17" s="1380"/>
      <c r="M17" s="790"/>
      <c r="N17" s="790"/>
      <c r="O17" s="790"/>
      <c r="P17" s="790"/>
      <c r="Q17" s="266"/>
      <c r="R17" s="266"/>
      <c r="S17" s="268"/>
      <c r="T17" s="269" t="e">
        <f>VLOOKUP(Q17,[71]Listas!$D$6:$E$10,2,0)</f>
        <v>#N/A</v>
      </c>
      <c r="U17" s="269" t="e">
        <f>HLOOKUP(R17,[71]Listas!$F$4:$J$5,2,0)</f>
        <v>#N/A</v>
      </c>
      <c r="V17" s="270" t="e">
        <f>INDEX([71]Listas!$F$6:$J$10,MATCH(Q17,[71]Listas!$D$6:$D$10,0),MATCH(R17,[71]Listas!$F$4:$J$4,0))</f>
        <v>#N/A</v>
      </c>
      <c r="W17" s="268"/>
      <c r="X17" s="1399"/>
      <c r="Y17" s="1408"/>
      <c r="Z17" s="1400"/>
      <c r="AA17" s="1063"/>
      <c r="AB17" s="1140" t="s">
        <v>1126</v>
      </c>
      <c r="AC17" s="259"/>
      <c r="AD17" s="790"/>
      <c r="AE17" s="267"/>
      <c r="AF17" s="268"/>
      <c r="AG17" s="269">
        <f t="shared" ref="AG17:AG37" si="8">IF(AD17&lt;=33,0,IF(AD17&gt;81,2,1))</f>
        <v>0</v>
      </c>
      <c r="AH17" s="271" t="e">
        <f t="shared" ref="AH17:AH37" si="9">IF(OR(AE17="Probabilidad",AE17="Ambos"),T17-AG17,T17)</f>
        <v>#N/A</v>
      </c>
      <c r="AI17" s="272" t="e">
        <f>IF(AH17&lt;=1,"Remota",VLOOKUP(AH17,[71]Listas!$C$6:$D$10,2,0))</f>
        <v>#N/A</v>
      </c>
      <c r="AJ17" s="271" t="e">
        <f t="shared" ref="AJ17:AJ37" si="10">IF(OR(AE17="Impacto",AE17="Ambos"),U17-AG17,U17)</f>
        <v>#N/A</v>
      </c>
      <c r="AK17" s="272" t="e">
        <f>IF(AJ17&lt;=1,"Insignificante",HLOOKUP(AJ17,[71]Listas!$F$3:$J$4,2,0))</f>
        <v>#N/A</v>
      </c>
      <c r="AL17" s="273" t="e">
        <f t="shared" ref="AL17:AL37" si="11">AH17*AJ17</f>
        <v>#N/A</v>
      </c>
      <c r="AM17" s="270" t="e">
        <f>INDEX([71]Listas!$F$6:$J$10,MATCH(AI17,[71]Listas!$D$6:$D$10,0),MATCH(AK17,[71]Listas!$F$4:$J$4,0))</f>
        <v>#N/A</v>
      </c>
      <c r="AN17" s="259"/>
      <c r="AO17" s="259"/>
      <c r="AP17" s="794"/>
      <c r="AQ17" s="259"/>
      <c r="AR17" s="259" t="s">
        <v>2343</v>
      </c>
      <c r="AS17" s="790"/>
      <c r="AT17" s="259"/>
      <c r="AU17" s="259"/>
      <c r="AV17" s="261"/>
      <c r="AW17" s="261"/>
      <c r="AX17" s="790"/>
      <c r="AY17" s="262"/>
    </row>
    <row r="18" spans="1:51" s="260" customFormat="1" ht="103.5" hidden="1" customHeight="1">
      <c r="A18" s="790"/>
      <c r="B18" s="266"/>
      <c r="C18" s="1399"/>
      <c r="D18" s="1408"/>
      <c r="E18" s="1400"/>
      <c r="F18" s="267"/>
      <c r="G18" s="1399"/>
      <c r="H18" s="1408"/>
      <c r="I18" s="1400"/>
      <c r="J18" s="1380"/>
      <c r="K18" s="1380"/>
      <c r="L18" s="1380"/>
      <c r="M18" s="790"/>
      <c r="N18" s="790"/>
      <c r="O18" s="790"/>
      <c r="P18" s="790"/>
      <c r="Q18" s="266"/>
      <c r="R18" s="266"/>
      <c r="S18" s="268"/>
      <c r="T18" s="269" t="e">
        <f>VLOOKUP(Q18,[71]Listas!$D$6:$E$10,2,0)</f>
        <v>#N/A</v>
      </c>
      <c r="U18" s="269" t="e">
        <f>HLOOKUP(R18,[71]Listas!$F$4:$J$5,2,0)</f>
        <v>#N/A</v>
      </c>
      <c r="V18" s="270" t="e">
        <f>INDEX([71]Listas!$F$6:$J$10,MATCH(Q18,[71]Listas!$D$6:$D$10,0),MATCH(R18,[71]Listas!$F$4:$J$4,0))</f>
        <v>#N/A</v>
      </c>
      <c r="W18" s="268"/>
      <c r="X18" s="1399"/>
      <c r="Y18" s="1408"/>
      <c r="Z18" s="1400"/>
      <c r="AA18" s="1063"/>
      <c r="AB18" s="1140" t="s">
        <v>1126</v>
      </c>
      <c r="AC18" s="259"/>
      <c r="AD18" s="790"/>
      <c r="AE18" s="267"/>
      <c r="AF18" s="268"/>
      <c r="AG18" s="269">
        <f t="shared" si="8"/>
        <v>0</v>
      </c>
      <c r="AH18" s="271" t="e">
        <f t="shared" si="9"/>
        <v>#N/A</v>
      </c>
      <c r="AI18" s="272" t="e">
        <f>IF(AH18&lt;=1,"Remota",VLOOKUP(AH18,[71]Listas!$C$6:$D$10,2,0))</f>
        <v>#N/A</v>
      </c>
      <c r="AJ18" s="271" t="e">
        <f t="shared" si="10"/>
        <v>#N/A</v>
      </c>
      <c r="AK18" s="272" t="e">
        <f>IF(AJ18&lt;=1,"Insignificante",HLOOKUP(AJ18,[71]Listas!$F$3:$J$4,2,0))</f>
        <v>#N/A</v>
      </c>
      <c r="AL18" s="273" t="e">
        <f t="shared" si="11"/>
        <v>#N/A</v>
      </c>
      <c r="AM18" s="270" t="e">
        <f>INDEX([71]Listas!$F$6:$J$10,MATCH(AI18,[71]Listas!$D$6:$D$10,0),MATCH(AK18,[71]Listas!$F$4:$J$4,0))</f>
        <v>#N/A</v>
      </c>
      <c r="AN18" s="259"/>
      <c r="AO18" s="259"/>
      <c r="AP18" s="794"/>
      <c r="AQ18" s="259"/>
      <c r="AR18" s="259" t="s">
        <v>2343</v>
      </c>
      <c r="AS18" s="790"/>
      <c r="AT18" s="259"/>
      <c r="AU18" s="259"/>
      <c r="AV18" s="261"/>
      <c r="AW18" s="261"/>
      <c r="AX18" s="790"/>
      <c r="AY18" s="262"/>
    </row>
    <row r="19" spans="1:51" s="260" customFormat="1" ht="103.5" hidden="1" customHeight="1">
      <c r="A19" s="790"/>
      <c r="B19" s="266"/>
      <c r="C19" s="1399"/>
      <c r="D19" s="1408"/>
      <c r="E19" s="1400"/>
      <c r="F19" s="267"/>
      <c r="G19" s="1399"/>
      <c r="H19" s="1408"/>
      <c r="I19" s="1400"/>
      <c r="J19" s="1380"/>
      <c r="K19" s="1380"/>
      <c r="L19" s="1380"/>
      <c r="M19" s="790"/>
      <c r="N19" s="790"/>
      <c r="O19" s="790"/>
      <c r="P19" s="790"/>
      <c r="Q19" s="266"/>
      <c r="R19" s="266"/>
      <c r="S19" s="268"/>
      <c r="T19" s="269" t="e">
        <f>VLOOKUP(Q19,[71]Listas!$D$6:$E$10,2,0)</f>
        <v>#N/A</v>
      </c>
      <c r="U19" s="269" t="e">
        <f>HLOOKUP(R19,[71]Listas!$F$4:$J$5,2,0)</f>
        <v>#N/A</v>
      </c>
      <c r="V19" s="270" t="e">
        <f>INDEX([71]Listas!$F$6:$J$10,MATCH(Q19,[71]Listas!$D$6:$D$10,0),MATCH(R19,[71]Listas!$F$4:$J$4,0))</f>
        <v>#N/A</v>
      </c>
      <c r="W19" s="268"/>
      <c r="X19" s="1399"/>
      <c r="Y19" s="1408"/>
      <c r="Z19" s="1400"/>
      <c r="AA19" s="1063"/>
      <c r="AB19" s="1140" t="s">
        <v>1126</v>
      </c>
      <c r="AC19" s="259"/>
      <c r="AD19" s="790"/>
      <c r="AE19" s="267"/>
      <c r="AF19" s="268"/>
      <c r="AG19" s="269">
        <f t="shared" si="8"/>
        <v>0</v>
      </c>
      <c r="AH19" s="271" t="e">
        <f t="shared" si="9"/>
        <v>#N/A</v>
      </c>
      <c r="AI19" s="272" t="e">
        <f>IF(AH19&lt;=1,"Remota",VLOOKUP(AH19,[71]Listas!$C$6:$D$10,2,0))</f>
        <v>#N/A</v>
      </c>
      <c r="AJ19" s="271" t="e">
        <f t="shared" si="10"/>
        <v>#N/A</v>
      </c>
      <c r="AK19" s="272" t="e">
        <f>IF(AJ19&lt;=1,"Insignificante",HLOOKUP(AJ19,[71]Listas!$F$3:$J$4,2,0))</f>
        <v>#N/A</v>
      </c>
      <c r="AL19" s="273" t="e">
        <f t="shared" si="11"/>
        <v>#N/A</v>
      </c>
      <c r="AM19" s="270" t="e">
        <f>INDEX([71]Listas!$F$6:$J$10,MATCH(AI19,[71]Listas!$D$6:$D$10,0),MATCH(AK19,[71]Listas!$F$4:$J$4,0))</f>
        <v>#N/A</v>
      </c>
      <c r="AN19" s="259"/>
      <c r="AO19" s="259"/>
      <c r="AP19" s="794"/>
      <c r="AQ19" s="259"/>
      <c r="AR19" s="259" t="s">
        <v>2343</v>
      </c>
      <c r="AS19" s="790"/>
      <c r="AT19" s="259"/>
      <c r="AU19" s="259"/>
      <c r="AV19" s="261"/>
      <c r="AW19" s="261"/>
      <c r="AX19" s="790"/>
      <c r="AY19" s="262"/>
    </row>
    <row r="20" spans="1:51" s="260" customFormat="1" ht="103.5" hidden="1" customHeight="1">
      <c r="A20" s="790"/>
      <c r="B20" s="266"/>
      <c r="C20" s="1399"/>
      <c r="D20" s="1408"/>
      <c r="E20" s="1400"/>
      <c r="F20" s="267"/>
      <c r="G20" s="1399"/>
      <c r="H20" s="1408"/>
      <c r="I20" s="1400"/>
      <c r="J20" s="1380"/>
      <c r="K20" s="1380"/>
      <c r="L20" s="1380"/>
      <c r="M20" s="790"/>
      <c r="N20" s="790"/>
      <c r="O20" s="790"/>
      <c r="P20" s="790"/>
      <c r="Q20" s="266"/>
      <c r="R20" s="266"/>
      <c r="S20" s="268"/>
      <c r="T20" s="269" t="e">
        <f>VLOOKUP(Q20,[71]Listas!$D$6:$E$10,2,0)</f>
        <v>#N/A</v>
      </c>
      <c r="U20" s="269" t="e">
        <f>HLOOKUP(R20,[71]Listas!$F$4:$J$5,2,0)</f>
        <v>#N/A</v>
      </c>
      <c r="V20" s="270" t="e">
        <f>INDEX([71]Listas!$F$6:$J$10,MATCH(Q20,[71]Listas!$D$6:$D$10,0),MATCH(R20,[71]Listas!$F$4:$J$4,0))</f>
        <v>#N/A</v>
      </c>
      <c r="W20" s="268"/>
      <c r="X20" s="1399"/>
      <c r="Y20" s="1408"/>
      <c r="Z20" s="1400"/>
      <c r="AA20" s="1063"/>
      <c r="AB20" s="1140" t="s">
        <v>1126</v>
      </c>
      <c r="AC20" s="259"/>
      <c r="AD20" s="790"/>
      <c r="AE20" s="267"/>
      <c r="AF20" s="268"/>
      <c r="AG20" s="269">
        <f t="shared" si="8"/>
        <v>0</v>
      </c>
      <c r="AH20" s="271" t="e">
        <f t="shared" si="9"/>
        <v>#N/A</v>
      </c>
      <c r="AI20" s="272" t="e">
        <f>IF(AH20&lt;=1,"Remota",VLOOKUP(AH20,[71]Listas!$C$6:$D$10,2,0))</f>
        <v>#N/A</v>
      </c>
      <c r="AJ20" s="271" t="e">
        <f t="shared" si="10"/>
        <v>#N/A</v>
      </c>
      <c r="AK20" s="272" t="e">
        <f>IF(AJ20&lt;=1,"Insignificante",HLOOKUP(AJ20,[71]Listas!$F$3:$J$4,2,0))</f>
        <v>#N/A</v>
      </c>
      <c r="AL20" s="273" t="e">
        <f t="shared" si="11"/>
        <v>#N/A</v>
      </c>
      <c r="AM20" s="270" t="e">
        <f>INDEX([71]Listas!$F$6:$J$10,MATCH(AI20,[71]Listas!$D$6:$D$10,0),MATCH(AK20,[71]Listas!$F$4:$J$4,0))</f>
        <v>#N/A</v>
      </c>
      <c r="AN20" s="259"/>
      <c r="AO20" s="259"/>
      <c r="AP20" s="794"/>
      <c r="AQ20" s="259"/>
      <c r="AR20" s="259" t="s">
        <v>2343</v>
      </c>
      <c r="AS20" s="790"/>
      <c r="AT20" s="259"/>
      <c r="AU20" s="259"/>
      <c r="AV20" s="261"/>
      <c r="AW20" s="261"/>
      <c r="AX20" s="790"/>
      <c r="AY20" s="262"/>
    </row>
    <row r="21" spans="1:51" s="260" customFormat="1" ht="103.5" hidden="1" customHeight="1">
      <c r="A21" s="790"/>
      <c r="B21" s="266"/>
      <c r="C21" s="1399"/>
      <c r="D21" s="1408"/>
      <c r="E21" s="1400"/>
      <c r="F21" s="267"/>
      <c r="G21" s="1399"/>
      <c r="H21" s="1408"/>
      <c r="I21" s="1400"/>
      <c r="J21" s="1380"/>
      <c r="K21" s="1380"/>
      <c r="L21" s="1380"/>
      <c r="M21" s="790"/>
      <c r="N21" s="790"/>
      <c r="O21" s="790"/>
      <c r="P21" s="790"/>
      <c r="Q21" s="266"/>
      <c r="R21" s="266"/>
      <c r="S21" s="268"/>
      <c r="T21" s="269" t="e">
        <f>VLOOKUP(Q21,[71]Listas!$D$6:$E$10,2,0)</f>
        <v>#N/A</v>
      </c>
      <c r="U21" s="269" t="e">
        <f>HLOOKUP(R21,[71]Listas!$F$4:$J$5,2,0)</f>
        <v>#N/A</v>
      </c>
      <c r="V21" s="270" t="e">
        <f>INDEX([71]Listas!$F$6:$J$10,MATCH(Q21,[71]Listas!$D$6:$D$10,0),MATCH(R21,[71]Listas!$F$4:$J$4,0))</f>
        <v>#N/A</v>
      </c>
      <c r="W21" s="268"/>
      <c r="X21" s="1399"/>
      <c r="Y21" s="1408"/>
      <c r="Z21" s="1400"/>
      <c r="AA21" s="1063"/>
      <c r="AB21" s="1140" t="s">
        <v>1126</v>
      </c>
      <c r="AC21" s="259"/>
      <c r="AD21" s="790"/>
      <c r="AE21" s="267"/>
      <c r="AF21" s="268"/>
      <c r="AG21" s="269">
        <f t="shared" si="8"/>
        <v>0</v>
      </c>
      <c r="AH21" s="271" t="e">
        <f t="shared" si="9"/>
        <v>#N/A</v>
      </c>
      <c r="AI21" s="272" t="e">
        <f>IF(AH21&lt;=1,"Remota",VLOOKUP(AH21,[71]Listas!$C$6:$D$10,2,0))</f>
        <v>#N/A</v>
      </c>
      <c r="AJ21" s="271" t="e">
        <f t="shared" si="10"/>
        <v>#N/A</v>
      </c>
      <c r="AK21" s="272" t="e">
        <f>IF(AJ21&lt;=1,"Insignificante",HLOOKUP(AJ21,[71]Listas!$F$3:$J$4,2,0))</f>
        <v>#N/A</v>
      </c>
      <c r="AL21" s="273" t="e">
        <f t="shared" si="11"/>
        <v>#N/A</v>
      </c>
      <c r="AM21" s="270" t="e">
        <f>INDEX([71]Listas!$F$6:$J$10,MATCH(AI21,[71]Listas!$D$6:$D$10,0),MATCH(AK21,[71]Listas!$F$4:$J$4,0))</f>
        <v>#N/A</v>
      </c>
      <c r="AN21" s="259"/>
      <c r="AO21" s="259"/>
      <c r="AP21" s="794"/>
      <c r="AQ21" s="259"/>
      <c r="AR21" s="259" t="s">
        <v>2343</v>
      </c>
      <c r="AS21" s="790"/>
      <c r="AT21" s="259"/>
      <c r="AU21" s="259"/>
      <c r="AV21" s="261"/>
      <c r="AW21" s="261"/>
      <c r="AX21" s="790"/>
      <c r="AY21" s="262"/>
    </row>
    <row r="22" spans="1:51" s="260" customFormat="1" ht="103.5" hidden="1" customHeight="1">
      <c r="A22" s="790"/>
      <c r="B22" s="266"/>
      <c r="C22" s="1399"/>
      <c r="D22" s="1408"/>
      <c r="E22" s="1400"/>
      <c r="F22" s="267"/>
      <c r="G22" s="1399"/>
      <c r="H22" s="1408"/>
      <c r="I22" s="1400"/>
      <c r="J22" s="1380"/>
      <c r="K22" s="1380"/>
      <c r="L22" s="1380"/>
      <c r="M22" s="790"/>
      <c r="N22" s="790"/>
      <c r="O22" s="790"/>
      <c r="P22" s="790"/>
      <c r="Q22" s="266"/>
      <c r="R22" s="266"/>
      <c r="S22" s="268"/>
      <c r="T22" s="269" t="e">
        <f>VLOOKUP(Q22,[71]Listas!$D$6:$E$10,2,0)</f>
        <v>#N/A</v>
      </c>
      <c r="U22" s="269" t="e">
        <f>HLOOKUP(R22,[71]Listas!$F$4:$J$5,2,0)</f>
        <v>#N/A</v>
      </c>
      <c r="V22" s="270" t="e">
        <f>INDEX([71]Listas!$F$6:$J$10,MATCH(Q22,[71]Listas!$D$6:$D$10,0),MATCH(R22,[71]Listas!$F$4:$J$4,0))</f>
        <v>#N/A</v>
      </c>
      <c r="W22" s="268"/>
      <c r="X22" s="1399"/>
      <c r="Y22" s="1408"/>
      <c r="Z22" s="1400"/>
      <c r="AA22" s="1063"/>
      <c r="AB22" s="1140" t="s">
        <v>1126</v>
      </c>
      <c r="AC22" s="259"/>
      <c r="AD22" s="790"/>
      <c r="AE22" s="267"/>
      <c r="AF22" s="268"/>
      <c r="AG22" s="269">
        <f t="shared" si="8"/>
        <v>0</v>
      </c>
      <c r="AH22" s="271" t="e">
        <f t="shared" si="9"/>
        <v>#N/A</v>
      </c>
      <c r="AI22" s="272" t="e">
        <f>IF(AH22&lt;=1,"Remota",VLOOKUP(AH22,[71]Listas!$C$6:$D$10,2,0))</f>
        <v>#N/A</v>
      </c>
      <c r="AJ22" s="271" t="e">
        <f t="shared" si="10"/>
        <v>#N/A</v>
      </c>
      <c r="AK22" s="272" t="e">
        <f>IF(AJ22&lt;=1,"Insignificante",HLOOKUP(AJ22,[71]Listas!$F$3:$J$4,2,0))</f>
        <v>#N/A</v>
      </c>
      <c r="AL22" s="273" t="e">
        <f t="shared" si="11"/>
        <v>#N/A</v>
      </c>
      <c r="AM22" s="270" t="e">
        <f>INDEX([71]Listas!$F$6:$J$10,MATCH(AI22,[71]Listas!$D$6:$D$10,0),MATCH(AK22,[71]Listas!$F$4:$J$4,0))</f>
        <v>#N/A</v>
      </c>
      <c r="AN22" s="259"/>
      <c r="AO22" s="259"/>
      <c r="AP22" s="794"/>
      <c r="AQ22" s="259"/>
      <c r="AR22" s="259" t="s">
        <v>2343</v>
      </c>
      <c r="AS22" s="790"/>
      <c r="AT22" s="259"/>
      <c r="AU22" s="259"/>
      <c r="AV22" s="261"/>
      <c r="AW22" s="261"/>
      <c r="AX22" s="790"/>
      <c r="AY22" s="262"/>
    </row>
    <row r="23" spans="1:51" s="260" customFormat="1" ht="103.5" hidden="1" customHeight="1">
      <c r="A23" s="790"/>
      <c r="B23" s="266"/>
      <c r="C23" s="1399"/>
      <c r="D23" s="1408"/>
      <c r="E23" s="1400"/>
      <c r="F23" s="267"/>
      <c r="G23" s="1399"/>
      <c r="H23" s="1408"/>
      <c r="I23" s="1400"/>
      <c r="J23" s="1380"/>
      <c r="K23" s="1380"/>
      <c r="L23" s="1380"/>
      <c r="M23" s="790"/>
      <c r="N23" s="790"/>
      <c r="O23" s="790"/>
      <c r="P23" s="790"/>
      <c r="Q23" s="266"/>
      <c r="R23" s="266"/>
      <c r="S23" s="268"/>
      <c r="T23" s="269" t="e">
        <f>VLOOKUP(Q23,[71]Listas!$D$6:$E$10,2,0)</f>
        <v>#N/A</v>
      </c>
      <c r="U23" s="269" t="e">
        <f>HLOOKUP(R23,[71]Listas!$F$4:$J$5,2,0)</f>
        <v>#N/A</v>
      </c>
      <c r="V23" s="270" t="e">
        <f>INDEX([71]Listas!$F$6:$J$10,MATCH(Q23,[71]Listas!$D$6:$D$10,0),MATCH(R23,[71]Listas!$F$4:$J$4,0))</f>
        <v>#N/A</v>
      </c>
      <c r="W23" s="268"/>
      <c r="X23" s="1399"/>
      <c r="Y23" s="1408"/>
      <c r="Z23" s="1400"/>
      <c r="AA23" s="1063"/>
      <c r="AB23" s="1140" t="s">
        <v>1126</v>
      </c>
      <c r="AC23" s="259"/>
      <c r="AD23" s="790"/>
      <c r="AE23" s="267"/>
      <c r="AF23" s="268"/>
      <c r="AG23" s="269">
        <f t="shared" si="8"/>
        <v>0</v>
      </c>
      <c r="AH23" s="271" t="e">
        <f t="shared" si="9"/>
        <v>#N/A</v>
      </c>
      <c r="AI23" s="272" t="e">
        <f>IF(AH23&lt;=1,"Remota",VLOOKUP(AH23,[71]Listas!$C$6:$D$10,2,0))</f>
        <v>#N/A</v>
      </c>
      <c r="AJ23" s="271" t="e">
        <f t="shared" si="10"/>
        <v>#N/A</v>
      </c>
      <c r="AK23" s="272" t="e">
        <f>IF(AJ23&lt;=1,"Insignificante",HLOOKUP(AJ23,[71]Listas!$F$3:$J$4,2,0))</f>
        <v>#N/A</v>
      </c>
      <c r="AL23" s="273" t="e">
        <f t="shared" si="11"/>
        <v>#N/A</v>
      </c>
      <c r="AM23" s="270" t="e">
        <f>INDEX([71]Listas!$F$6:$J$10,MATCH(AI23,[71]Listas!$D$6:$D$10,0),MATCH(AK23,[71]Listas!$F$4:$J$4,0))</f>
        <v>#N/A</v>
      </c>
      <c r="AN23" s="259"/>
      <c r="AO23" s="259"/>
      <c r="AP23" s="794"/>
      <c r="AQ23" s="259"/>
      <c r="AR23" s="259" t="s">
        <v>2343</v>
      </c>
      <c r="AS23" s="790"/>
      <c r="AT23" s="259"/>
      <c r="AU23" s="259"/>
      <c r="AV23" s="261"/>
      <c r="AW23" s="261"/>
      <c r="AX23" s="790"/>
      <c r="AY23" s="262"/>
    </row>
    <row r="24" spans="1:51" s="260" customFormat="1" ht="103.5" hidden="1" customHeight="1">
      <c r="A24" s="790"/>
      <c r="B24" s="266"/>
      <c r="C24" s="1399"/>
      <c r="D24" s="1408"/>
      <c r="E24" s="1400"/>
      <c r="F24" s="267"/>
      <c r="G24" s="1399"/>
      <c r="H24" s="1408"/>
      <c r="I24" s="1400"/>
      <c r="J24" s="1380"/>
      <c r="K24" s="1380"/>
      <c r="L24" s="1380"/>
      <c r="M24" s="790"/>
      <c r="N24" s="790"/>
      <c r="O24" s="790"/>
      <c r="P24" s="790"/>
      <c r="Q24" s="266"/>
      <c r="R24" s="266"/>
      <c r="S24" s="268"/>
      <c r="T24" s="269" t="e">
        <f>VLOOKUP(Q24,[71]Listas!$D$6:$E$10,2,0)</f>
        <v>#N/A</v>
      </c>
      <c r="U24" s="269" t="e">
        <f>HLOOKUP(R24,[71]Listas!$F$4:$J$5,2,0)</f>
        <v>#N/A</v>
      </c>
      <c r="V24" s="270" t="e">
        <f>INDEX([71]Listas!$F$6:$J$10,MATCH(Q24,[71]Listas!$D$6:$D$10,0),MATCH(R24,[71]Listas!$F$4:$J$4,0))</f>
        <v>#N/A</v>
      </c>
      <c r="W24" s="268"/>
      <c r="X24" s="1399"/>
      <c r="Y24" s="1408"/>
      <c r="Z24" s="1400"/>
      <c r="AA24" s="1063"/>
      <c r="AB24" s="1140" t="s">
        <v>1126</v>
      </c>
      <c r="AC24" s="259"/>
      <c r="AD24" s="790"/>
      <c r="AE24" s="267"/>
      <c r="AF24" s="268"/>
      <c r="AG24" s="269">
        <f t="shared" si="8"/>
        <v>0</v>
      </c>
      <c r="AH24" s="271" t="e">
        <f t="shared" si="9"/>
        <v>#N/A</v>
      </c>
      <c r="AI24" s="272" t="e">
        <f>IF(AH24&lt;=1,"Remota",VLOOKUP(AH24,[71]Listas!$C$6:$D$10,2,0))</f>
        <v>#N/A</v>
      </c>
      <c r="AJ24" s="271" t="e">
        <f t="shared" si="10"/>
        <v>#N/A</v>
      </c>
      <c r="AK24" s="272" t="e">
        <f>IF(AJ24&lt;=1,"Insignificante",HLOOKUP(AJ24,[71]Listas!$F$3:$J$4,2,0))</f>
        <v>#N/A</v>
      </c>
      <c r="AL24" s="273" t="e">
        <f t="shared" si="11"/>
        <v>#N/A</v>
      </c>
      <c r="AM24" s="270" t="e">
        <f>INDEX([71]Listas!$F$6:$J$10,MATCH(AI24,[71]Listas!$D$6:$D$10,0),MATCH(AK24,[71]Listas!$F$4:$J$4,0))</f>
        <v>#N/A</v>
      </c>
      <c r="AN24" s="259"/>
      <c r="AO24" s="259"/>
      <c r="AP24" s="794"/>
      <c r="AQ24" s="259"/>
      <c r="AR24" s="259" t="s">
        <v>2343</v>
      </c>
      <c r="AS24" s="790"/>
      <c r="AT24" s="259"/>
      <c r="AU24" s="259"/>
      <c r="AV24" s="261"/>
      <c r="AW24" s="261"/>
      <c r="AX24" s="790"/>
      <c r="AY24" s="262"/>
    </row>
    <row r="25" spans="1:51" s="260" customFormat="1" ht="103.5" hidden="1" customHeight="1">
      <c r="A25" s="790"/>
      <c r="B25" s="266"/>
      <c r="C25" s="1399"/>
      <c r="D25" s="1408"/>
      <c r="E25" s="1400"/>
      <c r="F25" s="267"/>
      <c r="G25" s="1399"/>
      <c r="H25" s="1408"/>
      <c r="I25" s="1400"/>
      <c r="J25" s="1380"/>
      <c r="K25" s="1380"/>
      <c r="L25" s="1380"/>
      <c r="M25" s="790"/>
      <c r="N25" s="790"/>
      <c r="O25" s="790"/>
      <c r="P25" s="790"/>
      <c r="Q25" s="266"/>
      <c r="R25" s="266"/>
      <c r="S25" s="268"/>
      <c r="T25" s="269" t="e">
        <f>VLOOKUP(Q25,[71]Listas!$D$6:$E$10,2,0)</f>
        <v>#N/A</v>
      </c>
      <c r="U25" s="269" t="e">
        <f>HLOOKUP(R25,[71]Listas!$F$4:$J$5,2,0)</f>
        <v>#N/A</v>
      </c>
      <c r="V25" s="270" t="e">
        <f>INDEX([71]Listas!$F$6:$J$10,MATCH(Q25,[71]Listas!$D$6:$D$10,0),MATCH(R25,[71]Listas!$F$4:$J$4,0))</f>
        <v>#N/A</v>
      </c>
      <c r="W25" s="268"/>
      <c r="X25" s="1399"/>
      <c r="Y25" s="1408"/>
      <c r="Z25" s="1400"/>
      <c r="AA25" s="1063"/>
      <c r="AB25" s="1140" t="s">
        <v>1126</v>
      </c>
      <c r="AC25" s="259"/>
      <c r="AD25" s="790"/>
      <c r="AE25" s="267"/>
      <c r="AF25" s="268"/>
      <c r="AG25" s="269">
        <f t="shared" si="8"/>
        <v>0</v>
      </c>
      <c r="AH25" s="271" t="e">
        <f t="shared" si="9"/>
        <v>#N/A</v>
      </c>
      <c r="AI25" s="272" t="e">
        <f>IF(AH25&lt;=1,"Remota",VLOOKUP(AH25,[71]Listas!$C$6:$D$10,2,0))</f>
        <v>#N/A</v>
      </c>
      <c r="AJ25" s="271" t="e">
        <f t="shared" si="10"/>
        <v>#N/A</v>
      </c>
      <c r="AK25" s="272" t="e">
        <f>IF(AJ25&lt;=1,"Insignificante",HLOOKUP(AJ25,[71]Listas!$F$3:$J$4,2,0))</f>
        <v>#N/A</v>
      </c>
      <c r="AL25" s="273" t="e">
        <f t="shared" si="11"/>
        <v>#N/A</v>
      </c>
      <c r="AM25" s="270" t="e">
        <f>INDEX([71]Listas!$F$6:$J$10,MATCH(AI25,[71]Listas!$D$6:$D$10,0),MATCH(AK25,[71]Listas!$F$4:$J$4,0))</f>
        <v>#N/A</v>
      </c>
      <c r="AN25" s="259"/>
      <c r="AO25" s="259"/>
      <c r="AP25" s="794"/>
      <c r="AQ25" s="259"/>
      <c r="AR25" s="259" t="s">
        <v>2343</v>
      </c>
      <c r="AS25" s="790"/>
      <c r="AT25" s="259"/>
      <c r="AU25" s="259"/>
      <c r="AV25" s="261"/>
      <c r="AW25" s="261"/>
      <c r="AX25" s="790"/>
      <c r="AY25" s="262"/>
    </row>
    <row r="26" spans="1:51" s="260" customFormat="1" ht="103.5" hidden="1" customHeight="1">
      <c r="A26" s="790"/>
      <c r="B26" s="266"/>
      <c r="C26" s="1399"/>
      <c r="D26" s="1408"/>
      <c r="E26" s="1400"/>
      <c r="F26" s="267"/>
      <c r="G26" s="1399"/>
      <c r="H26" s="1408"/>
      <c r="I26" s="1400"/>
      <c r="J26" s="1380"/>
      <c r="K26" s="1380"/>
      <c r="L26" s="1380"/>
      <c r="M26" s="790"/>
      <c r="N26" s="790"/>
      <c r="O26" s="790"/>
      <c r="P26" s="790"/>
      <c r="Q26" s="266"/>
      <c r="R26" s="266"/>
      <c r="S26" s="268"/>
      <c r="T26" s="269" t="e">
        <f>VLOOKUP(Q26,[71]Listas!$D$6:$E$10,2,0)</f>
        <v>#N/A</v>
      </c>
      <c r="U26" s="269" t="e">
        <f>HLOOKUP(R26,[71]Listas!$F$4:$J$5,2,0)</f>
        <v>#N/A</v>
      </c>
      <c r="V26" s="270" t="e">
        <f>INDEX([71]Listas!$F$6:$J$10,MATCH(Q26,[71]Listas!$D$6:$D$10,0),MATCH(R26,[71]Listas!$F$4:$J$4,0))</f>
        <v>#N/A</v>
      </c>
      <c r="W26" s="268"/>
      <c r="X26" s="1399"/>
      <c r="Y26" s="1408"/>
      <c r="Z26" s="1400"/>
      <c r="AA26" s="1063"/>
      <c r="AB26" s="1140" t="s">
        <v>1126</v>
      </c>
      <c r="AC26" s="259"/>
      <c r="AD26" s="790"/>
      <c r="AE26" s="267"/>
      <c r="AF26" s="268"/>
      <c r="AG26" s="269">
        <f t="shared" si="8"/>
        <v>0</v>
      </c>
      <c r="AH26" s="271" t="e">
        <f t="shared" si="9"/>
        <v>#N/A</v>
      </c>
      <c r="AI26" s="272" t="e">
        <f>IF(AH26&lt;=1,"Remota",VLOOKUP(AH26,[71]Listas!$C$6:$D$10,2,0))</f>
        <v>#N/A</v>
      </c>
      <c r="AJ26" s="271" t="e">
        <f t="shared" si="10"/>
        <v>#N/A</v>
      </c>
      <c r="AK26" s="272" t="e">
        <f>IF(AJ26&lt;=1,"Insignificante",HLOOKUP(AJ26,[71]Listas!$F$3:$J$4,2,0))</f>
        <v>#N/A</v>
      </c>
      <c r="AL26" s="273" t="e">
        <f t="shared" si="11"/>
        <v>#N/A</v>
      </c>
      <c r="AM26" s="270" t="e">
        <f>INDEX([71]Listas!$F$6:$J$10,MATCH(AI26,[71]Listas!$D$6:$D$10,0),MATCH(AK26,[71]Listas!$F$4:$J$4,0))</f>
        <v>#N/A</v>
      </c>
      <c r="AN26" s="259"/>
      <c r="AO26" s="259"/>
      <c r="AP26" s="794"/>
      <c r="AQ26" s="259"/>
      <c r="AR26" s="259" t="s">
        <v>2343</v>
      </c>
      <c r="AS26" s="790"/>
      <c r="AT26" s="259"/>
      <c r="AU26" s="259"/>
      <c r="AV26" s="261"/>
      <c r="AW26" s="261"/>
      <c r="AX26" s="790"/>
      <c r="AY26" s="262"/>
    </row>
    <row r="27" spans="1:51" s="260" customFormat="1" ht="103.5" hidden="1" customHeight="1">
      <c r="A27" s="790"/>
      <c r="B27" s="266"/>
      <c r="C27" s="1399"/>
      <c r="D27" s="1408"/>
      <c r="E27" s="1400"/>
      <c r="F27" s="267"/>
      <c r="G27" s="1399"/>
      <c r="H27" s="1408"/>
      <c r="I27" s="1400"/>
      <c r="J27" s="1380"/>
      <c r="K27" s="1380"/>
      <c r="L27" s="1380"/>
      <c r="M27" s="790"/>
      <c r="N27" s="790"/>
      <c r="O27" s="790"/>
      <c r="P27" s="790"/>
      <c r="Q27" s="266"/>
      <c r="R27" s="266"/>
      <c r="S27" s="268"/>
      <c r="T27" s="269" t="e">
        <f>VLOOKUP(Q27,[71]Listas!$D$6:$E$10,2,0)</f>
        <v>#N/A</v>
      </c>
      <c r="U27" s="269" t="e">
        <f>HLOOKUP(R27,[71]Listas!$F$4:$J$5,2,0)</f>
        <v>#N/A</v>
      </c>
      <c r="V27" s="270" t="e">
        <f>INDEX([71]Listas!$F$6:$J$10,MATCH(Q27,[71]Listas!$D$6:$D$10,0),MATCH(R27,[71]Listas!$F$4:$J$4,0))</f>
        <v>#N/A</v>
      </c>
      <c r="W27" s="268"/>
      <c r="X27" s="1399"/>
      <c r="Y27" s="1408"/>
      <c r="Z27" s="1400"/>
      <c r="AA27" s="1063"/>
      <c r="AB27" s="1140" t="s">
        <v>1126</v>
      </c>
      <c r="AC27" s="259"/>
      <c r="AD27" s="790"/>
      <c r="AE27" s="267"/>
      <c r="AF27" s="268"/>
      <c r="AG27" s="269">
        <f t="shared" si="8"/>
        <v>0</v>
      </c>
      <c r="AH27" s="271" t="e">
        <f t="shared" si="9"/>
        <v>#N/A</v>
      </c>
      <c r="AI27" s="272" t="e">
        <f>IF(AH27&lt;=1,"Remota",VLOOKUP(AH27,[71]Listas!$C$6:$D$10,2,0))</f>
        <v>#N/A</v>
      </c>
      <c r="AJ27" s="271" t="e">
        <f t="shared" si="10"/>
        <v>#N/A</v>
      </c>
      <c r="AK27" s="272" t="e">
        <f>IF(AJ27&lt;=1,"Insignificante",HLOOKUP(AJ27,[71]Listas!$F$3:$J$4,2,0))</f>
        <v>#N/A</v>
      </c>
      <c r="AL27" s="273" t="e">
        <f t="shared" si="11"/>
        <v>#N/A</v>
      </c>
      <c r="AM27" s="270" t="e">
        <f>INDEX([71]Listas!$F$6:$J$10,MATCH(AI27,[71]Listas!$D$6:$D$10,0),MATCH(AK27,[71]Listas!$F$4:$J$4,0))</f>
        <v>#N/A</v>
      </c>
      <c r="AN27" s="259"/>
      <c r="AO27" s="259"/>
      <c r="AP27" s="794"/>
      <c r="AQ27" s="259"/>
      <c r="AR27" s="259" t="s">
        <v>2343</v>
      </c>
      <c r="AS27" s="790"/>
      <c r="AT27" s="259"/>
      <c r="AU27" s="259"/>
      <c r="AV27" s="261"/>
      <c r="AW27" s="261"/>
      <c r="AX27" s="790"/>
      <c r="AY27" s="262"/>
    </row>
    <row r="28" spans="1:51" s="260" customFormat="1" ht="103.5" hidden="1" customHeight="1">
      <c r="A28" s="790"/>
      <c r="B28" s="266"/>
      <c r="C28" s="1399"/>
      <c r="D28" s="1408"/>
      <c r="E28" s="1400"/>
      <c r="F28" s="267"/>
      <c r="G28" s="1399"/>
      <c r="H28" s="1408"/>
      <c r="I28" s="1400"/>
      <c r="J28" s="1380"/>
      <c r="K28" s="1380"/>
      <c r="L28" s="1380"/>
      <c r="M28" s="790"/>
      <c r="N28" s="790"/>
      <c r="O28" s="790"/>
      <c r="P28" s="790"/>
      <c r="Q28" s="266"/>
      <c r="R28" s="266"/>
      <c r="S28" s="268"/>
      <c r="T28" s="269" t="e">
        <f>VLOOKUP(Q28,[71]Listas!$D$6:$E$10,2,0)</f>
        <v>#N/A</v>
      </c>
      <c r="U28" s="269" t="e">
        <f>HLOOKUP(R28,[71]Listas!$F$4:$J$5,2,0)</f>
        <v>#N/A</v>
      </c>
      <c r="V28" s="270" t="e">
        <f>INDEX([71]Listas!$F$6:$J$10,MATCH(Q28,[71]Listas!$D$6:$D$10,0),MATCH(R28,[71]Listas!$F$4:$J$4,0))</f>
        <v>#N/A</v>
      </c>
      <c r="W28" s="268"/>
      <c r="X28" s="1399"/>
      <c r="Y28" s="1408"/>
      <c r="Z28" s="1400"/>
      <c r="AA28" s="1063"/>
      <c r="AB28" s="1140" t="s">
        <v>1126</v>
      </c>
      <c r="AC28" s="259"/>
      <c r="AD28" s="790"/>
      <c r="AE28" s="267"/>
      <c r="AF28" s="268"/>
      <c r="AG28" s="269">
        <f t="shared" si="8"/>
        <v>0</v>
      </c>
      <c r="AH28" s="271" t="e">
        <f t="shared" si="9"/>
        <v>#N/A</v>
      </c>
      <c r="AI28" s="272" t="e">
        <f>IF(AH28&lt;=1,"Remota",VLOOKUP(AH28,[71]Listas!$C$6:$D$10,2,0))</f>
        <v>#N/A</v>
      </c>
      <c r="AJ28" s="271" t="e">
        <f t="shared" si="10"/>
        <v>#N/A</v>
      </c>
      <c r="AK28" s="272" t="e">
        <f>IF(AJ28&lt;=1,"Insignificante",HLOOKUP(AJ28,[71]Listas!$F$3:$J$4,2,0))</f>
        <v>#N/A</v>
      </c>
      <c r="AL28" s="273" t="e">
        <f t="shared" si="11"/>
        <v>#N/A</v>
      </c>
      <c r="AM28" s="270" t="e">
        <f>INDEX([71]Listas!$F$6:$J$10,MATCH(AI28,[71]Listas!$D$6:$D$10,0),MATCH(AK28,[71]Listas!$F$4:$J$4,0))</f>
        <v>#N/A</v>
      </c>
      <c r="AN28" s="259"/>
      <c r="AO28" s="259"/>
      <c r="AP28" s="794"/>
      <c r="AQ28" s="259"/>
      <c r="AR28" s="259" t="s">
        <v>2343</v>
      </c>
      <c r="AS28" s="790"/>
      <c r="AT28" s="259"/>
      <c r="AU28" s="259"/>
      <c r="AV28" s="261"/>
      <c r="AW28" s="261"/>
      <c r="AX28" s="790"/>
      <c r="AY28" s="262"/>
    </row>
    <row r="29" spans="1:51" s="260" customFormat="1" ht="103.5" hidden="1" customHeight="1">
      <c r="A29" s="790"/>
      <c r="B29" s="266"/>
      <c r="C29" s="1399"/>
      <c r="D29" s="1408"/>
      <c r="E29" s="1400"/>
      <c r="F29" s="267"/>
      <c r="G29" s="1399"/>
      <c r="H29" s="1408"/>
      <c r="I29" s="1400"/>
      <c r="J29" s="1380"/>
      <c r="K29" s="1380"/>
      <c r="L29" s="1380"/>
      <c r="M29" s="790"/>
      <c r="N29" s="790"/>
      <c r="O29" s="790"/>
      <c r="P29" s="790"/>
      <c r="Q29" s="266"/>
      <c r="R29" s="266"/>
      <c r="S29" s="268"/>
      <c r="T29" s="269" t="e">
        <f>VLOOKUP(Q29,[71]Listas!$D$6:$E$10,2,0)</f>
        <v>#N/A</v>
      </c>
      <c r="U29" s="269" t="e">
        <f>HLOOKUP(R29,[71]Listas!$F$4:$J$5,2,0)</f>
        <v>#N/A</v>
      </c>
      <c r="V29" s="270" t="e">
        <f>INDEX([71]Listas!$F$6:$J$10,MATCH(Q29,[71]Listas!$D$6:$D$10,0),MATCH(R29,[71]Listas!$F$4:$J$4,0))</f>
        <v>#N/A</v>
      </c>
      <c r="W29" s="268"/>
      <c r="X29" s="1399"/>
      <c r="Y29" s="1408"/>
      <c r="Z29" s="1400"/>
      <c r="AA29" s="1063"/>
      <c r="AB29" s="1140" t="s">
        <v>1126</v>
      </c>
      <c r="AC29" s="259"/>
      <c r="AD29" s="790"/>
      <c r="AE29" s="267"/>
      <c r="AF29" s="268"/>
      <c r="AG29" s="269">
        <f t="shared" si="8"/>
        <v>0</v>
      </c>
      <c r="AH29" s="271" t="e">
        <f t="shared" si="9"/>
        <v>#N/A</v>
      </c>
      <c r="AI29" s="272" t="e">
        <f>IF(AH29&lt;=1,"Remota",VLOOKUP(AH29,[71]Listas!$C$6:$D$10,2,0))</f>
        <v>#N/A</v>
      </c>
      <c r="AJ29" s="271" t="e">
        <f t="shared" si="10"/>
        <v>#N/A</v>
      </c>
      <c r="AK29" s="272" t="e">
        <f>IF(AJ29&lt;=1,"Insignificante",HLOOKUP(AJ29,[71]Listas!$F$3:$J$4,2,0))</f>
        <v>#N/A</v>
      </c>
      <c r="AL29" s="273" t="e">
        <f t="shared" si="11"/>
        <v>#N/A</v>
      </c>
      <c r="AM29" s="270" t="e">
        <f>INDEX([71]Listas!$F$6:$J$10,MATCH(AI29,[71]Listas!$D$6:$D$10,0),MATCH(AK29,[71]Listas!$F$4:$J$4,0))</f>
        <v>#N/A</v>
      </c>
      <c r="AN29" s="259"/>
      <c r="AO29" s="259"/>
      <c r="AP29" s="794"/>
      <c r="AQ29" s="259"/>
      <c r="AR29" s="259" t="s">
        <v>2343</v>
      </c>
      <c r="AS29" s="790"/>
      <c r="AT29" s="259"/>
      <c r="AU29" s="259"/>
      <c r="AV29" s="261"/>
      <c r="AW29" s="261"/>
      <c r="AX29" s="790"/>
      <c r="AY29" s="262"/>
    </row>
    <row r="30" spans="1:51" s="260" customFormat="1" ht="103.5" hidden="1" customHeight="1">
      <c r="A30" s="790"/>
      <c r="B30" s="266"/>
      <c r="C30" s="1399"/>
      <c r="D30" s="1408"/>
      <c r="E30" s="1400"/>
      <c r="F30" s="267"/>
      <c r="G30" s="1399"/>
      <c r="H30" s="1408"/>
      <c r="I30" s="1400"/>
      <c r="J30" s="1380"/>
      <c r="K30" s="1380"/>
      <c r="L30" s="1380"/>
      <c r="M30" s="790"/>
      <c r="N30" s="790"/>
      <c r="O30" s="790"/>
      <c r="P30" s="790"/>
      <c r="Q30" s="266"/>
      <c r="R30" s="266"/>
      <c r="S30" s="268"/>
      <c r="T30" s="269" t="e">
        <f>VLOOKUP(Q30,[71]Listas!$D$6:$E$10,2,0)</f>
        <v>#N/A</v>
      </c>
      <c r="U30" s="269" t="e">
        <f>HLOOKUP(R30,[71]Listas!$F$4:$J$5,2,0)</f>
        <v>#N/A</v>
      </c>
      <c r="V30" s="270" t="e">
        <f>INDEX([71]Listas!$F$6:$J$10,MATCH(Q30,[71]Listas!$D$6:$D$10,0),MATCH(R30,[71]Listas!$F$4:$J$4,0))</f>
        <v>#N/A</v>
      </c>
      <c r="W30" s="268"/>
      <c r="X30" s="1399"/>
      <c r="Y30" s="1408"/>
      <c r="Z30" s="1400"/>
      <c r="AA30" s="1063"/>
      <c r="AB30" s="1140" t="s">
        <v>1126</v>
      </c>
      <c r="AC30" s="259"/>
      <c r="AD30" s="790"/>
      <c r="AE30" s="267"/>
      <c r="AF30" s="268"/>
      <c r="AG30" s="269">
        <f t="shared" si="8"/>
        <v>0</v>
      </c>
      <c r="AH30" s="271" t="e">
        <f t="shared" si="9"/>
        <v>#N/A</v>
      </c>
      <c r="AI30" s="272" t="e">
        <f>IF(AH30&lt;=1,"Remota",VLOOKUP(AH30,[71]Listas!$C$6:$D$10,2,0))</f>
        <v>#N/A</v>
      </c>
      <c r="AJ30" s="271" t="e">
        <f t="shared" si="10"/>
        <v>#N/A</v>
      </c>
      <c r="AK30" s="272" t="e">
        <f>IF(AJ30&lt;=1,"Insignificante",HLOOKUP(AJ30,[71]Listas!$F$3:$J$4,2,0))</f>
        <v>#N/A</v>
      </c>
      <c r="AL30" s="273" t="e">
        <f t="shared" si="11"/>
        <v>#N/A</v>
      </c>
      <c r="AM30" s="270" t="e">
        <f>INDEX([71]Listas!$F$6:$J$10,MATCH(AI30,[71]Listas!$D$6:$D$10,0),MATCH(AK30,[71]Listas!$F$4:$J$4,0))</f>
        <v>#N/A</v>
      </c>
      <c r="AN30" s="259"/>
      <c r="AO30" s="259"/>
      <c r="AP30" s="794"/>
      <c r="AQ30" s="259"/>
      <c r="AR30" s="259" t="s">
        <v>2343</v>
      </c>
      <c r="AS30" s="790"/>
      <c r="AT30" s="259"/>
      <c r="AU30" s="259"/>
      <c r="AV30" s="261"/>
      <c r="AW30" s="261"/>
      <c r="AX30" s="790"/>
      <c r="AY30" s="262"/>
    </row>
    <row r="31" spans="1:51" s="260" customFormat="1" ht="103.5" hidden="1" customHeight="1">
      <c r="A31" s="790"/>
      <c r="B31" s="266"/>
      <c r="C31" s="1399"/>
      <c r="D31" s="1408"/>
      <c r="E31" s="1400"/>
      <c r="F31" s="267"/>
      <c r="G31" s="1399"/>
      <c r="H31" s="1408"/>
      <c r="I31" s="1400"/>
      <c r="J31" s="1380"/>
      <c r="K31" s="1380"/>
      <c r="L31" s="1380"/>
      <c r="M31" s="790"/>
      <c r="N31" s="790"/>
      <c r="O31" s="790"/>
      <c r="P31" s="790"/>
      <c r="Q31" s="266"/>
      <c r="R31" s="266"/>
      <c r="S31" s="268"/>
      <c r="T31" s="269" t="e">
        <f>VLOOKUP(Q31,[71]Listas!$D$6:$E$10,2,0)</f>
        <v>#N/A</v>
      </c>
      <c r="U31" s="269" t="e">
        <f>HLOOKUP(R31,[71]Listas!$F$4:$J$5,2,0)</f>
        <v>#N/A</v>
      </c>
      <c r="V31" s="270" t="e">
        <f>INDEX([71]Listas!$F$6:$J$10,MATCH(Q31,[71]Listas!$D$6:$D$10,0),MATCH(R31,[71]Listas!$F$4:$J$4,0))</f>
        <v>#N/A</v>
      </c>
      <c r="W31" s="268"/>
      <c r="X31" s="1399"/>
      <c r="Y31" s="1408"/>
      <c r="Z31" s="1400"/>
      <c r="AA31" s="1063"/>
      <c r="AB31" s="1140" t="s">
        <v>1126</v>
      </c>
      <c r="AC31" s="259"/>
      <c r="AD31" s="790"/>
      <c r="AE31" s="267"/>
      <c r="AF31" s="268"/>
      <c r="AG31" s="269">
        <f t="shared" si="8"/>
        <v>0</v>
      </c>
      <c r="AH31" s="271" t="e">
        <f t="shared" si="9"/>
        <v>#N/A</v>
      </c>
      <c r="AI31" s="272" t="e">
        <f>IF(AH31&lt;=1,"Remota",VLOOKUP(AH31,[71]Listas!$C$6:$D$10,2,0))</f>
        <v>#N/A</v>
      </c>
      <c r="AJ31" s="271" t="e">
        <f t="shared" si="10"/>
        <v>#N/A</v>
      </c>
      <c r="AK31" s="272" t="e">
        <f>IF(AJ31&lt;=1,"Insignificante",HLOOKUP(AJ31,[71]Listas!$F$3:$J$4,2,0))</f>
        <v>#N/A</v>
      </c>
      <c r="AL31" s="273" t="e">
        <f t="shared" si="11"/>
        <v>#N/A</v>
      </c>
      <c r="AM31" s="270" t="e">
        <f>INDEX([71]Listas!$F$6:$J$10,MATCH(AI31,[71]Listas!$D$6:$D$10,0),MATCH(AK31,[71]Listas!$F$4:$J$4,0))</f>
        <v>#N/A</v>
      </c>
      <c r="AN31" s="259"/>
      <c r="AO31" s="259"/>
      <c r="AP31" s="794"/>
      <c r="AQ31" s="259"/>
      <c r="AR31" s="259" t="s">
        <v>2343</v>
      </c>
      <c r="AS31" s="790"/>
      <c r="AT31" s="259"/>
      <c r="AU31" s="259"/>
      <c r="AV31" s="261"/>
      <c r="AW31" s="261"/>
      <c r="AX31" s="790"/>
      <c r="AY31" s="262"/>
    </row>
    <row r="32" spans="1:51" s="260" customFormat="1" ht="103.5" hidden="1" customHeight="1">
      <c r="A32" s="790"/>
      <c r="B32" s="266"/>
      <c r="C32" s="1399"/>
      <c r="D32" s="1408"/>
      <c r="E32" s="1400"/>
      <c r="F32" s="267"/>
      <c r="G32" s="1399"/>
      <c r="H32" s="1408"/>
      <c r="I32" s="1400"/>
      <c r="J32" s="1380"/>
      <c r="K32" s="1380"/>
      <c r="L32" s="1380"/>
      <c r="M32" s="790"/>
      <c r="N32" s="790"/>
      <c r="O32" s="790"/>
      <c r="P32" s="790"/>
      <c r="Q32" s="266"/>
      <c r="R32" s="266"/>
      <c r="S32" s="268"/>
      <c r="T32" s="269" t="e">
        <f>VLOOKUP(Q32,[71]Listas!$D$6:$E$10,2,0)</f>
        <v>#N/A</v>
      </c>
      <c r="U32" s="269" t="e">
        <f>HLOOKUP(R32,[71]Listas!$F$4:$J$5,2,0)</f>
        <v>#N/A</v>
      </c>
      <c r="V32" s="270" t="e">
        <f>INDEX([71]Listas!$F$6:$J$10,MATCH(Q32,[71]Listas!$D$6:$D$10,0),MATCH(R32,[71]Listas!$F$4:$J$4,0))</f>
        <v>#N/A</v>
      </c>
      <c r="W32" s="268"/>
      <c r="X32" s="1399"/>
      <c r="Y32" s="1408"/>
      <c r="Z32" s="1400"/>
      <c r="AA32" s="1063"/>
      <c r="AB32" s="1140" t="s">
        <v>1126</v>
      </c>
      <c r="AC32" s="259"/>
      <c r="AD32" s="790"/>
      <c r="AE32" s="267"/>
      <c r="AF32" s="268"/>
      <c r="AG32" s="269">
        <f t="shared" si="8"/>
        <v>0</v>
      </c>
      <c r="AH32" s="271" t="e">
        <f t="shared" si="9"/>
        <v>#N/A</v>
      </c>
      <c r="AI32" s="272" t="e">
        <f>IF(AH32&lt;=1,"Remota",VLOOKUP(AH32,[71]Listas!$C$6:$D$10,2,0))</f>
        <v>#N/A</v>
      </c>
      <c r="AJ32" s="271" t="e">
        <f t="shared" si="10"/>
        <v>#N/A</v>
      </c>
      <c r="AK32" s="272" t="e">
        <f>IF(AJ32&lt;=1,"Insignificante",HLOOKUP(AJ32,[71]Listas!$F$3:$J$4,2,0))</f>
        <v>#N/A</v>
      </c>
      <c r="AL32" s="273" t="e">
        <f t="shared" si="11"/>
        <v>#N/A</v>
      </c>
      <c r="AM32" s="270" t="e">
        <f>INDEX([71]Listas!$F$6:$J$10,MATCH(AI32,[71]Listas!$D$6:$D$10,0),MATCH(AK32,[71]Listas!$F$4:$J$4,0))</f>
        <v>#N/A</v>
      </c>
      <c r="AN32" s="259"/>
      <c r="AO32" s="259"/>
      <c r="AP32" s="794"/>
      <c r="AQ32" s="259"/>
      <c r="AR32" s="259" t="s">
        <v>2343</v>
      </c>
      <c r="AS32" s="790"/>
      <c r="AT32" s="259"/>
      <c r="AU32" s="259"/>
      <c r="AV32" s="261"/>
      <c r="AW32" s="261"/>
      <c r="AX32" s="790"/>
      <c r="AY32" s="262"/>
    </row>
    <row r="33" spans="1:51" s="260" customFormat="1" ht="103.5" hidden="1" customHeight="1">
      <c r="A33" s="790"/>
      <c r="B33" s="266"/>
      <c r="C33" s="1399"/>
      <c r="D33" s="1408"/>
      <c r="E33" s="1400"/>
      <c r="F33" s="267"/>
      <c r="G33" s="1399"/>
      <c r="H33" s="1408"/>
      <c r="I33" s="1400"/>
      <c r="J33" s="1380"/>
      <c r="K33" s="1380"/>
      <c r="L33" s="1380"/>
      <c r="M33" s="790"/>
      <c r="N33" s="790"/>
      <c r="O33" s="790"/>
      <c r="P33" s="790"/>
      <c r="Q33" s="266"/>
      <c r="R33" s="266"/>
      <c r="S33" s="268"/>
      <c r="T33" s="269" t="e">
        <f>VLOOKUP(Q33,[71]Listas!$D$6:$E$10,2,0)</f>
        <v>#N/A</v>
      </c>
      <c r="U33" s="269" t="e">
        <f>HLOOKUP(R33,[71]Listas!$F$4:$J$5,2,0)</f>
        <v>#N/A</v>
      </c>
      <c r="V33" s="270" t="e">
        <f>INDEX([71]Listas!$F$6:$J$10,MATCH(Q33,[71]Listas!$D$6:$D$10,0),MATCH(R33,[71]Listas!$F$4:$J$4,0))</f>
        <v>#N/A</v>
      </c>
      <c r="W33" s="268"/>
      <c r="X33" s="1399"/>
      <c r="Y33" s="1408"/>
      <c r="Z33" s="1400"/>
      <c r="AA33" s="1063"/>
      <c r="AB33" s="1140" t="s">
        <v>1126</v>
      </c>
      <c r="AC33" s="259"/>
      <c r="AD33" s="790"/>
      <c r="AE33" s="267"/>
      <c r="AF33" s="268"/>
      <c r="AG33" s="269">
        <f t="shared" si="8"/>
        <v>0</v>
      </c>
      <c r="AH33" s="271" t="e">
        <f t="shared" si="9"/>
        <v>#N/A</v>
      </c>
      <c r="AI33" s="272" t="e">
        <f>IF(AH33&lt;=1,"Remota",VLOOKUP(AH33,[71]Listas!$C$6:$D$10,2,0))</f>
        <v>#N/A</v>
      </c>
      <c r="AJ33" s="271" t="e">
        <f t="shared" si="10"/>
        <v>#N/A</v>
      </c>
      <c r="AK33" s="272" t="e">
        <f>IF(AJ33&lt;=1,"Insignificante",HLOOKUP(AJ33,[71]Listas!$F$3:$J$4,2,0))</f>
        <v>#N/A</v>
      </c>
      <c r="AL33" s="273" t="e">
        <f t="shared" si="11"/>
        <v>#N/A</v>
      </c>
      <c r="AM33" s="270" t="e">
        <f>INDEX([71]Listas!$F$6:$J$10,MATCH(AI33,[71]Listas!$D$6:$D$10,0),MATCH(AK33,[71]Listas!$F$4:$J$4,0))</f>
        <v>#N/A</v>
      </c>
      <c r="AN33" s="259"/>
      <c r="AO33" s="259"/>
      <c r="AP33" s="794"/>
      <c r="AQ33" s="259"/>
      <c r="AR33" s="259" t="s">
        <v>2343</v>
      </c>
      <c r="AS33" s="790"/>
      <c r="AT33" s="259"/>
      <c r="AU33" s="259"/>
      <c r="AV33" s="261"/>
      <c r="AW33" s="261"/>
      <c r="AX33" s="790"/>
      <c r="AY33" s="262"/>
    </row>
    <row r="34" spans="1:51" s="260" customFormat="1" ht="103.5" hidden="1" customHeight="1">
      <c r="A34" s="790"/>
      <c r="B34" s="266"/>
      <c r="C34" s="1399"/>
      <c r="D34" s="1408"/>
      <c r="E34" s="1400"/>
      <c r="F34" s="267"/>
      <c r="G34" s="1399"/>
      <c r="H34" s="1408"/>
      <c r="I34" s="1400"/>
      <c r="J34" s="1380"/>
      <c r="K34" s="1380"/>
      <c r="L34" s="1380"/>
      <c r="M34" s="790"/>
      <c r="N34" s="790"/>
      <c r="O34" s="790"/>
      <c r="P34" s="790"/>
      <c r="Q34" s="266"/>
      <c r="R34" s="266"/>
      <c r="S34" s="268"/>
      <c r="T34" s="269" t="e">
        <f>VLOOKUP(Q34,[71]Listas!$D$6:$E$10,2,0)</f>
        <v>#N/A</v>
      </c>
      <c r="U34" s="269" t="e">
        <f>HLOOKUP(R34,[71]Listas!$F$4:$J$5,2,0)</f>
        <v>#N/A</v>
      </c>
      <c r="V34" s="270" t="e">
        <f>INDEX([71]Listas!$F$6:$J$10,MATCH(Q34,[71]Listas!$D$6:$D$10,0),MATCH(R34,[71]Listas!$F$4:$J$4,0))</f>
        <v>#N/A</v>
      </c>
      <c r="W34" s="268"/>
      <c r="X34" s="1399"/>
      <c r="Y34" s="1408"/>
      <c r="Z34" s="1400"/>
      <c r="AA34" s="1063"/>
      <c r="AB34" s="1140" t="s">
        <v>1126</v>
      </c>
      <c r="AC34" s="259"/>
      <c r="AD34" s="790"/>
      <c r="AE34" s="267"/>
      <c r="AF34" s="268"/>
      <c r="AG34" s="269">
        <f t="shared" si="8"/>
        <v>0</v>
      </c>
      <c r="AH34" s="271" t="e">
        <f t="shared" si="9"/>
        <v>#N/A</v>
      </c>
      <c r="AI34" s="272" t="e">
        <f>IF(AH34&lt;=1,"Remota",VLOOKUP(AH34,[71]Listas!$C$6:$D$10,2,0))</f>
        <v>#N/A</v>
      </c>
      <c r="AJ34" s="271" t="e">
        <f t="shared" si="10"/>
        <v>#N/A</v>
      </c>
      <c r="AK34" s="272" t="e">
        <f>IF(AJ34&lt;=1,"Insignificante",HLOOKUP(AJ34,[71]Listas!$F$3:$J$4,2,0))</f>
        <v>#N/A</v>
      </c>
      <c r="AL34" s="273" t="e">
        <f t="shared" si="11"/>
        <v>#N/A</v>
      </c>
      <c r="AM34" s="270" t="e">
        <f>INDEX([71]Listas!$F$6:$J$10,MATCH(AI34,[71]Listas!$D$6:$D$10,0),MATCH(AK34,[71]Listas!$F$4:$J$4,0))</f>
        <v>#N/A</v>
      </c>
      <c r="AN34" s="259"/>
      <c r="AO34" s="259"/>
      <c r="AP34" s="794"/>
      <c r="AQ34" s="259"/>
      <c r="AR34" s="259" t="s">
        <v>2343</v>
      </c>
      <c r="AS34" s="790"/>
      <c r="AT34" s="259"/>
      <c r="AU34" s="259"/>
      <c r="AV34" s="261"/>
      <c r="AW34" s="261"/>
      <c r="AX34" s="790"/>
      <c r="AY34" s="262"/>
    </row>
    <row r="35" spans="1:51" s="260" customFormat="1" ht="103.5" hidden="1" customHeight="1">
      <c r="A35" s="790"/>
      <c r="B35" s="266"/>
      <c r="C35" s="1399"/>
      <c r="D35" s="1408"/>
      <c r="E35" s="1400"/>
      <c r="F35" s="267"/>
      <c r="G35" s="1399"/>
      <c r="H35" s="1408"/>
      <c r="I35" s="1400"/>
      <c r="J35" s="1380"/>
      <c r="K35" s="1380"/>
      <c r="L35" s="1380"/>
      <c r="M35" s="790"/>
      <c r="N35" s="790"/>
      <c r="O35" s="790"/>
      <c r="P35" s="790"/>
      <c r="Q35" s="266"/>
      <c r="R35" s="266"/>
      <c r="S35" s="268"/>
      <c r="T35" s="269" t="e">
        <f>VLOOKUP(Q35,[71]Listas!$D$6:$E$10,2,0)</f>
        <v>#N/A</v>
      </c>
      <c r="U35" s="269" t="e">
        <f>HLOOKUP(R35,[71]Listas!$F$4:$J$5,2,0)</f>
        <v>#N/A</v>
      </c>
      <c r="V35" s="270" t="e">
        <f>INDEX([71]Listas!$F$6:$J$10,MATCH(Q35,[71]Listas!$D$6:$D$10,0),MATCH(R35,[71]Listas!$F$4:$J$4,0))</f>
        <v>#N/A</v>
      </c>
      <c r="W35" s="268"/>
      <c r="X35" s="1399"/>
      <c r="Y35" s="1408"/>
      <c r="Z35" s="1400"/>
      <c r="AA35" s="1063"/>
      <c r="AB35" s="1140" t="s">
        <v>1126</v>
      </c>
      <c r="AC35" s="259"/>
      <c r="AD35" s="790"/>
      <c r="AE35" s="267"/>
      <c r="AF35" s="268"/>
      <c r="AG35" s="269">
        <f t="shared" si="8"/>
        <v>0</v>
      </c>
      <c r="AH35" s="271" t="e">
        <f t="shared" si="9"/>
        <v>#N/A</v>
      </c>
      <c r="AI35" s="272" t="e">
        <f>IF(AH35&lt;=1,"Remota",VLOOKUP(AH35,[71]Listas!$C$6:$D$10,2,0))</f>
        <v>#N/A</v>
      </c>
      <c r="AJ35" s="271" t="e">
        <f t="shared" si="10"/>
        <v>#N/A</v>
      </c>
      <c r="AK35" s="272" t="e">
        <f>IF(AJ35&lt;=1,"Insignificante",HLOOKUP(AJ35,[71]Listas!$F$3:$J$4,2,0))</f>
        <v>#N/A</v>
      </c>
      <c r="AL35" s="273" t="e">
        <f t="shared" si="11"/>
        <v>#N/A</v>
      </c>
      <c r="AM35" s="270" t="e">
        <f>INDEX([71]Listas!$F$6:$J$10,MATCH(AI35,[71]Listas!$D$6:$D$10,0),MATCH(AK35,[71]Listas!$F$4:$J$4,0))</f>
        <v>#N/A</v>
      </c>
      <c r="AN35" s="259"/>
      <c r="AO35" s="259"/>
      <c r="AP35" s="794"/>
      <c r="AQ35" s="259"/>
      <c r="AR35" s="259" t="s">
        <v>2343</v>
      </c>
      <c r="AS35" s="790"/>
      <c r="AT35" s="259"/>
      <c r="AU35" s="259"/>
      <c r="AV35" s="261"/>
      <c r="AW35" s="261"/>
      <c r="AX35" s="790"/>
      <c r="AY35" s="262"/>
    </row>
    <row r="36" spans="1:51" s="260" customFormat="1" ht="103.5" hidden="1" customHeight="1">
      <c r="A36" s="790"/>
      <c r="B36" s="266"/>
      <c r="C36" s="1399"/>
      <c r="D36" s="1408"/>
      <c r="E36" s="1400"/>
      <c r="F36" s="267"/>
      <c r="G36" s="1399"/>
      <c r="H36" s="1408"/>
      <c r="I36" s="1400"/>
      <c r="J36" s="1380"/>
      <c r="K36" s="1380"/>
      <c r="L36" s="1380"/>
      <c r="M36" s="790"/>
      <c r="N36" s="790"/>
      <c r="O36" s="790"/>
      <c r="P36" s="790"/>
      <c r="Q36" s="266"/>
      <c r="R36" s="266"/>
      <c r="S36" s="268"/>
      <c r="T36" s="269" t="e">
        <f>VLOOKUP(Q36,[71]Listas!$D$6:$E$10,2,0)</f>
        <v>#N/A</v>
      </c>
      <c r="U36" s="269" t="e">
        <f>HLOOKUP(R36,[71]Listas!$F$4:$J$5,2,0)</f>
        <v>#N/A</v>
      </c>
      <c r="V36" s="270" t="e">
        <f>INDEX([71]Listas!$F$6:$J$10,MATCH(Q36,[71]Listas!$D$6:$D$10,0),MATCH(R36,[71]Listas!$F$4:$J$4,0))</f>
        <v>#N/A</v>
      </c>
      <c r="W36" s="268"/>
      <c r="X36" s="1399"/>
      <c r="Y36" s="1408"/>
      <c r="Z36" s="1400"/>
      <c r="AA36" s="1063"/>
      <c r="AB36" s="1140" t="s">
        <v>1126</v>
      </c>
      <c r="AC36" s="259"/>
      <c r="AD36" s="790"/>
      <c r="AE36" s="267"/>
      <c r="AF36" s="268"/>
      <c r="AG36" s="269">
        <f t="shared" si="8"/>
        <v>0</v>
      </c>
      <c r="AH36" s="271" t="e">
        <f t="shared" si="9"/>
        <v>#N/A</v>
      </c>
      <c r="AI36" s="272" t="e">
        <f>IF(AH36&lt;=1,"Remota",VLOOKUP(AH36,[71]Listas!$C$6:$D$10,2,0))</f>
        <v>#N/A</v>
      </c>
      <c r="AJ36" s="271" t="e">
        <f t="shared" si="10"/>
        <v>#N/A</v>
      </c>
      <c r="AK36" s="272" t="e">
        <f>IF(AJ36&lt;=1,"Insignificante",HLOOKUP(AJ36,[71]Listas!$F$3:$J$4,2,0))</f>
        <v>#N/A</v>
      </c>
      <c r="AL36" s="273" t="e">
        <f t="shared" si="11"/>
        <v>#N/A</v>
      </c>
      <c r="AM36" s="270" t="e">
        <f>INDEX([71]Listas!$F$6:$J$10,MATCH(AI36,[71]Listas!$D$6:$D$10,0),MATCH(AK36,[71]Listas!$F$4:$J$4,0))</f>
        <v>#N/A</v>
      </c>
      <c r="AN36" s="259"/>
      <c r="AO36" s="259"/>
      <c r="AP36" s="794"/>
      <c r="AQ36" s="259"/>
      <c r="AR36" s="259" t="s">
        <v>2343</v>
      </c>
      <c r="AS36" s="790"/>
      <c r="AT36" s="259"/>
      <c r="AU36" s="259"/>
      <c r="AV36" s="261"/>
      <c r="AW36" s="261"/>
      <c r="AX36" s="790"/>
      <c r="AY36" s="262"/>
    </row>
    <row r="37" spans="1:51" s="260" customFormat="1" ht="103.5" hidden="1" customHeight="1">
      <c r="A37" s="790"/>
      <c r="B37" s="266"/>
      <c r="C37" s="1399"/>
      <c r="D37" s="1408"/>
      <c r="E37" s="1400"/>
      <c r="F37" s="267"/>
      <c r="G37" s="1399"/>
      <c r="H37" s="1408"/>
      <c r="I37" s="1400"/>
      <c r="J37" s="1380"/>
      <c r="K37" s="1380"/>
      <c r="L37" s="1380"/>
      <c r="M37" s="790"/>
      <c r="N37" s="790"/>
      <c r="O37" s="790"/>
      <c r="P37" s="790"/>
      <c r="Q37" s="266"/>
      <c r="R37" s="266"/>
      <c r="S37" s="268"/>
      <c r="T37" s="269" t="e">
        <f>VLOOKUP(Q37,[71]Listas!$D$6:$E$10,2,0)</f>
        <v>#N/A</v>
      </c>
      <c r="U37" s="269" t="e">
        <f>HLOOKUP(R37,[71]Listas!$F$4:$J$5,2,0)</f>
        <v>#N/A</v>
      </c>
      <c r="V37" s="270" t="e">
        <f>INDEX([71]Listas!$F$6:$J$10,MATCH(Q37,[71]Listas!$D$6:$D$10,0),MATCH(R37,[71]Listas!$F$4:$J$4,0))</f>
        <v>#N/A</v>
      </c>
      <c r="W37" s="268"/>
      <c r="X37" s="1399"/>
      <c r="Y37" s="1408"/>
      <c r="Z37" s="1400"/>
      <c r="AA37" s="1063"/>
      <c r="AB37" s="1140" t="s">
        <v>1126</v>
      </c>
      <c r="AC37" s="259"/>
      <c r="AD37" s="790"/>
      <c r="AE37" s="267"/>
      <c r="AF37" s="268"/>
      <c r="AG37" s="269">
        <f t="shared" si="8"/>
        <v>0</v>
      </c>
      <c r="AH37" s="271" t="e">
        <f t="shared" si="9"/>
        <v>#N/A</v>
      </c>
      <c r="AI37" s="272" t="e">
        <f>IF(AH37&lt;=1,"Remota",VLOOKUP(AH37,[71]Listas!$C$6:$D$10,2,0))</f>
        <v>#N/A</v>
      </c>
      <c r="AJ37" s="271" t="e">
        <f t="shared" si="10"/>
        <v>#N/A</v>
      </c>
      <c r="AK37" s="272" t="e">
        <f>IF(AJ37&lt;=1,"Insignificante",HLOOKUP(AJ37,[71]Listas!$F$3:$J$4,2,0))</f>
        <v>#N/A</v>
      </c>
      <c r="AL37" s="273" t="e">
        <f t="shared" si="11"/>
        <v>#N/A</v>
      </c>
      <c r="AM37" s="270" t="e">
        <f>INDEX([71]Listas!$F$6:$J$10,MATCH(AI37,[71]Listas!$D$6:$D$10,0),MATCH(AK37,[71]Listas!$F$4:$J$4,0))</f>
        <v>#N/A</v>
      </c>
      <c r="AN37" s="259"/>
      <c r="AO37" s="259"/>
      <c r="AP37" s="794"/>
      <c r="AQ37" s="259"/>
      <c r="AR37" s="259" t="s">
        <v>2343</v>
      </c>
      <c r="AS37" s="790"/>
      <c r="AT37" s="259"/>
      <c r="AU37" s="259"/>
      <c r="AV37" s="261"/>
      <c r="AW37" s="261"/>
      <c r="AX37" s="790"/>
      <c r="AY37" s="262"/>
    </row>
    <row r="38" spans="1:51" s="260" customFormat="1" ht="103.5" hidden="1" customHeight="1">
      <c r="A38" s="790"/>
      <c r="B38" s="266"/>
      <c r="C38" s="1399"/>
      <c r="D38" s="1408"/>
      <c r="E38" s="1400"/>
      <c r="F38" s="266"/>
      <c r="G38" s="1399"/>
      <c r="H38" s="1408"/>
      <c r="I38" s="1400"/>
      <c r="J38" s="1380"/>
      <c r="K38" s="1380"/>
      <c r="L38" s="1380"/>
      <c r="M38" s="790"/>
      <c r="N38" s="790"/>
      <c r="O38" s="790"/>
      <c r="P38" s="790"/>
      <c r="Q38" s="266"/>
      <c r="R38" s="266"/>
      <c r="S38" s="268"/>
      <c r="T38" s="269" t="e">
        <f>VLOOKUP(Q38,[71]Listas!$D$6:$E$10,2,0)</f>
        <v>#N/A</v>
      </c>
      <c r="U38" s="269" t="e">
        <f>HLOOKUP(R38,[71]Listas!$F$4:$J$5,2,0)</f>
        <v>#N/A</v>
      </c>
      <c r="V38" s="270" t="e">
        <f>INDEX([71]Listas!$F$6:$J$10,MATCH(Q38,[71]Listas!$D$6:$D$10,0),MATCH(R38,[71]Listas!$F$4:$J$4,0))</f>
        <v>#N/A</v>
      </c>
      <c r="W38" s="268"/>
      <c r="X38" s="1399"/>
      <c r="Y38" s="1408"/>
      <c r="Z38" s="1400"/>
      <c r="AA38" s="1063"/>
      <c r="AB38" s="1140" t="s">
        <v>1126</v>
      </c>
      <c r="AC38" s="259"/>
      <c r="AD38" s="790"/>
      <c r="AE38" s="267"/>
      <c r="AF38" s="268"/>
      <c r="AG38" s="269">
        <f>IF(AD38&lt;=33,0,IF(AD38&gt;81,2,1))</f>
        <v>0</v>
      </c>
      <c r="AH38" s="271" t="e">
        <f>IF(OR(AE38="Probabilidad",AE38="Ambos"),T38-AG38,T38)</f>
        <v>#N/A</v>
      </c>
      <c r="AI38" s="272" t="e">
        <f>IF(AH38&lt;=1,"Remota",VLOOKUP(AH38,[71]Listas!$C$6:$D$10,2,0))</f>
        <v>#N/A</v>
      </c>
      <c r="AJ38" s="271" t="e">
        <f>IF(OR(AE38="Impacto",AE38="Ambos"),U38-AG38,U38)</f>
        <v>#N/A</v>
      </c>
      <c r="AK38" s="272" t="e">
        <f>IF(AJ38&lt;=1,"Insignificante",HLOOKUP(AJ38,[71]Listas!$F$3:$J$4,2,0))</f>
        <v>#N/A</v>
      </c>
      <c r="AL38" s="273" t="e">
        <f>AH38*AJ38</f>
        <v>#N/A</v>
      </c>
      <c r="AM38" s="270" t="e">
        <f>INDEX([71]Listas!$F$6:$J$10,MATCH(AI38,[71]Listas!$D$6:$D$10,0),MATCH(AK38,[71]Listas!$F$4:$J$4,0))</f>
        <v>#N/A</v>
      </c>
      <c r="AN38" s="259"/>
      <c r="AO38" s="259"/>
      <c r="AP38" s="794"/>
      <c r="AQ38" s="259"/>
      <c r="AR38" s="259" t="s">
        <v>2343</v>
      </c>
      <c r="AS38" s="790"/>
      <c r="AU38" s="259"/>
      <c r="AV38" s="261"/>
      <c r="AW38" s="261"/>
      <c r="AX38" s="790"/>
      <c r="AY38" s="262"/>
    </row>
    <row r="39" spans="1:51" s="260" customFormat="1" ht="103.5" hidden="1" customHeight="1">
      <c r="A39" s="790"/>
      <c r="B39" s="266"/>
      <c r="C39" s="1399"/>
      <c r="D39" s="1408"/>
      <c r="E39" s="1400"/>
      <c r="F39" s="267"/>
      <c r="G39" s="1399"/>
      <c r="H39" s="1408"/>
      <c r="I39" s="1400"/>
      <c r="J39" s="1380"/>
      <c r="K39" s="1380"/>
      <c r="L39" s="1380"/>
      <c r="M39" s="790"/>
      <c r="N39" s="790"/>
      <c r="O39" s="790"/>
      <c r="P39" s="790"/>
      <c r="Q39" s="266"/>
      <c r="R39" s="266"/>
      <c r="S39" s="268"/>
      <c r="T39" s="269" t="e">
        <f>VLOOKUP(Q39,[71]Listas!$D$6:$E$10,2,0)</f>
        <v>#N/A</v>
      </c>
      <c r="U39" s="269" t="e">
        <f>HLOOKUP(R39,[71]Listas!$F$4:$J$5,2,0)</f>
        <v>#N/A</v>
      </c>
      <c r="V39" s="270" t="e">
        <f>INDEX([71]Listas!$F$6:$J$10,MATCH(Q39,[71]Listas!$D$6:$D$10,0),MATCH(R39,[71]Listas!$F$4:$J$4,0))</f>
        <v>#N/A</v>
      </c>
      <c r="W39" s="268"/>
      <c r="X39" s="1399"/>
      <c r="Y39" s="1408"/>
      <c r="Z39" s="1400"/>
      <c r="AA39" s="1063"/>
      <c r="AB39" s="1140" t="s">
        <v>1126</v>
      </c>
      <c r="AC39" s="259"/>
      <c r="AD39" s="790"/>
      <c r="AE39" s="267"/>
      <c r="AF39" s="268"/>
      <c r="AG39" s="269">
        <f t="shared" ref="AG39:AG102" si="12">IF(AD39&lt;=33,0,IF(AD39&gt;81,2,1))</f>
        <v>0</v>
      </c>
      <c r="AH39" s="271" t="e">
        <f t="shared" ref="AH39:AH102" si="13">IF(OR(AE39="Probabilidad",AE39="Ambos"),T39-AG39,T39)</f>
        <v>#N/A</v>
      </c>
      <c r="AI39" s="272" t="e">
        <f>IF(AH39&lt;=1,"Remota",VLOOKUP(AH39,[71]Listas!$C$6:$D$10,2,0))</f>
        <v>#N/A</v>
      </c>
      <c r="AJ39" s="271" t="e">
        <f t="shared" ref="AJ39:AJ102" si="14">IF(OR(AE39="Impacto",AE39="Ambos"),U39-AG39,U39)</f>
        <v>#N/A</v>
      </c>
      <c r="AK39" s="272" t="e">
        <f>IF(AJ39&lt;=1,"Insignificante",HLOOKUP(AJ39,[71]Listas!$F$3:$J$4,2,0))</f>
        <v>#N/A</v>
      </c>
      <c r="AL39" s="273" t="e">
        <f t="shared" ref="AL39:AL102" si="15">AH39*AJ39</f>
        <v>#N/A</v>
      </c>
      <c r="AM39" s="270" t="e">
        <f>INDEX([71]Listas!$F$6:$J$10,MATCH(AI39,[71]Listas!$D$6:$D$10,0),MATCH(AK39,[71]Listas!$F$4:$J$4,0))</f>
        <v>#N/A</v>
      </c>
      <c r="AN39" s="259"/>
      <c r="AO39" s="259"/>
      <c r="AP39" s="794"/>
      <c r="AQ39" s="259"/>
      <c r="AR39" s="259" t="s">
        <v>2343</v>
      </c>
      <c r="AS39" s="790"/>
      <c r="AT39" s="259"/>
      <c r="AU39" s="259"/>
      <c r="AV39" s="261"/>
      <c r="AW39" s="261"/>
      <c r="AX39" s="790"/>
      <c r="AY39" s="262"/>
    </row>
    <row r="40" spans="1:51" s="260" customFormat="1" ht="103.5" hidden="1" customHeight="1">
      <c r="A40" s="790"/>
      <c r="B40" s="266"/>
      <c r="C40" s="1399"/>
      <c r="D40" s="1408"/>
      <c r="E40" s="1400"/>
      <c r="F40" s="267"/>
      <c r="G40" s="1399"/>
      <c r="H40" s="1408"/>
      <c r="I40" s="1400"/>
      <c r="J40" s="1380"/>
      <c r="K40" s="1380"/>
      <c r="L40" s="1380"/>
      <c r="M40" s="790"/>
      <c r="N40" s="790"/>
      <c r="O40" s="790"/>
      <c r="P40" s="790"/>
      <c r="Q40" s="266"/>
      <c r="R40" s="266"/>
      <c r="S40" s="268"/>
      <c r="T40" s="269" t="e">
        <f>VLOOKUP(Q40,[71]Listas!$D$6:$E$10,2,0)</f>
        <v>#N/A</v>
      </c>
      <c r="U40" s="269" t="e">
        <f>HLOOKUP(R40,[71]Listas!$F$4:$J$5,2,0)</f>
        <v>#N/A</v>
      </c>
      <c r="V40" s="270" t="e">
        <f>INDEX([71]Listas!$F$6:$J$10,MATCH(Q40,[71]Listas!$D$6:$D$10,0),MATCH(R40,[71]Listas!$F$4:$J$4,0))</f>
        <v>#N/A</v>
      </c>
      <c r="W40" s="268"/>
      <c r="X40" s="1399"/>
      <c r="Y40" s="1408"/>
      <c r="Z40" s="1400"/>
      <c r="AA40" s="1063"/>
      <c r="AB40" s="1140" t="s">
        <v>1126</v>
      </c>
      <c r="AC40" s="259"/>
      <c r="AD40" s="790"/>
      <c r="AE40" s="267"/>
      <c r="AF40" s="268"/>
      <c r="AG40" s="269">
        <f t="shared" si="12"/>
        <v>0</v>
      </c>
      <c r="AH40" s="271" t="e">
        <f t="shared" si="13"/>
        <v>#N/A</v>
      </c>
      <c r="AI40" s="272" t="e">
        <f>IF(AH40&lt;=1,"Remota",VLOOKUP(AH40,[71]Listas!$C$6:$D$10,2,0))</f>
        <v>#N/A</v>
      </c>
      <c r="AJ40" s="271" t="e">
        <f t="shared" si="14"/>
        <v>#N/A</v>
      </c>
      <c r="AK40" s="272" t="e">
        <f>IF(AJ40&lt;=1,"Insignificante",HLOOKUP(AJ40,[71]Listas!$F$3:$J$4,2,0))</f>
        <v>#N/A</v>
      </c>
      <c r="AL40" s="273" t="e">
        <f t="shared" si="15"/>
        <v>#N/A</v>
      </c>
      <c r="AM40" s="270" t="e">
        <f>INDEX([71]Listas!$F$6:$J$10,MATCH(AI40,[71]Listas!$D$6:$D$10,0),MATCH(AK40,[71]Listas!$F$4:$J$4,0))</f>
        <v>#N/A</v>
      </c>
      <c r="AN40" s="259"/>
      <c r="AO40" s="259"/>
      <c r="AP40" s="794"/>
      <c r="AQ40" s="259"/>
      <c r="AR40" s="259" t="s">
        <v>2343</v>
      </c>
      <c r="AS40" s="790"/>
      <c r="AT40" s="259"/>
      <c r="AU40" s="259"/>
      <c r="AV40" s="261"/>
      <c r="AW40" s="261"/>
      <c r="AX40" s="790"/>
      <c r="AY40" s="262"/>
    </row>
    <row r="41" spans="1:51" s="260" customFormat="1" ht="103.5" hidden="1" customHeight="1">
      <c r="A41" s="790"/>
      <c r="B41" s="266"/>
      <c r="C41" s="1399"/>
      <c r="D41" s="1408"/>
      <c r="E41" s="1400"/>
      <c r="F41" s="267"/>
      <c r="G41" s="1399"/>
      <c r="H41" s="1408"/>
      <c r="I41" s="1400"/>
      <c r="J41" s="1380"/>
      <c r="K41" s="1380"/>
      <c r="L41" s="1380"/>
      <c r="M41" s="790"/>
      <c r="N41" s="790"/>
      <c r="O41" s="790"/>
      <c r="P41" s="790"/>
      <c r="Q41" s="266"/>
      <c r="R41" s="266"/>
      <c r="S41" s="268"/>
      <c r="T41" s="269" t="e">
        <f>VLOOKUP(Q41,[71]Listas!$D$6:$E$10,2,0)</f>
        <v>#N/A</v>
      </c>
      <c r="U41" s="269" t="e">
        <f>HLOOKUP(R41,[71]Listas!$F$4:$J$5,2,0)</f>
        <v>#N/A</v>
      </c>
      <c r="V41" s="270" t="e">
        <f>INDEX([71]Listas!$F$6:$J$10,MATCH(Q41,[71]Listas!$D$6:$D$10,0),MATCH(R41,[71]Listas!$F$4:$J$4,0))</f>
        <v>#N/A</v>
      </c>
      <c r="W41" s="268"/>
      <c r="X41" s="1399"/>
      <c r="Y41" s="1408"/>
      <c r="Z41" s="1400"/>
      <c r="AA41" s="1063"/>
      <c r="AB41" s="1140" t="s">
        <v>1126</v>
      </c>
      <c r="AC41" s="259"/>
      <c r="AD41" s="790"/>
      <c r="AE41" s="267"/>
      <c r="AF41" s="268"/>
      <c r="AG41" s="269">
        <f t="shared" si="12"/>
        <v>0</v>
      </c>
      <c r="AH41" s="271" t="e">
        <f t="shared" si="13"/>
        <v>#N/A</v>
      </c>
      <c r="AI41" s="272" t="e">
        <f>IF(AH41&lt;=1,"Remota",VLOOKUP(AH41,[71]Listas!$C$6:$D$10,2,0))</f>
        <v>#N/A</v>
      </c>
      <c r="AJ41" s="271" t="e">
        <f t="shared" si="14"/>
        <v>#N/A</v>
      </c>
      <c r="AK41" s="272" t="e">
        <f>IF(AJ41&lt;=1,"Insignificante",HLOOKUP(AJ41,[71]Listas!$F$3:$J$4,2,0))</f>
        <v>#N/A</v>
      </c>
      <c r="AL41" s="273" t="e">
        <f t="shared" si="15"/>
        <v>#N/A</v>
      </c>
      <c r="AM41" s="270" t="e">
        <f>INDEX([71]Listas!$F$6:$J$10,MATCH(AI41,[71]Listas!$D$6:$D$10,0),MATCH(AK41,[71]Listas!$F$4:$J$4,0))</f>
        <v>#N/A</v>
      </c>
      <c r="AN41" s="259"/>
      <c r="AO41" s="259"/>
      <c r="AP41" s="794"/>
      <c r="AQ41" s="259"/>
      <c r="AR41" s="259" t="s">
        <v>2343</v>
      </c>
      <c r="AS41" s="790"/>
      <c r="AT41" s="259"/>
      <c r="AU41" s="259"/>
      <c r="AV41" s="261"/>
      <c r="AW41" s="261"/>
      <c r="AX41" s="790"/>
      <c r="AY41" s="262"/>
    </row>
    <row r="42" spans="1:51" s="260" customFormat="1" ht="103.5" hidden="1" customHeight="1">
      <c r="A42" s="790"/>
      <c r="B42" s="266"/>
      <c r="C42" s="1399"/>
      <c r="D42" s="1408"/>
      <c r="E42" s="1400"/>
      <c r="F42" s="267"/>
      <c r="G42" s="1399"/>
      <c r="H42" s="1408"/>
      <c r="I42" s="1400"/>
      <c r="J42" s="1380"/>
      <c r="K42" s="1380"/>
      <c r="L42" s="1380"/>
      <c r="M42" s="790"/>
      <c r="N42" s="790"/>
      <c r="O42" s="790"/>
      <c r="P42" s="790"/>
      <c r="Q42" s="266"/>
      <c r="R42" s="266"/>
      <c r="S42" s="268"/>
      <c r="T42" s="269" t="e">
        <f>VLOOKUP(Q42,[71]Listas!$D$6:$E$10,2,0)</f>
        <v>#N/A</v>
      </c>
      <c r="U42" s="269" t="e">
        <f>HLOOKUP(R42,[71]Listas!$F$4:$J$5,2,0)</f>
        <v>#N/A</v>
      </c>
      <c r="V42" s="270" t="e">
        <f>INDEX([71]Listas!$F$6:$J$10,MATCH(Q42,[71]Listas!$D$6:$D$10,0),MATCH(R42,[71]Listas!$F$4:$J$4,0))</f>
        <v>#N/A</v>
      </c>
      <c r="W42" s="268"/>
      <c r="X42" s="1399"/>
      <c r="Y42" s="1408"/>
      <c r="Z42" s="1400"/>
      <c r="AA42" s="1063"/>
      <c r="AB42" s="1140" t="s">
        <v>1126</v>
      </c>
      <c r="AC42" s="259"/>
      <c r="AD42" s="790"/>
      <c r="AE42" s="267"/>
      <c r="AF42" s="268"/>
      <c r="AG42" s="269">
        <f t="shared" si="12"/>
        <v>0</v>
      </c>
      <c r="AH42" s="271" t="e">
        <f t="shared" si="13"/>
        <v>#N/A</v>
      </c>
      <c r="AI42" s="272" t="e">
        <f>IF(AH42&lt;=1,"Remota",VLOOKUP(AH42,[71]Listas!$C$6:$D$10,2,0))</f>
        <v>#N/A</v>
      </c>
      <c r="AJ42" s="271" t="e">
        <f t="shared" si="14"/>
        <v>#N/A</v>
      </c>
      <c r="AK42" s="272" t="e">
        <f>IF(AJ42&lt;=1,"Insignificante",HLOOKUP(AJ42,[71]Listas!$F$3:$J$4,2,0))</f>
        <v>#N/A</v>
      </c>
      <c r="AL42" s="273" t="e">
        <f t="shared" si="15"/>
        <v>#N/A</v>
      </c>
      <c r="AM42" s="270" t="e">
        <f>INDEX([71]Listas!$F$6:$J$10,MATCH(AI42,[71]Listas!$D$6:$D$10,0),MATCH(AK42,[71]Listas!$F$4:$J$4,0))</f>
        <v>#N/A</v>
      </c>
      <c r="AN42" s="259"/>
      <c r="AO42" s="259"/>
      <c r="AP42" s="794"/>
      <c r="AQ42" s="259"/>
      <c r="AR42" s="259" t="s">
        <v>2343</v>
      </c>
      <c r="AS42" s="790"/>
      <c r="AT42" s="259"/>
      <c r="AU42" s="259"/>
      <c r="AV42" s="261"/>
      <c r="AW42" s="261"/>
      <c r="AX42" s="790"/>
      <c r="AY42" s="262"/>
    </row>
    <row r="43" spans="1:51" s="260" customFormat="1" ht="103.5" hidden="1" customHeight="1">
      <c r="A43" s="790"/>
      <c r="B43" s="266"/>
      <c r="C43" s="1399"/>
      <c r="D43" s="1408"/>
      <c r="E43" s="1400"/>
      <c r="F43" s="267"/>
      <c r="G43" s="1399"/>
      <c r="H43" s="1408"/>
      <c r="I43" s="1400"/>
      <c r="J43" s="1380"/>
      <c r="K43" s="1380"/>
      <c r="L43" s="1380"/>
      <c r="M43" s="790"/>
      <c r="N43" s="790"/>
      <c r="O43" s="790"/>
      <c r="P43" s="790"/>
      <c r="Q43" s="266"/>
      <c r="R43" s="266"/>
      <c r="S43" s="268"/>
      <c r="T43" s="269" t="e">
        <f>VLOOKUP(Q43,[71]Listas!$D$6:$E$10,2,0)</f>
        <v>#N/A</v>
      </c>
      <c r="U43" s="269" t="e">
        <f>HLOOKUP(R43,[71]Listas!$F$4:$J$5,2,0)</f>
        <v>#N/A</v>
      </c>
      <c r="V43" s="270" t="e">
        <f>INDEX([71]Listas!$F$6:$J$10,MATCH(Q43,[71]Listas!$D$6:$D$10,0),MATCH(R43,[71]Listas!$F$4:$J$4,0))</f>
        <v>#N/A</v>
      </c>
      <c r="W43" s="268"/>
      <c r="X43" s="1399"/>
      <c r="Y43" s="1408"/>
      <c r="Z43" s="1400"/>
      <c r="AA43" s="1063"/>
      <c r="AB43" s="1140" t="s">
        <v>1126</v>
      </c>
      <c r="AC43" s="259"/>
      <c r="AD43" s="790"/>
      <c r="AE43" s="267"/>
      <c r="AF43" s="268"/>
      <c r="AG43" s="269">
        <f t="shared" si="12"/>
        <v>0</v>
      </c>
      <c r="AH43" s="271" t="e">
        <f t="shared" si="13"/>
        <v>#N/A</v>
      </c>
      <c r="AI43" s="272" t="e">
        <f>IF(AH43&lt;=1,"Remota",VLOOKUP(AH43,[71]Listas!$C$6:$D$10,2,0))</f>
        <v>#N/A</v>
      </c>
      <c r="AJ43" s="271" t="e">
        <f t="shared" si="14"/>
        <v>#N/A</v>
      </c>
      <c r="AK43" s="272" t="e">
        <f>IF(AJ43&lt;=1,"Insignificante",HLOOKUP(AJ43,[71]Listas!$F$3:$J$4,2,0))</f>
        <v>#N/A</v>
      </c>
      <c r="AL43" s="273" t="e">
        <f t="shared" si="15"/>
        <v>#N/A</v>
      </c>
      <c r="AM43" s="270" t="e">
        <f>INDEX([71]Listas!$F$6:$J$10,MATCH(AI43,[71]Listas!$D$6:$D$10,0),MATCH(AK43,[71]Listas!$F$4:$J$4,0))</f>
        <v>#N/A</v>
      </c>
      <c r="AN43" s="259"/>
      <c r="AO43" s="259"/>
      <c r="AP43" s="794"/>
      <c r="AQ43" s="259"/>
      <c r="AR43" s="259" t="s">
        <v>2343</v>
      </c>
      <c r="AS43" s="790"/>
      <c r="AT43" s="259"/>
      <c r="AU43" s="259"/>
      <c r="AV43" s="261"/>
      <c r="AW43" s="261"/>
      <c r="AX43" s="790"/>
      <c r="AY43" s="262"/>
    </row>
    <row r="44" spans="1:51" s="260" customFormat="1" ht="103.5" hidden="1" customHeight="1">
      <c r="A44" s="790"/>
      <c r="B44" s="266"/>
      <c r="C44" s="1399"/>
      <c r="D44" s="1408"/>
      <c r="E44" s="1400"/>
      <c r="F44" s="267"/>
      <c r="G44" s="1399"/>
      <c r="H44" s="1408"/>
      <c r="I44" s="1400"/>
      <c r="J44" s="1380"/>
      <c r="K44" s="1380"/>
      <c r="L44" s="1380"/>
      <c r="M44" s="790"/>
      <c r="N44" s="790"/>
      <c r="O44" s="790"/>
      <c r="P44" s="790"/>
      <c r="Q44" s="266"/>
      <c r="R44" s="266"/>
      <c r="S44" s="268"/>
      <c r="T44" s="269" t="e">
        <f>VLOOKUP(Q44,[71]Listas!$D$6:$E$10,2,0)</f>
        <v>#N/A</v>
      </c>
      <c r="U44" s="269" t="e">
        <f>HLOOKUP(R44,[71]Listas!$F$4:$J$5,2,0)</f>
        <v>#N/A</v>
      </c>
      <c r="V44" s="270" t="e">
        <f>INDEX([71]Listas!$F$6:$J$10,MATCH(Q44,[71]Listas!$D$6:$D$10,0),MATCH(R44,[71]Listas!$F$4:$J$4,0))</f>
        <v>#N/A</v>
      </c>
      <c r="W44" s="268"/>
      <c r="X44" s="1399"/>
      <c r="Y44" s="1408"/>
      <c r="Z44" s="1400"/>
      <c r="AA44" s="1063"/>
      <c r="AB44" s="1140" t="s">
        <v>1126</v>
      </c>
      <c r="AC44" s="259"/>
      <c r="AD44" s="790"/>
      <c r="AE44" s="267"/>
      <c r="AF44" s="268"/>
      <c r="AG44" s="269">
        <f t="shared" si="12"/>
        <v>0</v>
      </c>
      <c r="AH44" s="271" t="e">
        <f t="shared" si="13"/>
        <v>#N/A</v>
      </c>
      <c r="AI44" s="272" t="e">
        <f>IF(AH44&lt;=1,"Remota",VLOOKUP(AH44,[71]Listas!$C$6:$D$10,2,0))</f>
        <v>#N/A</v>
      </c>
      <c r="AJ44" s="271" t="e">
        <f t="shared" si="14"/>
        <v>#N/A</v>
      </c>
      <c r="AK44" s="272" t="e">
        <f>IF(AJ44&lt;=1,"Insignificante",HLOOKUP(AJ44,[71]Listas!$F$3:$J$4,2,0))</f>
        <v>#N/A</v>
      </c>
      <c r="AL44" s="273" t="e">
        <f t="shared" si="15"/>
        <v>#N/A</v>
      </c>
      <c r="AM44" s="270" t="e">
        <f>INDEX([71]Listas!$F$6:$J$10,MATCH(AI44,[71]Listas!$D$6:$D$10,0),MATCH(AK44,[71]Listas!$F$4:$J$4,0))</f>
        <v>#N/A</v>
      </c>
      <c r="AN44" s="259"/>
      <c r="AO44" s="259"/>
      <c r="AP44" s="794"/>
      <c r="AQ44" s="259"/>
      <c r="AR44" s="259" t="s">
        <v>2343</v>
      </c>
      <c r="AS44" s="790"/>
      <c r="AT44" s="259"/>
      <c r="AU44" s="259"/>
      <c r="AV44" s="261"/>
      <c r="AW44" s="261"/>
      <c r="AX44" s="790"/>
      <c r="AY44" s="262"/>
    </row>
    <row r="45" spans="1:51" s="260" customFormat="1" ht="103.5" hidden="1" customHeight="1">
      <c r="A45" s="790"/>
      <c r="B45" s="266"/>
      <c r="C45" s="1399"/>
      <c r="D45" s="1408"/>
      <c r="E45" s="1400"/>
      <c r="F45" s="267"/>
      <c r="G45" s="1399"/>
      <c r="H45" s="1408"/>
      <c r="I45" s="1400"/>
      <c r="J45" s="1380"/>
      <c r="K45" s="1380"/>
      <c r="L45" s="1380"/>
      <c r="M45" s="790"/>
      <c r="N45" s="790"/>
      <c r="O45" s="790"/>
      <c r="P45" s="790"/>
      <c r="Q45" s="266"/>
      <c r="R45" s="266"/>
      <c r="S45" s="268"/>
      <c r="T45" s="269" t="e">
        <f>VLOOKUP(Q45,[71]Listas!$D$6:$E$10,2,0)</f>
        <v>#N/A</v>
      </c>
      <c r="U45" s="269" t="e">
        <f>HLOOKUP(R45,[71]Listas!$F$4:$J$5,2,0)</f>
        <v>#N/A</v>
      </c>
      <c r="V45" s="270" t="e">
        <f>INDEX([71]Listas!$F$6:$J$10,MATCH(Q45,[71]Listas!$D$6:$D$10,0),MATCH(R45,[71]Listas!$F$4:$J$4,0))</f>
        <v>#N/A</v>
      </c>
      <c r="W45" s="268"/>
      <c r="X45" s="1399"/>
      <c r="Y45" s="1408"/>
      <c r="Z45" s="1400"/>
      <c r="AA45" s="1063"/>
      <c r="AB45" s="1140" t="s">
        <v>1126</v>
      </c>
      <c r="AC45" s="259"/>
      <c r="AD45" s="790"/>
      <c r="AE45" s="267"/>
      <c r="AF45" s="268"/>
      <c r="AG45" s="269">
        <f t="shared" si="12"/>
        <v>0</v>
      </c>
      <c r="AH45" s="271" t="e">
        <f t="shared" si="13"/>
        <v>#N/A</v>
      </c>
      <c r="AI45" s="272" t="e">
        <f>IF(AH45&lt;=1,"Remota",VLOOKUP(AH45,[71]Listas!$C$6:$D$10,2,0))</f>
        <v>#N/A</v>
      </c>
      <c r="AJ45" s="271" t="e">
        <f t="shared" si="14"/>
        <v>#N/A</v>
      </c>
      <c r="AK45" s="272" t="e">
        <f>IF(AJ45&lt;=1,"Insignificante",HLOOKUP(AJ45,[71]Listas!$F$3:$J$4,2,0))</f>
        <v>#N/A</v>
      </c>
      <c r="AL45" s="273" t="e">
        <f t="shared" si="15"/>
        <v>#N/A</v>
      </c>
      <c r="AM45" s="270" t="e">
        <f>INDEX([71]Listas!$F$6:$J$10,MATCH(AI45,[71]Listas!$D$6:$D$10,0),MATCH(AK45,[71]Listas!$F$4:$J$4,0))</f>
        <v>#N/A</v>
      </c>
      <c r="AN45" s="259"/>
      <c r="AO45" s="259"/>
      <c r="AP45" s="794"/>
      <c r="AQ45" s="259"/>
      <c r="AR45" s="259" t="s">
        <v>2343</v>
      </c>
      <c r="AS45" s="790"/>
      <c r="AT45" s="259"/>
      <c r="AU45" s="259"/>
      <c r="AV45" s="261"/>
      <c r="AW45" s="261"/>
      <c r="AX45" s="790"/>
      <c r="AY45" s="262"/>
    </row>
    <row r="46" spans="1:51" s="260" customFormat="1" ht="103.5" hidden="1" customHeight="1">
      <c r="A46" s="790"/>
      <c r="B46" s="266"/>
      <c r="C46" s="1399"/>
      <c r="D46" s="1408"/>
      <c r="E46" s="1400"/>
      <c r="F46" s="267"/>
      <c r="G46" s="1399"/>
      <c r="H46" s="1408"/>
      <c r="I46" s="1400"/>
      <c r="J46" s="1380"/>
      <c r="K46" s="1380"/>
      <c r="L46" s="1380"/>
      <c r="M46" s="790"/>
      <c r="N46" s="790"/>
      <c r="O46" s="790"/>
      <c r="P46" s="790"/>
      <c r="Q46" s="266"/>
      <c r="R46" s="266"/>
      <c r="S46" s="268"/>
      <c r="T46" s="269" t="e">
        <f>VLOOKUP(Q46,[71]Listas!$D$6:$E$10,2,0)</f>
        <v>#N/A</v>
      </c>
      <c r="U46" s="269" t="e">
        <f>HLOOKUP(R46,[71]Listas!$F$4:$J$5,2,0)</f>
        <v>#N/A</v>
      </c>
      <c r="V46" s="270" t="e">
        <f>INDEX([71]Listas!$F$6:$J$10,MATCH(Q46,[71]Listas!$D$6:$D$10,0),MATCH(R46,[71]Listas!$F$4:$J$4,0))</f>
        <v>#N/A</v>
      </c>
      <c r="W46" s="268"/>
      <c r="X46" s="1399"/>
      <c r="Y46" s="1408"/>
      <c r="Z46" s="1400"/>
      <c r="AA46" s="1063"/>
      <c r="AB46" s="1140" t="s">
        <v>1126</v>
      </c>
      <c r="AC46" s="259"/>
      <c r="AD46" s="790"/>
      <c r="AE46" s="267"/>
      <c r="AF46" s="268"/>
      <c r="AG46" s="269">
        <f t="shared" si="12"/>
        <v>0</v>
      </c>
      <c r="AH46" s="271" t="e">
        <f t="shared" si="13"/>
        <v>#N/A</v>
      </c>
      <c r="AI46" s="272" t="e">
        <f>IF(AH46&lt;=1,"Remota",VLOOKUP(AH46,[71]Listas!$C$6:$D$10,2,0))</f>
        <v>#N/A</v>
      </c>
      <c r="AJ46" s="271" t="e">
        <f t="shared" si="14"/>
        <v>#N/A</v>
      </c>
      <c r="AK46" s="272" t="e">
        <f>IF(AJ46&lt;=1,"Insignificante",HLOOKUP(AJ46,[71]Listas!$F$3:$J$4,2,0))</f>
        <v>#N/A</v>
      </c>
      <c r="AL46" s="273" t="e">
        <f t="shared" si="15"/>
        <v>#N/A</v>
      </c>
      <c r="AM46" s="270" t="e">
        <f>INDEX([71]Listas!$F$6:$J$10,MATCH(AI46,[71]Listas!$D$6:$D$10,0),MATCH(AK46,[71]Listas!$F$4:$J$4,0))</f>
        <v>#N/A</v>
      </c>
      <c r="AN46" s="259"/>
      <c r="AO46" s="259"/>
      <c r="AP46" s="794"/>
      <c r="AQ46" s="259"/>
      <c r="AR46" s="259" t="s">
        <v>2343</v>
      </c>
      <c r="AS46" s="790"/>
      <c r="AT46" s="259"/>
      <c r="AU46" s="259"/>
      <c r="AV46" s="261"/>
      <c r="AW46" s="261"/>
      <c r="AX46" s="790"/>
      <c r="AY46" s="262"/>
    </row>
    <row r="47" spans="1:51" s="260" customFormat="1" ht="103.5" hidden="1" customHeight="1">
      <c r="A47" s="790"/>
      <c r="B47" s="266"/>
      <c r="C47" s="1399"/>
      <c r="D47" s="1408"/>
      <c r="E47" s="1400"/>
      <c r="F47" s="267"/>
      <c r="G47" s="1399"/>
      <c r="H47" s="1408"/>
      <c r="I47" s="1400"/>
      <c r="J47" s="1380"/>
      <c r="K47" s="1380"/>
      <c r="L47" s="1380"/>
      <c r="M47" s="790"/>
      <c r="N47" s="790"/>
      <c r="O47" s="790"/>
      <c r="P47" s="790"/>
      <c r="Q47" s="266"/>
      <c r="R47" s="266"/>
      <c r="S47" s="268"/>
      <c r="T47" s="269" t="e">
        <f>VLOOKUP(Q47,[71]Listas!$D$6:$E$10,2,0)</f>
        <v>#N/A</v>
      </c>
      <c r="U47" s="269" t="e">
        <f>HLOOKUP(R47,[71]Listas!$F$4:$J$5,2,0)</f>
        <v>#N/A</v>
      </c>
      <c r="V47" s="270" t="e">
        <f>INDEX([71]Listas!$F$6:$J$10,MATCH(Q47,[71]Listas!$D$6:$D$10,0),MATCH(R47,[71]Listas!$F$4:$J$4,0))</f>
        <v>#N/A</v>
      </c>
      <c r="W47" s="268"/>
      <c r="X47" s="1399"/>
      <c r="Y47" s="1408"/>
      <c r="Z47" s="1400"/>
      <c r="AA47" s="1063"/>
      <c r="AB47" s="1140" t="s">
        <v>1126</v>
      </c>
      <c r="AC47" s="259"/>
      <c r="AD47" s="790"/>
      <c r="AE47" s="267"/>
      <c r="AF47" s="268"/>
      <c r="AG47" s="269">
        <f t="shared" si="12"/>
        <v>0</v>
      </c>
      <c r="AH47" s="271" t="e">
        <f t="shared" si="13"/>
        <v>#N/A</v>
      </c>
      <c r="AI47" s="272" t="e">
        <f>IF(AH47&lt;=1,"Remota",VLOOKUP(AH47,[71]Listas!$C$6:$D$10,2,0))</f>
        <v>#N/A</v>
      </c>
      <c r="AJ47" s="271" t="e">
        <f t="shared" si="14"/>
        <v>#N/A</v>
      </c>
      <c r="AK47" s="272" t="e">
        <f>IF(AJ47&lt;=1,"Insignificante",HLOOKUP(AJ47,[71]Listas!$F$3:$J$4,2,0))</f>
        <v>#N/A</v>
      </c>
      <c r="AL47" s="273" t="e">
        <f t="shared" si="15"/>
        <v>#N/A</v>
      </c>
      <c r="AM47" s="270" t="e">
        <f>INDEX([71]Listas!$F$6:$J$10,MATCH(AI47,[71]Listas!$D$6:$D$10,0),MATCH(AK47,[71]Listas!$F$4:$J$4,0))</f>
        <v>#N/A</v>
      </c>
      <c r="AN47" s="259"/>
      <c r="AO47" s="259"/>
      <c r="AP47" s="794"/>
      <c r="AQ47" s="259"/>
      <c r="AR47" s="259" t="s">
        <v>2343</v>
      </c>
      <c r="AS47" s="790"/>
      <c r="AT47" s="259"/>
      <c r="AU47" s="259"/>
      <c r="AV47" s="261"/>
      <c r="AW47" s="261"/>
      <c r="AX47" s="790"/>
      <c r="AY47" s="262"/>
    </row>
    <row r="48" spans="1:51" s="260" customFormat="1" ht="103.5" hidden="1" customHeight="1">
      <c r="A48" s="790"/>
      <c r="B48" s="266"/>
      <c r="C48" s="1399"/>
      <c r="D48" s="1408"/>
      <c r="E48" s="1400"/>
      <c r="F48" s="267"/>
      <c r="G48" s="1399"/>
      <c r="H48" s="1408"/>
      <c r="I48" s="1400"/>
      <c r="J48" s="1380"/>
      <c r="K48" s="1380"/>
      <c r="L48" s="1380"/>
      <c r="M48" s="790"/>
      <c r="N48" s="790"/>
      <c r="O48" s="790"/>
      <c r="P48" s="790"/>
      <c r="Q48" s="266"/>
      <c r="R48" s="266"/>
      <c r="S48" s="268"/>
      <c r="T48" s="269" t="e">
        <f>VLOOKUP(Q48,[71]Listas!$D$6:$E$10,2,0)</f>
        <v>#N/A</v>
      </c>
      <c r="U48" s="269" t="e">
        <f>HLOOKUP(R48,[71]Listas!$F$4:$J$5,2,0)</f>
        <v>#N/A</v>
      </c>
      <c r="V48" s="270" t="e">
        <f>INDEX([71]Listas!$F$6:$J$10,MATCH(Q48,[71]Listas!$D$6:$D$10,0),MATCH(R48,[71]Listas!$F$4:$J$4,0))</f>
        <v>#N/A</v>
      </c>
      <c r="W48" s="268"/>
      <c r="X48" s="1399"/>
      <c r="Y48" s="1408"/>
      <c r="Z48" s="1400"/>
      <c r="AA48" s="1063"/>
      <c r="AB48" s="1140" t="s">
        <v>1126</v>
      </c>
      <c r="AC48" s="259"/>
      <c r="AD48" s="790"/>
      <c r="AE48" s="267"/>
      <c r="AF48" s="268"/>
      <c r="AG48" s="269">
        <f t="shared" si="12"/>
        <v>0</v>
      </c>
      <c r="AH48" s="271" t="e">
        <f t="shared" si="13"/>
        <v>#N/A</v>
      </c>
      <c r="AI48" s="272" t="e">
        <f>IF(AH48&lt;=1,"Remota",VLOOKUP(AH48,[71]Listas!$C$6:$D$10,2,0))</f>
        <v>#N/A</v>
      </c>
      <c r="AJ48" s="271" t="e">
        <f t="shared" si="14"/>
        <v>#N/A</v>
      </c>
      <c r="AK48" s="272" t="e">
        <f>IF(AJ48&lt;=1,"Insignificante",HLOOKUP(AJ48,[71]Listas!$F$3:$J$4,2,0))</f>
        <v>#N/A</v>
      </c>
      <c r="AL48" s="273" t="e">
        <f t="shared" si="15"/>
        <v>#N/A</v>
      </c>
      <c r="AM48" s="270" t="e">
        <f>INDEX([71]Listas!$F$6:$J$10,MATCH(AI48,[71]Listas!$D$6:$D$10,0),MATCH(AK48,[71]Listas!$F$4:$J$4,0))</f>
        <v>#N/A</v>
      </c>
      <c r="AN48" s="259"/>
      <c r="AO48" s="259"/>
      <c r="AP48" s="794"/>
      <c r="AQ48" s="259"/>
      <c r="AR48" s="259" t="s">
        <v>2343</v>
      </c>
      <c r="AS48" s="790"/>
      <c r="AT48" s="259"/>
      <c r="AU48" s="259"/>
      <c r="AV48" s="261"/>
      <c r="AW48" s="261"/>
      <c r="AX48" s="790"/>
      <c r="AY48" s="262"/>
    </row>
    <row r="49" spans="1:51" s="260" customFormat="1" ht="103.5" hidden="1" customHeight="1">
      <c r="A49" s="790"/>
      <c r="B49" s="266"/>
      <c r="C49" s="1399"/>
      <c r="D49" s="1408"/>
      <c r="E49" s="1400"/>
      <c r="F49" s="267"/>
      <c r="G49" s="1399"/>
      <c r="H49" s="1408"/>
      <c r="I49" s="1400"/>
      <c r="J49" s="1380"/>
      <c r="K49" s="1380"/>
      <c r="L49" s="1380"/>
      <c r="M49" s="790"/>
      <c r="N49" s="790"/>
      <c r="O49" s="790"/>
      <c r="P49" s="790"/>
      <c r="Q49" s="266"/>
      <c r="R49" s="266"/>
      <c r="S49" s="268"/>
      <c r="T49" s="269" t="e">
        <f>VLOOKUP(Q49,[71]Listas!$D$6:$E$10,2,0)</f>
        <v>#N/A</v>
      </c>
      <c r="U49" s="269" t="e">
        <f>HLOOKUP(R49,[71]Listas!$F$4:$J$5,2,0)</f>
        <v>#N/A</v>
      </c>
      <c r="V49" s="270" t="e">
        <f>INDEX([71]Listas!$F$6:$J$10,MATCH(Q49,[71]Listas!$D$6:$D$10,0),MATCH(R49,[71]Listas!$F$4:$J$4,0))</f>
        <v>#N/A</v>
      </c>
      <c r="W49" s="268"/>
      <c r="X49" s="1399"/>
      <c r="Y49" s="1408"/>
      <c r="Z49" s="1400"/>
      <c r="AA49" s="1063"/>
      <c r="AB49" s="1140" t="s">
        <v>1126</v>
      </c>
      <c r="AC49" s="259"/>
      <c r="AD49" s="790"/>
      <c r="AE49" s="267"/>
      <c r="AF49" s="268"/>
      <c r="AG49" s="269">
        <f t="shared" si="12"/>
        <v>0</v>
      </c>
      <c r="AH49" s="271" t="e">
        <f t="shared" si="13"/>
        <v>#N/A</v>
      </c>
      <c r="AI49" s="272" t="e">
        <f>IF(AH49&lt;=1,"Remota",VLOOKUP(AH49,[71]Listas!$C$6:$D$10,2,0))</f>
        <v>#N/A</v>
      </c>
      <c r="AJ49" s="271" t="e">
        <f t="shared" si="14"/>
        <v>#N/A</v>
      </c>
      <c r="AK49" s="272" t="e">
        <f>IF(AJ49&lt;=1,"Insignificante",HLOOKUP(AJ49,[71]Listas!$F$3:$J$4,2,0))</f>
        <v>#N/A</v>
      </c>
      <c r="AL49" s="273" t="e">
        <f t="shared" si="15"/>
        <v>#N/A</v>
      </c>
      <c r="AM49" s="270" t="e">
        <f>INDEX([71]Listas!$F$6:$J$10,MATCH(AI49,[71]Listas!$D$6:$D$10,0),MATCH(AK49,[71]Listas!$F$4:$J$4,0))</f>
        <v>#N/A</v>
      </c>
      <c r="AN49" s="259"/>
      <c r="AO49" s="259"/>
      <c r="AP49" s="794"/>
      <c r="AQ49" s="259"/>
      <c r="AR49" s="259" t="s">
        <v>2343</v>
      </c>
      <c r="AS49" s="790"/>
      <c r="AT49" s="259"/>
      <c r="AU49" s="259"/>
      <c r="AV49" s="261"/>
      <c r="AW49" s="261"/>
      <c r="AX49" s="790"/>
      <c r="AY49" s="262"/>
    </row>
    <row r="50" spans="1:51" s="260" customFormat="1" ht="103.5" hidden="1" customHeight="1">
      <c r="A50" s="790"/>
      <c r="B50" s="266"/>
      <c r="C50" s="1399"/>
      <c r="D50" s="1408"/>
      <c r="E50" s="1400"/>
      <c r="F50" s="267"/>
      <c r="G50" s="1399"/>
      <c r="H50" s="1408"/>
      <c r="I50" s="1400"/>
      <c r="J50" s="1380"/>
      <c r="K50" s="1380"/>
      <c r="L50" s="1380"/>
      <c r="M50" s="790"/>
      <c r="N50" s="790"/>
      <c r="O50" s="790"/>
      <c r="P50" s="790"/>
      <c r="Q50" s="266"/>
      <c r="R50" s="266"/>
      <c r="S50" s="268"/>
      <c r="T50" s="269" t="e">
        <f>VLOOKUP(Q50,[71]Listas!$D$6:$E$10,2,0)</f>
        <v>#N/A</v>
      </c>
      <c r="U50" s="269" t="e">
        <f>HLOOKUP(R50,[71]Listas!$F$4:$J$5,2,0)</f>
        <v>#N/A</v>
      </c>
      <c r="V50" s="270" t="e">
        <f>INDEX([71]Listas!$F$6:$J$10,MATCH(Q50,[71]Listas!$D$6:$D$10,0),MATCH(R50,[71]Listas!$F$4:$J$4,0))</f>
        <v>#N/A</v>
      </c>
      <c r="W50" s="268"/>
      <c r="X50" s="1399"/>
      <c r="Y50" s="1408"/>
      <c r="Z50" s="1400"/>
      <c r="AA50" s="1063"/>
      <c r="AB50" s="1140" t="s">
        <v>1126</v>
      </c>
      <c r="AC50" s="259"/>
      <c r="AD50" s="790"/>
      <c r="AE50" s="267"/>
      <c r="AF50" s="268"/>
      <c r="AG50" s="269">
        <f t="shared" si="12"/>
        <v>0</v>
      </c>
      <c r="AH50" s="271" t="e">
        <f t="shared" si="13"/>
        <v>#N/A</v>
      </c>
      <c r="AI50" s="272" t="e">
        <f>IF(AH50&lt;=1,"Remota",VLOOKUP(AH50,[71]Listas!$C$6:$D$10,2,0))</f>
        <v>#N/A</v>
      </c>
      <c r="AJ50" s="271" t="e">
        <f t="shared" si="14"/>
        <v>#N/A</v>
      </c>
      <c r="AK50" s="272" t="e">
        <f>IF(AJ50&lt;=1,"Insignificante",HLOOKUP(AJ50,[71]Listas!$F$3:$J$4,2,0))</f>
        <v>#N/A</v>
      </c>
      <c r="AL50" s="273" t="e">
        <f t="shared" si="15"/>
        <v>#N/A</v>
      </c>
      <c r="AM50" s="270" t="e">
        <f>INDEX([71]Listas!$F$6:$J$10,MATCH(AI50,[71]Listas!$D$6:$D$10,0),MATCH(AK50,[71]Listas!$F$4:$J$4,0))</f>
        <v>#N/A</v>
      </c>
      <c r="AN50" s="259"/>
      <c r="AO50" s="259"/>
      <c r="AP50" s="794"/>
      <c r="AQ50" s="259"/>
      <c r="AR50" s="259" t="s">
        <v>2343</v>
      </c>
      <c r="AS50" s="790"/>
      <c r="AT50" s="259"/>
      <c r="AU50" s="259"/>
      <c r="AV50" s="261"/>
      <c r="AW50" s="261"/>
      <c r="AX50" s="790"/>
      <c r="AY50" s="262"/>
    </row>
    <row r="51" spans="1:51" s="260" customFormat="1" ht="103.5" hidden="1" customHeight="1">
      <c r="A51" s="790"/>
      <c r="B51" s="266"/>
      <c r="C51" s="1399"/>
      <c r="D51" s="1408"/>
      <c r="E51" s="1400"/>
      <c r="F51" s="267"/>
      <c r="G51" s="1399"/>
      <c r="H51" s="1408"/>
      <c r="I51" s="1400"/>
      <c r="J51" s="1380"/>
      <c r="K51" s="1380"/>
      <c r="L51" s="1380"/>
      <c r="M51" s="790"/>
      <c r="N51" s="790"/>
      <c r="O51" s="790"/>
      <c r="P51" s="790"/>
      <c r="Q51" s="266"/>
      <c r="R51" s="266"/>
      <c r="S51" s="268"/>
      <c r="T51" s="269" t="e">
        <f>VLOOKUP(Q51,[71]Listas!$D$6:$E$10,2,0)</f>
        <v>#N/A</v>
      </c>
      <c r="U51" s="269" t="e">
        <f>HLOOKUP(R51,[71]Listas!$F$4:$J$5,2,0)</f>
        <v>#N/A</v>
      </c>
      <c r="V51" s="270" t="e">
        <f>INDEX([71]Listas!$F$6:$J$10,MATCH(Q51,[71]Listas!$D$6:$D$10,0),MATCH(R51,[71]Listas!$F$4:$J$4,0))</f>
        <v>#N/A</v>
      </c>
      <c r="W51" s="268"/>
      <c r="X51" s="1399"/>
      <c r="Y51" s="1408"/>
      <c r="Z51" s="1400"/>
      <c r="AA51" s="1063"/>
      <c r="AB51" s="1140" t="s">
        <v>1126</v>
      </c>
      <c r="AC51" s="259"/>
      <c r="AD51" s="790"/>
      <c r="AE51" s="267"/>
      <c r="AF51" s="268"/>
      <c r="AG51" s="269">
        <f t="shared" si="12"/>
        <v>0</v>
      </c>
      <c r="AH51" s="271" t="e">
        <f t="shared" si="13"/>
        <v>#N/A</v>
      </c>
      <c r="AI51" s="272" t="e">
        <f>IF(AH51&lt;=1,"Remota",VLOOKUP(AH51,[71]Listas!$C$6:$D$10,2,0))</f>
        <v>#N/A</v>
      </c>
      <c r="AJ51" s="271" t="e">
        <f t="shared" si="14"/>
        <v>#N/A</v>
      </c>
      <c r="AK51" s="272" t="e">
        <f>IF(AJ51&lt;=1,"Insignificante",HLOOKUP(AJ51,[71]Listas!$F$3:$J$4,2,0))</f>
        <v>#N/A</v>
      </c>
      <c r="AL51" s="273" t="e">
        <f t="shared" si="15"/>
        <v>#N/A</v>
      </c>
      <c r="AM51" s="270" t="e">
        <f>INDEX([71]Listas!$F$6:$J$10,MATCH(AI51,[71]Listas!$D$6:$D$10,0),MATCH(AK51,[71]Listas!$F$4:$J$4,0))</f>
        <v>#N/A</v>
      </c>
      <c r="AN51" s="259"/>
      <c r="AO51" s="259"/>
      <c r="AP51" s="794"/>
      <c r="AQ51" s="259"/>
      <c r="AR51" s="259" t="s">
        <v>2343</v>
      </c>
      <c r="AS51" s="790"/>
      <c r="AT51" s="259"/>
      <c r="AU51" s="259"/>
      <c r="AV51" s="261"/>
      <c r="AW51" s="261"/>
      <c r="AX51" s="790"/>
      <c r="AY51" s="262"/>
    </row>
    <row r="52" spans="1:51" s="260" customFormat="1" ht="103.5" hidden="1" customHeight="1">
      <c r="A52" s="813"/>
      <c r="B52" s="274"/>
      <c r="C52" s="1399"/>
      <c r="D52" s="1408"/>
      <c r="E52" s="1400"/>
      <c r="F52" s="267"/>
      <c r="G52" s="1399"/>
      <c r="H52" s="1408"/>
      <c r="I52" s="1400"/>
      <c r="J52" s="1380"/>
      <c r="K52" s="1380"/>
      <c r="L52" s="1380"/>
      <c r="M52" s="790"/>
      <c r="N52" s="790"/>
      <c r="O52" s="790"/>
      <c r="P52" s="790"/>
      <c r="Q52" s="266"/>
      <c r="R52" s="266"/>
      <c r="S52" s="268"/>
      <c r="T52" s="269" t="e">
        <f>VLOOKUP(Q52,[71]Listas!$D$6:$E$10,2,0)</f>
        <v>#N/A</v>
      </c>
      <c r="U52" s="269" t="e">
        <f>HLOOKUP(R52,[71]Listas!$F$4:$J$5,2,0)</f>
        <v>#N/A</v>
      </c>
      <c r="V52" s="270" t="e">
        <f>INDEX([71]Listas!$F$6:$J$10,MATCH(Q52,[71]Listas!$D$6:$D$10,0),MATCH(R52,[71]Listas!$F$4:$J$4,0))</f>
        <v>#N/A</v>
      </c>
      <c r="W52" s="268"/>
      <c r="X52" s="1399"/>
      <c r="Y52" s="1408"/>
      <c r="Z52" s="1400"/>
      <c r="AA52" s="1063"/>
      <c r="AB52" s="1140" t="s">
        <v>1126</v>
      </c>
      <c r="AC52" s="259"/>
      <c r="AD52" s="790"/>
      <c r="AE52" s="267"/>
      <c r="AF52" s="268"/>
      <c r="AG52" s="269">
        <f t="shared" si="12"/>
        <v>0</v>
      </c>
      <c r="AH52" s="271" t="e">
        <f t="shared" si="13"/>
        <v>#N/A</v>
      </c>
      <c r="AI52" s="272" t="e">
        <f>IF(AH52&lt;=1,"Remota",VLOOKUP(AH52,[71]Listas!$C$6:$D$10,2,0))</f>
        <v>#N/A</v>
      </c>
      <c r="AJ52" s="271" t="e">
        <f t="shared" si="14"/>
        <v>#N/A</v>
      </c>
      <c r="AK52" s="272" t="e">
        <f>IF(AJ52&lt;=1,"Insignificante",HLOOKUP(AJ52,[71]Listas!$F$3:$J$4,2,0))</f>
        <v>#N/A</v>
      </c>
      <c r="AL52" s="273" t="e">
        <f t="shared" si="15"/>
        <v>#N/A</v>
      </c>
      <c r="AM52" s="270" t="e">
        <f>INDEX([71]Listas!$F$6:$J$10,MATCH(AI52,[71]Listas!$D$6:$D$10,0),MATCH(AK52,[71]Listas!$F$4:$J$4,0))</f>
        <v>#N/A</v>
      </c>
      <c r="AN52" s="259"/>
      <c r="AO52" s="259"/>
      <c r="AP52" s="794"/>
      <c r="AQ52" s="259"/>
      <c r="AR52" s="259" t="s">
        <v>2343</v>
      </c>
      <c r="AS52" s="790"/>
      <c r="AT52" s="259"/>
      <c r="AU52" s="259"/>
      <c r="AV52" s="261"/>
      <c r="AW52" s="261"/>
      <c r="AX52" s="790"/>
      <c r="AY52" s="262"/>
    </row>
    <row r="53" spans="1:51" s="260" customFormat="1" ht="103.5" hidden="1" customHeight="1">
      <c r="A53" s="790"/>
      <c r="B53" s="266"/>
      <c r="C53" s="1399"/>
      <c r="D53" s="1408"/>
      <c r="E53" s="1400"/>
      <c r="F53" s="267"/>
      <c r="G53" s="1399"/>
      <c r="H53" s="1408"/>
      <c r="I53" s="1400"/>
      <c r="J53" s="1380"/>
      <c r="K53" s="1380"/>
      <c r="L53" s="1380"/>
      <c r="M53" s="790"/>
      <c r="N53" s="790"/>
      <c r="O53" s="790"/>
      <c r="P53" s="790"/>
      <c r="Q53" s="266"/>
      <c r="R53" s="266"/>
      <c r="S53" s="268"/>
      <c r="T53" s="269" t="e">
        <f>VLOOKUP(Q53,[71]Listas!$D$6:$E$10,2,0)</f>
        <v>#N/A</v>
      </c>
      <c r="U53" s="269" t="e">
        <f>HLOOKUP(R53,[71]Listas!$F$4:$J$5,2,0)</f>
        <v>#N/A</v>
      </c>
      <c r="V53" s="270" t="e">
        <f>INDEX([71]Listas!$F$6:$J$10,MATCH(Q53,[71]Listas!$D$6:$D$10,0),MATCH(R53,[71]Listas!$F$4:$J$4,0))</f>
        <v>#N/A</v>
      </c>
      <c r="W53" s="268"/>
      <c r="X53" s="1399"/>
      <c r="Y53" s="1408"/>
      <c r="Z53" s="1400"/>
      <c r="AA53" s="1063"/>
      <c r="AB53" s="1140" t="s">
        <v>1126</v>
      </c>
      <c r="AC53" s="259"/>
      <c r="AD53" s="790"/>
      <c r="AE53" s="267"/>
      <c r="AF53" s="268"/>
      <c r="AG53" s="269">
        <f t="shared" si="12"/>
        <v>0</v>
      </c>
      <c r="AH53" s="271" t="e">
        <f t="shared" si="13"/>
        <v>#N/A</v>
      </c>
      <c r="AI53" s="272" t="e">
        <f>IF(AH53&lt;=1,"Remota",VLOOKUP(AH53,[71]Listas!$C$6:$D$10,2,0))</f>
        <v>#N/A</v>
      </c>
      <c r="AJ53" s="271" t="e">
        <f t="shared" si="14"/>
        <v>#N/A</v>
      </c>
      <c r="AK53" s="272" t="e">
        <f>IF(AJ53&lt;=1,"Insignificante",HLOOKUP(AJ53,[71]Listas!$F$3:$J$4,2,0))</f>
        <v>#N/A</v>
      </c>
      <c r="AL53" s="273" t="e">
        <f t="shared" si="15"/>
        <v>#N/A</v>
      </c>
      <c r="AM53" s="270" t="e">
        <f>INDEX([71]Listas!$F$6:$J$10,MATCH(AI53,[71]Listas!$D$6:$D$10,0),MATCH(AK53,[71]Listas!$F$4:$J$4,0))</f>
        <v>#N/A</v>
      </c>
      <c r="AN53" s="259"/>
      <c r="AO53" s="259"/>
      <c r="AP53" s="794"/>
      <c r="AQ53" s="259"/>
      <c r="AR53" s="259" t="s">
        <v>2343</v>
      </c>
      <c r="AS53" s="790"/>
      <c r="AT53" s="259"/>
      <c r="AU53" s="259"/>
      <c r="AV53" s="261"/>
      <c r="AW53" s="261"/>
      <c r="AX53" s="790"/>
      <c r="AY53" s="262"/>
    </row>
    <row r="54" spans="1:51" s="260" customFormat="1" ht="103.5" hidden="1" customHeight="1">
      <c r="A54" s="790"/>
      <c r="B54" s="266"/>
      <c r="C54" s="1399"/>
      <c r="D54" s="1408"/>
      <c r="E54" s="1400"/>
      <c r="F54" s="267"/>
      <c r="G54" s="1399"/>
      <c r="H54" s="1408"/>
      <c r="I54" s="1400"/>
      <c r="J54" s="1380"/>
      <c r="K54" s="1380"/>
      <c r="L54" s="1380"/>
      <c r="M54" s="790"/>
      <c r="N54" s="790"/>
      <c r="O54" s="790"/>
      <c r="P54" s="790"/>
      <c r="Q54" s="266"/>
      <c r="R54" s="266"/>
      <c r="S54" s="268"/>
      <c r="T54" s="269" t="e">
        <f>VLOOKUP(Q54,[71]Listas!$D$6:$E$10,2,0)</f>
        <v>#N/A</v>
      </c>
      <c r="U54" s="269" t="e">
        <f>HLOOKUP(R54,[71]Listas!$F$4:$J$5,2,0)</f>
        <v>#N/A</v>
      </c>
      <c r="V54" s="270" t="e">
        <f>INDEX([71]Listas!$F$6:$J$10,MATCH(Q54,[71]Listas!$D$6:$D$10,0),MATCH(R54,[71]Listas!$F$4:$J$4,0))</f>
        <v>#N/A</v>
      </c>
      <c r="W54" s="268"/>
      <c r="X54" s="1399"/>
      <c r="Y54" s="1408"/>
      <c r="Z54" s="1400"/>
      <c r="AA54" s="1063"/>
      <c r="AB54" s="1140" t="s">
        <v>1126</v>
      </c>
      <c r="AC54" s="259"/>
      <c r="AD54" s="790"/>
      <c r="AE54" s="267"/>
      <c r="AF54" s="268"/>
      <c r="AG54" s="269">
        <f t="shared" si="12"/>
        <v>0</v>
      </c>
      <c r="AH54" s="271" t="e">
        <f t="shared" si="13"/>
        <v>#N/A</v>
      </c>
      <c r="AI54" s="272" t="e">
        <f>IF(AH54&lt;=1,"Remota",VLOOKUP(AH54,[71]Listas!$C$6:$D$10,2,0))</f>
        <v>#N/A</v>
      </c>
      <c r="AJ54" s="271" t="e">
        <f t="shared" si="14"/>
        <v>#N/A</v>
      </c>
      <c r="AK54" s="272" t="e">
        <f>IF(AJ54&lt;=1,"Insignificante",HLOOKUP(AJ54,[71]Listas!$F$3:$J$4,2,0))</f>
        <v>#N/A</v>
      </c>
      <c r="AL54" s="273" t="e">
        <f t="shared" si="15"/>
        <v>#N/A</v>
      </c>
      <c r="AM54" s="270" t="e">
        <f>INDEX([71]Listas!$F$6:$J$10,MATCH(AI54,[71]Listas!$D$6:$D$10,0),MATCH(AK54,[71]Listas!$F$4:$J$4,0))</f>
        <v>#N/A</v>
      </c>
      <c r="AN54" s="259"/>
      <c r="AO54" s="259"/>
      <c r="AP54" s="794"/>
      <c r="AQ54" s="259"/>
      <c r="AR54" s="259" t="s">
        <v>2343</v>
      </c>
      <c r="AS54" s="790"/>
      <c r="AT54" s="259"/>
      <c r="AU54" s="259"/>
      <c r="AV54" s="261"/>
      <c r="AW54" s="261"/>
      <c r="AX54" s="790"/>
      <c r="AY54" s="262"/>
    </row>
    <row r="55" spans="1:51" s="260" customFormat="1" ht="103.5" hidden="1" customHeight="1">
      <c r="A55" s="790"/>
      <c r="B55" s="266"/>
      <c r="C55" s="1399"/>
      <c r="D55" s="1408"/>
      <c r="E55" s="1400"/>
      <c r="F55" s="267"/>
      <c r="G55" s="1399"/>
      <c r="H55" s="1408"/>
      <c r="I55" s="1400"/>
      <c r="J55" s="1380"/>
      <c r="K55" s="1380"/>
      <c r="L55" s="1380"/>
      <c r="M55" s="790"/>
      <c r="N55" s="790"/>
      <c r="O55" s="790"/>
      <c r="P55" s="790"/>
      <c r="Q55" s="266"/>
      <c r="R55" s="266"/>
      <c r="S55" s="268"/>
      <c r="T55" s="269" t="e">
        <f>VLOOKUP(Q55,[71]Listas!$D$6:$E$10,2,0)</f>
        <v>#N/A</v>
      </c>
      <c r="U55" s="269" t="e">
        <f>HLOOKUP(R55,[71]Listas!$F$4:$J$5,2,0)</f>
        <v>#N/A</v>
      </c>
      <c r="V55" s="270" t="e">
        <f>INDEX([71]Listas!$F$6:$J$10,MATCH(Q55,[71]Listas!$D$6:$D$10,0),MATCH(R55,[71]Listas!$F$4:$J$4,0))</f>
        <v>#N/A</v>
      </c>
      <c r="W55" s="268"/>
      <c r="X55" s="1399"/>
      <c r="Y55" s="1408"/>
      <c r="Z55" s="1400"/>
      <c r="AA55" s="1063"/>
      <c r="AB55" s="1140" t="s">
        <v>1126</v>
      </c>
      <c r="AC55" s="259"/>
      <c r="AD55" s="790"/>
      <c r="AE55" s="267"/>
      <c r="AF55" s="268"/>
      <c r="AG55" s="269">
        <f t="shared" si="12"/>
        <v>0</v>
      </c>
      <c r="AH55" s="271" t="e">
        <f t="shared" si="13"/>
        <v>#N/A</v>
      </c>
      <c r="AI55" s="272" t="e">
        <f>IF(AH55&lt;=1,"Remota",VLOOKUP(AH55,[71]Listas!$C$6:$D$10,2,0))</f>
        <v>#N/A</v>
      </c>
      <c r="AJ55" s="271" t="e">
        <f t="shared" si="14"/>
        <v>#N/A</v>
      </c>
      <c r="AK55" s="272" t="e">
        <f>IF(AJ55&lt;=1,"Insignificante",HLOOKUP(AJ55,[71]Listas!$F$3:$J$4,2,0))</f>
        <v>#N/A</v>
      </c>
      <c r="AL55" s="273" t="e">
        <f t="shared" si="15"/>
        <v>#N/A</v>
      </c>
      <c r="AM55" s="270" t="e">
        <f>INDEX([71]Listas!$F$6:$J$10,MATCH(AI55,[71]Listas!$D$6:$D$10,0),MATCH(AK55,[71]Listas!$F$4:$J$4,0))</f>
        <v>#N/A</v>
      </c>
      <c r="AN55" s="259"/>
      <c r="AO55" s="259"/>
      <c r="AP55" s="794"/>
      <c r="AQ55" s="259"/>
      <c r="AR55" s="259" t="s">
        <v>2343</v>
      </c>
      <c r="AS55" s="790"/>
      <c r="AT55" s="259"/>
      <c r="AU55" s="259"/>
      <c r="AV55" s="261"/>
      <c r="AW55" s="261"/>
      <c r="AX55" s="790"/>
      <c r="AY55" s="262"/>
    </row>
    <row r="56" spans="1:51" s="260" customFormat="1" ht="103.5" hidden="1" customHeight="1">
      <c r="A56" s="790"/>
      <c r="B56" s="266"/>
      <c r="C56" s="1399"/>
      <c r="D56" s="1408"/>
      <c r="E56" s="1400"/>
      <c r="F56" s="267"/>
      <c r="G56" s="1399"/>
      <c r="H56" s="1408"/>
      <c r="I56" s="1400"/>
      <c r="J56" s="1380"/>
      <c r="K56" s="1380"/>
      <c r="L56" s="1380"/>
      <c r="M56" s="790"/>
      <c r="N56" s="790"/>
      <c r="O56" s="790"/>
      <c r="P56" s="790"/>
      <c r="Q56" s="266"/>
      <c r="R56" s="266"/>
      <c r="S56" s="268"/>
      <c r="T56" s="269" t="e">
        <f>VLOOKUP(Q56,[71]Listas!$D$6:$E$10,2,0)</f>
        <v>#N/A</v>
      </c>
      <c r="U56" s="269" t="e">
        <f>HLOOKUP(R56,[71]Listas!$F$4:$J$5,2,0)</f>
        <v>#N/A</v>
      </c>
      <c r="V56" s="270" t="e">
        <f>INDEX([71]Listas!$F$6:$J$10,MATCH(Q56,[71]Listas!$D$6:$D$10,0),MATCH(R56,[71]Listas!$F$4:$J$4,0))</f>
        <v>#N/A</v>
      </c>
      <c r="W56" s="268"/>
      <c r="X56" s="1399"/>
      <c r="Y56" s="1408"/>
      <c r="Z56" s="1400"/>
      <c r="AA56" s="1063"/>
      <c r="AB56" s="1140" t="s">
        <v>1126</v>
      </c>
      <c r="AC56" s="259"/>
      <c r="AD56" s="790"/>
      <c r="AE56" s="267"/>
      <c r="AF56" s="268"/>
      <c r="AG56" s="269">
        <f t="shared" si="12"/>
        <v>0</v>
      </c>
      <c r="AH56" s="271" t="e">
        <f t="shared" si="13"/>
        <v>#N/A</v>
      </c>
      <c r="AI56" s="272" t="e">
        <f>IF(AH56&lt;=1,"Remota",VLOOKUP(AH56,[71]Listas!$C$6:$D$10,2,0))</f>
        <v>#N/A</v>
      </c>
      <c r="AJ56" s="271" t="e">
        <f t="shared" si="14"/>
        <v>#N/A</v>
      </c>
      <c r="AK56" s="272" t="e">
        <f>IF(AJ56&lt;=1,"Insignificante",HLOOKUP(AJ56,[71]Listas!$F$3:$J$4,2,0))</f>
        <v>#N/A</v>
      </c>
      <c r="AL56" s="273" t="e">
        <f t="shared" si="15"/>
        <v>#N/A</v>
      </c>
      <c r="AM56" s="270" t="e">
        <f>INDEX([71]Listas!$F$6:$J$10,MATCH(AI56,[71]Listas!$D$6:$D$10,0),MATCH(AK56,[71]Listas!$F$4:$J$4,0))</f>
        <v>#N/A</v>
      </c>
      <c r="AN56" s="259"/>
      <c r="AO56" s="259"/>
      <c r="AP56" s="794"/>
      <c r="AQ56" s="259"/>
      <c r="AR56" s="259" t="s">
        <v>2343</v>
      </c>
      <c r="AS56" s="790"/>
      <c r="AT56" s="259"/>
      <c r="AU56" s="259"/>
      <c r="AV56" s="261"/>
      <c r="AW56" s="261"/>
      <c r="AX56" s="790"/>
      <c r="AY56" s="262"/>
    </row>
    <row r="57" spans="1:51" s="260" customFormat="1" ht="103.5" hidden="1" customHeight="1">
      <c r="A57" s="790"/>
      <c r="B57" s="266"/>
      <c r="C57" s="1399"/>
      <c r="D57" s="1408"/>
      <c r="E57" s="1400"/>
      <c r="F57" s="267"/>
      <c r="G57" s="1399"/>
      <c r="H57" s="1408"/>
      <c r="I57" s="1400"/>
      <c r="J57" s="1380"/>
      <c r="K57" s="1380"/>
      <c r="L57" s="1380"/>
      <c r="M57" s="790"/>
      <c r="N57" s="790"/>
      <c r="O57" s="790"/>
      <c r="P57" s="790"/>
      <c r="Q57" s="266"/>
      <c r="R57" s="266"/>
      <c r="S57" s="268"/>
      <c r="T57" s="269" t="e">
        <f>VLOOKUP(Q57,[71]Listas!$D$6:$E$10,2,0)</f>
        <v>#N/A</v>
      </c>
      <c r="U57" s="269" t="e">
        <f>HLOOKUP(R57,[71]Listas!$F$4:$J$5,2,0)</f>
        <v>#N/A</v>
      </c>
      <c r="V57" s="270" t="e">
        <f>INDEX([71]Listas!$F$6:$J$10,MATCH(Q57,[71]Listas!$D$6:$D$10,0),MATCH(R57,[71]Listas!$F$4:$J$4,0))</f>
        <v>#N/A</v>
      </c>
      <c r="W57" s="268"/>
      <c r="X57" s="1399"/>
      <c r="Y57" s="1408"/>
      <c r="Z57" s="1400"/>
      <c r="AA57" s="1063"/>
      <c r="AB57" s="1140" t="s">
        <v>1126</v>
      </c>
      <c r="AC57" s="259"/>
      <c r="AD57" s="790"/>
      <c r="AE57" s="267"/>
      <c r="AF57" s="268"/>
      <c r="AG57" s="269">
        <f t="shared" si="12"/>
        <v>0</v>
      </c>
      <c r="AH57" s="271" t="e">
        <f t="shared" si="13"/>
        <v>#N/A</v>
      </c>
      <c r="AI57" s="272" t="e">
        <f>IF(AH57&lt;=1,"Remota",VLOOKUP(AH57,[71]Listas!$C$6:$D$10,2,0))</f>
        <v>#N/A</v>
      </c>
      <c r="AJ57" s="271" t="e">
        <f t="shared" si="14"/>
        <v>#N/A</v>
      </c>
      <c r="AK57" s="272" t="e">
        <f>IF(AJ57&lt;=1,"Insignificante",HLOOKUP(AJ57,[71]Listas!$F$3:$J$4,2,0))</f>
        <v>#N/A</v>
      </c>
      <c r="AL57" s="273" t="e">
        <f t="shared" si="15"/>
        <v>#N/A</v>
      </c>
      <c r="AM57" s="270" t="e">
        <f>INDEX([71]Listas!$F$6:$J$10,MATCH(AI57,[71]Listas!$D$6:$D$10,0),MATCH(AK57,[71]Listas!$F$4:$J$4,0))</f>
        <v>#N/A</v>
      </c>
      <c r="AN57" s="259"/>
      <c r="AO57" s="259"/>
      <c r="AP57" s="794"/>
      <c r="AQ57" s="259"/>
      <c r="AR57" s="259" t="s">
        <v>2343</v>
      </c>
      <c r="AS57" s="790"/>
      <c r="AT57" s="259"/>
      <c r="AU57" s="259"/>
      <c r="AV57" s="261"/>
      <c r="AW57" s="261"/>
      <c r="AX57" s="790"/>
      <c r="AY57" s="262"/>
    </row>
    <row r="58" spans="1:51" s="260" customFormat="1" ht="103.5" hidden="1" customHeight="1">
      <c r="A58" s="790"/>
      <c r="B58" s="266"/>
      <c r="C58" s="1399"/>
      <c r="D58" s="1408"/>
      <c r="E58" s="1400"/>
      <c r="F58" s="267"/>
      <c r="G58" s="1399"/>
      <c r="H58" s="1408"/>
      <c r="I58" s="1400"/>
      <c r="J58" s="1380"/>
      <c r="K58" s="1380"/>
      <c r="L58" s="1380"/>
      <c r="M58" s="790"/>
      <c r="N58" s="790"/>
      <c r="O58" s="790"/>
      <c r="P58" s="790"/>
      <c r="Q58" s="266"/>
      <c r="R58" s="266"/>
      <c r="S58" s="268"/>
      <c r="T58" s="269" t="e">
        <f>VLOOKUP(Q58,[71]Listas!$D$6:$E$10,2,0)</f>
        <v>#N/A</v>
      </c>
      <c r="U58" s="269" t="e">
        <f>HLOOKUP(R58,[71]Listas!$F$4:$J$5,2,0)</f>
        <v>#N/A</v>
      </c>
      <c r="V58" s="270" t="e">
        <f>INDEX([71]Listas!$F$6:$J$10,MATCH(Q58,[71]Listas!$D$6:$D$10,0),MATCH(R58,[71]Listas!$F$4:$J$4,0))</f>
        <v>#N/A</v>
      </c>
      <c r="W58" s="268"/>
      <c r="X58" s="1399"/>
      <c r="Y58" s="1408"/>
      <c r="Z58" s="1400"/>
      <c r="AA58" s="1063"/>
      <c r="AB58" s="1140" t="s">
        <v>1126</v>
      </c>
      <c r="AC58" s="259"/>
      <c r="AD58" s="790"/>
      <c r="AE58" s="267"/>
      <c r="AF58" s="268"/>
      <c r="AG58" s="269">
        <f t="shared" si="12"/>
        <v>0</v>
      </c>
      <c r="AH58" s="271" t="e">
        <f t="shared" si="13"/>
        <v>#N/A</v>
      </c>
      <c r="AI58" s="272" t="e">
        <f>IF(AH58&lt;=1,"Remota",VLOOKUP(AH58,[71]Listas!$C$6:$D$10,2,0))</f>
        <v>#N/A</v>
      </c>
      <c r="AJ58" s="271" t="e">
        <f t="shared" si="14"/>
        <v>#N/A</v>
      </c>
      <c r="AK58" s="272" t="e">
        <f>IF(AJ58&lt;=1,"Insignificante",HLOOKUP(AJ58,[71]Listas!$F$3:$J$4,2,0))</f>
        <v>#N/A</v>
      </c>
      <c r="AL58" s="273" t="e">
        <f t="shared" si="15"/>
        <v>#N/A</v>
      </c>
      <c r="AM58" s="270" t="e">
        <f>INDEX([71]Listas!$F$6:$J$10,MATCH(AI58,[71]Listas!$D$6:$D$10,0),MATCH(AK58,[71]Listas!$F$4:$J$4,0))</f>
        <v>#N/A</v>
      </c>
      <c r="AN58" s="259"/>
      <c r="AO58" s="259"/>
      <c r="AP58" s="794"/>
      <c r="AQ58" s="259"/>
      <c r="AR58" s="259" t="s">
        <v>2343</v>
      </c>
      <c r="AS58" s="790"/>
      <c r="AT58" s="259"/>
      <c r="AU58" s="259"/>
      <c r="AV58" s="261"/>
      <c r="AW58" s="261"/>
      <c r="AX58" s="790"/>
      <c r="AY58" s="262"/>
    </row>
    <row r="59" spans="1:51" s="260" customFormat="1" ht="103.5" hidden="1" customHeight="1">
      <c r="A59" s="790"/>
      <c r="B59" s="266"/>
      <c r="C59" s="1399"/>
      <c r="D59" s="1408"/>
      <c r="E59" s="1400"/>
      <c r="F59" s="267"/>
      <c r="G59" s="1399"/>
      <c r="H59" s="1408"/>
      <c r="I59" s="1400"/>
      <c r="J59" s="1380"/>
      <c r="K59" s="1380"/>
      <c r="L59" s="1380"/>
      <c r="M59" s="790"/>
      <c r="N59" s="790"/>
      <c r="O59" s="790"/>
      <c r="P59" s="790"/>
      <c r="Q59" s="266"/>
      <c r="R59" s="266"/>
      <c r="S59" s="268"/>
      <c r="T59" s="269" t="e">
        <f>VLOOKUP(Q59,[71]Listas!$D$6:$E$10,2,0)</f>
        <v>#N/A</v>
      </c>
      <c r="U59" s="269" t="e">
        <f>HLOOKUP(R59,[71]Listas!$F$4:$J$5,2,0)</f>
        <v>#N/A</v>
      </c>
      <c r="V59" s="270" t="e">
        <f>INDEX([71]Listas!$F$6:$J$10,MATCH(Q59,[71]Listas!$D$6:$D$10,0),MATCH(R59,[71]Listas!$F$4:$J$4,0))</f>
        <v>#N/A</v>
      </c>
      <c r="W59" s="268"/>
      <c r="X59" s="1399"/>
      <c r="Y59" s="1408"/>
      <c r="Z59" s="1400"/>
      <c r="AA59" s="1063"/>
      <c r="AB59" s="1140" t="s">
        <v>1126</v>
      </c>
      <c r="AC59" s="259"/>
      <c r="AD59" s="790"/>
      <c r="AE59" s="267"/>
      <c r="AF59" s="268"/>
      <c r="AG59" s="269">
        <f t="shared" si="12"/>
        <v>0</v>
      </c>
      <c r="AH59" s="271" t="e">
        <f t="shared" si="13"/>
        <v>#N/A</v>
      </c>
      <c r="AI59" s="272" t="e">
        <f>IF(AH59&lt;=1,"Remota",VLOOKUP(AH59,[71]Listas!$C$6:$D$10,2,0))</f>
        <v>#N/A</v>
      </c>
      <c r="AJ59" s="271" t="e">
        <f t="shared" si="14"/>
        <v>#N/A</v>
      </c>
      <c r="AK59" s="272" t="e">
        <f>IF(AJ59&lt;=1,"Insignificante",HLOOKUP(AJ59,[71]Listas!$F$3:$J$4,2,0))</f>
        <v>#N/A</v>
      </c>
      <c r="AL59" s="273" t="e">
        <f t="shared" si="15"/>
        <v>#N/A</v>
      </c>
      <c r="AM59" s="270" t="e">
        <f>INDEX([71]Listas!$F$6:$J$10,MATCH(AI59,[71]Listas!$D$6:$D$10,0),MATCH(AK59,[71]Listas!$F$4:$J$4,0))</f>
        <v>#N/A</v>
      </c>
      <c r="AN59" s="259"/>
      <c r="AO59" s="259"/>
      <c r="AP59" s="794"/>
      <c r="AQ59" s="259"/>
      <c r="AR59" s="259" t="s">
        <v>2343</v>
      </c>
      <c r="AS59" s="790"/>
      <c r="AT59" s="259"/>
      <c r="AU59" s="259"/>
      <c r="AV59" s="261"/>
      <c r="AW59" s="261"/>
      <c r="AX59" s="790"/>
      <c r="AY59" s="262"/>
    </row>
    <row r="60" spans="1:51" s="260" customFormat="1" ht="103.5" hidden="1" customHeight="1">
      <c r="A60" s="790"/>
      <c r="B60" s="266"/>
      <c r="C60" s="1399"/>
      <c r="D60" s="1408"/>
      <c r="E60" s="1400"/>
      <c r="F60" s="267"/>
      <c r="G60" s="1399"/>
      <c r="H60" s="1408"/>
      <c r="I60" s="1400"/>
      <c r="J60" s="1380"/>
      <c r="K60" s="1380"/>
      <c r="L60" s="1380"/>
      <c r="M60" s="790"/>
      <c r="N60" s="790"/>
      <c r="O60" s="790"/>
      <c r="P60" s="790"/>
      <c r="Q60" s="266"/>
      <c r="R60" s="266"/>
      <c r="S60" s="268"/>
      <c r="T60" s="269" t="e">
        <f>VLOOKUP(Q60,[71]Listas!$D$6:$E$10,2,0)</f>
        <v>#N/A</v>
      </c>
      <c r="U60" s="269" t="e">
        <f>HLOOKUP(R60,[71]Listas!$F$4:$J$5,2,0)</f>
        <v>#N/A</v>
      </c>
      <c r="V60" s="270" t="e">
        <f>INDEX([71]Listas!$F$6:$J$10,MATCH(Q60,[71]Listas!$D$6:$D$10,0),MATCH(R60,[71]Listas!$F$4:$J$4,0))</f>
        <v>#N/A</v>
      </c>
      <c r="W60" s="268"/>
      <c r="X60" s="1399"/>
      <c r="Y60" s="1408"/>
      <c r="Z60" s="1400"/>
      <c r="AA60" s="1063"/>
      <c r="AB60" s="1140" t="s">
        <v>1126</v>
      </c>
      <c r="AC60" s="259"/>
      <c r="AD60" s="790"/>
      <c r="AE60" s="267"/>
      <c r="AF60" s="268"/>
      <c r="AG60" s="269">
        <f t="shared" si="12"/>
        <v>0</v>
      </c>
      <c r="AH60" s="271" t="e">
        <f t="shared" si="13"/>
        <v>#N/A</v>
      </c>
      <c r="AI60" s="272" t="e">
        <f>IF(AH60&lt;=1,"Remota",VLOOKUP(AH60,[71]Listas!$C$6:$D$10,2,0))</f>
        <v>#N/A</v>
      </c>
      <c r="AJ60" s="271" t="e">
        <f t="shared" si="14"/>
        <v>#N/A</v>
      </c>
      <c r="AK60" s="272" t="e">
        <f>IF(AJ60&lt;=1,"Insignificante",HLOOKUP(AJ60,[71]Listas!$F$3:$J$4,2,0))</f>
        <v>#N/A</v>
      </c>
      <c r="AL60" s="273" t="e">
        <f t="shared" si="15"/>
        <v>#N/A</v>
      </c>
      <c r="AM60" s="270" t="e">
        <f>INDEX([71]Listas!$F$6:$J$10,MATCH(AI60,[71]Listas!$D$6:$D$10,0),MATCH(AK60,[71]Listas!$F$4:$J$4,0))</f>
        <v>#N/A</v>
      </c>
      <c r="AN60" s="259"/>
      <c r="AO60" s="259"/>
      <c r="AP60" s="794"/>
      <c r="AQ60" s="259"/>
      <c r="AR60" s="259" t="s">
        <v>2343</v>
      </c>
      <c r="AS60" s="790"/>
      <c r="AT60" s="259"/>
      <c r="AU60" s="259"/>
      <c r="AV60" s="261"/>
      <c r="AW60" s="261"/>
      <c r="AX60" s="790"/>
      <c r="AY60" s="262"/>
    </row>
    <row r="61" spans="1:51" s="260" customFormat="1" ht="103.5" hidden="1" customHeight="1">
      <c r="A61" s="790"/>
      <c r="B61" s="266"/>
      <c r="C61" s="1399"/>
      <c r="D61" s="1408"/>
      <c r="E61" s="1400"/>
      <c r="F61" s="267"/>
      <c r="G61" s="1399"/>
      <c r="H61" s="1408"/>
      <c r="I61" s="1400"/>
      <c r="J61" s="1380"/>
      <c r="K61" s="1380"/>
      <c r="L61" s="1380"/>
      <c r="M61" s="790"/>
      <c r="N61" s="790"/>
      <c r="O61" s="790"/>
      <c r="P61" s="790"/>
      <c r="Q61" s="266"/>
      <c r="R61" s="266"/>
      <c r="S61" s="268"/>
      <c r="T61" s="269" t="e">
        <f>VLOOKUP(Q61,[71]Listas!$D$6:$E$10,2,0)</f>
        <v>#N/A</v>
      </c>
      <c r="U61" s="269" t="e">
        <f>HLOOKUP(R61,[71]Listas!$F$4:$J$5,2,0)</f>
        <v>#N/A</v>
      </c>
      <c r="V61" s="270" t="e">
        <f>INDEX([71]Listas!$F$6:$J$10,MATCH(Q61,[71]Listas!$D$6:$D$10,0),MATCH(R61,[71]Listas!$F$4:$J$4,0))</f>
        <v>#N/A</v>
      </c>
      <c r="W61" s="268"/>
      <c r="X61" s="1399"/>
      <c r="Y61" s="1408"/>
      <c r="Z61" s="1400"/>
      <c r="AA61" s="1063"/>
      <c r="AB61" s="1140" t="s">
        <v>1126</v>
      </c>
      <c r="AC61" s="259"/>
      <c r="AD61" s="790"/>
      <c r="AE61" s="267"/>
      <c r="AF61" s="268"/>
      <c r="AG61" s="269">
        <f t="shared" si="12"/>
        <v>0</v>
      </c>
      <c r="AH61" s="271" t="e">
        <f t="shared" si="13"/>
        <v>#N/A</v>
      </c>
      <c r="AI61" s="272" t="e">
        <f>IF(AH61&lt;=1,"Remota",VLOOKUP(AH61,[71]Listas!$C$6:$D$10,2,0))</f>
        <v>#N/A</v>
      </c>
      <c r="AJ61" s="271" t="e">
        <f t="shared" si="14"/>
        <v>#N/A</v>
      </c>
      <c r="AK61" s="272" t="e">
        <f>IF(AJ61&lt;=1,"Insignificante",HLOOKUP(AJ61,[71]Listas!$F$3:$J$4,2,0))</f>
        <v>#N/A</v>
      </c>
      <c r="AL61" s="273" t="e">
        <f t="shared" si="15"/>
        <v>#N/A</v>
      </c>
      <c r="AM61" s="270" t="e">
        <f>INDEX([71]Listas!$F$6:$J$10,MATCH(AI61,[71]Listas!$D$6:$D$10,0),MATCH(AK61,[71]Listas!$F$4:$J$4,0))</f>
        <v>#N/A</v>
      </c>
      <c r="AN61" s="259"/>
      <c r="AO61" s="259"/>
      <c r="AP61" s="794"/>
      <c r="AQ61" s="259"/>
      <c r="AR61" s="259" t="s">
        <v>2343</v>
      </c>
      <c r="AS61" s="790"/>
      <c r="AT61" s="259"/>
      <c r="AU61" s="259"/>
      <c r="AV61" s="261"/>
      <c r="AW61" s="261"/>
      <c r="AX61" s="790"/>
      <c r="AY61" s="262"/>
    </row>
    <row r="62" spans="1:51" s="260" customFormat="1" ht="103.5" hidden="1" customHeight="1">
      <c r="A62" s="790"/>
      <c r="B62" s="266"/>
      <c r="C62" s="1399"/>
      <c r="D62" s="1408"/>
      <c r="E62" s="1400"/>
      <c r="F62" s="267"/>
      <c r="G62" s="1399"/>
      <c r="H62" s="1408"/>
      <c r="I62" s="1400"/>
      <c r="J62" s="1380"/>
      <c r="K62" s="1380"/>
      <c r="L62" s="1380"/>
      <c r="M62" s="790"/>
      <c r="N62" s="790"/>
      <c r="O62" s="790"/>
      <c r="P62" s="790"/>
      <c r="Q62" s="266"/>
      <c r="R62" s="266"/>
      <c r="S62" s="268"/>
      <c r="T62" s="269" t="e">
        <f>VLOOKUP(Q62,[71]Listas!$D$6:$E$10,2,0)</f>
        <v>#N/A</v>
      </c>
      <c r="U62" s="269" t="e">
        <f>HLOOKUP(R62,[71]Listas!$F$4:$J$5,2,0)</f>
        <v>#N/A</v>
      </c>
      <c r="V62" s="270" t="e">
        <f>INDEX([71]Listas!$F$6:$J$10,MATCH(Q62,[71]Listas!$D$6:$D$10,0),MATCH(R62,[71]Listas!$F$4:$J$4,0))</f>
        <v>#N/A</v>
      </c>
      <c r="W62" s="268"/>
      <c r="X62" s="1399"/>
      <c r="Y62" s="1408"/>
      <c r="Z62" s="1400"/>
      <c r="AA62" s="1063"/>
      <c r="AB62" s="1140" t="s">
        <v>1126</v>
      </c>
      <c r="AC62" s="259"/>
      <c r="AD62" s="790"/>
      <c r="AE62" s="267"/>
      <c r="AF62" s="268"/>
      <c r="AG62" s="269">
        <f t="shared" si="12"/>
        <v>0</v>
      </c>
      <c r="AH62" s="271" t="e">
        <f t="shared" si="13"/>
        <v>#N/A</v>
      </c>
      <c r="AI62" s="272" t="e">
        <f>IF(AH62&lt;=1,"Remota",VLOOKUP(AH62,[71]Listas!$C$6:$D$10,2,0))</f>
        <v>#N/A</v>
      </c>
      <c r="AJ62" s="271" t="e">
        <f t="shared" si="14"/>
        <v>#N/A</v>
      </c>
      <c r="AK62" s="272" t="e">
        <f>IF(AJ62&lt;=1,"Insignificante",HLOOKUP(AJ62,[71]Listas!$F$3:$J$4,2,0))</f>
        <v>#N/A</v>
      </c>
      <c r="AL62" s="273" t="e">
        <f t="shared" si="15"/>
        <v>#N/A</v>
      </c>
      <c r="AM62" s="270" t="e">
        <f>INDEX([71]Listas!$F$6:$J$10,MATCH(AI62,[71]Listas!$D$6:$D$10,0),MATCH(AK62,[71]Listas!$F$4:$J$4,0))</f>
        <v>#N/A</v>
      </c>
      <c r="AN62" s="259"/>
      <c r="AO62" s="259"/>
      <c r="AP62" s="794"/>
      <c r="AQ62" s="259"/>
      <c r="AR62" s="259" t="s">
        <v>2343</v>
      </c>
      <c r="AS62" s="790"/>
      <c r="AT62" s="259"/>
      <c r="AU62" s="259"/>
      <c r="AV62" s="261"/>
      <c r="AW62" s="261"/>
      <c r="AX62" s="790"/>
      <c r="AY62" s="262"/>
    </row>
    <row r="63" spans="1:51" s="260" customFormat="1" ht="103.5" hidden="1" customHeight="1">
      <c r="A63" s="790"/>
      <c r="B63" s="266"/>
      <c r="C63" s="1399"/>
      <c r="D63" s="1408"/>
      <c r="E63" s="1400"/>
      <c r="F63" s="267"/>
      <c r="G63" s="1399"/>
      <c r="H63" s="1408"/>
      <c r="I63" s="1400"/>
      <c r="J63" s="1380"/>
      <c r="K63" s="1380"/>
      <c r="L63" s="1380"/>
      <c r="M63" s="790"/>
      <c r="N63" s="790"/>
      <c r="O63" s="790"/>
      <c r="P63" s="790"/>
      <c r="Q63" s="266"/>
      <c r="R63" s="266"/>
      <c r="S63" s="268"/>
      <c r="T63" s="269" t="e">
        <f>VLOOKUP(Q63,[71]Listas!$D$6:$E$10,2,0)</f>
        <v>#N/A</v>
      </c>
      <c r="U63" s="269" t="e">
        <f>HLOOKUP(R63,[71]Listas!$F$4:$J$5,2,0)</f>
        <v>#N/A</v>
      </c>
      <c r="V63" s="270" t="e">
        <f>INDEX([71]Listas!$F$6:$J$10,MATCH(Q63,[71]Listas!$D$6:$D$10,0),MATCH(R63,[71]Listas!$F$4:$J$4,0))</f>
        <v>#N/A</v>
      </c>
      <c r="W63" s="268"/>
      <c r="X63" s="1399"/>
      <c r="Y63" s="1408"/>
      <c r="Z63" s="1400"/>
      <c r="AA63" s="1063"/>
      <c r="AB63" s="1140" t="s">
        <v>1126</v>
      </c>
      <c r="AC63" s="259"/>
      <c r="AD63" s="790"/>
      <c r="AE63" s="267"/>
      <c r="AF63" s="268"/>
      <c r="AG63" s="269">
        <f t="shared" si="12"/>
        <v>0</v>
      </c>
      <c r="AH63" s="271" t="e">
        <f t="shared" si="13"/>
        <v>#N/A</v>
      </c>
      <c r="AI63" s="272" t="e">
        <f>IF(AH63&lt;=1,"Remota",VLOOKUP(AH63,[71]Listas!$C$6:$D$10,2,0))</f>
        <v>#N/A</v>
      </c>
      <c r="AJ63" s="271" t="e">
        <f t="shared" si="14"/>
        <v>#N/A</v>
      </c>
      <c r="AK63" s="272" t="e">
        <f>IF(AJ63&lt;=1,"Insignificante",HLOOKUP(AJ63,[71]Listas!$F$3:$J$4,2,0))</f>
        <v>#N/A</v>
      </c>
      <c r="AL63" s="273" t="e">
        <f t="shared" si="15"/>
        <v>#N/A</v>
      </c>
      <c r="AM63" s="270" t="e">
        <f>INDEX([71]Listas!$F$6:$J$10,MATCH(AI63,[71]Listas!$D$6:$D$10,0),MATCH(AK63,[71]Listas!$F$4:$J$4,0))</f>
        <v>#N/A</v>
      </c>
      <c r="AN63" s="259"/>
      <c r="AO63" s="259"/>
      <c r="AP63" s="794"/>
      <c r="AQ63" s="259"/>
      <c r="AR63" s="259" t="s">
        <v>2343</v>
      </c>
      <c r="AS63" s="790"/>
      <c r="AT63" s="259"/>
      <c r="AU63" s="259"/>
      <c r="AV63" s="261"/>
      <c r="AW63" s="261"/>
      <c r="AX63" s="790"/>
      <c r="AY63" s="262"/>
    </row>
    <row r="64" spans="1:51" s="260" customFormat="1" ht="103.5" hidden="1" customHeight="1">
      <c r="A64" s="790"/>
      <c r="B64" s="266"/>
      <c r="C64" s="1399"/>
      <c r="D64" s="1408"/>
      <c r="E64" s="1400"/>
      <c r="F64" s="267"/>
      <c r="G64" s="1399"/>
      <c r="H64" s="1408"/>
      <c r="I64" s="1400"/>
      <c r="J64" s="1380"/>
      <c r="K64" s="1380"/>
      <c r="L64" s="1380"/>
      <c r="M64" s="790"/>
      <c r="N64" s="790"/>
      <c r="O64" s="790"/>
      <c r="P64" s="790"/>
      <c r="Q64" s="266"/>
      <c r="R64" s="266"/>
      <c r="S64" s="268"/>
      <c r="T64" s="269" t="e">
        <f>VLOOKUP(Q64,[71]Listas!$D$6:$E$10,2,0)</f>
        <v>#N/A</v>
      </c>
      <c r="U64" s="269" t="e">
        <f>HLOOKUP(R64,[71]Listas!$F$4:$J$5,2,0)</f>
        <v>#N/A</v>
      </c>
      <c r="V64" s="270" t="e">
        <f>INDEX([71]Listas!$F$6:$J$10,MATCH(Q64,[71]Listas!$D$6:$D$10,0),MATCH(R64,[71]Listas!$F$4:$J$4,0))</f>
        <v>#N/A</v>
      </c>
      <c r="W64" s="268"/>
      <c r="X64" s="1399"/>
      <c r="Y64" s="1408"/>
      <c r="Z64" s="1400"/>
      <c r="AA64" s="1063"/>
      <c r="AB64" s="1140" t="s">
        <v>1126</v>
      </c>
      <c r="AC64" s="259"/>
      <c r="AD64" s="790"/>
      <c r="AE64" s="267"/>
      <c r="AF64" s="268"/>
      <c r="AG64" s="269">
        <f t="shared" si="12"/>
        <v>0</v>
      </c>
      <c r="AH64" s="271" t="e">
        <f t="shared" si="13"/>
        <v>#N/A</v>
      </c>
      <c r="AI64" s="272" t="e">
        <f>IF(AH64&lt;=1,"Remota",VLOOKUP(AH64,[71]Listas!$C$6:$D$10,2,0))</f>
        <v>#N/A</v>
      </c>
      <c r="AJ64" s="271" t="e">
        <f t="shared" si="14"/>
        <v>#N/A</v>
      </c>
      <c r="AK64" s="272" t="e">
        <f>IF(AJ64&lt;=1,"Insignificante",HLOOKUP(AJ64,[71]Listas!$F$3:$J$4,2,0))</f>
        <v>#N/A</v>
      </c>
      <c r="AL64" s="273" t="e">
        <f t="shared" si="15"/>
        <v>#N/A</v>
      </c>
      <c r="AM64" s="270" t="e">
        <f>INDEX([71]Listas!$F$6:$J$10,MATCH(AI64,[71]Listas!$D$6:$D$10,0),MATCH(AK64,[71]Listas!$F$4:$J$4,0))</f>
        <v>#N/A</v>
      </c>
      <c r="AN64" s="259"/>
      <c r="AO64" s="259"/>
      <c r="AP64" s="794"/>
      <c r="AQ64" s="259"/>
      <c r="AR64" s="259" t="s">
        <v>2343</v>
      </c>
      <c r="AS64" s="790"/>
      <c r="AT64" s="259"/>
      <c r="AU64" s="259"/>
      <c r="AV64" s="261"/>
      <c r="AW64" s="261"/>
      <c r="AX64" s="790"/>
      <c r="AY64" s="262"/>
    </row>
    <row r="65" spans="1:51" s="260" customFormat="1" ht="103.5" hidden="1" customHeight="1">
      <c r="A65" s="790"/>
      <c r="B65" s="266"/>
      <c r="C65" s="1399"/>
      <c r="D65" s="1408"/>
      <c r="E65" s="1400"/>
      <c r="F65" s="267"/>
      <c r="G65" s="1399"/>
      <c r="H65" s="1408"/>
      <c r="I65" s="1400"/>
      <c r="J65" s="1380"/>
      <c r="K65" s="1380"/>
      <c r="L65" s="1380"/>
      <c r="M65" s="790"/>
      <c r="N65" s="790"/>
      <c r="O65" s="790"/>
      <c r="P65" s="790"/>
      <c r="Q65" s="266"/>
      <c r="R65" s="266"/>
      <c r="S65" s="268"/>
      <c r="T65" s="269" t="e">
        <f>VLOOKUP(Q65,[71]Listas!$D$6:$E$10,2,0)</f>
        <v>#N/A</v>
      </c>
      <c r="U65" s="269" t="e">
        <f>HLOOKUP(R65,[71]Listas!$F$4:$J$5,2,0)</f>
        <v>#N/A</v>
      </c>
      <c r="V65" s="270" t="e">
        <f>INDEX([71]Listas!$F$6:$J$10,MATCH(Q65,[71]Listas!$D$6:$D$10,0),MATCH(R65,[71]Listas!$F$4:$J$4,0))</f>
        <v>#N/A</v>
      </c>
      <c r="W65" s="268"/>
      <c r="X65" s="1399"/>
      <c r="Y65" s="1408"/>
      <c r="Z65" s="1400"/>
      <c r="AA65" s="1063"/>
      <c r="AB65" s="1140" t="s">
        <v>1126</v>
      </c>
      <c r="AC65" s="259"/>
      <c r="AD65" s="790"/>
      <c r="AE65" s="267"/>
      <c r="AF65" s="268"/>
      <c r="AG65" s="269">
        <f t="shared" si="12"/>
        <v>0</v>
      </c>
      <c r="AH65" s="271" t="e">
        <f t="shared" si="13"/>
        <v>#N/A</v>
      </c>
      <c r="AI65" s="272" t="e">
        <f>IF(AH65&lt;=1,"Remota",VLOOKUP(AH65,[71]Listas!$C$6:$D$10,2,0))</f>
        <v>#N/A</v>
      </c>
      <c r="AJ65" s="271" t="e">
        <f t="shared" si="14"/>
        <v>#N/A</v>
      </c>
      <c r="AK65" s="272" t="e">
        <f>IF(AJ65&lt;=1,"Insignificante",HLOOKUP(AJ65,[71]Listas!$F$3:$J$4,2,0))</f>
        <v>#N/A</v>
      </c>
      <c r="AL65" s="273" t="e">
        <f t="shared" si="15"/>
        <v>#N/A</v>
      </c>
      <c r="AM65" s="270" t="e">
        <f>INDEX([71]Listas!$F$6:$J$10,MATCH(AI65,[71]Listas!$D$6:$D$10,0),MATCH(AK65,[71]Listas!$F$4:$J$4,0))</f>
        <v>#N/A</v>
      </c>
      <c r="AN65" s="259"/>
      <c r="AO65" s="259"/>
      <c r="AP65" s="794"/>
      <c r="AQ65" s="259"/>
      <c r="AR65" s="259" t="s">
        <v>2343</v>
      </c>
      <c r="AS65" s="790"/>
      <c r="AT65" s="259"/>
      <c r="AU65" s="259"/>
      <c r="AV65" s="261"/>
      <c r="AW65" s="261"/>
      <c r="AX65" s="790"/>
      <c r="AY65" s="262"/>
    </row>
    <row r="66" spans="1:51" s="260" customFormat="1" ht="103.5" hidden="1" customHeight="1">
      <c r="A66" s="790"/>
      <c r="B66" s="266"/>
      <c r="C66" s="1399"/>
      <c r="D66" s="1408"/>
      <c r="E66" s="1400"/>
      <c r="F66" s="267"/>
      <c r="G66" s="1399"/>
      <c r="H66" s="1408"/>
      <c r="I66" s="1400"/>
      <c r="J66" s="1380"/>
      <c r="K66" s="1380"/>
      <c r="L66" s="1380"/>
      <c r="M66" s="790"/>
      <c r="N66" s="790"/>
      <c r="O66" s="790"/>
      <c r="P66" s="790"/>
      <c r="Q66" s="266"/>
      <c r="R66" s="266"/>
      <c r="S66" s="268"/>
      <c r="T66" s="269" t="e">
        <f>VLOOKUP(Q66,[71]Listas!$D$6:$E$10,2,0)</f>
        <v>#N/A</v>
      </c>
      <c r="U66" s="269" t="e">
        <f>HLOOKUP(R66,[71]Listas!$F$4:$J$5,2,0)</f>
        <v>#N/A</v>
      </c>
      <c r="V66" s="270" t="e">
        <f>INDEX([71]Listas!$F$6:$J$10,MATCH(Q66,[71]Listas!$D$6:$D$10,0),MATCH(R66,[71]Listas!$F$4:$J$4,0))</f>
        <v>#N/A</v>
      </c>
      <c r="W66" s="268"/>
      <c r="X66" s="1399"/>
      <c r="Y66" s="1408"/>
      <c r="Z66" s="1400"/>
      <c r="AA66" s="1063"/>
      <c r="AB66" s="1140" t="s">
        <v>1126</v>
      </c>
      <c r="AC66" s="259"/>
      <c r="AD66" s="790"/>
      <c r="AE66" s="267"/>
      <c r="AF66" s="268"/>
      <c r="AG66" s="269">
        <f t="shared" si="12"/>
        <v>0</v>
      </c>
      <c r="AH66" s="271" t="e">
        <f t="shared" si="13"/>
        <v>#N/A</v>
      </c>
      <c r="AI66" s="272" t="e">
        <f>IF(AH66&lt;=1,"Remota",VLOOKUP(AH66,[71]Listas!$C$6:$D$10,2,0))</f>
        <v>#N/A</v>
      </c>
      <c r="AJ66" s="271" t="e">
        <f t="shared" si="14"/>
        <v>#N/A</v>
      </c>
      <c r="AK66" s="272" t="e">
        <f>IF(AJ66&lt;=1,"Insignificante",HLOOKUP(AJ66,[71]Listas!$F$3:$J$4,2,0))</f>
        <v>#N/A</v>
      </c>
      <c r="AL66" s="273" t="e">
        <f t="shared" si="15"/>
        <v>#N/A</v>
      </c>
      <c r="AM66" s="270" t="e">
        <f>INDEX([71]Listas!$F$6:$J$10,MATCH(AI66,[71]Listas!$D$6:$D$10,0),MATCH(AK66,[71]Listas!$F$4:$J$4,0))</f>
        <v>#N/A</v>
      </c>
      <c r="AN66" s="259"/>
      <c r="AO66" s="259"/>
      <c r="AP66" s="794"/>
      <c r="AQ66" s="259"/>
      <c r="AR66" s="259" t="s">
        <v>2343</v>
      </c>
      <c r="AS66" s="790"/>
      <c r="AT66" s="259"/>
      <c r="AU66" s="259"/>
      <c r="AV66" s="261"/>
      <c r="AW66" s="261"/>
      <c r="AX66" s="790"/>
      <c r="AY66" s="262"/>
    </row>
    <row r="67" spans="1:51" s="260" customFormat="1" ht="103.5" hidden="1" customHeight="1">
      <c r="A67" s="790"/>
      <c r="B67" s="266"/>
      <c r="C67" s="1399"/>
      <c r="D67" s="1408"/>
      <c r="E67" s="1400"/>
      <c r="F67" s="267"/>
      <c r="G67" s="1399"/>
      <c r="H67" s="1408"/>
      <c r="I67" s="1400"/>
      <c r="J67" s="1380"/>
      <c r="K67" s="1380"/>
      <c r="L67" s="1380"/>
      <c r="M67" s="790"/>
      <c r="N67" s="790"/>
      <c r="O67" s="790"/>
      <c r="P67" s="790"/>
      <c r="Q67" s="266"/>
      <c r="R67" s="266"/>
      <c r="S67" s="268"/>
      <c r="T67" s="269" t="e">
        <f>VLOOKUP(Q67,[71]Listas!$D$6:$E$10,2,0)</f>
        <v>#N/A</v>
      </c>
      <c r="U67" s="269" t="e">
        <f>HLOOKUP(R67,[71]Listas!$F$4:$J$5,2,0)</f>
        <v>#N/A</v>
      </c>
      <c r="V67" s="270" t="e">
        <f>INDEX([71]Listas!$F$6:$J$10,MATCH(Q67,[71]Listas!$D$6:$D$10,0),MATCH(R67,[71]Listas!$F$4:$J$4,0))</f>
        <v>#N/A</v>
      </c>
      <c r="W67" s="268"/>
      <c r="X67" s="1399"/>
      <c r="Y67" s="1408"/>
      <c r="Z67" s="1400"/>
      <c r="AA67" s="1063"/>
      <c r="AB67" s="1140" t="s">
        <v>1126</v>
      </c>
      <c r="AC67" s="259"/>
      <c r="AD67" s="790"/>
      <c r="AE67" s="267"/>
      <c r="AF67" s="268"/>
      <c r="AG67" s="269">
        <f t="shared" si="12"/>
        <v>0</v>
      </c>
      <c r="AH67" s="271" t="e">
        <f t="shared" si="13"/>
        <v>#N/A</v>
      </c>
      <c r="AI67" s="272" t="e">
        <f>IF(AH67&lt;=1,"Remota",VLOOKUP(AH67,[71]Listas!$C$6:$D$10,2,0))</f>
        <v>#N/A</v>
      </c>
      <c r="AJ67" s="271" t="e">
        <f t="shared" si="14"/>
        <v>#N/A</v>
      </c>
      <c r="AK67" s="272" t="e">
        <f>IF(AJ67&lt;=1,"Insignificante",HLOOKUP(AJ67,[71]Listas!$F$3:$J$4,2,0))</f>
        <v>#N/A</v>
      </c>
      <c r="AL67" s="273" t="e">
        <f t="shared" si="15"/>
        <v>#N/A</v>
      </c>
      <c r="AM67" s="270" t="e">
        <f>INDEX([71]Listas!$F$6:$J$10,MATCH(AI67,[71]Listas!$D$6:$D$10,0),MATCH(AK67,[71]Listas!$F$4:$J$4,0))</f>
        <v>#N/A</v>
      </c>
      <c r="AN67" s="259"/>
      <c r="AO67" s="259"/>
      <c r="AP67" s="794"/>
      <c r="AQ67" s="259"/>
      <c r="AR67" s="259" t="s">
        <v>2343</v>
      </c>
      <c r="AS67" s="790"/>
      <c r="AT67" s="259"/>
      <c r="AU67" s="259"/>
      <c r="AV67" s="261"/>
      <c r="AW67" s="261"/>
      <c r="AX67" s="790"/>
      <c r="AY67" s="262"/>
    </row>
    <row r="68" spans="1:51" s="260" customFormat="1" ht="103.5" hidden="1" customHeight="1">
      <c r="A68" s="790"/>
      <c r="B68" s="266"/>
      <c r="C68" s="1399"/>
      <c r="D68" s="1408"/>
      <c r="E68" s="1400"/>
      <c r="F68" s="267"/>
      <c r="G68" s="1399"/>
      <c r="H68" s="1408"/>
      <c r="I68" s="1400"/>
      <c r="J68" s="1380"/>
      <c r="K68" s="1380"/>
      <c r="L68" s="1380"/>
      <c r="M68" s="790"/>
      <c r="N68" s="790"/>
      <c r="O68" s="790"/>
      <c r="P68" s="790"/>
      <c r="Q68" s="266"/>
      <c r="R68" s="266"/>
      <c r="S68" s="268"/>
      <c r="T68" s="269" t="e">
        <f>VLOOKUP(Q68,[71]Listas!$D$6:$E$10,2,0)</f>
        <v>#N/A</v>
      </c>
      <c r="U68" s="269" t="e">
        <f>HLOOKUP(R68,[71]Listas!$F$4:$J$5,2,0)</f>
        <v>#N/A</v>
      </c>
      <c r="V68" s="270" t="e">
        <f>INDEX([71]Listas!$F$6:$J$10,MATCH(Q68,[71]Listas!$D$6:$D$10,0),MATCH(R68,[71]Listas!$F$4:$J$4,0))</f>
        <v>#N/A</v>
      </c>
      <c r="W68" s="268"/>
      <c r="X68" s="1399"/>
      <c r="Y68" s="1408"/>
      <c r="Z68" s="1400"/>
      <c r="AA68" s="1063"/>
      <c r="AB68" s="1140" t="s">
        <v>1126</v>
      </c>
      <c r="AC68" s="259"/>
      <c r="AD68" s="790"/>
      <c r="AE68" s="267"/>
      <c r="AF68" s="268"/>
      <c r="AG68" s="269">
        <f t="shared" si="12"/>
        <v>0</v>
      </c>
      <c r="AH68" s="271" t="e">
        <f t="shared" si="13"/>
        <v>#N/A</v>
      </c>
      <c r="AI68" s="272" t="e">
        <f>IF(AH68&lt;=1,"Remota",VLOOKUP(AH68,[71]Listas!$C$6:$D$10,2,0))</f>
        <v>#N/A</v>
      </c>
      <c r="AJ68" s="271" t="e">
        <f t="shared" si="14"/>
        <v>#N/A</v>
      </c>
      <c r="AK68" s="272" t="e">
        <f>IF(AJ68&lt;=1,"Insignificante",HLOOKUP(AJ68,[71]Listas!$F$3:$J$4,2,0))</f>
        <v>#N/A</v>
      </c>
      <c r="AL68" s="273" t="e">
        <f t="shared" si="15"/>
        <v>#N/A</v>
      </c>
      <c r="AM68" s="270" t="e">
        <f>INDEX([71]Listas!$F$6:$J$10,MATCH(AI68,[71]Listas!$D$6:$D$10,0),MATCH(AK68,[71]Listas!$F$4:$J$4,0))</f>
        <v>#N/A</v>
      </c>
      <c r="AN68" s="259"/>
      <c r="AO68" s="259"/>
      <c r="AP68" s="794"/>
      <c r="AQ68" s="259"/>
      <c r="AR68" s="259" t="s">
        <v>2343</v>
      </c>
      <c r="AS68" s="790"/>
      <c r="AT68" s="259"/>
      <c r="AU68" s="259"/>
      <c r="AV68" s="261"/>
      <c r="AW68" s="261"/>
      <c r="AX68" s="790"/>
      <c r="AY68" s="262"/>
    </row>
    <row r="69" spans="1:51" s="260" customFormat="1" ht="103.5" hidden="1" customHeight="1">
      <c r="A69" s="790"/>
      <c r="B69" s="266"/>
      <c r="C69" s="1399"/>
      <c r="D69" s="1408"/>
      <c r="E69" s="1400"/>
      <c r="F69" s="267"/>
      <c r="G69" s="1399"/>
      <c r="H69" s="1408"/>
      <c r="I69" s="1400"/>
      <c r="J69" s="1380"/>
      <c r="K69" s="1380"/>
      <c r="L69" s="1380"/>
      <c r="M69" s="790"/>
      <c r="N69" s="790"/>
      <c r="O69" s="790"/>
      <c r="P69" s="790"/>
      <c r="Q69" s="266"/>
      <c r="R69" s="266"/>
      <c r="S69" s="268"/>
      <c r="T69" s="269" t="e">
        <f>VLOOKUP(Q69,[71]Listas!$D$6:$E$10,2,0)</f>
        <v>#N/A</v>
      </c>
      <c r="U69" s="269" t="e">
        <f>HLOOKUP(R69,[71]Listas!$F$4:$J$5,2,0)</f>
        <v>#N/A</v>
      </c>
      <c r="V69" s="270" t="e">
        <f>INDEX([71]Listas!$F$6:$J$10,MATCH(Q69,[71]Listas!$D$6:$D$10,0),MATCH(R69,[71]Listas!$F$4:$J$4,0))</f>
        <v>#N/A</v>
      </c>
      <c r="W69" s="268"/>
      <c r="X69" s="1399"/>
      <c r="Y69" s="1408"/>
      <c r="Z69" s="1400"/>
      <c r="AA69" s="1063"/>
      <c r="AB69" s="1140" t="s">
        <v>1126</v>
      </c>
      <c r="AC69" s="259"/>
      <c r="AD69" s="790"/>
      <c r="AE69" s="267"/>
      <c r="AF69" s="268"/>
      <c r="AG69" s="269">
        <f t="shared" si="12"/>
        <v>0</v>
      </c>
      <c r="AH69" s="271" t="e">
        <f t="shared" si="13"/>
        <v>#N/A</v>
      </c>
      <c r="AI69" s="272" t="e">
        <f>IF(AH69&lt;=1,"Remota",VLOOKUP(AH69,[71]Listas!$C$6:$D$10,2,0))</f>
        <v>#N/A</v>
      </c>
      <c r="AJ69" s="271" t="e">
        <f t="shared" si="14"/>
        <v>#N/A</v>
      </c>
      <c r="AK69" s="272" t="e">
        <f>IF(AJ69&lt;=1,"Insignificante",HLOOKUP(AJ69,[71]Listas!$F$3:$J$4,2,0))</f>
        <v>#N/A</v>
      </c>
      <c r="AL69" s="273" t="e">
        <f t="shared" si="15"/>
        <v>#N/A</v>
      </c>
      <c r="AM69" s="270" t="e">
        <f>INDEX([71]Listas!$F$6:$J$10,MATCH(AI69,[71]Listas!$D$6:$D$10,0),MATCH(AK69,[71]Listas!$F$4:$J$4,0))</f>
        <v>#N/A</v>
      </c>
      <c r="AN69" s="259"/>
      <c r="AO69" s="259"/>
      <c r="AP69" s="794"/>
      <c r="AQ69" s="259"/>
      <c r="AR69" s="259" t="s">
        <v>2343</v>
      </c>
      <c r="AS69" s="790"/>
      <c r="AT69" s="259"/>
      <c r="AU69" s="259"/>
      <c r="AV69" s="261"/>
      <c r="AW69" s="261"/>
      <c r="AX69" s="790"/>
      <c r="AY69" s="262"/>
    </row>
    <row r="70" spans="1:51" s="260" customFormat="1" ht="103.5" hidden="1" customHeight="1">
      <c r="A70" s="790"/>
      <c r="B70" s="266"/>
      <c r="C70" s="1399"/>
      <c r="D70" s="1408"/>
      <c r="E70" s="1400"/>
      <c r="F70" s="267"/>
      <c r="G70" s="1399"/>
      <c r="H70" s="1408"/>
      <c r="I70" s="1400"/>
      <c r="J70" s="1380"/>
      <c r="K70" s="1380"/>
      <c r="L70" s="1380"/>
      <c r="M70" s="790"/>
      <c r="N70" s="790"/>
      <c r="O70" s="790"/>
      <c r="P70" s="790"/>
      <c r="Q70" s="266"/>
      <c r="R70" s="266"/>
      <c r="S70" s="268"/>
      <c r="T70" s="269" t="e">
        <f>VLOOKUP(Q70,[71]Listas!$D$6:$E$10,2,0)</f>
        <v>#N/A</v>
      </c>
      <c r="U70" s="269" t="e">
        <f>HLOOKUP(R70,[71]Listas!$F$4:$J$5,2,0)</f>
        <v>#N/A</v>
      </c>
      <c r="V70" s="270" t="e">
        <f>INDEX([71]Listas!$F$6:$J$10,MATCH(Q70,[71]Listas!$D$6:$D$10,0),MATCH(R70,[71]Listas!$F$4:$J$4,0))</f>
        <v>#N/A</v>
      </c>
      <c r="W70" s="268"/>
      <c r="X70" s="1399"/>
      <c r="Y70" s="1408"/>
      <c r="Z70" s="1400"/>
      <c r="AA70" s="1063"/>
      <c r="AB70" s="1140" t="s">
        <v>1126</v>
      </c>
      <c r="AC70" s="259"/>
      <c r="AD70" s="790"/>
      <c r="AE70" s="267"/>
      <c r="AF70" s="268"/>
      <c r="AG70" s="269">
        <f t="shared" si="12"/>
        <v>0</v>
      </c>
      <c r="AH70" s="271" t="e">
        <f t="shared" si="13"/>
        <v>#N/A</v>
      </c>
      <c r="AI70" s="272" t="e">
        <f>IF(AH70&lt;=1,"Remota",VLOOKUP(AH70,[71]Listas!$C$6:$D$10,2,0))</f>
        <v>#N/A</v>
      </c>
      <c r="AJ70" s="271" t="e">
        <f t="shared" si="14"/>
        <v>#N/A</v>
      </c>
      <c r="AK70" s="272" t="e">
        <f>IF(AJ70&lt;=1,"Insignificante",HLOOKUP(AJ70,[71]Listas!$F$3:$J$4,2,0))</f>
        <v>#N/A</v>
      </c>
      <c r="AL70" s="273" t="e">
        <f t="shared" si="15"/>
        <v>#N/A</v>
      </c>
      <c r="AM70" s="270" t="e">
        <f>INDEX([71]Listas!$F$6:$J$10,MATCH(AI70,[71]Listas!$D$6:$D$10,0),MATCH(AK70,[71]Listas!$F$4:$J$4,0))</f>
        <v>#N/A</v>
      </c>
      <c r="AN70" s="259"/>
      <c r="AO70" s="259"/>
      <c r="AP70" s="794"/>
      <c r="AQ70" s="259"/>
      <c r="AR70" s="259" t="s">
        <v>2343</v>
      </c>
      <c r="AS70" s="790"/>
      <c r="AT70" s="259"/>
      <c r="AU70" s="259"/>
      <c r="AV70" s="261"/>
      <c r="AW70" s="261"/>
      <c r="AX70" s="790"/>
      <c r="AY70" s="262"/>
    </row>
    <row r="71" spans="1:51" s="260" customFormat="1" ht="103.5" hidden="1" customHeight="1">
      <c r="A71" s="790"/>
      <c r="B71" s="266"/>
      <c r="C71" s="1399"/>
      <c r="D71" s="1408"/>
      <c r="E71" s="1400"/>
      <c r="F71" s="267"/>
      <c r="G71" s="1399"/>
      <c r="H71" s="1408"/>
      <c r="I71" s="1400"/>
      <c r="J71" s="1380"/>
      <c r="K71" s="1380"/>
      <c r="L71" s="1380"/>
      <c r="M71" s="790"/>
      <c r="N71" s="790"/>
      <c r="O71" s="790"/>
      <c r="P71" s="790"/>
      <c r="Q71" s="266"/>
      <c r="R71" s="266"/>
      <c r="S71" s="268"/>
      <c r="T71" s="269" t="e">
        <f>VLOOKUP(Q71,[71]Listas!$D$6:$E$10,2,0)</f>
        <v>#N/A</v>
      </c>
      <c r="U71" s="269" t="e">
        <f>HLOOKUP(R71,[71]Listas!$F$4:$J$5,2,0)</f>
        <v>#N/A</v>
      </c>
      <c r="V71" s="270" t="e">
        <f>INDEX([71]Listas!$F$6:$J$10,MATCH(Q71,[71]Listas!$D$6:$D$10,0),MATCH(R71,[71]Listas!$F$4:$J$4,0))</f>
        <v>#N/A</v>
      </c>
      <c r="W71" s="268"/>
      <c r="X71" s="1399"/>
      <c r="Y71" s="1408"/>
      <c r="Z71" s="1400"/>
      <c r="AA71" s="1063"/>
      <c r="AB71" s="1140" t="s">
        <v>1126</v>
      </c>
      <c r="AC71" s="259"/>
      <c r="AD71" s="790"/>
      <c r="AE71" s="267"/>
      <c r="AF71" s="268"/>
      <c r="AG71" s="269">
        <f t="shared" si="12"/>
        <v>0</v>
      </c>
      <c r="AH71" s="271" t="e">
        <f t="shared" si="13"/>
        <v>#N/A</v>
      </c>
      <c r="AI71" s="272" t="e">
        <f>IF(AH71&lt;=1,"Remota",VLOOKUP(AH71,[71]Listas!$C$6:$D$10,2,0))</f>
        <v>#N/A</v>
      </c>
      <c r="AJ71" s="271" t="e">
        <f t="shared" si="14"/>
        <v>#N/A</v>
      </c>
      <c r="AK71" s="272" t="e">
        <f>IF(AJ71&lt;=1,"Insignificante",HLOOKUP(AJ71,[71]Listas!$F$3:$J$4,2,0))</f>
        <v>#N/A</v>
      </c>
      <c r="AL71" s="273" t="e">
        <f t="shared" si="15"/>
        <v>#N/A</v>
      </c>
      <c r="AM71" s="270" t="e">
        <f>INDEX([71]Listas!$F$6:$J$10,MATCH(AI71,[71]Listas!$D$6:$D$10,0),MATCH(AK71,[71]Listas!$F$4:$J$4,0))</f>
        <v>#N/A</v>
      </c>
      <c r="AN71" s="259"/>
      <c r="AO71" s="259"/>
      <c r="AP71" s="794"/>
      <c r="AQ71" s="259"/>
      <c r="AR71" s="259" t="s">
        <v>2343</v>
      </c>
      <c r="AS71" s="790"/>
      <c r="AT71" s="259"/>
      <c r="AU71" s="259"/>
      <c r="AV71" s="261"/>
      <c r="AW71" s="261"/>
      <c r="AX71" s="790"/>
      <c r="AY71" s="262"/>
    </row>
    <row r="72" spans="1:51" s="260" customFormat="1" ht="103.5" hidden="1" customHeight="1">
      <c r="A72" s="790"/>
      <c r="B72" s="266"/>
      <c r="C72" s="1399"/>
      <c r="D72" s="1408"/>
      <c r="E72" s="1400"/>
      <c r="F72" s="267"/>
      <c r="G72" s="1399"/>
      <c r="H72" s="1408"/>
      <c r="I72" s="1400"/>
      <c r="J72" s="1380"/>
      <c r="K72" s="1380"/>
      <c r="L72" s="1380"/>
      <c r="M72" s="790"/>
      <c r="N72" s="790"/>
      <c r="O72" s="790"/>
      <c r="P72" s="790"/>
      <c r="Q72" s="266"/>
      <c r="R72" s="266"/>
      <c r="S72" s="268"/>
      <c r="T72" s="269" t="e">
        <f>VLOOKUP(Q72,[71]Listas!$D$6:$E$10,2,0)</f>
        <v>#N/A</v>
      </c>
      <c r="U72" s="269" t="e">
        <f>HLOOKUP(R72,[71]Listas!$F$4:$J$5,2,0)</f>
        <v>#N/A</v>
      </c>
      <c r="V72" s="270" t="e">
        <f>INDEX([71]Listas!$F$6:$J$10,MATCH(Q72,[71]Listas!$D$6:$D$10,0),MATCH(R72,[71]Listas!$F$4:$J$4,0))</f>
        <v>#N/A</v>
      </c>
      <c r="W72" s="268"/>
      <c r="X72" s="1399"/>
      <c r="Y72" s="1408"/>
      <c r="Z72" s="1400"/>
      <c r="AA72" s="1063"/>
      <c r="AB72" s="1140" t="s">
        <v>1126</v>
      </c>
      <c r="AC72" s="259"/>
      <c r="AD72" s="790"/>
      <c r="AE72" s="267"/>
      <c r="AF72" s="268"/>
      <c r="AG72" s="269">
        <f t="shared" si="12"/>
        <v>0</v>
      </c>
      <c r="AH72" s="271" t="e">
        <f t="shared" si="13"/>
        <v>#N/A</v>
      </c>
      <c r="AI72" s="272" t="e">
        <f>IF(AH72&lt;=1,"Remota",VLOOKUP(AH72,[71]Listas!$C$6:$D$10,2,0))</f>
        <v>#N/A</v>
      </c>
      <c r="AJ72" s="271" t="e">
        <f t="shared" si="14"/>
        <v>#N/A</v>
      </c>
      <c r="AK72" s="272" t="e">
        <f>IF(AJ72&lt;=1,"Insignificante",HLOOKUP(AJ72,[71]Listas!$F$3:$J$4,2,0))</f>
        <v>#N/A</v>
      </c>
      <c r="AL72" s="273" t="e">
        <f t="shared" si="15"/>
        <v>#N/A</v>
      </c>
      <c r="AM72" s="270" t="e">
        <f>INDEX([71]Listas!$F$6:$J$10,MATCH(AI72,[71]Listas!$D$6:$D$10,0),MATCH(AK72,[71]Listas!$F$4:$J$4,0))</f>
        <v>#N/A</v>
      </c>
      <c r="AN72" s="259"/>
      <c r="AO72" s="259"/>
      <c r="AP72" s="794"/>
      <c r="AQ72" s="259"/>
      <c r="AR72" s="259" t="s">
        <v>2343</v>
      </c>
      <c r="AS72" s="790"/>
      <c r="AT72" s="259"/>
      <c r="AU72" s="259"/>
      <c r="AV72" s="261"/>
      <c r="AW72" s="261"/>
      <c r="AX72" s="790"/>
      <c r="AY72" s="262"/>
    </row>
    <row r="73" spans="1:51" s="260" customFormat="1" ht="103.5" hidden="1" customHeight="1">
      <c r="A73" s="790"/>
      <c r="B73" s="266"/>
      <c r="C73" s="1399"/>
      <c r="D73" s="1408"/>
      <c r="E73" s="1400"/>
      <c r="F73" s="267"/>
      <c r="G73" s="1399"/>
      <c r="H73" s="1408"/>
      <c r="I73" s="1400"/>
      <c r="J73" s="1380"/>
      <c r="K73" s="1380"/>
      <c r="L73" s="1380"/>
      <c r="M73" s="790"/>
      <c r="N73" s="790"/>
      <c r="O73" s="790"/>
      <c r="P73" s="790"/>
      <c r="Q73" s="266"/>
      <c r="R73" s="266"/>
      <c r="S73" s="268"/>
      <c r="T73" s="269" t="e">
        <f>VLOOKUP(Q73,[71]Listas!$D$6:$E$10,2,0)</f>
        <v>#N/A</v>
      </c>
      <c r="U73" s="269" t="e">
        <f>HLOOKUP(R73,[71]Listas!$F$4:$J$5,2,0)</f>
        <v>#N/A</v>
      </c>
      <c r="V73" s="270" t="e">
        <f>INDEX([71]Listas!$F$6:$J$10,MATCH(Q73,[71]Listas!$D$6:$D$10,0),MATCH(R73,[71]Listas!$F$4:$J$4,0))</f>
        <v>#N/A</v>
      </c>
      <c r="W73" s="268"/>
      <c r="X73" s="1399"/>
      <c r="Y73" s="1408"/>
      <c r="Z73" s="1400"/>
      <c r="AA73" s="1063"/>
      <c r="AB73" s="1140" t="s">
        <v>1126</v>
      </c>
      <c r="AC73" s="259"/>
      <c r="AD73" s="790"/>
      <c r="AE73" s="267"/>
      <c r="AF73" s="268"/>
      <c r="AG73" s="269">
        <f t="shared" si="12"/>
        <v>0</v>
      </c>
      <c r="AH73" s="271" t="e">
        <f t="shared" si="13"/>
        <v>#N/A</v>
      </c>
      <c r="AI73" s="272" t="e">
        <f>IF(AH73&lt;=1,"Remota",VLOOKUP(AH73,[71]Listas!$C$6:$D$10,2,0))</f>
        <v>#N/A</v>
      </c>
      <c r="AJ73" s="271" t="e">
        <f t="shared" si="14"/>
        <v>#N/A</v>
      </c>
      <c r="AK73" s="272" t="e">
        <f>IF(AJ73&lt;=1,"Insignificante",HLOOKUP(AJ73,[71]Listas!$F$3:$J$4,2,0))</f>
        <v>#N/A</v>
      </c>
      <c r="AL73" s="273" t="e">
        <f t="shared" si="15"/>
        <v>#N/A</v>
      </c>
      <c r="AM73" s="270" t="e">
        <f>INDEX([71]Listas!$F$6:$J$10,MATCH(AI73,[71]Listas!$D$6:$D$10,0),MATCH(AK73,[71]Listas!$F$4:$J$4,0))</f>
        <v>#N/A</v>
      </c>
      <c r="AN73" s="259"/>
      <c r="AO73" s="259"/>
      <c r="AP73" s="794"/>
      <c r="AQ73" s="259"/>
      <c r="AR73" s="259" t="s">
        <v>2343</v>
      </c>
      <c r="AS73" s="790"/>
      <c r="AT73" s="259"/>
      <c r="AU73" s="259"/>
      <c r="AV73" s="261"/>
      <c r="AW73" s="261"/>
      <c r="AX73" s="790"/>
      <c r="AY73" s="262"/>
    </row>
    <row r="74" spans="1:51" s="260" customFormat="1" ht="103.5" hidden="1" customHeight="1">
      <c r="A74" s="790"/>
      <c r="B74" s="266"/>
      <c r="C74" s="1399"/>
      <c r="D74" s="1408"/>
      <c r="E74" s="1400"/>
      <c r="F74" s="267"/>
      <c r="G74" s="1399"/>
      <c r="H74" s="1408"/>
      <c r="I74" s="1400"/>
      <c r="J74" s="1380"/>
      <c r="K74" s="1380"/>
      <c r="L74" s="1380"/>
      <c r="M74" s="790"/>
      <c r="N74" s="790"/>
      <c r="O74" s="790"/>
      <c r="P74" s="790"/>
      <c r="Q74" s="266"/>
      <c r="R74" s="266"/>
      <c r="S74" s="268"/>
      <c r="T74" s="269" t="e">
        <f>VLOOKUP(Q74,[71]Listas!$D$6:$E$10,2,0)</f>
        <v>#N/A</v>
      </c>
      <c r="U74" s="269" t="e">
        <f>HLOOKUP(R74,[71]Listas!$F$4:$J$5,2,0)</f>
        <v>#N/A</v>
      </c>
      <c r="V74" s="270" t="e">
        <f>INDEX([71]Listas!$F$6:$J$10,MATCH(Q74,[71]Listas!$D$6:$D$10,0),MATCH(R74,[71]Listas!$F$4:$J$4,0))</f>
        <v>#N/A</v>
      </c>
      <c r="W74" s="268"/>
      <c r="X74" s="1399"/>
      <c r="Y74" s="1408"/>
      <c r="Z74" s="1400"/>
      <c r="AA74" s="1063"/>
      <c r="AB74" s="1140" t="s">
        <v>1126</v>
      </c>
      <c r="AC74" s="259"/>
      <c r="AD74" s="790"/>
      <c r="AE74" s="267"/>
      <c r="AF74" s="268"/>
      <c r="AG74" s="269">
        <f t="shared" si="12"/>
        <v>0</v>
      </c>
      <c r="AH74" s="271" t="e">
        <f t="shared" si="13"/>
        <v>#N/A</v>
      </c>
      <c r="AI74" s="272" t="e">
        <f>IF(AH74&lt;=1,"Remota",VLOOKUP(AH74,[71]Listas!$C$6:$D$10,2,0))</f>
        <v>#N/A</v>
      </c>
      <c r="AJ74" s="271" t="e">
        <f t="shared" si="14"/>
        <v>#N/A</v>
      </c>
      <c r="AK74" s="272" t="e">
        <f>IF(AJ74&lt;=1,"Insignificante",HLOOKUP(AJ74,[71]Listas!$F$3:$J$4,2,0))</f>
        <v>#N/A</v>
      </c>
      <c r="AL74" s="273" t="e">
        <f t="shared" si="15"/>
        <v>#N/A</v>
      </c>
      <c r="AM74" s="270" t="e">
        <f>INDEX([71]Listas!$F$6:$J$10,MATCH(AI74,[71]Listas!$D$6:$D$10,0),MATCH(AK74,[71]Listas!$F$4:$J$4,0))</f>
        <v>#N/A</v>
      </c>
      <c r="AN74" s="259"/>
      <c r="AO74" s="259"/>
      <c r="AP74" s="794"/>
      <c r="AQ74" s="259"/>
      <c r="AR74" s="259" t="s">
        <v>2343</v>
      </c>
      <c r="AS74" s="790"/>
      <c r="AT74" s="259"/>
      <c r="AU74" s="259"/>
      <c r="AV74" s="261"/>
      <c r="AW74" s="261"/>
      <c r="AX74" s="790"/>
      <c r="AY74" s="262"/>
    </row>
    <row r="75" spans="1:51" s="260" customFormat="1" ht="103.5" hidden="1" customHeight="1">
      <c r="A75" s="790"/>
      <c r="B75" s="266"/>
      <c r="C75" s="1399"/>
      <c r="D75" s="1408"/>
      <c r="E75" s="1400"/>
      <c r="F75" s="267"/>
      <c r="G75" s="1399"/>
      <c r="H75" s="1408"/>
      <c r="I75" s="1400"/>
      <c r="J75" s="1380"/>
      <c r="K75" s="1380"/>
      <c r="L75" s="1380"/>
      <c r="M75" s="790"/>
      <c r="N75" s="790"/>
      <c r="O75" s="790"/>
      <c r="P75" s="790"/>
      <c r="Q75" s="266"/>
      <c r="R75" s="266"/>
      <c r="S75" s="268"/>
      <c r="T75" s="269" t="e">
        <f>VLOOKUP(Q75,[71]Listas!$D$6:$E$10,2,0)</f>
        <v>#N/A</v>
      </c>
      <c r="U75" s="269" t="e">
        <f>HLOOKUP(R75,[71]Listas!$F$4:$J$5,2,0)</f>
        <v>#N/A</v>
      </c>
      <c r="V75" s="270" t="e">
        <f>INDEX([71]Listas!$F$6:$J$10,MATCH(Q75,[71]Listas!$D$6:$D$10,0),MATCH(R75,[71]Listas!$F$4:$J$4,0))</f>
        <v>#N/A</v>
      </c>
      <c r="W75" s="268"/>
      <c r="X75" s="1399"/>
      <c r="Y75" s="1408"/>
      <c r="Z75" s="1400"/>
      <c r="AA75" s="1063"/>
      <c r="AB75" s="1140" t="s">
        <v>1126</v>
      </c>
      <c r="AC75" s="259"/>
      <c r="AD75" s="790"/>
      <c r="AE75" s="267"/>
      <c r="AF75" s="268"/>
      <c r="AG75" s="269">
        <f t="shared" si="12"/>
        <v>0</v>
      </c>
      <c r="AH75" s="271" t="e">
        <f t="shared" si="13"/>
        <v>#N/A</v>
      </c>
      <c r="AI75" s="272" t="e">
        <f>IF(AH75&lt;=1,"Remota",VLOOKUP(AH75,[71]Listas!$C$6:$D$10,2,0))</f>
        <v>#N/A</v>
      </c>
      <c r="AJ75" s="271" t="e">
        <f t="shared" si="14"/>
        <v>#N/A</v>
      </c>
      <c r="AK75" s="272" t="e">
        <f>IF(AJ75&lt;=1,"Insignificante",HLOOKUP(AJ75,[71]Listas!$F$3:$J$4,2,0))</f>
        <v>#N/A</v>
      </c>
      <c r="AL75" s="273" t="e">
        <f t="shared" si="15"/>
        <v>#N/A</v>
      </c>
      <c r="AM75" s="270" t="e">
        <f>INDEX([71]Listas!$F$6:$J$10,MATCH(AI75,[71]Listas!$D$6:$D$10,0),MATCH(AK75,[71]Listas!$F$4:$J$4,0))</f>
        <v>#N/A</v>
      </c>
      <c r="AN75" s="259"/>
      <c r="AO75" s="259"/>
      <c r="AP75" s="794"/>
      <c r="AQ75" s="259"/>
      <c r="AR75" s="259" t="s">
        <v>2343</v>
      </c>
      <c r="AS75" s="790"/>
      <c r="AT75" s="259"/>
      <c r="AU75" s="259"/>
      <c r="AV75" s="261"/>
      <c r="AW75" s="261"/>
      <c r="AX75" s="790"/>
      <c r="AY75" s="262"/>
    </row>
    <row r="76" spans="1:51" s="260" customFormat="1" ht="103.5" hidden="1" customHeight="1">
      <c r="A76" s="790"/>
      <c r="B76" s="266"/>
      <c r="C76" s="1399"/>
      <c r="D76" s="1408"/>
      <c r="E76" s="1400"/>
      <c r="F76" s="267"/>
      <c r="G76" s="1399"/>
      <c r="H76" s="1408"/>
      <c r="I76" s="1400"/>
      <c r="J76" s="1380"/>
      <c r="K76" s="1380"/>
      <c r="L76" s="1380"/>
      <c r="M76" s="790"/>
      <c r="N76" s="790"/>
      <c r="O76" s="790"/>
      <c r="P76" s="790"/>
      <c r="Q76" s="266"/>
      <c r="R76" s="266"/>
      <c r="S76" s="268"/>
      <c r="T76" s="269" t="e">
        <f>VLOOKUP(Q76,[71]Listas!$D$6:$E$10,2,0)</f>
        <v>#N/A</v>
      </c>
      <c r="U76" s="269" t="e">
        <f>HLOOKUP(R76,[71]Listas!$F$4:$J$5,2,0)</f>
        <v>#N/A</v>
      </c>
      <c r="V76" s="270" t="e">
        <f>INDEX([71]Listas!$F$6:$J$10,MATCH(Q76,[71]Listas!$D$6:$D$10,0),MATCH(R76,[71]Listas!$F$4:$J$4,0))</f>
        <v>#N/A</v>
      </c>
      <c r="W76" s="268"/>
      <c r="X76" s="1399"/>
      <c r="Y76" s="1408"/>
      <c r="Z76" s="1400"/>
      <c r="AA76" s="1063"/>
      <c r="AB76" s="1140" t="s">
        <v>1126</v>
      </c>
      <c r="AC76" s="259"/>
      <c r="AD76" s="790"/>
      <c r="AE76" s="267"/>
      <c r="AF76" s="268"/>
      <c r="AG76" s="269">
        <f t="shared" si="12"/>
        <v>0</v>
      </c>
      <c r="AH76" s="271" t="e">
        <f t="shared" si="13"/>
        <v>#N/A</v>
      </c>
      <c r="AI76" s="272" t="e">
        <f>IF(AH76&lt;=1,"Remota",VLOOKUP(AH76,[71]Listas!$C$6:$D$10,2,0))</f>
        <v>#N/A</v>
      </c>
      <c r="AJ76" s="271" t="e">
        <f t="shared" si="14"/>
        <v>#N/A</v>
      </c>
      <c r="AK76" s="272" t="e">
        <f>IF(AJ76&lt;=1,"Insignificante",HLOOKUP(AJ76,[71]Listas!$F$3:$J$4,2,0))</f>
        <v>#N/A</v>
      </c>
      <c r="AL76" s="273" t="e">
        <f t="shared" si="15"/>
        <v>#N/A</v>
      </c>
      <c r="AM76" s="270" t="e">
        <f>INDEX([71]Listas!$F$6:$J$10,MATCH(AI76,[71]Listas!$D$6:$D$10,0),MATCH(AK76,[71]Listas!$F$4:$J$4,0))</f>
        <v>#N/A</v>
      </c>
      <c r="AN76" s="259"/>
      <c r="AO76" s="259"/>
      <c r="AP76" s="794"/>
      <c r="AQ76" s="259"/>
      <c r="AR76" s="259" t="s">
        <v>2343</v>
      </c>
      <c r="AS76" s="790"/>
      <c r="AT76" s="259"/>
      <c r="AU76" s="259"/>
      <c r="AV76" s="261"/>
      <c r="AW76" s="261"/>
      <c r="AX76" s="790"/>
      <c r="AY76" s="262"/>
    </row>
    <row r="77" spans="1:51" s="260" customFormat="1" ht="103.5" hidden="1" customHeight="1">
      <c r="A77" s="790"/>
      <c r="B77" s="266"/>
      <c r="C77" s="1399"/>
      <c r="D77" s="1408"/>
      <c r="E77" s="1400"/>
      <c r="F77" s="267"/>
      <c r="G77" s="1399"/>
      <c r="H77" s="1408"/>
      <c r="I77" s="1400"/>
      <c r="J77" s="1380"/>
      <c r="K77" s="1380"/>
      <c r="L77" s="1380"/>
      <c r="M77" s="790"/>
      <c r="N77" s="790"/>
      <c r="O77" s="790"/>
      <c r="P77" s="790"/>
      <c r="Q77" s="266"/>
      <c r="R77" s="266"/>
      <c r="S77" s="268"/>
      <c r="T77" s="269" t="e">
        <f>VLOOKUP(Q77,[71]Listas!$D$6:$E$10,2,0)</f>
        <v>#N/A</v>
      </c>
      <c r="U77" s="269" t="e">
        <f>HLOOKUP(R77,[71]Listas!$F$4:$J$5,2,0)</f>
        <v>#N/A</v>
      </c>
      <c r="V77" s="270" t="e">
        <f>INDEX([71]Listas!$F$6:$J$10,MATCH(Q77,[71]Listas!$D$6:$D$10,0),MATCH(R77,[71]Listas!$F$4:$J$4,0))</f>
        <v>#N/A</v>
      </c>
      <c r="W77" s="268"/>
      <c r="X77" s="1399"/>
      <c r="Y77" s="1408"/>
      <c r="Z77" s="1400"/>
      <c r="AA77" s="1063"/>
      <c r="AB77" s="1140" t="s">
        <v>1126</v>
      </c>
      <c r="AC77" s="259"/>
      <c r="AD77" s="790"/>
      <c r="AE77" s="267"/>
      <c r="AF77" s="268"/>
      <c r="AG77" s="269">
        <f t="shared" si="12"/>
        <v>0</v>
      </c>
      <c r="AH77" s="271" t="e">
        <f t="shared" si="13"/>
        <v>#N/A</v>
      </c>
      <c r="AI77" s="272" t="e">
        <f>IF(AH77&lt;=1,"Remota",VLOOKUP(AH77,[71]Listas!$C$6:$D$10,2,0))</f>
        <v>#N/A</v>
      </c>
      <c r="AJ77" s="271" t="e">
        <f t="shared" si="14"/>
        <v>#N/A</v>
      </c>
      <c r="AK77" s="272" t="e">
        <f>IF(AJ77&lt;=1,"Insignificante",HLOOKUP(AJ77,[71]Listas!$F$3:$J$4,2,0))</f>
        <v>#N/A</v>
      </c>
      <c r="AL77" s="273" t="e">
        <f t="shared" si="15"/>
        <v>#N/A</v>
      </c>
      <c r="AM77" s="270" t="e">
        <f>INDEX([71]Listas!$F$6:$J$10,MATCH(AI77,[71]Listas!$D$6:$D$10,0),MATCH(AK77,[71]Listas!$F$4:$J$4,0))</f>
        <v>#N/A</v>
      </c>
      <c r="AN77" s="259"/>
      <c r="AO77" s="259"/>
      <c r="AP77" s="794"/>
      <c r="AQ77" s="259"/>
      <c r="AR77" s="259" t="s">
        <v>2343</v>
      </c>
      <c r="AS77" s="790"/>
      <c r="AT77" s="259"/>
      <c r="AU77" s="259"/>
      <c r="AV77" s="261"/>
      <c r="AW77" s="261"/>
      <c r="AX77" s="790"/>
      <c r="AY77" s="262"/>
    </row>
    <row r="78" spans="1:51" s="260" customFormat="1" ht="103.5" hidden="1" customHeight="1">
      <c r="A78" s="790"/>
      <c r="B78" s="266"/>
      <c r="C78" s="1399"/>
      <c r="D78" s="1408"/>
      <c r="E78" s="1400"/>
      <c r="F78" s="267"/>
      <c r="G78" s="1399"/>
      <c r="H78" s="1408"/>
      <c r="I78" s="1400"/>
      <c r="J78" s="1380"/>
      <c r="K78" s="1380"/>
      <c r="L78" s="1380"/>
      <c r="M78" s="790"/>
      <c r="N78" s="790"/>
      <c r="O78" s="790"/>
      <c r="P78" s="790"/>
      <c r="Q78" s="266"/>
      <c r="R78" s="266"/>
      <c r="S78" s="268"/>
      <c r="T78" s="269" t="e">
        <f>VLOOKUP(Q78,[71]Listas!$D$6:$E$10,2,0)</f>
        <v>#N/A</v>
      </c>
      <c r="U78" s="269" t="e">
        <f>HLOOKUP(R78,[71]Listas!$F$4:$J$5,2,0)</f>
        <v>#N/A</v>
      </c>
      <c r="V78" s="270" t="e">
        <f>INDEX([71]Listas!$F$6:$J$10,MATCH(Q78,[71]Listas!$D$6:$D$10,0),MATCH(R78,[71]Listas!$F$4:$J$4,0))</f>
        <v>#N/A</v>
      </c>
      <c r="W78" s="268"/>
      <c r="X78" s="1399"/>
      <c r="Y78" s="1408"/>
      <c r="Z78" s="1400"/>
      <c r="AA78" s="1063"/>
      <c r="AB78" s="1140" t="s">
        <v>1126</v>
      </c>
      <c r="AC78" s="259"/>
      <c r="AD78" s="790"/>
      <c r="AE78" s="267"/>
      <c r="AF78" s="268"/>
      <c r="AG78" s="269">
        <f t="shared" si="12"/>
        <v>0</v>
      </c>
      <c r="AH78" s="271" t="e">
        <f t="shared" si="13"/>
        <v>#N/A</v>
      </c>
      <c r="AI78" s="272" t="e">
        <f>IF(AH78&lt;=1,"Remota",VLOOKUP(AH78,[71]Listas!$C$6:$D$10,2,0))</f>
        <v>#N/A</v>
      </c>
      <c r="AJ78" s="271" t="e">
        <f t="shared" si="14"/>
        <v>#N/A</v>
      </c>
      <c r="AK78" s="272" t="e">
        <f>IF(AJ78&lt;=1,"Insignificante",HLOOKUP(AJ78,[71]Listas!$F$3:$J$4,2,0))</f>
        <v>#N/A</v>
      </c>
      <c r="AL78" s="273" t="e">
        <f t="shared" si="15"/>
        <v>#N/A</v>
      </c>
      <c r="AM78" s="270" t="e">
        <f>INDEX([71]Listas!$F$6:$J$10,MATCH(AI78,[71]Listas!$D$6:$D$10,0),MATCH(AK78,[71]Listas!$F$4:$J$4,0))</f>
        <v>#N/A</v>
      </c>
      <c r="AN78" s="259"/>
      <c r="AO78" s="259"/>
      <c r="AP78" s="794"/>
      <c r="AQ78" s="259"/>
      <c r="AR78" s="259" t="s">
        <v>2343</v>
      </c>
      <c r="AS78" s="790"/>
      <c r="AT78" s="259"/>
      <c r="AU78" s="259"/>
      <c r="AV78" s="261"/>
      <c r="AW78" s="261"/>
      <c r="AX78" s="790"/>
      <c r="AY78" s="262"/>
    </row>
    <row r="79" spans="1:51" s="260" customFormat="1" ht="103.5" hidden="1" customHeight="1">
      <c r="A79" s="790"/>
      <c r="B79" s="266"/>
      <c r="C79" s="1399"/>
      <c r="D79" s="1408"/>
      <c r="E79" s="1400"/>
      <c r="F79" s="267"/>
      <c r="G79" s="1399"/>
      <c r="H79" s="1408"/>
      <c r="I79" s="1400"/>
      <c r="J79" s="1380"/>
      <c r="K79" s="1380"/>
      <c r="L79" s="1380"/>
      <c r="M79" s="790"/>
      <c r="N79" s="790"/>
      <c r="O79" s="790"/>
      <c r="P79" s="790"/>
      <c r="Q79" s="266"/>
      <c r="R79" s="266"/>
      <c r="S79" s="268"/>
      <c r="T79" s="269" t="e">
        <f>VLOOKUP(Q79,[71]Listas!$D$6:$E$10,2,0)</f>
        <v>#N/A</v>
      </c>
      <c r="U79" s="269" t="e">
        <f>HLOOKUP(R79,[71]Listas!$F$4:$J$5,2,0)</f>
        <v>#N/A</v>
      </c>
      <c r="V79" s="270" t="e">
        <f>INDEX([71]Listas!$F$6:$J$10,MATCH(Q79,[71]Listas!$D$6:$D$10,0),MATCH(R79,[71]Listas!$F$4:$J$4,0))</f>
        <v>#N/A</v>
      </c>
      <c r="W79" s="268"/>
      <c r="X79" s="1399"/>
      <c r="Y79" s="1408"/>
      <c r="Z79" s="1400"/>
      <c r="AA79" s="1063"/>
      <c r="AB79" s="1140" t="s">
        <v>1126</v>
      </c>
      <c r="AC79" s="259"/>
      <c r="AD79" s="790"/>
      <c r="AE79" s="267"/>
      <c r="AF79" s="268"/>
      <c r="AG79" s="269">
        <f t="shared" si="12"/>
        <v>0</v>
      </c>
      <c r="AH79" s="271" t="e">
        <f t="shared" si="13"/>
        <v>#N/A</v>
      </c>
      <c r="AI79" s="272" t="e">
        <f>IF(AH79&lt;=1,"Remota",VLOOKUP(AH79,[71]Listas!$C$6:$D$10,2,0))</f>
        <v>#N/A</v>
      </c>
      <c r="AJ79" s="271" t="e">
        <f t="shared" si="14"/>
        <v>#N/A</v>
      </c>
      <c r="AK79" s="272" t="e">
        <f>IF(AJ79&lt;=1,"Insignificante",HLOOKUP(AJ79,[71]Listas!$F$3:$J$4,2,0))</f>
        <v>#N/A</v>
      </c>
      <c r="AL79" s="273" t="e">
        <f t="shared" si="15"/>
        <v>#N/A</v>
      </c>
      <c r="AM79" s="270" t="e">
        <f>INDEX([71]Listas!$F$6:$J$10,MATCH(AI79,[71]Listas!$D$6:$D$10,0),MATCH(AK79,[71]Listas!$F$4:$J$4,0))</f>
        <v>#N/A</v>
      </c>
      <c r="AN79" s="259"/>
      <c r="AO79" s="259"/>
      <c r="AP79" s="794"/>
      <c r="AQ79" s="259"/>
      <c r="AR79" s="259" t="s">
        <v>2343</v>
      </c>
      <c r="AS79" s="790"/>
      <c r="AT79" s="259"/>
      <c r="AU79" s="259"/>
      <c r="AV79" s="261"/>
      <c r="AW79" s="261"/>
      <c r="AX79" s="790"/>
      <c r="AY79" s="262"/>
    </row>
    <row r="80" spans="1:51" s="260" customFormat="1" ht="103.5" hidden="1" customHeight="1">
      <c r="A80" s="790"/>
      <c r="B80" s="266"/>
      <c r="C80" s="1399"/>
      <c r="D80" s="1408"/>
      <c r="E80" s="1400"/>
      <c r="F80" s="267"/>
      <c r="G80" s="1399"/>
      <c r="H80" s="1408"/>
      <c r="I80" s="1400"/>
      <c r="J80" s="1380"/>
      <c r="K80" s="1380"/>
      <c r="L80" s="1380"/>
      <c r="M80" s="790"/>
      <c r="N80" s="790"/>
      <c r="O80" s="790"/>
      <c r="P80" s="790"/>
      <c r="Q80" s="266"/>
      <c r="R80" s="266"/>
      <c r="S80" s="268"/>
      <c r="T80" s="269" t="e">
        <f>VLOOKUP(Q80,[71]Listas!$D$6:$E$10,2,0)</f>
        <v>#N/A</v>
      </c>
      <c r="U80" s="269" t="e">
        <f>HLOOKUP(R80,[71]Listas!$F$4:$J$5,2,0)</f>
        <v>#N/A</v>
      </c>
      <c r="V80" s="270" t="e">
        <f>INDEX([71]Listas!$F$6:$J$10,MATCH(Q80,[71]Listas!$D$6:$D$10,0),MATCH(R80,[71]Listas!$F$4:$J$4,0))</f>
        <v>#N/A</v>
      </c>
      <c r="W80" s="268"/>
      <c r="X80" s="1399"/>
      <c r="Y80" s="1408"/>
      <c r="Z80" s="1400"/>
      <c r="AA80" s="1063"/>
      <c r="AB80" s="1140" t="s">
        <v>1126</v>
      </c>
      <c r="AC80" s="259"/>
      <c r="AD80" s="790"/>
      <c r="AE80" s="267"/>
      <c r="AF80" s="268"/>
      <c r="AG80" s="269">
        <f t="shared" si="12"/>
        <v>0</v>
      </c>
      <c r="AH80" s="271" t="e">
        <f t="shared" si="13"/>
        <v>#N/A</v>
      </c>
      <c r="AI80" s="272" t="e">
        <f>IF(AH80&lt;=1,"Remota",VLOOKUP(AH80,[71]Listas!$C$6:$D$10,2,0))</f>
        <v>#N/A</v>
      </c>
      <c r="AJ80" s="271" t="e">
        <f t="shared" si="14"/>
        <v>#N/A</v>
      </c>
      <c r="AK80" s="272" t="e">
        <f>IF(AJ80&lt;=1,"Insignificante",HLOOKUP(AJ80,[71]Listas!$F$3:$J$4,2,0))</f>
        <v>#N/A</v>
      </c>
      <c r="AL80" s="273" t="e">
        <f t="shared" si="15"/>
        <v>#N/A</v>
      </c>
      <c r="AM80" s="270" t="e">
        <f>INDEX([71]Listas!$F$6:$J$10,MATCH(AI80,[71]Listas!$D$6:$D$10,0),MATCH(AK80,[71]Listas!$F$4:$J$4,0))</f>
        <v>#N/A</v>
      </c>
      <c r="AN80" s="259"/>
      <c r="AO80" s="259"/>
      <c r="AP80" s="794"/>
      <c r="AQ80" s="259"/>
      <c r="AR80" s="259" t="s">
        <v>2343</v>
      </c>
      <c r="AS80" s="790"/>
      <c r="AT80" s="259"/>
      <c r="AU80" s="259"/>
      <c r="AV80" s="261"/>
      <c r="AW80" s="261"/>
      <c r="AX80" s="790"/>
      <c r="AY80" s="262"/>
    </row>
    <row r="81" spans="1:51" s="260" customFormat="1" ht="103.5" hidden="1" customHeight="1">
      <c r="A81" s="790"/>
      <c r="B81" s="266"/>
      <c r="C81" s="1399"/>
      <c r="D81" s="1408"/>
      <c r="E81" s="1400"/>
      <c r="F81" s="267"/>
      <c r="G81" s="1399"/>
      <c r="H81" s="1408"/>
      <c r="I81" s="1400"/>
      <c r="J81" s="1380"/>
      <c r="K81" s="1380"/>
      <c r="L81" s="1380"/>
      <c r="M81" s="790"/>
      <c r="N81" s="790"/>
      <c r="O81" s="790"/>
      <c r="P81" s="790"/>
      <c r="Q81" s="266"/>
      <c r="R81" s="266"/>
      <c r="S81" s="268"/>
      <c r="T81" s="269" t="e">
        <f>VLOOKUP(Q81,[71]Listas!$D$6:$E$10,2,0)</f>
        <v>#N/A</v>
      </c>
      <c r="U81" s="269" t="e">
        <f>HLOOKUP(R81,[71]Listas!$F$4:$J$5,2,0)</f>
        <v>#N/A</v>
      </c>
      <c r="V81" s="270" t="e">
        <f>INDEX([71]Listas!$F$6:$J$10,MATCH(Q81,[71]Listas!$D$6:$D$10,0),MATCH(R81,[71]Listas!$F$4:$J$4,0))</f>
        <v>#N/A</v>
      </c>
      <c r="W81" s="268"/>
      <c r="X81" s="1399"/>
      <c r="Y81" s="1408"/>
      <c r="Z81" s="1400"/>
      <c r="AA81" s="1063"/>
      <c r="AB81" s="1140" t="s">
        <v>1126</v>
      </c>
      <c r="AC81" s="259"/>
      <c r="AD81" s="790"/>
      <c r="AE81" s="267"/>
      <c r="AF81" s="268"/>
      <c r="AG81" s="269">
        <f t="shared" si="12"/>
        <v>0</v>
      </c>
      <c r="AH81" s="271" t="e">
        <f t="shared" si="13"/>
        <v>#N/A</v>
      </c>
      <c r="AI81" s="272" t="e">
        <f>IF(AH81&lt;=1,"Remota",VLOOKUP(AH81,[71]Listas!$C$6:$D$10,2,0))</f>
        <v>#N/A</v>
      </c>
      <c r="AJ81" s="271" t="e">
        <f t="shared" si="14"/>
        <v>#N/A</v>
      </c>
      <c r="AK81" s="272" t="e">
        <f>IF(AJ81&lt;=1,"Insignificante",HLOOKUP(AJ81,[71]Listas!$F$3:$J$4,2,0))</f>
        <v>#N/A</v>
      </c>
      <c r="AL81" s="273" t="e">
        <f t="shared" si="15"/>
        <v>#N/A</v>
      </c>
      <c r="AM81" s="270" t="e">
        <f>INDEX([71]Listas!$F$6:$J$10,MATCH(AI81,[71]Listas!$D$6:$D$10,0),MATCH(AK81,[71]Listas!$F$4:$J$4,0))</f>
        <v>#N/A</v>
      </c>
      <c r="AN81" s="259"/>
      <c r="AO81" s="259"/>
      <c r="AP81" s="794"/>
      <c r="AQ81" s="259"/>
      <c r="AR81" s="259" t="s">
        <v>2343</v>
      </c>
      <c r="AS81" s="790"/>
      <c r="AT81" s="259"/>
      <c r="AU81" s="259"/>
      <c r="AV81" s="261"/>
      <c r="AW81" s="261"/>
      <c r="AX81" s="790"/>
      <c r="AY81" s="262"/>
    </row>
    <row r="82" spans="1:51" s="260" customFormat="1" ht="103.5" hidden="1" customHeight="1">
      <c r="A82" s="790"/>
      <c r="B82" s="266"/>
      <c r="C82" s="1399"/>
      <c r="D82" s="1408"/>
      <c r="E82" s="1400"/>
      <c r="F82" s="267"/>
      <c r="G82" s="1399"/>
      <c r="H82" s="1408"/>
      <c r="I82" s="1400"/>
      <c r="J82" s="1380"/>
      <c r="K82" s="1380"/>
      <c r="L82" s="1380"/>
      <c r="M82" s="790"/>
      <c r="N82" s="790"/>
      <c r="O82" s="790"/>
      <c r="P82" s="790"/>
      <c r="Q82" s="266"/>
      <c r="R82" s="266"/>
      <c r="S82" s="268"/>
      <c r="T82" s="269" t="e">
        <f>VLOOKUP(Q82,[71]Listas!$D$6:$E$10,2,0)</f>
        <v>#N/A</v>
      </c>
      <c r="U82" s="269" t="e">
        <f>HLOOKUP(R82,[71]Listas!$F$4:$J$5,2,0)</f>
        <v>#N/A</v>
      </c>
      <c r="V82" s="270" t="e">
        <f>INDEX([71]Listas!$F$6:$J$10,MATCH(Q82,[71]Listas!$D$6:$D$10,0),MATCH(R82,[71]Listas!$F$4:$J$4,0))</f>
        <v>#N/A</v>
      </c>
      <c r="W82" s="268"/>
      <c r="X82" s="1399"/>
      <c r="Y82" s="1408"/>
      <c r="Z82" s="1400"/>
      <c r="AA82" s="1063"/>
      <c r="AB82" s="1140" t="s">
        <v>1126</v>
      </c>
      <c r="AC82" s="259"/>
      <c r="AD82" s="790"/>
      <c r="AE82" s="267"/>
      <c r="AF82" s="268"/>
      <c r="AG82" s="269">
        <f t="shared" si="12"/>
        <v>0</v>
      </c>
      <c r="AH82" s="271" t="e">
        <f t="shared" si="13"/>
        <v>#N/A</v>
      </c>
      <c r="AI82" s="272" t="e">
        <f>IF(AH82&lt;=1,"Remota",VLOOKUP(AH82,[71]Listas!$C$6:$D$10,2,0))</f>
        <v>#N/A</v>
      </c>
      <c r="AJ82" s="271" t="e">
        <f t="shared" si="14"/>
        <v>#N/A</v>
      </c>
      <c r="AK82" s="272" t="e">
        <f>IF(AJ82&lt;=1,"Insignificante",HLOOKUP(AJ82,[71]Listas!$F$3:$J$4,2,0))</f>
        <v>#N/A</v>
      </c>
      <c r="AL82" s="273" t="e">
        <f t="shared" si="15"/>
        <v>#N/A</v>
      </c>
      <c r="AM82" s="270" t="e">
        <f>INDEX([71]Listas!$F$6:$J$10,MATCH(AI82,[71]Listas!$D$6:$D$10,0),MATCH(AK82,[71]Listas!$F$4:$J$4,0))</f>
        <v>#N/A</v>
      </c>
      <c r="AN82" s="259"/>
      <c r="AO82" s="259"/>
      <c r="AP82" s="794"/>
      <c r="AQ82" s="259"/>
      <c r="AR82" s="259" t="s">
        <v>2343</v>
      </c>
      <c r="AS82" s="790"/>
      <c r="AT82" s="259"/>
      <c r="AU82" s="259"/>
      <c r="AV82" s="261"/>
      <c r="AW82" s="261"/>
      <c r="AX82" s="790"/>
      <c r="AY82" s="262"/>
    </row>
    <row r="83" spans="1:51" s="260" customFormat="1" ht="103.5" hidden="1" customHeight="1">
      <c r="A83" s="790"/>
      <c r="B83" s="266"/>
      <c r="C83" s="1399"/>
      <c r="D83" s="1408"/>
      <c r="E83" s="1400"/>
      <c r="F83" s="267"/>
      <c r="G83" s="1399"/>
      <c r="H83" s="1408"/>
      <c r="I83" s="1400"/>
      <c r="J83" s="1380"/>
      <c r="K83" s="1380"/>
      <c r="L83" s="1380"/>
      <c r="M83" s="790"/>
      <c r="N83" s="790"/>
      <c r="O83" s="790"/>
      <c r="P83" s="790"/>
      <c r="Q83" s="266"/>
      <c r="R83" s="266"/>
      <c r="S83" s="268"/>
      <c r="T83" s="269" t="e">
        <f>VLOOKUP(Q83,[71]Listas!$D$6:$E$10,2,0)</f>
        <v>#N/A</v>
      </c>
      <c r="U83" s="269" t="e">
        <f>HLOOKUP(R83,[71]Listas!$F$4:$J$5,2,0)</f>
        <v>#N/A</v>
      </c>
      <c r="V83" s="270" t="e">
        <f>INDEX([71]Listas!$F$6:$J$10,MATCH(Q83,[71]Listas!$D$6:$D$10,0),MATCH(R83,[71]Listas!$F$4:$J$4,0))</f>
        <v>#N/A</v>
      </c>
      <c r="W83" s="268"/>
      <c r="X83" s="1399"/>
      <c r="Y83" s="1408"/>
      <c r="Z83" s="1400"/>
      <c r="AA83" s="1063"/>
      <c r="AB83" s="1140" t="s">
        <v>1126</v>
      </c>
      <c r="AC83" s="259"/>
      <c r="AD83" s="790"/>
      <c r="AE83" s="267"/>
      <c r="AF83" s="268"/>
      <c r="AG83" s="269">
        <f t="shared" si="12"/>
        <v>0</v>
      </c>
      <c r="AH83" s="271" t="e">
        <f t="shared" si="13"/>
        <v>#N/A</v>
      </c>
      <c r="AI83" s="272" t="e">
        <f>IF(AH83&lt;=1,"Remota",VLOOKUP(AH83,[71]Listas!$C$6:$D$10,2,0))</f>
        <v>#N/A</v>
      </c>
      <c r="AJ83" s="271" t="e">
        <f t="shared" si="14"/>
        <v>#N/A</v>
      </c>
      <c r="AK83" s="272" t="e">
        <f>IF(AJ83&lt;=1,"Insignificante",HLOOKUP(AJ83,[71]Listas!$F$3:$J$4,2,0))</f>
        <v>#N/A</v>
      </c>
      <c r="AL83" s="273" t="e">
        <f t="shared" si="15"/>
        <v>#N/A</v>
      </c>
      <c r="AM83" s="270" t="e">
        <f>INDEX([71]Listas!$F$6:$J$10,MATCH(AI83,[71]Listas!$D$6:$D$10,0),MATCH(AK83,[71]Listas!$F$4:$J$4,0))</f>
        <v>#N/A</v>
      </c>
      <c r="AN83" s="259"/>
      <c r="AO83" s="259"/>
      <c r="AP83" s="794"/>
      <c r="AQ83" s="259"/>
      <c r="AR83" s="259" t="s">
        <v>2343</v>
      </c>
      <c r="AS83" s="790"/>
      <c r="AT83" s="259"/>
      <c r="AU83" s="259"/>
      <c r="AV83" s="261"/>
      <c r="AW83" s="261"/>
      <c r="AX83" s="790"/>
      <c r="AY83" s="262"/>
    </row>
    <row r="84" spans="1:51" s="260" customFormat="1" ht="103.5" hidden="1" customHeight="1">
      <c r="A84" s="790"/>
      <c r="B84" s="266"/>
      <c r="C84" s="1399"/>
      <c r="D84" s="1408"/>
      <c r="E84" s="1400"/>
      <c r="F84" s="267"/>
      <c r="G84" s="1399"/>
      <c r="H84" s="1408"/>
      <c r="I84" s="1400"/>
      <c r="J84" s="1380"/>
      <c r="K84" s="1380"/>
      <c r="L84" s="1380"/>
      <c r="M84" s="790"/>
      <c r="N84" s="790"/>
      <c r="O84" s="790"/>
      <c r="P84" s="790"/>
      <c r="Q84" s="266"/>
      <c r="R84" s="266"/>
      <c r="S84" s="268"/>
      <c r="T84" s="269" t="e">
        <f>VLOOKUP(Q84,[71]Listas!$D$6:$E$10,2,0)</f>
        <v>#N/A</v>
      </c>
      <c r="U84" s="269" t="e">
        <f>HLOOKUP(R84,[71]Listas!$F$4:$J$5,2,0)</f>
        <v>#N/A</v>
      </c>
      <c r="V84" s="270" t="e">
        <f>INDEX([71]Listas!$F$6:$J$10,MATCH(Q84,[71]Listas!$D$6:$D$10,0),MATCH(R84,[71]Listas!$F$4:$J$4,0))</f>
        <v>#N/A</v>
      </c>
      <c r="W84" s="268"/>
      <c r="X84" s="1399"/>
      <c r="Y84" s="1408"/>
      <c r="Z84" s="1400"/>
      <c r="AA84" s="1063"/>
      <c r="AB84" s="1140" t="s">
        <v>1126</v>
      </c>
      <c r="AC84" s="259"/>
      <c r="AD84" s="790"/>
      <c r="AE84" s="267"/>
      <c r="AF84" s="268"/>
      <c r="AG84" s="269">
        <f t="shared" si="12"/>
        <v>0</v>
      </c>
      <c r="AH84" s="271" t="e">
        <f t="shared" si="13"/>
        <v>#N/A</v>
      </c>
      <c r="AI84" s="272" t="e">
        <f>IF(AH84&lt;=1,"Remota",VLOOKUP(AH84,[71]Listas!$C$6:$D$10,2,0))</f>
        <v>#N/A</v>
      </c>
      <c r="AJ84" s="271" t="e">
        <f t="shared" si="14"/>
        <v>#N/A</v>
      </c>
      <c r="AK84" s="272" t="e">
        <f>IF(AJ84&lt;=1,"Insignificante",HLOOKUP(AJ84,[71]Listas!$F$3:$J$4,2,0))</f>
        <v>#N/A</v>
      </c>
      <c r="AL84" s="273" t="e">
        <f t="shared" si="15"/>
        <v>#N/A</v>
      </c>
      <c r="AM84" s="270" t="e">
        <f>INDEX([71]Listas!$F$6:$J$10,MATCH(AI84,[71]Listas!$D$6:$D$10,0),MATCH(AK84,[71]Listas!$F$4:$J$4,0))</f>
        <v>#N/A</v>
      </c>
      <c r="AN84" s="259"/>
      <c r="AO84" s="259"/>
      <c r="AP84" s="794"/>
      <c r="AQ84" s="259"/>
      <c r="AR84" s="259" t="s">
        <v>2343</v>
      </c>
      <c r="AS84" s="790"/>
      <c r="AT84" s="259"/>
      <c r="AU84" s="259"/>
      <c r="AV84" s="261"/>
      <c r="AW84" s="261"/>
      <c r="AX84" s="790"/>
      <c r="AY84" s="262"/>
    </row>
    <row r="85" spans="1:51" s="260" customFormat="1" ht="103.5" hidden="1" customHeight="1">
      <c r="A85" s="790"/>
      <c r="B85" s="266"/>
      <c r="C85" s="1399"/>
      <c r="D85" s="1408"/>
      <c r="E85" s="1400"/>
      <c r="F85" s="267"/>
      <c r="G85" s="1399"/>
      <c r="H85" s="1408"/>
      <c r="I85" s="1400"/>
      <c r="J85" s="1380"/>
      <c r="K85" s="1380"/>
      <c r="L85" s="1380"/>
      <c r="M85" s="790"/>
      <c r="N85" s="790"/>
      <c r="O85" s="790"/>
      <c r="P85" s="790"/>
      <c r="Q85" s="266"/>
      <c r="R85" s="266"/>
      <c r="S85" s="268"/>
      <c r="T85" s="269" t="e">
        <f>VLOOKUP(Q85,[71]Listas!$D$6:$E$10,2,0)</f>
        <v>#N/A</v>
      </c>
      <c r="U85" s="269" t="e">
        <f>HLOOKUP(R85,[71]Listas!$F$4:$J$5,2,0)</f>
        <v>#N/A</v>
      </c>
      <c r="V85" s="270" t="e">
        <f>INDEX([71]Listas!$F$6:$J$10,MATCH(Q85,[71]Listas!$D$6:$D$10,0),MATCH(R85,[71]Listas!$F$4:$J$4,0))</f>
        <v>#N/A</v>
      </c>
      <c r="W85" s="268"/>
      <c r="X85" s="1399"/>
      <c r="Y85" s="1408"/>
      <c r="Z85" s="1400"/>
      <c r="AA85" s="1063"/>
      <c r="AB85" s="1140" t="s">
        <v>1126</v>
      </c>
      <c r="AC85" s="259"/>
      <c r="AD85" s="790"/>
      <c r="AE85" s="267"/>
      <c r="AF85" s="268"/>
      <c r="AG85" s="269">
        <f t="shared" si="12"/>
        <v>0</v>
      </c>
      <c r="AH85" s="271" t="e">
        <f t="shared" si="13"/>
        <v>#N/A</v>
      </c>
      <c r="AI85" s="272" t="e">
        <f>IF(AH85&lt;=1,"Remota",VLOOKUP(AH85,[71]Listas!$C$6:$D$10,2,0))</f>
        <v>#N/A</v>
      </c>
      <c r="AJ85" s="271" t="e">
        <f t="shared" si="14"/>
        <v>#N/A</v>
      </c>
      <c r="AK85" s="272" t="e">
        <f>IF(AJ85&lt;=1,"Insignificante",HLOOKUP(AJ85,[71]Listas!$F$3:$J$4,2,0))</f>
        <v>#N/A</v>
      </c>
      <c r="AL85" s="273" t="e">
        <f t="shared" si="15"/>
        <v>#N/A</v>
      </c>
      <c r="AM85" s="270" t="e">
        <f>INDEX([71]Listas!$F$6:$J$10,MATCH(AI85,[71]Listas!$D$6:$D$10,0),MATCH(AK85,[71]Listas!$F$4:$J$4,0))</f>
        <v>#N/A</v>
      </c>
      <c r="AN85" s="259"/>
      <c r="AO85" s="259"/>
      <c r="AP85" s="794"/>
      <c r="AQ85" s="259"/>
      <c r="AR85" s="259" t="s">
        <v>2343</v>
      </c>
      <c r="AS85" s="790"/>
      <c r="AT85" s="259"/>
      <c r="AU85" s="259"/>
      <c r="AV85" s="261"/>
      <c r="AW85" s="261"/>
      <c r="AX85" s="790"/>
      <c r="AY85" s="262"/>
    </row>
    <row r="86" spans="1:51" s="260" customFormat="1" ht="103.5" hidden="1" customHeight="1">
      <c r="A86" s="790"/>
      <c r="B86" s="266"/>
      <c r="C86" s="1399"/>
      <c r="D86" s="1408"/>
      <c r="E86" s="1400"/>
      <c r="F86" s="267"/>
      <c r="G86" s="1399"/>
      <c r="H86" s="1408"/>
      <c r="I86" s="1400"/>
      <c r="J86" s="1380"/>
      <c r="K86" s="1380"/>
      <c r="L86" s="1380"/>
      <c r="M86" s="790"/>
      <c r="N86" s="790"/>
      <c r="O86" s="790"/>
      <c r="P86" s="790"/>
      <c r="Q86" s="266"/>
      <c r="R86" s="266"/>
      <c r="S86" s="268"/>
      <c r="T86" s="269" t="e">
        <f>VLOOKUP(Q86,[71]Listas!$D$6:$E$10,2,0)</f>
        <v>#N/A</v>
      </c>
      <c r="U86" s="269" t="e">
        <f>HLOOKUP(R86,[71]Listas!$F$4:$J$5,2,0)</f>
        <v>#N/A</v>
      </c>
      <c r="V86" s="270" t="e">
        <f>INDEX([71]Listas!$F$6:$J$10,MATCH(Q86,[71]Listas!$D$6:$D$10,0),MATCH(R86,[71]Listas!$F$4:$J$4,0))</f>
        <v>#N/A</v>
      </c>
      <c r="W86" s="268"/>
      <c r="X86" s="1399"/>
      <c r="Y86" s="1408"/>
      <c r="Z86" s="1400"/>
      <c r="AA86" s="1063"/>
      <c r="AB86" s="1140" t="s">
        <v>1126</v>
      </c>
      <c r="AC86" s="259"/>
      <c r="AD86" s="790"/>
      <c r="AE86" s="267"/>
      <c r="AF86" s="268"/>
      <c r="AG86" s="269">
        <f t="shared" si="12"/>
        <v>0</v>
      </c>
      <c r="AH86" s="271" t="e">
        <f t="shared" si="13"/>
        <v>#N/A</v>
      </c>
      <c r="AI86" s="272" t="e">
        <f>IF(AH86&lt;=1,"Remota",VLOOKUP(AH86,[71]Listas!$C$6:$D$10,2,0))</f>
        <v>#N/A</v>
      </c>
      <c r="AJ86" s="271" t="e">
        <f t="shared" si="14"/>
        <v>#N/A</v>
      </c>
      <c r="AK86" s="272" t="e">
        <f>IF(AJ86&lt;=1,"Insignificante",HLOOKUP(AJ86,[71]Listas!$F$3:$J$4,2,0))</f>
        <v>#N/A</v>
      </c>
      <c r="AL86" s="273" t="e">
        <f t="shared" si="15"/>
        <v>#N/A</v>
      </c>
      <c r="AM86" s="270" t="e">
        <f>INDEX([71]Listas!$F$6:$J$10,MATCH(AI86,[71]Listas!$D$6:$D$10,0),MATCH(AK86,[71]Listas!$F$4:$J$4,0))</f>
        <v>#N/A</v>
      </c>
      <c r="AN86" s="259"/>
      <c r="AO86" s="259"/>
      <c r="AP86" s="794"/>
      <c r="AQ86" s="259"/>
      <c r="AR86" s="259" t="s">
        <v>2343</v>
      </c>
      <c r="AS86" s="790"/>
      <c r="AT86" s="259"/>
      <c r="AU86" s="259"/>
      <c r="AV86" s="261"/>
      <c r="AW86" s="261"/>
      <c r="AX86" s="790"/>
      <c r="AY86" s="262"/>
    </row>
    <row r="87" spans="1:51" s="260" customFormat="1" ht="103.5" hidden="1" customHeight="1">
      <c r="A87" s="790"/>
      <c r="B87" s="266"/>
      <c r="C87" s="1399"/>
      <c r="D87" s="1408"/>
      <c r="E87" s="1400"/>
      <c r="F87" s="267"/>
      <c r="G87" s="1399"/>
      <c r="H87" s="1408"/>
      <c r="I87" s="1400"/>
      <c r="J87" s="1380"/>
      <c r="K87" s="1380"/>
      <c r="L87" s="1380"/>
      <c r="M87" s="790"/>
      <c r="N87" s="790"/>
      <c r="O87" s="790"/>
      <c r="P87" s="790"/>
      <c r="Q87" s="266"/>
      <c r="R87" s="266"/>
      <c r="S87" s="268"/>
      <c r="T87" s="269" t="e">
        <f>VLOOKUP(Q87,[71]Listas!$D$6:$E$10,2,0)</f>
        <v>#N/A</v>
      </c>
      <c r="U87" s="269" t="e">
        <f>HLOOKUP(R87,[71]Listas!$F$4:$J$5,2,0)</f>
        <v>#N/A</v>
      </c>
      <c r="V87" s="270" t="e">
        <f>INDEX([71]Listas!$F$6:$J$10,MATCH(Q87,[71]Listas!$D$6:$D$10,0),MATCH(R87,[71]Listas!$F$4:$J$4,0))</f>
        <v>#N/A</v>
      </c>
      <c r="W87" s="268"/>
      <c r="X87" s="1399"/>
      <c r="Y87" s="1408"/>
      <c r="Z87" s="1400"/>
      <c r="AA87" s="1063"/>
      <c r="AB87" s="1140" t="s">
        <v>1126</v>
      </c>
      <c r="AC87" s="259"/>
      <c r="AD87" s="790"/>
      <c r="AE87" s="267"/>
      <c r="AF87" s="268"/>
      <c r="AG87" s="269">
        <f t="shared" si="12"/>
        <v>0</v>
      </c>
      <c r="AH87" s="271" t="e">
        <f t="shared" si="13"/>
        <v>#N/A</v>
      </c>
      <c r="AI87" s="272" t="e">
        <f>IF(AH87&lt;=1,"Remota",VLOOKUP(AH87,[71]Listas!$C$6:$D$10,2,0))</f>
        <v>#N/A</v>
      </c>
      <c r="AJ87" s="271" t="e">
        <f t="shared" si="14"/>
        <v>#N/A</v>
      </c>
      <c r="AK87" s="272" t="e">
        <f>IF(AJ87&lt;=1,"Insignificante",HLOOKUP(AJ87,[71]Listas!$F$3:$J$4,2,0))</f>
        <v>#N/A</v>
      </c>
      <c r="AL87" s="273" t="e">
        <f t="shared" si="15"/>
        <v>#N/A</v>
      </c>
      <c r="AM87" s="270" t="e">
        <f>INDEX([71]Listas!$F$6:$J$10,MATCH(AI87,[71]Listas!$D$6:$D$10,0),MATCH(AK87,[71]Listas!$F$4:$J$4,0))</f>
        <v>#N/A</v>
      </c>
      <c r="AN87" s="259"/>
      <c r="AO87" s="259"/>
      <c r="AP87" s="794"/>
      <c r="AQ87" s="259"/>
      <c r="AR87" s="259" t="s">
        <v>2343</v>
      </c>
      <c r="AS87" s="790"/>
      <c r="AT87" s="259"/>
      <c r="AU87" s="259"/>
      <c r="AV87" s="261"/>
      <c r="AW87" s="261"/>
      <c r="AX87" s="790"/>
      <c r="AY87" s="262"/>
    </row>
    <row r="88" spans="1:51" s="260" customFormat="1" ht="103.5" hidden="1" customHeight="1">
      <c r="A88" s="790"/>
      <c r="B88" s="266"/>
      <c r="C88" s="1399"/>
      <c r="D88" s="1408"/>
      <c r="E88" s="1400"/>
      <c r="F88" s="267"/>
      <c r="G88" s="1399"/>
      <c r="H88" s="1408"/>
      <c r="I88" s="1400"/>
      <c r="J88" s="1380"/>
      <c r="K88" s="1380"/>
      <c r="L88" s="1380"/>
      <c r="M88" s="790"/>
      <c r="N88" s="790"/>
      <c r="O88" s="790"/>
      <c r="P88" s="790"/>
      <c r="Q88" s="266"/>
      <c r="R88" s="266"/>
      <c r="S88" s="268"/>
      <c r="T88" s="269" t="e">
        <f>VLOOKUP(Q88,[71]Listas!$D$6:$E$10,2,0)</f>
        <v>#N/A</v>
      </c>
      <c r="U88" s="269" t="e">
        <f>HLOOKUP(R88,[71]Listas!$F$4:$J$5,2,0)</f>
        <v>#N/A</v>
      </c>
      <c r="V88" s="270" t="e">
        <f>INDEX([71]Listas!$F$6:$J$10,MATCH(Q88,[71]Listas!$D$6:$D$10,0),MATCH(R88,[71]Listas!$F$4:$J$4,0))</f>
        <v>#N/A</v>
      </c>
      <c r="W88" s="268"/>
      <c r="X88" s="1399"/>
      <c r="Y88" s="1408"/>
      <c r="Z88" s="1400"/>
      <c r="AA88" s="1063"/>
      <c r="AB88" s="1140" t="s">
        <v>1126</v>
      </c>
      <c r="AC88" s="259"/>
      <c r="AD88" s="790"/>
      <c r="AE88" s="267"/>
      <c r="AF88" s="268"/>
      <c r="AG88" s="269">
        <f t="shared" si="12"/>
        <v>0</v>
      </c>
      <c r="AH88" s="271" t="e">
        <f t="shared" si="13"/>
        <v>#N/A</v>
      </c>
      <c r="AI88" s="272" t="e">
        <f>IF(AH88&lt;=1,"Remota",VLOOKUP(AH88,[71]Listas!$C$6:$D$10,2,0))</f>
        <v>#N/A</v>
      </c>
      <c r="AJ88" s="271" t="e">
        <f t="shared" si="14"/>
        <v>#N/A</v>
      </c>
      <c r="AK88" s="272" t="e">
        <f>IF(AJ88&lt;=1,"Insignificante",HLOOKUP(AJ88,[71]Listas!$F$3:$J$4,2,0))</f>
        <v>#N/A</v>
      </c>
      <c r="AL88" s="273" t="e">
        <f t="shared" si="15"/>
        <v>#N/A</v>
      </c>
      <c r="AM88" s="270" t="e">
        <f>INDEX([71]Listas!$F$6:$J$10,MATCH(AI88,[71]Listas!$D$6:$D$10,0),MATCH(AK88,[71]Listas!$F$4:$J$4,0))</f>
        <v>#N/A</v>
      </c>
      <c r="AN88" s="259"/>
      <c r="AO88" s="259"/>
      <c r="AP88" s="794"/>
      <c r="AQ88" s="259"/>
      <c r="AR88" s="259" t="s">
        <v>2343</v>
      </c>
      <c r="AS88" s="790"/>
      <c r="AT88" s="259"/>
      <c r="AU88" s="259"/>
      <c r="AV88" s="261"/>
      <c r="AW88" s="261"/>
      <c r="AX88" s="790"/>
      <c r="AY88" s="262"/>
    </row>
    <row r="89" spans="1:51" s="260" customFormat="1" ht="103.5" hidden="1" customHeight="1">
      <c r="A89" s="790"/>
      <c r="B89" s="266"/>
      <c r="C89" s="1399"/>
      <c r="D89" s="1408"/>
      <c r="E89" s="1400"/>
      <c r="F89" s="267"/>
      <c r="G89" s="1399"/>
      <c r="H89" s="1408"/>
      <c r="I89" s="1400"/>
      <c r="J89" s="1380"/>
      <c r="K89" s="1380"/>
      <c r="L89" s="1380"/>
      <c r="M89" s="790"/>
      <c r="N89" s="790"/>
      <c r="O89" s="790"/>
      <c r="P89" s="790"/>
      <c r="Q89" s="266"/>
      <c r="R89" s="266"/>
      <c r="S89" s="268"/>
      <c r="T89" s="269" t="e">
        <f>VLOOKUP(Q89,[71]Listas!$D$6:$E$10,2,0)</f>
        <v>#N/A</v>
      </c>
      <c r="U89" s="269" t="e">
        <f>HLOOKUP(R89,[71]Listas!$F$4:$J$5,2,0)</f>
        <v>#N/A</v>
      </c>
      <c r="V89" s="270" t="e">
        <f>INDEX([71]Listas!$F$6:$J$10,MATCH(Q89,[71]Listas!$D$6:$D$10,0),MATCH(R89,[71]Listas!$F$4:$J$4,0))</f>
        <v>#N/A</v>
      </c>
      <c r="W89" s="268"/>
      <c r="X89" s="1399"/>
      <c r="Y89" s="1408"/>
      <c r="Z89" s="1400"/>
      <c r="AA89" s="1063"/>
      <c r="AB89" s="1140" t="s">
        <v>1126</v>
      </c>
      <c r="AC89" s="259"/>
      <c r="AD89" s="790"/>
      <c r="AE89" s="267"/>
      <c r="AF89" s="268"/>
      <c r="AG89" s="269">
        <f t="shared" si="12"/>
        <v>0</v>
      </c>
      <c r="AH89" s="271" t="e">
        <f t="shared" si="13"/>
        <v>#N/A</v>
      </c>
      <c r="AI89" s="272" t="e">
        <f>IF(AH89&lt;=1,"Remota",VLOOKUP(AH89,[71]Listas!$C$6:$D$10,2,0))</f>
        <v>#N/A</v>
      </c>
      <c r="AJ89" s="271" t="e">
        <f t="shared" si="14"/>
        <v>#N/A</v>
      </c>
      <c r="AK89" s="272" t="e">
        <f>IF(AJ89&lt;=1,"Insignificante",HLOOKUP(AJ89,[71]Listas!$F$3:$J$4,2,0))</f>
        <v>#N/A</v>
      </c>
      <c r="AL89" s="273" t="e">
        <f t="shared" si="15"/>
        <v>#N/A</v>
      </c>
      <c r="AM89" s="270" t="e">
        <f>INDEX([71]Listas!$F$6:$J$10,MATCH(AI89,[71]Listas!$D$6:$D$10,0),MATCH(AK89,[71]Listas!$F$4:$J$4,0))</f>
        <v>#N/A</v>
      </c>
      <c r="AN89" s="259"/>
      <c r="AO89" s="259"/>
      <c r="AP89" s="794"/>
      <c r="AQ89" s="259"/>
      <c r="AR89" s="259" t="s">
        <v>2343</v>
      </c>
      <c r="AS89" s="790"/>
      <c r="AT89" s="259"/>
      <c r="AU89" s="259"/>
      <c r="AV89" s="261"/>
      <c r="AW89" s="261"/>
      <c r="AX89" s="790"/>
      <c r="AY89" s="262"/>
    </row>
    <row r="90" spans="1:51" s="260" customFormat="1" ht="103.5" hidden="1" customHeight="1">
      <c r="A90" s="790"/>
      <c r="B90" s="266"/>
      <c r="C90" s="1399"/>
      <c r="D90" s="1408"/>
      <c r="E90" s="1400"/>
      <c r="F90" s="267"/>
      <c r="G90" s="1399"/>
      <c r="H90" s="1408"/>
      <c r="I90" s="1400"/>
      <c r="J90" s="1380"/>
      <c r="K90" s="1380"/>
      <c r="L90" s="1380"/>
      <c r="M90" s="790"/>
      <c r="N90" s="790"/>
      <c r="O90" s="790"/>
      <c r="P90" s="790"/>
      <c r="Q90" s="266"/>
      <c r="R90" s="266"/>
      <c r="S90" s="268"/>
      <c r="T90" s="269" t="e">
        <f>VLOOKUP(Q90,[71]Listas!$D$6:$E$10,2,0)</f>
        <v>#N/A</v>
      </c>
      <c r="U90" s="269" t="e">
        <f>HLOOKUP(R90,[71]Listas!$F$4:$J$5,2,0)</f>
        <v>#N/A</v>
      </c>
      <c r="V90" s="270" t="e">
        <f>INDEX([71]Listas!$F$6:$J$10,MATCH(Q90,[71]Listas!$D$6:$D$10,0),MATCH(R90,[71]Listas!$F$4:$J$4,0))</f>
        <v>#N/A</v>
      </c>
      <c r="W90" s="268"/>
      <c r="X90" s="1399"/>
      <c r="Y90" s="1408"/>
      <c r="Z90" s="1400"/>
      <c r="AA90" s="1063"/>
      <c r="AB90" s="1140" t="s">
        <v>1126</v>
      </c>
      <c r="AC90" s="259"/>
      <c r="AD90" s="790"/>
      <c r="AE90" s="267"/>
      <c r="AF90" s="268"/>
      <c r="AG90" s="269">
        <f t="shared" si="12"/>
        <v>0</v>
      </c>
      <c r="AH90" s="271" t="e">
        <f t="shared" si="13"/>
        <v>#N/A</v>
      </c>
      <c r="AI90" s="272" t="e">
        <f>IF(AH90&lt;=1,"Remota",VLOOKUP(AH90,[71]Listas!$C$6:$D$10,2,0))</f>
        <v>#N/A</v>
      </c>
      <c r="AJ90" s="271" t="e">
        <f t="shared" si="14"/>
        <v>#N/A</v>
      </c>
      <c r="AK90" s="272" t="e">
        <f>IF(AJ90&lt;=1,"Insignificante",HLOOKUP(AJ90,[71]Listas!$F$3:$J$4,2,0))</f>
        <v>#N/A</v>
      </c>
      <c r="AL90" s="273" t="e">
        <f t="shared" si="15"/>
        <v>#N/A</v>
      </c>
      <c r="AM90" s="270" t="e">
        <f>INDEX([71]Listas!$F$6:$J$10,MATCH(AI90,[71]Listas!$D$6:$D$10,0),MATCH(AK90,[71]Listas!$F$4:$J$4,0))</f>
        <v>#N/A</v>
      </c>
      <c r="AN90" s="259"/>
      <c r="AO90" s="259"/>
      <c r="AP90" s="794"/>
      <c r="AQ90" s="259"/>
      <c r="AR90" s="259" t="s">
        <v>2343</v>
      </c>
      <c r="AS90" s="790"/>
      <c r="AT90" s="259"/>
      <c r="AU90" s="259"/>
      <c r="AV90" s="261"/>
      <c r="AW90" s="261"/>
      <c r="AX90" s="790"/>
      <c r="AY90" s="262"/>
    </row>
    <row r="91" spans="1:51" s="260" customFormat="1" ht="103.5" hidden="1" customHeight="1">
      <c r="A91" s="790"/>
      <c r="B91" s="266"/>
      <c r="C91" s="1399"/>
      <c r="D91" s="1408"/>
      <c r="E91" s="1400"/>
      <c r="F91" s="267"/>
      <c r="G91" s="1399"/>
      <c r="H91" s="1408"/>
      <c r="I91" s="1400"/>
      <c r="J91" s="1380"/>
      <c r="K91" s="1380"/>
      <c r="L91" s="1380"/>
      <c r="M91" s="790"/>
      <c r="N91" s="790"/>
      <c r="O91" s="790"/>
      <c r="P91" s="790"/>
      <c r="Q91" s="266"/>
      <c r="R91" s="266"/>
      <c r="S91" s="268"/>
      <c r="T91" s="269" t="e">
        <f>VLOOKUP(Q91,[71]Listas!$D$6:$E$10,2,0)</f>
        <v>#N/A</v>
      </c>
      <c r="U91" s="269" t="e">
        <f>HLOOKUP(R91,[71]Listas!$F$4:$J$5,2,0)</f>
        <v>#N/A</v>
      </c>
      <c r="V91" s="270" t="e">
        <f>INDEX([71]Listas!$F$6:$J$10,MATCH(Q91,[71]Listas!$D$6:$D$10,0),MATCH(R91,[71]Listas!$F$4:$J$4,0))</f>
        <v>#N/A</v>
      </c>
      <c r="W91" s="268"/>
      <c r="X91" s="1399"/>
      <c r="Y91" s="1408"/>
      <c r="Z91" s="1400"/>
      <c r="AA91" s="1063"/>
      <c r="AB91" s="1140" t="s">
        <v>1126</v>
      </c>
      <c r="AC91" s="259"/>
      <c r="AD91" s="790"/>
      <c r="AE91" s="267"/>
      <c r="AF91" s="268"/>
      <c r="AG91" s="269">
        <f t="shared" si="12"/>
        <v>0</v>
      </c>
      <c r="AH91" s="271" t="e">
        <f t="shared" si="13"/>
        <v>#N/A</v>
      </c>
      <c r="AI91" s="272" t="e">
        <f>IF(AH91&lt;=1,"Remota",VLOOKUP(AH91,[71]Listas!$C$6:$D$10,2,0))</f>
        <v>#N/A</v>
      </c>
      <c r="AJ91" s="271" t="e">
        <f t="shared" si="14"/>
        <v>#N/A</v>
      </c>
      <c r="AK91" s="272" t="e">
        <f>IF(AJ91&lt;=1,"Insignificante",HLOOKUP(AJ91,[71]Listas!$F$3:$J$4,2,0))</f>
        <v>#N/A</v>
      </c>
      <c r="AL91" s="273" t="e">
        <f t="shared" si="15"/>
        <v>#N/A</v>
      </c>
      <c r="AM91" s="270" t="e">
        <f>INDEX([71]Listas!$F$6:$J$10,MATCH(AI91,[71]Listas!$D$6:$D$10,0),MATCH(AK91,[71]Listas!$F$4:$J$4,0))</f>
        <v>#N/A</v>
      </c>
      <c r="AN91" s="259"/>
      <c r="AO91" s="259"/>
      <c r="AP91" s="794"/>
      <c r="AQ91" s="259"/>
      <c r="AR91" s="259" t="s">
        <v>2343</v>
      </c>
      <c r="AS91" s="790"/>
      <c r="AT91" s="259"/>
      <c r="AU91" s="259"/>
      <c r="AV91" s="261"/>
      <c r="AW91" s="261"/>
      <c r="AX91" s="790"/>
      <c r="AY91" s="262"/>
    </row>
    <row r="92" spans="1:51" s="260" customFormat="1" ht="103.5" hidden="1" customHeight="1">
      <c r="A92" s="790"/>
      <c r="B92" s="266"/>
      <c r="C92" s="1399"/>
      <c r="D92" s="1408"/>
      <c r="E92" s="1400"/>
      <c r="F92" s="267"/>
      <c r="G92" s="1399"/>
      <c r="H92" s="1408"/>
      <c r="I92" s="1400"/>
      <c r="J92" s="1380"/>
      <c r="K92" s="1380"/>
      <c r="L92" s="1380"/>
      <c r="M92" s="790"/>
      <c r="N92" s="790"/>
      <c r="O92" s="790"/>
      <c r="P92" s="790"/>
      <c r="Q92" s="266"/>
      <c r="R92" s="266"/>
      <c r="S92" s="268"/>
      <c r="T92" s="269" t="e">
        <f>VLOOKUP(Q92,[71]Listas!$D$6:$E$10,2,0)</f>
        <v>#N/A</v>
      </c>
      <c r="U92" s="269" t="e">
        <f>HLOOKUP(R92,[71]Listas!$F$4:$J$5,2,0)</f>
        <v>#N/A</v>
      </c>
      <c r="V92" s="270" t="e">
        <f>INDEX([71]Listas!$F$6:$J$10,MATCH(Q92,[71]Listas!$D$6:$D$10,0),MATCH(R92,[71]Listas!$F$4:$J$4,0))</f>
        <v>#N/A</v>
      </c>
      <c r="W92" s="268"/>
      <c r="X92" s="1399"/>
      <c r="Y92" s="1408"/>
      <c r="Z92" s="1400"/>
      <c r="AA92" s="1063"/>
      <c r="AB92" s="1140" t="s">
        <v>1126</v>
      </c>
      <c r="AC92" s="259"/>
      <c r="AD92" s="790"/>
      <c r="AE92" s="267"/>
      <c r="AF92" s="268"/>
      <c r="AG92" s="269">
        <f t="shared" si="12"/>
        <v>0</v>
      </c>
      <c r="AH92" s="271" t="e">
        <f t="shared" si="13"/>
        <v>#N/A</v>
      </c>
      <c r="AI92" s="272" t="e">
        <f>IF(AH92&lt;=1,"Remota",VLOOKUP(AH92,[71]Listas!$C$6:$D$10,2,0))</f>
        <v>#N/A</v>
      </c>
      <c r="AJ92" s="271" t="e">
        <f t="shared" si="14"/>
        <v>#N/A</v>
      </c>
      <c r="AK92" s="272" t="e">
        <f>IF(AJ92&lt;=1,"Insignificante",HLOOKUP(AJ92,[71]Listas!$F$3:$J$4,2,0))</f>
        <v>#N/A</v>
      </c>
      <c r="AL92" s="273" t="e">
        <f t="shared" si="15"/>
        <v>#N/A</v>
      </c>
      <c r="AM92" s="270" t="e">
        <f>INDEX([71]Listas!$F$6:$J$10,MATCH(AI92,[71]Listas!$D$6:$D$10,0),MATCH(AK92,[71]Listas!$F$4:$J$4,0))</f>
        <v>#N/A</v>
      </c>
      <c r="AN92" s="259"/>
      <c r="AO92" s="259"/>
      <c r="AP92" s="794"/>
      <c r="AQ92" s="259"/>
      <c r="AR92" s="259" t="s">
        <v>2343</v>
      </c>
      <c r="AS92" s="790"/>
      <c r="AT92" s="259"/>
      <c r="AU92" s="259"/>
      <c r="AV92" s="261"/>
      <c r="AW92" s="261"/>
      <c r="AX92" s="790"/>
      <c r="AY92" s="262"/>
    </row>
    <row r="93" spans="1:51" s="260" customFormat="1" ht="103.5" hidden="1" customHeight="1">
      <c r="A93" s="790"/>
      <c r="B93" s="266"/>
      <c r="C93" s="1399"/>
      <c r="D93" s="1408"/>
      <c r="E93" s="1400"/>
      <c r="F93" s="267"/>
      <c r="G93" s="1399"/>
      <c r="H93" s="1408"/>
      <c r="I93" s="1400"/>
      <c r="J93" s="1380"/>
      <c r="K93" s="1380"/>
      <c r="L93" s="1380"/>
      <c r="M93" s="790"/>
      <c r="N93" s="790"/>
      <c r="O93" s="790"/>
      <c r="P93" s="790"/>
      <c r="Q93" s="266"/>
      <c r="R93" s="266"/>
      <c r="S93" s="268"/>
      <c r="T93" s="269" t="e">
        <f>VLOOKUP(Q93,[71]Listas!$D$6:$E$10,2,0)</f>
        <v>#N/A</v>
      </c>
      <c r="U93" s="269" t="e">
        <f>HLOOKUP(R93,[71]Listas!$F$4:$J$5,2,0)</f>
        <v>#N/A</v>
      </c>
      <c r="V93" s="270" t="e">
        <f>INDEX([71]Listas!$F$6:$J$10,MATCH(Q93,[71]Listas!$D$6:$D$10,0),MATCH(R93,[71]Listas!$F$4:$J$4,0))</f>
        <v>#N/A</v>
      </c>
      <c r="W93" s="268"/>
      <c r="X93" s="1399"/>
      <c r="Y93" s="1408"/>
      <c r="Z93" s="1400"/>
      <c r="AA93" s="1063"/>
      <c r="AB93" s="1140" t="s">
        <v>1126</v>
      </c>
      <c r="AC93" s="259"/>
      <c r="AD93" s="790"/>
      <c r="AE93" s="267"/>
      <c r="AF93" s="268"/>
      <c r="AG93" s="269">
        <f t="shared" si="12"/>
        <v>0</v>
      </c>
      <c r="AH93" s="271" t="e">
        <f t="shared" si="13"/>
        <v>#N/A</v>
      </c>
      <c r="AI93" s="272" t="e">
        <f>IF(AH93&lt;=1,"Remota",VLOOKUP(AH93,[71]Listas!$C$6:$D$10,2,0))</f>
        <v>#N/A</v>
      </c>
      <c r="AJ93" s="271" t="e">
        <f t="shared" si="14"/>
        <v>#N/A</v>
      </c>
      <c r="AK93" s="272" t="e">
        <f>IF(AJ93&lt;=1,"Insignificante",HLOOKUP(AJ93,[71]Listas!$F$3:$J$4,2,0))</f>
        <v>#N/A</v>
      </c>
      <c r="AL93" s="273" t="e">
        <f t="shared" si="15"/>
        <v>#N/A</v>
      </c>
      <c r="AM93" s="270" t="e">
        <f>INDEX([71]Listas!$F$6:$J$10,MATCH(AI93,[71]Listas!$D$6:$D$10,0),MATCH(AK93,[71]Listas!$F$4:$J$4,0))</f>
        <v>#N/A</v>
      </c>
      <c r="AN93" s="259"/>
      <c r="AO93" s="259"/>
      <c r="AP93" s="794"/>
      <c r="AQ93" s="259"/>
      <c r="AR93" s="259" t="s">
        <v>2343</v>
      </c>
      <c r="AS93" s="790"/>
      <c r="AT93" s="259"/>
      <c r="AU93" s="259"/>
      <c r="AV93" s="261"/>
      <c r="AW93" s="261"/>
      <c r="AX93" s="790"/>
      <c r="AY93" s="262"/>
    </row>
    <row r="94" spans="1:51" s="260" customFormat="1" ht="103.5" hidden="1" customHeight="1">
      <c r="A94" s="790"/>
      <c r="B94" s="266"/>
      <c r="C94" s="1399"/>
      <c r="D94" s="1408"/>
      <c r="E94" s="1400"/>
      <c r="F94" s="267"/>
      <c r="G94" s="1399"/>
      <c r="H94" s="1408"/>
      <c r="I94" s="1400"/>
      <c r="J94" s="1380"/>
      <c r="K94" s="1380"/>
      <c r="L94" s="1380"/>
      <c r="M94" s="790"/>
      <c r="N94" s="790"/>
      <c r="O94" s="790"/>
      <c r="P94" s="790"/>
      <c r="Q94" s="266"/>
      <c r="R94" s="266"/>
      <c r="S94" s="268"/>
      <c r="T94" s="269" t="e">
        <f>VLOOKUP(Q94,[71]Listas!$D$6:$E$10,2,0)</f>
        <v>#N/A</v>
      </c>
      <c r="U94" s="269" t="e">
        <f>HLOOKUP(R94,[71]Listas!$F$4:$J$5,2,0)</f>
        <v>#N/A</v>
      </c>
      <c r="V94" s="270" t="e">
        <f>INDEX([71]Listas!$F$6:$J$10,MATCH(Q94,[71]Listas!$D$6:$D$10,0),MATCH(R94,[71]Listas!$F$4:$J$4,0))</f>
        <v>#N/A</v>
      </c>
      <c r="W94" s="268"/>
      <c r="X94" s="1399"/>
      <c r="Y94" s="1408"/>
      <c r="Z94" s="1400"/>
      <c r="AA94" s="1063"/>
      <c r="AB94" s="1140" t="s">
        <v>1126</v>
      </c>
      <c r="AC94" s="259"/>
      <c r="AD94" s="790"/>
      <c r="AE94" s="267"/>
      <c r="AF94" s="268"/>
      <c r="AG94" s="269">
        <f t="shared" si="12"/>
        <v>0</v>
      </c>
      <c r="AH94" s="271" t="e">
        <f t="shared" si="13"/>
        <v>#N/A</v>
      </c>
      <c r="AI94" s="272" t="e">
        <f>IF(AH94&lt;=1,"Remota",VLOOKUP(AH94,[71]Listas!$C$6:$D$10,2,0))</f>
        <v>#N/A</v>
      </c>
      <c r="AJ94" s="271" t="e">
        <f t="shared" si="14"/>
        <v>#N/A</v>
      </c>
      <c r="AK94" s="272" t="e">
        <f>IF(AJ94&lt;=1,"Insignificante",HLOOKUP(AJ94,[71]Listas!$F$3:$J$4,2,0))</f>
        <v>#N/A</v>
      </c>
      <c r="AL94" s="273" t="e">
        <f t="shared" si="15"/>
        <v>#N/A</v>
      </c>
      <c r="AM94" s="270" t="e">
        <f>INDEX([71]Listas!$F$6:$J$10,MATCH(AI94,[71]Listas!$D$6:$D$10,0),MATCH(AK94,[71]Listas!$F$4:$J$4,0))</f>
        <v>#N/A</v>
      </c>
      <c r="AN94" s="259"/>
      <c r="AO94" s="259"/>
      <c r="AP94" s="794"/>
      <c r="AQ94" s="259"/>
      <c r="AR94" s="259" t="s">
        <v>2343</v>
      </c>
      <c r="AS94" s="790"/>
      <c r="AT94" s="259"/>
      <c r="AU94" s="259"/>
      <c r="AV94" s="261"/>
      <c r="AW94" s="261"/>
      <c r="AX94" s="790"/>
      <c r="AY94" s="262"/>
    </row>
    <row r="95" spans="1:51" s="260" customFormat="1" ht="103.5" hidden="1" customHeight="1">
      <c r="A95" s="790"/>
      <c r="B95" s="266"/>
      <c r="C95" s="1399"/>
      <c r="D95" s="1408"/>
      <c r="E95" s="1400"/>
      <c r="F95" s="267"/>
      <c r="G95" s="1399"/>
      <c r="H95" s="1408"/>
      <c r="I95" s="1400"/>
      <c r="J95" s="1380"/>
      <c r="K95" s="1380"/>
      <c r="L95" s="1380"/>
      <c r="M95" s="790"/>
      <c r="N95" s="790"/>
      <c r="O95" s="790"/>
      <c r="P95" s="790"/>
      <c r="Q95" s="266"/>
      <c r="R95" s="266"/>
      <c r="S95" s="268"/>
      <c r="T95" s="269" t="e">
        <f>VLOOKUP(Q95,[71]Listas!$D$6:$E$10,2,0)</f>
        <v>#N/A</v>
      </c>
      <c r="U95" s="269" t="e">
        <f>HLOOKUP(R95,[71]Listas!$F$4:$J$5,2,0)</f>
        <v>#N/A</v>
      </c>
      <c r="V95" s="270" t="e">
        <f>INDEX([71]Listas!$F$6:$J$10,MATCH(Q95,[71]Listas!$D$6:$D$10,0),MATCH(R95,[71]Listas!$F$4:$J$4,0))</f>
        <v>#N/A</v>
      </c>
      <c r="W95" s="268"/>
      <c r="X95" s="1399"/>
      <c r="Y95" s="1408"/>
      <c r="Z95" s="1400"/>
      <c r="AA95" s="1063"/>
      <c r="AB95" s="1140" t="s">
        <v>1126</v>
      </c>
      <c r="AC95" s="259"/>
      <c r="AD95" s="790"/>
      <c r="AE95" s="267"/>
      <c r="AF95" s="268"/>
      <c r="AG95" s="269">
        <f t="shared" si="12"/>
        <v>0</v>
      </c>
      <c r="AH95" s="271" t="e">
        <f t="shared" si="13"/>
        <v>#N/A</v>
      </c>
      <c r="AI95" s="272" t="e">
        <f>IF(AH95&lt;=1,"Remota",VLOOKUP(AH95,[71]Listas!$C$6:$D$10,2,0))</f>
        <v>#N/A</v>
      </c>
      <c r="AJ95" s="271" t="e">
        <f t="shared" si="14"/>
        <v>#N/A</v>
      </c>
      <c r="AK95" s="272" t="e">
        <f>IF(AJ95&lt;=1,"Insignificante",HLOOKUP(AJ95,[71]Listas!$F$3:$J$4,2,0))</f>
        <v>#N/A</v>
      </c>
      <c r="AL95" s="273" t="e">
        <f t="shared" si="15"/>
        <v>#N/A</v>
      </c>
      <c r="AM95" s="270" t="e">
        <f>INDEX([71]Listas!$F$6:$J$10,MATCH(AI95,[71]Listas!$D$6:$D$10,0),MATCH(AK95,[71]Listas!$F$4:$J$4,0))</f>
        <v>#N/A</v>
      </c>
      <c r="AN95" s="259"/>
      <c r="AO95" s="259"/>
      <c r="AP95" s="794"/>
      <c r="AQ95" s="259"/>
      <c r="AR95" s="259" t="s">
        <v>2343</v>
      </c>
      <c r="AS95" s="790"/>
      <c r="AT95" s="259"/>
      <c r="AU95" s="259"/>
      <c r="AV95" s="261"/>
      <c r="AW95" s="261"/>
      <c r="AX95" s="790"/>
      <c r="AY95" s="262"/>
    </row>
    <row r="96" spans="1:51" s="260" customFormat="1" ht="103.5" hidden="1" customHeight="1">
      <c r="A96" s="790"/>
      <c r="B96" s="266"/>
      <c r="C96" s="1399"/>
      <c r="D96" s="1408"/>
      <c r="E96" s="1400"/>
      <c r="F96" s="267"/>
      <c r="G96" s="1399"/>
      <c r="H96" s="1408"/>
      <c r="I96" s="1400"/>
      <c r="J96" s="1380"/>
      <c r="K96" s="1380"/>
      <c r="L96" s="1380"/>
      <c r="M96" s="790"/>
      <c r="N96" s="790"/>
      <c r="O96" s="790"/>
      <c r="P96" s="790"/>
      <c r="Q96" s="266"/>
      <c r="R96" s="266"/>
      <c r="S96" s="268"/>
      <c r="T96" s="269" t="e">
        <f>VLOOKUP(Q96,[71]Listas!$D$6:$E$10,2,0)</f>
        <v>#N/A</v>
      </c>
      <c r="U96" s="269" t="e">
        <f>HLOOKUP(R96,[71]Listas!$F$4:$J$5,2,0)</f>
        <v>#N/A</v>
      </c>
      <c r="V96" s="270" t="e">
        <f>INDEX([71]Listas!$F$6:$J$10,MATCH(Q96,[71]Listas!$D$6:$D$10,0),MATCH(R96,[71]Listas!$F$4:$J$4,0))</f>
        <v>#N/A</v>
      </c>
      <c r="W96" s="268"/>
      <c r="X96" s="1399"/>
      <c r="Y96" s="1408"/>
      <c r="Z96" s="1400"/>
      <c r="AA96" s="1063"/>
      <c r="AB96" s="1140" t="s">
        <v>1126</v>
      </c>
      <c r="AC96" s="259"/>
      <c r="AD96" s="790"/>
      <c r="AE96" s="267"/>
      <c r="AF96" s="268"/>
      <c r="AG96" s="269">
        <f t="shared" si="12"/>
        <v>0</v>
      </c>
      <c r="AH96" s="271" t="e">
        <f t="shared" si="13"/>
        <v>#N/A</v>
      </c>
      <c r="AI96" s="272" t="e">
        <f>IF(AH96&lt;=1,"Remota",VLOOKUP(AH96,[71]Listas!$C$6:$D$10,2,0))</f>
        <v>#N/A</v>
      </c>
      <c r="AJ96" s="271" t="e">
        <f t="shared" si="14"/>
        <v>#N/A</v>
      </c>
      <c r="AK96" s="272" t="e">
        <f>IF(AJ96&lt;=1,"Insignificante",HLOOKUP(AJ96,[71]Listas!$F$3:$J$4,2,0))</f>
        <v>#N/A</v>
      </c>
      <c r="AL96" s="273" t="e">
        <f t="shared" si="15"/>
        <v>#N/A</v>
      </c>
      <c r="AM96" s="270" t="e">
        <f>INDEX([71]Listas!$F$6:$J$10,MATCH(AI96,[71]Listas!$D$6:$D$10,0),MATCH(AK96,[71]Listas!$F$4:$J$4,0))</f>
        <v>#N/A</v>
      </c>
      <c r="AN96" s="259"/>
      <c r="AO96" s="259"/>
      <c r="AP96" s="794"/>
      <c r="AQ96" s="259"/>
      <c r="AR96" s="259" t="s">
        <v>2343</v>
      </c>
      <c r="AS96" s="790"/>
      <c r="AT96" s="259"/>
      <c r="AU96" s="259"/>
      <c r="AV96" s="261"/>
      <c r="AW96" s="261"/>
      <c r="AX96" s="790"/>
      <c r="AY96" s="262"/>
    </row>
    <row r="97" spans="1:51" s="260" customFormat="1" ht="103.5" hidden="1" customHeight="1">
      <c r="A97" s="790"/>
      <c r="B97" s="266"/>
      <c r="C97" s="1399"/>
      <c r="D97" s="1408"/>
      <c r="E97" s="1400"/>
      <c r="F97" s="267"/>
      <c r="G97" s="1399"/>
      <c r="H97" s="1408"/>
      <c r="I97" s="1400"/>
      <c r="J97" s="1380"/>
      <c r="K97" s="1380"/>
      <c r="L97" s="1380"/>
      <c r="M97" s="790"/>
      <c r="N97" s="790"/>
      <c r="O97" s="790"/>
      <c r="P97" s="790"/>
      <c r="Q97" s="266"/>
      <c r="R97" s="266"/>
      <c r="S97" s="268"/>
      <c r="T97" s="269" t="e">
        <f>VLOOKUP(Q97,[71]Listas!$D$6:$E$10,2,0)</f>
        <v>#N/A</v>
      </c>
      <c r="U97" s="269" t="e">
        <f>HLOOKUP(R97,[71]Listas!$F$4:$J$5,2,0)</f>
        <v>#N/A</v>
      </c>
      <c r="V97" s="270" t="e">
        <f>INDEX([71]Listas!$F$6:$J$10,MATCH(Q97,[71]Listas!$D$6:$D$10,0),MATCH(R97,[71]Listas!$F$4:$J$4,0))</f>
        <v>#N/A</v>
      </c>
      <c r="W97" s="268"/>
      <c r="X97" s="1399"/>
      <c r="Y97" s="1408"/>
      <c r="Z97" s="1400"/>
      <c r="AA97" s="1063"/>
      <c r="AB97" s="1140" t="s">
        <v>1126</v>
      </c>
      <c r="AC97" s="259"/>
      <c r="AD97" s="790"/>
      <c r="AE97" s="267"/>
      <c r="AF97" s="268"/>
      <c r="AG97" s="269">
        <f t="shared" si="12"/>
        <v>0</v>
      </c>
      <c r="AH97" s="271" t="e">
        <f t="shared" si="13"/>
        <v>#N/A</v>
      </c>
      <c r="AI97" s="272" t="e">
        <f>IF(AH97&lt;=1,"Remota",VLOOKUP(AH97,[71]Listas!$C$6:$D$10,2,0))</f>
        <v>#N/A</v>
      </c>
      <c r="AJ97" s="271" t="e">
        <f t="shared" si="14"/>
        <v>#N/A</v>
      </c>
      <c r="AK97" s="272" t="e">
        <f>IF(AJ97&lt;=1,"Insignificante",HLOOKUP(AJ97,[71]Listas!$F$3:$J$4,2,0))</f>
        <v>#N/A</v>
      </c>
      <c r="AL97" s="273" t="e">
        <f t="shared" si="15"/>
        <v>#N/A</v>
      </c>
      <c r="AM97" s="270" t="e">
        <f>INDEX([71]Listas!$F$6:$J$10,MATCH(AI97,[71]Listas!$D$6:$D$10,0),MATCH(AK97,[71]Listas!$F$4:$J$4,0))</f>
        <v>#N/A</v>
      </c>
      <c r="AN97" s="259"/>
      <c r="AO97" s="259"/>
      <c r="AP97" s="794"/>
      <c r="AQ97" s="259"/>
      <c r="AR97" s="259" t="s">
        <v>2343</v>
      </c>
      <c r="AS97" s="790"/>
      <c r="AT97" s="259"/>
      <c r="AU97" s="259"/>
      <c r="AV97" s="261"/>
      <c r="AW97" s="261"/>
      <c r="AX97" s="790"/>
      <c r="AY97" s="262"/>
    </row>
    <row r="98" spans="1:51" s="260" customFormat="1" ht="103.5" hidden="1" customHeight="1">
      <c r="A98" s="790"/>
      <c r="B98" s="266"/>
      <c r="C98" s="1399"/>
      <c r="D98" s="1408"/>
      <c r="E98" s="1400"/>
      <c r="F98" s="267"/>
      <c r="G98" s="1399"/>
      <c r="H98" s="1408"/>
      <c r="I98" s="1400"/>
      <c r="J98" s="1380"/>
      <c r="K98" s="1380"/>
      <c r="L98" s="1380"/>
      <c r="M98" s="790"/>
      <c r="N98" s="790"/>
      <c r="O98" s="790"/>
      <c r="P98" s="790"/>
      <c r="Q98" s="266"/>
      <c r="R98" s="266"/>
      <c r="S98" s="268"/>
      <c r="T98" s="269" t="e">
        <f>VLOOKUP(Q98,[71]Listas!$D$6:$E$10,2,0)</f>
        <v>#N/A</v>
      </c>
      <c r="U98" s="269" t="e">
        <f>HLOOKUP(R98,[71]Listas!$F$4:$J$5,2,0)</f>
        <v>#N/A</v>
      </c>
      <c r="V98" s="270" t="e">
        <f>INDEX([71]Listas!$F$6:$J$10,MATCH(Q98,[71]Listas!$D$6:$D$10,0),MATCH(R98,[71]Listas!$F$4:$J$4,0))</f>
        <v>#N/A</v>
      </c>
      <c r="W98" s="268"/>
      <c r="X98" s="1399"/>
      <c r="Y98" s="1408"/>
      <c r="Z98" s="1400"/>
      <c r="AA98" s="1063"/>
      <c r="AB98" s="1140" t="s">
        <v>1126</v>
      </c>
      <c r="AC98" s="259"/>
      <c r="AD98" s="790"/>
      <c r="AE98" s="267"/>
      <c r="AF98" s="268"/>
      <c r="AG98" s="269">
        <f t="shared" si="12"/>
        <v>0</v>
      </c>
      <c r="AH98" s="271" t="e">
        <f t="shared" si="13"/>
        <v>#N/A</v>
      </c>
      <c r="AI98" s="272" t="e">
        <f>IF(AH98&lt;=1,"Remota",VLOOKUP(AH98,[71]Listas!$C$6:$D$10,2,0))</f>
        <v>#N/A</v>
      </c>
      <c r="AJ98" s="271" t="e">
        <f t="shared" si="14"/>
        <v>#N/A</v>
      </c>
      <c r="AK98" s="272" t="e">
        <f>IF(AJ98&lt;=1,"Insignificante",HLOOKUP(AJ98,[71]Listas!$F$3:$J$4,2,0))</f>
        <v>#N/A</v>
      </c>
      <c r="AL98" s="273" t="e">
        <f t="shared" si="15"/>
        <v>#N/A</v>
      </c>
      <c r="AM98" s="270" t="e">
        <f>INDEX([71]Listas!$F$6:$J$10,MATCH(AI98,[71]Listas!$D$6:$D$10,0),MATCH(AK98,[71]Listas!$F$4:$J$4,0))</f>
        <v>#N/A</v>
      </c>
      <c r="AN98" s="259"/>
      <c r="AO98" s="259"/>
      <c r="AP98" s="794"/>
      <c r="AQ98" s="259"/>
      <c r="AR98" s="259" t="s">
        <v>2343</v>
      </c>
      <c r="AS98" s="790"/>
      <c r="AT98" s="259"/>
      <c r="AU98" s="259"/>
      <c r="AV98" s="261"/>
      <c r="AW98" s="261"/>
      <c r="AX98" s="790"/>
      <c r="AY98" s="262"/>
    </row>
    <row r="99" spans="1:51" s="260" customFormat="1" ht="103.5" hidden="1" customHeight="1">
      <c r="A99" s="790"/>
      <c r="B99" s="266"/>
      <c r="C99" s="1399"/>
      <c r="D99" s="1408"/>
      <c r="E99" s="1400"/>
      <c r="F99" s="267"/>
      <c r="G99" s="1399"/>
      <c r="H99" s="1408"/>
      <c r="I99" s="1400"/>
      <c r="J99" s="1380"/>
      <c r="K99" s="1380"/>
      <c r="L99" s="1380"/>
      <c r="M99" s="790"/>
      <c r="N99" s="790"/>
      <c r="O99" s="790"/>
      <c r="P99" s="790"/>
      <c r="Q99" s="266"/>
      <c r="R99" s="266"/>
      <c r="S99" s="268"/>
      <c r="T99" s="269" t="e">
        <f>VLOOKUP(Q99,[71]Listas!$D$6:$E$10,2,0)</f>
        <v>#N/A</v>
      </c>
      <c r="U99" s="269" t="e">
        <f>HLOOKUP(R99,[71]Listas!$F$4:$J$5,2,0)</f>
        <v>#N/A</v>
      </c>
      <c r="V99" s="270" t="e">
        <f>INDEX([71]Listas!$F$6:$J$10,MATCH(Q99,[71]Listas!$D$6:$D$10,0),MATCH(R99,[71]Listas!$F$4:$J$4,0))</f>
        <v>#N/A</v>
      </c>
      <c r="W99" s="268"/>
      <c r="X99" s="1399"/>
      <c r="Y99" s="1408"/>
      <c r="Z99" s="1400"/>
      <c r="AA99" s="1063"/>
      <c r="AB99" s="1140" t="s">
        <v>1126</v>
      </c>
      <c r="AC99" s="259"/>
      <c r="AD99" s="790"/>
      <c r="AE99" s="267"/>
      <c r="AF99" s="268"/>
      <c r="AG99" s="269">
        <f t="shared" si="12"/>
        <v>0</v>
      </c>
      <c r="AH99" s="271" t="e">
        <f t="shared" si="13"/>
        <v>#N/A</v>
      </c>
      <c r="AI99" s="272" t="e">
        <f>IF(AH99&lt;=1,"Remota",VLOOKUP(AH99,[71]Listas!$C$6:$D$10,2,0))</f>
        <v>#N/A</v>
      </c>
      <c r="AJ99" s="271" t="e">
        <f t="shared" si="14"/>
        <v>#N/A</v>
      </c>
      <c r="AK99" s="272" t="e">
        <f>IF(AJ99&lt;=1,"Insignificante",HLOOKUP(AJ99,[71]Listas!$F$3:$J$4,2,0))</f>
        <v>#N/A</v>
      </c>
      <c r="AL99" s="273" t="e">
        <f t="shared" si="15"/>
        <v>#N/A</v>
      </c>
      <c r="AM99" s="270" t="e">
        <f>INDEX([71]Listas!$F$6:$J$10,MATCH(AI99,[71]Listas!$D$6:$D$10,0),MATCH(AK99,[71]Listas!$F$4:$J$4,0))</f>
        <v>#N/A</v>
      </c>
      <c r="AN99" s="259"/>
      <c r="AO99" s="259"/>
      <c r="AP99" s="794"/>
      <c r="AQ99" s="259"/>
      <c r="AR99" s="259" t="s">
        <v>2343</v>
      </c>
      <c r="AS99" s="790"/>
      <c r="AT99" s="259"/>
      <c r="AU99" s="259"/>
      <c r="AV99" s="261"/>
      <c r="AW99" s="261"/>
      <c r="AX99" s="790"/>
      <c r="AY99" s="262"/>
    </row>
    <row r="100" spans="1:51" s="260" customFormat="1" ht="103.5" hidden="1" customHeight="1">
      <c r="A100" s="790"/>
      <c r="B100" s="266"/>
      <c r="C100" s="1399"/>
      <c r="D100" s="1408"/>
      <c r="E100" s="1400"/>
      <c r="F100" s="267"/>
      <c r="G100" s="1399"/>
      <c r="H100" s="1408"/>
      <c r="I100" s="1400"/>
      <c r="J100" s="1380"/>
      <c r="K100" s="1380"/>
      <c r="L100" s="1380"/>
      <c r="M100" s="790"/>
      <c r="N100" s="790"/>
      <c r="O100" s="790"/>
      <c r="P100" s="790"/>
      <c r="Q100" s="266"/>
      <c r="R100" s="266"/>
      <c r="S100" s="268"/>
      <c r="T100" s="269" t="e">
        <f>VLOOKUP(Q100,[71]Listas!$D$6:$E$10,2,0)</f>
        <v>#N/A</v>
      </c>
      <c r="U100" s="269" t="e">
        <f>HLOOKUP(R100,[71]Listas!$F$4:$J$5,2,0)</f>
        <v>#N/A</v>
      </c>
      <c r="V100" s="270" t="e">
        <f>INDEX([71]Listas!$F$6:$J$10,MATCH(Q100,[71]Listas!$D$6:$D$10,0),MATCH(R100,[71]Listas!$F$4:$J$4,0))</f>
        <v>#N/A</v>
      </c>
      <c r="W100" s="268"/>
      <c r="X100" s="1399"/>
      <c r="Y100" s="1408"/>
      <c r="Z100" s="1400"/>
      <c r="AA100" s="1063"/>
      <c r="AB100" s="1140" t="s">
        <v>1126</v>
      </c>
      <c r="AC100" s="259"/>
      <c r="AD100" s="790"/>
      <c r="AE100" s="267"/>
      <c r="AF100" s="268"/>
      <c r="AG100" s="269">
        <f t="shared" si="12"/>
        <v>0</v>
      </c>
      <c r="AH100" s="271" t="e">
        <f t="shared" si="13"/>
        <v>#N/A</v>
      </c>
      <c r="AI100" s="272" t="e">
        <f>IF(AH100&lt;=1,"Remota",VLOOKUP(AH100,[71]Listas!$C$6:$D$10,2,0))</f>
        <v>#N/A</v>
      </c>
      <c r="AJ100" s="271" t="e">
        <f t="shared" si="14"/>
        <v>#N/A</v>
      </c>
      <c r="AK100" s="272" t="e">
        <f>IF(AJ100&lt;=1,"Insignificante",HLOOKUP(AJ100,[71]Listas!$F$3:$J$4,2,0))</f>
        <v>#N/A</v>
      </c>
      <c r="AL100" s="273" t="e">
        <f t="shared" si="15"/>
        <v>#N/A</v>
      </c>
      <c r="AM100" s="270" t="e">
        <f>INDEX([71]Listas!$F$6:$J$10,MATCH(AI100,[71]Listas!$D$6:$D$10,0),MATCH(AK100,[71]Listas!$F$4:$J$4,0))</f>
        <v>#N/A</v>
      </c>
      <c r="AN100" s="259"/>
      <c r="AO100" s="259"/>
      <c r="AP100" s="794"/>
      <c r="AQ100" s="259"/>
      <c r="AR100" s="259" t="s">
        <v>2343</v>
      </c>
      <c r="AS100" s="790"/>
      <c r="AT100" s="259"/>
      <c r="AU100" s="259"/>
      <c r="AV100" s="261"/>
      <c r="AW100" s="261"/>
      <c r="AX100" s="790"/>
      <c r="AY100" s="262"/>
    </row>
    <row r="101" spans="1:51" s="260" customFormat="1" ht="103.5" hidden="1" customHeight="1">
      <c r="A101" s="790"/>
      <c r="B101" s="266"/>
      <c r="C101" s="1399"/>
      <c r="D101" s="1408"/>
      <c r="E101" s="1400"/>
      <c r="F101" s="267"/>
      <c r="G101" s="1399"/>
      <c r="H101" s="1408"/>
      <c r="I101" s="1400"/>
      <c r="J101" s="1380"/>
      <c r="K101" s="1380"/>
      <c r="L101" s="1380"/>
      <c r="M101" s="790"/>
      <c r="N101" s="790"/>
      <c r="O101" s="790"/>
      <c r="P101" s="790"/>
      <c r="Q101" s="266"/>
      <c r="R101" s="266"/>
      <c r="S101" s="268"/>
      <c r="T101" s="269" t="e">
        <f>VLOOKUP(Q101,[71]Listas!$D$6:$E$10,2,0)</f>
        <v>#N/A</v>
      </c>
      <c r="U101" s="269" t="e">
        <f>HLOOKUP(R101,[71]Listas!$F$4:$J$5,2,0)</f>
        <v>#N/A</v>
      </c>
      <c r="V101" s="270" t="e">
        <f>INDEX([71]Listas!$F$6:$J$10,MATCH(Q101,[71]Listas!$D$6:$D$10,0),MATCH(R101,[71]Listas!$F$4:$J$4,0))</f>
        <v>#N/A</v>
      </c>
      <c r="W101" s="268"/>
      <c r="X101" s="1399"/>
      <c r="Y101" s="1408"/>
      <c r="Z101" s="1400"/>
      <c r="AA101" s="1063"/>
      <c r="AB101" s="1140" t="s">
        <v>1126</v>
      </c>
      <c r="AC101" s="259"/>
      <c r="AD101" s="790"/>
      <c r="AE101" s="267"/>
      <c r="AF101" s="268"/>
      <c r="AG101" s="269">
        <f t="shared" si="12"/>
        <v>0</v>
      </c>
      <c r="AH101" s="271" t="e">
        <f t="shared" si="13"/>
        <v>#N/A</v>
      </c>
      <c r="AI101" s="272" t="e">
        <f>IF(AH101&lt;=1,"Remota",VLOOKUP(AH101,[71]Listas!$C$6:$D$10,2,0))</f>
        <v>#N/A</v>
      </c>
      <c r="AJ101" s="271" t="e">
        <f t="shared" si="14"/>
        <v>#N/A</v>
      </c>
      <c r="AK101" s="272" t="e">
        <f>IF(AJ101&lt;=1,"Insignificante",HLOOKUP(AJ101,[71]Listas!$F$3:$J$4,2,0))</f>
        <v>#N/A</v>
      </c>
      <c r="AL101" s="273" t="e">
        <f t="shared" si="15"/>
        <v>#N/A</v>
      </c>
      <c r="AM101" s="270" t="e">
        <f>INDEX([71]Listas!$F$6:$J$10,MATCH(AI101,[71]Listas!$D$6:$D$10,0),MATCH(AK101,[71]Listas!$F$4:$J$4,0))</f>
        <v>#N/A</v>
      </c>
      <c r="AN101" s="259"/>
      <c r="AO101" s="259"/>
      <c r="AP101" s="794"/>
      <c r="AQ101" s="259"/>
      <c r="AR101" s="259" t="s">
        <v>2343</v>
      </c>
      <c r="AS101" s="790"/>
      <c r="AT101" s="259"/>
      <c r="AU101" s="259"/>
      <c r="AV101" s="261"/>
      <c r="AW101" s="261"/>
      <c r="AX101" s="790"/>
      <c r="AY101" s="262"/>
    </row>
    <row r="102" spans="1:51" s="260" customFormat="1" ht="103.5" hidden="1" customHeight="1">
      <c r="A102" s="790"/>
      <c r="B102" s="266"/>
      <c r="C102" s="1399"/>
      <c r="D102" s="1408"/>
      <c r="E102" s="1400"/>
      <c r="F102" s="267"/>
      <c r="G102" s="1399"/>
      <c r="H102" s="1408"/>
      <c r="I102" s="1400"/>
      <c r="J102" s="1380"/>
      <c r="K102" s="1380"/>
      <c r="L102" s="1380"/>
      <c r="M102" s="790"/>
      <c r="N102" s="790"/>
      <c r="O102" s="790"/>
      <c r="P102" s="790"/>
      <c r="Q102" s="266"/>
      <c r="R102" s="266"/>
      <c r="S102" s="268"/>
      <c r="T102" s="269" t="e">
        <f>VLOOKUP(Q102,[71]Listas!$D$6:$E$10,2,0)</f>
        <v>#N/A</v>
      </c>
      <c r="U102" s="269" t="e">
        <f>HLOOKUP(R102,[71]Listas!$F$4:$J$5,2,0)</f>
        <v>#N/A</v>
      </c>
      <c r="V102" s="270" t="e">
        <f>INDEX([71]Listas!$F$6:$J$10,MATCH(Q102,[71]Listas!$D$6:$D$10,0),MATCH(R102,[71]Listas!$F$4:$J$4,0))</f>
        <v>#N/A</v>
      </c>
      <c r="W102" s="268"/>
      <c r="X102" s="1399"/>
      <c r="Y102" s="1408"/>
      <c r="Z102" s="1400"/>
      <c r="AA102" s="1063"/>
      <c r="AB102" s="1140" t="s">
        <v>1126</v>
      </c>
      <c r="AC102" s="259"/>
      <c r="AD102" s="790"/>
      <c r="AE102" s="267"/>
      <c r="AF102" s="268"/>
      <c r="AG102" s="269">
        <f t="shared" si="12"/>
        <v>0</v>
      </c>
      <c r="AH102" s="271" t="e">
        <f t="shared" si="13"/>
        <v>#N/A</v>
      </c>
      <c r="AI102" s="272" t="e">
        <f>IF(AH102&lt;=1,"Remota",VLOOKUP(AH102,[71]Listas!$C$6:$D$10,2,0))</f>
        <v>#N/A</v>
      </c>
      <c r="AJ102" s="271" t="e">
        <f t="shared" si="14"/>
        <v>#N/A</v>
      </c>
      <c r="AK102" s="272" t="e">
        <f>IF(AJ102&lt;=1,"Insignificante",HLOOKUP(AJ102,[71]Listas!$F$3:$J$4,2,0))</f>
        <v>#N/A</v>
      </c>
      <c r="AL102" s="273" t="e">
        <f t="shared" si="15"/>
        <v>#N/A</v>
      </c>
      <c r="AM102" s="270" t="e">
        <f>INDEX([71]Listas!$F$6:$J$10,MATCH(AI102,[71]Listas!$D$6:$D$10,0),MATCH(AK102,[71]Listas!$F$4:$J$4,0))</f>
        <v>#N/A</v>
      </c>
      <c r="AN102" s="259"/>
      <c r="AO102" s="259"/>
      <c r="AP102" s="794"/>
      <c r="AQ102" s="259"/>
      <c r="AR102" s="259" t="s">
        <v>2343</v>
      </c>
      <c r="AS102" s="790"/>
      <c r="AT102" s="259"/>
      <c r="AU102" s="259"/>
      <c r="AV102" s="261"/>
      <c r="AW102" s="261"/>
      <c r="AX102" s="790"/>
      <c r="AY102" s="262"/>
    </row>
    <row r="103" spans="1:51" s="260" customFormat="1" ht="103.5" hidden="1" customHeight="1">
      <c r="A103" s="790"/>
      <c r="B103" s="266"/>
      <c r="C103" s="1399"/>
      <c r="D103" s="1408"/>
      <c r="E103" s="1400"/>
      <c r="F103" s="267"/>
      <c r="G103" s="1399"/>
      <c r="H103" s="1408"/>
      <c r="I103" s="1400"/>
      <c r="J103" s="1380"/>
      <c r="K103" s="1380"/>
      <c r="L103" s="1380"/>
      <c r="M103" s="790"/>
      <c r="N103" s="790"/>
      <c r="O103" s="790"/>
      <c r="P103" s="790"/>
      <c r="Q103" s="266"/>
      <c r="R103" s="266"/>
      <c r="S103" s="268"/>
      <c r="T103" s="269" t="e">
        <f>VLOOKUP(Q103,[71]Listas!$D$6:$E$10,2,0)</f>
        <v>#N/A</v>
      </c>
      <c r="U103" s="269" t="e">
        <f>HLOOKUP(R103,[71]Listas!$F$4:$J$5,2,0)</f>
        <v>#N/A</v>
      </c>
      <c r="V103" s="270" t="e">
        <f>INDEX([71]Listas!$F$6:$J$10,MATCH(Q103,[71]Listas!$D$6:$D$10,0),MATCH(R103,[71]Listas!$F$4:$J$4,0))</f>
        <v>#N/A</v>
      </c>
      <c r="W103" s="268"/>
      <c r="X103" s="1399"/>
      <c r="Y103" s="1408"/>
      <c r="Z103" s="1400"/>
      <c r="AA103" s="1063"/>
      <c r="AB103" s="1140" t="s">
        <v>1126</v>
      </c>
      <c r="AC103" s="259"/>
      <c r="AD103" s="790"/>
      <c r="AE103" s="267"/>
      <c r="AF103" s="268"/>
      <c r="AG103" s="269">
        <f t="shared" ref="AG103:AG120" si="16">IF(AD103&lt;=33,0,IF(AD103&gt;81,2,1))</f>
        <v>0</v>
      </c>
      <c r="AH103" s="271" t="e">
        <f t="shared" ref="AH103:AH120" si="17">IF(OR(AE103="Probabilidad",AE103="Ambos"),T103-AG103,T103)</f>
        <v>#N/A</v>
      </c>
      <c r="AI103" s="272" t="e">
        <f>IF(AH103&lt;=1,"Remota",VLOOKUP(AH103,[71]Listas!$C$6:$D$10,2,0))</f>
        <v>#N/A</v>
      </c>
      <c r="AJ103" s="271" t="e">
        <f t="shared" ref="AJ103:AJ120" si="18">IF(OR(AE103="Impacto",AE103="Ambos"),U103-AG103,U103)</f>
        <v>#N/A</v>
      </c>
      <c r="AK103" s="272" t="e">
        <f>IF(AJ103&lt;=1,"Insignificante",HLOOKUP(AJ103,[71]Listas!$F$3:$J$4,2,0))</f>
        <v>#N/A</v>
      </c>
      <c r="AL103" s="273" t="e">
        <f t="shared" ref="AL103:AL120" si="19">AH103*AJ103</f>
        <v>#N/A</v>
      </c>
      <c r="AM103" s="270" t="e">
        <f>INDEX([71]Listas!$F$6:$J$10,MATCH(AI103,[71]Listas!$D$6:$D$10,0),MATCH(AK103,[71]Listas!$F$4:$J$4,0))</f>
        <v>#N/A</v>
      </c>
      <c r="AN103" s="259"/>
      <c r="AO103" s="259"/>
      <c r="AP103" s="794"/>
      <c r="AQ103" s="259"/>
      <c r="AR103" s="259" t="s">
        <v>2343</v>
      </c>
      <c r="AS103" s="790"/>
      <c r="AT103" s="259"/>
      <c r="AU103" s="259"/>
      <c r="AV103" s="261"/>
      <c r="AW103" s="261"/>
      <c r="AX103" s="790"/>
      <c r="AY103" s="262"/>
    </row>
    <row r="104" spans="1:51" s="260" customFormat="1" ht="103.5" hidden="1" customHeight="1">
      <c r="A104" s="790"/>
      <c r="B104" s="266"/>
      <c r="C104" s="1399"/>
      <c r="D104" s="1408"/>
      <c r="E104" s="1400"/>
      <c r="F104" s="267"/>
      <c r="G104" s="1399"/>
      <c r="H104" s="1408"/>
      <c r="I104" s="1400"/>
      <c r="J104" s="1380"/>
      <c r="K104" s="1380"/>
      <c r="L104" s="1380"/>
      <c r="M104" s="790"/>
      <c r="N104" s="790"/>
      <c r="O104" s="790"/>
      <c r="P104" s="790"/>
      <c r="Q104" s="266"/>
      <c r="R104" s="266"/>
      <c r="S104" s="268"/>
      <c r="T104" s="269" t="e">
        <f>VLOOKUP(Q104,[71]Listas!$D$6:$E$10,2,0)</f>
        <v>#N/A</v>
      </c>
      <c r="U104" s="269" t="e">
        <f>HLOOKUP(R104,[71]Listas!$F$4:$J$5,2,0)</f>
        <v>#N/A</v>
      </c>
      <c r="V104" s="270" t="e">
        <f>INDEX([71]Listas!$F$6:$J$10,MATCH(Q104,[71]Listas!$D$6:$D$10,0),MATCH(R104,[71]Listas!$F$4:$J$4,0))</f>
        <v>#N/A</v>
      </c>
      <c r="W104" s="268"/>
      <c r="X104" s="1399"/>
      <c r="Y104" s="1408"/>
      <c r="Z104" s="1400"/>
      <c r="AA104" s="1063"/>
      <c r="AB104" s="1140" t="s">
        <v>1126</v>
      </c>
      <c r="AC104" s="259"/>
      <c r="AD104" s="790"/>
      <c r="AE104" s="267"/>
      <c r="AF104" s="268"/>
      <c r="AG104" s="269">
        <f t="shared" si="16"/>
        <v>0</v>
      </c>
      <c r="AH104" s="271" t="e">
        <f t="shared" si="17"/>
        <v>#N/A</v>
      </c>
      <c r="AI104" s="272" t="e">
        <f>IF(AH104&lt;=1,"Remota",VLOOKUP(AH104,[71]Listas!$C$6:$D$10,2,0))</f>
        <v>#N/A</v>
      </c>
      <c r="AJ104" s="271" t="e">
        <f t="shared" si="18"/>
        <v>#N/A</v>
      </c>
      <c r="AK104" s="272" t="e">
        <f>IF(AJ104&lt;=1,"Insignificante",HLOOKUP(AJ104,[71]Listas!$F$3:$J$4,2,0))</f>
        <v>#N/A</v>
      </c>
      <c r="AL104" s="273" t="e">
        <f t="shared" si="19"/>
        <v>#N/A</v>
      </c>
      <c r="AM104" s="270" t="e">
        <f>INDEX([71]Listas!$F$6:$J$10,MATCH(AI104,[71]Listas!$D$6:$D$10,0),MATCH(AK104,[71]Listas!$F$4:$J$4,0))</f>
        <v>#N/A</v>
      </c>
      <c r="AN104" s="259"/>
      <c r="AO104" s="259"/>
      <c r="AP104" s="794"/>
      <c r="AQ104" s="259"/>
      <c r="AR104" s="259" t="s">
        <v>2343</v>
      </c>
      <c r="AS104" s="790"/>
      <c r="AT104" s="259"/>
      <c r="AU104" s="259"/>
      <c r="AV104" s="261"/>
      <c r="AW104" s="261"/>
      <c r="AX104" s="790"/>
      <c r="AY104" s="262"/>
    </row>
    <row r="105" spans="1:51" s="260" customFormat="1" ht="103.5" hidden="1" customHeight="1">
      <c r="A105" s="790"/>
      <c r="B105" s="266"/>
      <c r="C105" s="1399"/>
      <c r="D105" s="1408"/>
      <c r="E105" s="1400"/>
      <c r="F105" s="267"/>
      <c r="G105" s="1399"/>
      <c r="H105" s="1408"/>
      <c r="I105" s="1400"/>
      <c r="J105" s="1380"/>
      <c r="K105" s="1380"/>
      <c r="L105" s="1380"/>
      <c r="M105" s="790"/>
      <c r="N105" s="790"/>
      <c r="O105" s="790"/>
      <c r="P105" s="790"/>
      <c r="Q105" s="266"/>
      <c r="R105" s="266"/>
      <c r="S105" s="268"/>
      <c r="T105" s="269" t="e">
        <f>VLOOKUP(Q105,[71]Listas!$D$6:$E$10,2,0)</f>
        <v>#N/A</v>
      </c>
      <c r="U105" s="269" t="e">
        <f>HLOOKUP(R105,[71]Listas!$F$4:$J$5,2,0)</f>
        <v>#N/A</v>
      </c>
      <c r="V105" s="270" t="e">
        <f>INDEX([71]Listas!$F$6:$J$10,MATCH(Q105,[71]Listas!$D$6:$D$10,0),MATCH(R105,[71]Listas!$F$4:$J$4,0))</f>
        <v>#N/A</v>
      </c>
      <c r="W105" s="268"/>
      <c r="X105" s="1399"/>
      <c r="Y105" s="1408"/>
      <c r="Z105" s="1400"/>
      <c r="AA105" s="1063"/>
      <c r="AB105" s="1140" t="s">
        <v>1126</v>
      </c>
      <c r="AC105" s="259"/>
      <c r="AD105" s="790"/>
      <c r="AE105" s="267"/>
      <c r="AF105" s="268"/>
      <c r="AG105" s="269">
        <f t="shared" si="16"/>
        <v>0</v>
      </c>
      <c r="AH105" s="271" t="e">
        <f t="shared" si="17"/>
        <v>#N/A</v>
      </c>
      <c r="AI105" s="272" t="e">
        <f>IF(AH105&lt;=1,"Remota",VLOOKUP(AH105,[71]Listas!$C$6:$D$10,2,0))</f>
        <v>#N/A</v>
      </c>
      <c r="AJ105" s="271" t="e">
        <f t="shared" si="18"/>
        <v>#N/A</v>
      </c>
      <c r="AK105" s="272" t="e">
        <f>IF(AJ105&lt;=1,"Insignificante",HLOOKUP(AJ105,[71]Listas!$F$3:$J$4,2,0))</f>
        <v>#N/A</v>
      </c>
      <c r="AL105" s="273" t="e">
        <f t="shared" si="19"/>
        <v>#N/A</v>
      </c>
      <c r="AM105" s="270" t="e">
        <f>INDEX([71]Listas!$F$6:$J$10,MATCH(AI105,[71]Listas!$D$6:$D$10,0),MATCH(AK105,[71]Listas!$F$4:$J$4,0))</f>
        <v>#N/A</v>
      </c>
      <c r="AN105" s="259"/>
      <c r="AO105" s="259"/>
      <c r="AP105" s="794"/>
      <c r="AQ105" s="259"/>
      <c r="AR105" s="259" t="s">
        <v>2343</v>
      </c>
      <c r="AS105" s="790"/>
      <c r="AT105" s="259"/>
      <c r="AU105" s="259"/>
      <c r="AV105" s="261"/>
      <c r="AW105" s="261"/>
      <c r="AX105" s="790"/>
      <c r="AY105" s="262"/>
    </row>
    <row r="106" spans="1:51" s="260" customFormat="1" ht="103.5" hidden="1" customHeight="1">
      <c r="A106" s="790"/>
      <c r="B106" s="266"/>
      <c r="C106" s="1399"/>
      <c r="D106" s="1408"/>
      <c r="E106" s="1400"/>
      <c r="F106" s="267"/>
      <c r="G106" s="1399"/>
      <c r="H106" s="1408"/>
      <c r="I106" s="1400"/>
      <c r="J106" s="1380"/>
      <c r="K106" s="1380"/>
      <c r="L106" s="1380"/>
      <c r="M106" s="790"/>
      <c r="N106" s="790"/>
      <c r="O106" s="790"/>
      <c r="P106" s="790"/>
      <c r="Q106" s="266"/>
      <c r="R106" s="266"/>
      <c r="S106" s="268"/>
      <c r="T106" s="269" t="e">
        <f>VLOOKUP(Q106,[71]Listas!$D$6:$E$10,2,0)</f>
        <v>#N/A</v>
      </c>
      <c r="U106" s="269" t="e">
        <f>HLOOKUP(R106,[71]Listas!$F$4:$J$5,2,0)</f>
        <v>#N/A</v>
      </c>
      <c r="V106" s="270" t="e">
        <f>INDEX([71]Listas!$F$6:$J$10,MATCH(Q106,[71]Listas!$D$6:$D$10,0),MATCH(R106,[71]Listas!$F$4:$J$4,0))</f>
        <v>#N/A</v>
      </c>
      <c r="W106" s="268"/>
      <c r="X106" s="1399"/>
      <c r="Y106" s="1408"/>
      <c r="Z106" s="1400"/>
      <c r="AA106" s="1063"/>
      <c r="AB106" s="1140" t="s">
        <v>1126</v>
      </c>
      <c r="AC106" s="259"/>
      <c r="AD106" s="790"/>
      <c r="AE106" s="267"/>
      <c r="AF106" s="268"/>
      <c r="AG106" s="269">
        <f t="shared" si="16"/>
        <v>0</v>
      </c>
      <c r="AH106" s="271" t="e">
        <f t="shared" si="17"/>
        <v>#N/A</v>
      </c>
      <c r="AI106" s="272" t="e">
        <f>IF(AH106&lt;=1,"Remota",VLOOKUP(AH106,[71]Listas!$C$6:$D$10,2,0))</f>
        <v>#N/A</v>
      </c>
      <c r="AJ106" s="271" t="e">
        <f t="shared" si="18"/>
        <v>#N/A</v>
      </c>
      <c r="AK106" s="272" t="e">
        <f>IF(AJ106&lt;=1,"Insignificante",HLOOKUP(AJ106,[71]Listas!$F$3:$J$4,2,0))</f>
        <v>#N/A</v>
      </c>
      <c r="AL106" s="273" t="e">
        <f t="shared" si="19"/>
        <v>#N/A</v>
      </c>
      <c r="AM106" s="270" t="e">
        <f>INDEX([71]Listas!$F$6:$J$10,MATCH(AI106,[71]Listas!$D$6:$D$10,0),MATCH(AK106,[71]Listas!$F$4:$J$4,0))</f>
        <v>#N/A</v>
      </c>
      <c r="AN106" s="259"/>
      <c r="AO106" s="259"/>
      <c r="AP106" s="794"/>
      <c r="AQ106" s="259"/>
      <c r="AR106" s="259" t="s">
        <v>2343</v>
      </c>
      <c r="AS106" s="790"/>
      <c r="AT106" s="259"/>
      <c r="AU106" s="259"/>
      <c r="AV106" s="261"/>
      <c r="AW106" s="261"/>
      <c r="AX106" s="790"/>
      <c r="AY106" s="262"/>
    </row>
    <row r="107" spans="1:51" s="260" customFormat="1" ht="103.5" hidden="1" customHeight="1">
      <c r="A107" s="790"/>
      <c r="B107" s="266"/>
      <c r="C107" s="1399"/>
      <c r="D107" s="1408"/>
      <c r="E107" s="1400"/>
      <c r="F107" s="267"/>
      <c r="G107" s="1399"/>
      <c r="H107" s="1408"/>
      <c r="I107" s="1400"/>
      <c r="J107" s="1380"/>
      <c r="K107" s="1380"/>
      <c r="L107" s="1380"/>
      <c r="M107" s="790"/>
      <c r="N107" s="790"/>
      <c r="O107" s="790"/>
      <c r="P107" s="790"/>
      <c r="Q107" s="266"/>
      <c r="R107" s="266"/>
      <c r="S107" s="268"/>
      <c r="T107" s="269" t="e">
        <f>VLOOKUP(Q107,[71]Listas!$D$6:$E$10,2,0)</f>
        <v>#N/A</v>
      </c>
      <c r="U107" s="269" t="e">
        <f>HLOOKUP(R107,[71]Listas!$F$4:$J$5,2,0)</f>
        <v>#N/A</v>
      </c>
      <c r="V107" s="270" t="e">
        <f>INDEX([71]Listas!$F$6:$J$10,MATCH(Q107,[71]Listas!$D$6:$D$10,0),MATCH(R107,[71]Listas!$F$4:$J$4,0))</f>
        <v>#N/A</v>
      </c>
      <c r="W107" s="268"/>
      <c r="X107" s="1399"/>
      <c r="Y107" s="1408"/>
      <c r="Z107" s="1400"/>
      <c r="AA107" s="1063"/>
      <c r="AB107" s="1140" t="s">
        <v>1126</v>
      </c>
      <c r="AC107" s="259"/>
      <c r="AD107" s="790"/>
      <c r="AE107" s="267"/>
      <c r="AF107" s="268"/>
      <c r="AG107" s="269">
        <f t="shared" si="16"/>
        <v>0</v>
      </c>
      <c r="AH107" s="271" t="e">
        <f t="shared" si="17"/>
        <v>#N/A</v>
      </c>
      <c r="AI107" s="272" t="e">
        <f>IF(AH107&lt;=1,"Remota",VLOOKUP(AH107,[71]Listas!$C$6:$D$10,2,0))</f>
        <v>#N/A</v>
      </c>
      <c r="AJ107" s="271" t="e">
        <f t="shared" si="18"/>
        <v>#N/A</v>
      </c>
      <c r="AK107" s="272" t="e">
        <f>IF(AJ107&lt;=1,"Insignificante",HLOOKUP(AJ107,[71]Listas!$F$3:$J$4,2,0))</f>
        <v>#N/A</v>
      </c>
      <c r="AL107" s="273" t="e">
        <f t="shared" si="19"/>
        <v>#N/A</v>
      </c>
      <c r="AM107" s="270" t="e">
        <f>INDEX([71]Listas!$F$6:$J$10,MATCH(AI107,[71]Listas!$D$6:$D$10,0),MATCH(AK107,[71]Listas!$F$4:$J$4,0))</f>
        <v>#N/A</v>
      </c>
      <c r="AN107" s="259"/>
      <c r="AO107" s="259"/>
      <c r="AP107" s="794"/>
      <c r="AQ107" s="259"/>
      <c r="AR107" s="259" t="s">
        <v>2343</v>
      </c>
      <c r="AS107" s="790"/>
      <c r="AT107" s="259"/>
      <c r="AU107" s="259"/>
      <c r="AV107" s="261"/>
      <c r="AW107" s="261"/>
      <c r="AX107" s="790"/>
      <c r="AY107" s="262"/>
    </row>
    <row r="108" spans="1:51" s="260" customFormat="1" ht="103.5" hidden="1" customHeight="1">
      <c r="A108" s="790"/>
      <c r="B108" s="266"/>
      <c r="C108" s="1399"/>
      <c r="D108" s="1408"/>
      <c r="E108" s="1400"/>
      <c r="F108" s="267"/>
      <c r="G108" s="1399"/>
      <c r="H108" s="1408"/>
      <c r="I108" s="1400"/>
      <c r="J108" s="1380"/>
      <c r="K108" s="1380"/>
      <c r="L108" s="1380"/>
      <c r="M108" s="790"/>
      <c r="N108" s="790"/>
      <c r="O108" s="790"/>
      <c r="P108" s="790"/>
      <c r="Q108" s="266"/>
      <c r="R108" s="266"/>
      <c r="S108" s="268"/>
      <c r="T108" s="269" t="e">
        <f>VLOOKUP(Q108,[71]Listas!$D$6:$E$10,2,0)</f>
        <v>#N/A</v>
      </c>
      <c r="U108" s="269" t="e">
        <f>HLOOKUP(R108,[71]Listas!$F$4:$J$5,2,0)</f>
        <v>#N/A</v>
      </c>
      <c r="V108" s="270" t="e">
        <f>INDEX([71]Listas!$F$6:$J$10,MATCH(Q108,[71]Listas!$D$6:$D$10,0),MATCH(R108,[71]Listas!$F$4:$J$4,0))</f>
        <v>#N/A</v>
      </c>
      <c r="W108" s="268"/>
      <c r="X108" s="1399"/>
      <c r="Y108" s="1408"/>
      <c r="Z108" s="1400"/>
      <c r="AA108" s="1063"/>
      <c r="AB108" s="1140" t="s">
        <v>1126</v>
      </c>
      <c r="AC108" s="259"/>
      <c r="AD108" s="790"/>
      <c r="AE108" s="267"/>
      <c r="AF108" s="268"/>
      <c r="AG108" s="269">
        <f t="shared" si="16"/>
        <v>0</v>
      </c>
      <c r="AH108" s="271" t="e">
        <f t="shared" si="17"/>
        <v>#N/A</v>
      </c>
      <c r="AI108" s="272" t="e">
        <f>IF(AH108&lt;=1,"Remota",VLOOKUP(AH108,[71]Listas!$C$6:$D$10,2,0))</f>
        <v>#N/A</v>
      </c>
      <c r="AJ108" s="271" t="e">
        <f t="shared" si="18"/>
        <v>#N/A</v>
      </c>
      <c r="AK108" s="272" t="e">
        <f>IF(AJ108&lt;=1,"Insignificante",HLOOKUP(AJ108,[71]Listas!$F$3:$J$4,2,0))</f>
        <v>#N/A</v>
      </c>
      <c r="AL108" s="273" t="e">
        <f t="shared" si="19"/>
        <v>#N/A</v>
      </c>
      <c r="AM108" s="270" t="e">
        <f>INDEX([71]Listas!$F$6:$J$10,MATCH(AI108,[71]Listas!$D$6:$D$10,0),MATCH(AK108,[71]Listas!$F$4:$J$4,0))</f>
        <v>#N/A</v>
      </c>
      <c r="AN108" s="259"/>
      <c r="AO108" s="259"/>
      <c r="AP108" s="794"/>
      <c r="AQ108" s="259"/>
      <c r="AR108" s="259" t="s">
        <v>2343</v>
      </c>
      <c r="AS108" s="790"/>
      <c r="AT108" s="259"/>
      <c r="AU108" s="259"/>
      <c r="AV108" s="261"/>
      <c r="AW108" s="261"/>
      <c r="AX108" s="790"/>
      <c r="AY108" s="262"/>
    </row>
    <row r="109" spans="1:51" s="260" customFormat="1" ht="103.5" hidden="1" customHeight="1">
      <c r="A109" s="790"/>
      <c r="B109" s="266"/>
      <c r="C109" s="1399"/>
      <c r="D109" s="1408"/>
      <c r="E109" s="1400"/>
      <c r="F109" s="267"/>
      <c r="G109" s="1399"/>
      <c r="H109" s="1408"/>
      <c r="I109" s="1400"/>
      <c r="J109" s="1380"/>
      <c r="K109" s="1380"/>
      <c r="L109" s="1380"/>
      <c r="M109" s="790"/>
      <c r="N109" s="790"/>
      <c r="O109" s="790"/>
      <c r="P109" s="790"/>
      <c r="Q109" s="266"/>
      <c r="R109" s="266"/>
      <c r="S109" s="268"/>
      <c r="T109" s="269" t="e">
        <f>VLOOKUP(Q109,[71]Listas!$D$6:$E$10,2,0)</f>
        <v>#N/A</v>
      </c>
      <c r="U109" s="269" t="e">
        <f>HLOOKUP(R109,[71]Listas!$F$4:$J$5,2,0)</f>
        <v>#N/A</v>
      </c>
      <c r="V109" s="270" t="e">
        <f>INDEX([71]Listas!$F$6:$J$10,MATCH(Q109,[71]Listas!$D$6:$D$10,0),MATCH(R109,[71]Listas!$F$4:$J$4,0))</f>
        <v>#N/A</v>
      </c>
      <c r="W109" s="268"/>
      <c r="X109" s="1399"/>
      <c r="Y109" s="1408"/>
      <c r="Z109" s="1400"/>
      <c r="AA109" s="1063"/>
      <c r="AB109" s="1140" t="s">
        <v>1126</v>
      </c>
      <c r="AC109" s="259"/>
      <c r="AD109" s="790"/>
      <c r="AE109" s="267"/>
      <c r="AF109" s="268"/>
      <c r="AG109" s="269">
        <f t="shared" si="16"/>
        <v>0</v>
      </c>
      <c r="AH109" s="271" t="e">
        <f t="shared" si="17"/>
        <v>#N/A</v>
      </c>
      <c r="AI109" s="272" t="e">
        <f>IF(AH109&lt;=1,"Remota",VLOOKUP(AH109,[71]Listas!$C$6:$D$10,2,0))</f>
        <v>#N/A</v>
      </c>
      <c r="AJ109" s="271" t="e">
        <f t="shared" si="18"/>
        <v>#N/A</v>
      </c>
      <c r="AK109" s="272" t="e">
        <f>IF(AJ109&lt;=1,"Insignificante",HLOOKUP(AJ109,[71]Listas!$F$3:$J$4,2,0))</f>
        <v>#N/A</v>
      </c>
      <c r="AL109" s="273" t="e">
        <f t="shared" si="19"/>
        <v>#N/A</v>
      </c>
      <c r="AM109" s="270" t="e">
        <f>INDEX([71]Listas!$F$6:$J$10,MATCH(AI109,[71]Listas!$D$6:$D$10,0),MATCH(AK109,[71]Listas!$F$4:$J$4,0))</f>
        <v>#N/A</v>
      </c>
      <c r="AN109" s="259"/>
      <c r="AO109" s="259"/>
      <c r="AP109" s="794"/>
      <c r="AQ109" s="259"/>
      <c r="AR109" s="259" t="s">
        <v>2343</v>
      </c>
      <c r="AS109" s="790"/>
      <c r="AT109" s="259"/>
      <c r="AU109" s="259"/>
      <c r="AV109" s="261"/>
      <c r="AW109" s="261"/>
      <c r="AX109" s="790"/>
      <c r="AY109" s="262"/>
    </row>
    <row r="110" spans="1:51" s="260" customFormat="1" ht="103.5" hidden="1" customHeight="1">
      <c r="A110" s="790"/>
      <c r="B110" s="266"/>
      <c r="C110" s="1399"/>
      <c r="D110" s="1408"/>
      <c r="E110" s="1400"/>
      <c r="F110" s="267"/>
      <c r="G110" s="1399"/>
      <c r="H110" s="1408"/>
      <c r="I110" s="1400"/>
      <c r="J110" s="1380"/>
      <c r="K110" s="1380"/>
      <c r="L110" s="1380"/>
      <c r="M110" s="790"/>
      <c r="N110" s="790"/>
      <c r="O110" s="790"/>
      <c r="P110" s="790"/>
      <c r="Q110" s="266"/>
      <c r="R110" s="266"/>
      <c r="S110" s="268"/>
      <c r="T110" s="269" t="e">
        <f>VLOOKUP(Q110,[71]Listas!$D$6:$E$10,2,0)</f>
        <v>#N/A</v>
      </c>
      <c r="U110" s="269" t="e">
        <f>HLOOKUP(R110,[71]Listas!$F$4:$J$5,2,0)</f>
        <v>#N/A</v>
      </c>
      <c r="V110" s="270" t="e">
        <f>INDEX([71]Listas!$F$6:$J$10,MATCH(Q110,[71]Listas!$D$6:$D$10,0),MATCH(R110,[71]Listas!$F$4:$J$4,0))</f>
        <v>#N/A</v>
      </c>
      <c r="W110" s="268"/>
      <c r="X110" s="1399"/>
      <c r="Y110" s="1408"/>
      <c r="Z110" s="1400"/>
      <c r="AA110" s="1063"/>
      <c r="AB110" s="1140" t="s">
        <v>1126</v>
      </c>
      <c r="AC110" s="259"/>
      <c r="AD110" s="790"/>
      <c r="AE110" s="267"/>
      <c r="AF110" s="268"/>
      <c r="AG110" s="269">
        <f t="shared" si="16"/>
        <v>0</v>
      </c>
      <c r="AH110" s="271" t="e">
        <f t="shared" si="17"/>
        <v>#N/A</v>
      </c>
      <c r="AI110" s="272" t="e">
        <f>IF(AH110&lt;=1,"Remota",VLOOKUP(AH110,[71]Listas!$C$6:$D$10,2,0))</f>
        <v>#N/A</v>
      </c>
      <c r="AJ110" s="271" t="e">
        <f t="shared" si="18"/>
        <v>#N/A</v>
      </c>
      <c r="AK110" s="272" t="e">
        <f>IF(AJ110&lt;=1,"Insignificante",HLOOKUP(AJ110,[71]Listas!$F$3:$J$4,2,0))</f>
        <v>#N/A</v>
      </c>
      <c r="AL110" s="273" t="e">
        <f t="shared" si="19"/>
        <v>#N/A</v>
      </c>
      <c r="AM110" s="270" t="e">
        <f>INDEX([71]Listas!$F$6:$J$10,MATCH(AI110,[71]Listas!$D$6:$D$10,0),MATCH(AK110,[71]Listas!$F$4:$J$4,0))</f>
        <v>#N/A</v>
      </c>
      <c r="AN110" s="259"/>
      <c r="AO110" s="259"/>
      <c r="AP110" s="794"/>
      <c r="AQ110" s="259"/>
      <c r="AR110" s="259" t="s">
        <v>2343</v>
      </c>
      <c r="AS110" s="790"/>
      <c r="AT110" s="259"/>
      <c r="AU110" s="259"/>
      <c r="AV110" s="261"/>
      <c r="AW110" s="261"/>
      <c r="AX110" s="790"/>
      <c r="AY110" s="262"/>
    </row>
    <row r="111" spans="1:51" s="260" customFormat="1" ht="103.5" hidden="1" customHeight="1">
      <c r="A111" s="790"/>
      <c r="B111" s="266"/>
      <c r="C111" s="1399"/>
      <c r="D111" s="1408"/>
      <c r="E111" s="1400"/>
      <c r="F111" s="267"/>
      <c r="G111" s="1399"/>
      <c r="H111" s="1408"/>
      <c r="I111" s="1400"/>
      <c r="J111" s="1380"/>
      <c r="K111" s="1380"/>
      <c r="L111" s="1380"/>
      <c r="M111" s="790"/>
      <c r="N111" s="790"/>
      <c r="O111" s="790"/>
      <c r="P111" s="790"/>
      <c r="Q111" s="266"/>
      <c r="R111" s="266"/>
      <c r="S111" s="268"/>
      <c r="T111" s="269" t="e">
        <f>VLOOKUP(Q111,[71]Listas!$D$6:$E$10,2,0)</f>
        <v>#N/A</v>
      </c>
      <c r="U111" s="269" t="e">
        <f>HLOOKUP(R111,[71]Listas!$F$4:$J$5,2,0)</f>
        <v>#N/A</v>
      </c>
      <c r="V111" s="270" t="e">
        <f>INDEX([71]Listas!$F$6:$J$10,MATCH(Q111,[71]Listas!$D$6:$D$10,0),MATCH(R111,[71]Listas!$F$4:$J$4,0))</f>
        <v>#N/A</v>
      </c>
      <c r="W111" s="268"/>
      <c r="X111" s="1399"/>
      <c r="Y111" s="1408"/>
      <c r="Z111" s="1400"/>
      <c r="AA111" s="1063"/>
      <c r="AB111" s="1140" t="s">
        <v>1126</v>
      </c>
      <c r="AC111" s="259"/>
      <c r="AD111" s="790"/>
      <c r="AE111" s="267"/>
      <c r="AF111" s="268"/>
      <c r="AG111" s="269">
        <f t="shared" si="16"/>
        <v>0</v>
      </c>
      <c r="AH111" s="271" t="e">
        <f t="shared" si="17"/>
        <v>#N/A</v>
      </c>
      <c r="AI111" s="272" t="e">
        <f>IF(AH111&lt;=1,"Remota",VLOOKUP(AH111,[71]Listas!$C$6:$D$10,2,0))</f>
        <v>#N/A</v>
      </c>
      <c r="AJ111" s="271" t="e">
        <f t="shared" si="18"/>
        <v>#N/A</v>
      </c>
      <c r="AK111" s="272" t="e">
        <f>IF(AJ111&lt;=1,"Insignificante",HLOOKUP(AJ111,[71]Listas!$F$3:$J$4,2,0))</f>
        <v>#N/A</v>
      </c>
      <c r="AL111" s="273" t="e">
        <f t="shared" si="19"/>
        <v>#N/A</v>
      </c>
      <c r="AM111" s="270" t="e">
        <f>INDEX([71]Listas!$F$6:$J$10,MATCH(AI111,[71]Listas!$D$6:$D$10,0),MATCH(AK111,[71]Listas!$F$4:$J$4,0))</f>
        <v>#N/A</v>
      </c>
      <c r="AN111" s="259"/>
      <c r="AO111" s="259"/>
      <c r="AP111" s="794"/>
      <c r="AQ111" s="259"/>
      <c r="AR111" s="259" t="s">
        <v>2343</v>
      </c>
      <c r="AS111" s="790"/>
      <c r="AT111" s="259"/>
      <c r="AU111" s="259"/>
      <c r="AV111" s="261"/>
      <c r="AW111" s="261"/>
      <c r="AX111" s="790"/>
      <c r="AY111" s="262"/>
    </row>
    <row r="112" spans="1:51" s="260" customFormat="1" ht="103.5" hidden="1" customHeight="1">
      <c r="A112" s="790"/>
      <c r="B112" s="266"/>
      <c r="C112" s="1399"/>
      <c r="D112" s="1408"/>
      <c r="E112" s="1400"/>
      <c r="F112" s="267"/>
      <c r="G112" s="1399"/>
      <c r="H112" s="1408"/>
      <c r="I112" s="1400"/>
      <c r="J112" s="1380"/>
      <c r="K112" s="1380"/>
      <c r="L112" s="1380"/>
      <c r="M112" s="790"/>
      <c r="N112" s="790"/>
      <c r="O112" s="790"/>
      <c r="P112" s="790"/>
      <c r="Q112" s="266"/>
      <c r="R112" s="266"/>
      <c r="S112" s="268"/>
      <c r="T112" s="269" t="e">
        <f>VLOOKUP(Q112,[71]Listas!$D$6:$E$10,2,0)</f>
        <v>#N/A</v>
      </c>
      <c r="U112" s="269" t="e">
        <f>HLOOKUP(R112,[71]Listas!$F$4:$J$5,2,0)</f>
        <v>#N/A</v>
      </c>
      <c r="V112" s="270" t="e">
        <f>INDEX([71]Listas!$F$6:$J$10,MATCH(Q112,[71]Listas!$D$6:$D$10,0),MATCH(R112,[71]Listas!$F$4:$J$4,0))</f>
        <v>#N/A</v>
      </c>
      <c r="W112" s="268"/>
      <c r="X112" s="1399"/>
      <c r="Y112" s="1408"/>
      <c r="Z112" s="1400"/>
      <c r="AA112" s="1063"/>
      <c r="AB112" s="1140" t="s">
        <v>1126</v>
      </c>
      <c r="AC112" s="259"/>
      <c r="AD112" s="790"/>
      <c r="AE112" s="267"/>
      <c r="AF112" s="268"/>
      <c r="AG112" s="269">
        <f t="shared" si="16"/>
        <v>0</v>
      </c>
      <c r="AH112" s="271" t="e">
        <f t="shared" si="17"/>
        <v>#N/A</v>
      </c>
      <c r="AI112" s="272" t="e">
        <f>IF(AH112&lt;=1,"Remota",VLOOKUP(AH112,[71]Listas!$C$6:$D$10,2,0))</f>
        <v>#N/A</v>
      </c>
      <c r="AJ112" s="271" t="e">
        <f t="shared" si="18"/>
        <v>#N/A</v>
      </c>
      <c r="AK112" s="272" t="e">
        <f>IF(AJ112&lt;=1,"Insignificante",HLOOKUP(AJ112,[71]Listas!$F$3:$J$4,2,0))</f>
        <v>#N/A</v>
      </c>
      <c r="AL112" s="273" t="e">
        <f t="shared" si="19"/>
        <v>#N/A</v>
      </c>
      <c r="AM112" s="270" t="e">
        <f>INDEX([71]Listas!$F$6:$J$10,MATCH(AI112,[71]Listas!$D$6:$D$10,0),MATCH(AK112,[71]Listas!$F$4:$J$4,0))</f>
        <v>#N/A</v>
      </c>
      <c r="AN112" s="259"/>
      <c r="AO112" s="259"/>
      <c r="AP112" s="794"/>
      <c r="AQ112" s="259"/>
      <c r="AR112" s="259" t="s">
        <v>2343</v>
      </c>
      <c r="AS112" s="790"/>
      <c r="AT112" s="259"/>
      <c r="AU112" s="259"/>
      <c r="AV112" s="261"/>
      <c r="AW112" s="261"/>
      <c r="AX112" s="790"/>
      <c r="AY112" s="262"/>
    </row>
    <row r="113" spans="1:1027" s="260" customFormat="1" ht="103.5" hidden="1" customHeight="1">
      <c r="A113" s="790"/>
      <c r="B113" s="266"/>
      <c r="C113" s="1399"/>
      <c r="D113" s="1408"/>
      <c r="E113" s="1400"/>
      <c r="F113" s="267"/>
      <c r="G113" s="1399"/>
      <c r="H113" s="1408"/>
      <c r="I113" s="1400"/>
      <c r="J113" s="1380"/>
      <c r="K113" s="1380"/>
      <c r="L113" s="1380"/>
      <c r="M113" s="790"/>
      <c r="N113" s="790"/>
      <c r="O113" s="790"/>
      <c r="P113" s="790"/>
      <c r="Q113" s="266"/>
      <c r="R113" s="266"/>
      <c r="S113" s="268"/>
      <c r="T113" s="269" t="e">
        <f>VLOOKUP(Q113,[71]Listas!$D$6:$E$10,2,0)</f>
        <v>#N/A</v>
      </c>
      <c r="U113" s="269" t="e">
        <f>HLOOKUP(R113,[71]Listas!$F$4:$J$5,2,0)</f>
        <v>#N/A</v>
      </c>
      <c r="V113" s="270" t="e">
        <f>INDEX([71]Listas!$F$6:$J$10,MATCH(Q113,[71]Listas!$D$6:$D$10,0),MATCH(R113,[71]Listas!$F$4:$J$4,0))</f>
        <v>#N/A</v>
      </c>
      <c r="W113" s="268"/>
      <c r="X113" s="1399"/>
      <c r="Y113" s="1408"/>
      <c r="Z113" s="1400"/>
      <c r="AA113" s="1063"/>
      <c r="AB113" s="1140" t="s">
        <v>1126</v>
      </c>
      <c r="AC113" s="259"/>
      <c r="AD113" s="790"/>
      <c r="AE113" s="267"/>
      <c r="AF113" s="268"/>
      <c r="AG113" s="269">
        <f t="shared" si="16"/>
        <v>0</v>
      </c>
      <c r="AH113" s="271" t="e">
        <f t="shared" si="17"/>
        <v>#N/A</v>
      </c>
      <c r="AI113" s="272" t="e">
        <f>IF(AH113&lt;=1,"Remota",VLOOKUP(AH113,[71]Listas!$C$6:$D$10,2,0))</f>
        <v>#N/A</v>
      </c>
      <c r="AJ113" s="271" t="e">
        <f t="shared" si="18"/>
        <v>#N/A</v>
      </c>
      <c r="AK113" s="272" t="e">
        <f>IF(AJ113&lt;=1,"Insignificante",HLOOKUP(AJ113,[71]Listas!$F$3:$J$4,2,0))</f>
        <v>#N/A</v>
      </c>
      <c r="AL113" s="273" t="e">
        <f t="shared" si="19"/>
        <v>#N/A</v>
      </c>
      <c r="AM113" s="270" t="e">
        <f>INDEX([71]Listas!$F$6:$J$10,MATCH(AI113,[71]Listas!$D$6:$D$10,0),MATCH(AK113,[71]Listas!$F$4:$J$4,0))</f>
        <v>#N/A</v>
      </c>
      <c r="AN113" s="259"/>
      <c r="AO113" s="259"/>
      <c r="AP113" s="794"/>
      <c r="AQ113" s="259"/>
      <c r="AR113" s="259" t="s">
        <v>2343</v>
      </c>
      <c r="AS113" s="790"/>
      <c r="AT113" s="259"/>
      <c r="AU113" s="259"/>
      <c r="AV113" s="261"/>
      <c r="AW113" s="261"/>
      <c r="AX113" s="790"/>
      <c r="AY113" s="262"/>
    </row>
    <row r="114" spans="1:1027" s="260" customFormat="1" ht="103.5" hidden="1" customHeight="1">
      <c r="A114" s="790"/>
      <c r="B114" s="266"/>
      <c r="C114" s="1399"/>
      <c r="D114" s="1408"/>
      <c r="E114" s="1400"/>
      <c r="F114" s="267"/>
      <c r="G114" s="1399"/>
      <c r="H114" s="1408"/>
      <c r="I114" s="1400"/>
      <c r="J114" s="1380"/>
      <c r="K114" s="1380"/>
      <c r="L114" s="1380"/>
      <c r="M114" s="790"/>
      <c r="N114" s="790"/>
      <c r="O114" s="790"/>
      <c r="P114" s="790"/>
      <c r="Q114" s="266"/>
      <c r="R114" s="266"/>
      <c r="S114" s="268"/>
      <c r="T114" s="269" t="e">
        <f>VLOOKUP(Q114,[71]Listas!$D$6:$E$10,2,0)</f>
        <v>#N/A</v>
      </c>
      <c r="U114" s="269" t="e">
        <f>HLOOKUP(R114,[71]Listas!$F$4:$J$5,2,0)</f>
        <v>#N/A</v>
      </c>
      <c r="V114" s="270" t="e">
        <f>INDEX([71]Listas!$F$6:$J$10,MATCH(Q114,[71]Listas!$D$6:$D$10,0),MATCH(R114,[71]Listas!$F$4:$J$4,0))</f>
        <v>#N/A</v>
      </c>
      <c r="W114" s="268"/>
      <c r="X114" s="1399"/>
      <c r="Y114" s="1408"/>
      <c r="Z114" s="1400"/>
      <c r="AA114" s="1063"/>
      <c r="AB114" s="1140" t="s">
        <v>1126</v>
      </c>
      <c r="AC114" s="259"/>
      <c r="AD114" s="790"/>
      <c r="AE114" s="267"/>
      <c r="AF114" s="268"/>
      <c r="AG114" s="269">
        <f t="shared" si="16"/>
        <v>0</v>
      </c>
      <c r="AH114" s="271" t="e">
        <f t="shared" si="17"/>
        <v>#N/A</v>
      </c>
      <c r="AI114" s="272" t="e">
        <f>IF(AH114&lt;=1,"Remota",VLOOKUP(AH114,[71]Listas!$C$6:$D$10,2,0))</f>
        <v>#N/A</v>
      </c>
      <c r="AJ114" s="271" t="e">
        <f t="shared" si="18"/>
        <v>#N/A</v>
      </c>
      <c r="AK114" s="272" t="e">
        <f>IF(AJ114&lt;=1,"Insignificante",HLOOKUP(AJ114,[71]Listas!$F$3:$J$4,2,0))</f>
        <v>#N/A</v>
      </c>
      <c r="AL114" s="273" t="e">
        <f t="shared" si="19"/>
        <v>#N/A</v>
      </c>
      <c r="AM114" s="270" t="e">
        <f>INDEX([71]Listas!$F$6:$J$10,MATCH(AI114,[71]Listas!$D$6:$D$10,0),MATCH(AK114,[71]Listas!$F$4:$J$4,0))</f>
        <v>#N/A</v>
      </c>
      <c r="AN114" s="259"/>
      <c r="AO114" s="259"/>
      <c r="AP114" s="794"/>
      <c r="AQ114" s="259"/>
      <c r="AR114" s="259" t="s">
        <v>2343</v>
      </c>
      <c r="AS114" s="790"/>
      <c r="AT114" s="259"/>
      <c r="AU114" s="259"/>
      <c r="AV114" s="261"/>
      <c r="AW114" s="261"/>
      <c r="AX114" s="790"/>
      <c r="AY114" s="262"/>
    </row>
    <row r="115" spans="1:1027" s="260" customFormat="1" ht="103.5" hidden="1" customHeight="1">
      <c r="A115" s="790"/>
      <c r="B115" s="266"/>
      <c r="C115" s="1399"/>
      <c r="D115" s="1408"/>
      <c r="E115" s="1400"/>
      <c r="F115" s="267"/>
      <c r="G115" s="1399"/>
      <c r="H115" s="1408"/>
      <c r="I115" s="1400"/>
      <c r="J115" s="1380"/>
      <c r="K115" s="1380"/>
      <c r="L115" s="1380"/>
      <c r="M115" s="790"/>
      <c r="N115" s="790"/>
      <c r="O115" s="790"/>
      <c r="P115" s="790"/>
      <c r="Q115" s="266"/>
      <c r="R115" s="266"/>
      <c r="S115" s="268"/>
      <c r="T115" s="269" t="e">
        <f>VLOOKUP(Q115,[71]Listas!$D$6:$E$10,2,0)</f>
        <v>#N/A</v>
      </c>
      <c r="U115" s="269" t="e">
        <f>HLOOKUP(R115,[71]Listas!$F$4:$J$5,2,0)</f>
        <v>#N/A</v>
      </c>
      <c r="V115" s="270" t="e">
        <f>INDEX([71]Listas!$F$6:$J$10,MATCH(Q115,[71]Listas!$D$6:$D$10,0),MATCH(R115,[71]Listas!$F$4:$J$4,0))</f>
        <v>#N/A</v>
      </c>
      <c r="W115" s="268"/>
      <c r="X115" s="1399"/>
      <c r="Y115" s="1408"/>
      <c r="Z115" s="1400"/>
      <c r="AA115" s="1063"/>
      <c r="AB115" s="1140" t="s">
        <v>1126</v>
      </c>
      <c r="AC115" s="259"/>
      <c r="AD115" s="790"/>
      <c r="AE115" s="267"/>
      <c r="AF115" s="268"/>
      <c r="AG115" s="269">
        <f t="shared" si="16"/>
        <v>0</v>
      </c>
      <c r="AH115" s="271" t="e">
        <f t="shared" si="17"/>
        <v>#N/A</v>
      </c>
      <c r="AI115" s="272" t="e">
        <f>IF(AH115&lt;=1,"Remota",VLOOKUP(AH115,[71]Listas!$C$6:$D$10,2,0))</f>
        <v>#N/A</v>
      </c>
      <c r="AJ115" s="271" t="e">
        <f t="shared" si="18"/>
        <v>#N/A</v>
      </c>
      <c r="AK115" s="272" t="e">
        <f>IF(AJ115&lt;=1,"Insignificante",HLOOKUP(AJ115,[71]Listas!$F$3:$J$4,2,0))</f>
        <v>#N/A</v>
      </c>
      <c r="AL115" s="273" t="e">
        <f t="shared" si="19"/>
        <v>#N/A</v>
      </c>
      <c r="AM115" s="270" t="e">
        <f>INDEX([71]Listas!$F$6:$J$10,MATCH(AI115,[71]Listas!$D$6:$D$10,0),MATCH(AK115,[71]Listas!$F$4:$J$4,0))</f>
        <v>#N/A</v>
      </c>
      <c r="AN115" s="259"/>
      <c r="AO115" s="259"/>
      <c r="AP115" s="794"/>
      <c r="AQ115" s="259"/>
      <c r="AR115" s="259" t="s">
        <v>2343</v>
      </c>
      <c r="AS115" s="790"/>
      <c r="AT115" s="259"/>
      <c r="AU115" s="259"/>
      <c r="AV115" s="261"/>
      <c r="AW115" s="261"/>
      <c r="AX115" s="790"/>
      <c r="AY115" s="262"/>
    </row>
    <row r="116" spans="1:1027" s="260" customFormat="1" ht="103.5" hidden="1" customHeight="1">
      <c r="A116" s="790"/>
      <c r="B116" s="266"/>
      <c r="C116" s="1399"/>
      <c r="D116" s="1408"/>
      <c r="E116" s="1400"/>
      <c r="F116" s="267"/>
      <c r="G116" s="1399"/>
      <c r="H116" s="1408"/>
      <c r="I116" s="1400"/>
      <c r="J116" s="1380"/>
      <c r="K116" s="1380"/>
      <c r="L116" s="1380"/>
      <c r="M116" s="790"/>
      <c r="N116" s="790"/>
      <c r="O116" s="790"/>
      <c r="P116" s="790"/>
      <c r="Q116" s="266"/>
      <c r="R116" s="266"/>
      <c r="S116" s="268"/>
      <c r="T116" s="269" t="e">
        <f>VLOOKUP(Q116,[71]Listas!$D$6:$E$10,2,0)</f>
        <v>#N/A</v>
      </c>
      <c r="U116" s="269" t="e">
        <f>HLOOKUP(R116,[71]Listas!$F$4:$J$5,2,0)</f>
        <v>#N/A</v>
      </c>
      <c r="V116" s="270" t="e">
        <f>INDEX([71]Listas!$F$6:$J$10,MATCH(Q116,[71]Listas!$D$6:$D$10,0),MATCH(R116,[71]Listas!$F$4:$J$4,0))</f>
        <v>#N/A</v>
      </c>
      <c r="W116" s="268"/>
      <c r="X116" s="1399"/>
      <c r="Y116" s="1408"/>
      <c r="Z116" s="1400"/>
      <c r="AA116" s="1063"/>
      <c r="AB116" s="1140" t="s">
        <v>1126</v>
      </c>
      <c r="AC116" s="259"/>
      <c r="AD116" s="790"/>
      <c r="AE116" s="267"/>
      <c r="AF116" s="268"/>
      <c r="AG116" s="269">
        <f t="shared" si="16"/>
        <v>0</v>
      </c>
      <c r="AH116" s="271" t="e">
        <f t="shared" si="17"/>
        <v>#N/A</v>
      </c>
      <c r="AI116" s="272" t="e">
        <f>IF(AH116&lt;=1,"Remota",VLOOKUP(AH116,[71]Listas!$C$6:$D$10,2,0))</f>
        <v>#N/A</v>
      </c>
      <c r="AJ116" s="271" t="e">
        <f t="shared" si="18"/>
        <v>#N/A</v>
      </c>
      <c r="AK116" s="272" t="e">
        <f>IF(AJ116&lt;=1,"Insignificante",HLOOKUP(AJ116,[71]Listas!$F$3:$J$4,2,0))</f>
        <v>#N/A</v>
      </c>
      <c r="AL116" s="273" t="e">
        <f t="shared" si="19"/>
        <v>#N/A</v>
      </c>
      <c r="AM116" s="270" t="e">
        <f>INDEX([71]Listas!$F$6:$J$10,MATCH(AI116,[71]Listas!$D$6:$D$10,0),MATCH(AK116,[71]Listas!$F$4:$J$4,0))</f>
        <v>#N/A</v>
      </c>
      <c r="AN116" s="259"/>
      <c r="AO116" s="259"/>
      <c r="AP116" s="794"/>
      <c r="AQ116" s="259"/>
      <c r="AR116" s="259" t="s">
        <v>2343</v>
      </c>
      <c r="AS116" s="790"/>
      <c r="AT116" s="259"/>
      <c r="AU116" s="259"/>
      <c r="AV116" s="261"/>
      <c r="AW116" s="261"/>
      <c r="AX116" s="790"/>
      <c r="AY116" s="262"/>
    </row>
    <row r="117" spans="1:1027" s="260" customFormat="1" ht="218.25" customHeight="1">
      <c r="A117" s="790" t="s">
        <v>4285</v>
      </c>
      <c r="B117" s="1143" t="s">
        <v>4276</v>
      </c>
      <c r="C117" s="1399" t="s">
        <v>988</v>
      </c>
      <c r="D117" s="1408"/>
      <c r="E117" s="1400"/>
      <c r="F117" s="1140" t="s">
        <v>1119</v>
      </c>
      <c r="G117" s="1399" t="s">
        <v>4277</v>
      </c>
      <c r="H117" s="1408"/>
      <c r="I117" s="1400"/>
      <c r="J117" s="1380" t="s">
        <v>986</v>
      </c>
      <c r="K117" s="1380"/>
      <c r="L117" s="1380"/>
      <c r="M117" s="1142"/>
      <c r="N117" s="1142"/>
      <c r="O117" s="1142" t="s">
        <v>8</v>
      </c>
      <c r="P117" s="1142" t="s">
        <v>8</v>
      </c>
      <c r="Q117" s="1138" t="s">
        <v>64</v>
      </c>
      <c r="R117" s="1138" t="s">
        <v>274</v>
      </c>
      <c r="S117" s="268"/>
      <c r="T117" s="269">
        <f>VLOOKUP(Q117,[71]Listas!$D$6:$E$10,2,0)</f>
        <v>3</v>
      </c>
      <c r="U117" s="269">
        <f>HLOOKUP(R117,[71]Listas!$F$4:$J$5,2,0)</f>
        <v>3</v>
      </c>
      <c r="V117" s="270" t="str">
        <f>INDEX([71]Listas!$F$6:$J$10,MATCH(Q117,[71]Listas!$D$6:$D$10,0),MATCH(R117,[71]Listas!$F$4:$J$4,0))</f>
        <v>9
MODERADO</v>
      </c>
      <c r="W117" s="268"/>
      <c r="X117" s="1399" t="s">
        <v>4278</v>
      </c>
      <c r="Y117" s="1408"/>
      <c r="Z117" s="1400"/>
      <c r="AA117" s="1063" t="s">
        <v>4177</v>
      </c>
      <c r="AB117" s="1140" t="s">
        <v>1126</v>
      </c>
      <c r="AC117" s="259" t="s">
        <v>4279</v>
      </c>
      <c r="AD117" s="1142">
        <v>100</v>
      </c>
      <c r="AE117" s="1140" t="s">
        <v>153</v>
      </c>
      <c r="AF117" s="268"/>
      <c r="AG117" s="269">
        <f t="shared" si="16"/>
        <v>2</v>
      </c>
      <c r="AH117" s="271">
        <f t="shared" si="17"/>
        <v>1</v>
      </c>
      <c r="AI117" s="272" t="str">
        <f>IF(AH117&lt;=1,"Remota",VLOOKUP(AH117,[71]Listas!$C$6:$D$10,2,0))</f>
        <v>Remota</v>
      </c>
      <c r="AJ117" s="271">
        <f t="shared" si="18"/>
        <v>3</v>
      </c>
      <c r="AK117" s="272" t="str">
        <f>IF(AJ117&lt;=1,"Insignificante",HLOOKUP(AJ117,[71]Listas!$F$3:$J$4,2,0))</f>
        <v>Moderado</v>
      </c>
      <c r="AL117" s="273">
        <f t="shared" si="19"/>
        <v>3</v>
      </c>
      <c r="AM117" s="270" t="str">
        <f>INDEX([71]Listas!$F$6:$J$10,MATCH(AI117,[71]Listas!$D$6:$D$10,0),MATCH(AK117,[71]Listas!$F$4:$J$4,0))</f>
        <v>3
INFERIOR</v>
      </c>
      <c r="AN117" s="259" t="s">
        <v>4286</v>
      </c>
      <c r="AO117" s="259" t="s">
        <v>4287</v>
      </c>
      <c r="AP117" s="794">
        <v>1</v>
      </c>
      <c r="AQ117" s="259"/>
      <c r="AR117" s="263" t="s">
        <v>4289</v>
      </c>
      <c r="AS117" s="1142" t="s">
        <v>36</v>
      </c>
      <c r="AT117" s="259"/>
      <c r="AU117" s="259"/>
      <c r="AV117" s="261"/>
      <c r="AW117" s="261"/>
      <c r="AX117" s="790"/>
      <c r="AY117" s="262"/>
    </row>
    <row r="118" spans="1:1027" s="260" customFormat="1" ht="146.25" customHeight="1">
      <c r="A118" s="1139" t="s">
        <v>4285</v>
      </c>
      <c r="B118" s="1143" t="s">
        <v>4280</v>
      </c>
      <c r="C118" s="1399" t="s">
        <v>1198</v>
      </c>
      <c r="D118" s="1408"/>
      <c r="E118" s="1400"/>
      <c r="F118" s="1140" t="s">
        <v>1119</v>
      </c>
      <c r="G118" s="1399" t="s">
        <v>4281</v>
      </c>
      <c r="H118" s="1408"/>
      <c r="I118" s="1400"/>
      <c r="J118" s="1380" t="s">
        <v>4282</v>
      </c>
      <c r="K118" s="1380"/>
      <c r="L118" s="1380"/>
      <c r="M118" s="1142"/>
      <c r="N118" s="1142"/>
      <c r="O118" s="1142" t="s">
        <v>8</v>
      </c>
      <c r="P118" s="1142" t="s">
        <v>8</v>
      </c>
      <c r="Q118" s="1138" t="s">
        <v>64</v>
      </c>
      <c r="R118" s="1138" t="s">
        <v>274</v>
      </c>
      <c r="S118" s="268"/>
      <c r="T118" s="269">
        <f>VLOOKUP(Q118,[71]Listas!$D$6:$E$10,2,0)</f>
        <v>3</v>
      </c>
      <c r="U118" s="269">
        <f>HLOOKUP(R118,[71]Listas!$F$4:$J$5,2,0)</f>
        <v>3</v>
      </c>
      <c r="V118" s="270" t="str">
        <f>INDEX([71]Listas!$F$6:$J$10,MATCH(Q118,[71]Listas!$D$6:$D$10,0),MATCH(R118,[71]Listas!$F$4:$J$4,0))</f>
        <v>9
MODERADO</v>
      </c>
      <c r="W118" s="268"/>
      <c r="X118" s="1399" t="s">
        <v>4283</v>
      </c>
      <c r="Y118" s="1408"/>
      <c r="Z118" s="1400"/>
      <c r="AA118" s="1063" t="s">
        <v>4193</v>
      </c>
      <c r="AB118" s="1140" t="s">
        <v>1126</v>
      </c>
      <c r="AC118" s="259" t="s">
        <v>4284</v>
      </c>
      <c r="AD118" s="1142">
        <v>100</v>
      </c>
      <c r="AE118" s="1140" t="s">
        <v>153</v>
      </c>
      <c r="AF118" s="268"/>
      <c r="AG118" s="269">
        <f t="shared" si="16"/>
        <v>2</v>
      </c>
      <c r="AH118" s="271">
        <f t="shared" si="17"/>
        <v>1</v>
      </c>
      <c r="AI118" s="272" t="str">
        <f>IF(AH118&lt;=1,"Remota",VLOOKUP(AH118,[71]Listas!$C$6:$D$10,2,0))</f>
        <v>Remota</v>
      </c>
      <c r="AJ118" s="271">
        <f t="shared" si="18"/>
        <v>3</v>
      </c>
      <c r="AK118" s="272" t="str">
        <f>IF(AJ118&lt;=1,"Insignificante",HLOOKUP(AJ118,[71]Listas!$F$3:$J$4,2,0))</f>
        <v>Moderado</v>
      </c>
      <c r="AL118" s="273">
        <f t="shared" si="19"/>
        <v>3</v>
      </c>
      <c r="AM118" s="270" t="str">
        <f>INDEX([71]Listas!$F$6:$J$10,MATCH(AI118,[71]Listas!$D$6:$D$10,0),MATCH(AK118,[71]Listas!$F$4:$J$4,0))</f>
        <v>3
INFERIOR</v>
      </c>
      <c r="AN118" s="259" t="s">
        <v>3009</v>
      </c>
      <c r="AO118" s="259" t="s">
        <v>4287</v>
      </c>
      <c r="AP118" s="794">
        <v>1</v>
      </c>
      <c r="AQ118" s="259"/>
      <c r="AR118" s="263" t="s">
        <v>4289</v>
      </c>
      <c r="AS118" s="1142" t="s">
        <v>36</v>
      </c>
      <c r="AT118" s="259"/>
      <c r="AU118" s="259"/>
      <c r="AV118" s="261"/>
      <c r="AW118" s="261"/>
      <c r="AX118" s="790"/>
      <c r="AY118" s="262"/>
    </row>
    <row r="119" spans="1:1027" s="260" customFormat="1" ht="3.75" customHeight="1">
      <c r="A119" s="790"/>
      <c r="B119" s="266"/>
      <c r="C119" s="1399"/>
      <c r="D119" s="1408"/>
      <c r="E119" s="1400"/>
      <c r="F119" s="267"/>
      <c r="G119" s="1399"/>
      <c r="H119" s="1408"/>
      <c r="I119" s="1400"/>
      <c r="J119" s="1380"/>
      <c r="K119" s="1380"/>
      <c r="L119" s="1380"/>
      <c r="M119" s="790"/>
      <c r="N119" s="790"/>
      <c r="O119" s="790"/>
      <c r="P119" s="790"/>
      <c r="Q119" s="266"/>
      <c r="R119" s="266"/>
      <c r="S119" s="268"/>
      <c r="T119" s="269" t="e">
        <f>VLOOKUP(Q119,[71]Listas!$D$6:$E$10,2,0)</f>
        <v>#N/A</v>
      </c>
      <c r="U119" s="269" t="e">
        <f>HLOOKUP(R119,[71]Listas!$F$4:$J$5,2,0)</f>
        <v>#N/A</v>
      </c>
      <c r="V119" s="270" t="e">
        <f>INDEX([71]Listas!$F$6:$J$10,MATCH(Q119,[71]Listas!$D$6:$D$10,0),MATCH(R119,[71]Listas!$F$4:$J$4,0))</f>
        <v>#N/A</v>
      </c>
      <c r="W119" s="268"/>
      <c r="X119" s="1399"/>
      <c r="Y119" s="1408"/>
      <c r="Z119" s="1400"/>
      <c r="AA119" s="1063"/>
      <c r="AB119" s="267"/>
      <c r="AC119" s="259"/>
      <c r="AD119" s="790"/>
      <c r="AE119" s="267"/>
      <c r="AF119" s="268"/>
      <c r="AG119" s="269">
        <f t="shared" si="16"/>
        <v>0</v>
      </c>
      <c r="AH119" s="271" t="e">
        <f t="shared" si="17"/>
        <v>#N/A</v>
      </c>
      <c r="AI119" s="272" t="e">
        <f>IF(AH119&lt;=1,"Remota",VLOOKUP(AH119,[71]Listas!$C$6:$D$10,2,0))</f>
        <v>#N/A</v>
      </c>
      <c r="AJ119" s="271" t="e">
        <f t="shared" si="18"/>
        <v>#N/A</v>
      </c>
      <c r="AK119" s="272" t="e">
        <f>IF(AJ119&lt;=1,"Insignificante",HLOOKUP(AJ119,[71]Listas!$F$3:$J$4,2,0))</f>
        <v>#N/A</v>
      </c>
      <c r="AL119" s="273" t="e">
        <f t="shared" si="19"/>
        <v>#N/A</v>
      </c>
      <c r="AM119" s="270" t="e">
        <f>INDEX([71]Listas!$F$6:$J$10,MATCH(AI119,[71]Listas!$D$6:$D$10,0),MATCH(AK119,[71]Listas!$F$4:$J$4,0))</f>
        <v>#N/A</v>
      </c>
      <c r="AN119" s="259"/>
      <c r="AO119" s="259"/>
      <c r="AP119" s="794"/>
      <c r="AQ119" s="259"/>
      <c r="AR119" s="259"/>
      <c r="AS119" s="790"/>
      <c r="AT119" s="259"/>
      <c r="AU119" s="259"/>
      <c r="AV119" s="261"/>
      <c r="AW119" s="261"/>
      <c r="AX119" s="790"/>
      <c r="AY119" s="262"/>
    </row>
    <row r="120" spans="1:1027" s="260" customFormat="1" ht="5.25" customHeight="1">
      <c r="A120" s="790"/>
      <c r="B120" s="266"/>
      <c r="C120" s="1399"/>
      <c r="D120" s="1408"/>
      <c r="E120" s="1400"/>
      <c r="F120" s="267"/>
      <c r="G120" s="1399"/>
      <c r="H120" s="1408"/>
      <c r="I120" s="1400"/>
      <c r="J120" s="1380"/>
      <c r="K120" s="1380"/>
      <c r="L120" s="1380"/>
      <c r="M120" s="790"/>
      <c r="N120" s="790"/>
      <c r="O120" s="790"/>
      <c r="P120" s="790"/>
      <c r="Q120" s="266"/>
      <c r="R120" s="266"/>
      <c r="S120" s="268"/>
      <c r="T120" s="269" t="e">
        <f>VLOOKUP(Q120,[71]Listas!$D$6:$E$10,2,0)</f>
        <v>#N/A</v>
      </c>
      <c r="U120" s="269" t="e">
        <f>HLOOKUP(R120,[71]Listas!$F$4:$J$5,2,0)</f>
        <v>#N/A</v>
      </c>
      <c r="V120" s="270" t="e">
        <f>INDEX([71]Listas!$F$6:$J$10,MATCH(Q120,[71]Listas!$D$6:$D$10,0),MATCH(R120,[71]Listas!$F$4:$J$4,0))</f>
        <v>#N/A</v>
      </c>
      <c r="W120" s="268"/>
      <c r="X120" s="1399"/>
      <c r="Y120" s="1408"/>
      <c r="Z120" s="1400"/>
      <c r="AA120" s="1063"/>
      <c r="AB120" s="267"/>
      <c r="AC120" s="259"/>
      <c r="AD120" s="790"/>
      <c r="AE120" s="267"/>
      <c r="AF120" s="268"/>
      <c r="AG120" s="269">
        <f t="shared" si="16"/>
        <v>0</v>
      </c>
      <c r="AH120" s="271" t="e">
        <f t="shared" si="17"/>
        <v>#N/A</v>
      </c>
      <c r="AI120" s="272" t="e">
        <f>IF(AH120&lt;=1,"Remota",VLOOKUP(AH120,[71]Listas!$C$6:$D$10,2,0))</f>
        <v>#N/A</v>
      </c>
      <c r="AJ120" s="271" t="e">
        <f t="shared" si="18"/>
        <v>#N/A</v>
      </c>
      <c r="AK120" s="272" t="e">
        <f>IF(AJ120&lt;=1,"Insignificante",HLOOKUP(AJ120,[71]Listas!$F$3:$J$4,2,0))</f>
        <v>#N/A</v>
      </c>
      <c r="AL120" s="273" t="e">
        <f t="shared" si="19"/>
        <v>#N/A</v>
      </c>
      <c r="AM120" s="270" t="e">
        <f>INDEX([71]Listas!$F$6:$J$10,MATCH(AI120,[71]Listas!$D$6:$D$10,0),MATCH(AK120,[71]Listas!$F$4:$J$4,0))</f>
        <v>#N/A</v>
      </c>
      <c r="AN120" s="259"/>
      <c r="AO120" s="259"/>
      <c r="AP120" s="794"/>
      <c r="AQ120" s="259"/>
      <c r="AR120" s="259"/>
      <c r="AS120" s="790"/>
      <c r="AT120" s="259"/>
      <c r="AU120" s="259"/>
      <c r="AV120" s="261"/>
      <c r="AW120" s="261"/>
      <c r="AX120" s="790"/>
      <c r="AY120" s="262"/>
    </row>
    <row r="121" spans="1:1027" ht="19.5" customHeight="1">
      <c r="A121" s="275"/>
      <c r="B121" s="276"/>
      <c r="C121" s="276"/>
      <c r="D121" s="276"/>
      <c r="E121" s="275"/>
      <c r="F121" s="275"/>
      <c r="G121" s="277"/>
      <c r="H121" s="277"/>
      <c r="I121" s="277"/>
      <c r="J121" s="275"/>
      <c r="K121" s="275"/>
      <c r="L121" s="278"/>
      <c r="M121" s="278"/>
      <c r="N121" s="278"/>
      <c r="O121" s="278"/>
      <c r="P121" s="278"/>
      <c r="Q121" s="278"/>
      <c r="R121" s="278"/>
      <c r="S121" s="278"/>
      <c r="T121" s="278"/>
      <c r="U121" s="278"/>
      <c r="V121" s="275"/>
      <c r="W121" s="275"/>
      <c r="X121" s="277"/>
      <c r="Y121" s="277"/>
      <c r="Z121" s="277"/>
      <c r="AA121" s="275"/>
      <c r="AB121" s="277"/>
      <c r="AC121" s="277"/>
      <c r="AD121" s="275"/>
      <c r="AE121" s="275"/>
      <c r="AF121" s="275"/>
      <c r="AG121" s="275"/>
      <c r="AH121" s="275"/>
      <c r="AI121" s="275"/>
      <c r="AJ121" s="275"/>
      <c r="AK121" s="275"/>
      <c r="AL121" s="275"/>
      <c r="AM121" s="279"/>
      <c r="AN121" s="262"/>
      <c r="AO121" s="262"/>
      <c r="AP121" s="262"/>
      <c r="AQ121" s="262"/>
      <c r="AR121" s="262"/>
      <c r="AS121" s="262"/>
      <c r="AT121" s="262"/>
      <c r="AU121" s="262"/>
      <c r="AV121" s="262"/>
      <c r="AW121" s="262"/>
      <c r="AX121" s="262"/>
      <c r="AY121" s="262"/>
      <c r="AZ121" s="236"/>
      <c r="BA121" s="236"/>
      <c r="BB121" s="236"/>
      <c r="BC121" s="236"/>
      <c r="BD121" s="236"/>
      <c r="BE121" s="236"/>
      <c r="BF121" s="236"/>
      <c r="BG121" s="236"/>
      <c r="BH121" s="236"/>
      <c r="BI121" s="236"/>
      <c r="BJ121" s="236"/>
      <c r="BK121" s="236"/>
      <c r="BL121" s="236"/>
      <c r="BM121" s="236"/>
      <c r="BN121" s="236"/>
      <c r="BO121" s="236"/>
      <c r="BP121" s="236"/>
      <c r="BQ121" s="236"/>
      <c r="BR121" s="236"/>
      <c r="BS121" s="236"/>
      <c r="BT121" s="236"/>
      <c r="BU121" s="236"/>
      <c r="BV121" s="236"/>
      <c r="BW121" s="236"/>
      <c r="BX121" s="236"/>
      <c r="BY121" s="236"/>
      <c r="BZ121" s="236"/>
      <c r="CA121" s="236"/>
      <c r="CB121" s="236"/>
      <c r="CC121" s="236"/>
      <c r="CD121" s="236"/>
      <c r="CE121" s="236"/>
      <c r="CF121" s="236"/>
      <c r="CG121" s="236"/>
      <c r="CH121" s="236"/>
      <c r="CI121" s="236"/>
      <c r="CJ121" s="236"/>
      <c r="CK121" s="236"/>
      <c r="CL121" s="236"/>
      <c r="CM121" s="236"/>
      <c r="CN121" s="236"/>
      <c r="CO121" s="236"/>
      <c r="CP121" s="236"/>
      <c r="CQ121" s="236"/>
      <c r="CR121" s="236"/>
      <c r="CS121" s="236"/>
      <c r="CT121" s="236"/>
      <c r="CU121" s="236"/>
      <c r="CV121" s="236"/>
      <c r="CW121" s="236"/>
      <c r="CX121" s="236"/>
      <c r="CY121" s="236"/>
      <c r="CZ121" s="236"/>
      <c r="DA121" s="236"/>
      <c r="DB121" s="236"/>
      <c r="DC121" s="236"/>
      <c r="DD121" s="236"/>
      <c r="DE121" s="236"/>
      <c r="DF121" s="236"/>
      <c r="DG121" s="236"/>
      <c r="DH121" s="236"/>
      <c r="DI121" s="236"/>
      <c r="DJ121" s="236"/>
      <c r="DK121" s="236"/>
      <c r="DL121" s="236"/>
      <c r="DM121" s="236"/>
      <c r="DN121" s="236"/>
      <c r="DO121" s="236"/>
      <c r="DP121" s="236"/>
      <c r="DQ121" s="236"/>
      <c r="DR121" s="236"/>
      <c r="DS121" s="236"/>
      <c r="DT121" s="236"/>
      <c r="DU121" s="236"/>
      <c r="DV121" s="236"/>
      <c r="DW121" s="236"/>
      <c r="DX121" s="236"/>
      <c r="DY121" s="236"/>
      <c r="DZ121" s="236"/>
      <c r="EA121" s="236"/>
      <c r="EB121" s="236"/>
      <c r="EC121" s="236"/>
      <c r="ED121" s="236"/>
      <c r="EE121" s="236"/>
      <c r="EF121" s="236"/>
      <c r="EG121" s="236"/>
      <c r="EH121" s="236"/>
      <c r="EI121" s="236"/>
      <c r="EJ121" s="236"/>
      <c r="EK121" s="236"/>
      <c r="EL121" s="236"/>
      <c r="EM121" s="236"/>
      <c r="EN121" s="236"/>
      <c r="EO121" s="236"/>
      <c r="EP121" s="236"/>
      <c r="EQ121" s="236"/>
      <c r="ER121" s="236"/>
      <c r="ES121" s="236"/>
      <c r="ET121" s="236"/>
      <c r="EU121" s="236"/>
      <c r="EV121" s="236"/>
      <c r="EW121" s="236"/>
      <c r="EX121" s="236"/>
      <c r="EY121" s="236"/>
      <c r="EZ121" s="236"/>
      <c r="FA121" s="236"/>
      <c r="FB121" s="236"/>
      <c r="FC121" s="236"/>
      <c r="FD121" s="236"/>
      <c r="FE121" s="236"/>
      <c r="FF121" s="236"/>
      <c r="FG121" s="236"/>
      <c r="FH121" s="236"/>
      <c r="FI121" s="236"/>
      <c r="FJ121" s="236"/>
      <c r="FK121" s="236"/>
      <c r="FL121" s="236"/>
      <c r="FM121" s="236"/>
      <c r="FN121" s="236"/>
      <c r="FO121" s="236"/>
      <c r="FP121" s="236"/>
      <c r="FQ121" s="236"/>
      <c r="FR121" s="236"/>
      <c r="FS121" s="236"/>
      <c r="FT121" s="236"/>
      <c r="FU121" s="236"/>
      <c r="FV121" s="236"/>
      <c r="FW121" s="236"/>
      <c r="FX121" s="236"/>
      <c r="FY121" s="236"/>
      <c r="FZ121" s="236"/>
      <c r="GA121" s="236"/>
      <c r="GB121" s="236"/>
      <c r="GC121" s="236"/>
      <c r="GD121" s="236"/>
      <c r="GE121" s="236"/>
      <c r="GF121" s="236"/>
      <c r="GG121" s="236"/>
      <c r="GH121" s="236"/>
      <c r="GI121" s="236"/>
      <c r="GJ121" s="236"/>
      <c r="GK121" s="236"/>
      <c r="GL121" s="236"/>
      <c r="GM121" s="236"/>
      <c r="GN121" s="236"/>
      <c r="GO121" s="236"/>
      <c r="GP121" s="236"/>
      <c r="GQ121" s="236"/>
      <c r="GR121" s="236"/>
      <c r="GS121" s="236"/>
      <c r="GT121" s="236"/>
      <c r="GU121" s="236"/>
      <c r="GV121" s="236"/>
      <c r="GW121" s="236"/>
      <c r="GX121" s="236"/>
      <c r="GY121" s="236"/>
      <c r="GZ121" s="236"/>
      <c r="HA121" s="236"/>
      <c r="HB121" s="236"/>
      <c r="HC121" s="236"/>
      <c r="HD121" s="236"/>
      <c r="HE121" s="236"/>
      <c r="HF121" s="236"/>
      <c r="HG121" s="236"/>
      <c r="HH121" s="236"/>
      <c r="HI121" s="236"/>
      <c r="HJ121" s="236"/>
      <c r="HK121" s="236"/>
      <c r="HL121" s="236"/>
      <c r="HM121" s="236"/>
      <c r="HN121" s="236"/>
      <c r="HO121" s="236"/>
      <c r="HP121" s="236"/>
      <c r="HQ121" s="236"/>
      <c r="HR121" s="236"/>
      <c r="HS121" s="236"/>
      <c r="HT121" s="236"/>
      <c r="HU121" s="236"/>
      <c r="HV121" s="236"/>
      <c r="HW121" s="236"/>
      <c r="HX121" s="236"/>
      <c r="HY121" s="236"/>
      <c r="HZ121" s="236"/>
      <c r="IA121" s="236"/>
      <c r="IB121" s="236"/>
      <c r="IC121" s="236"/>
      <c r="ID121" s="236"/>
      <c r="IE121" s="236"/>
      <c r="IF121" s="236"/>
      <c r="IG121" s="236"/>
      <c r="IH121" s="236"/>
      <c r="II121" s="236"/>
      <c r="IJ121" s="236"/>
      <c r="IK121" s="236"/>
      <c r="IL121" s="236"/>
      <c r="IM121" s="236"/>
      <c r="IN121" s="236"/>
      <c r="IO121" s="236"/>
      <c r="IP121" s="236"/>
      <c r="IQ121" s="236"/>
      <c r="IR121" s="236"/>
      <c r="IS121" s="236"/>
      <c r="IT121" s="236"/>
      <c r="IU121" s="236"/>
      <c r="IV121" s="236"/>
      <c r="IW121" s="236"/>
      <c r="IX121" s="236"/>
      <c r="IY121" s="236"/>
      <c r="IZ121" s="236"/>
      <c r="JA121" s="236"/>
      <c r="JB121" s="236"/>
      <c r="JC121" s="236"/>
      <c r="JD121" s="236"/>
      <c r="JE121" s="236"/>
      <c r="JF121" s="236"/>
      <c r="JG121" s="236"/>
      <c r="JH121" s="236"/>
      <c r="JI121" s="236"/>
      <c r="JJ121" s="236"/>
      <c r="JK121" s="236"/>
      <c r="JL121" s="236"/>
      <c r="JM121" s="236"/>
      <c r="JN121" s="236"/>
      <c r="JO121" s="236"/>
      <c r="JP121" s="236"/>
      <c r="JQ121" s="236"/>
      <c r="JR121" s="236"/>
      <c r="JS121" s="236"/>
      <c r="JT121" s="236"/>
      <c r="JU121" s="236"/>
      <c r="JV121" s="236"/>
      <c r="JW121" s="236"/>
      <c r="JX121" s="236"/>
      <c r="JY121" s="236"/>
      <c r="JZ121" s="236"/>
      <c r="KA121" s="236"/>
      <c r="KB121" s="236"/>
      <c r="KC121" s="236"/>
      <c r="KD121" s="236"/>
      <c r="KE121" s="236"/>
      <c r="KF121" s="236"/>
      <c r="KG121" s="236"/>
      <c r="KH121" s="236"/>
      <c r="KI121" s="236"/>
      <c r="KJ121" s="236"/>
      <c r="KK121" s="236"/>
      <c r="KL121" s="236"/>
      <c r="KM121" s="236"/>
      <c r="KN121" s="236"/>
      <c r="KO121" s="236"/>
      <c r="KP121" s="236"/>
      <c r="KQ121" s="236"/>
      <c r="KR121" s="236"/>
      <c r="KS121" s="236"/>
      <c r="KT121" s="236"/>
      <c r="KU121" s="236"/>
      <c r="KV121" s="236"/>
      <c r="KW121" s="236"/>
      <c r="KX121" s="236"/>
      <c r="KY121" s="236"/>
      <c r="KZ121" s="236"/>
      <c r="LA121" s="236"/>
      <c r="LB121" s="236"/>
      <c r="LC121" s="236"/>
      <c r="LD121" s="236"/>
      <c r="LE121" s="236"/>
      <c r="LF121" s="236"/>
      <c r="LG121" s="236"/>
      <c r="LH121" s="236"/>
      <c r="LI121" s="236"/>
      <c r="LJ121" s="236"/>
      <c r="LK121" s="236"/>
      <c r="LL121" s="236"/>
      <c r="LM121" s="236"/>
      <c r="LN121" s="236"/>
      <c r="LO121" s="236"/>
      <c r="LP121" s="236"/>
      <c r="LQ121" s="236"/>
      <c r="LR121" s="236"/>
      <c r="LS121" s="236"/>
      <c r="LT121" s="236"/>
      <c r="LU121" s="236"/>
      <c r="LV121" s="236"/>
      <c r="LW121" s="236"/>
      <c r="LX121" s="236"/>
      <c r="LY121" s="236"/>
      <c r="LZ121" s="236"/>
      <c r="MA121" s="236"/>
      <c r="MB121" s="236"/>
      <c r="MC121" s="236"/>
      <c r="MD121" s="236"/>
      <c r="ME121" s="236"/>
      <c r="MF121" s="236"/>
      <c r="MG121" s="236"/>
      <c r="MH121" s="236"/>
      <c r="MI121" s="236"/>
      <c r="MJ121" s="236"/>
      <c r="MK121" s="236"/>
      <c r="ML121" s="236"/>
      <c r="MM121" s="236"/>
      <c r="MN121" s="236"/>
      <c r="MO121" s="236"/>
      <c r="MP121" s="236"/>
      <c r="MQ121" s="236"/>
      <c r="MR121" s="236"/>
      <c r="MS121" s="236"/>
      <c r="MT121" s="236"/>
      <c r="MU121" s="236"/>
      <c r="MV121" s="236"/>
      <c r="MW121" s="236"/>
      <c r="MX121" s="236"/>
      <c r="MY121" s="236"/>
      <c r="MZ121" s="236"/>
      <c r="NA121" s="236"/>
      <c r="NB121" s="236"/>
      <c r="NC121" s="236"/>
      <c r="ND121" s="236"/>
      <c r="NE121" s="236"/>
      <c r="NF121" s="236"/>
      <c r="NG121" s="236"/>
      <c r="NH121" s="236"/>
      <c r="NI121" s="236"/>
      <c r="NJ121" s="236"/>
      <c r="NK121" s="236"/>
      <c r="NL121" s="236"/>
      <c r="NM121" s="236"/>
      <c r="NN121" s="236"/>
      <c r="NO121" s="236"/>
      <c r="NP121" s="236"/>
      <c r="NQ121" s="236"/>
      <c r="NR121" s="236"/>
      <c r="NS121" s="236"/>
      <c r="NT121" s="236"/>
      <c r="NU121" s="236"/>
      <c r="NV121" s="236"/>
      <c r="NW121" s="236"/>
      <c r="NX121" s="236"/>
      <c r="NY121" s="236"/>
      <c r="NZ121" s="236"/>
      <c r="OA121" s="236"/>
      <c r="OB121" s="236"/>
      <c r="OC121" s="236"/>
      <c r="OD121" s="236"/>
      <c r="OE121" s="236"/>
      <c r="OF121" s="236"/>
      <c r="OG121" s="236"/>
      <c r="OH121" s="236"/>
      <c r="OI121" s="236"/>
      <c r="OJ121" s="236"/>
      <c r="OK121" s="236"/>
      <c r="OL121" s="236"/>
      <c r="OM121" s="236"/>
      <c r="ON121" s="236"/>
      <c r="OO121" s="236"/>
      <c r="OP121" s="236"/>
      <c r="OQ121" s="236"/>
      <c r="OR121" s="236"/>
      <c r="OS121" s="236"/>
      <c r="OT121" s="236"/>
      <c r="OU121" s="236"/>
      <c r="OV121" s="236"/>
      <c r="OW121" s="236"/>
      <c r="OX121" s="236"/>
      <c r="OY121" s="236"/>
      <c r="OZ121" s="236"/>
      <c r="PA121" s="236"/>
      <c r="PB121" s="236"/>
      <c r="PC121" s="236"/>
      <c r="PD121" s="236"/>
      <c r="PE121" s="236"/>
      <c r="PF121" s="236"/>
      <c r="PG121" s="236"/>
      <c r="PH121" s="236"/>
      <c r="PI121" s="236"/>
      <c r="PJ121" s="236"/>
      <c r="PK121" s="236"/>
      <c r="PL121" s="236"/>
      <c r="PM121" s="236"/>
      <c r="PN121" s="236"/>
      <c r="PO121" s="236"/>
      <c r="PP121" s="236"/>
      <c r="PQ121" s="236"/>
      <c r="PR121" s="236"/>
      <c r="PS121" s="236"/>
      <c r="PT121" s="236"/>
      <c r="PU121" s="236"/>
      <c r="PV121" s="236"/>
      <c r="PW121" s="236"/>
      <c r="PX121" s="236"/>
      <c r="PY121" s="236"/>
      <c r="PZ121" s="236"/>
      <c r="QA121" s="236"/>
      <c r="QB121" s="236"/>
      <c r="QC121" s="236"/>
      <c r="QD121" s="236"/>
      <c r="QE121" s="236"/>
      <c r="QF121" s="236"/>
      <c r="QG121" s="236"/>
      <c r="QH121" s="236"/>
      <c r="QI121" s="236"/>
      <c r="QJ121" s="236"/>
      <c r="QK121" s="236"/>
      <c r="QL121" s="236"/>
      <c r="QM121" s="236"/>
      <c r="QN121" s="236"/>
      <c r="QO121" s="236"/>
      <c r="QP121" s="236"/>
      <c r="QQ121" s="236"/>
      <c r="QR121" s="236"/>
      <c r="QS121" s="236"/>
      <c r="QT121" s="236"/>
      <c r="QU121" s="236"/>
      <c r="QV121" s="236"/>
      <c r="QW121" s="236"/>
      <c r="QX121" s="236"/>
      <c r="QY121" s="236"/>
      <c r="QZ121" s="236"/>
      <c r="RA121" s="236"/>
      <c r="RB121" s="236"/>
      <c r="RC121" s="236"/>
      <c r="RD121" s="236"/>
      <c r="RE121" s="236"/>
      <c r="RF121" s="236"/>
      <c r="RG121" s="236"/>
      <c r="RH121" s="236"/>
      <c r="RI121" s="236"/>
      <c r="RJ121" s="236"/>
      <c r="RK121" s="236"/>
      <c r="RL121" s="236"/>
      <c r="RM121" s="236"/>
      <c r="RN121" s="236"/>
      <c r="RO121" s="236"/>
      <c r="RP121" s="236"/>
      <c r="RQ121" s="236"/>
      <c r="RR121" s="236"/>
      <c r="RS121" s="236"/>
      <c r="RT121" s="236"/>
      <c r="RU121" s="236"/>
      <c r="RV121" s="236"/>
      <c r="RW121" s="236"/>
      <c r="RX121" s="236"/>
      <c r="RY121" s="236"/>
      <c r="RZ121" s="236"/>
      <c r="SA121" s="236"/>
      <c r="SB121" s="236"/>
      <c r="SC121" s="236"/>
      <c r="SD121" s="236"/>
      <c r="SE121" s="236"/>
      <c r="SF121" s="236"/>
      <c r="SG121" s="236"/>
      <c r="SH121" s="236"/>
      <c r="SI121" s="236"/>
      <c r="SJ121" s="236"/>
      <c r="SK121" s="236"/>
      <c r="SL121" s="236"/>
      <c r="SM121" s="236"/>
      <c r="SN121" s="236"/>
      <c r="SO121" s="236"/>
      <c r="SP121" s="236"/>
      <c r="SQ121" s="236"/>
      <c r="SR121" s="236"/>
      <c r="SS121" s="236"/>
      <c r="ST121" s="236"/>
      <c r="SU121" s="236"/>
      <c r="SV121" s="236"/>
      <c r="SW121" s="236"/>
      <c r="SX121" s="236"/>
      <c r="SY121" s="236"/>
      <c r="SZ121" s="236"/>
      <c r="TA121" s="236"/>
      <c r="TB121" s="236"/>
      <c r="TC121" s="236"/>
      <c r="TD121" s="236"/>
      <c r="TE121" s="236"/>
      <c r="TF121" s="236"/>
      <c r="TG121" s="236"/>
      <c r="TH121" s="236"/>
      <c r="TI121" s="236"/>
      <c r="TJ121" s="236"/>
      <c r="TK121" s="236"/>
      <c r="TL121" s="236"/>
      <c r="TM121" s="236"/>
      <c r="TN121" s="236"/>
      <c r="TO121" s="236"/>
      <c r="TP121" s="236"/>
      <c r="TQ121" s="236"/>
      <c r="TR121" s="236"/>
      <c r="TS121" s="236"/>
      <c r="TT121" s="236"/>
      <c r="TU121" s="236"/>
      <c r="TV121" s="236"/>
      <c r="TW121" s="236"/>
      <c r="TX121" s="236"/>
      <c r="TY121" s="236"/>
      <c r="TZ121" s="236"/>
      <c r="UA121" s="236"/>
      <c r="UB121" s="236"/>
      <c r="UC121" s="236"/>
      <c r="UD121" s="236"/>
      <c r="UE121" s="236"/>
      <c r="UF121" s="236"/>
      <c r="UG121" s="236"/>
      <c r="UH121" s="236"/>
      <c r="UI121" s="236"/>
      <c r="UJ121" s="236"/>
      <c r="UK121" s="236"/>
      <c r="UL121" s="236"/>
      <c r="UM121" s="236"/>
      <c r="UN121" s="236"/>
      <c r="UO121" s="236"/>
      <c r="UP121" s="236"/>
      <c r="UQ121" s="236"/>
      <c r="UR121" s="236"/>
      <c r="US121" s="236"/>
      <c r="UT121" s="236"/>
      <c r="UU121" s="236"/>
      <c r="UV121" s="236"/>
      <c r="UW121" s="236"/>
      <c r="UX121" s="236"/>
      <c r="UY121" s="236"/>
      <c r="UZ121" s="236"/>
      <c r="VA121" s="236"/>
      <c r="VB121" s="236"/>
      <c r="VC121" s="236"/>
      <c r="VD121" s="236"/>
      <c r="VE121" s="236"/>
      <c r="VF121" s="236"/>
      <c r="VG121" s="236"/>
      <c r="VH121" s="236"/>
      <c r="VI121" s="236"/>
      <c r="VJ121" s="236"/>
      <c r="VK121" s="236"/>
      <c r="VL121" s="236"/>
      <c r="VM121" s="236"/>
      <c r="VN121" s="236"/>
      <c r="VO121" s="236"/>
      <c r="VP121" s="236"/>
      <c r="VQ121" s="236"/>
      <c r="VR121" s="236"/>
      <c r="VS121" s="236"/>
      <c r="VT121" s="236"/>
      <c r="VU121" s="236"/>
      <c r="VV121" s="236"/>
      <c r="VW121" s="236"/>
      <c r="VX121" s="236"/>
      <c r="VY121" s="236"/>
      <c r="VZ121" s="236"/>
      <c r="WA121" s="236"/>
      <c r="WB121" s="236"/>
      <c r="WC121" s="236"/>
      <c r="WD121" s="236"/>
      <c r="WE121" s="236"/>
      <c r="WF121" s="236"/>
      <c r="WG121" s="236"/>
      <c r="WH121" s="236"/>
      <c r="WI121" s="236"/>
      <c r="WJ121" s="236"/>
      <c r="WK121" s="236"/>
      <c r="WL121" s="236"/>
      <c r="WM121" s="236"/>
      <c r="WN121" s="236"/>
      <c r="WO121" s="236"/>
      <c r="WP121" s="236"/>
      <c r="WQ121" s="236"/>
      <c r="WR121" s="236"/>
      <c r="WS121" s="236"/>
      <c r="WT121" s="236"/>
      <c r="WU121" s="236"/>
      <c r="WV121" s="236"/>
      <c r="WW121" s="236"/>
      <c r="WX121" s="236"/>
      <c r="WY121" s="236"/>
      <c r="WZ121" s="236"/>
      <c r="XA121" s="236"/>
      <c r="XB121" s="236"/>
      <c r="XC121" s="236"/>
      <c r="XD121" s="236"/>
      <c r="XE121" s="236"/>
      <c r="XF121" s="236"/>
      <c r="XG121" s="236"/>
      <c r="XH121" s="236"/>
      <c r="XI121" s="236"/>
      <c r="XJ121" s="236"/>
      <c r="XK121" s="236"/>
      <c r="XL121" s="236"/>
      <c r="XM121" s="236"/>
      <c r="XN121" s="236"/>
      <c r="XO121" s="236"/>
      <c r="XP121" s="236"/>
      <c r="XQ121" s="236"/>
      <c r="XR121" s="236"/>
      <c r="XS121" s="236"/>
      <c r="XT121" s="236"/>
      <c r="XU121" s="236"/>
      <c r="XV121" s="236"/>
      <c r="XW121" s="236"/>
      <c r="XX121" s="236"/>
      <c r="XY121" s="236"/>
      <c r="XZ121" s="236"/>
      <c r="YA121" s="236"/>
      <c r="YB121" s="236"/>
      <c r="YC121" s="236"/>
      <c r="YD121" s="236"/>
      <c r="YE121" s="236"/>
      <c r="YF121" s="236"/>
      <c r="YG121" s="236"/>
      <c r="YH121" s="236"/>
      <c r="YI121" s="236"/>
      <c r="YJ121" s="236"/>
      <c r="YK121" s="236"/>
      <c r="YL121" s="236"/>
      <c r="YM121" s="236"/>
      <c r="YN121" s="236"/>
      <c r="YO121" s="236"/>
      <c r="YP121" s="236"/>
      <c r="YQ121" s="236"/>
      <c r="YR121" s="236"/>
      <c r="YS121" s="236"/>
      <c r="YT121" s="236"/>
      <c r="YU121" s="236"/>
      <c r="YV121" s="236"/>
      <c r="YW121" s="236"/>
      <c r="YX121" s="236"/>
      <c r="YY121" s="236"/>
      <c r="YZ121" s="236"/>
      <c r="ZA121" s="236"/>
      <c r="ZB121" s="236"/>
      <c r="ZC121" s="236"/>
      <c r="ZD121" s="236"/>
      <c r="ZE121" s="236"/>
      <c r="ZF121" s="236"/>
      <c r="ZG121" s="236"/>
      <c r="ZH121" s="236"/>
      <c r="ZI121" s="236"/>
      <c r="ZJ121" s="236"/>
      <c r="ZK121" s="236"/>
      <c r="ZL121" s="236"/>
      <c r="ZM121" s="236"/>
      <c r="ZN121" s="236"/>
      <c r="ZO121" s="236"/>
      <c r="ZP121" s="236"/>
      <c r="ZQ121" s="236"/>
      <c r="ZR121" s="236"/>
      <c r="ZS121" s="236"/>
      <c r="ZT121" s="236"/>
      <c r="ZU121" s="236"/>
      <c r="ZV121" s="236"/>
      <c r="ZW121" s="236"/>
      <c r="ZX121" s="236"/>
      <c r="ZY121" s="236"/>
      <c r="ZZ121" s="236"/>
      <c r="AAA121" s="236"/>
      <c r="AAB121" s="236"/>
      <c r="AAC121" s="236"/>
      <c r="AAD121" s="236"/>
      <c r="AAE121" s="236"/>
      <c r="AAF121" s="236"/>
      <c r="AAG121" s="236"/>
      <c r="AAH121" s="236"/>
      <c r="AAI121" s="236"/>
      <c r="AAJ121" s="236"/>
      <c r="AAK121" s="236"/>
      <c r="AAL121" s="236"/>
      <c r="AAM121" s="236"/>
      <c r="AAN121" s="236"/>
      <c r="AAO121" s="236"/>
      <c r="AAP121" s="236"/>
      <c r="AAQ121" s="236"/>
      <c r="AAR121" s="236"/>
      <c r="AAS121" s="236"/>
      <c r="AAT121" s="236"/>
      <c r="AAU121" s="236"/>
      <c r="AAV121" s="236"/>
      <c r="AAW121" s="236"/>
      <c r="AAX121" s="236"/>
      <c r="AAY121" s="236"/>
      <c r="AAZ121" s="236"/>
      <c r="ABA121" s="236"/>
      <c r="ABB121" s="236"/>
      <c r="ABC121" s="236"/>
      <c r="ABD121" s="236"/>
      <c r="ABE121" s="236"/>
      <c r="ABF121" s="236"/>
      <c r="ABG121" s="236"/>
      <c r="ABH121" s="236"/>
      <c r="ABI121" s="236"/>
      <c r="ABJ121" s="236"/>
      <c r="ABK121" s="236"/>
      <c r="ABL121" s="236"/>
      <c r="ABM121" s="236"/>
      <c r="ABN121" s="236"/>
      <c r="ABO121" s="236"/>
      <c r="ABP121" s="236"/>
      <c r="ABQ121" s="236"/>
      <c r="ABR121" s="236"/>
      <c r="ABS121" s="236"/>
      <c r="ABT121" s="236"/>
      <c r="ABU121" s="236"/>
      <c r="ABV121" s="236"/>
      <c r="ABW121" s="236"/>
      <c r="ABX121" s="236"/>
      <c r="ABY121" s="236"/>
      <c r="ABZ121" s="236"/>
      <c r="ACA121" s="236"/>
      <c r="ACB121" s="236"/>
      <c r="ACC121" s="236"/>
      <c r="ACD121" s="236"/>
      <c r="ACE121" s="236"/>
      <c r="ACF121" s="236"/>
      <c r="ACG121" s="236"/>
      <c r="ACH121" s="236"/>
      <c r="ACI121" s="236"/>
      <c r="ACJ121" s="236"/>
      <c r="ACK121" s="236"/>
      <c r="ACL121" s="236"/>
      <c r="ACM121" s="236"/>
      <c r="ACN121" s="236"/>
      <c r="ACO121" s="236"/>
      <c r="ACP121" s="236"/>
      <c r="ACQ121" s="236"/>
      <c r="ACR121" s="236"/>
      <c r="ACS121" s="236"/>
      <c r="ACT121" s="236"/>
      <c r="ACU121" s="236"/>
      <c r="ACV121" s="236"/>
      <c r="ACW121" s="236"/>
      <c r="ACX121" s="236"/>
      <c r="ACY121" s="236"/>
      <c r="ACZ121" s="236"/>
      <c r="ADA121" s="236"/>
      <c r="ADB121" s="236"/>
      <c r="ADC121" s="236"/>
      <c r="ADD121" s="236"/>
      <c r="ADE121" s="236"/>
      <c r="ADF121" s="236"/>
      <c r="ADG121" s="236"/>
      <c r="ADH121" s="236"/>
      <c r="ADI121" s="236"/>
      <c r="ADJ121" s="236"/>
      <c r="ADK121" s="236"/>
      <c r="ADL121" s="236"/>
      <c r="ADM121" s="236"/>
      <c r="ADN121" s="236"/>
      <c r="ADO121" s="236"/>
      <c r="ADP121" s="236"/>
      <c r="ADQ121" s="236"/>
      <c r="ADR121" s="236"/>
      <c r="ADS121" s="236"/>
      <c r="ADT121" s="236"/>
      <c r="ADU121" s="236"/>
      <c r="ADV121" s="236"/>
      <c r="ADW121" s="236"/>
      <c r="ADX121" s="236"/>
      <c r="ADY121" s="236"/>
      <c r="ADZ121" s="236"/>
      <c r="AEA121" s="236"/>
      <c r="AEB121" s="236"/>
      <c r="AEC121" s="236"/>
      <c r="AED121" s="236"/>
      <c r="AEE121" s="236"/>
      <c r="AEF121" s="236"/>
      <c r="AEG121" s="236"/>
      <c r="AEH121" s="236"/>
      <c r="AEI121" s="236"/>
      <c r="AEJ121" s="236"/>
      <c r="AEK121" s="236"/>
      <c r="AEL121" s="236"/>
      <c r="AEM121" s="236"/>
      <c r="AEN121" s="236"/>
      <c r="AEO121" s="236"/>
      <c r="AEP121" s="236"/>
      <c r="AEQ121" s="236"/>
      <c r="AER121" s="236"/>
      <c r="AES121" s="236"/>
      <c r="AET121" s="236"/>
      <c r="AEU121" s="236"/>
      <c r="AEV121" s="236"/>
      <c r="AEW121" s="236"/>
      <c r="AEX121" s="236"/>
      <c r="AEY121" s="236"/>
      <c r="AEZ121" s="236"/>
      <c r="AFA121" s="236"/>
      <c r="AFB121" s="236"/>
      <c r="AFC121" s="236"/>
      <c r="AFD121" s="236"/>
      <c r="AFE121" s="236"/>
      <c r="AFF121" s="236"/>
      <c r="AFG121" s="236"/>
      <c r="AFH121" s="236"/>
      <c r="AFI121" s="236"/>
      <c r="AFJ121" s="236"/>
      <c r="AFK121" s="236"/>
      <c r="AFL121" s="236"/>
      <c r="AFM121" s="236"/>
      <c r="AFN121" s="236"/>
      <c r="AFO121" s="236"/>
      <c r="AFP121" s="236"/>
      <c r="AFQ121" s="236"/>
      <c r="AFR121" s="236"/>
      <c r="AFS121" s="236"/>
      <c r="AFT121" s="236"/>
      <c r="AFU121" s="236"/>
      <c r="AFV121" s="236"/>
      <c r="AFW121" s="236"/>
      <c r="AFX121" s="236"/>
      <c r="AFY121" s="236"/>
      <c r="AFZ121" s="236"/>
      <c r="AGA121" s="236"/>
      <c r="AGB121" s="236"/>
      <c r="AGC121" s="236"/>
      <c r="AGD121" s="236"/>
      <c r="AGE121" s="236"/>
      <c r="AGF121" s="236"/>
      <c r="AGG121" s="236"/>
      <c r="AGH121" s="236"/>
      <c r="AGI121" s="236"/>
      <c r="AGJ121" s="236"/>
      <c r="AGK121" s="236"/>
      <c r="AGL121" s="236"/>
      <c r="AGM121" s="236"/>
      <c r="AGN121" s="236"/>
      <c r="AGO121" s="236"/>
      <c r="AGP121" s="236"/>
      <c r="AGQ121" s="236"/>
      <c r="AGR121" s="236"/>
      <c r="AGS121" s="236"/>
      <c r="AGT121" s="236"/>
      <c r="AGU121" s="236"/>
      <c r="AGV121" s="236"/>
      <c r="AGW121" s="236"/>
      <c r="AGX121" s="236"/>
      <c r="AGY121" s="236"/>
      <c r="AGZ121" s="236"/>
      <c r="AHA121" s="236"/>
      <c r="AHB121" s="236"/>
      <c r="AHC121" s="236"/>
      <c r="AHD121" s="236"/>
      <c r="AHE121" s="236"/>
      <c r="AHF121" s="236"/>
      <c r="AHG121" s="236"/>
      <c r="AHH121" s="236"/>
      <c r="AHI121" s="236"/>
      <c r="AHJ121" s="236"/>
      <c r="AHK121" s="236"/>
      <c r="AHL121" s="236"/>
      <c r="AHM121" s="236"/>
      <c r="AHN121" s="236"/>
      <c r="AHO121" s="236"/>
      <c r="AHP121" s="236"/>
      <c r="AHQ121" s="236"/>
      <c r="AHR121" s="236"/>
      <c r="AHS121" s="236"/>
      <c r="AHT121" s="236"/>
      <c r="AHU121" s="236"/>
      <c r="AHV121" s="236"/>
      <c r="AHW121" s="236"/>
      <c r="AHX121" s="236"/>
      <c r="AHY121" s="236"/>
      <c r="AHZ121" s="236"/>
      <c r="AIA121" s="236"/>
      <c r="AIB121" s="236"/>
      <c r="AIC121" s="236"/>
      <c r="AID121" s="236"/>
      <c r="AIE121" s="236"/>
      <c r="AIF121" s="236"/>
      <c r="AIG121" s="236"/>
      <c r="AIH121" s="236"/>
      <c r="AII121" s="236"/>
      <c r="AIJ121" s="236"/>
      <c r="AIK121" s="236"/>
      <c r="AIL121" s="236"/>
      <c r="AIM121" s="236"/>
      <c r="AIN121" s="236"/>
      <c r="AIO121" s="236"/>
      <c r="AIP121" s="236"/>
      <c r="AIQ121" s="236"/>
      <c r="AIR121" s="236"/>
      <c r="AIS121" s="236"/>
      <c r="AIT121" s="236"/>
      <c r="AIU121" s="236"/>
      <c r="AIV121" s="236"/>
      <c r="AIW121" s="236"/>
      <c r="AIX121" s="236"/>
      <c r="AIY121" s="236"/>
      <c r="AIZ121" s="236"/>
      <c r="AJA121" s="236"/>
      <c r="AJB121" s="236"/>
      <c r="AJC121" s="236"/>
      <c r="AJD121" s="236"/>
      <c r="AJE121" s="236"/>
      <c r="AJF121" s="236"/>
      <c r="AJG121" s="236"/>
      <c r="AJH121" s="236"/>
      <c r="AJI121" s="236"/>
      <c r="AJJ121" s="236"/>
      <c r="AJK121" s="236"/>
      <c r="AJL121" s="236"/>
      <c r="AJM121" s="236"/>
      <c r="AJN121" s="236"/>
      <c r="AJO121" s="236"/>
      <c r="AJP121" s="236"/>
      <c r="AJQ121" s="236"/>
      <c r="AJR121" s="236"/>
      <c r="AJS121" s="236"/>
      <c r="AJT121" s="236"/>
      <c r="AJU121" s="236"/>
      <c r="AJV121" s="236"/>
      <c r="AJW121" s="236"/>
      <c r="AJX121" s="236"/>
      <c r="AJY121" s="236"/>
      <c r="AJZ121" s="236"/>
      <c r="AKA121" s="236"/>
      <c r="AKB121" s="236"/>
      <c r="AKC121" s="236"/>
      <c r="AKD121" s="236"/>
      <c r="AKE121" s="236"/>
      <c r="AKF121" s="236"/>
      <c r="AKG121" s="236"/>
      <c r="AKH121" s="236"/>
      <c r="AKI121" s="236"/>
      <c r="AKJ121" s="236"/>
      <c r="AKK121" s="236"/>
      <c r="AKL121" s="236"/>
      <c r="AKM121" s="236"/>
      <c r="AKN121" s="236"/>
      <c r="AKO121" s="236"/>
      <c r="AKP121" s="236"/>
      <c r="AKQ121" s="236"/>
      <c r="AKR121" s="236"/>
      <c r="AKS121" s="236"/>
      <c r="AKT121" s="236"/>
      <c r="AKU121" s="236"/>
      <c r="AKV121" s="236"/>
      <c r="AKW121" s="236"/>
      <c r="AKX121" s="236"/>
      <c r="AKY121" s="236"/>
      <c r="AKZ121" s="236"/>
      <c r="ALA121" s="236"/>
      <c r="ALB121" s="236"/>
      <c r="ALC121" s="236"/>
      <c r="ALD121" s="236"/>
      <c r="ALE121" s="236"/>
      <c r="ALF121" s="236"/>
      <c r="ALG121" s="236"/>
      <c r="ALH121" s="236"/>
      <c r="ALI121" s="236"/>
      <c r="ALJ121" s="236"/>
      <c r="ALK121" s="236"/>
      <c r="ALL121" s="236"/>
      <c r="ALM121" s="236"/>
      <c r="ALN121" s="236"/>
      <c r="ALO121" s="236"/>
      <c r="ALP121" s="236"/>
      <c r="ALQ121" s="236"/>
      <c r="ALR121" s="236"/>
      <c r="ALS121" s="236"/>
      <c r="ALT121" s="236"/>
      <c r="ALU121" s="236"/>
      <c r="ALV121" s="236"/>
      <c r="ALW121" s="236"/>
      <c r="ALX121" s="236"/>
      <c r="ALY121" s="236"/>
      <c r="ALZ121" s="236"/>
      <c r="AMA121" s="236"/>
      <c r="AMB121" s="236"/>
      <c r="AMC121" s="236"/>
      <c r="AMD121" s="236"/>
      <c r="AME121" s="236"/>
      <c r="AMF121" s="236"/>
      <c r="AMG121" s="236"/>
      <c r="AMH121" s="236"/>
      <c r="AMI121" s="236"/>
      <c r="AMJ121" s="236"/>
      <c r="AMK121" s="236"/>
      <c r="AML121" s="236"/>
      <c r="AMM121" s="236"/>
    </row>
    <row r="122" spans="1:1027" ht="11.25" customHeight="1">
      <c r="A122" s="1386" t="s">
        <v>649</v>
      </c>
      <c r="B122" s="1387"/>
      <c r="C122" s="1387"/>
      <c r="D122" s="1387"/>
      <c r="E122" s="1387"/>
      <c r="F122" s="1387"/>
      <c r="G122" s="1387"/>
      <c r="H122" s="1387"/>
      <c r="I122" s="1387"/>
      <c r="J122" s="1387"/>
      <c r="K122" s="1387"/>
      <c r="L122" s="1388"/>
      <c r="M122" s="275"/>
      <c r="N122" s="280" t="s">
        <v>650</v>
      </c>
      <c r="O122" s="280"/>
      <c r="P122" s="281"/>
      <c r="Q122" s="281"/>
      <c r="R122" s="281"/>
      <c r="S122" s="281"/>
      <c r="T122" s="281"/>
      <c r="U122" s="281"/>
      <c r="V122" s="281"/>
      <c r="W122" s="281"/>
      <c r="X122" s="282"/>
      <c r="Y122" s="282"/>
      <c r="Z122" s="282"/>
      <c r="AA122" s="281"/>
      <c r="AB122" s="282"/>
      <c r="AC122" s="282"/>
      <c r="AD122" s="281"/>
      <c r="AE122" s="281"/>
      <c r="AF122" s="281"/>
      <c r="AG122" s="281"/>
      <c r="AH122" s="281"/>
      <c r="AI122" s="281"/>
      <c r="AJ122" s="275"/>
      <c r="AK122" s="275"/>
      <c r="AL122" s="275"/>
      <c r="AM122" s="279"/>
      <c r="AN122" s="262"/>
      <c r="AO122" s="262"/>
      <c r="AP122" s="262"/>
      <c r="AQ122" s="262"/>
      <c r="AR122" s="262"/>
      <c r="AS122" s="262"/>
      <c r="AT122" s="262"/>
      <c r="AU122" s="262"/>
      <c r="AV122" s="262"/>
      <c r="AW122" s="262"/>
      <c r="AX122" s="262"/>
      <c r="AY122" s="236"/>
      <c r="AZ122" s="236"/>
      <c r="BA122" s="236"/>
      <c r="BB122" s="236"/>
      <c r="BC122" s="236"/>
      <c r="BD122" s="236"/>
      <c r="BE122" s="236"/>
      <c r="BF122" s="236"/>
      <c r="BG122" s="236"/>
      <c r="BH122" s="236"/>
      <c r="BI122" s="236"/>
      <c r="BJ122" s="236"/>
      <c r="BK122" s="236"/>
      <c r="BL122" s="236"/>
      <c r="BM122" s="236"/>
      <c r="BN122" s="236"/>
      <c r="BO122" s="236"/>
      <c r="BP122" s="236"/>
      <c r="BQ122" s="236"/>
      <c r="BR122" s="236"/>
      <c r="BS122" s="236"/>
      <c r="BT122" s="236"/>
      <c r="BU122" s="236"/>
      <c r="BV122" s="236"/>
      <c r="BW122" s="236"/>
      <c r="BX122" s="236"/>
      <c r="BY122" s="236"/>
      <c r="BZ122" s="236"/>
      <c r="CA122" s="236"/>
      <c r="CB122" s="236"/>
      <c r="CC122" s="236"/>
      <c r="CD122" s="236"/>
      <c r="CE122" s="236"/>
      <c r="CF122" s="236"/>
      <c r="CG122" s="236"/>
      <c r="CH122" s="236"/>
      <c r="CI122" s="236"/>
      <c r="CJ122" s="236"/>
      <c r="CK122" s="236"/>
      <c r="CL122" s="236"/>
      <c r="CM122" s="236"/>
      <c r="CN122" s="236"/>
      <c r="CO122" s="236"/>
      <c r="CP122" s="236"/>
      <c r="CQ122" s="236"/>
      <c r="CR122" s="236"/>
      <c r="CS122" s="236"/>
      <c r="CT122" s="236"/>
      <c r="CU122" s="236"/>
      <c r="CV122" s="236"/>
      <c r="CW122" s="236"/>
      <c r="CX122" s="236"/>
      <c r="CY122" s="236"/>
      <c r="CZ122" s="236"/>
      <c r="DA122" s="236"/>
      <c r="DB122" s="236"/>
      <c r="DC122" s="236"/>
      <c r="DD122" s="236"/>
      <c r="DE122" s="236"/>
      <c r="DF122" s="236"/>
      <c r="DG122" s="236"/>
      <c r="DH122" s="236"/>
      <c r="DI122" s="236"/>
      <c r="DJ122" s="236"/>
      <c r="DK122" s="236"/>
      <c r="DL122" s="236"/>
      <c r="DM122" s="236"/>
      <c r="DN122" s="236"/>
      <c r="DO122" s="236"/>
      <c r="DP122" s="236"/>
      <c r="DQ122" s="236"/>
      <c r="DR122" s="236"/>
      <c r="DS122" s="236"/>
      <c r="DT122" s="236"/>
      <c r="DU122" s="236"/>
      <c r="DV122" s="236"/>
      <c r="DW122" s="236"/>
      <c r="DX122" s="236"/>
      <c r="DY122" s="236"/>
      <c r="DZ122" s="236"/>
      <c r="EA122" s="236"/>
      <c r="EB122" s="236"/>
      <c r="EC122" s="236"/>
      <c r="ED122" s="236"/>
      <c r="EE122" s="236"/>
      <c r="EF122" s="236"/>
      <c r="EG122" s="236"/>
      <c r="EH122" s="236"/>
      <c r="EI122" s="236"/>
      <c r="EJ122" s="236"/>
      <c r="EK122" s="236"/>
      <c r="EL122" s="236"/>
      <c r="EM122" s="236"/>
      <c r="EN122" s="236"/>
      <c r="EO122" s="236"/>
      <c r="EP122" s="236"/>
      <c r="EQ122" s="236"/>
      <c r="ER122" s="236"/>
      <c r="ES122" s="236"/>
      <c r="ET122" s="236"/>
      <c r="EU122" s="236"/>
      <c r="EV122" s="236"/>
      <c r="EW122" s="236"/>
      <c r="EX122" s="236"/>
      <c r="EY122" s="236"/>
      <c r="EZ122" s="236"/>
      <c r="FA122" s="236"/>
      <c r="FB122" s="236"/>
      <c r="FC122" s="236"/>
      <c r="FD122" s="236"/>
      <c r="FE122" s="236"/>
      <c r="FF122" s="236"/>
      <c r="FG122" s="236"/>
      <c r="FH122" s="236"/>
      <c r="FI122" s="236"/>
      <c r="FJ122" s="236"/>
      <c r="FK122" s="236"/>
      <c r="FL122" s="236"/>
      <c r="FM122" s="236"/>
      <c r="FN122" s="236"/>
      <c r="FO122" s="236"/>
      <c r="FP122" s="236"/>
      <c r="FQ122" s="236"/>
      <c r="FR122" s="236"/>
      <c r="FS122" s="236"/>
      <c r="FT122" s="236"/>
      <c r="FU122" s="236"/>
      <c r="FV122" s="236"/>
      <c r="FW122" s="236"/>
      <c r="FX122" s="236"/>
      <c r="FY122" s="236"/>
      <c r="FZ122" s="236"/>
      <c r="GA122" s="236"/>
      <c r="GB122" s="236"/>
      <c r="GC122" s="236"/>
      <c r="GD122" s="236"/>
      <c r="GE122" s="236"/>
      <c r="GF122" s="236"/>
      <c r="GG122" s="236"/>
      <c r="GH122" s="236"/>
      <c r="GI122" s="236"/>
      <c r="GJ122" s="236"/>
      <c r="GK122" s="236"/>
      <c r="GL122" s="236"/>
      <c r="GM122" s="236"/>
      <c r="GN122" s="236"/>
      <c r="GO122" s="236"/>
      <c r="GP122" s="236"/>
      <c r="GQ122" s="236"/>
      <c r="GR122" s="236"/>
      <c r="GS122" s="236"/>
      <c r="GT122" s="236"/>
      <c r="GU122" s="236"/>
      <c r="GV122" s="236"/>
      <c r="GW122" s="236"/>
      <c r="GX122" s="236"/>
      <c r="GY122" s="236"/>
      <c r="GZ122" s="236"/>
      <c r="HA122" s="236"/>
      <c r="HB122" s="236"/>
      <c r="HC122" s="236"/>
      <c r="HD122" s="236"/>
      <c r="HE122" s="236"/>
      <c r="HF122" s="236"/>
      <c r="HG122" s="236"/>
      <c r="HH122" s="236"/>
      <c r="HI122" s="236"/>
      <c r="HJ122" s="236"/>
      <c r="HK122" s="236"/>
      <c r="HL122" s="236"/>
      <c r="HM122" s="236"/>
      <c r="HN122" s="236"/>
      <c r="HO122" s="236"/>
      <c r="HP122" s="236"/>
      <c r="HQ122" s="236"/>
      <c r="HR122" s="236"/>
      <c r="HS122" s="236"/>
      <c r="HT122" s="236"/>
      <c r="HU122" s="236"/>
      <c r="HV122" s="236"/>
      <c r="HW122" s="236"/>
      <c r="HX122" s="236"/>
      <c r="HY122" s="236"/>
      <c r="HZ122" s="236"/>
      <c r="IA122" s="236"/>
      <c r="IB122" s="236"/>
      <c r="IC122" s="236"/>
      <c r="ID122" s="236"/>
      <c r="IE122" s="236"/>
      <c r="IF122" s="236"/>
      <c r="IG122" s="236"/>
      <c r="IH122" s="236"/>
      <c r="II122" s="236"/>
      <c r="IJ122" s="236"/>
      <c r="IK122" s="236"/>
      <c r="IL122" s="236"/>
      <c r="IM122" s="236"/>
      <c r="IN122" s="236"/>
      <c r="IO122" s="236"/>
      <c r="IP122" s="236"/>
      <c r="IQ122" s="236"/>
      <c r="IR122" s="236"/>
      <c r="IS122" s="236"/>
      <c r="IT122" s="236"/>
      <c r="IU122" s="236"/>
      <c r="IV122" s="236"/>
      <c r="IW122" s="236"/>
      <c r="IX122" s="236"/>
      <c r="IY122" s="236"/>
      <c r="IZ122" s="236"/>
      <c r="JA122" s="236"/>
      <c r="JB122" s="236"/>
      <c r="JC122" s="236"/>
      <c r="JD122" s="236"/>
      <c r="JE122" s="236"/>
      <c r="JF122" s="236"/>
      <c r="JG122" s="236"/>
      <c r="JH122" s="236"/>
      <c r="JI122" s="236"/>
      <c r="JJ122" s="236"/>
      <c r="JK122" s="236"/>
      <c r="JL122" s="236"/>
      <c r="JM122" s="236"/>
      <c r="JN122" s="236"/>
      <c r="JO122" s="236"/>
      <c r="JP122" s="236"/>
      <c r="JQ122" s="236"/>
      <c r="JR122" s="236"/>
      <c r="JS122" s="236"/>
      <c r="JT122" s="236"/>
      <c r="JU122" s="236"/>
      <c r="JV122" s="236"/>
      <c r="JW122" s="236"/>
      <c r="JX122" s="236"/>
      <c r="JY122" s="236"/>
      <c r="JZ122" s="236"/>
      <c r="KA122" s="236"/>
      <c r="KB122" s="236"/>
      <c r="KC122" s="236"/>
      <c r="KD122" s="236"/>
      <c r="KE122" s="236"/>
      <c r="KF122" s="236"/>
      <c r="KG122" s="236"/>
      <c r="KH122" s="236"/>
      <c r="KI122" s="236"/>
      <c r="KJ122" s="236"/>
      <c r="KK122" s="236"/>
      <c r="KL122" s="236"/>
      <c r="KM122" s="236"/>
      <c r="KN122" s="236"/>
      <c r="KO122" s="236"/>
      <c r="KP122" s="236"/>
      <c r="KQ122" s="236"/>
      <c r="KR122" s="236"/>
      <c r="KS122" s="236"/>
      <c r="KT122" s="236"/>
      <c r="KU122" s="236"/>
      <c r="KV122" s="236"/>
      <c r="KW122" s="236"/>
      <c r="KX122" s="236"/>
      <c r="KY122" s="236"/>
      <c r="KZ122" s="236"/>
      <c r="LA122" s="236"/>
      <c r="LB122" s="236"/>
      <c r="LC122" s="236"/>
      <c r="LD122" s="236"/>
      <c r="LE122" s="236"/>
      <c r="LF122" s="236"/>
      <c r="LG122" s="236"/>
      <c r="LH122" s="236"/>
      <c r="LI122" s="236"/>
      <c r="LJ122" s="236"/>
      <c r="LK122" s="236"/>
      <c r="LL122" s="236"/>
      <c r="LM122" s="236"/>
      <c r="LN122" s="236"/>
      <c r="LO122" s="236"/>
      <c r="LP122" s="236"/>
      <c r="LQ122" s="236"/>
      <c r="LR122" s="236"/>
      <c r="LS122" s="236"/>
      <c r="LT122" s="236"/>
      <c r="LU122" s="236"/>
      <c r="LV122" s="236"/>
      <c r="LW122" s="236"/>
      <c r="LX122" s="236"/>
      <c r="LY122" s="236"/>
      <c r="LZ122" s="236"/>
      <c r="MA122" s="236"/>
      <c r="MB122" s="236"/>
      <c r="MC122" s="236"/>
      <c r="MD122" s="236"/>
      <c r="ME122" s="236"/>
      <c r="MF122" s="236"/>
      <c r="MG122" s="236"/>
      <c r="MH122" s="236"/>
      <c r="MI122" s="236"/>
      <c r="MJ122" s="236"/>
      <c r="MK122" s="236"/>
      <c r="ML122" s="236"/>
      <c r="MM122" s="236"/>
      <c r="MN122" s="236"/>
      <c r="MO122" s="236"/>
      <c r="MP122" s="236"/>
      <c r="MQ122" s="236"/>
      <c r="MR122" s="236"/>
      <c r="MS122" s="236"/>
      <c r="MT122" s="236"/>
      <c r="MU122" s="236"/>
      <c r="MV122" s="236"/>
      <c r="MW122" s="236"/>
      <c r="MX122" s="236"/>
      <c r="MY122" s="236"/>
      <c r="MZ122" s="236"/>
      <c r="NA122" s="236"/>
      <c r="NB122" s="236"/>
      <c r="NC122" s="236"/>
      <c r="ND122" s="236"/>
      <c r="NE122" s="236"/>
      <c r="NF122" s="236"/>
      <c r="NG122" s="236"/>
      <c r="NH122" s="236"/>
      <c r="NI122" s="236"/>
      <c r="NJ122" s="236"/>
      <c r="NK122" s="236"/>
      <c r="NL122" s="236"/>
      <c r="NM122" s="236"/>
      <c r="NN122" s="236"/>
      <c r="NO122" s="236"/>
      <c r="NP122" s="236"/>
      <c r="NQ122" s="236"/>
      <c r="NR122" s="236"/>
      <c r="NS122" s="236"/>
      <c r="NT122" s="236"/>
      <c r="NU122" s="236"/>
      <c r="NV122" s="236"/>
      <c r="NW122" s="236"/>
      <c r="NX122" s="236"/>
      <c r="NY122" s="236"/>
      <c r="NZ122" s="236"/>
      <c r="OA122" s="236"/>
      <c r="OB122" s="236"/>
      <c r="OC122" s="236"/>
      <c r="OD122" s="236"/>
      <c r="OE122" s="236"/>
      <c r="OF122" s="236"/>
      <c r="OG122" s="236"/>
      <c r="OH122" s="236"/>
      <c r="OI122" s="236"/>
      <c r="OJ122" s="236"/>
      <c r="OK122" s="236"/>
      <c r="OL122" s="236"/>
      <c r="OM122" s="236"/>
      <c r="ON122" s="236"/>
      <c r="OO122" s="236"/>
      <c r="OP122" s="236"/>
      <c r="OQ122" s="236"/>
      <c r="OR122" s="236"/>
      <c r="OS122" s="236"/>
      <c r="OT122" s="236"/>
      <c r="OU122" s="236"/>
      <c r="OV122" s="236"/>
      <c r="OW122" s="236"/>
      <c r="OX122" s="236"/>
      <c r="OY122" s="236"/>
      <c r="OZ122" s="236"/>
      <c r="PA122" s="236"/>
      <c r="PB122" s="236"/>
      <c r="PC122" s="236"/>
      <c r="PD122" s="236"/>
      <c r="PE122" s="236"/>
      <c r="PF122" s="236"/>
      <c r="PG122" s="236"/>
      <c r="PH122" s="236"/>
      <c r="PI122" s="236"/>
      <c r="PJ122" s="236"/>
      <c r="PK122" s="236"/>
      <c r="PL122" s="236"/>
      <c r="PM122" s="236"/>
      <c r="PN122" s="236"/>
      <c r="PO122" s="236"/>
      <c r="PP122" s="236"/>
      <c r="PQ122" s="236"/>
      <c r="PR122" s="236"/>
      <c r="PS122" s="236"/>
      <c r="PT122" s="236"/>
      <c r="PU122" s="236"/>
      <c r="PV122" s="236"/>
      <c r="PW122" s="236"/>
      <c r="PX122" s="236"/>
      <c r="PY122" s="236"/>
      <c r="PZ122" s="236"/>
      <c r="QA122" s="236"/>
      <c r="QB122" s="236"/>
      <c r="QC122" s="236"/>
      <c r="QD122" s="236"/>
      <c r="QE122" s="236"/>
      <c r="QF122" s="236"/>
      <c r="QG122" s="236"/>
      <c r="QH122" s="236"/>
      <c r="QI122" s="236"/>
      <c r="QJ122" s="236"/>
      <c r="QK122" s="236"/>
      <c r="QL122" s="236"/>
      <c r="QM122" s="236"/>
      <c r="QN122" s="236"/>
      <c r="QO122" s="236"/>
      <c r="QP122" s="236"/>
      <c r="QQ122" s="236"/>
      <c r="QR122" s="236"/>
      <c r="QS122" s="236"/>
      <c r="QT122" s="236"/>
      <c r="QU122" s="236"/>
      <c r="QV122" s="236"/>
      <c r="QW122" s="236"/>
      <c r="QX122" s="236"/>
      <c r="QY122" s="236"/>
      <c r="QZ122" s="236"/>
      <c r="RA122" s="236"/>
      <c r="RB122" s="236"/>
      <c r="RC122" s="236"/>
      <c r="RD122" s="236"/>
      <c r="RE122" s="236"/>
      <c r="RF122" s="236"/>
      <c r="RG122" s="236"/>
      <c r="RH122" s="236"/>
      <c r="RI122" s="236"/>
      <c r="RJ122" s="236"/>
      <c r="RK122" s="236"/>
      <c r="RL122" s="236"/>
      <c r="RM122" s="236"/>
      <c r="RN122" s="236"/>
      <c r="RO122" s="236"/>
      <c r="RP122" s="236"/>
      <c r="RQ122" s="236"/>
      <c r="RR122" s="236"/>
      <c r="RS122" s="236"/>
      <c r="RT122" s="236"/>
      <c r="RU122" s="236"/>
      <c r="RV122" s="236"/>
      <c r="RW122" s="236"/>
      <c r="RX122" s="236"/>
      <c r="RY122" s="236"/>
      <c r="RZ122" s="236"/>
      <c r="SA122" s="236"/>
      <c r="SB122" s="236"/>
      <c r="SC122" s="236"/>
      <c r="SD122" s="236"/>
      <c r="SE122" s="236"/>
      <c r="SF122" s="236"/>
      <c r="SG122" s="236"/>
      <c r="SH122" s="236"/>
      <c r="SI122" s="236"/>
      <c r="SJ122" s="236"/>
      <c r="SK122" s="236"/>
      <c r="SL122" s="236"/>
      <c r="SM122" s="236"/>
      <c r="SN122" s="236"/>
      <c r="SO122" s="236"/>
      <c r="SP122" s="236"/>
      <c r="SQ122" s="236"/>
      <c r="SR122" s="236"/>
      <c r="SS122" s="236"/>
      <c r="ST122" s="236"/>
      <c r="SU122" s="236"/>
      <c r="SV122" s="236"/>
      <c r="SW122" s="236"/>
      <c r="SX122" s="236"/>
      <c r="SY122" s="236"/>
      <c r="SZ122" s="236"/>
      <c r="TA122" s="236"/>
      <c r="TB122" s="236"/>
      <c r="TC122" s="236"/>
      <c r="TD122" s="236"/>
      <c r="TE122" s="236"/>
      <c r="TF122" s="236"/>
      <c r="TG122" s="236"/>
      <c r="TH122" s="236"/>
      <c r="TI122" s="236"/>
      <c r="TJ122" s="236"/>
      <c r="TK122" s="236"/>
      <c r="TL122" s="236"/>
      <c r="TM122" s="236"/>
      <c r="TN122" s="236"/>
      <c r="TO122" s="236"/>
      <c r="TP122" s="236"/>
      <c r="TQ122" s="236"/>
      <c r="TR122" s="236"/>
      <c r="TS122" s="236"/>
      <c r="TT122" s="236"/>
      <c r="TU122" s="236"/>
      <c r="TV122" s="236"/>
      <c r="TW122" s="236"/>
      <c r="TX122" s="236"/>
      <c r="TY122" s="236"/>
      <c r="TZ122" s="236"/>
      <c r="UA122" s="236"/>
      <c r="UB122" s="236"/>
      <c r="UC122" s="236"/>
      <c r="UD122" s="236"/>
      <c r="UE122" s="236"/>
      <c r="UF122" s="236"/>
      <c r="UG122" s="236"/>
      <c r="UH122" s="236"/>
      <c r="UI122" s="236"/>
      <c r="UJ122" s="236"/>
      <c r="UK122" s="236"/>
      <c r="UL122" s="236"/>
      <c r="UM122" s="236"/>
      <c r="UN122" s="236"/>
      <c r="UO122" s="236"/>
      <c r="UP122" s="236"/>
      <c r="UQ122" s="236"/>
      <c r="UR122" s="236"/>
      <c r="US122" s="236"/>
      <c r="UT122" s="236"/>
      <c r="UU122" s="236"/>
      <c r="UV122" s="236"/>
      <c r="UW122" s="236"/>
      <c r="UX122" s="236"/>
      <c r="UY122" s="236"/>
      <c r="UZ122" s="236"/>
      <c r="VA122" s="236"/>
      <c r="VB122" s="236"/>
      <c r="VC122" s="236"/>
      <c r="VD122" s="236"/>
      <c r="VE122" s="236"/>
      <c r="VF122" s="236"/>
      <c r="VG122" s="236"/>
      <c r="VH122" s="236"/>
      <c r="VI122" s="236"/>
      <c r="VJ122" s="236"/>
      <c r="VK122" s="236"/>
      <c r="VL122" s="236"/>
      <c r="VM122" s="236"/>
      <c r="VN122" s="236"/>
      <c r="VO122" s="236"/>
      <c r="VP122" s="236"/>
      <c r="VQ122" s="236"/>
      <c r="VR122" s="236"/>
      <c r="VS122" s="236"/>
      <c r="VT122" s="236"/>
      <c r="VU122" s="236"/>
      <c r="VV122" s="236"/>
      <c r="VW122" s="236"/>
      <c r="VX122" s="236"/>
      <c r="VY122" s="236"/>
      <c r="VZ122" s="236"/>
      <c r="WA122" s="236"/>
      <c r="WB122" s="236"/>
      <c r="WC122" s="236"/>
      <c r="WD122" s="236"/>
      <c r="WE122" s="236"/>
      <c r="WF122" s="236"/>
      <c r="WG122" s="236"/>
      <c r="WH122" s="236"/>
      <c r="WI122" s="236"/>
      <c r="WJ122" s="236"/>
      <c r="WK122" s="236"/>
      <c r="WL122" s="236"/>
      <c r="WM122" s="236"/>
      <c r="WN122" s="236"/>
      <c r="WO122" s="236"/>
      <c r="WP122" s="236"/>
      <c r="WQ122" s="236"/>
      <c r="WR122" s="236"/>
      <c r="WS122" s="236"/>
      <c r="WT122" s="236"/>
      <c r="WU122" s="236"/>
      <c r="WV122" s="236"/>
      <c r="WW122" s="236"/>
      <c r="WX122" s="236"/>
      <c r="WY122" s="236"/>
      <c r="WZ122" s="236"/>
      <c r="XA122" s="236"/>
      <c r="XB122" s="236"/>
      <c r="XC122" s="236"/>
      <c r="XD122" s="236"/>
      <c r="XE122" s="236"/>
      <c r="XF122" s="236"/>
      <c r="XG122" s="236"/>
      <c r="XH122" s="236"/>
      <c r="XI122" s="236"/>
      <c r="XJ122" s="236"/>
      <c r="XK122" s="236"/>
      <c r="XL122" s="236"/>
      <c r="XM122" s="236"/>
      <c r="XN122" s="236"/>
      <c r="XO122" s="236"/>
      <c r="XP122" s="236"/>
      <c r="XQ122" s="236"/>
      <c r="XR122" s="236"/>
      <c r="XS122" s="236"/>
      <c r="XT122" s="236"/>
      <c r="XU122" s="236"/>
      <c r="XV122" s="236"/>
      <c r="XW122" s="236"/>
      <c r="XX122" s="236"/>
      <c r="XY122" s="236"/>
      <c r="XZ122" s="236"/>
      <c r="YA122" s="236"/>
      <c r="YB122" s="236"/>
      <c r="YC122" s="236"/>
      <c r="YD122" s="236"/>
      <c r="YE122" s="236"/>
      <c r="YF122" s="236"/>
      <c r="YG122" s="236"/>
      <c r="YH122" s="236"/>
      <c r="YI122" s="236"/>
      <c r="YJ122" s="236"/>
      <c r="YK122" s="236"/>
      <c r="YL122" s="236"/>
      <c r="YM122" s="236"/>
      <c r="YN122" s="236"/>
      <c r="YO122" s="236"/>
      <c r="YP122" s="236"/>
      <c r="YQ122" s="236"/>
      <c r="YR122" s="236"/>
      <c r="YS122" s="236"/>
      <c r="YT122" s="236"/>
      <c r="YU122" s="236"/>
      <c r="YV122" s="236"/>
      <c r="YW122" s="236"/>
      <c r="YX122" s="236"/>
      <c r="YY122" s="236"/>
      <c r="YZ122" s="236"/>
      <c r="ZA122" s="236"/>
      <c r="ZB122" s="236"/>
      <c r="ZC122" s="236"/>
      <c r="ZD122" s="236"/>
      <c r="ZE122" s="236"/>
      <c r="ZF122" s="236"/>
      <c r="ZG122" s="236"/>
      <c r="ZH122" s="236"/>
      <c r="ZI122" s="236"/>
      <c r="ZJ122" s="236"/>
      <c r="ZK122" s="236"/>
      <c r="ZL122" s="236"/>
      <c r="ZM122" s="236"/>
      <c r="ZN122" s="236"/>
      <c r="ZO122" s="236"/>
      <c r="ZP122" s="236"/>
      <c r="ZQ122" s="236"/>
      <c r="ZR122" s="236"/>
      <c r="ZS122" s="236"/>
      <c r="ZT122" s="236"/>
      <c r="ZU122" s="236"/>
      <c r="ZV122" s="236"/>
      <c r="ZW122" s="236"/>
      <c r="ZX122" s="236"/>
      <c r="ZY122" s="236"/>
      <c r="ZZ122" s="236"/>
      <c r="AAA122" s="236"/>
      <c r="AAB122" s="236"/>
      <c r="AAC122" s="236"/>
      <c r="AAD122" s="236"/>
      <c r="AAE122" s="236"/>
      <c r="AAF122" s="236"/>
      <c r="AAG122" s="236"/>
      <c r="AAH122" s="236"/>
      <c r="AAI122" s="236"/>
      <c r="AAJ122" s="236"/>
      <c r="AAK122" s="236"/>
      <c r="AAL122" s="236"/>
      <c r="AAM122" s="236"/>
      <c r="AAN122" s="236"/>
      <c r="AAO122" s="236"/>
      <c r="AAP122" s="236"/>
      <c r="AAQ122" s="236"/>
      <c r="AAR122" s="236"/>
      <c r="AAS122" s="236"/>
      <c r="AAT122" s="236"/>
      <c r="AAU122" s="236"/>
      <c r="AAV122" s="236"/>
      <c r="AAW122" s="236"/>
      <c r="AAX122" s="236"/>
      <c r="AAY122" s="236"/>
      <c r="AAZ122" s="236"/>
      <c r="ABA122" s="236"/>
      <c r="ABB122" s="236"/>
      <c r="ABC122" s="236"/>
      <c r="ABD122" s="236"/>
      <c r="ABE122" s="236"/>
      <c r="ABF122" s="236"/>
      <c r="ABG122" s="236"/>
      <c r="ABH122" s="236"/>
      <c r="ABI122" s="236"/>
      <c r="ABJ122" s="236"/>
      <c r="ABK122" s="236"/>
      <c r="ABL122" s="236"/>
      <c r="ABM122" s="236"/>
      <c r="ABN122" s="236"/>
      <c r="ABO122" s="236"/>
      <c r="ABP122" s="236"/>
      <c r="ABQ122" s="236"/>
      <c r="ABR122" s="236"/>
      <c r="ABS122" s="236"/>
      <c r="ABT122" s="236"/>
      <c r="ABU122" s="236"/>
      <c r="ABV122" s="236"/>
      <c r="ABW122" s="236"/>
      <c r="ABX122" s="236"/>
      <c r="ABY122" s="236"/>
      <c r="ABZ122" s="236"/>
      <c r="ACA122" s="236"/>
      <c r="ACB122" s="236"/>
      <c r="ACC122" s="236"/>
      <c r="ACD122" s="236"/>
      <c r="ACE122" s="236"/>
      <c r="ACF122" s="236"/>
      <c r="ACG122" s="236"/>
      <c r="ACH122" s="236"/>
      <c r="ACI122" s="236"/>
      <c r="ACJ122" s="236"/>
      <c r="ACK122" s="236"/>
      <c r="ACL122" s="236"/>
      <c r="ACM122" s="236"/>
      <c r="ACN122" s="236"/>
      <c r="ACO122" s="236"/>
      <c r="ACP122" s="236"/>
      <c r="ACQ122" s="236"/>
      <c r="ACR122" s="236"/>
      <c r="ACS122" s="236"/>
      <c r="ACT122" s="236"/>
      <c r="ACU122" s="236"/>
      <c r="ACV122" s="236"/>
      <c r="ACW122" s="236"/>
      <c r="ACX122" s="236"/>
      <c r="ACY122" s="236"/>
      <c r="ACZ122" s="236"/>
      <c r="ADA122" s="236"/>
      <c r="ADB122" s="236"/>
      <c r="ADC122" s="236"/>
      <c r="ADD122" s="236"/>
      <c r="ADE122" s="236"/>
      <c r="ADF122" s="236"/>
      <c r="ADG122" s="236"/>
      <c r="ADH122" s="236"/>
      <c r="ADI122" s="236"/>
      <c r="ADJ122" s="236"/>
      <c r="ADK122" s="236"/>
      <c r="ADL122" s="236"/>
      <c r="ADM122" s="236"/>
      <c r="ADN122" s="236"/>
      <c r="ADO122" s="236"/>
      <c r="ADP122" s="236"/>
      <c r="ADQ122" s="236"/>
      <c r="ADR122" s="236"/>
      <c r="ADS122" s="236"/>
      <c r="ADT122" s="236"/>
      <c r="ADU122" s="236"/>
      <c r="ADV122" s="236"/>
      <c r="ADW122" s="236"/>
      <c r="ADX122" s="236"/>
      <c r="ADY122" s="236"/>
      <c r="ADZ122" s="236"/>
      <c r="AEA122" s="236"/>
      <c r="AEB122" s="236"/>
      <c r="AEC122" s="236"/>
      <c r="AED122" s="236"/>
      <c r="AEE122" s="236"/>
      <c r="AEF122" s="236"/>
      <c r="AEG122" s="236"/>
      <c r="AEH122" s="236"/>
      <c r="AEI122" s="236"/>
      <c r="AEJ122" s="236"/>
      <c r="AEK122" s="236"/>
      <c r="AEL122" s="236"/>
      <c r="AEM122" s="236"/>
      <c r="AEN122" s="236"/>
      <c r="AEO122" s="236"/>
      <c r="AEP122" s="236"/>
      <c r="AEQ122" s="236"/>
      <c r="AER122" s="236"/>
      <c r="AES122" s="236"/>
      <c r="AET122" s="236"/>
      <c r="AEU122" s="236"/>
      <c r="AEV122" s="236"/>
      <c r="AEW122" s="236"/>
      <c r="AEX122" s="236"/>
      <c r="AEY122" s="236"/>
      <c r="AEZ122" s="236"/>
      <c r="AFA122" s="236"/>
      <c r="AFB122" s="236"/>
      <c r="AFC122" s="236"/>
      <c r="AFD122" s="236"/>
      <c r="AFE122" s="236"/>
      <c r="AFF122" s="236"/>
      <c r="AFG122" s="236"/>
      <c r="AFH122" s="236"/>
      <c r="AFI122" s="236"/>
      <c r="AFJ122" s="236"/>
      <c r="AFK122" s="236"/>
      <c r="AFL122" s="236"/>
      <c r="AFM122" s="236"/>
      <c r="AFN122" s="236"/>
      <c r="AFO122" s="236"/>
      <c r="AFP122" s="236"/>
      <c r="AFQ122" s="236"/>
      <c r="AFR122" s="236"/>
      <c r="AFS122" s="236"/>
      <c r="AFT122" s="236"/>
      <c r="AFU122" s="236"/>
      <c r="AFV122" s="236"/>
      <c r="AFW122" s="236"/>
      <c r="AFX122" s="236"/>
      <c r="AFY122" s="236"/>
      <c r="AFZ122" s="236"/>
      <c r="AGA122" s="236"/>
      <c r="AGB122" s="236"/>
      <c r="AGC122" s="236"/>
      <c r="AGD122" s="236"/>
      <c r="AGE122" s="236"/>
      <c r="AGF122" s="236"/>
      <c r="AGG122" s="236"/>
      <c r="AGH122" s="236"/>
      <c r="AGI122" s="236"/>
      <c r="AGJ122" s="236"/>
      <c r="AGK122" s="236"/>
      <c r="AGL122" s="236"/>
      <c r="AGM122" s="236"/>
      <c r="AGN122" s="236"/>
      <c r="AGO122" s="236"/>
      <c r="AGP122" s="236"/>
      <c r="AGQ122" s="236"/>
      <c r="AGR122" s="236"/>
      <c r="AGS122" s="236"/>
      <c r="AGT122" s="236"/>
      <c r="AGU122" s="236"/>
      <c r="AGV122" s="236"/>
      <c r="AGW122" s="236"/>
      <c r="AGX122" s="236"/>
      <c r="AGY122" s="236"/>
      <c r="AGZ122" s="236"/>
      <c r="AHA122" s="236"/>
      <c r="AHB122" s="236"/>
      <c r="AHC122" s="236"/>
      <c r="AHD122" s="236"/>
      <c r="AHE122" s="236"/>
      <c r="AHF122" s="236"/>
      <c r="AHG122" s="236"/>
      <c r="AHH122" s="236"/>
      <c r="AHI122" s="236"/>
      <c r="AHJ122" s="236"/>
      <c r="AHK122" s="236"/>
      <c r="AHL122" s="236"/>
      <c r="AHM122" s="236"/>
      <c r="AHN122" s="236"/>
      <c r="AHO122" s="236"/>
      <c r="AHP122" s="236"/>
      <c r="AHQ122" s="236"/>
      <c r="AHR122" s="236"/>
      <c r="AHS122" s="236"/>
      <c r="AHT122" s="236"/>
      <c r="AHU122" s="236"/>
      <c r="AHV122" s="236"/>
      <c r="AHW122" s="236"/>
      <c r="AHX122" s="236"/>
      <c r="AHY122" s="236"/>
      <c r="AHZ122" s="236"/>
      <c r="AIA122" s="236"/>
      <c r="AIB122" s="236"/>
      <c r="AIC122" s="236"/>
      <c r="AID122" s="236"/>
      <c r="AIE122" s="236"/>
      <c r="AIF122" s="236"/>
      <c r="AIG122" s="236"/>
      <c r="AIH122" s="236"/>
      <c r="AII122" s="236"/>
      <c r="AIJ122" s="236"/>
      <c r="AIK122" s="236"/>
      <c r="AIL122" s="236"/>
      <c r="AIM122" s="236"/>
      <c r="AIN122" s="236"/>
      <c r="AIO122" s="236"/>
      <c r="AIP122" s="236"/>
      <c r="AIQ122" s="236"/>
      <c r="AIR122" s="236"/>
      <c r="AIS122" s="236"/>
      <c r="AIT122" s="236"/>
      <c r="AIU122" s="236"/>
      <c r="AIV122" s="236"/>
      <c r="AIW122" s="236"/>
      <c r="AIX122" s="236"/>
      <c r="AIY122" s="236"/>
      <c r="AIZ122" s="236"/>
      <c r="AJA122" s="236"/>
      <c r="AJB122" s="236"/>
      <c r="AJC122" s="236"/>
      <c r="AJD122" s="236"/>
      <c r="AJE122" s="236"/>
      <c r="AJF122" s="236"/>
      <c r="AJG122" s="236"/>
      <c r="AJH122" s="236"/>
      <c r="AJI122" s="236"/>
      <c r="AJJ122" s="236"/>
      <c r="AJK122" s="236"/>
      <c r="AJL122" s="236"/>
      <c r="AJM122" s="236"/>
      <c r="AJN122" s="236"/>
      <c r="AJO122" s="236"/>
      <c r="AJP122" s="236"/>
      <c r="AJQ122" s="236"/>
      <c r="AJR122" s="236"/>
      <c r="AJS122" s="236"/>
      <c r="AJT122" s="236"/>
      <c r="AJU122" s="236"/>
      <c r="AJV122" s="236"/>
      <c r="AJW122" s="236"/>
      <c r="AJX122" s="236"/>
      <c r="AJY122" s="236"/>
      <c r="AJZ122" s="236"/>
      <c r="AKA122" s="236"/>
      <c r="AKB122" s="236"/>
      <c r="AKC122" s="236"/>
      <c r="AKD122" s="236"/>
      <c r="AKE122" s="236"/>
      <c r="AKF122" s="236"/>
      <c r="AKG122" s="236"/>
      <c r="AKH122" s="236"/>
      <c r="AKI122" s="236"/>
      <c r="AKJ122" s="236"/>
      <c r="AKK122" s="236"/>
      <c r="AKL122" s="236"/>
      <c r="AKM122" s="236"/>
      <c r="AKN122" s="236"/>
      <c r="AKO122" s="236"/>
      <c r="AKP122" s="236"/>
      <c r="AKQ122" s="236"/>
      <c r="AKR122" s="236"/>
      <c r="AKS122" s="236"/>
      <c r="AKT122" s="236"/>
      <c r="AKU122" s="236"/>
      <c r="AKV122" s="236"/>
      <c r="AKW122" s="236"/>
      <c r="AKX122" s="236"/>
      <c r="AKY122" s="236"/>
      <c r="AKZ122" s="236"/>
      <c r="ALA122" s="236"/>
      <c r="ALB122" s="236"/>
      <c r="ALC122" s="236"/>
      <c r="ALD122" s="236"/>
      <c r="ALE122" s="236"/>
      <c r="ALF122" s="236"/>
      <c r="ALG122" s="236"/>
      <c r="ALH122" s="236"/>
      <c r="ALI122" s="236"/>
      <c r="ALJ122" s="236"/>
      <c r="ALK122" s="236"/>
      <c r="ALL122" s="236"/>
      <c r="ALM122" s="236"/>
      <c r="ALN122" s="236"/>
      <c r="ALO122" s="236"/>
      <c r="ALP122" s="236"/>
      <c r="ALQ122" s="236"/>
      <c r="ALR122" s="236"/>
      <c r="ALS122" s="236"/>
      <c r="ALT122" s="236"/>
      <c r="ALU122" s="236"/>
      <c r="ALV122" s="236"/>
      <c r="ALW122" s="236"/>
      <c r="ALX122" s="236"/>
      <c r="ALY122" s="236"/>
      <c r="ALZ122" s="236"/>
      <c r="AMA122" s="236"/>
      <c r="AMB122" s="236"/>
      <c r="AMC122" s="236"/>
      <c r="AMD122" s="236"/>
      <c r="AME122" s="236"/>
      <c r="AMF122" s="236"/>
      <c r="AMG122" s="236"/>
      <c r="AMH122" s="236"/>
      <c r="AMI122" s="236"/>
      <c r="AMJ122" s="236"/>
      <c r="AMK122" s="236"/>
      <c r="AML122" s="236"/>
      <c r="AMM122" s="236"/>
    </row>
    <row r="123" spans="1:1027" ht="12.75" customHeight="1">
      <c r="A123" s="1418"/>
      <c r="B123" s="1419"/>
      <c r="C123" s="1419"/>
      <c r="D123" s="1419"/>
      <c r="E123" s="1419"/>
      <c r="F123" s="1419"/>
      <c r="G123" s="1419"/>
      <c r="H123" s="1419"/>
      <c r="I123" s="1419"/>
      <c r="J123" s="1419"/>
      <c r="K123" s="1419"/>
      <c r="L123" s="1420"/>
      <c r="M123" s="283"/>
      <c r="N123" s="1392" t="s">
        <v>278</v>
      </c>
      <c r="O123" s="1393"/>
      <c r="P123" s="1393"/>
      <c r="Q123" s="1393"/>
      <c r="R123" s="1394"/>
      <c r="S123" s="284"/>
      <c r="T123" s="284"/>
      <c r="U123" s="284"/>
      <c r="V123" s="1392" t="s">
        <v>170</v>
      </c>
      <c r="W123" s="1393"/>
      <c r="X123" s="1393"/>
      <c r="Y123" s="1393"/>
      <c r="Z123" s="1394"/>
      <c r="AA123" s="1065"/>
      <c r="AB123" s="1392" t="s">
        <v>171</v>
      </c>
      <c r="AC123" s="1394"/>
      <c r="AD123" s="1412" t="s">
        <v>172</v>
      </c>
      <c r="AE123" s="1413"/>
      <c r="AF123" s="1413"/>
      <c r="AG123" s="1413"/>
      <c r="AH123" s="1413"/>
      <c r="AI123" s="1413"/>
      <c r="AJ123" s="1413"/>
      <c r="AK123" s="1413"/>
      <c r="AL123" s="1413"/>
      <c r="AM123" s="1413"/>
      <c r="AN123" s="1414"/>
      <c r="AO123" s="262"/>
      <c r="AP123" s="262"/>
      <c r="AQ123" s="262"/>
      <c r="AR123" s="262"/>
      <c r="AS123" s="262"/>
      <c r="AT123" s="262"/>
      <c r="AU123" s="262"/>
      <c r="AV123" s="262"/>
      <c r="AW123" s="262"/>
      <c r="AX123" s="262"/>
      <c r="AY123" s="236"/>
      <c r="AZ123" s="236"/>
      <c r="BA123" s="236"/>
      <c r="BB123" s="236"/>
      <c r="BC123" s="236"/>
      <c r="BD123" s="236"/>
      <c r="BE123" s="236"/>
      <c r="BF123" s="236"/>
      <c r="BG123" s="236"/>
      <c r="BH123" s="236"/>
      <c r="BI123" s="236"/>
      <c r="BJ123" s="236"/>
      <c r="BK123" s="236"/>
      <c r="BL123" s="236"/>
      <c r="BM123" s="236"/>
      <c r="BN123" s="236"/>
      <c r="BO123" s="236"/>
      <c r="BP123" s="236"/>
      <c r="BQ123" s="236"/>
      <c r="BR123" s="236"/>
      <c r="BS123" s="236"/>
      <c r="BT123" s="236"/>
      <c r="BU123" s="236"/>
      <c r="BV123" s="236"/>
      <c r="BW123" s="236"/>
      <c r="BX123" s="236"/>
      <c r="BY123" s="236"/>
      <c r="BZ123" s="236"/>
      <c r="CA123" s="236"/>
      <c r="CB123" s="236"/>
      <c r="CC123" s="236"/>
      <c r="CD123" s="236"/>
      <c r="CE123" s="236"/>
      <c r="CF123" s="236"/>
      <c r="CG123" s="236"/>
      <c r="CH123" s="236"/>
      <c r="CI123" s="236"/>
      <c r="CJ123" s="236"/>
      <c r="CK123" s="236"/>
      <c r="CL123" s="236"/>
      <c r="CM123" s="236"/>
      <c r="CN123" s="236"/>
      <c r="CO123" s="236"/>
      <c r="CP123" s="236"/>
      <c r="CQ123" s="236"/>
      <c r="CR123" s="236"/>
      <c r="CS123" s="236"/>
      <c r="CT123" s="236"/>
      <c r="CU123" s="236"/>
      <c r="CV123" s="236"/>
      <c r="CW123" s="236"/>
      <c r="CX123" s="236"/>
      <c r="CY123" s="236"/>
      <c r="CZ123" s="236"/>
      <c r="DA123" s="236"/>
      <c r="DB123" s="236"/>
      <c r="DC123" s="236"/>
      <c r="DD123" s="236"/>
      <c r="DE123" s="236"/>
      <c r="DF123" s="236"/>
      <c r="DG123" s="236"/>
      <c r="DH123" s="236"/>
      <c r="DI123" s="236"/>
      <c r="DJ123" s="236"/>
      <c r="DK123" s="236"/>
      <c r="DL123" s="236"/>
      <c r="DM123" s="236"/>
      <c r="DN123" s="236"/>
      <c r="DO123" s="236"/>
      <c r="DP123" s="236"/>
      <c r="DQ123" s="236"/>
      <c r="DR123" s="236"/>
      <c r="DS123" s="236"/>
      <c r="DT123" s="236"/>
      <c r="DU123" s="236"/>
      <c r="DV123" s="236"/>
      <c r="DW123" s="236"/>
      <c r="DX123" s="236"/>
      <c r="DY123" s="236"/>
      <c r="DZ123" s="236"/>
      <c r="EA123" s="236"/>
      <c r="EB123" s="236"/>
      <c r="EC123" s="236"/>
      <c r="ED123" s="236"/>
      <c r="EE123" s="236"/>
      <c r="EF123" s="236"/>
      <c r="EG123" s="236"/>
      <c r="EH123" s="236"/>
      <c r="EI123" s="236"/>
      <c r="EJ123" s="236"/>
      <c r="EK123" s="236"/>
      <c r="EL123" s="236"/>
      <c r="EM123" s="236"/>
      <c r="EN123" s="236"/>
      <c r="EO123" s="236"/>
      <c r="EP123" s="236"/>
      <c r="EQ123" s="236"/>
      <c r="ER123" s="236"/>
      <c r="ES123" s="236"/>
      <c r="ET123" s="236"/>
      <c r="EU123" s="236"/>
      <c r="EV123" s="236"/>
      <c r="EW123" s="236"/>
      <c r="EX123" s="236"/>
      <c r="EY123" s="236"/>
      <c r="EZ123" s="236"/>
      <c r="FA123" s="236"/>
      <c r="FB123" s="236"/>
      <c r="FC123" s="236"/>
      <c r="FD123" s="236"/>
      <c r="FE123" s="236"/>
      <c r="FF123" s="236"/>
      <c r="FG123" s="236"/>
      <c r="FH123" s="236"/>
      <c r="FI123" s="236"/>
      <c r="FJ123" s="236"/>
      <c r="FK123" s="236"/>
      <c r="FL123" s="236"/>
      <c r="FM123" s="236"/>
      <c r="FN123" s="236"/>
      <c r="FO123" s="236"/>
      <c r="FP123" s="236"/>
      <c r="FQ123" s="236"/>
      <c r="FR123" s="236"/>
      <c r="FS123" s="236"/>
      <c r="FT123" s="236"/>
      <c r="FU123" s="236"/>
      <c r="FV123" s="236"/>
      <c r="FW123" s="236"/>
      <c r="FX123" s="236"/>
      <c r="FY123" s="236"/>
      <c r="FZ123" s="236"/>
      <c r="GA123" s="236"/>
      <c r="GB123" s="236"/>
      <c r="GC123" s="236"/>
      <c r="GD123" s="236"/>
      <c r="GE123" s="236"/>
      <c r="GF123" s="236"/>
      <c r="GG123" s="236"/>
      <c r="GH123" s="236"/>
      <c r="GI123" s="236"/>
      <c r="GJ123" s="236"/>
      <c r="GK123" s="236"/>
      <c r="GL123" s="236"/>
      <c r="GM123" s="236"/>
      <c r="GN123" s="236"/>
      <c r="GO123" s="236"/>
      <c r="GP123" s="236"/>
      <c r="GQ123" s="236"/>
      <c r="GR123" s="236"/>
      <c r="GS123" s="236"/>
      <c r="GT123" s="236"/>
      <c r="GU123" s="236"/>
      <c r="GV123" s="236"/>
      <c r="GW123" s="236"/>
      <c r="GX123" s="236"/>
      <c r="GY123" s="236"/>
      <c r="GZ123" s="236"/>
      <c r="HA123" s="236"/>
      <c r="HB123" s="236"/>
      <c r="HC123" s="236"/>
      <c r="HD123" s="236"/>
      <c r="HE123" s="236"/>
      <c r="HF123" s="236"/>
      <c r="HG123" s="236"/>
      <c r="HH123" s="236"/>
      <c r="HI123" s="236"/>
      <c r="HJ123" s="236"/>
      <c r="HK123" s="236"/>
      <c r="HL123" s="236"/>
      <c r="HM123" s="236"/>
      <c r="HN123" s="236"/>
      <c r="HO123" s="236"/>
      <c r="HP123" s="236"/>
      <c r="HQ123" s="236"/>
      <c r="HR123" s="236"/>
      <c r="HS123" s="236"/>
      <c r="HT123" s="236"/>
      <c r="HU123" s="236"/>
      <c r="HV123" s="236"/>
      <c r="HW123" s="236"/>
      <c r="HX123" s="236"/>
      <c r="HY123" s="236"/>
      <c r="HZ123" s="236"/>
      <c r="IA123" s="236"/>
      <c r="IB123" s="236"/>
      <c r="IC123" s="236"/>
      <c r="ID123" s="236"/>
      <c r="IE123" s="236"/>
      <c r="IF123" s="236"/>
      <c r="IG123" s="236"/>
      <c r="IH123" s="236"/>
      <c r="II123" s="236"/>
      <c r="IJ123" s="236"/>
      <c r="IK123" s="236"/>
      <c r="IL123" s="236"/>
      <c r="IM123" s="236"/>
      <c r="IN123" s="236"/>
      <c r="IO123" s="236"/>
      <c r="IP123" s="236"/>
      <c r="IQ123" s="236"/>
      <c r="IR123" s="236"/>
      <c r="IS123" s="236"/>
      <c r="IT123" s="236"/>
      <c r="IU123" s="236"/>
      <c r="IV123" s="236"/>
      <c r="IW123" s="236"/>
      <c r="IX123" s="236"/>
      <c r="IY123" s="236"/>
      <c r="IZ123" s="236"/>
      <c r="JA123" s="236"/>
      <c r="JB123" s="236"/>
      <c r="JC123" s="236"/>
      <c r="JD123" s="236"/>
      <c r="JE123" s="236"/>
      <c r="JF123" s="236"/>
      <c r="JG123" s="236"/>
      <c r="JH123" s="236"/>
      <c r="JI123" s="236"/>
      <c r="JJ123" s="236"/>
      <c r="JK123" s="236"/>
      <c r="JL123" s="236"/>
      <c r="JM123" s="236"/>
      <c r="JN123" s="236"/>
      <c r="JO123" s="236"/>
      <c r="JP123" s="236"/>
      <c r="JQ123" s="236"/>
      <c r="JR123" s="236"/>
      <c r="JS123" s="236"/>
      <c r="JT123" s="236"/>
      <c r="JU123" s="236"/>
      <c r="JV123" s="236"/>
      <c r="JW123" s="236"/>
      <c r="JX123" s="236"/>
      <c r="JY123" s="236"/>
      <c r="JZ123" s="236"/>
      <c r="KA123" s="236"/>
      <c r="KB123" s="236"/>
      <c r="KC123" s="236"/>
      <c r="KD123" s="236"/>
      <c r="KE123" s="236"/>
      <c r="KF123" s="236"/>
      <c r="KG123" s="236"/>
      <c r="KH123" s="236"/>
      <c r="KI123" s="236"/>
      <c r="KJ123" s="236"/>
      <c r="KK123" s="236"/>
      <c r="KL123" s="236"/>
      <c r="KM123" s="236"/>
      <c r="KN123" s="236"/>
      <c r="KO123" s="236"/>
      <c r="KP123" s="236"/>
      <c r="KQ123" s="236"/>
      <c r="KR123" s="236"/>
      <c r="KS123" s="236"/>
      <c r="KT123" s="236"/>
      <c r="KU123" s="236"/>
      <c r="KV123" s="236"/>
      <c r="KW123" s="236"/>
      <c r="KX123" s="236"/>
      <c r="KY123" s="236"/>
      <c r="KZ123" s="236"/>
      <c r="LA123" s="236"/>
      <c r="LB123" s="236"/>
      <c r="LC123" s="236"/>
      <c r="LD123" s="236"/>
      <c r="LE123" s="236"/>
      <c r="LF123" s="236"/>
      <c r="LG123" s="236"/>
      <c r="LH123" s="236"/>
      <c r="LI123" s="236"/>
      <c r="LJ123" s="236"/>
      <c r="LK123" s="236"/>
      <c r="LL123" s="236"/>
      <c r="LM123" s="236"/>
      <c r="LN123" s="236"/>
      <c r="LO123" s="236"/>
      <c r="LP123" s="236"/>
      <c r="LQ123" s="236"/>
      <c r="LR123" s="236"/>
      <c r="LS123" s="236"/>
      <c r="LT123" s="236"/>
      <c r="LU123" s="236"/>
      <c r="LV123" s="236"/>
      <c r="LW123" s="236"/>
      <c r="LX123" s="236"/>
      <c r="LY123" s="236"/>
      <c r="LZ123" s="236"/>
      <c r="MA123" s="236"/>
      <c r="MB123" s="236"/>
      <c r="MC123" s="236"/>
      <c r="MD123" s="236"/>
      <c r="ME123" s="236"/>
      <c r="MF123" s="236"/>
      <c r="MG123" s="236"/>
      <c r="MH123" s="236"/>
      <c r="MI123" s="236"/>
      <c r="MJ123" s="236"/>
      <c r="MK123" s="236"/>
      <c r="ML123" s="236"/>
      <c r="MM123" s="236"/>
      <c r="MN123" s="236"/>
      <c r="MO123" s="236"/>
      <c r="MP123" s="236"/>
      <c r="MQ123" s="236"/>
      <c r="MR123" s="236"/>
      <c r="MS123" s="236"/>
      <c r="MT123" s="236"/>
      <c r="MU123" s="236"/>
      <c r="MV123" s="236"/>
      <c r="MW123" s="236"/>
      <c r="MX123" s="236"/>
      <c r="MY123" s="236"/>
      <c r="MZ123" s="236"/>
      <c r="NA123" s="236"/>
      <c r="NB123" s="236"/>
      <c r="NC123" s="236"/>
      <c r="ND123" s="236"/>
      <c r="NE123" s="236"/>
      <c r="NF123" s="236"/>
      <c r="NG123" s="236"/>
      <c r="NH123" s="236"/>
      <c r="NI123" s="236"/>
      <c r="NJ123" s="236"/>
      <c r="NK123" s="236"/>
      <c r="NL123" s="236"/>
      <c r="NM123" s="236"/>
      <c r="NN123" s="236"/>
      <c r="NO123" s="236"/>
      <c r="NP123" s="236"/>
      <c r="NQ123" s="236"/>
      <c r="NR123" s="236"/>
      <c r="NS123" s="236"/>
      <c r="NT123" s="236"/>
      <c r="NU123" s="236"/>
      <c r="NV123" s="236"/>
      <c r="NW123" s="236"/>
      <c r="NX123" s="236"/>
      <c r="NY123" s="236"/>
      <c r="NZ123" s="236"/>
      <c r="OA123" s="236"/>
      <c r="OB123" s="236"/>
      <c r="OC123" s="236"/>
      <c r="OD123" s="236"/>
      <c r="OE123" s="236"/>
      <c r="OF123" s="236"/>
      <c r="OG123" s="236"/>
      <c r="OH123" s="236"/>
      <c r="OI123" s="236"/>
      <c r="OJ123" s="236"/>
      <c r="OK123" s="236"/>
      <c r="OL123" s="236"/>
      <c r="OM123" s="236"/>
      <c r="ON123" s="236"/>
      <c r="OO123" s="236"/>
      <c r="OP123" s="236"/>
      <c r="OQ123" s="236"/>
      <c r="OR123" s="236"/>
      <c r="OS123" s="236"/>
      <c r="OT123" s="236"/>
      <c r="OU123" s="236"/>
      <c r="OV123" s="236"/>
      <c r="OW123" s="236"/>
      <c r="OX123" s="236"/>
      <c r="OY123" s="236"/>
      <c r="OZ123" s="236"/>
      <c r="PA123" s="236"/>
      <c r="PB123" s="236"/>
      <c r="PC123" s="236"/>
      <c r="PD123" s="236"/>
      <c r="PE123" s="236"/>
      <c r="PF123" s="236"/>
      <c r="PG123" s="236"/>
      <c r="PH123" s="236"/>
      <c r="PI123" s="236"/>
      <c r="PJ123" s="236"/>
      <c r="PK123" s="236"/>
      <c r="PL123" s="236"/>
      <c r="PM123" s="236"/>
      <c r="PN123" s="236"/>
      <c r="PO123" s="236"/>
      <c r="PP123" s="236"/>
      <c r="PQ123" s="236"/>
      <c r="PR123" s="236"/>
      <c r="PS123" s="236"/>
      <c r="PT123" s="236"/>
      <c r="PU123" s="236"/>
      <c r="PV123" s="236"/>
      <c r="PW123" s="236"/>
      <c r="PX123" s="236"/>
      <c r="PY123" s="236"/>
      <c r="PZ123" s="236"/>
      <c r="QA123" s="236"/>
      <c r="QB123" s="236"/>
      <c r="QC123" s="236"/>
      <c r="QD123" s="236"/>
      <c r="QE123" s="236"/>
      <c r="QF123" s="236"/>
      <c r="QG123" s="236"/>
      <c r="QH123" s="236"/>
      <c r="QI123" s="236"/>
      <c r="QJ123" s="236"/>
      <c r="QK123" s="236"/>
      <c r="QL123" s="236"/>
      <c r="QM123" s="236"/>
      <c r="QN123" s="236"/>
      <c r="QO123" s="236"/>
      <c r="QP123" s="236"/>
      <c r="QQ123" s="236"/>
      <c r="QR123" s="236"/>
      <c r="QS123" s="236"/>
      <c r="QT123" s="236"/>
      <c r="QU123" s="236"/>
      <c r="QV123" s="236"/>
      <c r="QW123" s="236"/>
      <c r="QX123" s="236"/>
      <c r="QY123" s="236"/>
      <c r="QZ123" s="236"/>
      <c r="RA123" s="236"/>
      <c r="RB123" s="236"/>
      <c r="RC123" s="236"/>
      <c r="RD123" s="236"/>
      <c r="RE123" s="236"/>
      <c r="RF123" s="236"/>
      <c r="RG123" s="236"/>
      <c r="RH123" s="236"/>
      <c r="RI123" s="236"/>
      <c r="RJ123" s="236"/>
      <c r="RK123" s="236"/>
      <c r="RL123" s="236"/>
      <c r="RM123" s="236"/>
      <c r="RN123" s="236"/>
      <c r="RO123" s="236"/>
      <c r="RP123" s="236"/>
      <c r="RQ123" s="236"/>
      <c r="RR123" s="236"/>
      <c r="RS123" s="236"/>
      <c r="RT123" s="236"/>
      <c r="RU123" s="236"/>
      <c r="RV123" s="236"/>
      <c r="RW123" s="236"/>
      <c r="RX123" s="236"/>
      <c r="RY123" s="236"/>
      <c r="RZ123" s="236"/>
      <c r="SA123" s="236"/>
      <c r="SB123" s="236"/>
      <c r="SC123" s="236"/>
      <c r="SD123" s="236"/>
      <c r="SE123" s="236"/>
      <c r="SF123" s="236"/>
      <c r="SG123" s="236"/>
      <c r="SH123" s="236"/>
      <c r="SI123" s="236"/>
      <c r="SJ123" s="236"/>
      <c r="SK123" s="236"/>
      <c r="SL123" s="236"/>
      <c r="SM123" s="236"/>
      <c r="SN123" s="236"/>
      <c r="SO123" s="236"/>
      <c r="SP123" s="236"/>
      <c r="SQ123" s="236"/>
      <c r="SR123" s="236"/>
      <c r="SS123" s="236"/>
      <c r="ST123" s="236"/>
      <c r="SU123" s="236"/>
      <c r="SV123" s="236"/>
      <c r="SW123" s="236"/>
      <c r="SX123" s="236"/>
      <c r="SY123" s="236"/>
      <c r="SZ123" s="236"/>
      <c r="TA123" s="236"/>
      <c r="TB123" s="236"/>
      <c r="TC123" s="236"/>
      <c r="TD123" s="236"/>
      <c r="TE123" s="236"/>
      <c r="TF123" s="236"/>
      <c r="TG123" s="236"/>
      <c r="TH123" s="236"/>
      <c r="TI123" s="236"/>
      <c r="TJ123" s="236"/>
      <c r="TK123" s="236"/>
      <c r="TL123" s="236"/>
      <c r="TM123" s="236"/>
      <c r="TN123" s="236"/>
      <c r="TO123" s="236"/>
      <c r="TP123" s="236"/>
      <c r="TQ123" s="236"/>
      <c r="TR123" s="236"/>
      <c r="TS123" s="236"/>
      <c r="TT123" s="236"/>
      <c r="TU123" s="236"/>
      <c r="TV123" s="236"/>
      <c r="TW123" s="236"/>
      <c r="TX123" s="236"/>
      <c r="TY123" s="236"/>
      <c r="TZ123" s="236"/>
      <c r="UA123" s="236"/>
      <c r="UB123" s="236"/>
      <c r="UC123" s="236"/>
      <c r="UD123" s="236"/>
      <c r="UE123" s="236"/>
      <c r="UF123" s="236"/>
      <c r="UG123" s="236"/>
      <c r="UH123" s="236"/>
      <c r="UI123" s="236"/>
      <c r="UJ123" s="236"/>
      <c r="UK123" s="236"/>
      <c r="UL123" s="236"/>
      <c r="UM123" s="236"/>
      <c r="UN123" s="236"/>
      <c r="UO123" s="236"/>
      <c r="UP123" s="236"/>
      <c r="UQ123" s="236"/>
      <c r="UR123" s="236"/>
      <c r="US123" s="236"/>
      <c r="UT123" s="236"/>
      <c r="UU123" s="236"/>
      <c r="UV123" s="236"/>
      <c r="UW123" s="236"/>
      <c r="UX123" s="236"/>
      <c r="UY123" s="236"/>
      <c r="UZ123" s="236"/>
      <c r="VA123" s="236"/>
      <c r="VB123" s="236"/>
      <c r="VC123" s="236"/>
      <c r="VD123" s="236"/>
      <c r="VE123" s="236"/>
      <c r="VF123" s="236"/>
      <c r="VG123" s="236"/>
      <c r="VH123" s="236"/>
      <c r="VI123" s="236"/>
      <c r="VJ123" s="236"/>
      <c r="VK123" s="236"/>
      <c r="VL123" s="236"/>
      <c r="VM123" s="236"/>
      <c r="VN123" s="236"/>
      <c r="VO123" s="236"/>
      <c r="VP123" s="236"/>
      <c r="VQ123" s="236"/>
      <c r="VR123" s="236"/>
      <c r="VS123" s="236"/>
      <c r="VT123" s="236"/>
      <c r="VU123" s="236"/>
      <c r="VV123" s="236"/>
      <c r="VW123" s="236"/>
      <c r="VX123" s="236"/>
      <c r="VY123" s="236"/>
      <c r="VZ123" s="236"/>
      <c r="WA123" s="236"/>
      <c r="WB123" s="236"/>
      <c r="WC123" s="236"/>
      <c r="WD123" s="236"/>
      <c r="WE123" s="236"/>
      <c r="WF123" s="236"/>
      <c r="WG123" s="236"/>
      <c r="WH123" s="236"/>
      <c r="WI123" s="236"/>
      <c r="WJ123" s="236"/>
      <c r="WK123" s="236"/>
      <c r="WL123" s="236"/>
      <c r="WM123" s="236"/>
      <c r="WN123" s="236"/>
      <c r="WO123" s="236"/>
      <c r="WP123" s="236"/>
      <c r="WQ123" s="236"/>
      <c r="WR123" s="236"/>
      <c r="WS123" s="236"/>
      <c r="WT123" s="236"/>
      <c r="WU123" s="236"/>
      <c r="WV123" s="236"/>
      <c r="WW123" s="236"/>
      <c r="WX123" s="236"/>
      <c r="WY123" s="236"/>
      <c r="WZ123" s="236"/>
      <c r="XA123" s="236"/>
      <c r="XB123" s="236"/>
      <c r="XC123" s="236"/>
      <c r="XD123" s="236"/>
      <c r="XE123" s="236"/>
      <c r="XF123" s="236"/>
      <c r="XG123" s="236"/>
      <c r="XH123" s="236"/>
      <c r="XI123" s="236"/>
      <c r="XJ123" s="236"/>
      <c r="XK123" s="236"/>
      <c r="XL123" s="236"/>
      <c r="XM123" s="236"/>
      <c r="XN123" s="236"/>
      <c r="XO123" s="236"/>
      <c r="XP123" s="236"/>
      <c r="XQ123" s="236"/>
      <c r="XR123" s="236"/>
      <c r="XS123" s="236"/>
      <c r="XT123" s="236"/>
      <c r="XU123" s="236"/>
      <c r="XV123" s="236"/>
      <c r="XW123" s="236"/>
      <c r="XX123" s="236"/>
      <c r="XY123" s="236"/>
      <c r="XZ123" s="236"/>
      <c r="YA123" s="236"/>
      <c r="YB123" s="236"/>
      <c r="YC123" s="236"/>
      <c r="YD123" s="236"/>
      <c r="YE123" s="236"/>
      <c r="YF123" s="236"/>
      <c r="YG123" s="236"/>
      <c r="YH123" s="236"/>
      <c r="YI123" s="236"/>
      <c r="YJ123" s="236"/>
      <c r="YK123" s="236"/>
      <c r="YL123" s="236"/>
      <c r="YM123" s="236"/>
      <c r="YN123" s="236"/>
      <c r="YO123" s="236"/>
      <c r="YP123" s="236"/>
      <c r="YQ123" s="236"/>
      <c r="YR123" s="236"/>
      <c r="YS123" s="236"/>
      <c r="YT123" s="236"/>
      <c r="YU123" s="236"/>
      <c r="YV123" s="236"/>
      <c r="YW123" s="236"/>
      <c r="YX123" s="236"/>
      <c r="YY123" s="236"/>
      <c r="YZ123" s="236"/>
      <c r="ZA123" s="236"/>
      <c r="ZB123" s="236"/>
      <c r="ZC123" s="236"/>
      <c r="ZD123" s="236"/>
      <c r="ZE123" s="236"/>
      <c r="ZF123" s="236"/>
      <c r="ZG123" s="236"/>
      <c r="ZH123" s="236"/>
      <c r="ZI123" s="236"/>
      <c r="ZJ123" s="236"/>
      <c r="ZK123" s="236"/>
      <c r="ZL123" s="236"/>
      <c r="ZM123" s="236"/>
      <c r="ZN123" s="236"/>
      <c r="ZO123" s="236"/>
      <c r="ZP123" s="236"/>
      <c r="ZQ123" s="236"/>
      <c r="ZR123" s="236"/>
      <c r="ZS123" s="236"/>
      <c r="ZT123" s="236"/>
      <c r="ZU123" s="236"/>
      <c r="ZV123" s="236"/>
      <c r="ZW123" s="236"/>
      <c r="ZX123" s="236"/>
      <c r="ZY123" s="236"/>
      <c r="ZZ123" s="236"/>
      <c r="AAA123" s="236"/>
      <c r="AAB123" s="236"/>
      <c r="AAC123" s="236"/>
      <c r="AAD123" s="236"/>
      <c r="AAE123" s="236"/>
      <c r="AAF123" s="236"/>
      <c r="AAG123" s="236"/>
      <c r="AAH123" s="236"/>
      <c r="AAI123" s="236"/>
      <c r="AAJ123" s="236"/>
      <c r="AAK123" s="236"/>
      <c r="AAL123" s="236"/>
      <c r="AAM123" s="236"/>
      <c r="AAN123" s="236"/>
      <c r="AAO123" s="236"/>
      <c r="AAP123" s="236"/>
      <c r="AAQ123" s="236"/>
      <c r="AAR123" s="236"/>
      <c r="AAS123" s="236"/>
      <c r="AAT123" s="236"/>
      <c r="AAU123" s="236"/>
      <c r="AAV123" s="236"/>
      <c r="AAW123" s="236"/>
      <c r="AAX123" s="236"/>
      <c r="AAY123" s="236"/>
      <c r="AAZ123" s="236"/>
      <c r="ABA123" s="236"/>
      <c r="ABB123" s="236"/>
      <c r="ABC123" s="236"/>
      <c r="ABD123" s="236"/>
      <c r="ABE123" s="236"/>
      <c r="ABF123" s="236"/>
      <c r="ABG123" s="236"/>
      <c r="ABH123" s="236"/>
      <c r="ABI123" s="236"/>
      <c r="ABJ123" s="236"/>
      <c r="ABK123" s="236"/>
      <c r="ABL123" s="236"/>
      <c r="ABM123" s="236"/>
      <c r="ABN123" s="236"/>
      <c r="ABO123" s="236"/>
      <c r="ABP123" s="236"/>
      <c r="ABQ123" s="236"/>
      <c r="ABR123" s="236"/>
      <c r="ABS123" s="236"/>
      <c r="ABT123" s="236"/>
      <c r="ABU123" s="236"/>
      <c r="ABV123" s="236"/>
      <c r="ABW123" s="236"/>
      <c r="ABX123" s="236"/>
      <c r="ABY123" s="236"/>
      <c r="ABZ123" s="236"/>
      <c r="ACA123" s="236"/>
      <c r="ACB123" s="236"/>
      <c r="ACC123" s="236"/>
      <c r="ACD123" s="236"/>
      <c r="ACE123" s="236"/>
      <c r="ACF123" s="236"/>
      <c r="ACG123" s="236"/>
      <c r="ACH123" s="236"/>
      <c r="ACI123" s="236"/>
      <c r="ACJ123" s="236"/>
      <c r="ACK123" s="236"/>
      <c r="ACL123" s="236"/>
      <c r="ACM123" s="236"/>
      <c r="ACN123" s="236"/>
      <c r="ACO123" s="236"/>
      <c r="ACP123" s="236"/>
      <c r="ACQ123" s="236"/>
      <c r="ACR123" s="236"/>
      <c r="ACS123" s="236"/>
      <c r="ACT123" s="236"/>
      <c r="ACU123" s="236"/>
      <c r="ACV123" s="236"/>
      <c r="ACW123" s="236"/>
      <c r="ACX123" s="236"/>
      <c r="ACY123" s="236"/>
      <c r="ACZ123" s="236"/>
      <c r="ADA123" s="236"/>
      <c r="ADB123" s="236"/>
      <c r="ADC123" s="236"/>
      <c r="ADD123" s="236"/>
      <c r="ADE123" s="236"/>
      <c r="ADF123" s="236"/>
      <c r="ADG123" s="236"/>
      <c r="ADH123" s="236"/>
      <c r="ADI123" s="236"/>
      <c r="ADJ123" s="236"/>
      <c r="ADK123" s="236"/>
      <c r="ADL123" s="236"/>
      <c r="ADM123" s="236"/>
      <c r="ADN123" s="236"/>
      <c r="ADO123" s="236"/>
      <c r="ADP123" s="236"/>
      <c r="ADQ123" s="236"/>
      <c r="ADR123" s="236"/>
      <c r="ADS123" s="236"/>
      <c r="ADT123" s="236"/>
      <c r="ADU123" s="236"/>
      <c r="ADV123" s="236"/>
      <c r="ADW123" s="236"/>
      <c r="ADX123" s="236"/>
      <c r="ADY123" s="236"/>
      <c r="ADZ123" s="236"/>
      <c r="AEA123" s="236"/>
      <c r="AEB123" s="236"/>
      <c r="AEC123" s="236"/>
      <c r="AED123" s="236"/>
      <c r="AEE123" s="236"/>
      <c r="AEF123" s="236"/>
      <c r="AEG123" s="236"/>
      <c r="AEH123" s="236"/>
      <c r="AEI123" s="236"/>
      <c r="AEJ123" s="236"/>
      <c r="AEK123" s="236"/>
      <c r="AEL123" s="236"/>
      <c r="AEM123" s="236"/>
      <c r="AEN123" s="236"/>
      <c r="AEO123" s="236"/>
      <c r="AEP123" s="236"/>
      <c r="AEQ123" s="236"/>
      <c r="AER123" s="236"/>
      <c r="AES123" s="236"/>
      <c r="AET123" s="236"/>
      <c r="AEU123" s="236"/>
      <c r="AEV123" s="236"/>
      <c r="AEW123" s="236"/>
      <c r="AEX123" s="236"/>
      <c r="AEY123" s="236"/>
      <c r="AEZ123" s="236"/>
      <c r="AFA123" s="236"/>
      <c r="AFB123" s="236"/>
      <c r="AFC123" s="236"/>
      <c r="AFD123" s="236"/>
      <c r="AFE123" s="236"/>
      <c r="AFF123" s="236"/>
      <c r="AFG123" s="236"/>
      <c r="AFH123" s="236"/>
      <c r="AFI123" s="236"/>
      <c r="AFJ123" s="236"/>
      <c r="AFK123" s="236"/>
      <c r="AFL123" s="236"/>
      <c r="AFM123" s="236"/>
      <c r="AFN123" s="236"/>
      <c r="AFO123" s="236"/>
      <c r="AFP123" s="236"/>
      <c r="AFQ123" s="236"/>
      <c r="AFR123" s="236"/>
      <c r="AFS123" s="236"/>
      <c r="AFT123" s="236"/>
      <c r="AFU123" s="236"/>
      <c r="AFV123" s="236"/>
      <c r="AFW123" s="236"/>
      <c r="AFX123" s="236"/>
      <c r="AFY123" s="236"/>
      <c r="AFZ123" s="236"/>
      <c r="AGA123" s="236"/>
      <c r="AGB123" s="236"/>
      <c r="AGC123" s="236"/>
      <c r="AGD123" s="236"/>
      <c r="AGE123" s="236"/>
      <c r="AGF123" s="236"/>
      <c r="AGG123" s="236"/>
      <c r="AGH123" s="236"/>
      <c r="AGI123" s="236"/>
      <c r="AGJ123" s="236"/>
      <c r="AGK123" s="236"/>
      <c r="AGL123" s="236"/>
      <c r="AGM123" s="236"/>
      <c r="AGN123" s="236"/>
      <c r="AGO123" s="236"/>
      <c r="AGP123" s="236"/>
      <c r="AGQ123" s="236"/>
      <c r="AGR123" s="236"/>
      <c r="AGS123" s="236"/>
      <c r="AGT123" s="236"/>
      <c r="AGU123" s="236"/>
      <c r="AGV123" s="236"/>
      <c r="AGW123" s="236"/>
      <c r="AGX123" s="236"/>
      <c r="AGY123" s="236"/>
      <c r="AGZ123" s="236"/>
      <c r="AHA123" s="236"/>
      <c r="AHB123" s="236"/>
      <c r="AHC123" s="236"/>
      <c r="AHD123" s="236"/>
      <c r="AHE123" s="236"/>
      <c r="AHF123" s="236"/>
      <c r="AHG123" s="236"/>
      <c r="AHH123" s="236"/>
      <c r="AHI123" s="236"/>
      <c r="AHJ123" s="236"/>
      <c r="AHK123" s="236"/>
      <c r="AHL123" s="236"/>
      <c r="AHM123" s="236"/>
      <c r="AHN123" s="236"/>
      <c r="AHO123" s="236"/>
      <c r="AHP123" s="236"/>
      <c r="AHQ123" s="236"/>
      <c r="AHR123" s="236"/>
      <c r="AHS123" s="236"/>
      <c r="AHT123" s="236"/>
      <c r="AHU123" s="236"/>
      <c r="AHV123" s="236"/>
      <c r="AHW123" s="236"/>
      <c r="AHX123" s="236"/>
      <c r="AHY123" s="236"/>
      <c r="AHZ123" s="236"/>
      <c r="AIA123" s="236"/>
      <c r="AIB123" s="236"/>
      <c r="AIC123" s="236"/>
      <c r="AID123" s="236"/>
      <c r="AIE123" s="236"/>
      <c r="AIF123" s="236"/>
      <c r="AIG123" s="236"/>
      <c r="AIH123" s="236"/>
      <c r="AII123" s="236"/>
      <c r="AIJ123" s="236"/>
      <c r="AIK123" s="236"/>
      <c r="AIL123" s="236"/>
      <c r="AIM123" s="236"/>
      <c r="AIN123" s="236"/>
      <c r="AIO123" s="236"/>
      <c r="AIP123" s="236"/>
      <c r="AIQ123" s="236"/>
      <c r="AIR123" s="236"/>
      <c r="AIS123" s="236"/>
      <c r="AIT123" s="236"/>
      <c r="AIU123" s="236"/>
      <c r="AIV123" s="236"/>
      <c r="AIW123" s="236"/>
      <c r="AIX123" s="236"/>
      <c r="AIY123" s="236"/>
      <c r="AIZ123" s="236"/>
      <c r="AJA123" s="236"/>
      <c r="AJB123" s="236"/>
      <c r="AJC123" s="236"/>
      <c r="AJD123" s="236"/>
      <c r="AJE123" s="236"/>
      <c r="AJF123" s="236"/>
      <c r="AJG123" s="236"/>
      <c r="AJH123" s="236"/>
      <c r="AJI123" s="236"/>
      <c r="AJJ123" s="236"/>
      <c r="AJK123" s="236"/>
      <c r="AJL123" s="236"/>
      <c r="AJM123" s="236"/>
      <c r="AJN123" s="236"/>
      <c r="AJO123" s="236"/>
      <c r="AJP123" s="236"/>
      <c r="AJQ123" s="236"/>
      <c r="AJR123" s="236"/>
      <c r="AJS123" s="236"/>
      <c r="AJT123" s="236"/>
      <c r="AJU123" s="236"/>
      <c r="AJV123" s="236"/>
      <c r="AJW123" s="236"/>
      <c r="AJX123" s="236"/>
      <c r="AJY123" s="236"/>
      <c r="AJZ123" s="236"/>
      <c r="AKA123" s="236"/>
      <c r="AKB123" s="236"/>
      <c r="AKC123" s="236"/>
      <c r="AKD123" s="236"/>
      <c r="AKE123" s="236"/>
      <c r="AKF123" s="236"/>
      <c r="AKG123" s="236"/>
      <c r="AKH123" s="236"/>
      <c r="AKI123" s="236"/>
      <c r="AKJ123" s="236"/>
      <c r="AKK123" s="236"/>
      <c r="AKL123" s="236"/>
      <c r="AKM123" s="236"/>
      <c r="AKN123" s="236"/>
      <c r="AKO123" s="236"/>
      <c r="AKP123" s="236"/>
      <c r="AKQ123" s="236"/>
      <c r="AKR123" s="236"/>
      <c r="AKS123" s="236"/>
      <c r="AKT123" s="236"/>
      <c r="AKU123" s="236"/>
      <c r="AKV123" s="236"/>
      <c r="AKW123" s="236"/>
      <c r="AKX123" s="236"/>
      <c r="AKY123" s="236"/>
      <c r="AKZ123" s="236"/>
      <c r="ALA123" s="236"/>
      <c r="ALB123" s="236"/>
      <c r="ALC123" s="236"/>
      <c r="ALD123" s="236"/>
      <c r="ALE123" s="236"/>
      <c r="ALF123" s="236"/>
      <c r="ALG123" s="236"/>
      <c r="ALH123" s="236"/>
      <c r="ALI123" s="236"/>
      <c r="ALJ123" s="236"/>
      <c r="ALK123" s="236"/>
      <c r="ALL123" s="236"/>
      <c r="ALM123" s="236"/>
      <c r="ALN123" s="236"/>
      <c r="ALO123" s="236"/>
      <c r="ALP123" s="236"/>
      <c r="ALQ123" s="236"/>
      <c r="ALR123" s="236"/>
      <c r="ALS123" s="236"/>
      <c r="ALT123" s="236"/>
      <c r="ALU123" s="236"/>
      <c r="ALV123" s="236"/>
      <c r="ALW123" s="236"/>
      <c r="ALX123" s="236"/>
      <c r="ALY123" s="236"/>
      <c r="ALZ123" s="236"/>
      <c r="AMA123" s="236"/>
      <c r="AMB123" s="236"/>
      <c r="AMC123" s="236"/>
      <c r="AMD123" s="236"/>
      <c r="AME123" s="236"/>
      <c r="AMF123" s="236"/>
      <c r="AMG123" s="236"/>
      <c r="AMH123" s="236"/>
      <c r="AMI123" s="236"/>
      <c r="AMJ123" s="236"/>
      <c r="AMK123" s="236"/>
      <c r="AML123" s="236"/>
      <c r="AMM123" s="236"/>
    </row>
    <row r="124" spans="1:1027" s="243" customFormat="1" ht="56.25" customHeight="1">
      <c r="A124" s="1415" t="s">
        <v>4288</v>
      </c>
      <c r="B124" s="1416"/>
      <c r="C124" s="1416"/>
      <c r="D124" s="1416"/>
      <c r="E124" s="1416"/>
      <c r="F124" s="1416"/>
      <c r="G124" s="1416"/>
      <c r="H124" s="1416"/>
      <c r="I124" s="1416"/>
      <c r="J124" s="1416"/>
      <c r="K124" s="1416"/>
      <c r="L124" s="1417"/>
      <c r="M124" s="285"/>
      <c r="N124" s="1409" t="s">
        <v>198</v>
      </c>
      <c r="O124" s="1410"/>
      <c r="P124" s="1410"/>
      <c r="Q124" s="1410"/>
      <c r="R124" s="1411"/>
      <c r="S124" s="341"/>
      <c r="T124" s="341"/>
      <c r="U124" s="341"/>
      <c r="V124" s="1409" t="s">
        <v>3291</v>
      </c>
      <c r="W124" s="1410"/>
      <c r="X124" s="1410"/>
      <c r="Y124" s="1410"/>
      <c r="Z124" s="1411"/>
      <c r="AA124" s="1077"/>
      <c r="AB124" s="1342" t="s">
        <v>3307</v>
      </c>
      <c r="AC124" s="1344"/>
      <c r="AD124" s="1399"/>
      <c r="AE124" s="1408"/>
      <c r="AF124" s="1408"/>
      <c r="AG124" s="1408"/>
      <c r="AH124" s="1408"/>
      <c r="AI124" s="1408"/>
      <c r="AJ124" s="1408"/>
      <c r="AK124" s="1408"/>
      <c r="AL124" s="1408"/>
      <c r="AM124" s="1408"/>
      <c r="AN124" s="1400"/>
      <c r="AO124" s="245"/>
      <c r="AP124" s="245"/>
      <c r="AQ124" s="245"/>
      <c r="AR124" s="245"/>
      <c r="AS124" s="245"/>
      <c r="AT124" s="245"/>
      <c r="AU124" s="245"/>
      <c r="AV124" s="245"/>
      <c r="AW124" s="245"/>
      <c r="AX124" s="245"/>
    </row>
    <row r="125" spans="1:1027" s="243" customFormat="1" ht="63.75" customHeight="1">
      <c r="A125" s="1415"/>
      <c r="B125" s="1416"/>
      <c r="C125" s="1416"/>
      <c r="D125" s="1416"/>
      <c r="E125" s="1416"/>
      <c r="F125" s="1416"/>
      <c r="G125" s="1416"/>
      <c r="H125" s="1416"/>
      <c r="I125" s="1416"/>
      <c r="J125" s="1416"/>
      <c r="K125" s="1416"/>
      <c r="L125" s="1417"/>
      <c r="M125" s="285"/>
      <c r="N125" s="1409" t="s">
        <v>221</v>
      </c>
      <c r="O125" s="1410"/>
      <c r="P125" s="1410"/>
      <c r="Q125" s="1410"/>
      <c r="R125" s="1411"/>
      <c r="S125" s="341"/>
      <c r="T125" s="341"/>
      <c r="U125" s="341"/>
      <c r="V125" s="1409" t="s">
        <v>396</v>
      </c>
      <c r="W125" s="1410"/>
      <c r="X125" s="1410"/>
      <c r="Y125" s="1410"/>
      <c r="Z125" s="1411"/>
      <c r="AA125" s="1077"/>
      <c r="AB125" s="1342" t="s">
        <v>692</v>
      </c>
      <c r="AC125" s="1344"/>
      <c r="AD125" s="1399"/>
      <c r="AE125" s="1408"/>
      <c r="AF125" s="1408"/>
      <c r="AG125" s="1408"/>
      <c r="AH125" s="1408"/>
      <c r="AI125" s="1408"/>
      <c r="AJ125" s="1408"/>
      <c r="AK125" s="1408"/>
      <c r="AL125" s="1408"/>
      <c r="AM125" s="1408"/>
      <c r="AN125" s="1400"/>
      <c r="AO125" s="245"/>
      <c r="AP125" s="245"/>
      <c r="AQ125" s="245"/>
      <c r="AR125" s="245"/>
      <c r="AS125" s="245"/>
      <c r="AT125" s="245"/>
      <c r="AU125" s="245"/>
      <c r="AV125" s="245"/>
      <c r="AW125" s="245"/>
      <c r="AX125" s="245"/>
    </row>
    <row r="126" spans="1:1027" s="243" customFormat="1" ht="53.25" customHeight="1">
      <c r="A126" s="1415"/>
      <c r="B126" s="1416"/>
      <c r="C126" s="1416"/>
      <c r="D126" s="1416"/>
      <c r="E126" s="1416"/>
      <c r="F126" s="1416"/>
      <c r="G126" s="1416"/>
      <c r="H126" s="1416"/>
      <c r="I126" s="1416"/>
      <c r="J126" s="1416"/>
      <c r="K126" s="1416"/>
      <c r="L126" s="1417"/>
      <c r="M126" s="285"/>
      <c r="N126" s="1409" t="s">
        <v>41</v>
      </c>
      <c r="O126" s="1410"/>
      <c r="P126" s="1410"/>
      <c r="Q126" s="1410"/>
      <c r="R126" s="1411"/>
      <c r="S126" s="341"/>
      <c r="T126" s="341"/>
      <c r="U126" s="341"/>
      <c r="V126" s="1409" t="s">
        <v>3293</v>
      </c>
      <c r="W126" s="1410"/>
      <c r="X126" s="1410"/>
      <c r="Y126" s="1410"/>
      <c r="Z126" s="1411"/>
      <c r="AA126" s="1077"/>
      <c r="AB126" s="1342" t="s">
        <v>3308</v>
      </c>
      <c r="AC126" s="1344"/>
      <c r="AD126" s="1399"/>
      <c r="AE126" s="1408"/>
      <c r="AF126" s="1408"/>
      <c r="AG126" s="1408"/>
      <c r="AH126" s="1408"/>
      <c r="AI126" s="1408"/>
      <c r="AJ126" s="1408"/>
      <c r="AK126" s="1408"/>
      <c r="AL126" s="1408"/>
      <c r="AM126" s="1408"/>
      <c r="AN126" s="1400"/>
      <c r="AO126" s="245"/>
      <c r="AP126" s="245"/>
      <c r="AQ126" s="245"/>
      <c r="AR126" s="245"/>
      <c r="AS126" s="245"/>
      <c r="AT126" s="245"/>
      <c r="AU126" s="245"/>
      <c r="AV126" s="245"/>
      <c r="AW126" s="245"/>
      <c r="AX126" s="245"/>
    </row>
    <row r="127" spans="1:1027" s="243" customFormat="1" ht="51.75" customHeight="1">
      <c r="A127" s="1415"/>
      <c r="B127" s="1416"/>
      <c r="C127" s="1416"/>
      <c r="D127" s="1416"/>
      <c r="E127" s="1416"/>
      <c r="F127" s="1416"/>
      <c r="G127" s="1416"/>
      <c r="H127" s="1416"/>
      <c r="I127" s="1416"/>
      <c r="J127" s="1416"/>
      <c r="K127" s="1416"/>
      <c r="L127" s="1417"/>
      <c r="M127" s="285"/>
      <c r="N127" s="1409" t="s">
        <v>39</v>
      </c>
      <c r="O127" s="1410"/>
      <c r="P127" s="1410"/>
      <c r="Q127" s="1410"/>
      <c r="R127" s="1411"/>
      <c r="S127" s="341"/>
      <c r="T127" s="341"/>
      <c r="U127" s="341"/>
      <c r="V127" s="1409" t="s">
        <v>693</v>
      </c>
      <c r="W127" s="1410"/>
      <c r="X127" s="1410"/>
      <c r="Y127" s="1410"/>
      <c r="Z127" s="1411"/>
      <c r="AA127" s="1077"/>
      <c r="AB127" s="1342" t="s">
        <v>694</v>
      </c>
      <c r="AC127" s="1344"/>
      <c r="AD127" s="1399"/>
      <c r="AE127" s="1408"/>
      <c r="AF127" s="1408"/>
      <c r="AG127" s="1408"/>
      <c r="AH127" s="1408"/>
      <c r="AI127" s="1408"/>
      <c r="AJ127" s="1408"/>
      <c r="AK127" s="1408"/>
      <c r="AL127" s="1408"/>
      <c r="AM127" s="1408"/>
      <c r="AN127" s="1400"/>
      <c r="AO127" s="245"/>
      <c r="AP127" s="245"/>
      <c r="AQ127" s="245"/>
      <c r="AR127" s="245"/>
      <c r="AS127" s="245"/>
      <c r="AT127" s="245"/>
      <c r="AU127" s="245"/>
      <c r="AV127" s="245"/>
      <c r="AW127" s="245"/>
      <c r="AX127" s="245"/>
    </row>
    <row r="128" spans="1:1027" s="243" customFormat="1" ht="30" customHeight="1">
      <c r="A128" s="300"/>
      <c r="B128" s="300"/>
      <c r="C128" s="300"/>
      <c r="D128" s="300"/>
      <c r="E128" s="300"/>
      <c r="F128" s="300"/>
      <c r="G128" s="300"/>
      <c r="H128" s="300"/>
      <c r="I128" s="300"/>
      <c r="J128" s="300"/>
      <c r="K128" s="300"/>
      <c r="L128" s="300"/>
      <c r="M128" s="285"/>
      <c r="N128" s="1405"/>
      <c r="O128" s="1405"/>
      <c r="P128" s="1405"/>
      <c r="Q128" s="1405"/>
      <c r="R128" s="1405"/>
      <c r="S128" s="415"/>
      <c r="T128" s="415"/>
      <c r="U128" s="415"/>
      <c r="V128" s="1405"/>
      <c r="W128" s="1405"/>
      <c r="X128" s="1405"/>
      <c r="Y128" s="1405"/>
      <c r="Z128" s="1405"/>
      <c r="AA128" s="1079"/>
      <c r="AB128" s="1349"/>
      <c r="AC128" s="1349"/>
      <c r="AD128" s="1406"/>
      <c r="AE128" s="1406"/>
      <c r="AF128" s="1406"/>
      <c r="AG128" s="1406"/>
      <c r="AH128" s="1406"/>
      <c r="AI128" s="1406"/>
      <c r="AJ128" s="1406"/>
      <c r="AK128" s="1406"/>
      <c r="AL128" s="1406"/>
      <c r="AM128" s="1406"/>
      <c r="AN128" s="245"/>
      <c r="AO128" s="245"/>
      <c r="AP128" s="245"/>
      <c r="AQ128" s="245"/>
      <c r="AR128" s="245"/>
      <c r="AS128" s="245"/>
      <c r="AT128" s="245"/>
      <c r="AU128" s="245"/>
      <c r="AV128" s="245"/>
      <c r="AW128" s="245"/>
      <c r="AX128" s="245"/>
    </row>
    <row r="129" spans="1:50">
      <c r="A129" s="233"/>
      <c r="B129" s="233"/>
      <c r="C129" s="233"/>
      <c r="D129" s="233"/>
      <c r="E129" s="233"/>
      <c r="F129" s="233"/>
      <c r="G129" s="233"/>
      <c r="H129" s="233"/>
      <c r="I129" s="233"/>
      <c r="J129" s="233"/>
      <c r="K129" s="233"/>
      <c r="L129" s="233"/>
      <c r="M129" s="233"/>
      <c r="N129" s="1407"/>
      <c r="O129" s="1407"/>
      <c r="P129" s="1407"/>
      <c r="Q129" s="1407"/>
      <c r="R129" s="1407"/>
      <c r="S129" s="285"/>
      <c r="T129" s="285"/>
      <c r="U129" s="285"/>
      <c r="V129" s="1407"/>
      <c r="W129" s="1407"/>
      <c r="X129" s="1407"/>
      <c r="Y129" s="1407"/>
      <c r="Z129" s="1407"/>
      <c r="AA129" s="1080"/>
      <c r="AB129" s="797"/>
      <c r="AC129" s="797"/>
      <c r="AD129" s="285"/>
      <c r="AE129" s="285"/>
      <c r="AF129" s="285"/>
      <c r="AG129" s="285"/>
      <c r="AH129" s="285"/>
      <c r="AI129" s="285"/>
      <c r="AJ129" s="285"/>
      <c r="AK129" s="285"/>
      <c r="AL129" s="285"/>
      <c r="AM129" s="285"/>
      <c r="AN129" s="233"/>
      <c r="AO129" s="233"/>
      <c r="AP129" s="233"/>
      <c r="AQ129" s="233"/>
      <c r="AR129" s="233"/>
      <c r="AS129" s="233"/>
      <c r="AT129" s="233"/>
      <c r="AU129" s="233"/>
      <c r="AV129" s="233"/>
      <c r="AW129" s="233"/>
      <c r="AX129" s="233"/>
    </row>
    <row r="130" spans="1:50">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1076"/>
      <c r="AB130" s="233"/>
      <c r="AC130" s="233"/>
      <c r="AD130" s="233"/>
      <c r="AE130" s="233"/>
      <c r="AF130" s="233"/>
      <c r="AG130" s="233"/>
      <c r="AH130" s="233"/>
      <c r="AI130" s="233"/>
      <c r="AJ130" s="233"/>
      <c r="AK130" s="233"/>
      <c r="AL130" s="233"/>
      <c r="AM130" s="233"/>
    </row>
    <row r="131" spans="1:50">
      <c r="N131" s="233"/>
      <c r="O131" s="233"/>
      <c r="P131" s="233"/>
      <c r="Q131" s="233"/>
      <c r="R131" s="233"/>
      <c r="S131" s="233"/>
      <c r="T131" s="233"/>
      <c r="U131" s="233"/>
      <c r="V131" s="233"/>
      <c r="W131" s="233"/>
      <c r="X131" s="233"/>
      <c r="Y131" s="233"/>
      <c r="Z131" s="233"/>
      <c r="AA131" s="1076"/>
      <c r="AB131" s="233"/>
      <c r="AC131" s="233"/>
      <c r="AD131" s="233"/>
      <c r="AE131" s="233"/>
      <c r="AF131" s="233"/>
      <c r="AG131" s="233"/>
      <c r="AH131" s="233"/>
      <c r="AI131" s="233"/>
      <c r="AJ131" s="233"/>
      <c r="AK131" s="233"/>
      <c r="AL131" s="233"/>
      <c r="AM131" s="233"/>
    </row>
  </sheetData>
  <sheetProtection formatCells="0" formatColumns="0" formatRows="0" insertRows="0" deleteColumns="0" sort="0" autoFilter="0"/>
  <mergeCells count="530">
    <mergeCell ref="AW1:AX4"/>
    <mergeCell ref="G2:V2"/>
    <mergeCell ref="AP2:AQ2"/>
    <mergeCell ref="AR2:AS2"/>
    <mergeCell ref="A3:A4"/>
    <mergeCell ref="G3:H3"/>
    <mergeCell ref="I3:N3"/>
    <mergeCell ref="O3:V3"/>
    <mergeCell ref="Z3:AB4"/>
    <mergeCell ref="AC3:AC4"/>
    <mergeCell ref="G1:V1"/>
    <mergeCell ref="X1:Y4"/>
    <mergeCell ref="Z1:AB2"/>
    <mergeCell ref="AC1:AC2"/>
    <mergeCell ref="AD1:AN2"/>
    <mergeCell ref="AP1:AS1"/>
    <mergeCell ref="AD3:AN4"/>
    <mergeCell ref="AP3:AQ3"/>
    <mergeCell ref="AR3:AS3"/>
    <mergeCell ref="G4:H4"/>
    <mergeCell ref="I4:N4"/>
    <mergeCell ref="O4:V4"/>
    <mergeCell ref="AP4:AQ4"/>
    <mergeCell ref="AR4:AS4"/>
    <mergeCell ref="AT6:AX6"/>
    <mergeCell ref="A7:A8"/>
    <mergeCell ref="B7:B8"/>
    <mergeCell ref="C7:E8"/>
    <mergeCell ref="F7:F8"/>
    <mergeCell ref="G7:I8"/>
    <mergeCell ref="J7:L8"/>
    <mergeCell ref="M7:P7"/>
    <mergeCell ref="Q7:V7"/>
    <mergeCell ref="X7:Z8"/>
    <mergeCell ref="AU7:AU8"/>
    <mergeCell ref="AV7:AV8"/>
    <mergeCell ref="AW7:AW8"/>
    <mergeCell ref="AX7:AX8"/>
    <mergeCell ref="AT7:AT8"/>
    <mergeCell ref="A6:P6"/>
    <mergeCell ref="Q6:V6"/>
    <mergeCell ref="X6:AM6"/>
    <mergeCell ref="AA7:AA8"/>
    <mergeCell ref="C9:E9"/>
    <mergeCell ref="G9:I9"/>
    <mergeCell ref="J9:L9"/>
    <mergeCell ref="X9:Z9"/>
    <mergeCell ref="AO7:AO8"/>
    <mergeCell ref="AP7:AP8"/>
    <mergeCell ref="AQ7:AQ8"/>
    <mergeCell ref="AR7:AR8"/>
    <mergeCell ref="AS7:AS8"/>
    <mergeCell ref="AB7:AB8"/>
    <mergeCell ref="AC7:AC8"/>
    <mergeCell ref="AD7:AD8"/>
    <mergeCell ref="AE7:AE8"/>
    <mergeCell ref="AI7:AM7"/>
    <mergeCell ref="AN7:AN8"/>
    <mergeCell ref="C12:E12"/>
    <mergeCell ref="G12:I12"/>
    <mergeCell ref="J12:L12"/>
    <mergeCell ref="X12:Z12"/>
    <mergeCell ref="C13:E13"/>
    <mergeCell ref="G13:I13"/>
    <mergeCell ref="J13:L13"/>
    <mergeCell ref="X13:Z13"/>
    <mergeCell ref="C10:E10"/>
    <mergeCell ref="G10:I10"/>
    <mergeCell ref="J10:L10"/>
    <mergeCell ref="X10:Z10"/>
    <mergeCell ref="C11:E11"/>
    <mergeCell ref="G11:I11"/>
    <mergeCell ref="J11:L11"/>
    <mergeCell ref="X11:Z11"/>
    <mergeCell ref="C16:E16"/>
    <mergeCell ref="G16:I16"/>
    <mergeCell ref="J16:L16"/>
    <mergeCell ref="X16:Z16"/>
    <mergeCell ref="C17:E17"/>
    <mergeCell ref="G17:I17"/>
    <mergeCell ref="J17:L17"/>
    <mergeCell ref="X17:Z17"/>
    <mergeCell ref="C14:E14"/>
    <mergeCell ref="G14:I14"/>
    <mergeCell ref="J14:L14"/>
    <mergeCell ref="X14:Z14"/>
    <mergeCell ref="C15:E15"/>
    <mergeCell ref="G15:I15"/>
    <mergeCell ref="J15:L15"/>
    <mergeCell ref="X15:Z15"/>
    <mergeCell ref="C20:E20"/>
    <mergeCell ref="G20:I20"/>
    <mergeCell ref="J20:L20"/>
    <mergeCell ref="X20:Z20"/>
    <mergeCell ref="C21:E21"/>
    <mergeCell ref="G21:I21"/>
    <mergeCell ref="J21:L21"/>
    <mergeCell ref="X21:Z21"/>
    <mergeCell ref="C18:E18"/>
    <mergeCell ref="G18:I18"/>
    <mergeCell ref="J18:L18"/>
    <mergeCell ref="X18:Z18"/>
    <mergeCell ref="C19:E19"/>
    <mergeCell ref="G19:I19"/>
    <mergeCell ref="J19:L19"/>
    <mergeCell ref="X19:Z19"/>
    <mergeCell ref="C24:E24"/>
    <mergeCell ref="G24:I24"/>
    <mergeCell ref="J24:L24"/>
    <mergeCell ref="X24:Z24"/>
    <mergeCell ref="C25:E25"/>
    <mergeCell ref="G25:I25"/>
    <mergeCell ref="J25:L25"/>
    <mergeCell ref="X25:Z25"/>
    <mergeCell ref="C22:E22"/>
    <mergeCell ref="G22:I22"/>
    <mergeCell ref="J22:L22"/>
    <mergeCell ref="X22:Z22"/>
    <mergeCell ref="C23:E23"/>
    <mergeCell ref="G23:I23"/>
    <mergeCell ref="J23:L23"/>
    <mergeCell ref="X23:Z23"/>
    <mergeCell ref="C28:E28"/>
    <mergeCell ref="G28:I28"/>
    <mergeCell ref="J28:L28"/>
    <mergeCell ref="X28:Z28"/>
    <mergeCell ref="C29:E29"/>
    <mergeCell ref="G29:I29"/>
    <mergeCell ref="J29:L29"/>
    <mergeCell ref="X29:Z29"/>
    <mergeCell ref="C26:E26"/>
    <mergeCell ref="G26:I26"/>
    <mergeCell ref="J26:L26"/>
    <mergeCell ref="X26:Z26"/>
    <mergeCell ref="C27:E27"/>
    <mergeCell ref="G27:I27"/>
    <mergeCell ref="J27:L27"/>
    <mergeCell ref="X27:Z27"/>
    <mergeCell ref="C32:E32"/>
    <mergeCell ref="G32:I32"/>
    <mergeCell ref="J32:L32"/>
    <mergeCell ref="X32:Z32"/>
    <mergeCell ref="C33:E33"/>
    <mergeCell ref="G33:I33"/>
    <mergeCell ref="J33:L33"/>
    <mergeCell ref="X33:Z33"/>
    <mergeCell ref="C30:E30"/>
    <mergeCell ref="G30:I30"/>
    <mergeCell ref="J30:L30"/>
    <mergeCell ref="X30:Z30"/>
    <mergeCell ref="C31:E31"/>
    <mergeCell ref="G31:I31"/>
    <mergeCell ref="J31:L31"/>
    <mergeCell ref="X31:Z31"/>
    <mergeCell ref="C36:E36"/>
    <mergeCell ref="G36:I36"/>
    <mergeCell ref="J36:L36"/>
    <mergeCell ref="X36:Z36"/>
    <mergeCell ref="C37:E37"/>
    <mergeCell ref="G37:I37"/>
    <mergeCell ref="J37:L37"/>
    <mergeCell ref="X37:Z37"/>
    <mergeCell ref="C34:E34"/>
    <mergeCell ref="G34:I34"/>
    <mergeCell ref="J34:L34"/>
    <mergeCell ref="X34:Z34"/>
    <mergeCell ref="C35:E35"/>
    <mergeCell ref="G35:I35"/>
    <mergeCell ref="J35:L35"/>
    <mergeCell ref="X35:Z35"/>
    <mergeCell ref="C40:E40"/>
    <mergeCell ref="G40:I40"/>
    <mergeCell ref="J40:L40"/>
    <mergeCell ref="X40:Z40"/>
    <mergeCell ref="C41:E41"/>
    <mergeCell ref="G41:I41"/>
    <mergeCell ref="J41:L41"/>
    <mergeCell ref="X41:Z41"/>
    <mergeCell ref="C38:E38"/>
    <mergeCell ref="G38:I38"/>
    <mergeCell ref="J38:L38"/>
    <mergeCell ref="X38:Z38"/>
    <mergeCell ref="C39:E39"/>
    <mergeCell ref="G39:I39"/>
    <mergeCell ref="J39:L39"/>
    <mergeCell ref="X39:Z39"/>
    <mergeCell ref="C44:E44"/>
    <mergeCell ref="G44:I44"/>
    <mergeCell ref="J44:L44"/>
    <mergeCell ref="X44:Z44"/>
    <mergeCell ref="C45:E45"/>
    <mergeCell ref="G45:I45"/>
    <mergeCell ref="J45:L45"/>
    <mergeCell ref="X45:Z45"/>
    <mergeCell ref="C42:E42"/>
    <mergeCell ref="G42:I42"/>
    <mergeCell ref="J42:L42"/>
    <mergeCell ref="X42:Z42"/>
    <mergeCell ref="C43:E43"/>
    <mergeCell ref="G43:I43"/>
    <mergeCell ref="J43:L43"/>
    <mergeCell ref="X43:Z43"/>
    <mergeCell ref="C48:E48"/>
    <mergeCell ref="G48:I48"/>
    <mergeCell ref="J48:L48"/>
    <mergeCell ref="X48:Z48"/>
    <mergeCell ref="C49:E49"/>
    <mergeCell ref="G49:I49"/>
    <mergeCell ref="J49:L49"/>
    <mergeCell ref="X49:Z49"/>
    <mergeCell ref="C46:E46"/>
    <mergeCell ref="G46:I46"/>
    <mergeCell ref="J46:L46"/>
    <mergeCell ref="X46:Z46"/>
    <mergeCell ref="C47:E47"/>
    <mergeCell ref="G47:I47"/>
    <mergeCell ref="J47:L47"/>
    <mergeCell ref="X47:Z47"/>
    <mergeCell ref="C52:E52"/>
    <mergeCell ref="G52:I52"/>
    <mergeCell ref="J52:L52"/>
    <mergeCell ref="X52:Z52"/>
    <mergeCell ref="C53:E53"/>
    <mergeCell ref="G53:I53"/>
    <mergeCell ref="J53:L53"/>
    <mergeCell ref="X53:Z53"/>
    <mergeCell ref="C50:E50"/>
    <mergeCell ref="G50:I50"/>
    <mergeCell ref="J50:L50"/>
    <mergeCell ref="X50:Z50"/>
    <mergeCell ref="C51:E51"/>
    <mergeCell ref="G51:I51"/>
    <mergeCell ref="J51:L51"/>
    <mergeCell ref="X51:Z51"/>
    <mergeCell ref="C56:E56"/>
    <mergeCell ref="G56:I56"/>
    <mergeCell ref="J56:L56"/>
    <mergeCell ref="X56:Z56"/>
    <mergeCell ref="C57:E57"/>
    <mergeCell ref="G57:I57"/>
    <mergeCell ref="J57:L57"/>
    <mergeCell ref="X57:Z57"/>
    <mergeCell ref="C54:E54"/>
    <mergeCell ref="G54:I54"/>
    <mergeCell ref="J54:L54"/>
    <mergeCell ref="X54:Z54"/>
    <mergeCell ref="C55:E55"/>
    <mergeCell ref="G55:I55"/>
    <mergeCell ref="J55:L55"/>
    <mergeCell ref="X55:Z55"/>
    <mergeCell ref="C60:E60"/>
    <mergeCell ref="G60:I60"/>
    <mergeCell ref="J60:L60"/>
    <mergeCell ref="X60:Z60"/>
    <mergeCell ref="C61:E61"/>
    <mergeCell ref="G61:I61"/>
    <mergeCell ref="J61:L61"/>
    <mergeCell ref="X61:Z61"/>
    <mergeCell ref="C58:E58"/>
    <mergeCell ref="G58:I58"/>
    <mergeCell ref="J58:L58"/>
    <mergeCell ref="X58:Z58"/>
    <mergeCell ref="C59:E59"/>
    <mergeCell ref="G59:I59"/>
    <mergeCell ref="J59:L59"/>
    <mergeCell ref="X59:Z59"/>
    <mergeCell ref="C64:E64"/>
    <mergeCell ref="G64:I64"/>
    <mergeCell ref="J64:L64"/>
    <mergeCell ref="X64:Z64"/>
    <mergeCell ref="C65:E65"/>
    <mergeCell ref="G65:I65"/>
    <mergeCell ref="J65:L65"/>
    <mergeCell ref="X65:Z65"/>
    <mergeCell ref="C62:E62"/>
    <mergeCell ref="G62:I62"/>
    <mergeCell ref="J62:L62"/>
    <mergeCell ref="X62:Z62"/>
    <mergeCell ref="C63:E63"/>
    <mergeCell ref="G63:I63"/>
    <mergeCell ref="J63:L63"/>
    <mergeCell ref="X63:Z63"/>
    <mergeCell ref="C68:E68"/>
    <mergeCell ref="G68:I68"/>
    <mergeCell ref="J68:L68"/>
    <mergeCell ref="X68:Z68"/>
    <mergeCell ref="C69:E69"/>
    <mergeCell ref="G69:I69"/>
    <mergeCell ref="J69:L69"/>
    <mergeCell ref="X69:Z69"/>
    <mergeCell ref="C66:E66"/>
    <mergeCell ref="G66:I66"/>
    <mergeCell ref="J66:L66"/>
    <mergeCell ref="X66:Z66"/>
    <mergeCell ref="C67:E67"/>
    <mergeCell ref="G67:I67"/>
    <mergeCell ref="J67:L67"/>
    <mergeCell ref="X67:Z67"/>
    <mergeCell ref="C72:E72"/>
    <mergeCell ref="G72:I72"/>
    <mergeCell ref="J72:L72"/>
    <mergeCell ref="X72:Z72"/>
    <mergeCell ref="C73:E73"/>
    <mergeCell ref="G73:I73"/>
    <mergeCell ref="J73:L73"/>
    <mergeCell ref="X73:Z73"/>
    <mergeCell ref="C70:E70"/>
    <mergeCell ref="G70:I70"/>
    <mergeCell ref="J70:L70"/>
    <mergeCell ref="X70:Z70"/>
    <mergeCell ref="C71:E71"/>
    <mergeCell ref="G71:I71"/>
    <mergeCell ref="J71:L71"/>
    <mergeCell ref="X71:Z71"/>
    <mergeCell ref="C76:E76"/>
    <mergeCell ref="G76:I76"/>
    <mergeCell ref="J76:L76"/>
    <mergeCell ref="X76:Z76"/>
    <mergeCell ref="C77:E77"/>
    <mergeCell ref="G77:I77"/>
    <mergeCell ref="J77:L77"/>
    <mergeCell ref="X77:Z77"/>
    <mergeCell ref="C74:E74"/>
    <mergeCell ref="G74:I74"/>
    <mergeCell ref="J74:L74"/>
    <mergeCell ref="X74:Z74"/>
    <mergeCell ref="C75:E75"/>
    <mergeCell ref="G75:I75"/>
    <mergeCell ref="J75:L75"/>
    <mergeCell ref="X75:Z75"/>
    <mergeCell ref="C80:E80"/>
    <mergeCell ref="G80:I80"/>
    <mergeCell ref="J80:L80"/>
    <mergeCell ref="X80:Z80"/>
    <mergeCell ref="C81:E81"/>
    <mergeCell ref="G81:I81"/>
    <mergeCell ref="J81:L81"/>
    <mergeCell ref="X81:Z81"/>
    <mergeCell ref="C78:E78"/>
    <mergeCell ref="G78:I78"/>
    <mergeCell ref="J78:L78"/>
    <mergeCell ref="X78:Z78"/>
    <mergeCell ref="C79:E79"/>
    <mergeCell ref="G79:I79"/>
    <mergeCell ref="J79:L79"/>
    <mergeCell ref="X79:Z79"/>
    <mergeCell ref="C84:E84"/>
    <mergeCell ref="G84:I84"/>
    <mergeCell ref="J84:L84"/>
    <mergeCell ref="X84:Z84"/>
    <mergeCell ref="C85:E85"/>
    <mergeCell ref="G85:I85"/>
    <mergeCell ref="J85:L85"/>
    <mergeCell ref="X85:Z85"/>
    <mergeCell ref="C82:E82"/>
    <mergeCell ref="G82:I82"/>
    <mergeCell ref="J82:L82"/>
    <mergeCell ref="X82:Z82"/>
    <mergeCell ref="C83:E83"/>
    <mergeCell ref="G83:I83"/>
    <mergeCell ref="J83:L83"/>
    <mergeCell ref="X83:Z83"/>
    <mergeCell ref="C88:E88"/>
    <mergeCell ref="G88:I88"/>
    <mergeCell ref="J88:L88"/>
    <mergeCell ref="X88:Z88"/>
    <mergeCell ref="C89:E89"/>
    <mergeCell ref="G89:I89"/>
    <mergeCell ref="J89:L89"/>
    <mergeCell ref="X89:Z89"/>
    <mergeCell ref="C86:E86"/>
    <mergeCell ref="G86:I86"/>
    <mergeCell ref="J86:L86"/>
    <mergeCell ref="X86:Z86"/>
    <mergeCell ref="C87:E87"/>
    <mergeCell ref="G87:I87"/>
    <mergeCell ref="J87:L87"/>
    <mergeCell ref="X87:Z87"/>
    <mergeCell ref="C92:E92"/>
    <mergeCell ref="G92:I92"/>
    <mergeCell ref="J92:L92"/>
    <mergeCell ref="X92:Z92"/>
    <mergeCell ref="C93:E93"/>
    <mergeCell ref="G93:I93"/>
    <mergeCell ref="J93:L93"/>
    <mergeCell ref="X93:Z93"/>
    <mergeCell ref="C90:E90"/>
    <mergeCell ref="G90:I90"/>
    <mergeCell ref="J90:L90"/>
    <mergeCell ref="X90:Z90"/>
    <mergeCell ref="C91:E91"/>
    <mergeCell ref="G91:I91"/>
    <mergeCell ref="J91:L91"/>
    <mergeCell ref="X91:Z91"/>
    <mergeCell ref="C96:E96"/>
    <mergeCell ref="G96:I96"/>
    <mergeCell ref="J96:L96"/>
    <mergeCell ref="X96:Z96"/>
    <mergeCell ref="C97:E97"/>
    <mergeCell ref="G97:I97"/>
    <mergeCell ref="J97:L97"/>
    <mergeCell ref="X97:Z97"/>
    <mergeCell ref="C94:E94"/>
    <mergeCell ref="G94:I94"/>
    <mergeCell ref="J94:L94"/>
    <mergeCell ref="X94:Z94"/>
    <mergeCell ref="C95:E95"/>
    <mergeCell ref="G95:I95"/>
    <mergeCell ref="J95:L95"/>
    <mergeCell ref="X95:Z95"/>
    <mergeCell ref="C100:E100"/>
    <mergeCell ref="G100:I100"/>
    <mergeCell ref="J100:L100"/>
    <mergeCell ref="X100:Z100"/>
    <mergeCell ref="C101:E101"/>
    <mergeCell ref="G101:I101"/>
    <mergeCell ref="J101:L101"/>
    <mergeCell ref="X101:Z101"/>
    <mergeCell ref="C98:E98"/>
    <mergeCell ref="G98:I98"/>
    <mergeCell ref="J98:L98"/>
    <mergeCell ref="X98:Z98"/>
    <mergeCell ref="C99:E99"/>
    <mergeCell ref="G99:I99"/>
    <mergeCell ref="J99:L99"/>
    <mergeCell ref="X99:Z99"/>
    <mergeCell ref="C104:E104"/>
    <mergeCell ref="G104:I104"/>
    <mergeCell ref="J104:L104"/>
    <mergeCell ref="X104:Z104"/>
    <mergeCell ref="C105:E105"/>
    <mergeCell ref="G105:I105"/>
    <mergeCell ref="J105:L105"/>
    <mergeCell ref="X105:Z105"/>
    <mergeCell ref="C102:E102"/>
    <mergeCell ref="G102:I102"/>
    <mergeCell ref="J102:L102"/>
    <mergeCell ref="X102:Z102"/>
    <mergeCell ref="C103:E103"/>
    <mergeCell ref="G103:I103"/>
    <mergeCell ref="J103:L103"/>
    <mergeCell ref="X103:Z103"/>
    <mergeCell ref="C108:E108"/>
    <mergeCell ref="G108:I108"/>
    <mergeCell ref="J108:L108"/>
    <mergeCell ref="X108:Z108"/>
    <mergeCell ref="C109:E109"/>
    <mergeCell ref="G109:I109"/>
    <mergeCell ref="J109:L109"/>
    <mergeCell ref="X109:Z109"/>
    <mergeCell ref="C106:E106"/>
    <mergeCell ref="G106:I106"/>
    <mergeCell ref="J106:L106"/>
    <mergeCell ref="X106:Z106"/>
    <mergeCell ref="C107:E107"/>
    <mergeCell ref="G107:I107"/>
    <mergeCell ref="J107:L107"/>
    <mergeCell ref="X107:Z107"/>
    <mergeCell ref="C112:E112"/>
    <mergeCell ref="G112:I112"/>
    <mergeCell ref="J112:L112"/>
    <mergeCell ref="X112:Z112"/>
    <mergeCell ref="C113:E113"/>
    <mergeCell ref="G113:I113"/>
    <mergeCell ref="J113:L113"/>
    <mergeCell ref="X113:Z113"/>
    <mergeCell ref="C110:E110"/>
    <mergeCell ref="G110:I110"/>
    <mergeCell ref="J110:L110"/>
    <mergeCell ref="X110:Z110"/>
    <mergeCell ref="C111:E111"/>
    <mergeCell ref="G111:I111"/>
    <mergeCell ref="J111:L111"/>
    <mergeCell ref="X111:Z111"/>
    <mergeCell ref="C116:E116"/>
    <mergeCell ref="G116:I116"/>
    <mergeCell ref="J116:L116"/>
    <mergeCell ref="X116:Z116"/>
    <mergeCell ref="C117:E117"/>
    <mergeCell ref="G117:I117"/>
    <mergeCell ref="J117:L117"/>
    <mergeCell ref="X117:Z117"/>
    <mergeCell ref="C114:E114"/>
    <mergeCell ref="G114:I114"/>
    <mergeCell ref="J114:L114"/>
    <mergeCell ref="X114:Z114"/>
    <mergeCell ref="C115:E115"/>
    <mergeCell ref="G115:I115"/>
    <mergeCell ref="J115:L115"/>
    <mergeCell ref="X115:Z115"/>
    <mergeCell ref="C120:E120"/>
    <mergeCell ref="G120:I120"/>
    <mergeCell ref="J120:L120"/>
    <mergeCell ref="X120:Z120"/>
    <mergeCell ref="A122:L123"/>
    <mergeCell ref="N123:R123"/>
    <mergeCell ref="V123:Z123"/>
    <mergeCell ref="C118:E118"/>
    <mergeCell ref="G118:I118"/>
    <mergeCell ref="J118:L118"/>
    <mergeCell ref="X118:Z118"/>
    <mergeCell ref="C119:E119"/>
    <mergeCell ref="G119:I119"/>
    <mergeCell ref="J119:L119"/>
    <mergeCell ref="X119:Z119"/>
    <mergeCell ref="AB123:AC123"/>
    <mergeCell ref="AD123:AN123"/>
    <mergeCell ref="A124:L127"/>
    <mergeCell ref="N124:R124"/>
    <mergeCell ref="V124:Z124"/>
    <mergeCell ref="AB124:AC124"/>
    <mergeCell ref="AD124:AN124"/>
    <mergeCell ref="N125:R125"/>
    <mergeCell ref="V125:Z125"/>
    <mergeCell ref="AB125:AC125"/>
    <mergeCell ref="N128:R128"/>
    <mergeCell ref="V128:Z128"/>
    <mergeCell ref="AB128:AC128"/>
    <mergeCell ref="AD128:AM128"/>
    <mergeCell ref="N129:R129"/>
    <mergeCell ref="V129:Z129"/>
    <mergeCell ref="AD125:AN125"/>
    <mergeCell ref="N126:R126"/>
    <mergeCell ref="V126:Z126"/>
    <mergeCell ref="AB126:AC126"/>
    <mergeCell ref="AD126:AN126"/>
    <mergeCell ref="N127:R127"/>
    <mergeCell ref="V127:Z127"/>
    <mergeCell ref="AB127:AC127"/>
    <mergeCell ref="AD127:AN127"/>
  </mergeCells>
  <dataValidations count="6">
    <dataValidation type="list" allowBlank="1" showInputMessage="1" showErrorMessage="1" sqref="WVZ9:WVZ120 WMD9:WMD120 WCH9:WCH120 VSL9:VSL120 VIP9:VIP120 UYT9:UYT120 UOX9:UOX120 UFB9:UFB120 TVF9:TVF120 TLJ9:TLJ120 TBN9:TBN120 SRR9:SRR120 SHV9:SHV120 RXZ9:RXZ120 ROD9:ROD120 REH9:REH120 QUL9:QUL120 QKP9:QKP120 QAT9:QAT120 PQX9:PQX120 PHB9:PHB120 OXF9:OXF120 ONJ9:ONJ120 ODN9:ODN120 NTR9:NTR120 NJV9:NJV120 MZZ9:MZZ120 MQD9:MQD120 MGH9:MGH120 LWL9:LWL120 LMP9:LMP120 LCT9:LCT120 KSX9:KSX120 KJB9:KJB120 JZF9:JZF120 JPJ9:JPJ120 JFN9:JFN120 IVR9:IVR120 ILV9:ILV120 IBZ9:IBZ120 HSD9:HSD120 HIH9:HIH120 GYL9:GYL120 GOP9:GOP120 GET9:GET120 FUX9:FUX120 FLB9:FLB120 FBF9:FBF120 ERJ9:ERJ120 EHN9:EHN120 DXR9:DXR120 DNV9:DNV120 DDZ9:DDZ120 CUD9:CUD120 CKH9:CKH120 CAL9:CAL120 BQP9:BQP120 BGT9:BGT120 AWX9:AWX120 ANB9:ANB120 ADF9:ADF120 TJ9:TJ120 JN9:JN120 Q9:Q120">
      <formula1>PROBAB</formula1>
    </dataValidation>
    <dataValidation type="list" allowBlank="1" showInputMessage="1" showErrorMessage="1" sqref="WWA9:WWA120 WME9:WME120 WCI9:WCI120 VSM9:VSM120 VIQ9:VIQ120 UYU9:UYU120 UOY9:UOY120 UFC9:UFC120 TVG9:TVG120 TLK9:TLK120 TBO9:TBO120 SRS9:SRS120 SHW9:SHW120 RYA9:RYA120 ROE9:ROE120 REI9:REI120 QUM9:QUM120 QKQ9:QKQ120 QAU9:QAU120 PQY9:PQY120 PHC9:PHC120 OXG9:OXG120 ONK9:ONK120 ODO9:ODO120 NTS9:NTS120 NJW9:NJW120 NAA9:NAA120 MQE9:MQE120 MGI9:MGI120 LWM9:LWM120 LMQ9:LMQ120 LCU9:LCU120 KSY9:KSY120 KJC9:KJC120 JZG9:JZG120 JPK9:JPK120 JFO9:JFO120 IVS9:IVS120 ILW9:ILW120 ICA9:ICA120 HSE9:HSE120 HII9:HII120 GYM9:GYM120 GOQ9:GOQ120 GEU9:GEU120 FUY9:FUY120 FLC9:FLC120 FBG9:FBG120 ERK9:ERK120 EHO9:EHO120 DXS9:DXS120 DNW9:DNW120 DEA9:DEA120 CUE9:CUE120 CKI9:CKI120 CAM9:CAM120 BQQ9:BQQ120 BGU9:BGU120 AWY9:AWY120 ANC9:ANC120 ADG9:ADG120 TK9:TK120 JO9:JO120 R9:R120">
      <formula1>IMPACTO</formula1>
    </dataValidation>
    <dataValidation type="list" showInputMessage="1" showErrorMessage="1" errorTitle="Rechazado" error="Solo son validadas las opciones de la lista" sqref="WWM9:WWM120 WMQ9:WMQ120 WCU9:WCU120 VSY9:VSY120 VJC9:VJC120 UZG9:UZG120 UPK9:UPK120 UFO9:UFO120 TVS9:TVS120 TLW9:TLW120 TCA9:TCA120 SSE9:SSE120 SII9:SII120 RYM9:RYM120 ROQ9:ROQ120 REU9:REU120 QUY9:QUY120 QLC9:QLC120 QBG9:QBG120 PRK9:PRK120 PHO9:PHO120 OXS9:OXS120 ONW9:ONW120 OEA9:OEA120 NUE9:NUE120 NKI9:NKI120 NAM9:NAM120 MQQ9:MQQ120 MGU9:MGU120 LWY9:LWY120 LNC9:LNC120 LDG9:LDG120 KTK9:KTK120 KJO9:KJO120 JZS9:JZS120 JPW9:JPW120 JGA9:JGA120 IWE9:IWE120 IMI9:IMI120 ICM9:ICM120 HSQ9:HSQ120 HIU9:HIU120 GYY9:GYY120 GPC9:GPC120 GFG9:GFG120 FVK9:FVK120 FLO9:FLO120 FBS9:FBS120 ERW9:ERW120 EIA9:EIA120 DYE9:DYE120 DOI9:DOI120 DEM9:DEM120 CUQ9:CUQ120 CKU9:CKU120 CAY9:CAY120 BRC9:BRC120 BHG9:BHG120 AXK9:AXK120 ANO9:ANO120 ADS9:ADS120 TW9:TW120 KA9:KA120 AE9:AE120">
      <formula1>Efecto</formula1>
    </dataValidation>
    <dataValidation showInputMessage="1" showErrorMessage="1" sqref="WWO9:WWS120 WMS9:WMW120 WCW9:WDA120 VTA9:VTE120 VJE9:VJI120 UZI9:UZM120 UPM9:UPQ120 UFQ9:UFU120 TVU9:TVY120 TLY9:TMC120 TCC9:TCG120 SSG9:SSK120 SIK9:SIO120 RYO9:RYS120 ROS9:ROW120 REW9:RFA120 QVA9:QVE120 QLE9:QLI120 QBI9:QBM120 PRM9:PRQ120 PHQ9:PHU120 OXU9:OXY120 ONY9:OOC120 OEC9:OEG120 NUG9:NUK120 NKK9:NKO120 NAO9:NAS120 MQS9:MQW120 MGW9:MHA120 LXA9:LXE120 LNE9:LNI120 LDI9:LDM120 KTM9:KTQ120 KJQ9:KJU120 JZU9:JZY120 JPY9:JQC120 JGC9:JGG120 IWG9:IWK120 IMK9:IMO120 ICO9:ICS120 HSS9:HSW120 HIW9:HJA120 GZA9:GZE120 GPE9:GPI120 GFI9:GFM120 FVM9:FVQ120 FLQ9:FLU120 FBU9:FBY120 ERY9:ESC120 EIC9:EIG120 DYG9:DYK120 DOK9:DOO120 DEO9:DES120 CUS9:CUW120 CKW9:CLA120 CBA9:CBE120 BRE9:BRI120 BHI9:BHM120 AXM9:AXQ120 ANQ9:ANU120 ADU9:ADY120 TY9:UC120 KC9:KG120 AG9:AK120"/>
    <dataValidation type="whole" allowBlank="1" showInputMessage="1" showErrorMessage="1" sqref="WWL9:WWL120 WMP9:WMP120 WCT9:WCT120 VSX9:VSX120 VJB9:VJB120 UZF9:UZF120 UPJ9:UPJ120 UFN9:UFN120 TVR9:TVR120 TLV9:TLV120 TBZ9:TBZ120 SSD9:SSD120 SIH9:SIH120 RYL9:RYL120 ROP9:ROP120 RET9:RET120 QUX9:QUX120 QLB9:QLB120 QBF9:QBF120 PRJ9:PRJ120 PHN9:PHN120 OXR9:OXR120 ONV9:ONV120 ODZ9:ODZ120 NUD9:NUD120 NKH9:NKH120 NAL9:NAL120 MQP9:MQP120 MGT9:MGT120 LWX9:LWX120 LNB9:LNB120 LDF9:LDF120 KTJ9:KTJ120 KJN9:KJN120 JZR9:JZR120 JPV9:JPV120 JFZ9:JFZ120 IWD9:IWD120 IMH9:IMH120 ICL9:ICL120 HSP9:HSP120 HIT9:HIT120 GYX9:GYX120 GPB9:GPB120 GFF9:GFF120 FVJ9:FVJ120 FLN9:FLN120 FBR9:FBR120 ERV9:ERV120 EHZ9:EHZ120 DYD9:DYD120 DOH9:DOH120 DEL9:DEL120 CUP9:CUP120 CKT9:CKT120 CAX9:CAX120 BRB9:BRB120 BHF9:BHF120 AXJ9:AXJ120 ANN9:ANN120 ADR9:ADR120 TV9:TV120 JZ9:JZ120 AD9:AD120">
      <formula1>0</formula1>
      <formula2>100</formula2>
    </dataValidation>
    <dataValidation type="list" allowBlank="1" showInputMessage="1" showErrorMessage="1" sqref="WXA9:WXA120 WNE9:WNE120 WDI9:WDI120 VTM9:VTM120 VJQ9:VJQ120 UZU9:UZU120 UPY9:UPY120 UGC9:UGC120 TWG9:TWG120 TMK9:TMK120 TCO9:TCO120 SSS9:SSS120 SIW9:SIW120 RZA9:RZA120 RPE9:RPE120 RFI9:RFI120 QVM9:QVM120 QLQ9:QLQ120 QBU9:QBU120 PRY9:PRY120 PIC9:PIC120 OYG9:OYG120 OOK9:OOK120 OEO9:OEO120 NUS9:NUS120 NKW9:NKW120 NBA9:NBA120 MRE9:MRE120 MHI9:MHI120 LXM9:LXM120 LNQ9:LNQ120 LDU9:LDU120 KTY9:KTY120 KKC9:KKC120 KAG9:KAG120 JQK9:JQK120 JGO9:JGO120 IWS9:IWS120 IMW9:IMW120 IDA9:IDA120 HTE9:HTE120 HJI9:HJI120 GZM9:GZM120 GPQ9:GPQ120 GFU9:GFU120 FVY9:FVY120 FMC9:FMC120 FCG9:FCG120 ESK9:ESK120 EIO9:EIO120 DYS9:DYS120 DOW9:DOW120 DFA9:DFA120 CVE9:CVE120 CLI9:CLI120 CBM9:CBM120 BRQ9:BRQ120 BHU9:BHU120 AXY9:AXY120 AOC9:AOC120 AEG9:AEG120 UK9:UK120 KO9:KO120 AS9:AS120">
      <formula1>SINO</formula1>
    </dataValidation>
  </dataValidations>
  <printOptions horizontalCentered="1" verticalCentered="1"/>
  <pageMargins left="0.25" right="0.25" top="0.75" bottom="0.75" header="0.3" footer="0.3"/>
  <pageSetup paperSize="5" scale="38" firstPageNumber="0" orientation="landscape" r:id="rId1"/>
  <headerFooter>
    <oddFooter>&amp;L&amp;9Formato: FO-AC-07 Versión: 3&amp;C&amp;9Página &amp;P</oddFooter>
  </headerFooter>
  <rowBreaks count="1" manualBreakCount="1">
    <brk id="10" max="48"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241</vt:i4>
      </vt:variant>
    </vt:vector>
  </HeadingPairs>
  <TitlesOfParts>
    <vt:vector size="295" baseType="lpstr">
      <vt:lpstr>PORTADA</vt:lpstr>
      <vt:lpstr>TDGES</vt:lpstr>
      <vt:lpstr>TDCORRUP</vt:lpstr>
      <vt:lpstr>PRESENTACION</vt:lpstr>
      <vt:lpstr>INVENTARIO</vt:lpstr>
      <vt:lpstr>OBJETIVOS E</vt:lpstr>
      <vt:lpstr>ESCALAS</vt:lpstr>
      <vt:lpstr>M FACTIBILIDAD</vt:lpstr>
      <vt:lpstr>M VALORIZACION</vt:lpstr>
      <vt:lpstr>M DISEÑO P.</vt:lpstr>
      <vt:lpstr>M PREDIAL</vt:lpstr>
      <vt:lpstr>M EJECUCION O.</vt:lpstr>
      <vt:lpstr>M CONSERVACION-DTM</vt:lpstr>
      <vt:lpstr>M CONSERVACION-DTAI</vt:lpstr>
      <vt:lpstr>E PLANEACION</vt:lpstr>
      <vt:lpstr>E INNOVACION</vt:lpstr>
      <vt:lpstr>E GESTION SOCIAL</vt:lpstr>
      <vt:lpstr>E INTERINSTITUCIONAL</vt:lpstr>
      <vt:lpstr>E COMUNICACIONES</vt:lpstr>
      <vt:lpstr>E GPROYECTOS</vt:lpstr>
      <vt:lpstr>A CONTRACTUAL</vt:lpstr>
      <vt:lpstr>A LEGAL</vt:lpstr>
      <vt:lpstr>A CALIDAD</vt:lpstr>
      <vt:lpstr>A RFISICOS</vt:lpstr>
      <vt:lpstr>A FINANCIERA</vt:lpstr>
      <vt:lpstr>A THUMANOS</vt:lpstr>
      <vt:lpstr>A TIC</vt:lpstr>
      <vt:lpstr>A DOCUMENTAL</vt:lpstr>
      <vt:lpstr>EC MEJORAMIENTO</vt:lpstr>
      <vt:lpstr>EC EVALUACION</vt:lpstr>
      <vt:lpstr>C PLANEACION</vt:lpstr>
      <vt:lpstr>C INNOVACION</vt:lpstr>
      <vt:lpstr>C GESTION SOCIAL</vt:lpstr>
      <vt:lpstr>C INTERISTITUCIONAL</vt:lpstr>
      <vt:lpstr>C COMUNICACIONES</vt:lpstr>
      <vt:lpstr>C FACTIBILIDAD</vt:lpstr>
      <vt:lpstr>C VALORIZACION</vt:lpstr>
      <vt:lpstr>C DISEÑO</vt:lpstr>
      <vt:lpstr>C PREDIAL</vt:lpstr>
      <vt:lpstr>C OBRAS</vt:lpstr>
      <vt:lpstr>C DTM</vt:lpstr>
      <vt:lpstr>C DTAI</vt:lpstr>
      <vt:lpstr>C CONTRACTUAL</vt:lpstr>
      <vt:lpstr>C LEGAL</vt:lpstr>
      <vt:lpstr>C CALIDAD</vt:lpstr>
      <vt:lpstr>C THUMANO</vt:lpstr>
      <vt:lpstr>C TICs</vt:lpstr>
      <vt:lpstr>C FISICOS</vt:lpstr>
      <vt:lpstr>C Documental</vt:lpstr>
      <vt:lpstr>C FINANCIERA</vt:lpstr>
      <vt:lpstr>C GI PROYECTOS</vt:lpstr>
      <vt:lpstr>C EVALUACION</vt:lpstr>
      <vt:lpstr>C MEJORAMIENTO</vt:lpstr>
      <vt:lpstr>Listas</vt:lpstr>
      <vt:lpstr>Listas!Administracion</vt:lpstr>
      <vt:lpstr>'A CALIDAD'!Área_de_impresión</vt:lpstr>
      <vt:lpstr>'A CONTRACTUAL'!Área_de_impresión</vt:lpstr>
      <vt:lpstr>'A DOCUMENTAL'!Área_de_impresión</vt:lpstr>
      <vt:lpstr>'A FINANCIERA'!Área_de_impresión</vt:lpstr>
      <vt:lpstr>'A LEGAL'!Área_de_impresión</vt:lpstr>
      <vt:lpstr>'A RFISICOS'!Área_de_impresión</vt:lpstr>
      <vt:lpstr>'A TIC'!Área_de_impresión</vt:lpstr>
      <vt:lpstr>'C CALIDAD'!Área_de_impresión</vt:lpstr>
      <vt:lpstr>'C COMUNICACIONES'!Área_de_impresión</vt:lpstr>
      <vt:lpstr>'C CONTRACTUAL'!Área_de_impresión</vt:lpstr>
      <vt:lpstr>'C DISEÑO'!Área_de_impresión</vt:lpstr>
      <vt:lpstr>'C Documental'!Área_de_impresión</vt:lpstr>
      <vt:lpstr>'C DTAI'!Área_de_impresión</vt:lpstr>
      <vt:lpstr>'C DTM'!Área_de_impresión</vt:lpstr>
      <vt:lpstr>'C EVALUACION'!Área_de_impresión</vt:lpstr>
      <vt:lpstr>'C FACTIBILIDAD'!Área_de_impresión</vt:lpstr>
      <vt:lpstr>'C FINANCIERA'!Área_de_impresión</vt:lpstr>
      <vt:lpstr>'C FISICOS'!Área_de_impresión</vt:lpstr>
      <vt:lpstr>'C GESTION SOCIAL'!Área_de_impresión</vt:lpstr>
      <vt:lpstr>'C GI PROYECTOS'!Área_de_impresión</vt:lpstr>
      <vt:lpstr>'C LEGAL'!Área_de_impresión</vt:lpstr>
      <vt:lpstr>'C MEJORAMIENTO'!Área_de_impresión</vt:lpstr>
      <vt:lpstr>'C OBRAS'!Área_de_impresión</vt:lpstr>
      <vt:lpstr>'C PLANEACION'!Área_de_impresión</vt:lpstr>
      <vt:lpstr>'C PREDIAL'!Área_de_impresión</vt:lpstr>
      <vt:lpstr>'C THUMANO'!Área_de_impresión</vt:lpstr>
      <vt:lpstr>'C TICs'!Área_de_impresión</vt:lpstr>
      <vt:lpstr>'C VALORIZACION'!Área_de_impresión</vt:lpstr>
      <vt:lpstr>'E COMUNICACIONES'!Área_de_impresión</vt:lpstr>
      <vt:lpstr>'E GESTION SOCIAL'!Área_de_impresión</vt:lpstr>
      <vt:lpstr>'E GPROYECTOS'!Área_de_impresión</vt:lpstr>
      <vt:lpstr>'E INNOVACION'!Área_de_impresión</vt:lpstr>
      <vt:lpstr>'E INTERINSTITUCIONAL'!Área_de_impresión</vt:lpstr>
      <vt:lpstr>'E PLANEACION'!Área_de_impresión</vt:lpstr>
      <vt:lpstr>'EC EVALUACION'!Área_de_impresión</vt:lpstr>
      <vt:lpstr>'EC MEJORAMIENTO'!Área_de_impresión</vt:lpstr>
      <vt:lpstr>'M CONSERVACION-DTAI'!Área_de_impresión</vt:lpstr>
      <vt:lpstr>'M CONSERVACION-DTM'!Área_de_impresión</vt:lpstr>
      <vt:lpstr>'M DISEÑO P.'!Área_de_impresión</vt:lpstr>
      <vt:lpstr>'M EJECUCION O.'!Área_de_impresión</vt:lpstr>
      <vt:lpstr>'M FACTIBILIDAD'!Área_de_impresión</vt:lpstr>
      <vt:lpstr>'M PREDIAL'!Área_de_impresión</vt:lpstr>
      <vt:lpstr>'M VALORIZACION'!Área_de_impresión</vt:lpstr>
      <vt:lpstr>PORTADA!Área_de_impresión</vt:lpstr>
      <vt:lpstr>Listas!Control</vt:lpstr>
      <vt:lpstr>ESCALAS!Efectividad</vt:lpstr>
      <vt:lpstr>Listas!Efectividad</vt:lpstr>
      <vt:lpstr>ESCALAS!Impacto</vt:lpstr>
      <vt:lpstr>Listas!Impacto</vt:lpstr>
      <vt:lpstr>ESCALAS!Monitoreo</vt:lpstr>
      <vt:lpstr>Listas!Monitoreo</vt:lpstr>
      <vt:lpstr>ESCALAS!Periodo</vt:lpstr>
      <vt:lpstr>Listas!Periodo</vt:lpstr>
      <vt:lpstr>'A CALIDAD'!Print_Area_0</vt:lpstr>
      <vt:lpstr>'A CONTRACTUAL'!Print_Area_0</vt:lpstr>
      <vt:lpstr>'A DOCUMENTAL'!Print_Area_0</vt:lpstr>
      <vt:lpstr>'A FINANCIERA'!Print_Area_0</vt:lpstr>
      <vt:lpstr>'A LEGAL'!Print_Area_0</vt:lpstr>
      <vt:lpstr>'A RFISICOS'!Print_Area_0</vt:lpstr>
      <vt:lpstr>'A THUMANOS'!Print_Area_0</vt:lpstr>
      <vt:lpstr>'A TIC'!Print_Area_0</vt:lpstr>
      <vt:lpstr>'E COMUNICACIONES'!Print_Area_0</vt:lpstr>
      <vt:lpstr>'E GESTION SOCIAL'!Print_Area_0</vt:lpstr>
      <vt:lpstr>'E GPROYECTOS'!Print_Area_0</vt:lpstr>
      <vt:lpstr>'E INNOVACION'!Print_Area_0</vt:lpstr>
      <vt:lpstr>'E INTERINSTITUCIONAL'!Print_Area_0</vt:lpstr>
      <vt:lpstr>'E PLANEACION'!Print_Area_0</vt:lpstr>
      <vt:lpstr>'EC EVALUACION'!Print_Area_0</vt:lpstr>
      <vt:lpstr>'EC MEJORAMIENTO'!Print_Area_0</vt:lpstr>
      <vt:lpstr>'M CONSERVACION-DTAI'!Print_Area_0</vt:lpstr>
      <vt:lpstr>'M CONSERVACION-DTM'!Print_Area_0</vt:lpstr>
      <vt:lpstr>'M DISEÑO P.'!Print_Area_0</vt:lpstr>
      <vt:lpstr>'M EJECUCION O.'!Print_Area_0</vt:lpstr>
      <vt:lpstr>'M FACTIBILIDAD'!Print_Area_0</vt:lpstr>
      <vt:lpstr>'M PREDIAL'!Print_Area_0</vt:lpstr>
      <vt:lpstr>'M VALORIZACION'!Print_Area_0</vt:lpstr>
      <vt:lpstr>'A CALIDAD'!Print_Area_0_0</vt:lpstr>
      <vt:lpstr>'A CONTRACTUAL'!Print_Area_0_0</vt:lpstr>
      <vt:lpstr>'A DOCUMENTAL'!Print_Area_0_0</vt:lpstr>
      <vt:lpstr>'A FINANCIERA'!Print_Area_0_0</vt:lpstr>
      <vt:lpstr>'A LEGAL'!Print_Area_0_0</vt:lpstr>
      <vt:lpstr>'A RFISICOS'!Print_Area_0_0</vt:lpstr>
      <vt:lpstr>'A THUMANOS'!Print_Area_0_0</vt:lpstr>
      <vt:lpstr>'A TIC'!Print_Area_0_0</vt:lpstr>
      <vt:lpstr>'E COMUNICACIONES'!Print_Area_0_0</vt:lpstr>
      <vt:lpstr>'E GESTION SOCIAL'!Print_Area_0_0</vt:lpstr>
      <vt:lpstr>'E GPROYECTOS'!Print_Area_0_0</vt:lpstr>
      <vt:lpstr>'E INNOVACION'!Print_Area_0_0</vt:lpstr>
      <vt:lpstr>'E INTERINSTITUCIONAL'!Print_Area_0_0</vt:lpstr>
      <vt:lpstr>'E PLANEACION'!Print_Area_0_0</vt:lpstr>
      <vt:lpstr>'EC EVALUACION'!Print_Area_0_0</vt:lpstr>
      <vt:lpstr>'EC MEJORAMIENTO'!Print_Area_0_0</vt:lpstr>
      <vt:lpstr>'M CONSERVACION-DTAI'!Print_Area_0_0</vt:lpstr>
      <vt:lpstr>'M CONSERVACION-DTM'!Print_Area_0_0</vt:lpstr>
      <vt:lpstr>'M DISEÑO P.'!Print_Area_0_0</vt:lpstr>
      <vt:lpstr>'M EJECUCION O.'!Print_Area_0_0</vt:lpstr>
      <vt:lpstr>'M FACTIBILIDAD'!Print_Area_0_0</vt:lpstr>
      <vt:lpstr>'M PREDIAL'!Print_Area_0_0</vt:lpstr>
      <vt:lpstr>'M VALORIZACION'!Print_Area_0_0</vt:lpstr>
      <vt:lpstr>'A CALIDAD'!Print_Area_0_0_0</vt:lpstr>
      <vt:lpstr>'A CONTRACTUAL'!Print_Area_0_0_0</vt:lpstr>
      <vt:lpstr>'A DOCUMENTAL'!Print_Area_0_0_0</vt:lpstr>
      <vt:lpstr>'A FINANCIERA'!Print_Area_0_0_0</vt:lpstr>
      <vt:lpstr>'A LEGAL'!Print_Area_0_0_0</vt:lpstr>
      <vt:lpstr>'A RFISICOS'!Print_Area_0_0_0</vt:lpstr>
      <vt:lpstr>'A THUMANOS'!Print_Area_0_0_0</vt:lpstr>
      <vt:lpstr>'A TIC'!Print_Area_0_0_0</vt:lpstr>
      <vt:lpstr>'E COMUNICACIONES'!Print_Area_0_0_0</vt:lpstr>
      <vt:lpstr>'E GESTION SOCIAL'!Print_Area_0_0_0</vt:lpstr>
      <vt:lpstr>'E GPROYECTOS'!Print_Area_0_0_0</vt:lpstr>
      <vt:lpstr>'E INNOVACION'!Print_Area_0_0_0</vt:lpstr>
      <vt:lpstr>'E INTERINSTITUCIONAL'!Print_Area_0_0_0</vt:lpstr>
      <vt:lpstr>'E PLANEACION'!Print_Area_0_0_0</vt:lpstr>
      <vt:lpstr>'EC EVALUACION'!Print_Area_0_0_0</vt:lpstr>
      <vt:lpstr>'EC MEJORAMIENTO'!Print_Area_0_0_0</vt:lpstr>
      <vt:lpstr>'M CONSERVACION-DTAI'!Print_Area_0_0_0</vt:lpstr>
      <vt:lpstr>'M CONSERVACION-DTM'!Print_Area_0_0_0</vt:lpstr>
      <vt:lpstr>'M DISEÑO P.'!Print_Area_0_0_0</vt:lpstr>
      <vt:lpstr>'M EJECUCION O.'!Print_Area_0_0_0</vt:lpstr>
      <vt:lpstr>'M FACTIBILIDAD'!Print_Area_0_0_0</vt:lpstr>
      <vt:lpstr>'M PREDIAL'!Print_Area_0_0_0</vt:lpstr>
      <vt:lpstr>'M VALORIZACION'!Print_Area_0_0_0</vt:lpstr>
      <vt:lpstr>'A CALIDAD'!Print_Titles_0</vt:lpstr>
      <vt:lpstr>'A CONTRACTUAL'!Print_Titles_0</vt:lpstr>
      <vt:lpstr>'A DOCUMENTAL'!Print_Titles_0</vt:lpstr>
      <vt:lpstr>'A FINANCIERA'!Print_Titles_0</vt:lpstr>
      <vt:lpstr>'A LEGAL'!Print_Titles_0</vt:lpstr>
      <vt:lpstr>'A RFISICOS'!Print_Titles_0</vt:lpstr>
      <vt:lpstr>'A THUMANOS'!Print_Titles_0</vt:lpstr>
      <vt:lpstr>'A TIC'!Print_Titles_0</vt:lpstr>
      <vt:lpstr>'E COMUNICACIONES'!Print_Titles_0</vt:lpstr>
      <vt:lpstr>'E GESTION SOCIAL'!Print_Titles_0</vt:lpstr>
      <vt:lpstr>'E GPROYECTOS'!Print_Titles_0</vt:lpstr>
      <vt:lpstr>'E INNOVACION'!Print_Titles_0</vt:lpstr>
      <vt:lpstr>'E INTERINSTITUCIONAL'!Print_Titles_0</vt:lpstr>
      <vt:lpstr>'E PLANEACION'!Print_Titles_0</vt:lpstr>
      <vt:lpstr>'EC EVALUACION'!Print_Titles_0</vt:lpstr>
      <vt:lpstr>'EC MEJORAMIENTO'!Print_Titles_0</vt:lpstr>
      <vt:lpstr>'M CONSERVACION-DTAI'!Print_Titles_0</vt:lpstr>
      <vt:lpstr>'M CONSERVACION-DTM'!Print_Titles_0</vt:lpstr>
      <vt:lpstr>'M DISEÑO P.'!Print_Titles_0</vt:lpstr>
      <vt:lpstr>'M EJECUCION O.'!Print_Titles_0</vt:lpstr>
      <vt:lpstr>'M FACTIBILIDAD'!Print_Titles_0</vt:lpstr>
      <vt:lpstr>'M PREDIAL'!Print_Titles_0</vt:lpstr>
      <vt:lpstr>'M VALORIZACION'!Print_Titles_0</vt:lpstr>
      <vt:lpstr>'A CALIDAD'!Print_Titles_0_0</vt:lpstr>
      <vt:lpstr>'A CONTRACTUAL'!Print_Titles_0_0</vt:lpstr>
      <vt:lpstr>'A DOCUMENTAL'!Print_Titles_0_0</vt:lpstr>
      <vt:lpstr>'A FINANCIERA'!Print_Titles_0_0</vt:lpstr>
      <vt:lpstr>'A LEGAL'!Print_Titles_0_0</vt:lpstr>
      <vt:lpstr>'A RFISICOS'!Print_Titles_0_0</vt:lpstr>
      <vt:lpstr>'A THUMANOS'!Print_Titles_0_0</vt:lpstr>
      <vt:lpstr>'A TIC'!Print_Titles_0_0</vt:lpstr>
      <vt:lpstr>'E COMUNICACIONES'!Print_Titles_0_0</vt:lpstr>
      <vt:lpstr>'E GESTION SOCIAL'!Print_Titles_0_0</vt:lpstr>
      <vt:lpstr>'E GPROYECTOS'!Print_Titles_0_0</vt:lpstr>
      <vt:lpstr>'E INNOVACION'!Print_Titles_0_0</vt:lpstr>
      <vt:lpstr>'E INTERINSTITUCIONAL'!Print_Titles_0_0</vt:lpstr>
      <vt:lpstr>'E PLANEACION'!Print_Titles_0_0</vt:lpstr>
      <vt:lpstr>'EC EVALUACION'!Print_Titles_0_0</vt:lpstr>
      <vt:lpstr>'EC MEJORAMIENTO'!Print_Titles_0_0</vt:lpstr>
      <vt:lpstr>'M CONSERVACION-DTAI'!Print_Titles_0_0</vt:lpstr>
      <vt:lpstr>'M CONSERVACION-DTM'!Print_Titles_0_0</vt:lpstr>
      <vt:lpstr>'M DISEÑO P.'!Print_Titles_0_0</vt:lpstr>
      <vt:lpstr>'M EJECUCION O.'!Print_Titles_0_0</vt:lpstr>
      <vt:lpstr>'M FACTIBILIDAD'!Print_Titles_0_0</vt:lpstr>
      <vt:lpstr>'M PREDIAL'!Print_Titles_0_0</vt:lpstr>
      <vt:lpstr>'M VALORIZACION'!Print_Titles_0_0</vt:lpstr>
      <vt:lpstr>'A CALIDAD'!Print_Titles_0_0_0</vt:lpstr>
      <vt:lpstr>'A CONTRACTUAL'!Print_Titles_0_0_0</vt:lpstr>
      <vt:lpstr>'A DOCUMENTAL'!Print_Titles_0_0_0</vt:lpstr>
      <vt:lpstr>'A FINANCIERA'!Print_Titles_0_0_0</vt:lpstr>
      <vt:lpstr>'A LEGAL'!Print_Titles_0_0_0</vt:lpstr>
      <vt:lpstr>'A RFISICOS'!Print_Titles_0_0_0</vt:lpstr>
      <vt:lpstr>'A THUMANOS'!Print_Titles_0_0_0</vt:lpstr>
      <vt:lpstr>'A TIC'!Print_Titles_0_0_0</vt:lpstr>
      <vt:lpstr>'E COMUNICACIONES'!Print_Titles_0_0_0</vt:lpstr>
      <vt:lpstr>'E GESTION SOCIAL'!Print_Titles_0_0_0</vt:lpstr>
      <vt:lpstr>'E GPROYECTOS'!Print_Titles_0_0_0</vt:lpstr>
      <vt:lpstr>'E INNOVACION'!Print_Titles_0_0_0</vt:lpstr>
      <vt:lpstr>'E INTERINSTITUCIONAL'!Print_Titles_0_0_0</vt:lpstr>
      <vt:lpstr>'E PLANEACION'!Print_Titles_0_0_0</vt:lpstr>
      <vt:lpstr>'EC EVALUACION'!Print_Titles_0_0_0</vt:lpstr>
      <vt:lpstr>'EC MEJORAMIENTO'!Print_Titles_0_0_0</vt:lpstr>
      <vt:lpstr>'M CONSERVACION-DTAI'!Print_Titles_0_0_0</vt:lpstr>
      <vt:lpstr>'M CONSERVACION-DTM'!Print_Titles_0_0_0</vt:lpstr>
      <vt:lpstr>'M DISEÑO P.'!Print_Titles_0_0_0</vt:lpstr>
      <vt:lpstr>'M EJECUCION O.'!Print_Titles_0_0_0</vt:lpstr>
      <vt:lpstr>'M FACTIBILIDAD'!Print_Titles_0_0_0</vt:lpstr>
      <vt:lpstr>'M PREDIAL'!Print_Titles_0_0_0</vt:lpstr>
      <vt:lpstr>'M VALORIZACION'!Print_Titles_0_0_0</vt:lpstr>
      <vt:lpstr>ESCALAS!Probabilidad</vt:lpstr>
      <vt:lpstr>Listas!Probabilidad</vt:lpstr>
      <vt:lpstr>ESCALAS!Proceso</vt:lpstr>
      <vt:lpstr>Listas!Proceso</vt:lpstr>
      <vt:lpstr>'A CALIDAD'!Títulos_a_imprimir</vt:lpstr>
      <vt:lpstr>'A CONTRACTUAL'!Títulos_a_imprimir</vt:lpstr>
      <vt:lpstr>'A DOCUMENTAL'!Títulos_a_imprimir</vt:lpstr>
      <vt:lpstr>'A FINANCIERA'!Títulos_a_imprimir</vt:lpstr>
      <vt:lpstr>'A LEGAL'!Títulos_a_imprimir</vt:lpstr>
      <vt:lpstr>'A RFISICOS'!Títulos_a_imprimir</vt:lpstr>
      <vt:lpstr>'A THUMANOS'!Títulos_a_imprimir</vt:lpstr>
      <vt:lpstr>'A TIC'!Títulos_a_imprimir</vt:lpstr>
      <vt:lpstr>'C CALIDAD'!Títulos_a_imprimir</vt:lpstr>
      <vt:lpstr>'C COMUNICACIONES'!Títulos_a_imprimir</vt:lpstr>
      <vt:lpstr>'C CONTRACTUAL'!Títulos_a_imprimir</vt:lpstr>
      <vt:lpstr>'C DISEÑO'!Títulos_a_imprimir</vt:lpstr>
      <vt:lpstr>'C Documental'!Títulos_a_imprimir</vt:lpstr>
      <vt:lpstr>'C DTAI'!Títulos_a_imprimir</vt:lpstr>
      <vt:lpstr>'C DTM'!Títulos_a_imprimir</vt:lpstr>
      <vt:lpstr>'C EVALUACION'!Títulos_a_imprimir</vt:lpstr>
      <vt:lpstr>'C FACTIBILIDAD'!Títulos_a_imprimir</vt:lpstr>
      <vt:lpstr>'C FINANCIERA'!Títulos_a_imprimir</vt:lpstr>
      <vt:lpstr>'C FISICOS'!Títulos_a_imprimir</vt:lpstr>
      <vt:lpstr>'C GESTION SOCIAL'!Títulos_a_imprimir</vt:lpstr>
      <vt:lpstr>'C GI PROYECTOS'!Títulos_a_imprimir</vt:lpstr>
      <vt:lpstr>'C INNOVACION'!Títulos_a_imprimir</vt:lpstr>
      <vt:lpstr>'C INTERISTITUCIONAL'!Títulos_a_imprimir</vt:lpstr>
      <vt:lpstr>'C LEGAL'!Títulos_a_imprimir</vt:lpstr>
      <vt:lpstr>'C MEJORAMIENTO'!Títulos_a_imprimir</vt:lpstr>
      <vt:lpstr>'C OBRAS'!Títulos_a_imprimir</vt:lpstr>
      <vt:lpstr>'C PLANEACION'!Títulos_a_imprimir</vt:lpstr>
      <vt:lpstr>'C PREDIAL'!Títulos_a_imprimir</vt:lpstr>
      <vt:lpstr>'C THUMANO'!Títulos_a_imprimir</vt:lpstr>
      <vt:lpstr>'C TICs'!Títulos_a_imprimir</vt:lpstr>
      <vt:lpstr>'C VALORIZACION'!Títulos_a_imprimir</vt:lpstr>
      <vt:lpstr>'E COMUNICACIONES'!Títulos_a_imprimir</vt:lpstr>
      <vt:lpstr>'E GESTION SOCIAL'!Títulos_a_imprimir</vt:lpstr>
      <vt:lpstr>'E GPROYECTOS'!Títulos_a_imprimir</vt:lpstr>
      <vt:lpstr>'E INNOVACION'!Títulos_a_imprimir</vt:lpstr>
      <vt:lpstr>'E INTERINSTITUCIONAL'!Títulos_a_imprimir</vt:lpstr>
      <vt:lpstr>'E PLANEACION'!Títulos_a_imprimir</vt:lpstr>
      <vt:lpstr>'EC EVALUACION'!Títulos_a_imprimir</vt:lpstr>
      <vt:lpstr>'EC MEJORAMIENTO'!Títulos_a_imprimir</vt:lpstr>
      <vt:lpstr>'M CONSERVACION-DTAI'!Títulos_a_imprimir</vt:lpstr>
      <vt:lpstr>'M DISEÑO P.'!Títulos_a_imprimir</vt:lpstr>
      <vt:lpstr>'M EJECUCION O.'!Títulos_a_imprimir</vt:lpstr>
      <vt:lpstr>'M FACTIBILIDAD'!Títulos_a_imprimir</vt:lpstr>
      <vt:lpstr>'M PREDIAL'!Títulos_a_imprimir</vt:lpstr>
      <vt:lpstr>'M VALORIZACION'!Títulos_a_imprimir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Carlos Aleman Lopez</dc:creator>
  <cp:lastModifiedBy>Jose Eduardo Quiroga Barriga</cp:lastModifiedBy>
  <cp:lastPrinted>2019-09-11T22:49:26Z</cp:lastPrinted>
  <dcterms:created xsi:type="dcterms:W3CDTF">2015-01-07T20:31:41Z</dcterms:created>
  <dcterms:modified xsi:type="dcterms:W3CDTF">2019-10-02T15:00:28Z</dcterms:modified>
</cp:coreProperties>
</file>